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F:\RHLD\Network Adequacy\PY2025-A PTNP Process Docs\Phase 4 (disposition and final list)\"/>
    </mc:Choice>
  </mc:AlternateContent>
  <xr:revisionPtr revIDLastSave="0" documentId="13_ncr:1_{5E3DD1B9-F799-4A2F-A79F-F9C7F9D05820}" xr6:coauthVersionLast="47" xr6:coauthVersionMax="47" xr10:uidLastSave="{00000000-0000-0000-0000-000000000000}"/>
  <bookViews>
    <workbookView xWindow="3825" yWindow="540" windowWidth="22710" windowHeight="13980" xr2:uid="{00000000-000D-0000-FFFF-FFFF00000000}"/>
  </bookViews>
  <sheets>
    <sheet name="Overview" sheetId="3" r:id="rId1"/>
    <sheet name="NPI Provider Type List 2024" sheetId="2" r:id="rId2"/>
    <sheet name="Prior Round Dispositions" sheetId="4" r:id="rId3"/>
  </sheets>
  <externalReferences>
    <externalReference r:id="rId4"/>
  </externalReferences>
  <definedNames>
    <definedName name="_xlnm._FilterDatabase" localSheetId="2" hidden="1">'Prior Round Dispositions'!$A$2:$I$2120</definedName>
    <definedName name="_xlnm.Criteria">[1]TaxonomyMap!$A$1:$Z$1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 i="2" l="1"/>
  <c r="D3" i="2"/>
  <c r="D4" i="2"/>
  <c r="D5" i="2"/>
  <c r="D6" i="2"/>
  <c r="D7" i="2"/>
  <c r="D8" i="2"/>
  <c r="D9" i="2"/>
  <c r="D10" i="2"/>
  <c r="D11" i="2"/>
  <c r="D12" i="2"/>
  <c r="D13" i="2"/>
  <c r="D14" i="2"/>
  <c r="D15" i="2"/>
  <c r="D16" i="2"/>
  <c r="D17" i="2"/>
  <c r="D18" i="2"/>
  <c r="D19" i="2"/>
  <c r="D20" i="2"/>
  <c r="D21" i="2"/>
  <c r="D22" i="2"/>
  <c r="D23" i="2"/>
  <c r="D24" i="2"/>
  <c r="D25" i="2"/>
  <c r="D26" i="2"/>
  <c r="D27" i="2"/>
  <c r="D28" i="2"/>
  <c r="D29" i="2"/>
  <c r="D30" i="2"/>
  <c r="D31" i="2"/>
  <c r="D32" i="2"/>
  <c r="D33" i="2"/>
  <c r="D34" i="2"/>
  <c r="D35" i="2"/>
  <c r="D36" i="2"/>
  <c r="D37" i="2"/>
  <c r="D38" i="2"/>
  <c r="D39" i="2"/>
  <c r="D40" i="2"/>
  <c r="D41" i="2"/>
  <c r="D42" i="2"/>
  <c r="D43" i="2"/>
  <c r="D44" i="2"/>
  <c r="D45" i="2"/>
  <c r="D46" i="2"/>
  <c r="D47" i="2"/>
  <c r="D48" i="2"/>
  <c r="D49" i="2"/>
  <c r="D50" i="2"/>
  <c r="D51" i="2"/>
  <c r="D52" i="2"/>
  <c r="D53" i="2"/>
  <c r="D54" i="2"/>
  <c r="D55" i="2"/>
  <c r="D56" i="2"/>
  <c r="D57" i="2"/>
  <c r="D58" i="2"/>
  <c r="D59" i="2"/>
  <c r="D60" i="2"/>
  <c r="D61" i="2"/>
  <c r="D62" i="2"/>
  <c r="D63" i="2"/>
  <c r="D64" i="2"/>
  <c r="D65" i="2"/>
  <c r="D66" i="2"/>
  <c r="D67" i="2"/>
  <c r="D68" i="2"/>
  <c r="D69" i="2"/>
  <c r="D70" i="2"/>
  <c r="D71" i="2"/>
  <c r="D72" i="2"/>
  <c r="D73" i="2"/>
  <c r="D74" i="2"/>
  <c r="D75" i="2"/>
  <c r="D76" i="2"/>
  <c r="D77" i="2"/>
  <c r="D78" i="2"/>
  <c r="D79" i="2"/>
  <c r="D80" i="2"/>
  <c r="D81" i="2"/>
  <c r="D82" i="2"/>
  <c r="D83" i="2"/>
  <c r="D84" i="2"/>
  <c r="D85" i="2"/>
  <c r="D86" i="2"/>
  <c r="D87" i="2"/>
  <c r="D88" i="2"/>
  <c r="D89" i="2"/>
  <c r="D90" i="2"/>
  <c r="D91" i="2"/>
  <c r="D92" i="2"/>
  <c r="D93" i="2"/>
  <c r="D94" i="2"/>
  <c r="D95" i="2"/>
  <c r="D96" i="2"/>
  <c r="D97" i="2"/>
  <c r="D98" i="2"/>
  <c r="D99" i="2"/>
  <c r="D100" i="2"/>
  <c r="D101" i="2"/>
  <c r="D102" i="2"/>
  <c r="D103" i="2"/>
  <c r="D104" i="2"/>
  <c r="D105" i="2"/>
  <c r="D106" i="2"/>
  <c r="D107" i="2"/>
  <c r="D108" i="2"/>
  <c r="D109" i="2"/>
  <c r="D110" i="2"/>
  <c r="D111" i="2"/>
  <c r="D112" i="2"/>
  <c r="D113" i="2"/>
  <c r="D114" i="2"/>
  <c r="D115" i="2"/>
  <c r="D116" i="2"/>
  <c r="D117" i="2"/>
  <c r="D118" i="2"/>
  <c r="D119" i="2"/>
  <c r="D120" i="2"/>
  <c r="D121" i="2"/>
  <c r="D122" i="2"/>
  <c r="D123" i="2"/>
  <c r="D124" i="2"/>
  <c r="D125" i="2"/>
  <c r="D126" i="2"/>
  <c r="D127" i="2"/>
  <c r="D128" i="2"/>
  <c r="D129" i="2"/>
  <c r="D130" i="2"/>
  <c r="D131" i="2"/>
  <c r="D132" i="2"/>
  <c r="D133" i="2"/>
  <c r="D134" i="2"/>
  <c r="D135" i="2"/>
  <c r="D136" i="2"/>
  <c r="D137" i="2"/>
  <c r="D138" i="2"/>
  <c r="D139" i="2"/>
  <c r="D140" i="2"/>
  <c r="D141" i="2"/>
  <c r="D142" i="2"/>
  <c r="D143" i="2"/>
  <c r="D144" i="2"/>
  <c r="D145" i="2"/>
  <c r="D146" i="2"/>
  <c r="D147" i="2"/>
  <c r="D148" i="2"/>
  <c r="D149" i="2"/>
  <c r="D150" i="2"/>
  <c r="D151" i="2"/>
  <c r="D152" i="2"/>
  <c r="D153" i="2"/>
  <c r="D154" i="2"/>
  <c r="D155" i="2"/>
  <c r="D156" i="2"/>
  <c r="D157" i="2"/>
  <c r="D158" i="2"/>
  <c r="D159" i="2"/>
  <c r="D160" i="2"/>
  <c r="D161" i="2"/>
  <c r="D162" i="2"/>
  <c r="D163" i="2"/>
  <c r="D164" i="2"/>
  <c r="D165" i="2"/>
  <c r="D166" i="2"/>
  <c r="D167" i="2"/>
  <c r="D168" i="2"/>
  <c r="D169" i="2"/>
  <c r="D170" i="2"/>
  <c r="D171" i="2"/>
  <c r="D172" i="2"/>
  <c r="D173" i="2"/>
  <c r="D174" i="2"/>
  <c r="D175" i="2"/>
  <c r="D176" i="2"/>
  <c r="D177" i="2"/>
  <c r="D178" i="2"/>
  <c r="D179" i="2"/>
  <c r="D180" i="2"/>
  <c r="D181" i="2"/>
  <c r="D182" i="2"/>
  <c r="D183" i="2"/>
  <c r="D184" i="2"/>
  <c r="D185" i="2"/>
  <c r="D186" i="2"/>
  <c r="D187" i="2"/>
  <c r="D188" i="2"/>
  <c r="D189" i="2"/>
  <c r="D190" i="2"/>
  <c r="D191" i="2"/>
  <c r="D192" i="2"/>
  <c r="D193" i="2"/>
  <c r="D194" i="2"/>
  <c r="D195" i="2"/>
  <c r="D196" i="2"/>
  <c r="D197" i="2"/>
  <c r="D198" i="2"/>
  <c r="D199" i="2"/>
  <c r="D200" i="2"/>
  <c r="D201" i="2"/>
  <c r="D202" i="2"/>
  <c r="D203" i="2"/>
  <c r="D204" i="2"/>
  <c r="D205" i="2"/>
  <c r="D206" i="2"/>
  <c r="D207" i="2"/>
  <c r="D208" i="2"/>
  <c r="D209" i="2"/>
  <c r="D210" i="2"/>
  <c r="D211" i="2"/>
  <c r="D212" i="2"/>
  <c r="D213" i="2"/>
  <c r="D214" i="2"/>
  <c r="D215" i="2"/>
  <c r="D216" i="2"/>
  <c r="D217" i="2"/>
  <c r="D218" i="2"/>
  <c r="D219" i="2"/>
  <c r="D220" i="2"/>
  <c r="D221" i="2"/>
  <c r="D222" i="2"/>
  <c r="D223" i="2"/>
  <c r="D224" i="2"/>
  <c r="D225" i="2"/>
  <c r="D226" i="2"/>
  <c r="D227" i="2"/>
  <c r="D228" i="2"/>
  <c r="D229" i="2"/>
  <c r="D230" i="2"/>
  <c r="D231" i="2"/>
  <c r="D232" i="2"/>
  <c r="D233" i="2"/>
  <c r="D234" i="2"/>
  <c r="D235" i="2"/>
  <c r="D236" i="2"/>
  <c r="D237" i="2"/>
  <c r="D238" i="2"/>
  <c r="D239" i="2"/>
  <c r="D240" i="2"/>
  <c r="D241" i="2"/>
  <c r="D242" i="2"/>
  <c r="D243" i="2"/>
  <c r="D244" i="2"/>
  <c r="D245" i="2"/>
  <c r="D246" i="2"/>
  <c r="D247" i="2"/>
  <c r="D248" i="2"/>
  <c r="D249" i="2"/>
  <c r="D250" i="2"/>
  <c r="D251" i="2"/>
  <c r="D252" i="2"/>
  <c r="D253" i="2"/>
  <c r="D254" i="2"/>
  <c r="D255" i="2"/>
  <c r="D256" i="2"/>
  <c r="D257" i="2"/>
  <c r="D258" i="2"/>
  <c r="D259" i="2"/>
  <c r="D260" i="2"/>
  <c r="D261" i="2"/>
  <c r="D262" i="2"/>
  <c r="D263" i="2"/>
  <c r="D264" i="2"/>
  <c r="D265" i="2"/>
  <c r="D266" i="2"/>
  <c r="D267" i="2"/>
  <c r="D268" i="2"/>
  <c r="D269" i="2"/>
  <c r="D270" i="2"/>
  <c r="D271" i="2"/>
  <c r="D272" i="2"/>
  <c r="D273" i="2"/>
  <c r="D274" i="2"/>
  <c r="D275" i="2"/>
  <c r="D276" i="2"/>
  <c r="D277" i="2"/>
  <c r="D278" i="2"/>
  <c r="D279" i="2"/>
  <c r="D280" i="2"/>
  <c r="D281" i="2"/>
  <c r="D282" i="2"/>
  <c r="D283" i="2"/>
  <c r="D284" i="2"/>
  <c r="D285" i="2"/>
  <c r="D286" i="2"/>
  <c r="D287" i="2"/>
  <c r="D288" i="2"/>
  <c r="D289" i="2"/>
  <c r="D290" i="2"/>
  <c r="D291" i="2"/>
  <c r="D292" i="2"/>
  <c r="D293" i="2"/>
  <c r="D294" i="2"/>
  <c r="D295" i="2"/>
  <c r="D296" i="2"/>
  <c r="D297" i="2"/>
  <c r="D298" i="2"/>
  <c r="D299" i="2"/>
  <c r="D300" i="2"/>
  <c r="D301" i="2"/>
  <c r="D302" i="2"/>
  <c r="D303" i="2"/>
  <c r="D304" i="2"/>
  <c r="D305" i="2"/>
  <c r="D306" i="2"/>
  <c r="D307" i="2"/>
  <c r="D308" i="2"/>
  <c r="D309" i="2"/>
  <c r="D310" i="2"/>
  <c r="D311" i="2"/>
  <c r="D312" i="2"/>
  <c r="D313" i="2"/>
  <c r="D314" i="2"/>
  <c r="D315" i="2"/>
  <c r="D316" i="2"/>
  <c r="D317" i="2"/>
  <c r="D318" i="2"/>
  <c r="D319" i="2"/>
  <c r="D320" i="2"/>
  <c r="D321" i="2"/>
  <c r="D322" i="2"/>
  <c r="D323" i="2"/>
  <c r="D324" i="2"/>
  <c r="D325" i="2"/>
  <c r="D326" i="2"/>
  <c r="D327" i="2"/>
  <c r="D328" i="2"/>
  <c r="D329" i="2"/>
  <c r="D330" i="2"/>
  <c r="D331" i="2"/>
  <c r="D332" i="2"/>
  <c r="D333" i="2"/>
  <c r="D334" i="2"/>
  <c r="D335" i="2"/>
  <c r="D336" i="2"/>
  <c r="D337" i="2"/>
  <c r="D338" i="2"/>
  <c r="D339" i="2"/>
  <c r="D340" i="2"/>
  <c r="D341" i="2"/>
  <c r="D342" i="2"/>
  <c r="D343" i="2"/>
  <c r="D344" i="2"/>
  <c r="D345" i="2"/>
  <c r="D346" i="2"/>
  <c r="D347" i="2"/>
  <c r="D348" i="2"/>
  <c r="D349" i="2"/>
  <c r="D350" i="2"/>
  <c r="D351" i="2"/>
  <c r="D352" i="2"/>
  <c r="D353" i="2"/>
  <c r="D354" i="2"/>
  <c r="D355" i="2"/>
  <c r="D356" i="2"/>
  <c r="D357" i="2"/>
  <c r="D358" i="2"/>
  <c r="D359" i="2"/>
  <c r="D360" i="2"/>
  <c r="D361" i="2"/>
  <c r="D362" i="2"/>
  <c r="D363" i="2"/>
  <c r="D364" i="2"/>
  <c r="D365" i="2"/>
  <c r="D366" i="2"/>
  <c r="D367" i="2"/>
  <c r="D368" i="2"/>
  <c r="D369" i="2"/>
  <c r="D370" i="2"/>
  <c r="D371" i="2"/>
  <c r="D372" i="2"/>
  <c r="D373" i="2"/>
  <c r="D374" i="2"/>
  <c r="D375" i="2"/>
  <c r="D376" i="2"/>
  <c r="D377" i="2"/>
  <c r="D378" i="2"/>
  <c r="D379" i="2"/>
  <c r="D380" i="2"/>
  <c r="D381" i="2"/>
  <c r="D382" i="2"/>
  <c r="D383" i="2"/>
  <c r="D384" i="2"/>
  <c r="D385" i="2"/>
  <c r="D386" i="2"/>
  <c r="D387" i="2"/>
  <c r="D388" i="2"/>
  <c r="D389" i="2"/>
  <c r="D390" i="2"/>
  <c r="D391" i="2"/>
  <c r="D392" i="2"/>
  <c r="D393" i="2"/>
  <c r="D394" i="2"/>
  <c r="D395" i="2"/>
  <c r="D396" i="2"/>
  <c r="D397" i="2"/>
  <c r="D398" i="2"/>
  <c r="D399" i="2"/>
  <c r="D400" i="2"/>
  <c r="D401" i="2"/>
  <c r="D402" i="2"/>
  <c r="D403" i="2"/>
  <c r="D404" i="2"/>
  <c r="D405" i="2"/>
  <c r="D406" i="2"/>
  <c r="D407" i="2"/>
  <c r="D408" i="2"/>
  <c r="D409" i="2"/>
  <c r="D410" i="2"/>
  <c r="D411" i="2"/>
  <c r="D412" i="2"/>
  <c r="D413" i="2"/>
  <c r="D414" i="2"/>
  <c r="D415" i="2"/>
  <c r="D416" i="2"/>
  <c r="D417" i="2"/>
  <c r="D418" i="2"/>
  <c r="D419" i="2"/>
  <c r="D420" i="2"/>
  <c r="D421" i="2"/>
  <c r="D422" i="2"/>
  <c r="D423" i="2"/>
  <c r="D424" i="2"/>
  <c r="D425" i="2"/>
  <c r="D426" i="2"/>
  <c r="D427" i="2"/>
  <c r="D428" i="2"/>
  <c r="D429" i="2"/>
  <c r="D430" i="2"/>
  <c r="D431" i="2"/>
  <c r="D432" i="2"/>
  <c r="D433" i="2"/>
  <c r="D434" i="2"/>
  <c r="D435" i="2"/>
  <c r="D436" i="2"/>
  <c r="D437" i="2"/>
  <c r="D438" i="2"/>
  <c r="D439" i="2"/>
  <c r="D440" i="2"/>
  <c r="D441" i="2"/>
  <c r="D442" i="2"/>
  <c r="D443" i="2"/>
  <c r="D444" i="2"/>
  <c r="D445" i="2"/>
  <c r="D446" i="2"/>
  <c r="D447" i="2"/>
  <c r="D448" i="2"/>
  <c r="D449" i="2"/>
  <c r="D450" i="2"/>
  <c r="D451" i="2"/>
  <c r="D452" i="2"/>
  <c r="D453" i="2"/>
  <c r="D454" i="2"/>
  <c r="D455" i="2"/>
  <c r="D456" i="2"/>
  <c r="D457" i="2"/>
  <c r="D458" i="2"/>
  <c r="D459" i="2"/>
  <c r="D460" i="2"/>
  <c r="D461" i="2"/>
  <c r="D462" i="2"/>
  <c r="D463" i="2"/>
  <c r="D464" i="2"/>
  <c r="D465" i="2"/>
  <c r="D466" i="2"/>
  <c r="D467" i="2"/>
  <c r="D468" i="2"/>
  <c r="D469" i="2"/>
  <c r="D470" i="2"/>
  <c r="D471" i="2"/>
  <c r="D472" i="2"/>
  <c r="D473" i="2"/>
  <c r="D474" i="2"/>
  <c r="D475" i="2"/>
  <c r="D476" i="2"/>
  <c r="D477" i="2"/>
  <c r="D478" i="2"/>
  <c r="D479" i="2"/>
  <c r="D480" i="2"/>
  <c r="D481" i="2"/>
  <c r="D482" i="2"/>
  <c r="D483" i="2"/>
  <c r="D484" i="2"/>
  <c r="D485" i="2"/>
  <c r="D486" i="2"/>
  <c r="D487" i="2"/>
  <c r="D488" i="2"/>
  <c r="D489" i="2"/>
  <c r="D490" i="2"/>
  <c r="D491" i="2"/>
  <c r="D492" i="2"/>
  <c r="D493" i="2"/>
  <c r="D494" i="2"/>
  <c r="D495" i="2"/>
  <c r="D496" i="2"/>
  <c r="D497" i="2"/>
  <c r="D498" i="2"/>
  <c r="D499" i="2"/>
  <c r="D500" i="2"/>
  <c r="D501" i="2"/>
  <c r="D502" i="2"/>
  <c r="D503" i="2"/>
  <c r="D504" i="2"/>
  <c r="D505" i="2"/>
  <c r="D506" i="2"/>
  <c r="D507" i="2"/>
  <c r="D508" i="2"/>
  <c r="D509" i="2"/>
  <c r="D510" i="2"/>
  <c r="D511" i="2"/>
  <c r="D512" i="2"/>
  <c r="D513" i="2"/>
  <c r="D514" i="2"/>
  <c r="D515" i="2"/>
  <c r="D516" i="2"/>
  <c r="D517" i="2"/>
  <c r="D518" i="2"/>
  <c r="D519" i="2"/>
  <c r="D520" i="2"/>
  <c r="D521" i="2"/>
  <c r="D522" i="2"/>
  <c r="D523" i="2"/>
  <c r="D524" i="2"/>
  <c r="D525" i="2"/>
  <c r="D526" i="2"/>
  <c r="D527" i="2"/>
  <c r="D528" i="2"/>
  <c r="D529" i="2"/>
  <c r="D530" i="2"/>
  <c r="D531" i="2"/>
  <c r="D532" i="2"/>
  <c r="D533" i="2"/>
  <c r="D534" i="2"/>
  <c r="D535" i="2"/>
  <c r="D536" i="2"/>
  <c r="D537" i="2"/>
  <c r="D538" i="2"/>
  <c r="D539" i="2"/>
  <c r="D540" i="2"/>
  <c r="D541" i="2"/>
  <c r="D542" i="2"/>
  <c r="D543" i="2"/>
  <c r="D544" i="2"/>
  <c r="D545" i="2"/>
  <c r="D546" i="2"/>
  <c r="D547" i="2"/>
  <c r="D548" i="2"/>
  <c r="D549" i="2"/>
  <c r="D550" i="2"/>
  <c r="D551" i="2"/>
  <c r="D552" i="2"/>
  <c r="D553" i="2"/>
  <c r="D554" i="2"/>
  <c r="D555" i="2"/>
  <c r="D556" i="2"/>
  <c r="D557" i="2"/>
  <c r="D558" i="2"/>
  <c r="D559" i="2"/>
  <c r="D560" i="2"/>
  <c r="D561" i="2"/>
  <c r="D562" i="2"/>
  <c r="D563" i="2"/>
  <c r="D564" i="2"/>
  <c r="D565" i="2"/>
  <c r="D566" i="2"/>
  <c r="D567" i="2"/>
  <c r="D568" i="2"/>
  <c r="D569" i="2"/>
  <c r="D570" i="2"/>
  <c r="D571" i="2"/>
  <c r="D572" i="2"/>
  <c r="D573" i="2"/>
  <c r="D574" i="2"/>
  <c r="D575" i="2"/>
  <c r="D576" i="2"/>
  <c r="D577" i="2"/>
  <c r="D578" i="2"/>
  <c r="D579" i="2"/>
  <c r="D580" i="2"/>
  <c r="D581" i="2"/>
  <c r="D582" i="2"/>
  <c r="D583" i="2"/>
  <c r="D584" i="2"/>
  <c r="D585" i="2"/>
  <c r="D586" i="2"/>
  <c r="D587" i="2"/>
  <c r="D588" i="2"/>
  <c r="D589" i="2"/>
  <c r="D590" i="2"/>
  <c r="D591" i="2"/>
  <c r="D592" i="2"/>
  <c r="D593" i="2"/>
  <c r="D594" i="2"/>
  <c r="D595" i="2"/>
  <c r="D596" i="2"/>
  <c r="D597" i="2"/>
  <c r="D598" i="2"/>
  <c r="D599" i="2"/>
  <c r="D600" i="2"/>
  <c r="D601" i="2"/>
  <c r="D602" i="2"/>
  <c r="D603" i="2"/>
  <c r="D604" i="2"/>
  <c r="D605" i="2"/>
  <c r="D606" i="2"/>
  <c r="D607" i="2"/>
  <c r="D608" i="2"/>
  <c r="D609" i="2"/>
  <c r="D610" i="2"/>
  <c r="D611" i="2"/>
  <c r="D612" i="2"/>
  <c r="D613" i="2"/>
  <c r="D614" i="2"/>
  <c r="D615" i="2"/>
  <c r="D616" i="2"/>
  <c r="D617" i="2"/>
  <c r="D618" i="2"/>
  <c r="D619" i="2"/>
  <c r="D620" i="2"/>
  <c r="D621" i="2"/>
  <c r="D622" i="2"/>
  <c r="D623" i="2"/>
  <c r="D624" i="2"/>
  <c r="D625" i="2"/>
  <c r="D626" i="2"/>
  <c r="D627" i="2"/>
  <c r="D628" i="2"/>
  <c r="D629" i="2"/>
  <c r="D630" i="2"/>
  <c r="D631" i="2"/>
  <c r="D632" i="2"/>
  <c r="D633" i="2"/>
  <c r="D634" i="2"/>
  <c r="D635" i="2"/>
  <c r="D636" i="2"/>
  <c r="D637" i="2"/>
  <c r="D638" i="2"/>
  <c r="D639" i="2"/>
  <c r="D640" i="2"/>
  <c r="D641" i="2"/>
  <c r="D642" i="2"/>
  <c r="D643" i="2"/>
  <c r="D644" i="2"/>
  <c r="D645" i="2"/>
  <c r="D646" i="2"/>
  <c r="D647" i="2"/>
  <c r="D648" i="2"/>
  <c r="D649" i="2"/>
  <c r="D650" i="2"/>
  <c r="D651" i="2"/>
  <c r="D652" i="2"/>
  <c r="D653" i="2"/>
  <c r="D654" i="2"/>
  <c r="D655" i="2"/>
  <c r="D656" i="2"/>
  <c r="D657" i="2"/>
  <c r="D658" i="2"/>
  <c r="D659" i="2"/>
  <c r="D660" i="2"/>
  <c r="D661" i="2"/>
  <c r="D662" i="2"/>
  <c r="D663" i="2"/>
  <c r="D664" i="2"/>
  <c r="D665" i="2"/>
  <c r="D666" i="2"/>
  <c r="D667" i="2"/>
  <c r="D668" i="2"/>
  <c r="D669" i="2"/>
  <c r="D670" i="2"/>
  <c r="D671" i="2"/>
  <c r="D672" i="2"/>
  <c r="D673" i="2"/>
  <c r="D674" i="2"/>
  <c r="D675" i="2"/>
  <c r="D676" i="2"/>
  <c r="D677" i="2"/>
  <c r="D678" i="2"/>
  <c r="D679" i="2"/>
  <c r="D680" i="2"/>
  <c r="D681" i="2"/>
  <c r="D682" i="2"/>
  <c r="D683" i="2"/>
  <c r="D684" i="2"/>
  <c r="D685" i="2"/>
  <c r="D686" i="2"/>
  <c r="D687" i="2"/>
  <c r="D688" i="2"/>
  <c r="D689" i="2"/>
  <c r="D690" i="2"/>
  <c r="D691" i="2"/>
  <c r="D692" i="2"/>
  <c r="D693" i="2"/>
  <c r="D694" i="2"/>
  <c r="D695" i="2"/>
  <c r="D696" i="2"/>
  <c r="D697" i="2"/>
  <c r="D698" i="2"/>
  <c r="D699" i="2"/>
  <c r="D700" i="2"/>
  <c r="D701" i="2"/>
  <c r="D702" i="2"/>
  <c r="D703" i="2"/>
  <c r="D704" i="2"/>
  <c r="D705" i="2"/>
  <c r="D706" i="2"/>
  <c r="D707" i="2"/>
  <c r="D708" i="2"/>
  <c r="D709" i="2"/>
  <c r="D710" i="2"/>
  <c r="D711" i="2"/>
  <c r="D712" i="2"/>
  <c r="D713" i="2"/>
  <c r="D714" i="2"/>
  <c r="D715" i="2"/>
  <c r="D716" i="2"/>
  <c r="D717" i="2"/>
  <c r="D718" i="2"/>
  <c r="D719" i="2"/>
  <c r="D720" i="2"/>
  <c r="D721" i="2"/>
  <c r="D722" i="2"/>
  <c r="D723" i="2"/>
  <c r="D724" i="2"/>
  <c r="D725" i="2"/>
  <c r="D726" i="2"/>
  <c r="D727" i="2"/>
  <c r="D728" i="2"/>
  <c r="D729" i="2"/>
  <c r="D730" i="2"/>
  <c r="D731" i="2"/>
  <c r="D732" i="2"/>
  <c r="D733" i="2"/>
  <c r="D734" i="2"/>
  <c r="D735" i="2"/>
  <c r="D736" i="2"/>
  <c r="D737" i="2"/>
  <c r="D738" i="2"/>
  <c r="D739" i="2"/>
  <c r="D740" i="2"/>
  <c r="D741" i="2"/>
  <c r="D742" i="2"/>
  <c r="D743" i="2"/>
  <c r="D744" i="2"/>
  <c r="D745" i="2"/>
  <c r="D746" i="2"/>
  <c r="D747" i="2"/>
  <c r="D748" i="2"/>
  <c r="D749" i="2"/>
  <c r="D750" i="2"/>
  <c r="D751" i="2"/>
  <c r="D752" i="2"/>
  <c r="D753" i="2"/>
  <c r="D754" i="2"/>
  <c r="D755" i="2"/>
  <c r="D756" i="2"/>
  <c r="D757" i="2"/>
  <c r="D758" i="2"/>
  <c r="D759" i="2"/>
  <c r="D760" i="2"/>
  <c r="D761" i="2"/>
  <c r="D762" i="2"/>
  <c r="D763" i="2"/>
  <c r="D764" i="2"/>
  <c r="D765" i="2"/>
  <c r="D766" i="2"/>
  <c r="D767" i="2"/>
  <c r="D768" i="2"/>
  <c r="D769" i="2"/>
  <c r="D770" i="2"/>
  <c r="D771" i="2"/>
  <c r="D772" i="2"/>
  <c r="D773" i="2"/>
  <c r="D774" i="2"/>
  <c r="D775" i="2"/>
  <c r="D776" i="2"/>
  <c r="D777" i="2"/>
  <c r="D778" i="2"/>
  <c r="D779" i="2"/>
  <c r="D780" i="2"/>
  <c r="D781" i="2"/>
  <c r="D782" i="2"/>
  <c r="D783" i="2"/>
  <c r="D784" i="2"/>
  <c r="D785" i="2"/>
  <c r="D786" i="2"/>
  <c r="D787" i="2"/>
  <c r="D788" i="2"/>
  <c r="D789" i="2"/>
  <c r="D790" i="2"/>
  <c r="D791" i="2"/>
  <c r="D792" i="2"/>
  <c r="D793" i="2"/>
  <c r="D794" i="2"/>
  <c r="D795" i="2"/>
  <c r="D796" i="2"/>
  <c r="D797" i="2"/>
  <c r="D798" i="2"/>
  <c r="D799" i="2"/>
  <c r="D800" i="2"/>
  <c r="D801" i="2"/>
  <c r="D802" i="2"/>
  <c r="D803" i="2"/>
  <c r="D804" i="2"/>
  <c r="D805" i="2"/>
  <c r="D806" i="2"/>
  <c r="D807" i="2"/>
  <c r="D808" i="2"/>
  <c r="D809" i="2"/>
  <c r="D810" i="2"/>
  <c r="D811" i="2"/>
  <c r="D812" i="2"/>
  <c r="D813" i="2"/>
  <c r="D814" i="2"/>
  <c r="D815" i="2"/>
  <c r="D816" i="2"/>
  <c r="D817" i="2"/>
  <c r="D818" i="2"/>
  <c r="D819" i="2"/>
  <c r="D820" i="2"/>
  <c r="D821" i="2"/>
  <c r="D822" i="2"/>
  <c r="D823" i="2"/>
  <c r="D824" i="2"/>
  <c r="D825" i="2"/>
  <c r="D826" i="2"/>
  <c r="D827" i="2"/>
  <c r="D828" i="2"/>
  <c r="D829" i="2"/>
  <c r="D830" i="2"/>
  <c r="D831" i="2"/>
  <c r="D832" i="2"/>
  <c r="D833" i="2"/>
  <c r="D834" i="2"/>
  <c r="D835" i="2"/>
  <c r="D836" i="2"/>
  <c r="D837" i="2"/>
  <c r="D838" i="2"/>
  <c r="D839" i="2"/>
  <c r="D840" i="2"/>
  <c r="D841" i="2"/>
  <c r="D842" i="2"/>
  <c r="D843" i="2"/>
  <c r="D844" i="2"/>
  <c r="D845" i="2"/>
  <c r="D846" i="2"/>
  <c r="D847" i="2"/>
  <c r="D848" i="2"/>
  <c r="D849" i="2"/>
  <c r="D850" i="2"/>
  <c r="D851" i="2"/>
  <c r="D852" i="2"/>
  <c r="D853" i="2"/>
  <c r="D854" i="2"/>
  <c r="D855" i="2"/>
  <c r="D856" i="2"/>
  <c r="D857" i="2"/>
  <c r="D858" i="2"/>
  <c r="D859" i="2"/>
  <c r="D860" i="2"/>
  <c r="D861" i="2"/>
  <c r="D862" i="2"/>
  <c r="D863" i="2"/>
  <c r="D864" i="2"/>
  <c r="D865" i="2"/>
  <c r="D866" i="2"/>
  <c r="D867" i="2"/>
  <c r="D868" i="2"/>
  <c r="D869" i="2"/>
  <c r="D870" i="2"/>
  <c r="D871" i="2"/>
  <c r="D872" i="2"/>
  <c r="D873" i="2"/>
  <c r="D874" i="2"/>
  <c r="D875" i="2"/>
  <c r="D876" i="2"/>
  <c r="D877" i="2"/>
  <c r="D878" i="2"/>
  <c r="D879" i="2"/>
  <c r="D880" i="2"/>
  <c r="D881" i="2"/>
  <c r="D882" i="2"/>
  <c r="D883" i="2"/>
  <c r="D884" i="2"/>
  <c r="D885" i="2"/>
  <c r="D886" i="2"/>
  <c r="D887" i="2"/>
  <c r="D888" i="2"/>
  <c r="D889" i="2"/>
  <c r="D890" i="2"/>
  <c r="D891" i="2"/>
  <c r="D892" i="2"/>
  <c r="D893" i="2"/>
  <c r="D894" i="2"/>
  <c r="D895" i="2"/>
  <c r="D896" i="2"/>
  <c r="D897" i="2"/>
  <c r="D898" i="2"/>
  <c r="D899" i="2"/>
  <c r="D900" i="2"/>
  <c r="D901" i="2"/>
  <c r="D902" i="2"/>
  <c r="D903" i="2"/>
  <c r="D904" i="2"/>
  <c r="D905" i="2"/>
  <c r="D906" i="2"/>
  <c r="D907" i="2"/>
  <c r="D908" i="2"/>
  <c r="D909" i="2"/>
  <c r="D910" i="2"/>
  <c r="D911" i="2"/>
  <c r="D912" i="2"/>
  <c r="D913" i="2"/>
  <c r="D914" i="2"/>
  <c r="D915" i="2"/>
  <c r="D916" i="2"/>
  <c r="D917" i="2"/>
  <c r="D918" i="2"/>
  <c r="D919" i="2"/>
  <c r="D920" i="2"/>
  <c r="D921" i="2"/>
  <c r="D922" i="2"/>
  <c r="D923" i="2"/>
  <c r="D924" i="2"/>
  <c r="D925" i="2"/>
  <c r="D926" i="2"/>
  <c r="D927" i="2"/>
  <c r="D928" i="2"/>
  <c r="D929" i="2"/>
  <c r="D930" i="2"/>
  <c r="D931" i="2"/>
  <c r="D932" i="2"/>
  <c r="D933" i="2"/>
  <c r="D934" i="2"/>
  <c r="D935" i="2"/>
  <c r="D936" i="2"/>
  <c r="D937" i="2"/>
  <c r="D938" i="2"/>
  <c r="D939" i="2"/>
  <c r="D940" i="2"/>
  <c r="D941" i="2"/>
  <c r="D942" i="2"/>
  <c r="D943" i="2"/>
  <c r="D944" i="2"/>
  <c r="D945" i="2"/>
  <c r="D946" i="2"/>
  <c r="D947" i="2"/>
  <c r="D948" i="2"/>
  <c r="D949" i="2"/>
  <c r="D950" i="2"/>
  <c r="D951" i="2"/>
  <c r="D952" i="2"/>
  <c r="D953" i="2"/>
  <c r="D954" i="2"/>
  <c r="D955" i="2"/>
  <c r="D956" i="2"/>
  <c r="D957" i="2"/>
  <c r="D958" i="2"/>
  <c r="D959" i="2"/>
  <c r="D960" i="2"/>
  <c r="D961" i="2"/>
  <c r="D962" i="2"/>
  <c r="D963" i="2"/>
  <c r="D964" i="2"/>
  <c r="D965" i="2"/>
  <c r="D966" i="2"/>
  <c r="D967" i="2"/>
  <c r="D968" i="2"/>
  <c r="D969" i="2"/>
  <c r="D970" i="2"/>
  <c r="D971" i="2"/>
  <c r="D972" i="2"/>
  <c r="D973" i="2"/>
  <c r="D974" i="2"/>
  <c r="D975" i="2"/>
  <c r="D976" i="2"/>
  <c r="D977" i="2"/>
  <c r="D978" i="2"/>
  <c r="D979" i="2"/>
  <c r="D980" i="2"/>
  <c r="D981" i="2"/>
  <c r="D982" i="2"/>
  <c r="D983" i="2"/>
  <c r="D984" i="2"/>
  <c r="D985" i="2"/>
  <c r="D986" i="2"/>
  <c r="D987" i="2"/>
  <c r="D988" i="2"/>
  <c r="D989" i="2"/>
  <c r="D990" i="2"/>
  <c r="D991" i="2"/>
  <c r="D992" i="2"/>
  <c r="D993" i="2"/>
  <c r="D994" i="2"/>
  <c r="D995" i="2"/>
  <c r="D996" i="2"/>
  <c r="D997" i="2"/>
  <c r="D998" i="2"/>
  <c r="D999" i="2"/>
  <c r="D1000" i="2"/>
  <c r="D1001" i="2"/>
  <c r="D1002" i="2"/>
  <c r="D1003" i="2"/>
  <c r="D1004" i="2"/>
  <c r="D1005" i="2"/>
  <c r="D1006" i="2"/>
  <c r="D1007" i="2"/>
  <c r="D1008" i="2"/>
  <c r="D1009" i="2"/>
  <c r="D1010" i="2"/>
  <c r="D1011" i="2"/>
  <c r="D1012" i="2"/>
  <c r="D1013" i="2"/>
  <c r="D1014" i="2"/>
  <c r="D1015" i="2"/>
  <c r="D1016" i="2"/>
  <c r="D1017" i="2"/>
  <c r="D1018" i="2"/>
  <c r="D1019" i="2"/>
  <c r="D1020" i="2"/>
  <c r="D1021" i="2"/>
  <c r="D1022" i="2"/>
  <c r="D1023" i="2"/>
  <c r="D1024" i="2"/>
  <c r="D1025" i="2"/>
  <c r="D1026" i="2"/>
  <c r="D1027" i="2"/>
  <c r="D1028" i="2"/>
  <c r="D1029" i="2"/>
  <c r="D1030" i="2"/>
  <c r="D1031" i="2"/>
  <c r="D1032" i="2"/>
  <c r="D1033" i="2"/>
  <c r="D1034" i="2"/>
  <c r="D1035" i="2"/>
  <c r="D1036" i="2"/>
  <c r="D1037" i="2"/>
  <c r="D1038" i="2"/>
  <c r="D1039" i="2"/>
  <c r="D1040" i="2"/>
  <c r="D1041" i="2"/>
  <c r="D1042" i="2"/>
  <c r="D1043" i="2"/>
  <c r="D1044" i="2"/>
  <c r="D1045" i="2"/>
  <c r="D1046" i="2"/>
  <c r="D1047" i="2"/>
  <c r="D1048" i="2"/>
  <c r="D1049" i="2"/>
  <c r="D1050" i="2"/>
  <c r="D1051" i="2"/>
  <c r="D1052" i="2"/>
  <c r="D1053" i="2"/>
  <c r="D1054" i="2"/>
  <c r="D1055" i="2"/>
  <c r="D1056" i="2"/>
  <c r="D1057" i="2"/>
  <c r="D1058" i="2"/>
  <c r="D1059" i="2"/>
  <c r="D1060" i="2"/>
  <c r="D1061" i="2"/>
  <c r="D1062" i="2"/>
  <c r="D1063" i="2"/>
  <c r="D1064" i="2"/>
  <c r="D1065" i="2"/>
  <c r="D1066" i="2"/>
  <c r="D1067" i="2"/>
  <c r="D1068" i="2"/>
  <c r="D1069" i="2"/>
  <c r="D1070" i="2"/>
  <c r="D1071" i="2"/>
  <c r="D1072" i="2"/>
  <c r="D1073" i="2"/>
  <c r="D1074" i="2"/>
  <c r="D1075" i="2"/>
  <c r="D1076" i="2"/>
  <c r="D1077" i="2"/>
  <c r="D1078" i="2"/>
  <c r="D1079" i="2"/>
  <c r="D1080" i="2"/>
  <c r="D1081" i="2"/>
  <c r="D1082" i="2"/>
  <c r="D1083" i="2"/>
  <c r="D1084" i="2"/>
  <c r="D1085" i="2"/>
  <c r="D1086" i="2"/>
  <c r="D1087" i="2"/>
  <c r="D1088" i="2"/>
  <c r="D1089" i="2"/>
  <c r="D1090" i="2"/>
  <c r="D1091" i="2"/>
  <c r="D1092" i="2"/>
  <c r="D1093" i="2"/>
  <c r="D1094" i="2"/>
  <c r="D1095" i="2"/>
  <c r="D1096" i="2"/>
  <c r="D1097" i="2"/>
  <c r="D1098" i="2"/>
  <c r="D1099" i="2"/>
  <c r="D1100" i="2"/>
  <c r="D1101" i="2"/>
  <c r="D1102" i="2"/>
  <c r="D1103" i="2"/>
  <c r="D1104" i="2"/>
  <c r="D1105" i="2"/>
  <c r="D1106" i="2"/>
  <c r="D1107" i="2"/>
  <c r="D1108" i="2"/>
  <c r="D1109" i="2"/>
  <c r="D1110" i="2"/>
  <c r="D1111" i="2"/>
  <c r="D1112" i="2"/>
  <c r="D1113" i="2"/>
  <c r="D1114" i="2"/>
  <c r="D1115" i="2"/>
  <c r="D1116" i="2"/>
  <c r="D1117" i="2"/>
  <c r="D1118" i="2"/>
  <c r="D1119" i="2"/>
  <c r="D1120" i="2"/>
  <c r="D1121" i="2"/>
  <c r="D1122" i="2"/>
  <c r="D1123" i="2"/>
  <c r="D1124" i="2"/>
  <c r="D1125" i="2"/>
  <c r="D1126" i="2"/>
  <c r="D1127" i="2"/>
  <c r="D1128" i="2"/>
  <c r="D1129" i="2"/>
  <c r="D1130" i="2"/>
  <c r="D1131" i="2"/>
  <c r="D1132" i="2"/>
  <c r="D1133" i="2"/>
  <c r="D1134" i="2"/>
  <c r="D1135" i="2"/>
  <c r="D1136" i="2"/>
  <c r="D1137" i="2"/>
  <c r="D1138" i="2"/>
  <c r="D1139" i="2"/>
  <c r="D1140" i="2"/>
  <c r="D1141" i="2"/>
  <c r="D1142" i="2"/>
  <c r="D1143" i="2"/>
  <c r="D1144" i="2"/>
  <c r="D1145" i="2"/>
  <c r="D1146" i="2"/>
  <c r="D1147" i="2"/>
  <c r="D1148" i="2"/>
  <c r="D1149" i="2"/>
  <c r="D1150" i="2"/>
  <c r="D1151" i="2"/>
  <c r="D1152" i="2"/>
  <c r="D1153" i="2"/>
  <c r="D1154" i="2"/>
  <c r="D1155" i="2"/>
  <c r="D1156" i="2"/>
  <c r="D1157" i="2"/>
  <c r="D1158" i="2"/>
  <c r="D1159" i="2"/>
  <c r="D1160" i="2"/>
  <c r="D1161" i="2"/>
  <c r="D1162" i="2"/>
  <c r="D1163" i="2"/>
  <c r="D1164" i="2"/>
  <c r="D1165" i="2"/>
  <c r="D1166" i="2"/>
  <c r="D1167" i="2"/>
  <c r="D1168" i="2"/>
  <c r="D1169" i="2"/>
  <c r="D1170" i="2"/>
  <c r="D1171" i="2"/>
  <c r="D1172" i="2"/>
  <c r="D1173" i="2"/>
  <c r="D1174" i="2"/>
  <c r="D1175" i="2"/>
  <c r="D1176" i="2"/>
  <c r="D1177" i="2"/>
  <c r="D1178" i="2"/>
  <c r="D1179" i="2"/>
  <c r="D1180" i="2"/>
  <c r="D1181" i="2"/>
  <c r="D1182" i="2"/>
  <c r="D1183" i="2"/>
  <c r="D1184" i="2"/>
  <c r="D1185" i="2"/>
  <c r="D1186" i="2"/>
  <c r="D1187" i="2"/>
  <c r="D1188" i="2"/>
  <c r="D1189" i="2"/>
  <c r="D1190" i="2"/>
  <c r="D1191" i="2"/>
  <c r="D1192" i="2"/>
  <c r="D1193" i="2"/>
  <c r="D1194" i="2"/>
  <c r="D1195" i="2"/>
  <c r="D1196" i="2"/>
  <c r="D1197" i="2"/>
  <c r="D1198" i="2"/>
  <c r="D1199" i="2"/>
  <c r="D1200" i="2"/>
  <c r="D1201" i="2"/>
  <c r="D1202" i="2"/>
  <c r="D1203" i="2"/>
  <c r="D1204" i="2"/>
  <c r="D1205" i="2"/>
  <c r="D1206" i="2"/>
  <c r="D1207" i="2"/>
  <c r="D1208" i="2"/>
  <c r="D1209" i="2"/>
  <c r="D1210" i="2"/>
  <c r="D1211" i="2"/>
  <c r="D1212" i="2"/>
  <c r="D1213" i="2"/>
  <c r="D1214" i="2"/>
  <c r="D1215" i="2"/>
  <c r="D1216" i="2"/>
  <c r="D1217" i="2"/>
  <c r="D1218" i="2"/>
  <c r="D1219" i="2"/>
  <c r="D1220" i="2"/>
  <c r="D1221" i="2"/>
  <c r="D1222" i="2"/>
  <c r="D1223" i="2"/>
  <c r="D1224" i="2"/>
  <c r="D1225" i="2"/>
  <c r="D1226" i="2"/>
  <c r="D1227" i="2"/>
  <c r="D1228" i="2"/>
  <c r="D1229" i="2"/>
  <c r="D1230" i="2"/>
  <c r="D1231" i="2"/>
  <c r="D1232" i="2"/>
  <c r="D1233" i="2"/>
  <c r="D1234" i="2"/>
  <c r="D1235" i="2"/>
  <c r="D1236" i="2"/>
  <c r="D1237" i="2"/>
  <c r="D1238" i="2"/>
  <c r="D1239" i="2"/>
  <c r="D1240" i="2"/>
  <c r="D1241" i="2"/>
  <c r="D1242" i="2"/>
  <c r="D1243" i="2"/>
  <c r="D1244" i="2"/>
  <c r="D1245" i="2"/>
  <c r="D1246" i="2"/>
  <c r="D1247" i="2"/>
  <c r="D1248" i="2"/>
  <c r="D1249" i="2"/>
  <c r="D1250" i="2"/>
  <c r="D1251" i="2"/>
  <c r="D1252" i="2"/>
  <c r="D1253" i="2"/>
  <c r="D1254" i="2"/>
  <c r="D1255" i="2"/>
  <c r="D1256" i="2"/>
  <c r="D1257" i="2"/>
  <c r="D1258" i="2"/>
  <c r="D1259" i="2"/>
  <c r="D1260" i="2"/>
  <c r="D1261" i="2"/>
  <c r="D1262" i="2"/>
  <c r="D1263" i="2"/>
  <c r="D1264" i="2"/>
  <c r="D1265" i="2"/>
  <c r="D1266" i="2"/>
  <c r="D1267" i="2"/>
  <c r="D1268" i="2"/>
  <c r="D1269" i="2"/>
  <c r="D1270" i="2"/>
  <c r="D1271" i="2"/>
  <c r="D1272" i="2"/>
  <c r="D1273" i="2"/>
  <c r="D1274" i="2"/>
  <c r="D1275" i="2"/>
  <c r="D1276" i="2"/>
  <c r="D1277" i="2"/>
  <c r="D1278" i="2"/>
  <c r="D1279" i="2"/>
  <c r="D1280" i="2"/>
  <c r="D1281" i="2"/>
  <c r="D1282" i="2"/>
  <c r="D1283" i="2"/>
  <c r="D1284" i="2"/>
  <c r="D1285" i="2"/>
  <c r="D1286" i="2"/>
  <c r="D1287" i="2"/>
  <c r="D1288" i="2"/>
  <c r="D1289" i="2"/>
  <c r="D1290" i="2"/>
  <c r="D1291" i="2"/>
  <c r="D1292" i="2"/>
  <c r="D1293" i="2"/>
  <c r="D1294" i="2"/>
  <c r="D1295" i="2"/>
  <c r="D1296" i="2"/>
  <c r="D1297" i="2"/>
  <c r="D1298" i="2"/>
  <c r="D1299" i="2"/>
  <c r="D1300" i="2"/>
  <c r="D1301" i="2"/>
  <c r="D1302" i="2"/>
  <c r="D1303" i="2"/>
  <c r="D1304" i="2"/>
  <c r="D1305" i="2"/>
  <c r="D1306" i="2"/>
  <c r="D1307" i="2"/>
  <c r="D1308" i="2"/>
  <c r="D1309" i="2"/>
  <c r="D1310" i="2"/>
  <c r="D1311" i="2"/>
  <c r="D1312" i="2"/>
  <c r="D1313" i="2"/>
  <c r="D1314" i="2"/>
  <c r="D1315" i="2"/>
  <c r="D1316" i="2"/>
  <c r="D1317" i="2"/>
  <c r="D1318" i="2"/>
  <c r="D1319" i="2"/>
  <c r="D1320" i="2"/>
  <c r="D1321" i="2"/>
  <c r="D1322" i="2"/>
  <c r="D1323" i="2"/>
  <c r="D1324" i="2"/>
  <c r="D1325" i="2"/>
  <c r="D1326" i="2"/>
  <c r="D1327" i="2"/>
  <c r="D1328" i="2"/>
  <c r="D1329" i="2"/>
  <c r="D1330" i="2"/>
  <c r="D1331" i="2"/>
  <c r="D1332" i="2"/>
  <c r="D1333" i="2"/>
  <c r="D1334" i="2"/>
  <c r="D1335" i="2"/>
  <c r="D1336" i="2"/>
  <c r="D1337" i="2"/>
  <c r="D1338" i="2"/>
  <c r="D1339" i="2"/>
  <c r="D1340" i="2"/>
  <c r="D1341" i="2"/>
  <c r="D1342" i="2"/>
  <c r="D1343" i="2"/>
  <c r="D1344" i="2"/>
  <c r="D1345" i="2"/>
  <c r="D1346" i="2"/>
  <c r="D1347" i="2"/>
  <c r="D1348" i="2"/>
  <c r="D1349" i="2"/>
  <c r="D1350" i="2"/>
  <c r="D1351" i="2"/>
  <c r="D1352" i="2"/>
  <c r="D1353" i="2"/>
  <c r="D1354" i="2"/>
  <c r="D1355" i="2"/>
  <c r="D1356" i="2"/>
  <c r="D1357" i="2"/>
  <c r="D1358" i="2"/>
  <c r="D1359" i="2"/>
  <c r="D1360" i="2"/>
  <c r="D1361" i="2"/>
  <c r="D1362" i="2"/>
  <c r="D1363" i="2"/>
  <c r="D1364" i="2"/>
  <c r="D1365" i="2"/>
  <c r="D1366" i="2"/>
  <c r="D1367" i="2"/>
  <c r="D1368" i="2"/>
  <c r="D1369" i="2"/>
  <c r="D1370" i="2"/>
  <c r="D1371" i="2"/>
  <c r="D1372" i="2"/>
  <c r="D1373" i="2"/>
  <c r="D1374" i="2"/>
  <c r="D1375" i="2"/>
  <c r="D1376" i="2"/>
  <c r="D1377" i="2"/>
  <c r="D1378" i="2"/>
  <c r="D1379" i="2"/>
  <c r="D1380" i="2"/>
  <c r="D1381" i="2"/>
  <c r="D1382" i="2"/>
  <c r="D1383" i="2"/>
  <c r="D1384" i="2"/>
  <c r="D1385" i="2"/>
  <c r="D1386" i="2"/>
  <c r="D1387" i="2"/>
  <c r="D1388" i="2"/>
  <c r="D1389" i="2"/>
  <c r="D1390" i="2"/>
  <c r="D1391" i="2"/>
  <c r="D1392" i="2"/>
  <c r="D1393" i="2"/>
  <c r="D1394" i="2"/>
  <c r="D1395" i="2"/>
  <c r="D1396" i="2"/>
  <c r="D1397" i="2"/>
  <c r="D1398" i="2"/>
  <c r="D1399" i="2"/>
  <c r="D1400" i="2"/>
  <c r="D1401" i="2"/>
  <c r="D1402" i="2"/>
  <c r="D1403" i="2"/>
  <c r="D1404" i="2"/>
  <c r="D1405" i="2"/>
  <c r="D1406" i="2"/>
  <c r="D1407" i="2"/>
  <c r="D1408" i="2"/>
  <c r="D1409" i="2"/>
  <c r="D1410" i="2"/>
  <c r="D1411" i="2"/>
  <c r="D1412" i="2"/>
  <c r="D1413" i="2"/>
  <c r="D1414" i="2"/>
  <c r="D1415" i="2"/>
  <c r="D1416" i="2"/>
  <c r="D1417" i="2"/>
  <c r="D1418" i="2"/>
  <c r="D1419" i="2"/>
  <c r="D1420" i="2"/>
  <c r="D1421" i="2"/>
  <c r="D1422" i="2"/>
  <c r="D1423" i="2"/>
  <c r="D1424" i="2"/>
  <c r="D1425" i="2"/>
  <c r="D1426" i="2"/>
  <c r="D1427" i="2"/>
  <c r="D1428" i="2"/>
  <c r="D1429" i="2"/>
  <c r="D1430" i="2"/>
  <c r="D1431" i="2"/>
  <c r="D1432" i="2"/>
  <c r="D1433" i="2"/>
  <c r="D1434" i="2"/>
  <c r="D1435" i="2"/>
  <c r="D1436" i="2"/>
  <c r="D1437" i="2"/>
  <c r="D1438" i="2"/>
  <c r="D1439" i="2"/>
  <c r="D1440" i="2"/>
  <c r="D1441" i="2"/>
  <c r="D1442" i="2"/>
  <c r="D1443" i="2"/>
  <c r="D1444" i="2"/>
  <c r="D1445" i="2"/>
  <c r="D1446" i="2"/>
  <c r="D1447" i="2"/>
  <c r="D1448" i="2"/>
  <c r="D1449" i="2"/>
  <c r="D1450" i="2"/>
  <c r="D1451" i="2"/>
  <c r="D1452" i="2"/>
  <c r="D1453" i="2"/>
  <c r="D1454" i="2"/>
  <c r="D1455" i="2"/>
  <c r="D1456" i="2"/>
  <c r="D1457" i="2"/>
  <c r="D1458" i="2"/>
  <c r="D1459" i="2"/>
  <c r="D1460" i="2"/>
  <c r="D1461" i="2"/>
  <c r="D1462" i="2"/>
  <c r="D1463" i="2"/>
  <c r="D1464" i="2"/>
  <c r="D1465" i="2"/>
  <c r="D1466" i="2"/>
  <c r="D1467" i="2"/>
  <c r="D1468" i="2"/>
  <c r="D1469" i="2"/>
  <c r="D1470" i="2"/>
  <c r="D1471" i="2"/>
  <c r="D1472" i="2"/>
  <c r="D1473" i="2"/>
  <c r="D1474" i="2"/>
  <c r="D1475" i="2"/>
  <c r="D1476" i="2"/>
  <c r="D1477" i="2"/>
  <c r="D1478" i="2"/>
  <c r="D1479" i="2"/>
  <c r="D1480" i="2"/>
  <c r="D1481" i="2"/>
  <c r="D1482" i="2"/>
  <c r="D1483" i="2"/>
  <c r="D1484" i="2"/>
  <c r="D1485" i="2"/>
  <c r="D1486" i="2"/>
  <c r="D1487" i="2"/>
  <c r="D1488" i="2"/>
  <c r="D1489" i="2"/>
  <c r="D1490" i="2"/>
  <c r="D1491" i="2"/>
  <c r="D1492" i="2"/>
  <c r="D1493" i="2"/>
  <c r="D1494" i="2"/>
  <c r="D1495" i="2"/>
  <c r="D1496" i="2"/>
  <c r="D1497" i="2"/>
  <c r="D1498" i="2"/>
  <c r="D1499" i="2"/>
  <c r="D1500" i="2"/>
  <c r="D1501" i="2"/>
  <c r="D1502" i="2"/>
  <c r="D1503" i="2"/>
  <c r="D1504" i="2"/>
  <c r="D1505" i="2"/>
  <c r="D1506" i="2"/>
  <c r="D1507" i="2"/>
  <c r="D1508" i="2"/>
  <c r="D1509" i="2"/>
  <c r="D1510" i="2"/>
  <c r="D1511" i="2"/>
  <c r="D1512" i="2"/>
  <c r="D1513" i="2"/>
  <c r="D1514" i="2"/>
  <c r="D1515" i="2"/>
  <c r="D1516" i="2"/>
  <c r="D1517" i="2"/>
  <c r="D1518" i="2"/>
  <c r="D1519" i="2"/>
  <c r="D1520" i="2"/>
  <c r="D1521" i="2"/>
  <c r="D1522" i="2"/>
  <c r="D1523" i="2"/>
  <c r="D1524" i="2"/>
  <c r="D1525" i="2"/>
  <c r="D1526" i="2"/>
  <c r="D1527" i="2"/>
  <c r="D1528" i="2"/>
  <c r="D1529" i="2"/>
  <c r="D1530" i="2"/>
  <c r="D1531" i="2"/>
  <c r="D1532" i="2"/>
  <c r="D1533" i="2"/>
  <c r="D1534" i="2"/>
  <c r="D1535" i="2"/>
  <c r="D1536" i="2"/>
  <c r="D1537" i="2"/>
  <c r="D1538" i="2"/>
  <c r="D1539" i="2"/>
  <c r="D1540" i="2"/>
  <c r="D1541" i="2"/>
  <c r="D1542" i="2"/>
  <c r="D1543" i="2"/>
  <c r="D1544" i="2"/>
  <c r="D1545" i="2"/>
  <c r="D1546" i="2"/>
  <c r="D1547" i="2"/>
  <c r="D1548" i="2"/>
  <c r="D1549" i="2"/>
  <c r="D1550" i="2"/>
  <c r="D1551" i="2"/>
  <c r="D1552" i="2"/>
  <c r="D1553" i="2"/>
  <c r="D1554" i="2"/>
  <c r="D1555" i="2"/>
  <c r="D1556" i="2"/>
  <c r="D1557" i="2"/>
  <c r="D1558" i="2"/>
  <c r="D1559" i="2"/>
  <c r="D1560" i="2"/>
  <c r="D1561" i="2"/>
  <c r="D1562" i="2"/>
  <c r="D1563" i="2"/>
  <c r="D1564" i="2"/>
  <c r="D1565" i="2"/>
  <c r="D1566" i="2"/>
  <c r="D1567" i="2"/>
  <c r="D1568" i="2"/>
  <c r="D1569" i="2"/>
  <c r="D1570" i="2"/>
  <c r="D1571" i="2"/>
  <c r="D1572" i="2"/>
  <c r="D1573" i="2"/>
  <c r="D1574" i="2"/>
  <c r="D1575" i="2"/>
  <c r="D1576" i="2"/>
  <c r="D1577" i="2"/>
  <c r="D1578" i="2"/>
  <c r="D1579" i="2"/>
  <c r="D1580" i="2"/>
  <c r="D1581" i="2"/>
  <c r="D1582" i="2"/>
  <c r="D1583" i="2"/>
  <c r="D1584" i="2"/>
  <c r="D1585" i="2"/>
  <c r="D1586" i="2"/>
  <c r="D1587" i="2"/>
  <c r="D1588" i="2"/>
  <c r="D1589" i="2"/>
  <c r="D1590" i="2"/>
  <c r="D1591" i="2"/>
  <c r="D1592" i="2"/>
  <c r="D1593" i="2"/>
  <c r="D1594" i="2"/>
  <c r="D1595" i="2"/>
  <c r="D1596" i="2"/>
  <c r="D1597" i="2"/>
  <c r="D1598" i="2"/>
  <c r="D1599" i="2"/>
  <c r="D1600" i="2"/>
  <c r="D1601" i="2"/>
  <c r="D1602" i="2"/>
  <c r="D1603" i="2"/>
  <c r="D1604" i="2"/>
  <c r="D1605" i="2"/>
  <c r="D1606" i="2"/>
  <c r="D1607" i="2"/>
  <c r="D1608" i="2"/>
  <c r="D1609" i="2"/>
  <c r="D1610" i="2"/>
  <c r="D1611" i="2"/>
  <c r="D1612" i="2"/>
  <c r="D1613" i="2"/>
  <c r="D1614" i="2"/>
  <c r="D1615" i="2"/>
  <c r="D1616" i="2"/>
  <c r="D1617" i="2"/>
  <c r="D1618" i="2"/>
  <c r="D1619" i="2"/>
  <c r="D1620" i="2"/>
  <c r="D1621" i="2"/>
  <c r="D1622" i="2"/>
  <c r="D1623" i="2"/>
  <c r="D1624" i="2"/>
  <c r="D1625" i="2"/>
  <c r="D1626" i="2"/>
  <c r="D1627" i="2"/>
  <c r="D1628" i="2"/>
  <c r="D1629" i="2"/>
  <c r="D1630" i="2"/>
  <c r="D1631" i="2"/>
  <c r="D1632" i="2"/>
  <c r="D1633" i="2"/>
  <c r="D1634" i="2"/>
  <c r="D1635" i="2"/>
  <c r="D1636" i="2"/>
  <c r="D1637" i="2"/>
  <c r="D1638" i="2"/>
  <c r="D1639" i="2"/>
  <c r="D1640" i="2"/>
  <c r="D1641" i="2"/>
  <c r="D1642" i="2"/>
  <c r="D1643" i="2"/>
  <c r="D1644" i="2"/>
  <c r="D1645" i="2"/>
  <c r="D1646" i="2"/>
  <c r="D1647" i="2"/>
  <c r="D1648" i="2"/>
  <c r="D1649" i="2"/>
  <c r="D1650" i="2"/>
  <c r="D1651" i="2"/>
  <c r="D1652" i="2"/>
  <c r="D1653" i="2"/>
  <c r="D1654" i="2"/>
  <c r="D1655" i="2"/>
  <c r="D1656" i="2"/>
  <c r="D1657" i="2"/>
  <c r="D1658" i="2"/>
  <c r="D1659" i="2"/>
  <c r="D1660" i="2"/>
  <c r="D1661" i="2"/>
  <c r="D1662" i="2"/>
  <c r="D1663" i="2"/>
  <c r="D1664" i="2"/>
  <c r="D1665" i="2"/>
  <c r="D1666" i="2"/>
  <c r="D1667" i="2"/>
  <c r="D1668" i="2"/>
  <c r="D1669" i="2"/>
  <c r="D1670" i="2"/>
  <c r="D1671" i="2"/>
  <c r="D1672" i="2"/>
  <c r="D1673" i="2"/>
  <c r="D1674" i="2"/>
  <c r="D1675" i="2"/>
  <c r="D1676" i="2"/>
  <c r="D1677" i="2"/>
  <c r="D1678" i="2"/>
  <c r="D1679" i="2"/>
  <c r="D1680" i="2"/>
  <c r="D1681" i="2"/>
  <c r="D1682" i="2"/>
  <c r="D1683" i="2"/>
  <c r="D1684" i="2"/>
  <c r="D1685" i="2"/>
  <c r="D1686" i="2"/>
  <c r="D1687" i="2"/>
  <c r="D1688" i="2"/>
  <c r="D1689" i="2"/>
  <c r="D1690" i="2"/>
  <c r="D1691" i="2"/>
  <c r="D1692" i="2"/>
  <c r="D1693" i="2"/>
  <c r="D1694" i="2"/>
  <c r="D1695" i="2"/>
  <c r="D1696" i="2"/>
  <c r="D1697" i="2"/>
  <c r="D1698" i="2"/>
  <c r="D1699" i="2"/>
  <c r="D1700" i="2"/>
  <c r="D1701" i="2"/>
  <c r="D1702" i="2"/>
  <c r="D1703" i="2"/>
  <c r="D1704" i="2"/>
  <c r="D1705" i="2"/>
  <c r="D1706" i="2"/>
  <c r="D1707" i="2"/>
  <c r="D1708" i="2"/>
  <c r="D1709" i="2"/>
  <c r="D1710" i="2"/>
  <c r="D1711" i="2"/>
  <c r="D1712" i="2"/>
  <c r="D1713" i="2"/>
  <c r="D1714" i="2"/>
  <c r="D1715" i="2"/>
  <c r="D1716" i="2"/>
  <c r="D1717" i="2"/>
  <c r="D1718" i="2"/>
  <c r="D1719" i="2"/>
  <c r="D1720" i="2"/>
  <c r="D1721" i="2"/>
  <c r="D1722" i="2"/>
  <c r="D1723" i="2"/>
  <c r="D1724" i="2"/>
  <c r="D1725" i="2"/>
  <c r="D1726" i="2"/>
  <c r="D1727" i="2"/>
  <c r="D1728" i="2"/>
  <c r="D1729" i="2"/>
  <c r="D1730" i="2"/>
  <c r="D1731" i="2"/>
  <c r="D1732" i="2"/>
  <c r="D1733" i="2"/>
  <c r="D1734" i="2"/>
  <c r="D1735" i="2"/>
  <c r="D1736" i="2"/>
  <c r="D1737" i="2"/>
  <c r="D1738" i="2"/>
  <c r="D1739" i="2"/>
  <c r="D1740" i="2"/>
  <c r="D1741" i="2"/>
  <c r="D1742" i="2"/>
  <c r="D1743" i="2"/>
  <c r="D1744" i="2"/>
  <c r="D1745" i="2"/>
  <c r="D1746" i="2"/>
  <c r="D1747" i="2"/>
  <c r="D1748" i="2"/>
  <c r="D1749" i="2"/>
  <c r="D1750" i="2"/>
  <c r="D1751" i="2"/>
  <c r="D1752" i="2"/>
  <c r="D1753" i="2"/>
  <c r="D1754" i="2"/>
  <c r="D1755" i="2"/>
  <c r="D1756" i="2"/>
  <c r="D1757" i="2"/>
  <c r="D1758" i="2"/>
  <c r="D1759" i="2"/>
  <c r="D1760" i="2"/>
  <c r="D1761" i="2"/>
  <c r="D1762" i="2"/>
  <c r="D1763" i="2"/>
  <c r="D1764" i="2"/>
  <c r="D1765" i="2"/>
  <c r="D1766" i="2"/>
  <c r="D1767" i="2"/>
  <c r="D1768" i="2"/>
  <c r="D1769" i="2"/>
  <c r="D1770" i="2"/>
  <c r="D1771" i="2"/>
  <c r="D1772" i="2"/>
  <c r="D1773" i="2"/>
  <c r="D1774" i="2"/>
  <c r="D1775" i="2"/>
  <c r="D1776" i="2"/>
  <c r="D1777" i="2"/>
  <c r="D1778" i="2"/>
  <c r="D1779" i="2"/>
  <c r="D1780" i="2"/>
  <c r="D1781" i="2"/>
  <c r="D1782" i="2"/>
  <c r="D1783" i="2"/>
  <c r="D1784" i="2"/>
  <c r="D1785" i="2"/>
  <c r="D1786" i="2"/>
  <c r="D1787" i="2"/>
  <c r="D1788" i="2"/>
  <c r="D1789" i="2"/>
  <c r="D1790" i="2"/>
  <c r="D1791" i="2"/>
  <c r="D1792" i="2"/>
  <c r="D1793" i="2"/>
  <c r="D1794" i="2"/>
  <c r="D1795" i="2"/>
  <c r="D1796" i="2"/>
  <c r="D1797" i="2"/>
  <c r="D1798" i="2"/>
  <c r="D1799" i="2"/>
  <c r="D1800" i="2"/>
  <c r="D1801" i="2"/>
  <c r="D1802" i="2"/>
  <c r="D1803" i="2"/>
  <c r="D1804" i="2"/>
  <c r="D1805" i="2"/>
  <c r="D1806" i="2"/>
  <c r="D1807" i="2"/>
  <c r="D1808" i="2"/>
  <c r="D1809" i="2"/>
  <c r="D1810" i="2"/>
  <c r="D1811" i="2"/>
  <c r="D1812" i="2"/>
  <c r="D1813" i="2"/>
  <c r="D1814" i="2"/>
  <c r="D1815" i="2"/>
  <c r="D1816" i="2"/>
  <c r="D1817" i="2"/>
  <c r="D1818" i="2"/>
  <c r="D1819" i="2"/>
  <c r="D1820" i="2"/>
  <c r="D1821" i="2"/>
  <c r="D1822" i="2"/>
  <c r="D1823" i="2"/>
  <c r="D1824" i="2"/>
  <c r="D1825" i="2"/>
  <c r="D1826" i="2"/>
  <c r="D1827" i="2"/>
  <c r="D1828" i="2"/>
  <c r="D1829" i="2"/>
  <c r="D1830" i="2"/>
  <c r="D1831" i="2"/>
  <c r="D1832" i="2"/>
  <c r="D1833" i="2"/>
  <c r="D1834" i="2"/>
  <c r="D1835" i="2"/>
  <c r="D1836" i="2"/>
  <c r="D1837" i="2"/>
  <c r="D1838" i="2"/>
  <c r="D1839" i="2"/>
  <c r="D1840" i="2"/>
  <c r="D1841" i="2"/>
  <c r="D1842" i="2"/>
  <c r="D1843" i="2"/>
  <c r="D1844" i="2"/>
  <c r="D1845" i="2"/>
  <c r="D1846" i="2"/>
  <c r="D1847" i="2"/>
  <c r="D1848" i="2"/>
  <c r="D1849" i="2"/>
  <c r="D1850" i="2"/>
  <c r="D1851" i="2"/>
  <c r="D1852" i="2"/>
  <c r="D1853" i="2"/>
  <c r="D1854" i="2"/>
  <c r="D1855" i="2"/>
  <c r="D1856" i="2"/>
  <c r="D1857" i="2"/>
  <c r="D1858" i="2"/>
  <c r="D1859" i="2"/>
  <c r="D1860" i="2"/>
  <c r="D1861" i="2"/>
  <c r="D1862" i="2"/>
  <c r="D1863" i="2"/>
  <c r="D1864" i="2"/>
  <c r="D1865" i="2"/>
  <c r="D1866" i="2"/>
  <c r="D1867" i="2"/>
  <c r="D1868" i="2"/>
  <c r="D1869" i="2"/>
  <c r="D1870" i="2"/>
  <c r="D1871" i="2"/>
  <c r="D1872" i="2"/>
  <c r="D1873" i="2"/>
  <c r="D1874" i="2"/>
  <c r="D1875" i="2"/>
  <c r="D1876" i="2"/>
  <c r="D1877" i="2"/>
  <c r="D1878" i="2"/>
  <c r="D1879" i="2"/>
  <c r="D1880" i="2"/>
  <c r="D1881" i="2"/>
  <c r="D1882" i="2"/>
  <c r="D1883" i="2"/>
  <c r="D1884" i="2"/>
  <c r="D1885" i="2"/>
  <c r="D1886" i="2"/>
  <c r="D1887" i="2"/>
  <c r="D1888" i="2"/>
  <c r="D1889" i="2"/>
  <c r="D1890" i="2"/>
  <c r="D1891" i="2"/>
  <c r="D1892" i="2"/>
  <c r="D1893" i="2"/>
  <c r="D1894" i="2"/>
  <c r="D1895" i="2"/>
  <c r="D1896" i="2"/>
  <c r="D1897" i="2"/>
  <c r="D1898" i="2"/>
  <c r="D1899" i="2"/>
  <c r="D1900" i="2"/>
  <c r="D1901" i="2"/>
  <c r="D1902" i="2"/>
  <c r="D1903" i="2"/>
  <c r="D1904" i="2"/>
  <c r="D1905" i="2"/>
  <c r="D1906" i="2"/>
  <c r="D1907" i="2"/>
  <c r="D1908" i="2"/>
  <c r="D1909" i="2"/>
  <c r="D1910" i="2"/>
  <c r="D1911" i="2"/>
  <c r="D1912" i="2"/>
  <c r="D1913" i="2"/>
  <c r="D1914" i="2"/>
  <c r="D1915" i="2"/>
  <c r="D1916" i="2"/>
  <c r="D1917" i="2"/>
  <c r="D1918" i="2"/>
  <c r="D1919" i="2"/>
  <c r="D1920" i="2"/>
  <c r="D1921" i="2"/>
  <c r="D1922" i="2"/>
  <c r="D1923" i="2"/>
  <c r="D1924" i="2"/>
  <c r="D1925" i="2"/>
  <c r="D1926" i="2"/>
  <c r="D1927" i="2"/>
  <c r="D1928" i="2"/>
  <c r="D1929" i="2"/>
  <c r="D1930" i="2"/>
  <c r="D1931" i="2"/>
  <c r="D1932" i="2"/>
  <c r="D1933" i="2"/>
  <c r="D1934" i="2"/>
  <c r="D1935" i="2"/>
  <c r="D1936" i="2"/>
  <c r="D1937" i="2"/>
  <c r="D1938" i="2"/>
  <c r="D1939" i="2"/>
  <c r="D1940" i="2"/>
  <c r="D1941" i="2"/>
  <c r="D1942" i="2"/>
  <c r="D1943" i="2"/>
  <c r="D1944" i="2"/>
  <c r="D1945" i="2"/>
  <c r="D1946" i="2"/>
  <c r="D1947" i="2"/>
  <c r="D1948" i="2"/>
  <c r="D1949" i="2"/>
  <c r="D1950" i="2"/>
  <c r="D1951" i="2"/>
  <c r="D1952" i="2"/>
  <c r="D1953" i="2"/>
  <c r="D1954" i="2"/>
  <c r="D1955" i="2"/>
  <c r="D1956" i="2"/>
  <c r="D1957" i="2"/>
  <c r="D1958" i="2"/>
  <c r="D1959" i="2"/>
  <c r="D1960" i="2"/>
  <c r="D1961" i="2"/>
  <c r="D1962" i="2"/>
  <c r="D1963" i="2"/>
  <c r="D1964" i="2"/>
  <c r="D1965" i="2"/>
  <c r="D1966" i="2"/>
  <c r="D1967" i="2"/>
  <c r="D1968" i="2"/>
  <c r="D1969" i="2"/>
  <c r="D1970" i="2"/>
  <c r="D1971" i="2"/>
  <c r="D1972" i="2"/>
  <c r="D1973" i="2"/>
  <c r="D1974" i="2"/>
  <c r="D1975" i="2"/>
  <c r="D1976" i="2"/>
  <c r="D1977" i="2"/>
  <c r="D1978" i="2"/>
  <c r="D1979" i="2"/>
  <c r="D1980" i="2"/>
  <c r="D1981" i="2"/>
  <c r="D1982" i="2"/>
  <c r="D1983" i="2"/>
  <c r="D1984" i="2"/>
  <c r="D1985" i="2"/>
  <c r="D1986" i="2"/>
  <c r="D1987" i="2"/>
  <c r="D1988" i="2"/>
  <c r="D1989" i="2"/>
  <c r="D1990" i="2"/>
  <c r="D1991" i="2"/>
  <c r="D1992" i="2"/>
  <c r="D1993" i="2"/>
  <c r="D1994" i="2"/>
  <c r="D1995" i="2"/>
  <c r="D1996" i="2"/>
  <c r="D1997" i="2"/>
  <c r="D1998" i="2"/>
  <c r="D1999" i="2"/>
  <c r="D2000" i="2"/>
  <c r="D2001" i="2"/>
  <c r="D2002" i="2"/>
  <c r="D2003" i="2"/>
  <c r="D2004" i="2"/>
  <c r="D2005" i="2"/>
  <c r="D2006" i="2"/>
  <c r="D2007" i="2"/>
  <c r="D2008" i="2"/>
  <c r="D2009" i="2"/>
  <c r="D2010" i="2"/>
  <c r="D2011" i="2"/>
  <c r="D2012" i="2"/>
  <c r="D2013" i="2"/>
  <c r="D2014" i="2"/>
  <c r="D2015" i="2"/>
  <c r="D2016" i="2"/>
  <c r="D2017" i="2"/>
  <c r="D2018" i="2"/>
  <c r="D2019" i="2"/>
  <c r="D2020" i="2"/>
  <c r="D2021" i="2"/>
  <c r="D2022" i="2"/>
  <c r="D2023" i="2"/>
  <c r="D2024" i="2"/>
  <c r="D2025" i="2"/>
  <c r="D2026" i="2"/>
  <c r="D2027" i="2"/>
  <c r="D2028" i="2"/>
  <c r="D2029" i="2"/>
  <c r="D2030" i="2"/>
  <c r="D2031" i="2"/>
  <c r="D2032" i="2"/>
  <c r="D2033" i="2"/>
  <c r="D2034" i="2"/>
  <c r="D2035" i="2"/>
  <c r="D2036" i="2"/>
  <c r="D2037" i="2"/>
  <c r="D2038" i="2"/>
  <c r="D2039" i="2"/>
  <c r="D2040" i="2"/>
  <c r="D2041" i="2"/>
  <c r="D2042" i="2"/>
  <c r="D2043" i="2"/>
  <c r="D2044" i="2"/>
  <c r="D2045" i="2"/>
  <c r="D2046" i="2"/>
  <c r="D2047" i="2"/>
  <c r="D2048" i="2"/>
  <c r="D2049" i="2"/>
  <c r="D2050" i="2"/>
  <c r="D2051" i="2"/>
  <c r="D2052" i="2"/>
  <c r="D2053" i="2"/>
  <c r="D2054" i="2"/>
  <c r="D2055" i="2"/>
  <c r="D2056" i="2"/>
  <c r="D2057" i="2"/>
  <c r="D2058" i="2"/>
  <c r="D2059" i="2"/>
  <c r="D2060" i="2"/>
  <c r="D2061" i="2"/>
  <c r="D2062" i="2"/>
  <c r="D2063" i="2"/>
  <c r="D2064" i="2"/>
  <c r="D2065" i="2"/>
  <c r="D2066" i="2"/>
  <c r="D2067" i="2"/>
  <c r="D2068" i="2"/>
  <c r="D2069" i="2"/>
  <c r="D2070" i="2"/>
  <c r="D2071" i="2"/>
  <c r="D2072" i="2"/>
  <c r="D2073" i="2"/>
  <c r="D2074" i="2"/>
  <c r="D2075" i="2"/>
  <c r="D2076" i="2"/>
  <c r="D2077" i="2"/>
  <c r="D2078" i="2"/>
  <c r="D2079" i="2"/>
  <c r="D2080" i="2"/>
  <c r="D2081" i="2"/>
  <c r="D2082" i="2"/>
  <c r="D2083" i="2"/>
  <c r="D2084" i="2"/>
  <c r="D2085" i="2"/>
  <c r="D2086" i="2"/>
  <c r="D2087" i="2"/>
  <c r="D2088" i="2"/>
  <c r="D2089" i="2"/>
  <c r="D2090" i="2"/>
  <c r="D2091" i="2"/>
  <c r="D2092" i="2"/>
  <c r="D2093" i="2"/>
  <c r="D2094" i="2"/>
  <c r="D2095" i="2"/>
  <c r="D2096" i="2"/>
  <c r="D2097" i="2"/>
  <c r="D2098" i="2"/>
  <c r="D2099" i="2"/>
  <c r="D2100" i="2"/>
  <c r="D2101" i="2"/>
  <c r="D2102" i="2"/>
  <c r="D2103" i="2"/>
  <c r="D2104" i="2"/>
  <c r="D2105" i="2"/>
  <c r="D2106" i="2"/>
  <c r="D2107" i="2"/>
  <c r="D2108" i="2"/>
  <c r="D2109" i="2"/>
  <c r="D2110" i="2"/>
  <c r="D2111" i="2"/>
  <c r="D2112" i="2"/>
  <c r="D2113" i="2"/>
  <c r="D2114" i="2"/>
  <c r="D2115" i="2"/>
  <c r="D2116" i="2"/>
  <c r="D2117" i="2"/>
  <c r="D2118" i="2"/>
  <c r="D2119" i="2"/>
  <c r="D2120" i="2"/>
  <c r="D2121" i="2"/>
  <c r="D2122" i="2"/>
  <c r="D2123" i="2"/>
  <c r="D2124" i="2"/>
  <c r="D2125" i="2"/>
  <c r="D2126" i="2"/>
  <c r="D2127" i="2"/>
  <c r="D2128" i="2"/>
  <c r="D2129" i="2"/>
  <c r="D2130" i="2"/>
  <c r="D2131" i="2"/>
  <c r="D2132" i="2"/>
  <c r="D2133" i="2"/>
  <c r="D2134" i="2"/>
  <c r="D2135" i="2"/>
  <c r="D2136" i="2"/>
  <c r="D2137" i="2"/>
  <c r="D2138" i="2"/>
  <c r="D2139" i="2"/>
  <c r="D2140" i="2"/>
  <c r="D2141" i="2"/>
  <c r="D2142" i="2"/>
  <c r="D2143" i="2"/>
  <c r="D2144" i="2"/>
  <c r="D2145" i="2"/>
  <c r="D2146" i="2"/>
  <c r="D2147" i="2"/>
  <c r="D2148" i="2"/>
  <c r="D2149" i="2"/>
  <c r="D2150" i="2"/>
  <c r="D2151" i="2"/>
  <c r="D2152" i="2"/>
  <c r="D2153" i="2"/>
  <c r="D2154" i="2"/>
  <c r="D2155" i="2"/>
  <c r="D2156" i="2"/>
  <c r="D2157" i="2"/>
  <c r="D2158" i="2"/>
  <c r="D2159" i="2"/>
  <c r="D2160" i="2"/>
  <c r="D2161" i="2"/>
  <c r="D2162" i="2"/>
  <c r="D2163" i="2"/>
  <c r="D2164" i="2"/>
  <c r="D2165" i="2"/>
  <c r="D2166" i="2"/>
  <c r="D2167" i="2"/>
  <c r="D2168" i="2"/>
  <c r="D2169" i="2"/>
  <c r="D2170" i="2"/>
  <c r="D2171" i="2"/>
  <c r="D2172" i="2"/>
  <c r="D2173" i="2"/>
  <c r="D2174" i="2"/>
  <c r="D2175" i="2"/>
  <c r="D2176" i="2"/>
  <c r="D2177" i="2"/>
  <c r="D2178" i="2"/>
  <c r="D2179" i="2"/>
  <c r="D2180" i="2"/>
  <c r="D2181" i="2"/>
  <c r="D2182" i="2"/>
  <c r="D2183" i="2"/>
  <c r="D2184" i="2"/>
  <c r="D2185" i="2"/>
  <c r="D2186" i="2"/>
  <c r="D2187" i="2"/>
  <c r="D2188" i="2"/>
  <c r="D2189" i="2"/>
  <c r="D2190" i="2"/>
  <c r="D2191" i="2"/>
  <c r="D2192" i="2"/>
  <c r="D2193" i="2"/>
  <c r="D2194" i="2"/>
  <c r="D2195" i="2"/>
  <c r="D2196" i="2"/>
  <c r="D2197" i="2"/>
  <c r="D2198" i="2"/>
  <c r="D2199" i="2"/>
  <c r="D2200" i="2"/>
  <c r="D2201" i="2"/>
  <c r="D2202" i="2"/>
  <c r="D2203" i="2"/>
  <c r="D2204" i="2"/>
  <c r="D2205" i="2"/>
  <c r="D2206" i="2"/>
  <c r="D2207" i="2"/>
  <c r="D2208" i="2"/>
  <c r="D2209" i="2"/>
  <c r="D2210" i="2"/>
  <c r="D2211" i="2"/>
  <c r="D2212" i="2"/>
  <c r="D2213" i="2"/>
  <c r="D2214" i="2"/>
  <c r="D2215" i="2"/>
  <c r="D2216" i="2"/>
  <c r="D2217" i="2"/>
  <c r="D2218" i="2"/>
  <c r="D2219" i="2"/>
  <c r="D2220" i="2"/>
  <c r="D2221" i="2"/>
  <c r="D2222" i="2"/>
  <c r="D2223" i="2"/>
  <c r="D2224" i="2"/>
  <c r="D2225" i="2"/>
  <c r="D2226" i="2"/>
  <c r="D2227" i="2"/>
  <c r="D2228" i="2"/>
  <c r="D2229" i="2"/>
  <c r="D2230" i="2"/>
  <c r="D2231" i="2"/>
  <c r="D2232" i="2"/>
  <c r="D2233" i="2"/>
  <c r="D2234" i="2"/>
  <c r="D2235" i="2"/>
  <c r="D2236" i="2"/>
  <c r="D2237" i="2"/>
  <c r="D2238" i="2"/>
  <c r="D2239" i="2"/>
  <c r="D2240" i="2"/>
  <c r="D2241" i="2"/>
  <c r="D2242" i="2"/>
  <c r="D2243" i="2"/>
  <c r="D2244" i="2"/>
  <c r="D2245" i="2"/>
  <c r="D2246" i="2"/>
  <c r="D2247" i="2"/>
  <c r="D2248" i="2"/>
  <c r="D2249" i="2"/>
  <c r="D2250" i="2"/>
  <c r="D2251" i="2"/>
  <c r="D2252" i="2"/>
  <c r="D2253" i="2"/>
  <c r="D2254" i="2"/>
  <c r="D2255" i="2"/>
  <c r="D2256" i="2"/>
  <c r="D2257" i="2"/>
  <c r="D2258" i="2"/>
  <c r="D2259" i="2"/>
  <c r="D2260" i="2"/>
  <c r="D2261" i="2"/>
  <c r="D2262" i="2"/>
  <c r="D2263" i="2"/>
  <c r="D2264" i="2"/>
  <c r="D2265" i="2"/>
  <c r="D2266" i="2"/>
  <c r="D2267" i="2"/>
  <c r="D2268" i="2"/>
  <c r="D2269" i="2"/>
  <c r="D2270" i="2"/>
  <c r="D2271" i="2"/>
  <c r="D2272" i="2"/>
  <c r="D2273" i="2"/>
  <c r="D2274" i="2"/>
  <c r="D2275" i="2"/>
  <c r="D2276" i="2"/>
  <c r="D2277" i="2"/>
  <c r="D2278" i="2"/>
  <c r="D2279" i="2"/>
  <c r="D2280" i="2"/>
  <c r="D2281" i="2"/>
  <c r="D2282" i="2"/>
  <c r="D2283" i="2"/>
  <c r="D2284" i="2"/>
  <c r="D2285" i="2"/>
  <c r="D2286" i="2"/>
  <c r="D2287" i="2"/>
  <c r="D2288" i="2"/>
  <c r="D2289" i="2"/>
  <c r="D2290" i="2"/>
  <c r="D2291" i="2"/>
  <c r="D2292" i="2"/>
  <c r="D2293" i="2"/>
  <c r="D2294" i="2"/>
  <c r="D2295" i="2"/>
  <c r="D2296" i="2"/>
  <c r="D2297" i="2"/>
  <c r="D2298" i="2"/>
  <c r="D2299" i="2"/>
  <c r="D2300" i="2"/>
  <c r="D2301" i="2"/>
  <c r="D2302" i="2"/>
  <c r="D2303" i="2"/>
  <c r="D2304" i="2"/>
  <c r="D2305" i="2"/>
  <c r="D2306" i="2"/>
  <c r="D2307" i="2"/>
  <c r="D2308" i="2"/>
  <c r="D2309" i="2"/>
  <c r="D2310" i="2"/>
  <c r="D2311" i="2"/>
  <c r="D2312" i="2"/>
  <c r="D2313" i="2"/>
  <c r="D2314" i="2"/>
  <c r="D2315" i="2"/>
  <c r="D2316" i="2"/>
  <c r="D2317" i="2"/>
  <c r="D2318" i="2"/>
  <c r="D2319" i="2"/>
  <c r="D2320" i="2"/>
  <c r="D2321" i="2"/>
  <c r="D2322" i="2"/>
  <c r="D2323" i="2"/>
  <c r="D2324" i="2"/>
  <c r="D2325" i="2"/>
  <c r="D2326" i="2"/>
  <c r="D2327" i="2"/>
  <c r="D2328" i="2"/>
  <c r="D2329" i="2"/>
  <c r="D2330" i="2"/>
  <c r="D2331" i="2"/>
  <c r="D2332" i="2"/>
  <c r="D2333" i="2"/>
  <c r="D2334" i="2"/>
  <c r="D2335" i="2"/>
  <c r="D2336" i="2"/>
  <c r="D2337" i="2"/>
  <c r="D2338" i="2"/>
  <c r="D2339" i="2"/>
  <c r="D2340" i="2"/>
  <c r="D2341" i="2"/>
  <c r="D2342" i="2"/>
  <c r="D2343" i="2"/>
  <c r="D2344" i="2"/>
  <c r="D2345" i="2"/>
  <c r="D2346" i="2"/>
  <c r="D2347" i="2"/>
  <c r="D2348" i="2"/>
  <c r="D2349" i="2"/>
  <c r="D2350" i="2"/>
  <c r="D2351" i="2"/>
  <c r="D2352" i="2"/>
  <c r="D2353" i="2"/>
  <c r="D2354" i="2"/>
  <c r="D2355" i="2"/>
  <c r="D2356" i="2"/>
  <c r="D2357" i="2"/>
  <c r="D2358" i="2"/>
  <c r="D2359" i="2"/>
  <c r="D2360" i="2"/>
  <c r="D2361" i="2"/>
  <c r="D2362" i="2"/>
  <c r="D2363" i="2"/>
  <c r="D2364" i="2"/>
  <c r="D2365" i="2"/>
  <c r="D2366" i="2"/>
  <c r="D2367" i="2"/>
  <c r="D2368" i="2"/>
  <c r="D2369" i="2"/>
  <c r="D2370" i="2"/>
  <c r="D2371" i="2"/>
  <c r="D2372" i="2"/>
  <c r="D2373" i="2"/>
  <c r="D2374" i="2"/>
  <c r="D2375" i="2"/>
  <c r="D2376" i="2"/>
  <c r="D2377" i="2"/>
  <c r="D2378" i="2"/>
  <c r="D2379" i="2"/>
  <c r="D2380" i="2"/>
  <c r="D2381" i="2"/>
  <c r="D2382" i="2"/>
  <c r="D2383" i="2"/>
  <c r="D2384" i="2"/>
  <c r="D2385" i="2"/>
  <c r="D2386" i="2"/>
  <c r="D2387" i="2"/>
  <c r="D2388" i="2"/>
  <c r="D2389" i="2"/>
  <c r="D2390" i="2"/>
  <c r="D2391" i="2"/>
  <c r="D2392" i="2"/>
  <c r="D2393" i="2"/>
  <c r="D2394" i="2"/>
  <c r="D2395" i="2"/>
  <c r="D2396" i="2"/>
  <c r="D2397" i="2"/>
  <c r="D2398" i="2"/>
  <c r="D2399" i="2"/>
  <c r="D2400" i="2"/>
  <c r="D2401" i="2"/>
  <c r="D2402" i="2"/>
  <c r="D2403" i="2"/>
  <c r="D2404" i="2"/>
  <c r="D2405" i="2"/>
  <c r="D2406" i="2"/>
  <c r="D2407" i="2"/>
  <c r="D2408" i="2"/>
  <c r="D2409" i="2"/>
  <c r="D2410" i="2"/>
  <c r="D2411" i="2"/>
  <c r="D2412" i="2"/>
  <c r="D2413" i="2"/>
  <c r="D2414" i="2"/>
  <c r="D2415" i="2"/>
  <c r="D2416" i="2"/>
  <c r="D2417" i="2"/>
  <c r="D2418" i="2"/>
  <c r="D2419" i="2"/>
  <c r="D2420" i="2"/>
  <c r="D2421" i="2"/>
  <c r="D2422" i="2"/>
  <c r="D2423" i="2"/>
  <c r="D2424" i="2"/>
  <c r="D2425" i="2"/>
  <c r="D2426" i="2"/>
  <c r="D2427" i="2"/>
  <c r="D2428" i="2"/>
  <c r="D2429" i="2"/>
  <c r="D2430" i="2"/>
  <c r="D2431" i="2"/>
  <c r="D2432" i="2"/>
  <c r="D2433" i="2"/>
  <c r="D2434" i="2"/>
  <c r="D2435" i="2"/>
  <c r="D2436" i="2"/>
  <c r="D2437" i="2"/>
  <c r="D2438" i="2"/>
  <c r="D2439" i="2"/>
  <c r="D2440" i="2"/>
  <c r="D2441" i="2"/>
  <c r="D2442" i="2"/>
  <c r="D2443" i="2"/>
  <c r="D2444" i="2"/>
  <c r="D2445" i="2"/>
  <c r="D2446" i="2"/>
  <c r="D2447" i="2"/>
  <c r="D2448" i="2"/>
  <c r="D2449" i="2"/>
  <c r="D2450" i="2"/>
  <c r="D2451" i="2"/>
  <c r="D2452" i="2"/>
  <c r="D2453" i="2"/>
  <c r="D2454" i="2"/>
  <c r="D2455" i="2"/>
  <c r="D2456" i="2"/>
  <c r="D2457" i="2"/>
  <c r="D2458" i="2"/>
  <c r="D2459" i="2"/>
  <c r="D2460" i="2"/>
  <c r="D2461" i="2"/>
  <c r="D2462" i="2"/>
  <c r="D2463" i="2"/>
  <c r="D2464" i="2"/>
  <c r="D2465" i="2"/>
  <c r="D2466" i="2"/>
  <c r="D2467" i="2"/>
  <c r="D2468" i="2"/>
  <c r="D2469" i="2"/>
  <c r="D2470" i="2"/>
  <c r="D2471" i="2"/>
  <c r="D2472" i="2"/>
  <c r="D2473" i="2"/>
  <c r="D2474" i="2"/>
  <c r="D2475" i="2"/>
  <c r="D2476" i="2"/>
  <c r="D2477" i="2"/>
  <c r="D2478" i="2"/>
  <c r="D2479" i="2"/>
  <c r="D2480" i="2"/>
  <c r="D2481" i="2"/>
  <c r="D2482" i="2"/>
  <c r="D2483" i="2"/>
  <c r="D2484" i="2"/>
  <c r="D2485" i="2"/>
  <c r="D2486" i="2"/>
  <c r="D2487" i="2"/>
  <c r="D2488" i="2"/>
  <c r="D2489" i="2"/>
  <c r="D2490" i="2"/>
  <c r="D2491" i="2"/>
  <c r="D2492" i="2"/>
  <c r="D2493" i="2"/>
  <c r="D2494" i="2"/>
  <c r="D2495" i="2"/>
  <c r="D2496" i="2"/>
  <c r="D2497" i="2"/>
  <c r="D2498" i="2"/>
  <c r="D2499" i="2"/>
  <c r="D2500" i="2"/>
  <c r="D2501" i="2"/>
  <c r="D2502" i="2"/>
  <c r="D2503" i="2"/>
  <c r="D2504" i="2"/>
  <c r="D2505" i="2"/>
  <c r="D2506" i="2"/>
  <c r="D2507" i="2"/>
  <c r="D2508" i="2"/>
  <c r="D2509" i="2"/>
  <c r="D2510" i="2"/>
  <c r="D2511" i="2"/>
  <c r="D2512" i="2"/>
  <c r="D2513" i="2"/>
  <c r="D2514" i="2"/>
  <c r="D2515" i="2"/>
  <c r="D2516" i="2"/>
  <c r="D2517" i="2"/>
  <c r="D2518" i="2"/>
  <c r="D2519" i="2"/>
  <c r="D2520" i="2"/>
  <c r="D2521" i="2"/>
  <c r="D2522" i="2"/>
  <c r="D2523" i="2"/>
  <c r="D2524" i="2"/>
  <c r="D2525" i="2"/>
  <c r="D2526" i="2"/>
  <c r="D2527" i="2"/>
  <c r="D2528" i="2"/>
  <c r="D2529" i="2"/>
  <c r="D2530" i="2"/>
  <c r="D2531" i="2"/>
  <c r="D2532" i="2"/>
  <c r="D2533" i="2"/>
  <c r="D2534" i="2"/>
  <c r="D2535" i="2"/>
  <c r="D2536" i="2"/>
  <c r="D2537" i="2"/>
  <c r="D2538" i="2"/>
  <c r="D2539" i="2"/>
  <c r="D2540" i="2"/>
  <c r="D2541" i="2"/>
  <c r="D2542" i="2"/>
  <c r="D2543" i="2"/>
  <c r="D2544" i="2"/>
  <c r="D2545" i="2"/>
  <c r="D2546" i="2"/>
  <c r="D2547" i="2"/>
  <c r="D2548" i="2"/>
  <c r="D2549" i="2"/>
  <c r="D2550" i="2"/>
  <c r="D2551" i="2"/>
  <c r="D2552" i="2"/>
  <c r="D2553" i="2"/>
  <c r="D2554" i="2"/>
  <c r="D2555" i="2"/>
  <c r="D2556" i="2"/>
  <c r="D2557" i="2"/>
  <c r="D2558" i="2"/>
  <c r="D2559" i="2"/>
  <c r="D2560" i="2"/>
  <c r="D2561" i="2"/>
  <c r="D2562" i="2"/>
  <c r="D2563" i="2"/>
  <c r="D2564" i="2"/>
  <c r="D2565" i="2"/>
  <c r="D2566" i="2"/>
  <c r="D2567" i="2"/>
  <c r="D2568" i="2"/>
  <c r="D2569" i="2"/>
  <c r="D2570" i="2"/>
  <c r="D2571" i="2"/>
  <c r="D2572" i="2"/>
  <c r="D2573" i="2"/>
  <c r="D2574" i="2"/>
  <c r="D2575" i="2"/>
  <c r="D2576" i="2"/>
  <c r="D2577" i="2"/>
  <c r="D2578" i="2"/>
  <c r="D2579" i="2"/>
  <c r="D2580" i="2"/>
  <c r="D2581" i="2"/>
  <c r="D2582" i="2"/>
  <c r="D2583" i="2"/>
  <c r="D2584" i="2"/>
  <c r="D2585" i="2"/>
  <c r="D2586" i="2"/>
  <c r="D2587" i="2"/>
  <c r="D2588" i="2"/>
  <c r="D2589" i="2"/>
  <c r="D2590" i="2"/>
  <c r="D2591" i="2"/>
  <c r="D2592" i="2"/>
  <c r="D2593" i="2"/>
  <c r="D2594" i="2"/>
  <c r="D2595" i="2"/>
  <c r="D2596" i="2"/>
  <c r="D2597" i="2"/>
  <c r="D2598" i="2"/>
  <c r="D2599" i="2"/>
  <c r="D2600" i="2"/>
  <c r="D2601" i="2"/>
  <c r="D2602" i="2"/>
  <c r="D2603" i="2"/>
  <c r="D2604" i="2"/>
  <c r="D2605" i="2"/>
  <c r="D2606" i="2"/>
  <c r="D2607" i="2"/>
  <c r="D2608" i="2"/>
  <c r="D2609" i="2"/>
  <c r="D2610" i="2"/>
  <c r="D2611" i="2"/>
  <c r="D2612" i="2"/>
  <c r="D2613" i="2"/>
  <c r="D2614" i="2"/>
  <c r="D2615" i="2"/>
  <c r="D2616" i="2"/>
  <c r="D2617" i="2"/>
  <c r="D2618" i="2"/>
  <c r="D2619" i="2"/>
  <c r="D2620" i="2"/>
  <c r="D2621" i="2"/>
  <c r="D2622" i="2"/>
  <c r="D2623" i="2"/>
  <c r="D2624" i="2"/>
  <c r="D2625" i="2"/>
  <c r="D2626" i="2"/>
  <c r="D2627" i="2"/>
  <c r="D2628" i="2"/>
  <c r="D2629" i="2"/>
  <c r="D2630" i="2"/>
  <c r="D2631" i="2"/>
  <c r="D2632" i="2"/>
  <c r="D2633" i="2"/>
  <c r="D2634" i="2"/>
  <c r="D2635" i="2"/>
  <c r="D2636" i="2"/>
  <c r="D2637" i="2"/>
  <c r="D2638" i="2"/>
  <c r="D2639" i="2"/>
  <c r="D2640" i="2"/>
  <c r="D2641" i="2"/>
  <c r="D2642" i="2"/>
  <c r="D2643" i="2"/>
  <c r="D2644" i="2"/>
  <c r="D2645" i="2"/>
  <c r="D2646" i="2"/>
  <c r="D2647" i="2"/>
  <c r="D2648" i="2"/>
  <c r="D2649" i="2"/>
  <c r="D2650" i="2"/>
  <c r="D2651" i="2"/>
  <c r="D2652" i="2"/>
  <c r="D2653" i="2"/>
  <c r="D2654" i="2"/>
  <c r="D2655" i="2"/>
  <c r="D2656" i="2"/>
  <c r="D2657" i="2"/>
  <c r="D2658" i="2"/>
  <c r="D2659" i="2"/>
  <c r="D2660" i="2"/>
  <c r="D2661" i="2"/>
  <c r="D2662" i="2"/>
  <c r="D2663" i="2"/>
  <c r="D2664" i="2"/>
  <c r="D2665" i="2"/>
  <c r="D2666" i="2"/>
  <c r="D2667" i="2"/>
  <c r="D2668" i="2"/>
  <c r="D2669" i="2"/>
  <c r="D2670" i="2"/>
  <c r="D2671" i="2"/>
  <c r="D2672" i="2"/>
  <c r="D2673" i="2"/>
  <c r="D2674" i="2"/>
  <c r="D2675" i="2"/>
  <c r="D2676" i="2"/>
  <c r="D2677" i="2"/>
  <c r="D2678" i="2"/>
  <c r="D2679" i="2"/>
  <c r="D2680" i="2"/>
  <c r="D2681" i="2"/>
  <c r="D2682" i="2"/>
  <c r="D2683" i="2"/>
  <c r="D2684" i="2"/>
  <c r="D2685" i="2"/>
  <c r="D2686" i="2"/>
  <c r="D2687" i="2"/>
  <c r="D2688" i="2"/>
  <c r="D2689" i="2"/>
  <c r="D2690" i="2"/>
  <c r="D2691" i="2"/>
  <c r="D2692" i="2"/>
  <c r="D2693" i="2"/>
  <c r="D2694" i="2"/>
  <c r="D2695" i="2"/>
  <c r="D2696" i="2"/>
  <c r="D2697" i="2"/>
  <c r="D2698" i="2"/>
  <c r="D2699" i="2"/>
  <c r="D2700" i="2"/>
  <c r="D2701" i="2"/>
  <c r="D2702" i="2"/>
  <c r="D2703" i="2"/>
  <c r="D2704" i="2"/>
  <c r="D2705" i="2"/>
  <c r="D2706" i="2"/>
  <c r="D2707" i="2"/>
  <c r="D2708" i="2"/>
  <c r="D2709" i="2"/>
  <c r="D2710" i="2"/>
  <c r="D2711" i="2"/>
  <c r="D2712" i="2"/>
  <c r="D2713" i="2"/>
  <c r="D2714" i="2"/>
  <c r="D2715" i="2"/>
  <c r="D2716" i="2"/>
  <c r="D2717" i="2"/>
  <c r="D2718" i="2"/>
  <c r="D2719" i="2"/>
  <c r="D2720" i="2"/>
  <c r="D2721" i="2"/>
  <c r="D2722" i="2"/>
  <c r="D2723" i="2"/>
  <c r="D2724" i="2"/>
  <c r="D2725" i="2"/>
  <c r="D2726" i="2"/>
  <c r="D2727" i="2"/>
  <c r="D2728" i="2"/>
  <c r="D2729" i="2"/>
  <c r="D2730" i="2"/>
  <c r="D2731" i="2"/>
  <c r="D2732" i="2"/>
  <c r="D2733" i="2"/>
  <c r="D2734" i="2"/>
  <c r="D2735" i="2"/>
  <c r="D2736" i="2"/>
  <c r="D2737" i="2"/>
  <c r="D2738" i="2"/>
  <c r="D2739" i="2"/>
  <c r="D2740" i="2"/>
  <c r="D2741" i="2"/>
  <c r="D2742" i="2"/>
  <c r="D2743" i="2"/>
  <c r="D2744" i="2"/>
  <c r="D2745" i="2"/>
  <c r="D2746" i="2"/>
  <c r="D2747" i="2"/>
  <c r="D2748" i="2"/>
  <c r="D2749" i="2"/>
  <c r="D2750" i="2"/>
  <c r="D2751" i="2"/>
  <c r="D2752" i="2"/>
  <c r="D2753" i="2"/>
  <c r="D2754" i="2"/>
  <c r="D2755" i="2"/>
  <c r="D2756" i="2"/>
  <c r="D2757" i="2"/>
  <c r="D2758" i="2"/>
  <c r="D2759" i="2"/>
  <c r="D2760" i="2"/>
  <c r="D2761" i="2"/>
  <c r="D2762" i="2"/>
  <c r="D2763" i="2"/>
  <c r="D2764" i="2"/>
  <c r="D2765" i="2"/>
  <c r="D2766" i="2"/>
  <c r="D2767" i="2"/>
  <c r="D2768" i="2"/>
  <c r="D2769" i="2"/>
  <c r="D2770" i="2"/>
  <c r="D2771" i="2"/>
  <c r="D2772" i="2"/>
  <c r="D2773" i="2"/>
  <c r="D2774" i="2"/>
  <c r="D2775" i="2"/>
  <c r="D2776" i="2"/>
  <c r="D2777" i="2"/>
  <c r="D2778" i="2"/>
  <c r="D2779" i="2"/>
  <c r="D2780" i="2"/>
  <c r="D2781" i="2"/>
  <c r="D2782" i="2"/>
  <c r="D2783" i="2"/>
  <c r="D2784" i="2"/>
  <c r="D2785" i="2"/>
  <c r="D2786" i="2"/>
  <c r="D2787" i="2"/>
  <c r="D2788" i="2"/>
  <c r="D2789" i="2"/>
  <c r="D2790" i="2"/>
  <c r="D2791" i="2"/>
  <c r="D2792" i="2"/>
  <c r="D2793" i="2"/>
  <c r="D2794" i="2"/>
  <c r="D2795" i="2"/>
  <c r="D2796" i="2"/>
  <c r="D2797" i="2"/>
  <c r="D2798" i="2"/>
  <c r="D2799" i="2"/>
  <c r="D2800" i="2"/>
  <c r="D2801" i="2"/>
  <c r="D2802" i="2"/>
  <c r="D2803" i="2"/>
  <c r="D2804" i="2"/>
  <c r="D2805" i="2"/>
  <c r="D2806" i="2"/>
  <c r="D2807" i="2"/>
  <c r="D2808" i="2"/>
  <c r="D2809" i="2"/>
  <c r="D2810" i="2"/>
  <c r="D2811" i="2"/>
  <c r="D2812" i="2"/>
  <c r="D2813" i="2"/>
  <c r="D2814" i="2"/>
  <c r="D2815" i="2"/>
  <c r="D2816" i="2"/>
  <c r="D2817" i="2"/>
  <c r="D2818" i="2"/>
  <c r="D2819" i="2"/>
  <c r="D2820" i="2"/>
  <c r="D2821" i="2"/>
  <c r="D2822" i="2"/>
  <c r="D2823" i="2"/>
  <c r="D2824" i="2"/>
  <c r="D2825" i="2"/>
  <c r="D2826" i="2"/>
  <c r="D2827" i="2"/>
  <c r="D2828" i="2"/>
  <c r="D2829" i="2"/>
  <c r="D2830" i="2"/>
  <c r="D2831" i="2"/>
  <c r="D2832" i="2"/>
  <c r="D2833" i="2"/>
  <c r="D2834" i="2"/>
  <c r="D2835" i="2"/>
  <c r="D2836" i="2"/>
  <c r="D2837" i="2"/>
  <c r="D2838" i="2"/>
  <c r="D2839" i="2"/>
  <c r="D2840" i="2"/>
  <c r="D2841" i="2"/>
  <c r="D2842" i="2"/>
  <c r="D2843" i="2"/>
  <c r="D2844" i="2"/>
  <c r="D2845" i="2"/>
  <c r="D2846" i="2"/>
  <c r="D2847" i="2"/>
  <c r="D2848" i="2"/>
  <c r="D2849" i="2"/>
  <c r="D2850" i="2"/>
  <c r="D2851" i="2"/>
  <c r="D2852" i="2"/>
  <c r="D2853" i="2"/>
  <c r="D2854" i="2"/>
  <c r="D2855" i="2"/>
  <c r="D2856" i="2"/>
  <c r="D2857" i="2"/>
  <c r="D2858" i="2"/>
  <c r="D2859" i="2"/>
  <c r="D2860" i="2"/>
  <c r="D2861" i="2"/>
  <c r="D2862" i="2"/>
  <c r="D2863" i="2"/>
  <c r="D2864" i="2"/>
  <c r="D2865" i="2"/>
  <c r="D2866" i="2"/>
  <c r="D2867" i="2"/>
  <c r="D2868" i="2"/>
  <c r="D2869" i="2"/>
  <c r="D2870" i="2"/>
  <c r="D2871" i="2"/>
  <c r="D2872" i="2"/>
  <c r="D2873" i="2"/>
  <c r="D2874" i="2"/>
  <c r="D2875" i="2"/>
  <c r="D2876" i="2"/>
  <c r="D2877" i="2"/>
  <c r="D2878" i="2"/>
  <c r="D2879" i="2"/>
  <c r="D2880" i="2"/>
  <c r="D2881" i="2"/>
  <c r="D2882" i="2"/>
  <c r="D2883" i="2"/>
  <c r="D2884" i="2"/>
  <c r="D2885" i="2"/>
  <c r="D2886" i="2"/>
  <c r="D2887" i="2"/>
  <c r="D2888" i="2"/>
  <c r="D2889" i="2"/>
  <c r="D2890" i="2"/>
  <c r="D2891" i="2"/>
  <c r="D2892" i="2"/>
  <c r="D2893" i="2"/>
  <c r="D2894" i="2"/>
  <c r="D2895" i="2"/>
  <c r="D2896" i="2"/>
  <c r="D2897" i="2"/>
  <c r="D2898" i="2"/>
  <c r="D2899" i="2"/>
  <c r="D2900" i="2"/>
  <c r="D2901" i="2"/>
  <c r="D2902" i="2"/>
  <c r="D2903" i="2"/>
  <c r="D2904" i="2"/>
  <c r="D2905" i="2"/>
  <c r="D2906" i="2"/>
  <c r="D2907" i="2"/>
  <c r="D2908" i="2"/>
  <c r="D2909" i="2"/>
  <c r="D2910" i="2"/>
  <c r="D2911" i="2"/>
  <c r="D2912" i="2"/>
  <c r="D2913" i="2"/>
  <c r="D2914" i="2"/>
  <c r="D2915" i="2"/>
  <c r="D2916" i="2"/>
  <c r="D2917" i="2"/>
  <c r="D2918" i="2"/>
  <c r="D2919" i="2"/>
  <c r="D2920" i="2"/>
  <c r="D2921" i="2"/>
  <c r="D2922" i="2"/>
  <c r="D2923" i="2"/>
  <c r="D2924" i="2"/>
  <c r="D2925" i="2"/>
  <c r="D2926" i="2"/>
  <c r="D2927" i="2"/>
  <c r="D2928" i="2"/>
  <c r="D2929" i="2"/>
  <c r="D2930" i="2"/>
  <c r="D2931" i="2"/>
  <c r="D2932" i="2"/>
  <c r="D2933" i="2"/>
  <c r="D2934" i="2"/>
  <c r="D2935" i="2"/>
  <c r="D2936" i="2"/>
  <c r="D2937" i="2"/>
  <c r="D2938" i="2"/>
  <c r="D2939" i="2"/>
  <c r="D2940" i="2"/>
  <c r="D2941" i="2"/>
  <c r="D2942" i="2"/>
  <c r="D2943" i="2"/>
  <c r="D2944" i="2"/>
  <c r="D2945" i="2"/>
  <c r="D2946" i="2"/>
  <c r="D2947" i="2"/>
  <c r="D2948" i="2"/>
  <c r="D2949" i="2"/>
  <c r="D2950" i="2"/>
  <c r="D2951" i="2"/>
  <c r="D2952" i="2"/>
  <c r="D2953" i="2"/>
  <c r="D2954" i="2"/>
  <c r="D2955" i="2"/>
  <c r="D2956" i="2"/>
  <c r="D2957" i="2"/>
  <c r="D2958" i="2"/>
  <c r="D2959" i="2"/>
  <c r="D2960" i="2"/>
  <c r="D2961" i="2"/>
  <c r="D2962" i="2"/>
  <c r="D2963" i="2"/>
  <c r="D2964" i="2"/>
  <c r="D2965" i="2"/>
  <c r="D2966" i="2"/>
  <c r="D2967" i="2"/>
  <c r="D2968" i="2"/>
  <c r="D2969" i="2"/>
  <c r="D2970" i="2"/>
  <c r="D2971" i="2"/>
  <c r="D2972" i="2"/>
  <c r="D2973" i="2"/>
  <c r="D2974" i="2"/>
  <c r="D2975" i="2"/>
  <c r="D2976" i="2"/>
  <c r="D2977" i="2"/>
  <c r="D2978" i="2"/>
  <c r="D2979" i="2"/>
  <c r="D2980" i="2"/>
  <c r="D2981" i="2"/>
  <c r="D2982" i="2"/>
  <c r="D2983" i="2"/>
  <c r="D2984" i="2"/>
  <c r="D2985" i="2"/>
  <c r="D2986" i="2"/>
  <c r="D2987" i="2"/>
  <c r="D2988" i="2"/>
  <c r="D2989" i="2"/>
  <c r="D2990" i="2"/>
  <c r="D2991" i="2"/>
  <c r="D2992" i="2"/>
  <c r="D2993" i="2"/>
  <c r="D2994" i="2"/>
  <c r="D2995" i="2"/>
  <c r="D2996" i="2"/>
  <c r="D2997" i="2"/>
  <c r="D2998" i="2"/>
  <c r="D2999" i="2"/>
  <c r="D3000" i="2"/>
  <c r="D3001" i="2"/>
  <c r="D3002" i="2"/>
  <c r="D3003" i="2"/>
  <c r="D3004" i="2"/>
  <c r="D3005" i="2"/>
  <c r="D3006" i="2"/>
  <c r="D3007" i="2"/>
  <c r="D3008" i="2"/>
  <c r="D3009" i="2"/>
  <c r="D3010" i="2"/>
  <c r="D3011" i="2"/>
  <c r="D3012" i="2"/>
  <c r="D3013" i="2"/>
  <c r="D3014" i="2"/>
  <c r="D3015" i="2"/>
  <c r="D3016" i="2"/>
  <c r="D3017" i="2"/>
  <c r="D3018" i="2"/>
  <c r="D3019" i="2"/>
  <c r="D3020" i="2"/>
  <c r="D3021" i="2"/>
  <c r="D3022" i="2"/>
  <c r="D3023" i="2"/>
  <c r="D3024" i="2"/>
  <c r="D3025" i="2"/>
  <c r="D3026" i="2"/>
  <c r="D3027" i="2"/>
  <c r="D3028" i="2"/>
  <c r="D3029" i="2"/>
  <c r="D3030" i="2"/>
  <c r="D3031" i="2"/>
  <c r="D3032" i="2"/>
  <c r="D3033" i="2"/>
  <c r="D3034" i="2"/>
  <c r="D3035" i="2"/>
  <c r="D3036" i="2"/>
  <c r="D3037" i="2"/>
  <c r="D3038" i="2"/>
  <c r="D3039" i="2"/>
  <c r="D3040" i="2"/>
  <c r="D3041" i="2"/>
  <c r="D3042" i="2"/>
  <c r="D3043" i="2"/>
  <c r="D3044" i="2"/>
  <c r="D3045" i="2"/>
  <c r="D3046" i="2"/>
  <c r="D3047" i="2"/>
  <c r="D3048" i="2"/>
  <c r="D3049" i="2"/>
  <c r="D3050" i="2"/>
  <c r="D3051" i="2"/>
  <c r="D3052" i="2"/>
  <c r="D3053" i="2"/>
  <c r="D3054" i="2"/>
  <c r="D3055" i="2"/>
  <c r="D3056" i="2"/>
  <c r="D3057" i="2"/>
  <c r="D3058" i="2"/>
  <c r="D3059" i="2"/>
  <c r="D3060" i="2"/>
  <c r="D3061" i="2"/>
  <c r="D3062" i="2"/>
  <c r="D3063" i="2"/>
  <c r="D3064" i="2"/>
  <c r="D3065" i="2"/>
  <c r="D3066" i="2"/>
  <c r="D3067" i="2"/>
  <c r="D3068" i="2"/>
  <c r="D3069" i="2"/>
  <c r="D3070" i="2"/>
  <c r="D3071" i="2"/>
  <c r="D3072" i="2"/>
  <c r="D3073" i="2"/>
  <c r="D3074" i="2"/>
  <c r="D3075" i="2"/>
  <c r="D3076" i="2"/>
  <c r="D3077" i="2"/>
  <c r="D3078" i="2"/>
  <c r="D3079" i="2"/>
  <c r="D3080" i="2"/>
  <c r="D3081" i="2"/>
  <c r="D3082" i="2"/>
  <c r="D3083" i="2"/>
  <c r="D3084" i="2"/>
  <c r="D3085" i="2"/>
  <c r="D3086" i="2"/>
  <c r="D3087" i="2"/>
  <c r="D3088" i="2"/>
  <c r="D3089" i="2"/>
  <c r="D3090" i="2"/>
  <c r="D3091" i="2"/>
  <c r="D3092" i="2"/>
  <c r="D3093" i="2"/>
  <c r="D3094" i="2"/>
  <c r="D3095" i="2"/>
  <c r="D3096" i="2"/>
  <c r="D3097" i="2"/>
  <c r="D3098" i="2"/>
  <c r="D3099" i="2"/>
  <c r="D3100" i="2"/>
  <c r="D3101" i="2"/>
  <c r="D3102" i="2"/>
  <c r="D3103" i="2"/>
  <c r="D3104" i="2"/>
  <c r="D3105" i="2"/>
  <c r="D3106" i="2"/>
  <c r="D3107" i="2"/>
  <c r="D3108" i="2"/>
  <c r="D3109" i="2"/>
  <c r="D3110" i="2"/>
  <c r="D3111" i="2"/>
  <c r="D3112" i="2"/>
  <c r="D3113" i="2"/>
  <c r="D3114" i="2"/>
  <c r="D3115" i="2"/>
  <c r="D3116" i="2"/>
  <c r="D3117" i="2"/>
  <c r="D3118" i="2"/>
  <c r="D3119" i="2"/>
  <c r="D3120" i="2"/>
  <c r="D3121" i="2"/>
  <c r="D3122" i="2"/>
  <c r="D3123" i="2"/>
  <c r="D3124" i="2"/>
  <c r="D3125" i="2"/>
  <c r="D3126" i="2"/>
  <c r="D3127" i="2"/>
  <c r="D3128" i="2"/>
  <c r="D3129" i="2"/>
  <c r="D3130" i="2"/>
  <c r="D3131" i="2"/>
  <c r="D3132" i="2"/>
  <c r="D3133" i="2"/>
  <c r="D3134" i="2"/>
  <c r="D3135" i="2"/>
  <c r="D3136" i="2"/>
  <c r="D3137" i="2"/>
  <c r="D3138" i="2"/>
  <c r="D3139" i="2"/>
  <c r="D3140" i="2"/>
  <c r="D3141" i="2"/>
  <c r="D3142" i="2"/>
  <c r="D3143" i="2"/>
  <c r="D3144" i="2"/>
  <c r="D3145" i="2"/>
  <c r="D3146" i="2"/>
  <c r="D3147" i="2"/>
  <c r="D3148" i="2"/>
  <c r="D3149" i="2"/>
  <c r="D3150" i="2"/>
  <c r="D3151" i="2"/>
  <c r="D3152" i="2"/>
  <c r="D3153" i="2"/>
  <c r="D3154" i="2"/>
  <c r="D3155" i="2"/>
  <c r="D3156" i="2"/>
  <c r="D3157" i="2"/>
  <c r="D3158" i="2"/>
  <c r="D3159" i="2"/>
  <c r="D3160" i="2"/>
  <c r="D3161" i="2"/>
  <c r="D3162" i="2"/>
  <c r="D3163" i="2"/>
  <c r="D3164" i="2"/>
  <c r="D3165" i="2"/>
  <c r="D3166" i="2"/>
  <c r="D3167" i="2"/>
  <c r="D3168" i="2"/>
  <c r="D3169" i="2"/>
  <c r="D3170" i="2"/>
  <c r="D3171" i="2"/>
  <c r="D3172" i="2"/>
  <c r="D3173" i="2"/>
  <c r="D3174" i="2"/>
  <c r="D3175" i="2"/>
  <c r="D3176" i="2"/>
  <c r="D3177" i="2"/>
  <c r="D3178" i="2"/>
  <c r="D3179" i="2"/>
  <c r="D3180" i="2"/>
  <c r="D3181" i="2"/>
  <c r="D3182" i="2"/>
  <c r="D3183" i="2"/>
  <c r="D3184" i="2"/>
  <c r="D3185" i="2"/>
  <c r="D3186" i="2"/>
  <c r="D3187" i="2"/>
  <c r="D3188" i="2"/>
  <c r="D3189" i="2"/>
  <c r="D3190" i="2"/>
  <c r="D3191" i="2"/>
  <c r="D3192" i="2"/>
  <c r="D3193" i="2"/>
  <c r="D3194" i="2"/>
  <c r="D3195" i="2"/>
  <c r="D3196" i="2"/>
  <c r="D3197" i="2"/>
  <c r="D3198" i="2"/>
  <c r="D3199" i="2"/>
  <c r="D3200" i="2"/>
  <c r="D3201" i="2"/>
  <c r="D3202" i="2"/>
  <c r="D3203" i="2"/>
  <c r="D3204" i="2"/>
  <c r="D3205" i="2"/>
  <c r="D3206" i="2"/>
  <c r="D3207" i="2"/>
  <c r="D3208" i="2"/>
  <c r="D3209" i="2"/>
  <c r="D3210" i="2"/>
  <c r="D3211" i="2"/>
  <c r="D3212" i="2"/>
  <c r="D3213" i="2"/>
  <c r="D3214" i="2"/>
  <c r="D3215" i="2"/>
  <c r="D3216" i="2"/>
  <c r="D3217" i="2"/>
  <c r="D3218" i="2"/>
  <c r="D3219" i="2"/>
  <c r="D3220" i="2"/>
  <c r="D3221" i="2"/>
  <c r="D3222" i="2"/>
  <c r="D3223" i="2"/>
  <c r="D3224" i="2"/>
  <c r="D3225" i="2"/>
  <c r="D3226" i="2"/>
  <c r="D3227" i="2"/>
  <c r="D3228" i="2"/>
  <c r="D3229" i="2"/>
  <c r="D3230" i="2"/>
  <c r="D3231" i="2"/>
  <c r="D3232" i="2"/>
  <c r="D3233" i="2"/>
  <c r="D3234" i="2"/>
  <c r="D3235" i="2"/>
  <c r="D3236" i="2"/>
  <c r="D3237" i="2"/>
  <c r="D3238" i="2"/>
  <c r="D3239" i="2"/>
  <c r="D3240" i="2"/>
  <c r="D3241" i="2"/>
  <c r="D3242" i="2"/>
  <c r="D3243" i="2"/>
  <c r="D3244" i="2"/>
  <c r="D3245" i="2"/>
  <c r="D3246" i="2"/>
  <c r="D3247" i="2"/>
  <c r="D3248" i="2"/>
  <c r="D3249" i="2"/>
  <c r="D3250" i="2"/>
  <c r="D3251" i="2"/>
  <c r="D3252" i="2"/>
  <c r="D3253" i="2"/>
  <c r="D3254" i="2"/>
  <c r="D3255" i="2"/>
  <c r="D3256" i="2"/>
  <c r="D3257" i="2"/>
  <c r="D3258" i="2"/>
  <c r="D3259" i="2"/>
  <c r="D3260" i="2"/>
  <c r="D3261" i="2"/>
  <c r="D3262" i="2"/>
  <c r="D3263" i="2"/>
  <c r="D3264" i="2"/>
  <c r="D3265" i="2"/>
  <c r="D3266" i="2"/>
  <c r="D3267" i="2"/>
  <c r="D3268" i="2"/>
  <c r="D3269" i="2"/>
  <c r="D3270" i="2"/>
  <c r="D3271" i="2"/>
  <c r="D3272" i="2"/>
  <c r="D3273" i="2"/>
  <c r="D3274" i="2"/>
  <c r="D3275" i="2"/>
  <c r="D3276" i="2"/>
  <c r="D3277" i="2"/>
  <c r="D3278" i="2"/>
  <c r="D3279" i="2"/>
  <c r="D3280" i="2"/>
  <c r="D3281" i="2"/>
  <c r="D3282" i="2"/>
  <c r="D3283" i="2"/>
  <c r="D3284" i="2"/>
  <c r="D3285" i="2"/>
  <c r="D3286" i="2"/>
  <c r="D3287" i="2"/>
  <c r="D3288" i="2"/>
  <c r="D3289" i="2"/>
  <c r="D3290" i="2"/>
  <c r="D3291" i="2"/>
  <c r="D3292" i="2"/>
  <c r="D3293" i="2"/>
  <c r="D3294" i="2"/>
  <c r="D3295" i="2"/>
  <c r="D3296" i="2"/>
  <c r="D3297" i="2"/>
  <c r="D3298" i="2"/>
  <c r="D3299" i="2"/>
  <c r="D3300" i="2"/>
  <c r="D3301" i="2"/>
  <c r="D3302" i="2"/>
  <c r="D3303" i="2"/>
  <c r="D3304" i="2"/>
  <c r="D3305" i="2"/>
  <c r="D3306" i="2"/>
  <c r="D3307" i="2"/>
  <c r="D3308" i="2"/>
  <c r="D3309" i="2"/>
  <c r="D3310" i="2"/>
  <c r="D3311" i="2"/>
  <c r="D3312" i="2"/>
  <c r="D3313" i="2"/>
  <c r="D3314" i="2"/>
  <c r="D3315" i="2"/>
  <c r="D3316" i="2"/>
  <c r="D3317" i="2"/>
  <c r="D3318" i="2"/>
  <c r="D3319" i="2"/>
  <c r="D3320" i="2"/>
  <c r="D3321" i="2"/>
  <c r="D3322" i="2"/>
  <c r="D3323" i="2"/>
  <c r="D3324" i="2"/>
  <c r="D3325" i="2"/>
  <c r="D3326" i="2"/>
  <c r="D3327" i="2"/>
  <c r="D3328" i="2"/>
  <c r="D3329" i="2"/>
  <c r="D3330" i="2"/>
  <c r="D3331" i="2"/>
  <c r="D3332" i="2"/>
  <c r="D3333" i="2"/>
  <c r="D3334" i="2"/>
  <c r="D3335" i="2"/>
  <c r="D3336" i="2"/>
  <c r="D3337" i="2"/>
  <c r="D3338" i="2"/>
  <c r="D3339" i="2"/>
  <c r="D3340" i="2"/>
  <c r="D3341" i="2"/>
  <c r="D3342" i="2"/>
  <c r="D3343" i="2"/>
  <c r="D3344" i="2"/>
  <c r="D3345" i="2"/>
  <c r="D3346" i="2"/>
  <c r="D3347" i="2"/>
  <c r="D3348" i="2"/>
  <c r="D3349" i="2"/>
  <c r="D3350" i="2"/>
  <c r="D3351" i="2"/>
  <c r="D3352" i="2"/>
  <c r="D3353" i="2"/>
  <c r="D3354" i="2"/>
  <c r="D3355" i="2"/>
  <c r="D3356" i="2"/>
  <c r="D3357" i="2"/>
  <c r="D3358" i="2"/>
  <c r="D3359" i="2"/>
  <c r="D3360" i="2"/>
  <c r="D3361" i="2"/>
  <c r="D3362" i="2"/>
  <c r="D3363" i="2"/>
  <c r="D3364" i="2"/>
  <c r="D3365" i="2"/>
  <c r="D3366" i="2"/>
  <c r="D3367" i="2"/>
  <c r="D3368" i="2"/>
  <c r="D3369" i="2"/>
  <c r="D3370" i="2"/>
  <c r="D3371" i="2"/>
  <c r="D3372" i="2"/>
  <c r="D3373" i="2"/>
  <c r="D3374" i="2"/>
  <c r="D3375" i="2"/>
  <c r="D3376" i="2"/>
  <c r="D3377" i="2"/>
  <c r="D3378" i="2"/>
  <c r="D3379" i="2"/>
  <c r="D3380" i="2"/>
  <c r="D3381" i="2"/>
  <c r="D3382" i="2"/>
  <c r="D3383" i="2"/>
  <c r="D3384" i="2"/>
  <c r="D3385" i="2"/>
  <c r="D3386" i="2"/>
  <c r="D3387" i="2"/>
  <c r="D3388" i="2"/>
  <c r="D3389" i="2"/>
  <c r="D3390" i="2"/>
  <c r="D3391" i="2"/>
  <c r="D3392" i="2"/>
  <c r="D3393" i="2"/>
  <c r="D3394" i="2"/>
  <c r="D3395" i="2"/>
  <c r="D3396" i="2"/>
  <c r="D3397" i="2"/>
  <c r="D3398" i="2"/>
  <c r="D3399" i="2"/>
  <c r="D3400" i="2"/>
  <c r="D3401" i="2"/>
  <c r="D3402" i="2"/>
  <c r="D3403" i="2"/>
  <c r="D3404" i="2"/>
  <c r="D3405" i="2"/>
  <c r="D3406" i="2"/>
  <c r="D3407" i="2"/>
  <c r="D3408" i="2"/>
  <c r="D3409" i="2"/>
  <c r="D3410" i="2"/>
  <c r="D3411" i="2"/>
  <c r="D3412" i="2"/>
  <c r="D3413" i="2"/>
  <c r="D3414" i="2"/>
  <c r="D3415" i="2"/>
  <c r="D3416" i="2"/>
  <c r="D3417" i="2"/>
  <c r="D3418" i="2"/>
  <c r="D3419" i="2"/>
  <c r="D3420" i="2"/>
  <c r="D3421" i="2"/>
  <c r="D3422" i="2"/>
  <c r="D3423" i="2"/>
  <c r="D3424" i="2"/>
  <c r="D3425" i="2"/>
  <c r="D3426" i="2"/>
  <c r="D3427" i="2"/>
  <c r="D3428" i="2"/>
  <c r="D3429" i="2"/>
  <c r="D3430" i="2"/>
  <c r="D3431" i="2"/>
  <c r="D3432" i="2"/>
  <c r="D3433" i="2"/>
  <c r="D3434" i="2"/>
  <c r="D3435" i="2"/>
  <c r="D3436" i="2"/>
  <c r="D3437" i="2"/>
  <c r="D3438" i="2"/>
  <c r="D3439" i="2"/>
  <c r="D3440" i="2"/>
  <c r="D3441" i="2"/>
  <c r="D3442" i="2"/>
  <c r="D3443" i="2"/>
  <c r="D3444" i="2"/>
  <c r="D3445" i="2"/>
  <c r="D3446" i="2"/>
  <c r="D3447" i="2"/>
  <c r="D3448" i="2"/>
  <c r="D3449" i="2"/>
  <c r="D3450" i="2"/>
  <c r="D3451" i="2"/>
  <c r="D3452" i="2"/>
  <c r="D3453" i="2"/>
  <c r="D3454" i="2"/>
  <c r="D3455" i="2"/>
  <c r="D3456" i="2"/>
  <c r="D3457" i="2"/>
  <c r="D3458" i="2"/>
  <c r="D3459" i="2"/>
  <c r="D3460" i="2"/>
  <c r="D3461" i="2"/>
  <c r="D3462" i="2"/>
  <c r="D3463" i="2"/>
  <c r="D3464" i="2"/>
  <c r="D3465" i="2"/>
  <c r="D3466" i="2"/>
  <c r="D3467" i="2"/>
  <c r="D3468" i="2"/>
  <c r="D3469" i="2"/>
  <c r="D3470" i="2"/>
  <c r="D3471" i="2"/>
  <c r="D3472" i="2"/>
  <c r="D3473" i="2"/>
  <c r="D3474" i="2"/>
  <c r="D3475" i="2"/>
  <c r="D3476" i="2"/>
  <c r="D3477" i="2"/>
  <c r="D3478" i="2"/>
  <c r="D3479" i="2"/>
  <c r="D3480" i="2"/>
  <c r="D3481" i="2"/>
  <c r="D3482" i="2"/>
  <c r="D3483" i="2"/>
  <c r="D3484" i="2"/>
  <c r="D3485" i="2"/>
  <c r="D3486" i="2"/>
  <c r="D3487" i="2"/>
  <c r="D3488" i="2"/>
  <c r="D3489" i="2"/>
  <c r="D3490" i="2"/>
  <c r="D3491" i="2"/>
  <c r="D3492" i="2"/>
  <c r="D3493" i="2"/>
  <c r="D3494" i="2"/>
  <c r="D3495" i="2"/>
  <c r="D3496" i="2"/>
  <c r="D3497" i="2"/>
  <c r="D3498" i="2"/>
  <c r="D3499" i="2"/>
  <c r="D3500" i="2"/>
  <c r="D3501" i="2"/>
  <c r="D3502" i="2"/>
  <c r="D3503" i="2"/>
  <c r="D3504" i="2"/>
  <c r="D3505" i="2"/>
  <c r="D3506" i="2"/>
  <c r="D3507" i="2"/>
  <c r="D3508" i="2"/>
  <c r="D3509" i="2"/>
  <c r="D3510" i="2"/>
  <c r="D3511" i="2"/>
  <c r="D3512" i="2"/>
  <c r="D3513" i="2"/>
  <c r="D3514" i="2"/>
  <c r="D3515" i="2"/>
  <c r="D3516" i="2"/>
  <c r="D3517" i="2"/>
  <c r="D3518" i="2"/>
  <c r="D3519" i="2"/>
  <c r="D3520" i="2"/>
  <c r="D3521" i="2"/>
  <c r="D3522" i="2"/>
  <c r="D3523" i="2"/>
  <c r="D3524" i="2"/>
  <c r="D3525" i="2"/>
  <c r="D3526" i="2"/>
  <c r="D3527" i="2"/>
  <c r="D3528" i="2"/>
  <c r="D3529" i="2"/>
  <c r="D3530" i="2"/>
  <c r="D3531" i="2"/>
  <c r="D3532" i="2"/>
  <c r="D3533" i="2"/>
  <c r="D3534" i="2"/>
  <c r="D3535" i="2"/>
  <c r="D3536" i="2"/>
  <c r="D3537" i="2"/>
  <c r="D3538" i="2"/>
  <c r="D3539" i="2"/>
  <c r="D3540" i="2"/>
  <c r="D3541" i="2"/>
  <c r="D3542" i="2"/>
  <c r="D3543" i="2"/>
  <c r="D3544" i="2"/>
  <c r="D3545" i="2"/>
  <c r="D3546" i="2"/>
  <c r="D3547" i="2"/>
  <c r="D3548" i="2"/>
  <c r="D3549" i="2"/>
  <c r="D3550" i="2"/>
  <c r="D3551" i="2"/>
  <c r="D3552" i="2"/>
  <c r="D3553" i="2"/>
  <c r="D3554" i="2"/>
  <c r="D3555" i="2"/>
  <c r="D3556" i="2"/>
  <c r="D3557" i="2"/>
  <c r="D3558" i="2"/>
  <c r="D3559" i="2"/>
  <c r="D3560" i="2"/>
  <c r="D3561" i="2"/>
  <c r="D3562" i="2"/>
  <c r="D3563" i="2"/>
  <c r="D3564" i="2"/>
  <c r="D3565" i="2"/>
  <c r="D3566" i="2"/>
  <c r="D3567" i="2"/>
  <c r="D3568" i="2"/>
  <c r="D3569" i="2"/>
  <c r="D3570" i="2"/>
  <c r="D3571" i="2"/>
  <c r="D3572" i="2"/>
  <c r="D3573" i="2"/>
  <c r="D3574" i="2"/>
  <c r="D3575" i="2"/>
  <c r="D3576" i="2"/>
  <c r="D3577" i="2"/>
  <c r="D3578" i="2"/>
  <c r="D3579" i="2"/>
  <c r="D3580" i="2"/>
  <c r="D3581" i="2"/>
  <c r="D3582" i="2"/>
  <c r="D3583" i="2"/>
  <c r="D3584" i="2"/>
  <c r="D3585" i="2"/>
  <c r="D3586" i="2"/>
  <c r="D3587" i="2"/>
  <c r="D3588" i="2"/>
  <c r="D3589" i="2"/>
  <c r="D3590" i="2"/>
  <c r="D3591" i="2"/>
  <c r="D3592" i="2"/>
  <c r="D3593" i="2"/>
  <c r="D3594" i="2"/>
  <c r="D3595" i="2"/>
  <c r="D3596" i="2"/>
  <c r="D3597" i="2"/>
  <c r="D3598" i="2"/>
  <c r="D3599" i="2"/>
  <c r="D3600" i="2"/>
  <c r="D3601" i="2"/>
  <c r="D3602" i="2"/>
  <c r="D3603" i="2"/>
  <c r="D3604" i="2"/>
  <c r="D3605" i="2"/>
  <c r="D3606" i="2"/>
  <c r="D3607" i="2"/>
  <c r="D3608" i="2"/>
  <c r="D3609" i="2"/>
  <c r="D3610" i="2"/>
  <c r="D3611" i="2"/>
  <c r="D3612" i="2"/>
  <c r="D3613" i="2"/>
  <c r="D3614" i="2"/>
  <c r="D3615" i="2"/>
  <c r="D3616" i="2"/>
  <c r="D3617" i="2"/>
  <c r="D3618" i="2"/>
  <c r="D3619" i="2"/>
  <c r="D3620" i="2"/>
  <c r="D3621" i="2"/>
  <c r="D3622" i="2"/>
  <c r="D3623" i="2"/>
  <c r="D3624" i="2"/>
  <c r="D3625" i="2"/>
  <c r="D3626" i="2"/>
  <c r="D3627" i="2"/>
  <c r="D3628" i="2"/>
  <c r="D3629" i="2"/>
  <c r="D3630" i="2"/>
  <c r="D3631" i="2"/>
  <c r="D3632" i="2"/>
  <c r="D3633" i="2"/>
  <c r="D3634" i="2"/>
  <c r="D3635" i="2"/>
  <c r="D3636" i="2"/>
  <c r="D3637" i="2"/>
  <c r="D3638" i="2"/>
  <c r="D3639" i="2"/>
  <c r="D3640" i="2"/>
  <c r="D3641" i="2"/>
  <c r="D3642" i="2"/>
  <c r="D3643" i="2"/>
  <c r="D3644" i="2"/>
  <c r="D3645" i="2"/>
  <c r="D3646" i="2"/>
  <c r="D3647" i="2"/>
  <c r="D3648" i="2"/>
  <c r="D3649" i="2"/>
  <c r="D3650" i="2"/>
  <c r="D3651" i="2"/>
  <c r="D3652" i="2"/>
  <c r="D3653" i="2"/>
  <c r="D3654" i="2"/>
  <c r="D3655" i="2"/>
  <c r="D3656" i="2"/>
  <c r="D3657" i="2"/>
  <c r="D3658" i="2"/>
  <c r="D3659" i="2"/>
  <c r="D3660" i="2"/>
  <c r="D3661" i="2"/>
  <c r="D3662" i="2"/>
  <c r="D3663" i="2"/>
  <c r="D3664" i="2"/>
  <c r="D3665" i="2"/>
  <c r="D3666" i="2"/>
  <c r="D3667" i="2"/>
  <c r="D3668" i="2"/>
  <c r="D3669" i="2"/>
  <c r="D3670" i="2"/>
  <c r="D3671" i="2"/>
  <c r="D3672" i="2"/>
  <c r="D3673" i="2"/>
  <c r="D3674" i="2"/>
  <c r="D3675" i="2"/>
  <c r="D3676" i="2"/>
  <c r="D3677" i="2"/>
  <c r="D3678" i="2"/>
  <c r="D3679" i="2"/>
  <c r="D3680" i="2"/>
  <c r="D3681" i="2"/>
  <c r="D3682" i="2"/>
  <c r="D3683" i="2"/>
  <c r="D3684" i="2"/>
  <c r="D3685" i="2"/>
  <c r="D3686" i="2"/>
  <c r="D3687" i="2"/>
  <c r="D3688" i="2"/>
  <c r="D3689" i="2"/>
  <c r="D3690" i="2"/>
  <c r="D3691" i="2"/>
  <c r="D3692" i="2"/>
  <c r="D3693" i="2"/>
  <c r="D3694" i="2"/>
  <c r="D3695" i="2"/>
  <c r="D3696" i="2"/>
  <c r="D3697" i="2"/>
  <c r="D3698" i="2"/>
  <c r="D3699" i="2"/>
  <c r="D3700" i="2"/>
  <c r="D3701" i="2"/>
  <c r="D3702" i="2"/>
  <c r="D3703" i="2"/>
  <c r="D3704" i="2"/>
  <c r="D3705" i="2"/>
  <c r="D3706" i="2"/>
  <c r="D3707" i="2"/>
  <c r="D3708" i="2"/>
  <c r="D3709" i="2"/>
  <c r="D3710" i="2"/>
  <c r="D3711" i="2"/>
  <c r="D3712" i="2"/>
  <c r="D3713" i="2"/>
  <c r="D3714" i="2"/>
  <c r="D3715" i="2"/>
  <c r="D3716" i="2"/>
  <c r="D3717" i="2"/>
  <c r="D3718" i="2"/>
  <c r="D3719" i="2"/>
  <c r="D3720" i="2"/>
  <c r="D3721" i="2"/>
  <c r="D3722" i="2"/>
  <c r="D3723" i="2"/>
  <c r="D3724" i="2"/>
  <c r="D3725" i="2"/>
  <c r="D3726" i="2"/>
  <c r="D3727" i="2"/>
  <c r="D3728" i="2"/>
  <c r="D3729" i="2"/>
  <c r="D3730" i="2"/>
  <c r="D3731" i="2"/>
  <c r="D3732" i="2"/>
  <c r="D3733" i="2"/>
  <c r="D3734" i="2"/>
  <c r="D3735" i="2"/>
  <c r="D3736" i="2"/>
  <c r="D3737" i="2"/>
  <c r="D3738" i="2"/>
  <c r="D3739" i="2"/>
  <c r="D3740" i="2"/>
  <c r="D3741" i="2"/>
  <c r="D3742" i="2"/>
  <c r="D3743" i="2"/>
  <c r="D3744" i="2"/>
  <c r="D3745" i="2"/>
  <c r="D3746" i="2"/>
  <c r="D3747" i="2"/>
  <c r="D3748" i="2"/>
  <c r="D3749" i="2"/>
  <c r="D3750" i="2"/>
  <c r="D3751" i="2"/>
  <c r="D3752" i="2"/>
  <c r="D3753" i="2"/>
  <c r="D3754" i="2"/>
  <c r="D3755" i="2"/>
  <c r="D3756" i="2"/>
  <c r="D3757" i="2"/>
  <c r="D3758" i="2"/>
  <c r="D3759" i="2"/>
  <c r="D3760" i="2"/>
  <c r="D3761" i="2"/>
  <c r="D3762" i="2"/>
  <c r="D3763" i="2"/>
  <c r="D3764" i="2"/>
  <c r="D3765" i="2"/>
  <c r="D3766" i="2"/>
  <c r="D3767" i="2"/>
  <c r="D3768" i="2"/>
  <c r="D3769" i="2"/>
  <c r="D3770" i="2"/>
  <c r="D3771" i="2"/>
  <c r="D3772" i="2"/>
  <c r="D3773" i="2"/>
  <c r="D3774" i="2"/>
  <c r="D3775" i="2"/>
  <c r="D3776" i="2"/>
  <c r="D3777" i="2"/>
  <c r="D3778" i="2"/>
  <c r="D3779" i="2"/>
  <c r="D3780" i="2"/>
  <c r="D3781" i="2"/>
  <c r="D3782" i="2"/>
  <c r="D3783" i="2"/>
  <c r="D3784" i="2"/>
  <c r="D3785" i="2"/>
  <c r="D3786" i="2"/>
  <c r="D3787" i="2"/>
  <c r="D3788" i="2"/>
  <c r="D3789" i="2"/>
  <c r="D3790" i="2"/>
  <c r="D3791" i="2"/>
  <c r="D3792" i="2"/>
  <c r="D3793" i="2"/>
  <c r="D3794" i="2"/>
  <c r="D3795" i="2"/>
  <c r="D3796" i="2"/>
  <c r="D3797" i="2"/>
  <c r="D3798" i="2"/>
  <c r="D3799" i="2"/>
  <c r="D3800" i="2"/>
  <c r="D3801" i="2"/>
  <c r="D3802" i="2"/>
  <c r="D3803" i="2"/>
  <c r="D3804" i="2"/>
  <c r="D3805" i="2"/>
  <c r="D3806" i="2"/>
  <c r="D3807" i="2"/>
  <c r="D3808" i="2"/>
  <c r="D3809" i="2"/>
  <c r="D3810" i="2"/>
  <c r="D3811" i="2"/>
  <c r="D3812" i="2"/>
  <c r="D3813" i="2"/>
  <c r="D3814" i="2"/>
  <c r="D3815" i="2"/>
  <c r="D3816" i="2"/>
  <c r="D3817" i="2"/>
  <c r="D3818" i="2"/>
  <c r="D3819" i="2"/>
  <c r="D3820" i="2"/>
  <c r="D3821" i="2"/>
  <c r="D3822" i="2"/>
  <c r="D3823" i="2"/>
  <c r="D3824" i="2"/>
  <c r="D3825" i="2"/>
  <c r="D3826" i="2"/>
  <c r="D3827" i="2"/>
  <c r="D3828" i="2"/>
  <c r="D3829" i="2"/>
  <c r="D3830" i="2"/>
  <c r="D3831" i="2"/>
  <c r="D3832" i="2"/>
  <c r="D3833" i="2"/>
  <c r="D3834" i="2"/>
  <c r="D3835" i="2"/>
  <c r="D3836" i="2"/>
  <c r="D3837" i="2"/>
  <c r="D3838" i="2"/>
  <c r="D3839" i="2"/>
  <c r="D3840" i="2"/>
  <c r="D3841" i="2"/>
  <c r="D3842" i="2"/>
  <c r="D3843" i="2"/>
  <c r="D3844" i="2"/>
  <c r="D3845" i="2"/>
  <c r="D3846" i="2"/>
  <c r="D3847" i="2"/>
  <c r="D3848" i="2"/>
  <c r="D3849" i="2"/>
  <c r="D3850" i="2"/>
  <c r="D3851" i="2"/>
  <c r="D3852" i="2"/>
  <c r="D3853" i="2"/>
  <c r="D3854" i="2"/>
  <c r="D3855" i="2"/>
  <c r="D3856" i="2"/>
  <c r="D3857" i="2"/>
  <c r="D3858" i="2"/>
  <c r="D3859" i="2"/>
  <c r="D3860" i="2"/>
  <c r="D3861" i="2"/>
  <c r="D3862" i="2"/>
  <c r="D3863" i="2"/>
  <c r="D3864" i="2"/>
  <c r="D3865" i="2"/>
  <c r="D3866" i="2"/>
  <c r="D3867" i="2"/>
  <c r="D3868" i="2"/>
  <c r="D3869" i="2"/>
  <c r="D3870" i="2"/>
  <c r="D3871" i="2"/>
  <c r="D3872" i="2"/>
  <c r="D3873" i="2"/>
  <c r="D3874" i="2"/>
  <c r="D3875" i="2"/>
  <c r="D3876" i="2"/>
  <c r="D3877" i="2"/>
  <c r="D3878" i="2"/>
  <c r="D3879" i="2"/>
  <c r="D3880" i="2"/>
  <c r="D3881" i="2"/>
  <c r="D3882" i="2"/>
  <c r="D3883" i="2"/>
  <c r="D3884" i="2"/>
  <c r="D3885" i="2"/>
  <c r="D3886" i="2"/>
  <c r="D3887" i="2"/>
  <c r="D3888" i="2"/>
  <c r="D3889" i="2"/>
  <c r="D3890" i="2"/>
  <c r="D3891" i="2"/>
  <c r="D3892" i="2"/>
  <c r="D3893" i="2"/>
  <c r="D3894" i="2"/>
  <c r="D3895" i="2"/>
  <c r="D3896" i="2"/>
  <c r="D3897" i="2"/>
  <c r="D3898" i="2"/>
  <c r="D3899" i="2"/>
  <c r="D3900" i="2"/>
  <c r="D3901" i="2"/>
  <c r="D3902" i="2"/>
  <c r="D3903" i="2"/>
  <c r="D3904" i="2"/>
  <c r="D3905" i="2"/>
  <c r="D3906" i="2"/>
  <c r="D3907" i="2"/>
  <c r="D3908" i="2"/>
  <c r="D3909" i="2"/>
  <c r="D3910" i="2"/>
  <c r="D3911" i="2"/>
  <c r="D3912" i="2"/>
  <c r="D3913" i="2"/>
  <c r="D3914" i="2"/>
  <c r="D3915" i="2"/>
  <c r="D3916" i="2"/>
  <c r="D3917" i="2"/>
  <c r="D3918" i="2"/>
  <c r="D3919" i="2"/>
  <c r="D3920" i="2"/>
  <c r="D3921" i="2"/>
  <c r="D3922" i="2"/>
  <c r="D3923" i="2"/>
  <c r="D3924" i="2"/>
  <c r="D3925" i="2"/>
  <c r="D3926" i="2"/>
  <c r="D3927" i="2"/>
  <c r="D3928" i="2"/>
  <c r="D3929" i="2"/>
  <c r="D3930" i="2"/>
  <c r="D3931" i="2"/>
  <c r="D3932" i="2"/>
  <c r="D3933" i="2"/>
  <c r="D3934" i="2"/>
  <c r="D3935" i="2"/>
  <c r="D3936" i="2"/>
  <c r="D3937" i="2"/>
  <c r="D3938" i="2"/>
  <c r="D3939" i="2"/>
  <c r="D3940" i="2"/>
  <c r="D3941" i="2"/>
  <c r="D3942" i="2"/>
  <c r="D3943" i="2"/>
  <c r="D3944" i="2"/>
  <c r="D3945" i="2"/>
  <c r="D3946" i="2"/>
  <c r="D3947" i="2"/>
  <c r="D3948" i="2"/>
  <c r="D3949" i="2"/>
  <c r="D3950" i="2"/>
  <c r="D3951" i="2"/>
  <c r="D3952" i="2"/>
  <c r="D3953" i="2"/>
  <c r="D3954" i="2"/>
  <c r="D3955" i="2"/>
  <c r="D3956" i="2"/>
  <c r="D3957" i="2"/>
  <c r="D3958" i="2"/>
  <c r="D3959" i="2"/>
  <c r="D3960" i="2"/>
  <c r="D3961" i="2"/>
  <c r="D3962" i="2"/>
  <c r="D3963" i="2"/>
  <c r="D3964" i="2"/>
  <c r="D3965" i="2"/>
  <c r="D3966" i="2"/>
  <c r="D3967" i="2"/>
  <c r="D3968" i="2"/>
  <c r="D3969" i="2"/>
  <c r="D3970" i="2"/>
  <c r="D3971" i="2"/>
  <c r="D3972" i="2"/>
  <c r="D3973" i="2"/>
  <c r="D3974" i="2"/>
  <c r="D3975" i="2"/>
  <c r="D3976" i="2"/>
  <c r="D3977" i="2"/>
  <c r="D3978" i="2"/>
  <c r="D3979" i="2"/>
  <c r="D3980" i="2"/>
  <c r="D3981" i="2"/>
  <c r="D3982" i="2"/>
  <c r="D3983" i="2"/>
  <c r="D3984" i="2"/>
  <c r="D3985" i="2"/>
  <c r="D3986" i="2"/>
  <c r="D3987" i="2"/>
  <c r="D3988" i="2"/>
  <c r="D3989" i="2"/>
  <c r="D3990" i="2"/>
  <c r="D3991" i="2"/>
  <c r="D3992" i="2"/>
  <c r="D3993" i="2"/>
  <c r="D3994" i="2"/>
  <c r="D3995" i="2"/>
  <c r="D3996" i="2"/>
  <c r="D3997" i="2"/>
  <c r="D3998" i="2"/>
  <c r="D3999" i="2"/>
  <c r="D4000" i="2"/>
  <c r="D4001" i="2"/>
  <c r="D4002" i="2"/>
  <c r="D4003" i="2"/>
  <c r="D4004" i="2"/>
  <c r="D4005" i="2"/>
  <c r="D4006" i="2"/>
  <c r="D4007" i="2"/>
  <c r="D4008" i="2"/>
  <c r="D4009" i="2"/>
  <c r="D4010" i="2"/>
  <c r="D4011" i="2"/>
  <c r="D4012" i="2"/>
  <c r="D4013" i="2"/>
  <c r="D4014" i="2"/>
  <c r="D4015" i="2"/>
  <c r="D4016" i="2"/>
  <c r="D4017" i="2"/>
  <c r="D4018" i="2"/>
  <c r="D4019" i="2"/>
  <c r="D4020" i="2"/>
  <c r="D4021" i="2"/>
  <c r="D4022" i="2"/>
  <c r="D4023" i="2"/>
  <c r="D4024" i="2"/>
  <c r="D4025" i="2"/>
  <c r="D4026" i="2"/>
  <c r="D4027" i="2"/>
  <c r="D4028" i="2"/>
  <c r="D4029" i="2"/>
  <c r="D4030" i="2"/>
  <c r="D4031" i="2"/>
  <c r="D4032" i="2"/>
  <c r="D4033" i="2"/>
  <c r="D4034" i="2"/>
  <c r="D4035" i="2"/>
  <c r="D4036" i="2"/>
  <c r="D4037" i="2"/>
  <c r="D4038" i="2"/>
  <c r="D4039" i="2"/>
  <c r="D4040" i="2"/>
  <c r="D4041" i="2"/>
  <c r="D4042" i="2"/>
  <c r="D4043" i="2"/>
  <c r="D4044" i="2"/>
  <c r="D4045" i="2"/>
  <c r="D4046" i="2"/>
  <c r="D4047" i="2"/>
  <c r="D4048" i="2"/>
  <c r="D4049" i="2"/>
  <c r="D4050" i="2"/>
  <c r="D4051" i="2"/>
  <c r="D4052" i="2"/>
  <c r="D4053" i="2"/>
  <c r="D4054" i="2"/>
  <c r="D4055" i="2"/>
  <c r="D4056" i="2"/>
  <c r="D4057" i="2"/>
  <c r="D4058" i="2"/>
  <c r="D4059" i="2"/>
  <c r="D4060" i="2"/>
  <c r="D4061" i="2"/>
  <c r="D4062" i="2"/>
  <c r="D4063" i="2"/>
  <c r="D4064" i="2"/>
  <c r="D4065" i="2"/>
  <c r="D4066" i="2"/>
  <c r="D4067" i="2"/>
  <c r="D4068" i="2"/>
  <c r="D4069" i="2"/>
  <c r="D4070" i="2"/>
  <c r="D4071" i="2"/>
  <c r="D4072" i="2"/>
  <c r="D4073" i="2"/>
  <c r="D4074" i="2"/>
  <c r="D4075" i="2"/>
  <c r="D4076" i="2"/>
  <c r="D4077" i="2"/>
  <c r="D4078" i="2"/>
  <c r="D4079" i="2"/>
  <c r="D4080" i="2"/>
  <c r="D4081" i="2"/>
  <c r="D4082" i="2"/>
  <c r="D4083" i="2"/>
  <c r="D4084" i="2"/>
  <c r="D4085" i="2"/>
  <c r="D4086" i="2"/>
  <c r="D4087" i="2"/>
  <c r="D4088" i="2"/>
  <c r="D4089" i="2"/>
  <c r="D4090" i="2"/>
  <c r="D4091" i="2"/>
  <c r="D4092" i="2"/>
  <c r="D4093" i="2"/>
  <c r="D4094" i="2"/>
  <c r="D4095" i="2"/>
  <c r="D4096" i="2"/>
  <c r="D4097" i="2"/>
  <c r="D4098" i="2"/>
  <c r="D4099" i="2"/>
  <c r="D4100" i="2"/>
  <c r="D4101" i="2"/>
  <c r="D4102" i="2"/>
  <c r="D4103" i="2"/>
  <c r="D4104" i="2"/>
  <c r="D4105" i="2"/>
  <c r="D4106" i="2"/>
  <c r="D4107" i="2"/>
  <c r="D4108" i="2"/>
  <c r="D4109" i="2"/>
  <c r="D4110" i="2"/>
  <c r="D4111" i="2"/>
  <c r="D4112" i="2"/>
  <c r="D4113" i="2"/>
  <c r="D4114" i="2"/>
  <c r="D4115" i="2"/>
  <c r="D4116" i="2"/>
  <c r="D4117" i="2"/>
  <c r="D4118" i="2"/>
  <c r="D4119" i="2"/>
  <c r="D4120" i="2"/>
  <c r="D4121" i="2"/>
  <c r="D4122" i="2"/>
  <c r="D4123" i="2"/>
  <c r="D4124" i="2"/>
  <c r="D4125" i="2"/>
  <c r="D4126" i="2"/>
  <c r="D4127" i="2"/>
  <c r="D4128" i="2"/>
  <c r="D4129" i="2"/>
  <c r="D4130" i="2"/>
  <c r="D4131" i="2"/>
  <c r="D4132" i="2"/>
  <c r="D4133" i="2"/>
  <c r="D4134" i="2"/>
  <c r="D4135" i="2"/>
  <c r="D4136" i="2"/>
  <c r="D4137" i="2"/>
  <c r="D4138" i="2"/>
  <c r="D4139" i="2"/>
  <c r="D4140" i="2"/>
  <c r="D4141" i="2"/>
  <c r="D4142" i="2"/>
  <c r="D4143" i="2"/>
  <c r="D4144" i="2"/>
  <c r="D4145" i="2"/>
  <c r="D4146" i="2"/>
  <c r="D4147" i="2"/>
  <c r="D4148" i="2"/>
  <c r="D4149" i="2"/>
  <c r="D4150" i="2"/>
  <c r="D4151" i="2"/>
  <c r="D4152" i="2"/>
  <c r="D4153" i="2"/>
  <c r="D4154" i="2"/>
  <c r="D4155" i="2"/>
  <c r="D4156" i="2"/>
  <c r="D4157" i="2"/>
  <c r="D4158" i="2"/>
  <c r="D4159" i="2"/>
  <c r="D4160" i="2"/>
  <c r="D4161" i="2"/>
  <c r="D4162" i="2"/>
  <c r="D4163" i="2"/>
  <c r="D4164" i="2"/>
  <c r="D4165" i="2"/>
  <c r="D4166" i="2"/>
  <c r="D4167" i="2"/>
  <c r="D4168" i="2"/>
  <c r="D4169" i="2"/>
  <c r="D4170" i="2"/>
  <c r="D4171" i="2"/>
  <c r="D4172" i="2"/>
  <c r="D4173" i="2"/>
  <c r="D4174" i="2"/>
  <c r="D4175" i="2"/>
  <c r="D4176" i="2"/>
  <c r="D4177" i="2"/>
  <c r="D4178" i="2"/>
  <c r="D4179" i="2"/>
  <c r="D4180" i="2"/>
  <c r="D4181" i="2"/>
  <c r="D4182" i="2"/>
  <c r="D4183" i="2"/>
  <c r="D4184" i="2"/>
  <c r="D4185" i="2"/>
  <c r="D4186" i="2"/>
  <c r="D4187" i="2"/>
  <c r="D4188" i="2"/>
  <c r="D4189" i="2"/>
  <c r="D4190" i="2"/>
  <c r="D4191" i="2"/>
  <c r="D4192" i="2"/>
  <c r="D4193" i="2"/>
  <c r="D4194" i="2"/>
  <c r="D4195" i="2"/>
  <c r="D4196" i="2"/>
  <c r="D4197" i="2"/>
  <c r="D4198" i="2"/>
  <c r="D4199" i="2"/>
  <c r="D4200" i="2"/>
  <c r="D4201" i="2"/>
  <c r="D4202" i="2"/>
  <c r="D4203" i="2"/>
  <c r="D4204" i="2"/>
  <c r="D4205" i="2"/>
  <c r="D4206" i="2"/>
  <c r="D4207" i="2"/>
  <c r="D4208" i="2"/>
  <c r="D4209" i="2"/>
  <c r="D4210" i="2"/>
  <c r="D4211" i="2"/>
  <c r="D4212" i="2"/>
  <c r="D4213" i="2"/>
  <c r="D4214" i="2"/>
  <c r="D4215" i="2"/>
  <c r="D4216" i="2"/>
  <c r="D4217" i="2"/>
  <c r="D4218" i="2"/>
  <c r="D4219" i="2"/>
  <c r="D4220" i="2"/>
  <c r="D4221" i="2"/>
  <c r="D4222" i="2"/>
  <c r="D4223" i="2"/>
  <c r="D4224" i="2"/>
  <c r="D4225" i="2"/>
  <c r="D4226" i="2"/>
  <c r="D4227" i="2"/>
  <c r="D4228" i="2"/>
  <c r="D4229" i="2"/>
  <c r="D4230" i="2"/>
  <c r="D4231" i="2"/>
  <c r="D4232" i="2"/>
  <c r="D4233" i="2"/>
  <c r="D4234" i="2"/>
  <c r="D4235" i="2"/>
  <c r="D4236" i="2"/>
  <c r="D4237" i="2"/>
  <c r="D4238" i="2"/>
  <c r="D4239" i="2"/>
  <c r="D4240" i="2"/>
  <c r="D4241" i="2"/>
  <c r="D4242" i="2"/>
  <c r="D4243" i="2"/>
  <c r="D4244" i="2"/>
  <c r="D4245" i="2"/>
  <c r="D4246" i="2"/>
  <c r="D4247" i="2"/>
  <c r="D4248" i="2"/>
  <c r="D4249" i="2"/>
  <c r="D4250" i="2"/>
  <c r="D4251" i="2"/>
  <c r="D4252" i="2"/>
  <c r="D4253" i="2"/>
  <c r="D4254" i="2"/>
  <c r="D4255" i="2"/>
  <c r="D4256" i="2"/>
  <c r="D4257" i="2"/>
  <c r="D4258" i="2"/>
  <c r="D4259" i="2"/>
  <c r="D4260" i="2"/>
  <c r="D4261" i="2"/>
  <c r="D4262" i="2"/>
  <c r="D4263" i="2"/>
  <c r="D4264" i="2"/>
  <c r="D4265" i="2"/>
  <c r="D4266" i="2"/>
  <c r="D4267" i="2"/>
  <c r="D4268" i="2"/>
  <c r="D4269" i="2"/>
  <c r="D4270" i="2"/>
  <c r="D4271" i="2"/>
  <c r="D4272" i="2"/>
  <c r="D4273" i="2"/>
  <c r="D4274" i="2"/>
  <c r="D4275" i="2"/>
  <c r="D4276" i="2"/>
  <c r="D4277" i="2"/>
  <c r="D4278" i="2"/>
  <c r="D4279" i="2"/>
  <c r="D4280" i="2"/>
  <c r="D4281" i="2"/>
  <c r="D4282" i="2"/>
  <c r="D4283" i="2"/>
  <c r="D4284" i="2"/>
  <c r="D4285" i="2"/>
  <c r="D4286" i="2"/>
  <c r="D4287" i="2"/>
  <c r="D4288" i="2"/>
  <c r="D4289" i="2"/>
  <c r="D4290" i="2"/>
  <c r="D4291" i="2"/>
  <c r="D4292" i="2"/>
  <c r="D4293" i="2"/>
  <c r="D4294" i="2"/>
  <c r="D4295" i="2"/>
  <c r="D4296" i="2"/>
  <c r="D4297" i="2"/>
  <c r="D4298" i="2"/>
  <c r="D4299" i="2"/>
  <c r="D4300" i="2"/>
  <c r="D4301" i="2"/>
  <c r="D4302" i="2"/>
  <c r="D4303" i="2"/>
  <c r="D4304" i="2"/>
  <c r="D4305" i="2"/>
  <c r="D4306" i="2"/>
  <c r="D4307" i="2"/>
  <c r="D4308" i="2"/>
  <c r="D4309" i="2"/>
  <c r="D4310" i="2"/>
  <c r="D4311" i="2"/>
  <c r="D4312" i="2"/>
  <c r="D4313" i="2"/>
  <c r="D4314" i="2"/>
  <c r="D4315" i="2"/>
  <c r="D4316" i="2"/>
  <c r="D4317" i="2"/>
  <c r="D4318" i="2"/>
  <c r="D4319" i="2"/>
  <c r="D4320" i="2"/>
  <c r="D4321" i="2"/>
  <c r="D4322" i="2"/>
  <c r="D4323" i="2"/>
  <c r="D4324" i="2"/>
  <c r="D4325" i="2"/>
  <c r="D4326" i="2"/>
  <c r="D4327" i="2"/>
  <c r="D4328" i="2"/>
  <c r="D4329" i="2"/>
  <c r="D4330" i="2"/>
  <c r="D4331" i="2"/>
  <c r="D4332" i="2"/>
  <c r="D4333" i="2"/>
  <c r="D4334" i="2"/>
  <c r="D4335" i="2"/>
  <c r="D4336" i="2"/>
  <c r="D4337" i="2"/>
  <c r="D4338" i="2"/>
  <c r="D4339" i="2"/>
  <c r="D4340" i="2"/>
  <c r="D4341" i="2"/>
  <c r="D4342" i="2"/>
  <c r="D4343" i="2"/>
  <c r="D4344" i="2"/>
  <c r="D4345" i="2"/>
  <c r="D4346" i="2"/>
  <c r="D4347" i="2"/>
  <c r="D4348" i="2"/>
  <c r="D4349" i="2"/>
  <c r="D4350" i="2"/>
  <c r="D4351" i="2"/>
  <c r="D4352" i="2"/>
  <c r="D4353" i="2"/>
  <c r="D4354" i="2"/>
  <c r="D4355" i="2"/>
  <c r="D4356" i="2"/>
  <c r="D4357" i="2"/>
  <c r="D4358" i="2"/>
  <c r="D4359" i="2"/>
  <c r="D4360" i="2"/>
  <c r="D4361" i="2"/>
  <c r="D4362" i="2"/>
  <c r="D4363" i="2"/>
  <c r="D4364" i="2"/>
  <c r="D4365" i="2"/>
  <c r="D4366" i="2"/>
  <c r="D4367" i="2"/>
  <c r="D4368" i="2"/>
  <c r="D4369" i="2"/>
  <c r="D4370" i="2"/>
  <c r="D4371" i="2"/>
  <c r="D4372" i="2"/>
  <c r="D4373" i="2"/>
  <c r="D4374" i="2"/>
  <c r="D4375" i="2"/>
  <c r="D4376" i="2"/>
  <c r="D4377" i="2"/>
  <c r="D4378" i="2"/>
  <c r="D4379" i="2"/>
  <c r="D4380" i="2"/>
  <c r="D4381" i="2"/>
  <c r="D4382" i="2"/>
  <c r="D4383" i="2"/>
  <c r="D4384" i="2"/>
  <c r="D4385" i="2"/>
  <c r="D4386" i="2"/>
  <c r="D4387" i="2"/>
  <c r="D4388" i="2"/>
  <c r="D4389" i="2"/>
  <c r="D4390" i="2"/>
  <c r="D4391" i="2"/>
  <c r="D4392" i="2"/>
  <c r="D4393" i="2"/>
  <c r="D4394" i="2"/>
  <c r="D4395" i="2"/>
  <c r="D4396" i="2"/>
  <c r="D4397" i="2"/>
  <c r="D4398" i="2"/>
  <c r="D4399" i="2"/>
  <c r="D4400" i="2"/>
  <c r="D4401" i="2"/>
  <c r="D4402" i="2"/>
  <c r="D4403" i="2"/>
  <c r="D4404" i="2"/>
  <c r="D4405" i="2"/>
  <c r="D4406" i="2"/>
  <c r="D4407" i="2"/>
  <c r="D4408" i="2"/>
  <c r="D4409" i="2"/>
  <c r="D4410" i="2"/>
  <c r="D4411" i="2"/>
  <c r="D4412" i="2"/>
  <c r="D4413" i="2"/>
  <c r="D4414" i="2"/>
  <c r="D4415" i="2"/>
  <c r="D4416" i="2"/>
  <c r="D4417" i="2"/>
  <c r="D4418" i="2"/>
  <c r="D4419" i="2"/>
  <c r="D4420" i="2"/>
  <c r="D4421" i="2"/>
  <c r="D4422" i="2"/>
  <c r="D4423" i="2"/>
  <c r="D4424" i="2"/>
  <c r="D4425" i="2"/>
  <c r="D4426" i="2"/>
  <c r="D4427" i="2"/>
  <c r="D4428" i="2"/>
  <c r="D4429" i="2"/>
  <c r="D4430" i="2"/>
  <c r="D4431" i="2"/>
  <c r="D4432" i="2"/>
  <c r="D4433" i="2"/>
  <c r="D4434" i="2"/>
  <c r="D4435" i="2"/>
  <c r="D4436" i="2"/>
  <c r="D4437" i="2"/>
  <c r="D4438" i="2"/>
  <c r="D4439" i="2"/>
  <c r="D4440" i="2"/>
  <c r="D4441" i="2"/>
  <c r="D4442" i="2"/>
  <c r="D4443" i="2"/>
  <c r="D4444" i="2"/>
  <c r="D4445" i="2"/>
  <c r="D4446" i="2"/>
  <c r="D4447" i="2"/>
  <c r="D4448" i="2"/>
  <c r="D4449" i="2"/>
  <c r="D4450" i="2"/>
  <c r="D4451" i="2"/>
  <c r="D4452" i="2"/>
  <c r="D4453" i="2"/>
  <c r="D4454" i="2"/>
  <c r="D4455" i="2"/>
  <c r="D4456" i="2"/>
  <c r="D4457" i="2"/>
  <c r="D4458" i="2"/>
  <c r="D4459" i="2"/>
  <c r="D4460" i="2"/>
  <c r="D4461" i="2"/>
  <c r="D4462" i="2"/>
  <c r="D4463" i="2"/>
  <c r="D4464" i="2"/>
  <c r="D4465" i="2"/>
  <c r="D4466" i="2"/>
  <c r="D4467" i="2"/>
  <c r="D4468" i="2"/>
  <c r="D4469" i="2"/>
  <c r="D4470" i="2"/>
  <c r="D4471" i="2"/>
  <c r="D4472" i="2"/>
  <c r="D4473" i="2"/>
  <c r="D4474" i="2"/>
  <c r="D4475" i="2"/>
  <c r="D4476" i="2"/>
  <c r="D4477" i="2"/>
  <c r="D4478" i="2"/>
  <c r="D4479" i="2"/>
  <c r="D4480" i="2"/>
  <c r="D4481" i="2"/>
  <c r="D4482" i="2"/>
  <c r="D4483" i="2"/>
  <c r="D4484" i="2"/>
  <c r="D4485" i="2"/>
  <c r="D4486" i="2"/>
  <c r="D4487" i="2"/>
  <c r="D4488" i="2"/>
  <c r="D4489" i="2"/>
  <c r="D4490" i="2"/>
  <c r="D4491" i="2"/>
  <c r="D4492" i="2"/>
  <c r="D4493" i="2"/>
  <c r="D4494" i="2"/>
  <c r="D4495" i="2"/>
  <c r="D4496" i="2"/>
  <c r="D4497" i="2"/>
  <c r="D4498" i="2"/>
  <c r="D4499" i="2"/>
  <c r="D4500" i="2"/>
  <c r="D4501" i="2"/>
  <c r="D4502" i="2"/>
  <c r="D4503" i="2"/>
  <c r="D4504" i="2"/>
  <c r="D4505" i="2"/>
  <c r="D4506" i="2"/>
  <c r="D4507" i="2"/>
  <c r="D4508" i="2"/>
  <c r="D4509" i="2"/>
  <c r="D4510" i="2"/>
  <c r="D4511" i="2"/>
  <c r="D4512" i="2"/>
  <c r="D4513" i="2"/>
  <c r="D4514" i="2"/>
  <c r="D4515" i="2"/>
  <c r="D4516" i="2"/>
  <c r="D4517" i="2"/>
  <c r="D4518" i="2"/>
  <c r="D4519" i="2"/>
  <c r="D4520" i="2"/>
  <c r="D4521" i="2"/>
  <c r="D4522" i="2"/>
  <c r="D4523" i="2"/>
  <c r="D4524" i="2"/>
  <c r="D4525" i="2"/>
  <c r="D4526" i="2"/>
  <c r="D4527" i="2"/>
  <c r="D4528" i="2"/>
  <c r="D4529" i="2"/>
  <c r="D4530" i="2"/>
  <c r="D4531" i="2"/>
  <c r="D4532" i="2"/>
  <c r="D4533" i="2"/>
  <c r="D4534" i="2"/>
  <c r="D4535" i="2"/>
  <c r="D4536" i="2"/>
  <c r="D4537" i="2"/>
  <c r="D4538" i="2"/>
  <c r="D4539" i="2"/>
  <c r="D4540" i="2"/>
  <c r="D4541" i="2"/>
  <c r="D4542" i="2"/>
  <c r="D4543" i="2"/>
  <c r="D4544" i="2"/>
  <c r="D4545" i="2"/>
  <c r="D4546" i="2"/>
  <c r="D4547" i="2"/>
  <c r="D4548" i="2"/>
  <c r="D4549" i="2"/>
  <c r="D4550" i="2"/>
  <c r="D4551" i="2"/>
  <c r="D4552" i="2"/>
  <c r="D4553" i="2"/>
  <c r="D4554" i="2"/>
  <c r="D4555" i="2"/>
  <c r="D4556" i="2"/>
  <c r="D4557" i="2"/>
  <c r="D4558" i="2"/>
  <c r="D4559" i="2"/>
  <c r="D4560" i="2"/>
  <c r="D4561" i="2"/>
  <c r="D4562" i="2"/>
  <c r="D4563" i="2"/>
  <c r="D4564" i="2"/>
  <c r="D4565" i="2"/>
  <c r="D4566" i="2"/>
  <c r="D4567" i="2"/>
  <c r="D4568" i="2"/>
  <c r="D4569" i="2"/>
  <c r="D4570" i="2"/>
  <c r="D4571" i="2"/>
  <c r="D4572" i="2"/>
  <c r="D4573" i="2"/>
  <c r="D4574" i="2"/>
  <c r="D4575" i="2"/>
  <c r="D4576" i="2"/>
  <c r="D4577" i="2"/>
  <c r="D4578" i="2"/>
  <c r="D4579" i="2"/>
  <c r="D4580" i="2"/>
  <c r="D4581" i="2"/>
  <c r="D4582" i="2"/>
  <c r="D4583" i="2"/>
  <c r="D4584" i="2"/>
  <c r="D4585" i="2"/>
  <c r="D4586" i="2"/>
  <c r="D4587" i="2"/>
  <c r="D4588" i="2"/>
  <c r="D4589" i="2"/>
  <c r="D4590" i="2"/>
  <c r="D4591" i="2"/>
  <c r="D4592" i="2"/>
  <c r="D4593" i="2"/>
  <c r="D4594" i="2"/>
  <c r="D4595" i="2"/>
  <c r="D4596" i="2"/>
  <c r="D4597" i="2"/>
  <c r="D4598" i="2"/>
  <c r="D4599" i="2"/>
  <c r="D4600" i="2"/>
  <c r="D4601" i="2"/>
  <c r="D4602" i="2"/>
  <c r="D4603" i="2"/>
  <c r="D4604" i="2"/>
  <c r="D4605" i="2"/>
  <c r="D4606" i="2"/>
  <c r="D4607" i="2"/>
  <c r="D4608" i="2"/>
  <c r="D4609" i="2"/>
  <c r="D4610" i="2"/>
  <c r="D4611" i="2"/>
  <c r="D4612" i="2"/>
  <c r="D4613" i="2"/>
  <c r="D4614" i="2"/>
  <c r="D4615" i="2"/>
  <c r="D4616" i="2"/>
  <c r="D4617" i="2"/>
  <c r="D4618" i="2"/>
  <c r="D4619" i="2"/>
  <c r="D4620" i="2"/>
  <c r="D4621" i="2"/>
  <c r="D4622" i="2"/>
  <c r="D4623" i="2"/>
  <c r="D4624" i="2"/>
  <c r="D4625" i="2"/>
  <c r="D4626" i="2"/>
  <c r="D4627" i="2"/>
  <c r="D4628" i="2"/>
  <c r="D4629" i="2"/>
  <c r="D4630" i="2"/>
  <c r="D4631" i="2"/>
  <c r="D4632" i="2"/>
  <c r="D4633" i="2"/>
  <c r="D4634" i="2"/>
  <c r="D4635" i="2"/>
  <c r="D4636" i="2"/>
  <c r="D4637" i="2"/>
  <c r="D4638" i="2"/>
  <c r="D4639" i="2"/>
  <c r="D4640" i="2"/>
  <c r="D4641" i="2"/>
  <c r="D4642" i="2"/>
  <c r="D4643" i="2"/>
  <c r="D4644" i="2"/>
  <c r="D4645" i="2"/>
  <c r="D4646" i="2"/>
  <c r="D4647" i="2"/>
  <c r="D4648" i="2"/>
  <c r="D4649" i="2"/>
  <c r="D4650" i="2"/>
  <c r="D4651" i="2"/>
  <c r="D4652" i="2"/>
  <c r="D4653" i="2"/>
  <c r="D4654" i="2"/>
  <c r="D4655" i="2"/>
  <c r="D4656" i="2"/>
  <c r="D4657" i="2"/>
  <c r="D4658" i="2"/>
  <c r="D4659" i="2"/>
  <c r="D4660" i="2"/>
  <c r="D4661" i="2"/>
  <c r="D4662" i="2"/>
  <c r="D4663" i="2"/>
  <c r="D4664" i="2"/>
  <c r="D4665" i="2"/>
  <c r="D4666" i="2"/>
  <c r="D4667" i="2"/>
  <c r="D4668" i="2"/>
  <c r="D4669" i="2"/>
  <c r="D4670" i="2"/>
  <c r="D4671" i="2"/>
  <c r="D4672" i="2"/>
  <c r="D4673" i="2"/>
  <c r="D4674" i="2"/>
  <c r="D4675" i="2"/>
  <c r="D4676" i="2"/>
  <c r="D4677" i="2"/>
  <c r="D4678" i="2"/>
  <c r="D4679" i="2"/>
  <c r="D4680" i="2"/>
  <c r="D4681" i="2"/>
  <c r="D4682" i="2"/>
  <c r="D4683" i="2"/>
  <c r="D4684" i="2"/>
  <c r="D4685" i="2"/>
  <c r="D4686" i="2"/>
  <c r="D4687" i="2"/>
  <c r="D4688" i="2"/>
  <c r="D4689" i="2"/>
  <c r="D4690" i="2"/>
  <c r="D4691" i="2"/>
  <c r="D4692" i="2"/>
  <c r="D4693" i="2"/>
  <c r="D4694" i="2"/>
  <c r="D4695" i="2"/>
  <c r="D4696" i="2"/>
  <c r="D4697" i="2"/>
  <c r="D4698" i="2"/>
  <c r="D4699" i="2"/>
  <c r="D4700" i="2"/>
  <c r="D4701" i="2"/>
  <c r="D4702" i="2"/>
  <c r="D4703" i="2"/>
  <c r="D4704" i="2"/>
  <c r="D4705" i="2"/>
  <c r="D4706" i="2"/>
  <c r="D4707" i="2"/>
  <c r="D4708" i="2"/>
  <c r="D4709" i="2"/>
  <c r="D4710" i="2"/>
  <c r="D4711" i="2"/>
  <c r="D4712" i="2"/>
  <c r="D4713" i="2"/>
  <c r="D4714" i="2"/>
  <c r="D4715" i="2"/>
  <c r="D4716" i="2"/>
  <c r="D4717" i="2"/>
  <c r="D4718" i="2"/>
  <c r="D4719" i="2"/>
  <c r="D4720" i="2"/>
  <c r="D4721" i="2"/>
  <c r="D4722" i="2"/>
  <c r="D4723" i="2"/>
  <c r="D4724" i="2"/>
  <c r="D4725" i="2"/>
  <c r="D4726" i="2"/>
  <c r="D4727" i="2"/>
  <c r="D4728" i="2"/>
  <c r="D4729" i="2"/>
  <c r="D4730" i="2"/>
  <c r="D4731" i="2"/>
  <c r="D4732" i="2"/>
  <c r="D4733" i="2"/>
  <c r="D4734" i="2"/>
  <c r="D4735" i="2"/>
  <c r="D4736" i="2"/>
  <c r="D4737" i="2"/>
  <c r="D4738" i="2"/>
  <c r="D4739" i="2"/>
  <c r="D4740" i="2"/>
  <c r="D4741" i="2"/>
  <c r="D4742" i="2"/>
  <c r="D4743" i="2"/>
  <c r="D4744" i="2"/>
  <c r="D4745" i="2"/>
  <c r="D4746" i="2"/>
  <c r="D4747" i="2"/>
  <c r="D4748" i="2"/>
  <c r="D4749" i="2"/>
  <c r="D4750" i="2"/>
  <c r="D4751" i="2"/>
  <c r="D4752" i="2"/>
  <c r="D4753" i="2"/>
  <c r="D4754" i="2"/>
  <c r="D4755" i="2"/>
  <c r="D4756" i="2"/>
  <c r="D4757" i="2"/>
  <c r="D4758" i="2"/>
  <c r="D4759" i="2"/>
  <c r="D4760" i="2"/>
  <c r="D4761" i="2"/>
  <c r="D4762" i="2"/>
  <c r="D4763" i="2"/>
  <c r="D4764" i="2"/>
  <c r="D4765" i="2"/>
  <c r="D4766" i="2"/>
  <c r="D4767" i="2"/>
  <c r="D4768" i="2"/>
  <c r="D4769" i="2"/>
  <c r="D4770" i="2"/>
  <c r="D4771" i="2"/>
  <c r="D4772" i="2"/>
  <c r="D4773" i="2"/>
  <c r="D4774" i="2"/>
  <c r="D4775" i="2"/>
  <c r="D4776" i="2"/>
  <c r="D4777" i="2"/>
  <c r="D4778" i="2"/>
  <c r="D4779" i="2"/>
  <c r="D4780" i="2"/>
  <c r="D4781" i="2"/>
  <c r="D4782" i="2"/>
  <c r="D4783" i="2"/>
  <c r="D4784" i="2"/>
  <c r="D4785" i="2"/>
  <c r="D4786" i="2"/>
  <c r="D4787" i="2"/>
  <c r="D4788" i="2"/>
  <c r="D4789" i="2"/>
  <c r="D4790" i="2"/>
  <c r="D4791" i="2"/>
  <c r="D4792" i="2"/>
  <c r="D4793" i="2"/>
  <c r="D4794" i="2"/>
  <c r="D4795" i="2"/>
  <c r="D4796" i="2"/>
  <c r="D4797" i="2"/>
  <c r="D4798" i="2"/>
  <c r="D4799" i="2"/>
  <c r="D4800" i="2"/>
  <c r="D4801" i="2"/>
  <c r="D4802" i="2"/>
  <c r="D4803" i="2"/>
  <c r="D4804" i="2"/>
  <c r="D4805" i="2"/>
  <c r="D4806" i="2"/>
  <c r="D4807" i="2"/>
  <c r="D4808" i="2"/>
  <c r="D4809" i="2"/>
  <c r="D4810" i="2"/>
  <c r="D4811" i="2"/>
  <c r="D4812" i="2"/>
  <c r="D4813" i="2"/>
  <c r="D4814" i="2"/>
  <c r="D4815" i="2"/>
  <c r="D4816" i="2"/>
  <c r="D4817" i="2"/>
  <c r="D4818" i="2"/>
  <c r="D4819" i="2"/>
  <c r="D4820" i="2"/>
  <c r="D4821" i="2"/>
  <c r="D4822" i="2"/>
  <c r="D4823" i="2"/>
  <c r="D4824" i="2"/>
  <c r="D4825" i="2"/>
  <c r="D4826" i="2"/>
  <c r="D4827" i="2"/>
  <c r="D4828" i="2"/>
  <c r="D4829" i="2"/>
  <c r="D4830" i="2"/>
  <c r="D4831" i="2"/>
  <c r="D4832" i="2"/>
  <c r="D4833" i="2"/>
  <c r="D4834" i="2"/>
  <c r="D4835" i="2"/>
  <c r="D4836" i="2"/>
  <c r="D4837" i="2"/>
  <c r="D4838" i="2"/>
  <c r="D4839" i="2"/>
  <c r="D4840" i="2"/>
  <c r="D4841" i="2"/>
  <c r="D4842" i="2"/>
  <c r="D4843" i="2"/>
  <c r="D4844" i="2"/>
  <c r="D4845" i="2"/>
  <c r="D4846" i="2"/>
  <c r="D4847" i="2"/>
  <c r="D4848" i="2"/>
  <c r="D4849" i="2"/>
  <c r="D4850" i="2"/>
  <c r="D4851" i="2"/>
  <c r="D4852" i="2"/>
  <c r="D4853" i="2"/>
  <c r="D4854" i="2"/>
  <c r="D4855" i="2"/>
  <c r="D4856" i="2"/>
  <c r="D4857" i="2"/>
  <c r="D4858" i="2"/>
  <c r="D4859" i="2"/>
  <c r="D4860" i="2"/>
  <c r="D4861" i="2"/>
  <c r="D4862" i="2"/>
  <c r="D4863" i="2"/>
  <c r="D4864" i="2"/>
  <c r="D4865" i="2"/>
  <c r="D4866" i="2"/>
  <c r="D4867" i="2"/>
  <c r="D4868" i="2"/>
  <c r="D4869" i="2"/>
  <c r="D4870" i="2"/>
  <c r="D4871" i="2"/>
  <c r="D4872" i="2"/>
  <c r="D4873" i="2"/>
  <c r="D4874" i="2"/>
  <c r="D4875" i="2"/>
  <c r="D4876" i="2"/>
  <c r="D4877" i="2"/>
  <c r="D4878" i="2"/>
  <c r="D4879" i="2"/>
  <c r="D4880" i="2"/>
  <c r="D4881" i="2"/>
  <c r="D4882" i="2"/>
  <c r="D4883" i="2"/>
  <c r="D4884" i="2"/>
  <c r="D4885" i="2"/>
  <c r="D4886" i="2"/>
  <c r="D4887" i="2"/>
  <c r="D4888" i="2"/>
  <c r="D4889" i="2"/>
  <c r="D4890" i="2"/>
  <c r="D4891" i="2"/>
  <c r="D4892" i="2"/>
  <c r="D4893" i="2"/>
  <c r="D4894" i="2"/>
  <c r="D4895" i="2"/>
  <c r="D4896" i="2"/>
  <c r="D4897" i="2"/>
  <c r="D4898" i="2"/>
  <c r="D4899" i="2"/>
  <c r="D4900" i="2"/>
  <c r="D4901" i="2"/>
  <c r="D4902" i="2"/>
  <c r="D4903" i="2"/>
  <c r="D4904" i="2"/>
  <c r="D4905" i="2"/>
  <c r="D4906" i="2"/>
  <c r="D4907" i="2"/>
  <c r="D4908" i="2"/>
  <c r="D4909" i="2"/>
  <c r="D4910" i="2"/>
  <c r="D4911" i="2"/>
  <c r="D4912" i="2"/>
  <c r="D4913" i="2"/>
  <c r="D4914" i="2"/>
  <c r="D4915" i="2"/>
  <c r="D4916" i="2"/>
  <c r="D4917" i="2"/>
  <c r="D4918" i="2"/>
  <c r="D4919" i="2"/>
  <c r="D4920" i="2"/>
  <c r="D4921" i="2"/>
  <c r="D4922" i="2"/>
  <c r="D4923" i="2"/>
  <c r="D4924" i="2"/>
  <c r="D4925" i="2"/>
  <c r="D4926" i="2"/>
  <c r="D4927" i="2"/>
  <c r="D4928" i="2"/>
  <c r="D4929" i="2"/>
  <c r="D4930" i="2"/>
  <c r="D4931" i="2"/>
  <c r="D4932" i="2"/>
  <c r="D4933" i="2"/>
  <c r="D4934" i="2"/>
  <c r="D4935" i="2"/>
  <c r="D4936" i="2"/>
  <c r="D4937" i="2"/>
  <c r="D4938" i="2"/>
  <c r="D4939" i="2"/>
  <c r="D4940" i="2"/>
  <c r="D4941" i="2"/>
  <c r="D4942" i="2"/>
  <c r="D4943" i="2"/>
  <c r="D4944" i="2"/>
  <c r="D4945" i="2"/>
  <c r="D4946" i="2"/>
  <c r="D4947" i="2"/>
  <c r="D4948" i="2"/>
  <c r="D4949" i="2"/>
  <c r="D4950" i="2"/>
  <c r="D4951" i="2"/>
  <c r="D4952" i="2"/>
  <c r="D4953" i="2"/>
  <c r="D4954" i="2"/>
  <c r="D4955" i="2"/>
  <c r="D4956" i="2"/>
  <c r="D4957" i="2"/>
  <c r="D4958" i="2"/>
  <c r="D4959" i="2"/>
  <c r="D4960" i="2"/>
  <c r="D4961" i="2"/>
  <c r="D4962" i="2"/>
  <c r="D4963" i="2"/>
  <c r="D4964" i="2"/>
  <c r="D4965" i="2"/>
  <c r="D4966" i="2"/>
  <c r="D4967" i="2"/>
  <c r="D4968" i="2"/>
  <c r="D4969" i="2"/>
  <c r="D4970" i="2"/>
  <c r="D4971" i="2"/>
  <c r="D4972" i="2"/>
  <c r="D4973" i="2"/>
  <c r="D4974" i="2"/>
  <c r="D4975" i="2"/>
  <c r="D4976" i="2"/>
  <c r="D4977" i="2"/>
  <c r="D4978" i="2"/>
  <c r="D4979" i="2"/>
  <c r="D4980" i="2"/>
  <c r="D4981" i="2"/>
  <c r="D4982" i="2"/>
  <c r="D4983" i="2"/>
  <c r="D4984" i="2"/>
  <c r="D4985" i="2"/>
  <c r="D4986" i="2"/>
  <c r="D4987" i="2"/>
  <c r="D4988" i="2"/>
  <c r="D4989" i="2"/>
  <c r="D4990" i="2"/>
  <c r="D4991" i="2"/>
  <c r="D4992" i="2"/>
  <c r="D4993" i="2"/>
  <c r="D4994" i="2"/>
  <c r="D4995" i="2"/>
  <c r="D4996" i="2"/>
  <c r="D4997" i="2"/>
  <c r="D4998" i="2"/>
  <c r="D4999" i="2"/>
  <c r="D5000" i="2"/>
  <c r="D5001" i="2"/>
  <c r="D5002" i="2"/>
  <c r="D5003" i="2"/>
  <c r="D5004" i="2"/>
  <c r="D5005" i="2"/>
  <c r="D5006" i="2"/>
  <c r="D5007" i="2"/>
  <c r="D5008" i="2"/>
  <c r="D5009" i="2"/>
  <c r="D5010" i="2"/>
  <c r="D5011" i="2"/>
  <c r="D5012" i="2"/>
  <c r="D5013" i="2"/>
  <c r="D5014" i="2"/>
  <c r="D5015" i="2"/>
  <c r="D5016" i="2"/>
  <c r="D5017" i="2"/>
  <c r="D5018" i="2"/>
  <c r="D5019" i="2"/>
  <c r="D5020" i="2"/>
  <c r="D5021" i="2"/>
  <c r="D5022" i="2"/>
  <c r="D5023" i="2"/>
  <c r="D5024" i="2"/>
  <c r="D5025" i="2"/>
  <c r="D5026" i="2"/>
  <c r="D5027" i="2"/>
  <c r="D5028" i="2"/>
  <c r="D5029" i="2"/>
  <c r="D5030" i="2"/>
  <c r="D5031" i="2"/>
  <c r="D5032" i="2"/>
  <c r="D5033" i="2"/>
  <c r="D5034" i="2"/>
  <c r="D5035" i="2"/>
  <c r="D5036" i="2"/>
  <c r="D5037" i="2"/>
  <c r="D5038" i="2"/>
  <c r="D5039" i="2"/>
  <c r="D5040" i="2"/>
  <c r="D5041" i="2"/>
  <c r="D5042" i="2"/>
  <c r="D5043" i="2"/>
  <c r="D5044" i="2"/>
  <c r="D5045" i="2"/>
  <c r="D5046" i="2"/>
  <c r="D5047" i="2"/>
  <c r="D5048" i="2"/>
  <c r="D5049" i="2"/>
  <c r="D5050" i="2"/>
  <c r="D5051" i="2"/>
  <c r="D5052" i="2"/>
  <c r="D5053" i="2"/>
  <c r="D5054" i="2"/>
  <c r="D5055" i="2"/>
  <c r="D5056" i="2"/>
  <c r="D5057" i="2"/>
  <c r="D5058" i="2"/>
  <c r="D5059" i="2"/>
  <c r="D5060" i="2"/>
  <c r="D5061" i="2"/>
  <c r="D5062" i="2"/>
  <c r="D5063" i="2"/>
  <c r="D5064" i="2"/>
  <c r="D5065" i="2"/>
  <c r="D5066" i="2"/>
  <c r="D5067" i="2"/>
  <c r="D5068" i="2"/>
  <c r="D5069" i="2"/>
  <c r="D5070" i="2"/>
  <c r="D5071" i="2"/>
  <c r="D5072" i="2"/>
  <c r="D5073" i="2"/>
  <c r="D5074" i="2"/>
  <c r="D5075" i="2"/>
  <c r="D5076" i="2"/>
  <c r="D5077" i="2"/>
  <c r="D5078" i="2"/>
  <c r="D5079" i="2"/>
  <c r="D5080" i="2"/>
  <c r="D5081" i="2"/>
  <c r="D5082" i="2"/>
  <c r="D5083" i="2"/>
  <c r="D5084" i="2"/>
  <c r="D5085" i="2"/>
  <c r="D5086" i="2"/>
  <c r="D5087" i="2"/>
  <c r="D5088" i="2"/>
  <c r="D5089" i="2"/>
  <c r="D5090" i="2"/>
  <c r="D5091" i="2"/>
  <c r="D5092" i="2"/>
  <c r="D5093" i="2"/>
  <c r="D5094" i="2"/>
  <c r="D5095" i="2"/>
  <c r="D5096" i="2"/>
  <c r="D5097" i="2"/>
  <c r="D5098" i="2"/>
  <c r="D5099" i="2"/>
  <c r="D5100" i="2"/>
  <c r="D5101" i="2"/>
  <c r="D5102" i="2"/>
  <c r="D5103" i="2"/>
  <c r="D5104" i="2"/>
  <c r="D5105" i="2"/>
  <c r="D5106" i="2"/>
  <c r="D5107" i="2"/>
  <c r="D5108" i="2"/>
  <c r="D5109" i="2"/>
  <c r="D5110" i="2"/>
  <c r="D5111" i="2"/>
  <c r="D5112" i="2"/>
  <c r="D5113" i="2"/>
  <c r="D5114" i="2"/>
  <c r="D5115" i="2"/>
  <c r="D5116" i="2"/>
  <c r="D5117" i="2"/>
  <c r="D5118" i="2"/>
  <c r="D5119" i="2"/>
  <c r="D5120" i="2"/>
  <c r="D5121" i="2"/>
  <c r="D5122" i="2"/>
  <c r="D5123" i="2"/>
  <c r="D5124" i="2"/>
  <c r="D5125" i="2"/>
  <c r="D5126" i="2"/>
  <c r="D5127" i="2"/>
  <c r="D5128" i="2"/>
  <c r="D5129" i="2"/>
  <c r="D5130" i="2"/>
  <c r="D5131" i="2"/>
  <c r="D5132" i="2"/>
  <c r="D5133" i="2"/>
  <c r="D5134" i="2"/>
  <c r="D5135" i="2"/>
  <c r="D5136" i="2"/>
  <c r="D5137" i="2"/>
  <c r="D5138" i="2"/>
  <c r="D5139" i="2"/>
  <c r="D5140" i="2"/>
  <c r="D5141" i="2"/>
  <c r="D5142" i="2"/>
  <c r="D5143" i="2"/>
  <c r="D5144" i="2"/>
  <c r="D5145" i="2"/>
  <c r="D5146" i="2"/>
  <c r="D5147" i="2"/>
  <c r="D5148" i="2"/>
  <c r="D5149" i="2"/>
  <c r="D5150" i="2"/>
  <c r="D5151" i="2"/>
  <c r="D5152" i="2"/>
  <c r="D5153" i="2"/>
  <c r="D5154" i="2"/>
  <c r="D5155" i="2"/>
  <c r="D5156" i="2"/>
  <c r="D5157" i="2"/>
  <c r="D5158" i="2"/>
  <c r="D5159" i="2"/>
  <c r="D5160" i="2"/>
  <c r="D5161" i="2"/>
  <c r="D5162" i="2"/>
  <c r="D5163" i="2"/>
  <c r="D5164" i="2"/>
  <c r="D5165" i="2"/>
  <c r="D5166" i="2"/>
  <c r="D5167" i="2"/>
  <c r="D5168" i="2"/>
  <c r="D5169" i="2"/>
  <c r="D5170" i="2"/>
  <c r="D5171" i="2"/>
  <c r="D5172" i="2"/>
  <c r="D5173" i="2"/>
  <c r="D5174" i="2"/>
  <c r="D5175" i="2"/>
  <c r="D5176" i="2"/>
  <c r="D5177" i="2"/>
  <c r="D5178" i="2"/>
  <c r="D5179" i="2"/>
  <c r="D5180" i="2"/>
  <c r="D5181" i="2"/>
  <c r="D5182" i="2"/>
  <c r="D5183" i="2"/>
  <c r="D5184" i="2"/>
  <c r="D5185" i="2"/>
  <c r="D5186" i="2"/>
  <c r="D5187" i="2"/>
  <c r="D5188" i="2"/>
  <c r="D5189" i="2"/>
  <c r="D5190" i="2"/>
  <c r="D5191" i="2"/>
  <c r="D5192" i="2"/>
  <c r="D5193" i="2"/>
  <c r="D5194" i="2"/>
  <c r="D5195" i="2"/>
  <c r="D5196" i="2"/>
  <c r="D5197" i="2"/>
  <c r="D5198" i="2"/>
  <c r="D5199" i="2"/>
  <c r="D5200" i="2"/>
  <c r="D5201" i="2"/>
  <c r="D5202" i="2"/>
  <c r="D5203" i="2"/>
  <c r="D5204" i="2"/>
  <c r="D5205" i="2"/>
  <c r="D5206" i="2"/>
  <c r="D5207" i="2"/>
  <c r="D5208" i="2"/>
  <c r="D5209" i="2"/>
  <c r="D5210" i="2"/>
  <c r="D5211" i="2"/>
  <c r="D5212" i="2"/>
  <c r="D5213" i="2"/>
  <c r="D5214" i="2"/>
  <c r="D5215" i="2"/>
  <c r="D5216" i="2"/>
  <c r="D5217" i="2"/>
  <c r="D5218" i="2"/>
  <c r="D5219" i="2"/>
  <c r="D5220" i="2"/>
  <c r="D5221" i="2"/>
  <c r="D5222" i="2"/>
  <c r="D5223" i="2"/>
  <c r="D5224" i="2"/>
  <c r="D5225" i="2"/>
  <c r="D5226" i="2"/>
  <c r="D5227" i="2"/>
  <c r="D5228" i="2"/>
  <c r="D5229" i="2"/>
  <c r="D5230" i="2"/>
  <c r="D5231" i="2"/>
  <c r="D5232" i="2"/>
  <c r="D5233" i="2"/>
  <c r="D5234" i="2"/>
  <c r="D5235" i="2"/>
  <c r="D5236" i="2"/>
  <c r="D5237" i="2"/>
  <c r="D5238" i="2"/>
  <c r="D5239" i="2"/>
  <c r="D5240" i="2"/>
  <c r="D5241" i="2"/>
  <c r="D5242" i="2"/>
  <c r="D5243" i="2"/>
  <c r="D5244" i="2"/>
  <c r="D5245" i="2"/>
  <c r="D5246" i="2"/>
  <c r="D5247" i="2"/>
  <c r="D5248" i="2"/>
  <c r="D5249" i="2"/>
  <c r="D5250" i="2"/>
  <c r="D5251" i="2"/>
  <c r="D5252" i="2"/>
  <c r="D5253" i="2"/>
  <c r="D5254" i="2"/>
  <c r="D5255" i="2"/>
  <c r="D5256" i="2"/>
  <c r="D5257" i="2"/>
  <c r="D5258" i="2"/>
  <c r="D5259" i="2"/>
  <c r="D5260" i="2"/>
  <c r="D5261" i="2"/>
  <c r="D5262" i="2"/>
  <c r="D5263" i="2"/>
  <c r="D5264" i="2"/>
  <c r="D5265" i="2"/>
  <c r="D5266" i="2"/>
  <c r="D5267" i="2"/>
  <c r="D5268" i="2"/>
  <c r="D5269" i="2"/>
  <c r="D5270" i="2"/>
  <c r="D5271" i="2"/>
  <c r="D5272" i="2"/>
  <c r="D5273" i="2"/>
  <c r="D5274" i="2"/>
  <c r="D5275" i="2"/>
  <c r="D5276" i="2"/>
  <c r="D5277" i="2"/>
  <c r="D5278" i="2"/>
  <c r="D5279" i="2"/>
  <c r="D5280" i="2"/>
  <c r="D5281" i="2"/>
  <c r="D5282" i="2"/>
  <c r="D5283" i="2"/>
  <c r="D5284" i="2"/>
  <c r="D5285" i="2"/>
  <c r="D5286" i="2"/>
  <c r="D5287" i="2"/>
  <c r="D5288" i="2"/>
  <c r="D5289" i="2"/>
  <c r="D5290" i="2"/>
  <c r="D5291" i="2"/>
  <c r="D5292" i="2"/>
  <c r="D5293" i="2"/>
  <c r="D5294" i="2"/>
  <c r="D5295" i="2"/>
  <c r="D5296" i="2"/>
  <c r="D5297" i="2"/>
  <c r="D5298" i="2"/>
  <c r="D5299" i="2"/>
  <c r="D5300" i="2"/>
  <c r="D5301" i="2"/>
  <c r="D5302" i="2"/>
  <c r="D5303" i="2"/>
  <c r="D5304" i="2"/>
  <c r="D5305" i="2"/>
  <c r="D5306" i="2"/>
  <c r="D5307" i="2"/>
  <c r="D5308" i="2"/>
  <c r="D5309" i="2"/>
  <c r="D5310" i="2"/>
  <c r="D5311" i="2"/>
  <c r="D5312" i="2"/>
  <c r="D5313" i="2"/>
  <c r="D5314" i="2"/>
  <c r="D5315" i="2"/>
  <c r="D5316" i="2"/>
  <c r="D5317" i="2"/>
  <c r="D5318" i="2"/>
  <c r="D5319" i="2"/>
  <c r="D5320" i="2"/>
  <c r="D5321" i="2"/>
  <c r="D5322" i="2"/>
  <c r="D5323" i="2"/>
  <c r="D5324" i="2"/>
  <c r="D5325" i="2"/>
  <c r="D5326" i="2"/>
  <c r="D5327" i="2"/>
  <c r="D5328" i="2"/>
  <c r="D5329" i="2"/>
  <c r="D5330" i="2"/>
  <c r="D5331" i="2"/>
  <c r="D5332" i="2"/>
  <c r="D5333" i="2"/>
  <c r="D5334" i="2"/>
  <c r="D5335" i="2"/>
  <c r="D5336" i="2"/>
  <c r="D5337" i="2"/>
  <c r="D5338" i="2"/>
  <c r="D5339" i="2"/>
  <c r="D5340" i="2"/>
  <c r="D5341" i="2"/>
  <c r="D5342" i="2"/>
  <c r="D5343" i="2"/>
  <c r="D5344" i="2"/>
  <c r="D5345" i="2"/>
  <c r="D5346" i="2"/>
  <c r="D5347" i="2"/>
  <c r="D5348" i="2"/>
  <c r="D5349" i="2"/>
  <c r="D5350" i="2"/>
  <c r="D5351" i="2"/>
  <c r="D5352" i="2"/>
  <c r="D5353" i="2"/>
  <c r="D5354" i="2"/>
  <c r="D5355" i="2"/>
  <c r="D5356" i="2"/>
  <c r="D5357" i="2"/>
  <c r="D5358" i="2"/>
  <c r="D5359" i="2"/>
  <c r="D5360" i="2"/>
  <c r="D5361" i="2"/>
  <c r="D5362" i="2"/>
  <c r="D5363" i="2"/>
  <c r="D5364" i="2"/>
  <c r="D5365" i="2"/>
  <c r="D5366" i="2"/>
  <c r="D5367" i="2"/>
  <c r="D5368" i="2"/>
  <c r="D5369" i="2"/>
  <c r="D5370" i="2"/>
  <c r="D5371" i="2"/>
  <c r="D5372" i="2"/>
  <c r="D5373" i="2"/>
  <c r="D5374" i="2"/>
  <c r="D5375" i="2"/>
  <c r="D5376" i="2"/>
  <c r="D5377" i="2"/>
  <c r="D5378" i="2"/>
  <c r="D5379" i="2"/>
  <c r="D5380" i="2"/>
  <c r="D5381" i="2"/>
  <c r="D5382" i="2"/>
  <c r="D5383" i="2"/>
  <c r="D5384" i="2"/>
  <c r="D5385" i="2"/>
  <c r="D5386" i="2"/>
  <c r="D5387" i="2"/>
  <c r="D5388" i="2"/>
  <c r="D5389" i="2"/>
  <c r="D5390" i="2"/>
  <c r="D5391" i="2"/>
  <c r="D5392" i="2"/>
  <c r="D5393" i="2"/>
  <c r="D5394" i="2"/>
  <c r="D5395" i="2"/>
  <c r="D5396" i="2"/>
  <c r="D5397" i="2"/>
  <c r="D5398" i="2"/>
  <c r="D5399" i="2"/>
  <c r="D5400" i="2"/>
  <c r="D5401" i="2"/>
  <c r="D5402" i="2"/>
  <c r="D5403" i="2"/>
  <c r="D5404" i="2"/>
  <c r="D5405" i="2"/>
  <c r="D5406" i="2"/>
  <c r="D5407" i="2"/>
  <c r="D5408" i="2"/>
  <c r="D5409" i="2"/>
  <c r="D5410" i="2"/>
  <c r="D5411" i="2"/>
  <c r="D5412" i="2"/>
  <c r="D5413" i="2"/>
  <c r="D5414" i="2"/>
  <c r="D5415" i="2"/>
  <c r="D5416" i="2"/>
  <c r="D5417" i="2"/>
  <c r="D5418" i="2"/>
  <c r="D5419" i="2"/>
  <c r="D5420" i="2"/>
  <c r="D5421" i="2"/>
  <c r="D5422" i="2"/>
  <c r="D5423" i="2"/>
  <c r="D5424" i="2"/>
  <c r="D5425" i="2"/>
  <c r="D5426" i="2"/>
  <c r="D5427" i="2"/>
  <c r="D5428" i="2"/>
  <c r="D5429" i="2"/>
  <c r="D5430" i="2"/>
  <c r="D5431" i="2"/>
  <c r="D5432" i="2"/>
  <c r="D5433" i="2"/>
  <c r="D5434" i="2"/>
  <c r="D5435" i="2"/>
  <c r="D5436" i="2"/>
  <c r="D5437" i="2"/>
  <c r="D5438" i="2"/>
  <c r="D5439" i="2"/>
  <c r="D5440" i="2"/>
  <c r="D5441" i="2"/>
  <c r="D5442" i="2"/>
  <c r="D5443" i="2"/>
  <c r="D5444" i="2"/>
  <c r="D5445" i="2"/>
  <c r="D5446" i="2"/>
  <c r="D5447" i="2"/>
  <c r="D5448" i="2"/>
  <c r="D5449" i="2"/>
  <c r="D5450" i="2"/>
  <c r="D5451" i="2"/>
  <c r="D5452" i="2"/>
  <c r="D5453" i="2"/>
  <c r="D5454" i="2"/>
  <c r="D5455" i="2"/>
  <c r="D5456" i="2"/>
  <c r="D5457" i="2"/>
  <c r="D5458" i="2"/>
  <c r="D5459" i="2"/>
  <c r="D5460" i="2"/>
  <c r="D5461" i="2"/>
  <c r="D5462" i="2"/>
  <c r="D5463" i="2"/>
  <c r="D5464" i="2"/>
  <c r="D5465" i="2"/>
  <c r="D5466" i="2"/>
  <c r="D5467" i="2"/>
  <c r="D5468" i="2"/>
  <c r="D5469" i="2"/>
  <c r="D5470" i="2"/>
  <c r="D5471" i="2"/>
  <c r="D5472" i="2"/>
  <c r="D5473" i="2"/>
  <c r="D5474" i="2"/>
  <c r="D5475" i="2"/>
  <c r="D5476" i="2"/>
  <c r="D5477" i="2"/>
  <c r="D5478" i="2"/>
  <c r="D5479" i="2"/>
  <c r="D5480" i="2"/>
  <c r="D5481" i="2"/>
  <c r="D5482" i="2"/>
  <c r="D5483" i="2"/>
  <c r="D5484" i="2"/>
  <c r="D5485" i="2"/>
  <c r="D5486" i="2"/>
  <c r="D5487" i="2"/>
  <c r="D5488" i="2"/>
  <c r="D5489" i="2"/>
  <c r="D5490" i="2"/>
  <c r="D5491" i="2"/>
  <c r="D5492" i="2"/>
  <c r="D5493" i="2"/>
  <c r="D5494" i="2"/>
  <c r="D5495" i="2"/>
  <c r="D5496" i="2"/>
  <c r="D5497" i="2"/>
  <c r="D5498" i="2"/>
  <c r="D5499" i="2"/>
  <c r="D5500" i="2"/>
  <c r="D5501" i="2"/>
  <c r="D5502" i="2"/>
  <c r="D5503" i="2"/>
  <c r="D5504" i="2"/>
  <c r="D5505" i="2"/>
  <c r="D5506" i="2"/>
  <c r="D5507" i="2"/>
  <c r="D5508" i="2"/>
  <c r="D5509" i="2"/>
  <c r="D5510" i="2"/>
  <c r="D5511" i="2"/>
  <c r="D5512" i="2"/>
  <c r="D5513" i="2"/>
  <c r="D5514" i="2"/>
  <c r="D5515" i="2"/>
  <c r="D5516" i="2"/>
  <c r="D5517" i="2"/>
  <c r="D5518" i="2"/>
  <c r="D5519" i="2"/>
  <c r="D5520" i="2"/>
  <c r="D5521" i="2"/>
  <c r="D5522" i="2"/>
  <c r="D5523" i="2"/>
  <c r="D5524" i="2"/>
  <c r="D5525" i="2"/>
  <c r="D5526" i="2"/>
  <c r="D5527" i="2"/>
  <c r="D5528" i="2"/>
  <c r="D5529" i="2"/>
  <c r="D5530" i="2"/>
  <c r="D5531" i="2"/>
  <c r="D5532" i="2"/>
  <c r="D5533" i="2"/>
  <c r="D5534" i="2"/>
  <c r="D5535" i="2"/>
  <c r="D5536" i="2"/>
  <c r="D5537" i="2"/>
  <c r="D5538" i="2"/>
  <c r="D5539" i="2"/>
  <c r="D5540" i="2"/>
  <c r="D5541" i="2"/>
  <c r="D5542" i="2"/>
  <c r="D5543" i="2"/>
  <c r="D5544" i="2"/>
  <c r="D5545" i="2"/>
  <c r="D5546" i="2"/>
  <c r="D5547" i="2"/>
  <c r="D5548" i="2"/>
  <c r="D5549" i="2"/>
  <c r="D5550" i="2"/>
  <c r="D5551" i="2"/>
  <c r="D5552" i="2"/>
  <c r="D5553" i="2"/>
  <c r="D5554" i="2"/>
  <c r="D5555" i="2"/>
  <c r="D5556" i="2"/>
  <c r="D5557" i="2"/>
  <c r="D5558" i="2"/>
  <c r="D5559" i="2"/>
  <c r="D5560" i="2"/>
  <c r="D5561" i="2"/>
  <c r="D5562" i="2"/>
  <c r="D5563" i="2"/>
  <c r="D5564" i="2"/>
  <c r="D5565" i="2"/>
  <c r="D5566" i="2"/>
  <c r="D5567" i="2"/>
  <c r="D5568" i="2"/>
  <c r="D5569" i="2"/>
  <c r="D5570" i="2"/>
  <c r="D5571" i="2"/>
  <c r="D5572" i="2"/>
  <c r="D5573" i="2"/>
  <c r="D5574" i="2"/>
  <c r="D5575" i="2"/>
  <c r="D5576" i="2"/>
  <c r="D5577" i="2"/>
  <c r="D5578" i="2"/>
  <c r="D5579" i="2"/>
  <c r="D5580" i="2"/>
  <c r="D5581" i="2"/>
  <c r="D5582" i="2"/>
  <c r="D5583" i="2"/>
  <c r="D5584" i="2"/>
  <c r="D5585" i="2"/>
  <c r="D5586" i="2"/>
  <c r="D5587" i="2"/>
  <c r="D5588" i="2"/>
  <c r="D5589" i="2"/>
  <c r="D5590" i="2"/>
  <c r="D5591" i="2"/>
  <c r="D5592" i="2"/>
  <c r="D5593" i="2"/>
  <c r="D5594" i="2"/>
  <c r="D5595" i="2"/>
  <c r="D5596" i="2"/>
  <c r="D5597" i="2"/>
  <c r="D5598" i="2"/>
  <c r="D5599" i="2"/>
  <c r="D5600" i="2"/>
  <c r="D5601" i="2"/>
  <c r="D5602" i="2"/>
  <c r="D5603" i="2"/>
  <c r="D5604" i="2"/>
  <c r="D5605" i="2"/>
  <c r="D5606" i="2"/>
  <c r="D5607" i="2"/>
  <c r="D5608" i="2"/>
  <c r="D5609" i="2"/>
  <c r="D5610" i="2"/>
  <c r="D5611" i="2"/>
  <c r="D5612" i="2"/>
  <c r="D5613" i="2"/>
  <c r="D5614" i="2"/>
  <c r="D5615" i="2"/>
  <c r="D5616" i="2"/>
  <c r="D5617" i="2"/>
  <c r="D5618" i="2"/>
  <c r="D5619" i="2"/>
  <c r="D5620" i="2"/>
  <c r="D5621" i="2"/>
  <c r="D5622" i="2"/>
  <c r="D5623" i="2"/>
  <c r="D5624" i="2"/>
  <c r="D5625" i="2"/>
  <c r="D5626" i="2"/>
  <c r="D5627" i="2"/>
  <c r="D5628" i="2"/>
  <c r="D5629" i="2"/>
  <c r="D5630" i="2"/>
  <c r="D5631" i="2"/>
  <c r="D5632" i="2"/>
  <c r="D5633" i="2"/>
  <c r="D5634" i="2"/>
  <c r="D5635" i="2"/>
  <c r="D5636" i="2"/>
  <c r="D5637" i="2"/>
  <c r="D5638" i="2"/>
  <c r="D5639" i="2"/>
  <c r="D5640" i="2"/>
  <c r="D5641" i="2"/>
  <c r="D5642" i="2"/>
  <c r="D5643" i="2"/>
  <c r="D5644" i="2"/>
  <c r="D5645" i="2"/>
  <c r="D5646" i="2"/>
  <c r="D5647" i="2"/>
  <c r="D5648" i="2"/>
  <c r="D5649" i="2"/>
  <c r="D5650" i="2"/>
  <c r="D5651" i="2"/>
  <c r="D5652" i="2"/>
  <c r="D5653" i="2"/>
  <c r="D5654" i="2"/>
  <c r="D5655" i="2"/>
  <c r="D5656" i="2"/>
  <c r="D5657" i="2"/>
  <c r="D5658" i="2"/>
  <c r="D5659" i="2"/>
  <c r="D5660" i="2"/>
  <c r="D5661" i="2"/>
  <c r="D5662" i="2"/>
  <c r="D5663" i="2"/>
  <c r="D5664" i="2"/>
  <c r="D5665" i="2"/>
  <c r="D5666" i="2"/>
  <c r="D5667" i="2"/>
  <c r="D5668" i="2"/>
  <c r="D5669" i="2"/>
  <c r="D5670" i="2"/>
  <c r="D5671" i="2"/>
  <c r="D5672" i="2"/>
  <c r="D5673" i="2"/>
  <c r="D5674" i="2"/>
  <c r="D5675" i="2"/>
  <c r="D5676" i="2"/>
  <c r="D5677" i="2"/>
  <c r="D5678" i="2"/>
  <c r="D5679" i="2"/>
  <c r="D5680" i="2"/>
  <c r="D5681" i="2"/>
  <c r="D5682" i="2"/>
  <c r="D5683" i="2"/>
  <c r="D5684" i="2"/>
  <c r="D5685" i="2"/>
  <c r="D5686" i="2"/>
  <c r="D5687" i="2"/>
  <c r="D5688" i="2"/>
  <c r="D5689" i="2"/>
  <c r="D5690" i="2"/>
  <c r="D5691" i="2"/>
  <c r="D5692" i="2"/>
  <c r="D5693" i="2"/>
  <c r="D5694" i="2"/>
  <c r="D5695" i="2"/>
  <c r="D5696" i="2"/>
  <c r="D5697" i="2"/>
  <c r="D5698" i="2"/>
  <c r="D5699" i="2"/>
  <c r="D5700" i="2"/>
  <c r="D5701" i="2"/>
  <c r="D5702" i="2"/>
  <c r="D5703" i="2"/>
  <c r="D5704" i="2"/>
  <c r="D5705" i="2"/>
  <c r="D5706" i="2"/>
  <c r="D5707" i="2"/>
  <c r="D5708" i="2"/>
  <c r="D5709" i="2"/>
  <c r="D5710" i="2"/>
  <c r="D5711" i="2"/>
  <c r="D5712" i="2"/>
  <c r="D5713" i="2"/>
  <c r="D5714" i="2"/>
  <c r="D5715" i="2"/>
  <c r="D5716" i="2"/>
  <c r="D5717" i="2"/>
  <c r="D5718" i="2"/>
  <c r="D5719" i="2"/>
  <c r="D5720" i="2"/>
  <c r="D5721" i="2"/>
  <c r="D5722" i="2"/>
  <c r="D5723" i="2"/>
  <c r="D5724" i="2"/>
  <c r="D5725" i="2"/>
  <c r="D5726" i="2"/>
  <c r="D5727" i="2"/>
  <c r="D5728" i="2"/>
  <c r="D5729" i="2"/>
  <c r="D5730" i="2"/>
  <c r="D5731" i="2"/>
  <c r="D5732" i="2"/>
  <c r="D5733" i="2"/>
  <c r="D5734" i="2"/>
  <c r="D5735" i="2"/>
  <c r="D5736" i="2"/>
  <c r="D5737" i="2"/>
  <c r="D5738" i="2"/>
  <c r="D5739" i="2"/>
  <c r="D5740" i="2"/>
  <c r="D5741" i="2"/>
  <c r="D5742" i="2"/>
  <c r="D5743" i="2"/>
  <c r="D5744" i="2"/>
  <c r="D5745" i="2"/>
  <c r="D5746" i="2"/>
  <c r="D5747" i="2"/>
  <c r="D5748" i="2"/>
  <c r="D5749" i="2"/>
  <c r="D5750" i="2"/>
  <c r="D5751" i="2"/>
  <c r="D5752" i="2"/>
  <c r="D5753" i="2"/>
  <c r="D5754" i="2"/>
  <c r="D5755" i="2"/>
  <c r="D5756" i="2"/>
  <c r="D5757" i="2"/>
  <c r="D5758" i="2"/>
  <c r="D5759" i="2"/>
  <c r="D5760" i="2"/>
  <c r="D5761" i="2"/>
  <c r="D5762" i="2"/>
  <c r="D5763" i="2"/>
  <c r="D5764" i="2"/>
  <c r="D5765" i="2"/>
  <c r="D5766" i="2"/>
  <c r="D5767" i="2"/>
  <c r="D5768" i="2"/>
  <c r="D5769" i="2"/>
  <c r="D5770" i="2"/>
  <c r="D5771" i="2"/>
  <c r="D5772" i="2"/>
  <c r="D5773" i="2"/>
  <c r="D5774" i="2"/>
  <c r="D5775" i="2"/>
  <c r="D5776" i="2"/>
  <c r="D5777" i="2"/>
  <c r="D5778" i="2"/>
  <c r="D5779" i="2"/>
  <c r="D5780" i="2"/>
  <c r="D5781" i="2"/>
  <c r="D5782" i="2"/>
  <c r="D5783" i="2"/>
  <c r="D5784" i="2"/>
  <c r="D5785" i="2"/>
  <c r="D5786" i="2"/>
  <c r="D5787" i="2"/>
  <c r="D5788" i="2"/>
  <c r="D5789" i="2"/>
  <c r="D5790" i="2"/>
  <c r="D5791" i="2"/>
  <c r="D5792" i="2"/>
  <c r="D5793" i="2"/>
  <c r="D5794" i="2"/>
  <c r="D5795" i="2"/>
  <c r="D5796" i="2"/>
  <c r="D5797" i="2"/>
  <c r="D5798" i="2"/>
  <c r="D5799" i="2"/>
  <c r="D5800" i="2"/>
  <c r="D5801" i="2"/>
  <c r="D5802" i="2"/>
  <c r="D5803" i="2"/>
  <c r="D5804" i="2"/>
  <c r="D5805" i="2"/>
  <c r="D5806" i="2"/>
  <c r="D5807" i="2"/>
  <c r="D5808" i="2"/>
  <c r="D5809" i="2"/>
  <c r="D5810" i="2"/>
  <c r="D5811" i="2"/>
  <c r="D5812" i="2"/>
  <c r="D5813" i="2"/>
  <c r="D5814" i="2"/>
  <c r="D5815" i="2"/>
  <c r="D5816" i="2"/>
  <c r="D5817" i="2"/>
  <c r="D5818" i="2"/>
  <c r="D5819" i="2"/>
  <c r="D5820" i="2"/>
  <c r="D5821" i="2"/>
  <c r="D5822" i="2"/>
  <c r="D5823" i="2"/>
  <c r="D5824" i="2"/>
  <c r="D5825" i="2"/>
  <c r="D5826" i="2"/>
  <c r="D5827" i="2"/>
  <c r="D5828" i="2"/>
  <c r="D5829" i="2"/>
  <c r="D5830" i="2"/>
  <c r="D5831" i="2"/>
  <c r="D5832" i="2"/>
  <c r="D5833" i="2"/>
  <c r="D5834" i="2"/>
  <c r="D5835" i="2"/>
  <c r="D5836" i="2"/>
  <c r="D5837" i="2"/>
  <c r="D5838" i="2"/>
  <c r="D5839" i="2"/>
  <c r="D5840" i="2"/>
  <c r="D5841" i="2"/>
  <c r="D5842" i="2"/>
  <c r="D5843" i="2"/>
  <c r="D5844" i="2"/>
  <c r="D5845" i="2"/>
  <c r="D5846" i="2"/>
  <c r="D5847" i="2"/>
  <c r="D5848" i="2"/>
  <c r="D5849" i="2"/>
  <c r="D5850" i="2"/>
  <c r="D5851" i="2"/>
  <c r="D5852" i="2"/>
  <c r="D5853" i="2"/>
  <c r="D5854" i="2"/>
  <c r="D5855" i="2"/>
  <c r="D5856" i="2"/>
  <c r="D5857" i="2"/>
  <c r="D5858" i="2"/>
  <c r="D5859" i="2"/>
  <c r="D5860" i="2"/>
  <c r="D5861" i="2"/>
  <c r="D5862" i="2"/>
  <c r="D5863" i="2"/>
  <c r="D5864" i="2"/>
  <c r="D5865" i="2"/>
  <c r="D5866" i="2"/>
  <c r="D5867" i="2"/>
  <c r="D5868" i="2"/>
  <c r="D5869" i="2"/>
  <c r="D5870" i="2"/>
  <c r="D5871" i="2"/>
  <c r="D5872" i="2"/>
  <c r="D5873" i="2"/>
  <c r="D5874" i="2"/>
  <c r="D5875" i="2"/>
  <c r="D5876" i="2"/>
  <c r="D5877" i="2"/>
  <c r="D5878" i="2"/>
  <c r="D5879" i="2"/>
  <c r="D5880" i="2"/>
  <c r="D5881" i="2"/>
  <c r="D5882" i="2"/>
  <c r="D5883" i="2"/>
  <c r="D5884" i="2"/>
  <c r="D5885" i="2"/>
  <c r="D5886" i="2"/>
  <c r="D5887" i="2"/>
  <c r="D5888" i="2"/>
  <c r="D5889" i="2"/>
  <c r="D5890" i="2"/>
  <c r="D5891" i="2"/>
  <c r="D5892" i="2"/>
  <c r="D5893" i="2"/>
  <c r="D5894" i="2"/>
  <c r="D5895" i="2"/>
  <c r="D5896" i="2"/>
  <c r="D5897" i="2"/>
  <c r="D5898" i="2"/>
  <c r="D5899" i="2"/>
  <c r="D5900" i="2"/>
  <c r="D5901" i="2"/>
  <c r="D5902" i="2"/>
  <c r="D5903" i="2"/>
  <c r="D5904" i="2"/>
  <c r="D5905" i="2"/>
  <c r="D5906" i="2"/>
  <c r="D5907" i="2"/>
  <c r="D5908" i="2"/>
  <c r="D5909" i="2"/>
  <c r="D5910" i="2"/>
  <c r="D5911" i="2"/>
  <c r="D5912" i="2"/>
  <c r="D5913" i="2"/>
  <c r="D5914" i="2"/>
  <c r="D5915" i="2"/>
  <c r="D5916" i="2"/>
  <c r="D5917" i="2"/>
  <c r="D5918" i="2"/>
  <c r="D5919" i="2"/>
  <c r="D5920" i="2"/>
  <c r="D5921" i="2"/>
  <c r="D5922" i="2"/>
  <c r="D5923" i="2"/>
  <c r="D5924" i="2"/>
  <c r="D5925" i="2"/>
  <c r="D5926" i="2"/>
  <c r="D5927" i="2"/>
  <c r="D5928" i="2"/>
  <c r="D5929" i="2"/>
  <c r="D5930" i="2"/>
  <c r="D5931" i="2"/>
  <c r="D5932" i="2"/>
  <c r="D5933" i="2"/>
  <c r="D5934" i="2"/>
  <c r="D5935" i="2"/>
  <c r="D5936" i="2"/>
  <c r="D5937" i="2"/>
  <c r="D5938" i="2"/>
  <c r="D5939" i="2"/>
  <c r="D5940" i="2"/>
  <c r="D5941" i="2"/>
  <c r="D5942" i="2"/>
  <c r="D5943" i="2"/>
  <c r="D5944" i="2"/>
  <c r="D5945" i="2"/>
  <c r="D5946" i="2"/>
  <c r="D5947" i="2"/>
  <c r="D5948" i="2"/>
  <c r="D5949" i="2"/>
  <c r="D5950" i="2"/>
  <c r="D5951" i="2"/>
  <c r="D5952" i="2"/>
  <c r="D5953" i="2"/>
  <c r="D5954" i="2"/>
  <c r="D5955" i="2"/>
  <c r="D5956" i="2"/>
  <c r="D5957" i="2"/>
  <c r="D5958" i="2"/>
  <c r="D5959" i="2"/>
  <c r="D5960" i="2"/>
  <c r="D5961" i="2"/>
  <c r="D5962" i="2"/>
  <c r="D5963" i="2"/>
  <c r="D5964" i="2"/>
  <c r="D5965" i="2"/>
  <c r="D5966" i="2"/>
  <c r="D5967" i="2"/>
  <c r="D5968" i="2"/>
  <c r="D5969" i="2"/>
  <c r="D5970" i="2"/>
  <c r="D5971" i="2"/>
  <c r="D5972" i="2"/>
  <c r="D5973" i="2"/>
  <c r="D5974" i="2"/>
  <c r="D5975" i="2"/>
  <c r="D5976" i="2"/>
  <c r="D5977" i="2"/>
  <c r="D5978" i="2"/>
  <c r="D5979" i="2"/>
  <c r="D5980" i="2"/>
  <c r="D5981" i="2"/>
  <c r="D5982" i="2"/>
  <c r="D5983" i="2"/>
  <c r="D5984" i="2"/>
  <c r="D5985" i="2"/>
  <c r="D5986" i="2"/>
  <c r="D5987" i="2"/>
  <c r="D5988" i="2"/>
  <c r="D5989" i="2"/>
  <c r="D5990" i="2"/>
  <c r="D5991" i="2"/>
  <c r="D5992" i="2"/>
  <c r="D5993" i="2"/>
  <c r="D5994" i="2"/>
  <c r="D5995" i="2"/>
  <c r="D5996" i="2"/>
  <c r="D5997" i="2"/>
  <c r="D5998" i="2"/>
  <c r="D5999" i="2"/>
  <c r="D6000" i="2"/>
  <c r="D6001" i="2"/>
  <c r="D6002" i="2"/>
  <c r="D6003" i="2"/>
  <c r="D6004" i="2"/>
  <c r="D6005" i="2"/>
  <c r="D6006" i="2"/>
  <c r="D6007" i="2"/>
  <c r="D6008" i="2"/>
  <c r="D6009" i="2"/>
  <c r="D6010" i="2"/>
  <c r="D6011" i="2"/>
  <c r="D6012" i="2"/>
  <c r="D6013" i="2"/>
  <c r="D6014" i="2"/>
  <c r="D6015" i="2"/>
  <c r="D6016" i="2"/>
  <c r="D6017" i="2"/>
  <c r="D6018" i="2"/>
  <c r="D6019" i="2"/>
  <c r="D6020" i="2"/>
  <c r="D6021" i="2"/>
  <c r="D6022" i="2"/>
  <c r="D6023" i="2"/>
  <c r="D6024" i="2"/>
  <c r="D6025" i="2"/>
  <c r="D6026" i="2"/>
  <c r="D6027" i="2"/>
  <c r="D6028" i="2"/>
  <c r="D6029" i="2"/>
  <c r="D6030" i="2"/>
  <c r="D6031" i="2"/>
  <c r="D6032" i="2"/>
  <c r="D6033" i="2"/>
  <c r="D6034" i="2"/>
  <c r="D6035" i="2"/>
  <c r="D6036" i="2"/>
  <c r="D6037" i="2"/>
  <c r="D6038" i="2"/>
  <c r="D6039" i="2"/>
  <c r="D6040" i="2"/>
  <c r="D6041" i="2"/>
  <c r="D6042" i="2"/>
  <c r="D6043" i="2"/>
  <c r="D6044" i="2"/>
  <c r="D6045" i="2"/>
  <c r="D6046" i="2"/>
  <c r="D6047" i="2"/>
  <c r="D6048" i="2"/>
  <c r="D6049" i="2"/>
  <c r="D6050" i="2"/>
  <c r="D6051" i="2"/>
  <c r="D6052" i="2"/>
  <c r="D6053" i="2"/>
  <c r="D6054" i="2"/>
  <c r="D6055" i="2"/>
  <c r="D6056" i="2"/>
  <c r="D6057" i="2"/>
  <c r="D6058" i="2"/>
  <c r="D6059" i="2"/>
  <c r="D6060" i="2"/>
  <c r="D6061" i="2"/>
  <c r="D6062" i="2"/>
  <c r="D6063" i="2"/>
  <c r="D6064" i="2"/>
  <c r="D6065" i="2"/>
  <c r="D6066" i="2"/>
  <c r="D6067" i="2"/>
  <c r="D6068" i="2"/>
  <c r="D6069" i="2"/>
  <c r="D6070" i="2"/>
  <c r="D6071" i="2"/>
  <c r="D6072" i="2"/>
  <c r="D6073" i="2"/>
  <c r="D6074" i="2"/>
  <c r="D6075" i="2"/>
  <c r="D6076" i="2"/>
  <c r="D6077" i="2"/>
  <c r="D6078" i="2"/>
  <c r="D6079" i="2"/>
  <c r="D6080" i="2"/>
  <c r="D6081" i="2"/>
  <c r="D6082" i="2"/>
  <c r="D6083" i="2"/>
  <c r="D6084" i="2"/>
  <c r="D6085" i="2"/>
  <c r="D6086" i="2"/>
  <c r="D6087" i="2"/>
  <c r="D6088" i="2"/>
  <c r="D6089" i="2"/>
  <c r="D6090" i="2"/>
  <c r="D6091" i="2"/>
  <c r="D6092" i="2"/>
  <c r="D6093" i="2"/>
  <c r="D6094" i="2"/>
  <c r="D6095" i="2"/>
  <c r="D6096" i="2"/>
  <c r="D6097" i="2"/>
  <c r="D6098" i="2"/>
  <c r="D6099" i="2"/>
  <c r="D6100" i="2"/>
  <c r="D6101" i="2"/>
  <c r="D6102" i="2"/>
  <c r="D6103" i="2"/>
  <c r="D6104" i="2"/>
  <c r="D6105" i="2"/>
  <c r="D6106" i="2"/>
  <c r="D6107" i="2"/>
  <c r="D6108" i="2"/>
  <c r="D6109" i="2"/>
  <c r="D6110" i="2"/>
  <c r="D6111" i="2"/>
  <c r="D6112" i="2"/>
  <c r="D6113" i="2"/>
  <c r="D6114" i="2"/>
  <c r="D6115" i="2"/>
  <c r="D6116" i="2"/>
  <c r="D6117" i="2"/>
  <c r="D6118" i="2"/>
  <c r="D6119" i="2"/>
  <c r="D6120" i="2"/>
  <c r="D6121" i="2"/>
  <c r="D6122" i="2"/>
  <c r="D6123" i="2"/>
  <c r="D6124" i="2"/>
  <c r="D6125" i="2"/>
  <c r="D6126" i="2"/>
  <c r="D6127" i="2"/>
  <c r="D6128" i="2"/>
  <c r="D6129" i="2"/>
  <c r="D6130" i="2"/>
  <c r="D6131" i="2"/>
  <c r="D6132" i="2"/>
  <c r="D6133" i="2"/>
  <c r="D6134" i="2"/>
  <c r="D6135" i="2"/>
  <c r="D6136" i="2"/>
  <c r="D6137" i="2"/>
  <c r="D6138" i="2"/>
  <c r="D6139" i="2"/>
  <c r="D6140" i="2"/>
  <c r="D6141" i="2"/>
  <c r="D6142" i="2"/>
  <c r="D6143" i="2"/>
  <c r="D6144" i="2"/>
  <c r="D6145" i="2"/>
  <c r="D6146" i="2"/>
  <c r="D6147" i="2"/>
  <c r="D6148" i="2"/>
  <c r="D6149" i="2"/>
  <c r="D6150" i="2"/>
  <c r="D6151" i="2"/>
  <c r="D6152" i="2"/>
  <c r="D6153" i="2"/>
  <c r="D6154" i="2"/>
  <c r="D6155" i="2"/>
  <c r="D6156" i="2"/>
  <c r="D6157" i="2"/>
  <c r="D6158" i="2"/>
  <c r="D6159" i="2"/>
  <c r="D6160" i="2"/>
  <c r="D6161" i="2"/>
  <c r="D6162" i="2"/>
  <c r="D6163" i="2"/>
  <c r="D6164" i="2"/>
  <c r="D6165" i="2"/>
  <c r="D6166" i="2"/>
  <c r="D6167" i="2"/>
  <c r="D6168" i="2"/>
  <c r="D6169" i="2"/>
  <c r="D6170" i="2"/>
  <c r="D6171" i="2"/>
  <c r="D6172" i="2"/>
  <c r="D6173" i="2"/>
  <c r="D6174" i="2"/>
  <c r="D6175" i="2"/>
  <c r="D6176" i="2"/>
  <c r="D6177" i="2"/>
  <c r="D6178" i="2"/>
  <c r="D6179" i="2"/>
  <c r="D6180" i="2"/>
  <c r="D6181" i="2"/>
  <c r="D6182" i="2"/>
  <c r="D6183" i="2"/>
  <c r="D6184" i="2"/>
  <c r="D6185" i="2"/>
  <c r="D6186" i="2"/>
  <c r="D6187" i="2"/>
  <c r="D6188" i="2"/>
  <c r="D6189" i="2"/>
  <c r="D6190" i="2"/>
  <c r="D6191" i="2"/>
  <c r="D6192" i="2"/>
  <c r="D6193" i="2"/>
  <c r="D6194" i="2"/>
  <c r="D6195" i="2"/>
  <c r="D6196" i="2"/>
  <c r="D6197" i="2"/>
  <c r="D6198" i="2"/>
  <c r="D6199" i="2"/>
  <c r="D6200" i="2"/>
  <c r="D6201" i="2"/>
  <c r="D6202" i="2"/>
  <c r="D6203" i="2"/>
  <c r="D6204" i="2"/>
  <c r="D6205" i="2"/>
  <c r="D6206" i="2"/>
  <c r="D6207" i="2"/>
  <c r="D6208" i="2"/>
  <c r="D6209" i="2"/>
  <c r="D6210" i="2"/>
  <c r="D6211" i="2"/>
  <c r="D6212" i="2"/>
  <c r="D6213" i="2"/>
  <c r="D6214" i="2"/>
  <c r="D6215" i="2"/>
  <c r="D6216" i="2"/>
  <c r="D6217" i="2"/>
  <c r="D6218" i="2"/>
  <c r="D6219" i="2"/>
  <c r="D6220" i="2"/>
  <c r="D6221" i="2"/>
  <c r="D6222" i="2"/>
  <c r="D6223" i="2"/>
  <c r="D6224" i="2"/>
  <c r="D6225" i="2"/>
  <c r="D6226" i="2"/>
  <c r="D6227" i="2"/>
  <c r="D6228" i="2"/>
  <c r="D6229" i="2"/>
  <c r="D6230" i="2"/>
  <c r="D6231" i="2"/>
  <c r="D6232" i="2"/>
  <c r="D6233" i="2"/>
  <c r="D6234" i="2"/>
  <c r="D6235" i="2"/>
  <c r="D6236" i="2"/>
  <c r="D6237" i="2"/>
  <c r="D6238" i="2"/>
  <c r="D6239" i="2"/>
  <c r="D6240" i="2"/>
  <c r="D6241" i="2"/>
  <c r="D6242" i="2"/>
  <c r="D6243" i="2"/>
  <c r="D6244" i="2"/>
  <c r="D6245" i="2"/>
  <c r="D6246" i="2"/>
  <c r="D6247" i="2"/>
  <c r="D6248" i="2"/>
  <c r="D6249" i="2"/>
  <c r="D6250" i="2"/>
  <c r="D6251" i="2"/>
  <c r="D6252" i="2"/>
  <c r="D6253" i="2"/>
  <c r="D6254" i="2"/>
  <c r="D6255" i="2"/>
  <c r="D6256" i="2"/>
  <c r="D6257" i="2"/>
  <c r="D6258" i="2"/>
  <c r="D6259" i="2"/>
  <c r="D6260" i="2"/>
  <c r="D6261" i="2"/>
  <c r="D6262" i="2"/>
  <c r="D6263" i="2"/>
  <c r="D6264" i="2"/>
  <c r="D6265" i="2"/>
  <c r="D6266" i="2"/>
  <c r="D6267" i="2"/>
  <c r="D6268" i="2"/>
  <c r="D6269" i="2"/>
  <c r="D6270" i="2"/>
  <c r="D6271" i="2"/>
  <c r="D6272" i="2"/>
  <c r="D6273" i="2"/>
  <c r="D6274" i="2"/>
  <c r="D6275" i="2"/>
  <c r="D6276" i="2"/>
  <c r="D6277" i="2"/>
  <c r="D6278" i="2"/>
  <c r="D6279" i="2"/>
  <c r="D6280" i="2"/>
  <c r="D6281" i="2"/>
  <c r="D6282" i="2"/>
  <c r="D6283" i="2"/>
  <c r="D6284" i="2"/>
  <c r="D6285" i="2"/>
  <c r="D6286" i="2"/>
  <c r="D6287" i="2"/>
  <c r="D6288" i="2"/>
  <c r="D6289" i="2"/>
  <c r="D6290" i="2"/>
  <c r="D6291" i="2"/>
  <c r="D6292" i="2"/>
  <c r="D6293" i="2"/>
  <c r="D6294" i="2"/>
  <c r="D6295" i="2"/>
  <c r="D6296" i="2"/>
  <c r="D6297" i="2"/>
  <c r="D6298" i="2"/>
  <c r="D6299" i="2"/>
  <c r="D6300" i="2"/>
  <c r="D6301" i="2"/>
  <c r="D6302" i="2"/>
  <c r="D6303" i="2"/>
  <c r="D6304" i="2"/>
  <c r="D6305" i="2"/>
  <c r="D6306" i="2"/>
  <c r="D6307" i="2"/>
  <c r="D6308" i="2"/>
  <c r="D6309" i="2"/>
  <c r="D6310" i="2"/>
  <c r="D6311" i="2"/>
  <c r="D6312" i="2"/>
  <c r="D6313" i="2"/>
  <c r="D6314" i="2"/>
  <c r="D6315" i="2"/>
  <c r="D6316" i="2"/>
  <c r="D6317" i="2"/>
  <c r="D6318" i="2"/>
  <c r="D6319" i="2"/>
  <c r="D6320" i="2"/>
  <c r="D6321" i="2"/>
  <c r="D6322" i="2"/>
  <c r="D6323" i="2"/>
  <c r="D6324" i="2"/>
  <c r="D6325" i="2"/>
  <c r="D6326" i="2"/>
  <c r="D6327" i="2"/>
  <c r="D6328" i="2"/>
  <c r="D6329" i="2"/>
  <c r="D6330" i="2"/>
  <c r="D6331" i="2"/>
  <c r="D6332" i="2"/>
  <c r="D6333" i="2"/>
  <c r="D6334" i="2"/>
  <c r="D6335" i="2"/>
  <c r="D6336" i="2"/>
  <c r="D6337" i="2"/>
  <c r="D6338" i="2"/>
  <c r="D6339" i="2"/>
  <c r="D6340" i="2"/>
  <c r="D6341" i="2"/>
  <c r="D6342" i="2"/>
  <c r="D6343" i="2"/>
  <c r="D6344" i="2"/>
  <c r="D6345" i="2"/>
  <c r="D6346" i="2"/>
  <c r="D6347" i="2"/>
  <c r="D6348" i="2"/>
  <c r="D6349" i="2"/>
  <c r="D6350" i="2"/>
  <c r="D6351" i="2"/>
  <c r="D6352" i="2"/>
  <c r="D6353" i="2"/>
  <c r="D6354" i="2"/>
  <c r="D6355" i="2"/>
  <c r="D6356" i="2"/>
  <c r="D6357" i="2"/>
  <c r="D6358" i="2"/>
  <c r="D6359" i="2"/>
  <c r="D6360" i="2"/>
  <c r="D6361" i="2"/>
  <c r="D6362" i="2"/>
  <c r="D6363" i="2"/>
  <c r="D6364" i="2"/>
  <c r="D6365" i="2"/>
  <c r="D6366" i="2"/>
  <c r="D6367" i="2"/>
  <c r="D6368" i="2"/>
  <c r="D6369" i="2"/>
  <c r="D6370" i="2"/>
  <c r="D6371" i="2"/>
  <c r="D6372" i="2"/>
  <c r="D6373" i="2"/>
  <c r="D6374" i="2"/>
  <c r="D6375" i="2"/>
  <c r="D6376" i="2"/>
  <c r="D6377" i="2"/>
  <c r="D6378" i="2"/>
  <c r="D6379" i="2"/>
  <c r="D6380" i="2"/>
  <c r="D6381" i="2"/>
  <c r="D6382" i="2"/>
  <c r="D6383" i="2"/>
  <c r="D6384" i="2"/>
  <c r="D6385" i="2"/>
  <c r="D6386" i="2"/>
  <c r="D6387" i="2"/>
  <c r="D6388" i="2"/>
  <c r="D6389" i="2"/>
  <c r="D6390" i="2"/>
  <c r="D6391" i="2"/>
  <c r="D6392" i="2"/>
  <c r="D6393" i="2"/>
  <c r="D6394" i="2"/>
  <c r="D6395" i="2"/>
  <c r="D6396" i="2"/>
  <c r="D6397" i="2"/>
  <c r="D6398" i="2"/>
  <c r="D6399" i="2"/>
  <c r="D6400" i="2"/>
  <c r="D6401" i="2"/>
  <c r="D6402" i="2"/>
  <c r="D6403" i="2"/>
  <c r="D6404" i="2"/>
  <c r="D6405" i="2"/>
  <c r="D6406" i="2"/>
  <c r="D6407" i="2"/>
  <c r="D6408" i="2"/>
  <c r="D6409" i="2"/>
  <c r="D6410" i="2"/>
  <c r="D6411" i="2"/>
  <c r="D6412" i="2"/>
  <c r="D6413" i="2"/>
  <c r="D6414" i="2"/>
  <c r="D6415" i="2"/>
  <c r="D6416" i="2"/>
  <c r="D6417" i="2"/>
  <c r="D6418" i="2"/>
  <c r="D6419" i="2"/>
  <c r="D6420" i="2"/>
  <c r="D6421" i="2"/>
  <c r="D6422" i="2"/>
  <c r="D6423" i="2"/>
  <c r="D6424" i="2"/>
  <c r="D6425" i="2"/>
  <c r="D6426" i="2"/>
  <c r="D6427" i="2"/>
  <c r="D6428" i="2"/>
  <c r="D6429" i="2"/>
  <c r="D6430" i="2"/>
  <c r="D6431" i="2"/>
  <c r="D6432" i="2"/>
  <c r="D6433" i="2"/>
  <c r="D6434" i="2"/>
  <c r="D6435" i="2"/>
  <c r="D6436" i="2"/>
  <c r="D6437" i="2"/>
  <c r="D6438" i="2"/>
  <c r="D6439" i="2"/>
  <c r="D6440" i="2"/>
  <c r="D6441" i="2"/>
  <c r="D6442" i="2"/>
  <c r="D6443" i="2"/>
  <c r="D6444" i="2"/>
  <c r="D6445" i="2"/>
  <c r="D6446" i="2"/>
  <c r="D6447" i="2"/>
  <c r="D6448" i="2"/>
  <c r="D6449" i="2"/>
  <c r="D6450" i="2"/>
  <c r="D6451" i="2"/>
  <c r="D6452" i="2"/>
  <c r="D6453" i="2"/>
  <c r="D6454" i="2"/>
  <c r="D6455" i="2"/>
  <c r="D6456" i="2"/>
  <c r="D6457" i="2"/>
  <c r="D6458" i="2"/>
  <c r="D6459" i="2"/>
  <c r="D6460" i="2"/>
  <c r="D6461" i="2"/>
  <c r="D6462" i="2"/>
  <c r="D6463" i="2"/>
  <c r="D6464" i="2"/>
  <c r="D6465" i="2"/>
  <c r="D6466" i="2"/>
  <c r="D6467" i="2"/>
  <c r="D6468" i="2"/>
  <c r="D6469" i="2"/>
  <c r="D6470" i="2"/>
  <c r="D6471" i="2"/>
  <c r="D6472" i="2"/>
  <c r="D6473" i="2"/>
  <c r="D6474" i="2"/>
  <c r="D6475" i="2"/>
  <c r="D6476" i="2"/>
  <c r="D6477" i="2"/>
  <c r="D6478" i="2"/>
  <c r="D6479" i="2"/>
  <c r="D6480" i="2"/>
  <c r="D6481" i="2"/>
  <c r="D6482" i="2"/>
  <c r="D6483" i="2"/>
  <c r="D6484" i="2"/>
  <c r="D6485" i="2"/>
  <c r="D6486" i="2"/>
  <c r="D6487" i="2"/>
  <c r="D6488" i="2"/>
  <c r="D6489" i="2"/>
  <c r="D6490" i="2"/>
  <c r="D6491" i="2"/>
  <c r="D6492" i="2"/>
  <c r="D6493" i="2"/>
  <c r="D6494" i="2"/>
  <c r="D6495" i="2"/>
  <c r="D6496" i="2"/>
  <c r="D6497" i="2"/>
  <c r="D6498" i="2"/>
  <c r="D6499" i="2"/>
  <c r="D6500" i="2"/>
  <c r="D6501" i="2"/>
  <c r="D6502" i="2"/>
  <c r="D6503" i="2"/>
  <c r="D6504" i="2"/>
  <c r="D6505" i="2"/>
  <c r="D6506" i="2"/>
  <c r="D6507" i="2"/>
  <c r="D6508" i="2"/>
  <c r="D6509" i="2"/>
  <c r="D6510" i="2"/>
  <c r="D6511" i="2"/>
  <c r="D6512" i="2"/>
  <c r="D6513" i="2"/>
  <c r="D6514" i="2"/>
  <c r="D6515" i="2"/>
  <c r="D6516" i="2"/>
  <c r="D6517" i="2"/>
  <c r="D6518" i="2"/>
  <c r="D6519" i="2"/>
  <c r="D6520" i="2"/>
  <c r="D6521" i="2"/>
  <c r="D6522" i="2"/>
  <c r="D6523" i="2"/>
  <c r="D6524" i="2"/>
  <c r="D6525" i="2"/>
  <c r="D6526" i="2"/>
  <c r="D6527" i="2"/>
  <c r="D6528" i="2"/>
  <c r="D6529" i="2"/>
  <c r="D6530" i="2"/>
  <c r="D6531" i="2"/>
  <c r="D6532" i="2"/>
  <c r="D6533" i="2"/>
  <c r="D6534" i="2"/>
  <c r="D6535" i="2"/>
  <c r="D6536" i="2"/>
  <c r="D6537" i="2"/>
  <c r="D6538" i="2"/>
  <c r="D6539" i="2"/>
  <c r="D6540" i="2"/>
  <c r="D6541" i="2"/>
  <c r="D6542" i="2"/>
  <c r="D6543" i="2"/>
  <c r="D6544" i="2"/>
  <c r="D6545" i="2"/>
  <c r="D6546" i="2"/>
  <c r="D6547" i="2"/>
  <c r="D6548" i="2"/>
  <c r="D6549" i="2"/>
  <c r="D6550" i="2"/>
  <c r="D6551" i="2"/>
  <c r="D6552" i="2"/>
  <c r="D6553" i="2"/>
  <c r="D6554" i="2"/>
  <c r="D6555" i="2"/>
  <c r="D6556" i="2"/>
  <c r="D6557" i="2"/>
  <c r="D6558" i="2"/>
  <c r="D6559" i="2"/>
  <c r="D6560" i="2"/>
  <c r="D6561" i="2"/>
  <c r="D6562" i="2"/>
  <c r="D6563" i="2"/>
  <c r="D6564" i="2"/>
  <c r="D6565" i="2"/>
  <c r="D6566" i="2"/>
  <c r="D6567" i="2"/>
  <c r="D6568" i="2"/>
  <c r="D6569" i="2"/>
  <c r="D6570" i="2"/>
  <c r="D6571" i="2"/>
  <c r="D6572" i="2"/>
  <c r="D6573" i="2"/>
  <c r="D6574" i="2"/>
  <c r="D6575" i="2"/>
  <c r="D6576" i="2"/>
  <c r="D6577" i="2"/>
  <c r="D6578" i="2"/>
  <c r="D6579" i="2"/>
  <c r="D6580" i="2"/>
  <c r="D6581" i="2"/>
  <c r="D6582" i="2"/>
  <c r="D6583" i="2"/>
  <c r="D6584" i="2"/>
  <c r="D6585" i="2"/>
  <c r="D6586" i="2"/>
  <c r="D6587" i="2"/>
  <c r="D6588" i="2"/>
  <c r="D6589" i="2"/>
  <c r="D6590" i="2"/>
  <c r="D6591" i="2"/>
  <c r="D6592" i="2"/>
  <c r="D6593" i="2"/>
  <c r="D6594" i="2"/>
  <c r="D6595" i="2"/>
  <c r="D6596" i="2"/>
  <c r="D6597" i="2"/>
  <c r="D6598" i="2"/>
  <c r="D6599" i="2"/>
  <c r="D6600" i="2"/>
  <c r="D6601" i="2"/>
  <c r="D6602" i="2"/>
  <c r="D6603" i="2"/>
  <c r="D6604" i="2"/>
  <c r="D6605" i="2"/>
  <c r="D6606" i="2"/>
  <c r="D6607" i="2"/>
  <c r="D6608" i="2"/>
  <c r="D6609" i="2"/>
  <c r="D6610" i="2"/>
  <c r="D6611" i="2"/>
  <c r="D6612" i="2"/>
  <c r="D6613" i="2"/>
  <c r="D6614" i="2"/>
  <c r="D6615" i="2"/>
  <c r="D6616" i="2"/>
  <c r="D6617" i="2"/>
  <c r="D6618" i="2"/>
  <c r="D6619" i="2"/>
  <c r="D6620" i="2"/>
  <c r="D6621" i="2"/>
  <c r="D6622" i="2"/>
  <c r="D6623" i="2"/>
  <c r="D6624" i="2"/>
  <c r="D6625" i="2"/>
  <c r="D6626" i="2"/>
  <c r="D6627" i="2"/>
  <c r="D6628" i="2"/>
  <c r="D6629" i="2"/>
  <c r="D6630" i="2"/>
  <c r="D6631" i="2"/>
  <c r="D6632" i="2"/>
  <c r="D6633" i="2"/>
  <c r="D6634" i="2"/>
  <c r="D6635" i="2"/>
  <c r="D6636" i="2"/>
  <c r="D6637" i="2"/>
  <c r="D6638" i="2"/>
  <c r="D6639" i="2"/>
  <c r="D6640" i="2"/>
  <c r="D6641" i="2"/>
  <c r="D6642" i="2"/>
  <c r="D6643" i="2"/>
  <c r="D6644" i="2"/>
  <c r="D6645" i="2"/>
  <c r="D6646" i="2"/>
  <c r="D6647" i="2"/>
  <c r="D6648" i="2"/>
  <c r="D6649" i="2"/>
  <c r="D6650" i="2"/>
  <c r="D6651" i="2"/>
  <c r="D6652" i="2"/>
  <c r="D6653" i="2"/>
  <c r="D6654" i="2"/>
  <c r="D6655" i="2"/>
  <c r="D6656" i="2"/>
  <c r="D6657" i="2"/>
  <c r="D6658" i="2"/>
  <c r="D6659" i="2"/>
  <c r="D6660" i="2"/>
  <c r="D6661" i="2"/>
  <c r="D6662" i="2"/>
  <c r="D6663" i="2"/>
  <c r="D6664" i="2"/>
  <c r="D6665" i="2"/>
  <c r="D6666" i="2"/>
  <c r="D6667" i="2"/>
  <c r="D6668" i="2"/>
  <c r="D6669" i="2"/>
  <c r="D6670" i="2"/>
  <c r="D6671" i="2"/>
  <c r="D6672" i="2"/>
  <c r="D6673" i="2"/>
  <c r="D6674" i="2"/>
  <c r="D6675" i="2"/>
  <c r="D6676" i="2"/>
  <c r="D6677" i="2"/>
  <c r="D6678" i="2"/>
  <c r="D6679" i="2"/>
  <c r="D6680" i="2"/>
  <c r="D6681" i="2"/>
  <c r="D6682" i="2"/>
  <c r="D6683" i="2"/>
  <c r="D6684" i="2"/>
  <c r="D6685" i="2"/>
  <c r="D6686" i="2"/>
  <c r="D6687" i="2"/>
  <c r="D6688" i="2"/>
  <c r="D6689" i="2"/>
  <c r="D6690" i="2"/>
  <c r="D6691" i="2"/>
  <c r="D6692" i="2"/>
  <c r="D6693" i="2"/>
  <c r="D6694" i="2"/>
  <c r="D6695" i="2"/>
  <c r="D6696" i="2"/>
  <c r="D6697" i="2"/>
  <c r="D6698" i="2"/>
  <c r="D6699" i="2"/>
  <c r="D6700" i="2"/>
  <c r="D6701" i="2"/>
  <c r="D6702" i="2"/>
  <c r="D6703" i="2"/>
  <c r="D6704" i="2"/>
  <c r="D6705" i="2"/>
  <c r="D6706" i="2"/>
  <c r="D6707" i="2"/>
  <c r="D6708" i="2"/>
  <c r="D6709" i="2"/>
  <c r="D6710" i="2"/>
  <c r="D6711" i="2"/>
  <c r="D6712" i="2"/>
  <c r="D6713" i="2"/>
  <c r="D6714" i="2"/>
  <c r="D6715" i="2"/>
  <c r="D6716" i="2"/>
  <c r="D6717" i="2"/>
  <c r="D6718" i="2"/>
  <c r="D6719" i="2"/>
  <c r="D6720" i="2"/>
  <c r="D6721" i="2"/>
  <c r="D6722" i="2"/>
  <c r="D6723" i="2"/>
  <c r="D6724" i="2"/>
  <c r="D6725" i="2"/>
  <c r="D6726" i="2"/>
  <c r="D6727" i="2"/>
  <c r="D6728" i="2"/>
  <c r="D6729" i="2"/>
  <c r="D6730" i="2"/>
  <c r="D6731" i="2"/>
  <c r="D6732" i="2"/>
  <c r="D6733" i="2"/>
  <c r="D6734" i="2"/>
  <c r="D6735" i="2"/>
  <c r="D6736" i="2"/>
  <c r="D6737" i="2"/>
  <c r="D6738" i="2"/>
  <c r="D6739" i="2"/>
  <c r="D6740" i="2"/>
  <c r="D6741" i="2"/>
  <c r="D6742" i="2"/>
  <c r="D6743" i="2"/>
  <c r="D6744" i="2"/>
  <c r="D6745" i="2"/>
  <c r="D6746" i="2"/>
  <c r="D6747" i="2"/>
  <c r="D6748" i="2"/>
  <c r="D6749" i="2"/>
  <c r="D6750" i="2"/>
  <c r="D6751" i="2"/>
  <c r="D6752" i="2"/>
  <c r="D6753" i="2"/>
  <c r="D6754" i="2"/>
  <c r="D6755" i="2"/>
  <c r="D6756" i="2"/>
  <c r="D6757" i="2"/>
  <c r="D6758" i="2"/>
  <c r="D6759" i="2"/>
  <c r="D6760" i="2"/>
  <c r="D6761" i="2"/>
  <c r="D6762" i="2"/>
  <c r="D6763" i="2"/>
  <c r="D6764" i="2"/>
  <c r="D6765" i="2"/>
  <c r="D6766" i="2"/>
  <c r="D6767" i="2"/>
  <c r="D6768" i="2"/>
  <c r="D6769" i="2"/>
  <c r="D6770" i="2"/>
  <c r="D6771" i="2"/>
  <c r="D6772" i="2"/>
  <c r="D6773" i="2"/>
  <c r="D6774" i="2"/>
  <c r="D6775" i="2"/>
  <c r="D6776" i="2"/>
  <c r="D6777" i="2"/>
  <c r="D6778" i="2"/>
  <c r="D6779" i="2"/>
  <c r="D6780" i="2"/>
  <c r="D6781" i="2"/>
  <c r="D6782" i="2"/>
  <c r="D6783" i="2"/>
  <c r="D6784" i="2"/>
  <c r="D6785" i="2"/>
  <c r="D6786" i="2"/>
  <c r="D6787" i="2"/>
  <c r="D6788" i="2"/>
  <c r="D6789" i="2"/>
  <c r="D6790" i="2"/>
  <c r="D6791" i="2"/>
  <c r="D6792" i="2"/>
  <c r="D6793" i="2"/>
  <c r="D6794" i="2"/>
  <c r="D6795" i="2"/>
  <c r="D6796" i="2"/>
  <c r="D6797" i="2"/>
  <c r="D6798" i="2"/>
  <c r="D6799" i="2"/>
  <c r="D6800" i="2"/>
  <c r="D6801" i="2"/>
  <c r="D6802" i="2"/>
  <c r="D6803" i="2"/>
  <c r="D6804" i="2"/>
  <c r="D6805" i="2"/>
  <c r="D6806" i="2"/>
  <c r="D6807" i="2"/>
  <c r="D6808" i="2"/>
  <c r="D6809" i="2"/>
  <c r="D6810" i="2"/>
  <c r="D6811" i="2"/>
  <c r="D6812" i="2"/>
  <c r="D6813" i="2"/>
  <c r="D6814" i="2"/>
  <c r="D6815" i="2"/>
  <c r="D6816" i="2"/>
  <c r="D6817" i="2"/>
  <c r="D6818" i="2"/>
  <c r="D6819" i="2"/>
  <c r="D6820" i="2"/>
  <c r="D6821" i="2"/>
  <c r="D6822" i="2"/>
  <c r="D6823" i="2"/>
  <c r="D6824" i="2"/>
  <c r="D6825" i="2"/>
  <c r="D6826" i="2"/>
  <c r="D6827" i="2"/>
  <c r="D6828" i="2"/>
  <c r="D6829" i="2"/>
  <c r="D6830" i="2"/>
  <c r="D6831" i="2"/>
  <c r="D6832" i="2"/>
  <c r="D6833" i="2"/>
  <c r="D6834" i="2"/>
  <c r="D6835" i="2"/>
  <c r="D6836" i="2"/>
  <c r="D6837" i="2"/>
  <c r="D6838" i="2"/>
  <c r="D6839" i="2"/>
  <c r="D6840" i="2"/>
  <c r="D6841" i="2"/>
  <c r="D6842" i="2"/>
  <c r="D6843" i="2"/>
  <c r="D6844" i="2"/>
  <c r="D6845" i="2"/>
  <c r="D6846" i="2"/>
  <c r="D6847" i="2"/>
  <c r="D6848" i="2"/>
  <c r="D6849" i="2"/>
  <c r="D6850" i="2"/>
  <c r="D6851" i="2"/>
  <c r="D6852" i="2"/>
  <c r="D6853" i="2"/>
  <c r="D6854" i="2"/>
  <c r="D6855" i="2"/>
  <c r="D6856" i="2"/>
  <c r="D6857" i="2"/>
  <c r="D6858" i="2"/>
  <c r="D6859" i="2"/>
  <c r="D6860" i="2"/>
  <c r="D6861" i="2"/>
  <c r="D6862" i="2"/>
  <c r="D6863" i="2"/>
  <c r="D6864" i="2"/>
  <c r="D6865" i="2"/>
  <c r="D6866" i="2"/>
  <c r="D6867" i="2"/>
  <c r="D6868" i="2"/>
  <c r="D6869" i="2"/>
  <c r="D6870" i="2"/>
  <c r="D6871" i="2"/>
  <c r="D6872" i="2"/>
  <c r="D6873" i="2"/>
  <c r="D6874" i="2"/>
  <c r="D6875" i="2"/>
  <c r="D6876" i="2"/>
  <c r="D6877" i="2"/>
  <c r="D6878" i="2"/>
  <c r="D6879" i="2"/>
  <c r="D6880" i="2"/>
  <c r="D6881" i="2"/>
  <c r="D6882" i="2"/>
  <c r="D6883" i="2"/>
  <c r="D6884" i="2"/>
  <c r="D6885" i="2"/>
  <c r="D6886" i="2"/>
  <c r="D6887" i="2"/>
  <c r="D6888" i="2"/>
  <c r="D6889" i="2"/>
  <c r="D6890" i="2"/>
  <c r="D6891" i="2"/>
  <c r="D6892" i="2"/>
  <c r="D6893" i="2"/>
  <c r="D6894" i="2"/>
  <c r="D6895" i="2"/>
  <c r="D6896" i="2"/>
  <c r="D6897" i="2"/>
  <c r="D6898" i="2"/>
  <c r="D6899" i="2"/>
  <c r="D6900" i="2"/>
  <c r="D6901" i="2"/>
  <c r="D6902" i="2"/>
  <c r="D6903" i="2"/>
  <c r="D6904" i="2"/>
  <c r="D6905" i="2"/>
  <c r="D6906" i="2"/>
  <c r="D6907" i="2"/>
  <c r="D6908" i="2"/>
  <c r="D6909" i="2"/>
  <c r="D6910" i="2"/>
  <c r="D6911" i="2"/>
  <c r="D6912" i="2"/>
  <c r="D6913" i="2"/>
  <c r="D6914" i="2"/>
  <c r="D6915" i="2"/>
  <c r="D6916" i="2"/>
  <c r="D6917" i="2"/>
  <c r="D6918" i="2"/>
  <c r="D6919" i="2"/>
  <c r="D6920" i="2"/>
  <c r="D6921" i="2"/>
  <c r="D6922" i="2"/>
  <c r="D6923" i="2"/>
  <c r="D6924" i="2"/>
  <c r="D6925" i="2"/>
  <c r="D6926" i="2"/>
  <c r="D6927" i="2"/>
  <c r="D6928" i="2"/>
  <c r="D6929" i="2"/>
  <c r="D6930" i="2"/>
  <c r="D6931" i="2"/>
  <c r="D6932" i="2"/>
  <c r="D6933" i="2"/>
  <c r="D6934" i="2"/>
  <c r="D6935" i="2"/>
  <c r="D6936" i="2"/>
  <c r="D6937" i="2"/>
  <c r="D6938" i="2"/>
  <c r="D6939" i="2"/>
  <c r="D6940" i="2"/>
  <c r="D6941" i="2"/>
  <c r="D6942" i="2"/>
  <c r="D6943" i="2"/>
  <c r="D6944" i="2"/>
  <c r="D6945" i="2"/>
  <c r="D6946" i="2"/>
  <c r="D6947" i="2"/>
  <c r="D6948" i="2"/>
  <c r="D6949" i="2"/>
  <c r="D6950" i="2"/>
  <c r="D6951" i="2"/>
  <c r="D6952" i="2"/>
  <c r="D6953" i="2"/>
  <c r="D6954" i="2"/>
  <c r="D6955" i="2"/>
  <c r="D6956" i="2"/>
  <c r="D6957" i="2"/>
  <c r="D6958" i="2"/>
  <c r="D6959" i="2"/>
  <c r="D6960" i="2"/>
  <c r="D6961" i="2"/>
  <c r="D6962" i="2"/>
  <c r="D6963" i="2"/>
  <c r="D6964" i="2"/>
  <c r="D6965" i="2"/>
  <c r="D6966" i="2"/>
  <c r="D6967" i="2"/>
  <c r="D6968" i="2"/>
  <c r="D6969" i="2"/>
  <c r="D6970" i="2"/>
  <c r="D6971" i="2"/>
  <c r="D6972" i="2"/>
  <c r="D6973" i="2"/>
  <c r="D6974" i="2"/>
  <c r="D6975" i="2"/>
  <c r="D6976" i="2"/>
  <c r="D6977" i="2"/>
  <c r="D6978" i="2"/>
  <c r="D6979" i="2"/>
  <c r="D6980" i="2"/>
  <c r="D6981" i="2"/>
  <c r="D6982" i="2"/>
  <c r="D6983" i="2"/>
  <c r="D6984" i="2"/>
  <c r="D6985" i="2"/>
  <c r="D6986" i="2"/>
  <c r="D6987" i="2"/>
  <c r="D6988" i="2"/>
  <c r="D6989" i="2"/>
  <c r="D6990" i="2"/>
  <c r="D6991" i="2"/>
  <c r="D6992" i="2"/>
  <c r="D6993" i="2"/>
  <c r="D6994" i="2"/>
  <c r="D6995" i="2"/>
  <c r="D6996" i="2"/>
  <c r="D6997" i="2"/>
  <c r="D6998" i="2"/>
  <c r="D6999" i="2"/>
  <c r="D7000" i="2"/>
  <c r="D7001" i="2"/>
  <c r="D7002" i="2"/>
  <c r="D7003" i="2"/>
  <c r="D7004" i="2"/>
  <c r="D7005" i="2"/>
  <c r="D7006" i="2"/>
  <c r="D7007" i="2"/>
  <c r="D7008" i="2"/>
  <c r="D7009" i="2"/>
  <c r="D7010" i="2"/>
  <c r="D7011" i="2"/>
  <c r="D7012" i="2"/>
  <c r="D7013" i="2"/>
  <c r="D7014" i="2"/>
  <c r="D7015" i="2"/>
  <c r="D7016" i="2"/>
  <c r="D7017" i="2"/>
  <c r="D7018" i="2"/>
  <c r="D7019" i="2"/>
  <c r="D7020" i="2"/>
  <c r="D7021" i="2"/>
  <c r="D7022" i="2"/>
  <c r="D7023" i="2"/>
  <c r="D7024" i="2"/>
  <c r="D7025" i="2"/>
  <c r="D7026" i="2"/>
  <c r="D7027" i="2"/>
  <c r="D7028" i="2"/>
  <c r="D7029" i="2"/>
  <c r="D7030" i="2"/>
  <c r="D7031" i="2"/>
  <c r="D7032" i="2"/>
  <c r="D7033" i="2"/>
  <c r="D7034" i="2"/>
  <c r="D7035" i="2"/>
  <c r="D7036" i="2"/>
  <c r="D7037" i="2"/>
  <c r="D7038" i="2"/>
  <c r="D7039" i="2"/>
  <c r="D7040" i="2"/>
  <c r="D7041" i="2"/>
  <c r="D7042" i="2"/>
  <c r="D7043" i="2"/>
  <c r="D7044" i="2"/>
  <c r="D7045" i="2"/>
  <c r="D7046" i="2"/>
  <c r="D7047" i="2"/>
  <c r="D7048" i="2"/>
  <c r="D7049" i="2"/>
  <c r="D7050" i="2"/>
  <c r="D7051" i="2"/>
  <c r="D7052" i="2"/>
  <c r="D7053" i="2"/>
  <c r="D7054" i="2"/>
  <c r="D7055" i="2"/>
  <c r="D7056" i="2"/>
  <c r="D7057" i="2"/>
  <c r="D7058" i="2"/>
  <c r="D7059" i="2"/>
  <c r="D7060" i="2"/>
  <c r="D7061" i="2"/>
  <c r="D7062" i="2"/>
  <c r="D7063" i="2"/>
  <c r="D7064" i="2"/>
  <c r="D7065" i="2"/>
  <c r="D7066" i="2"/>
  <c r="D7067" i="2"/>
  <c r="D7068" i="2"/>
  <c r="D7069" i="2"/>
  <c r="D7070" i="2"/>
  <c r="D7071" i="2"/>
  <c r="D7072" i="2"/>
  <c r="D7073" i="2"/>
  <c r="D7074" i="2"/>
  <c r="D7075" i="2"/>
  <c r="D7076" i="2"/>
  <c r="D7077" i="2"/>
  <c r="D7078" i="2"/>
  <c r="D7079" i="2"/>
  <c r="D7080" i="2"/>
  <c r="D7081" i="2"/>
  <c r="D7082" i="2"/>
  <c r="D7083" i="2"/>
  <c r="D7084" i="2"/>
  <c r="D7085" i="2"/>
  <c r="D7086" i="2"/>
  <c r="D7087" i="2"/>
  <c r="D7088" i="2"/>
  <c r="D7089" i="2"/>
  <c r="D7090" i="2"/>
  <c r="D7091" i="2"/>
  <c r="D7092" i="2"/>
  <c r="D7093" i="2"/>
  <c r="D7094" i="2"/>
  <c r="D7095" i="2"/>
  <c r="D7096" i="2"/>
  <c r="D7097" i="2"/>
  <c r="D7098" i="2"/>
  <c r="D7099" i="2"/>
  <c r="D7100" i="2"/>
  <c r="D7101" i="2"/>
  <c r="D7102" i="2"/>
  <c r="D7103" i="2"/>
  <c r="D7104" i="2"/>
  <c r="D7105" i="2"/>
  <c r="D7106" i="2"/>
  <c r="D7107" i="2"/>
  <c r="D7108" i="2"/>
  <c r="D7109" i="2"/>
  <c r="D7110" i="2"/>
  <c r="D7111" i="2"/>
  <c r="D7112" i="2"/>
  <c r="D7113" i="2"/>
  <c r="D7114" i="2"/>
  <c r="D7115" i="2"/>
  <c r="D7116" i="2"/>
  <c r="D7117" i="2"/>
  <c r="D7118" i="2"/>
  <c r="D7119" i="2"/>
  <c r="D7120" i="2"/>
  <c r="D7121" i="2"/>
  <c r="D7122" i="2"/>
  <c r="D7123" i="2"/>
  <c r="D7124" i="2"/>
  <c r="D7125" i="2"/>
  <c r="D7126" i="2"/>
  <c r="D7127" i="2"/>
  <c r="D7128" i="2"/>
  <c r="D7129" i="2"/>
  <c r="D7130" i="2"/>
  <c r="D7131" i="2"/>
  <c r="D7132" i="2"/>
  <c r="D7133" i="2"/>
  <c r="D7134" i="2"/>
  <c r="D7135" i="2"/>
  <c r="D7136" i="2"/>
  <c r="D7137" i="2"/>
  <c r="D7138" i="2"/>
  <c r="D7139" i="2"/>
  <c r="D7140" i="2"/>
  <c r="D7141" i="2"/>
  <c r="D7142" i="2"/>
  <c r="D7143" i="2"/>
  <c r="D7144" i="2"/>
  <c r="D7145" i="2"/>
  <c r="D7146" i="2"/>
  <c r="D7147" i="2"/>
  <c r="D7148" i="2"/>
  <c r="D7149" i="2"/>
  <c r="D7150" i="2"/>
  <c r="D7151" i="2"/>
  <c r="D7152" i="2"/>
  <c r="D7153" i="2"/>
  <c r="D7154" i="2"/>
  <c r="D7155" i="2"/>
  <c r="D7156" i="2"/>
  <c r="D7157" i="2"/>
  <c r="D7158" i="2"/>
  <c r="D7159" i="2"/>
  <c r="D7160" i="2"/>
  <c r="D7161" i="2"/>
  <c r="D7162" i="2"/>
  <c r="D7163" i="2"/>
  <c r="D7164" i="2"/>
  <c r="D7165" i="2"/>
  <c r="D7166" i="2"/>
  <c r="D7167" i="2"/>
  <c r="D7168" i="2"/>
  <c r="D7169" i="2"/>
  <c r="D7170" i="2"/>
  <c r="D7171" i="2"/>
  <c r="D7172" i="2"/>
  <c r="D7173" i="2"/>
  <c r="D7174" i="2"/>
  <c r="D7175" i="2"/>
  <c r="D7176" i="2"/>
  <c r="D7177" i="2"/>
  <c r="D7178" i="2"/>
  <c r="D7179" i="2"/>
  <c r="D7180" i="2"/>
  <c r="D7181" i="2"/>
  <c r="D7182" i="2"/>
  <c r="D7183" i="2"/>
  <c r="D7184" i="2"/>
  <c r="D7185" i="2"/>
  <c r="D7186" i="2"/>
  <c r="D7187" i="2"/>
  <c r="D7188" i="2"/>
  <c r="D7189" i="2"/>
  <c r="D7190" i="2"/>
  <c r="D7191" i="2"/>
  <c r="D7192" i="2"/>
  <c r="D7193" i="2"/>
  <c r="D7194" i="2"/>
  <c r="D7195" i="2"/>
  <c r="D7196" i="2"/>
  <c r="D7197" i="2"/>
  <c r="D7198" i="2"/>
  <c r="D7199" i="2"/>
  <c r="D7200" i="2"/>
  <c r="D7201" i="2"/>
  <c r="D7202" i="2"/>
  <c r="D7203" i="2"/>
  <c r="D7204" i="2"/>
  <c r="D7205" i="2"/>
  <c r="D7206" i="2"/>
  <c r="D7207" i="2"/>
  <c r="D7208" i="2"/>
  <c r="D7209" i="2"/>
  <c r="D7210" i="2"/>
  <c r="D7211" i="2"/>
  <c r="D7212" i="2"/>
  <c r="D7213" i="2"/>
  <c r="D7214" i="2"/>
  <c r="D7215" i="2"/>
  <c r="D7216" i="2"/>
  <c r="D7217" i="2"/>
  <c r="D7218" i="2"/>
  <c r="D7219" i="2"/>
  <c r="D7220" i="2"/>
  <c r="D7221" i="2"/>
  <c r="D7222" i="2"/>
  <c r="D7223" i="2"/>
  <c r="D7224" i="2"/>
  <c r="D7225" i="2"/>
  <c r="D7226" i="2"/>
  <c r="D7227" i="2"/>
  <c r="D7228" i="2"/>
  <c r="D7229" i="2"/>
  <c r="D7230" i="2"/>
  <c r="D7231" i="2"/>
  <c r="D7232" i="2"/>
  <c r="D7233" i="2"/>
  <c r="D7234" i="2"/>
  <c r="D7235" i="2"/>
  <c r="D7236" i="2"/>
  <c r="D7237" i="2"/>
  <c r="D7238" i="2"/>
  <c r="D7239" i="2"/>
  <c r="D7240" i="2"/>
  <c r="D7241" i="2"/>
  <c r="D7242" i="2"/>
  <c r="D7243" i="2"/>
  <c r="D7244" i="2"/>
  <c r="D7245" i="2"/>
  <c r="D7246" i="2"/>
  <c r="D7247" i="2"/>
  <c r="D7248" i="2"/>
  <c r="D7249" i="2"/>
  <c r="D7250" i="2"/>
  <c r="D7251" i="2"/>
  <c r="D7252" i="2"/>
  <c r="D7253" i="2"/>
  <c r="D7254" i="2"/>
  <c r="D7255" i="2"/>
  <c r="D7256" i="2"/>
  <c r="D7257" i="2"/>
  <c r="D7258" i="2"/>
  <c r="D7259" i="2"/>
  <c r="D7260" i="2"/>
  <c r="D7261" i="2"/>
  <c r="D7262" i="2"/>
  <c r="D7263" i="2"/>
  <c r="D7264" i="2"/>
  <c r="D7265" i="2"/>
  <c r="D7266" i="2"/>
  <c r="D7267" i="2"/>
  <c r="D7268" i="2"/>
  <c r="D7269" i="2"/>
  <c r="D7270" i="2"/>
  <c r="D7271" i="2"/>
  <c r="D7272" i="2"/>
  <c r="D7273" i="2"/>
  <c r="D7274" i="2"/>
  <c r="D7275" i="2"/>
  <c r="D7276" i="2"/>
  <c r="D7277" i="2"/>
  <c r="D7278" i="2"/>
  <c r="D7279" i="2"/>
  <c r="D7280" i="2"/>
  <c r="D7281" i="2"/>
  <c r="D7282" i="2"/>
  <c r="D7283" i="2"/>
  <c r="D7284" i="2"/>
  <c r="D7285" i="2"/>
  <c r="D7286" i="2"/>
  <c r="D7287" i="2"/>
  <c r="D7288" i="2"/>
  <c r="D7289" i="2"/>
  <c r="D7290" i="2"/>
  <c r="D7291" i="2"/>
  <c r="D7292" i="2"/>
  <c r="D7293" i="2"/>
  <c r="D7294" i="2"/>
  <c r="D7295" i="2"/>
  <c r="D7296" i="2"/>
  <c r="D7297" i="2"/>
  <c r="D7298" i="2"/>
  <c r="D7299" i="2"/>
  <c r="D7300" i="2"/>
  <c r="D7301" i="2"/>
  <c r="D7302" i="2"/>
  <c r="D7303" i="2"/>
  <c r="D7304" i="2"/>
  <c r="D7305" i="2"/>
  <c r="D7306" i="2"/>
  <c r="D7307" i="2"/>
  <c r="D7308" i="2"/>
  <c r="D7309" i="2"/>
  <c r="D7310" i="2"/>
  <c r="D7311" i="2"/>
  <c r="D7312" i="2"/>
  <c r="D7313" i="2"/>
  <c r="D7314" i="2"/>
  <c r="D7315" i="2"/>
  <c r="D7316" i="2"/>
  <c r="D7317" i="2"/>
  <c r="D7318" i="2"/>
  <c r="D7319" i="2"/>
  <c r="D7320" i="2"/>
  <c r="D7321" i="2"/>
  <c r="D7322" i="2"/>
  <c r="D7323" i="2"/>
  <c r="D7324" i="2"/>
  <c r="D7325" i="2"/>
  <c r="D7326" i="2"/>
  <c r="D7327" i="2"/>
  <c r="D7328" i="2"/>
  <c r="D7329" i="2"/>
  <c r="D7330" i="2"/>
  <c r="D7331" i="2"/>
  <c r="D7332" i="2"/>
  <c r="D7333" i="2"/>
  <c r="D7334" i="2"/>
  <c r="D7335" i="2"/>
  <c r="D7336" i="2"/>
  <c r="D7337" i="2"/>
  <c r="D7338" i="2"/>
  <c r="D7339" i="2"/>
  <c r="D7340" i="2"/>
  <c r="D7341" i="2"/>
  <c r="D7342" i="2"/>
  <c r="D7343" i="2"/>
  <c r="D7344" i="2"/>
  <c r="D7345" i="2"/>
  <c r="D7346" i="2"/>
  <c r="D7347" i="2"/>
  <c r="D7348" i="2"/>
  <c r="D7349" i="2"/>
  <c r="D7350" i="2"/>
  <c r="D7351" i="2"/>
  <c r="D7352" i="2"/>
  <c r="D7353" i="2"/>
  <c r="D7354" i="2"/>
  <c r="D7355" i="2"/>
  <c r="D7356" i="2"/>
  <c r="D7357" i="2"/>
  <c r="D7358" i="2"/>
  <c r="D7359" i="2"/>
  <c r="D7360" i="2"/>
  <c r="D7361" i="2"/>
  <c r="D7362" i="2"/>
  <c r="D7363" i="2"/>
  <c r="D7364" i="2"/>
  <c r="D7365" i="2"/>
  <c r="D7366" i="2"/>
  <c r="D7367" i="2"/>
  <c r="D7368" i="2"/>
  <c r="D7369" i="2"/>
  <c r="D7370" i="2"/>
  <c r="D7371" i="2"/>
  <c r="D7372" i="2"/>
  <c r="D7373" i="2"/>
  <c r="D7374" i="2"/>
  <c r="D7375" i="2"/>
  <c r="D7376" i="2"/>
  <c r="D7377" i="2"/>
  <c r="D7378" i="2"/>
  <c r="D7379" i="2"/>
  <c r="D7380" i="2"/>
  <c r="D7381" i="2"/>
  <c r="D7382" i="2"/>
  <c r="D7383" i="2"/>
  <c r="D7384" i="2"/>
  <c r="D7385" i="2"/>
  <c r="D7386" i="2"/>
  <c r="D7387" i="2"/>
  <c r="D7388" i="2"/>
  <c r="D7389" i="2"/>
  <c r="D7390" i="2"/>
  <c r="D7391" i="2"/>
  <c r="D7392" i="2"/>
  <c r="D7393" i="2"/>
  <c r="D7394" i="2"/>
  <c r="D7395" i="2"/>
  <c r="D7396" i="2"/>
  <c r="D7397" i="2"/>
  <c r="D7398" i="2"/>
  <c r="D7399" i="2"/>
  <c r="D7400" i="2"/>
  <c r="D7401" i="2"/>
  <c r="D7402" i="2"/>
  <c r="D7403" i="2"/>
  <c r="D7404" i="2"/>
  <c r="D7405" i="2"/>
  <c r="D7406" i="2"/>
  <c r="D7407" i="2"/>
  <c r="D7408" i="2"/>
  <c r="D7409" i="2"/>
  <c r="D7410" i="2"/>
  <c r="D7411" i="2"/>
  <c r="D7412" i="2"/>
  <c r="D7413" i="2"/>
  <c r="D7414" i="2"/>
  <c r="D7415" i="2"/>
  <c r="D7416" i="2"/>
  <c r="D7417" i="2"/>
  <c r="D7418" i="2"/>
  <c r="D7419" i="2"/>
  <c r="D7420" i="2"/>
  <c r="D7421" i="2"/>
  <c r="D7422" i="2"/>
  <c r="D7423" i="2"/>
  <c r="D7424" i="2"/>
  <c r="D7425" i="2"/>
  <c r="D7426" i="2"/>
  <c r="D7427" i="2"/>
  <c r="D7428" i="2"/>
  <c r="D7429" i="2"/>
  <c r="D7430" i="2"/>
  <c r="D7431" i="2"/>
  <c r="D7432" i="2"/>
  <c r="D7433" i="2"/>
  <c r="D7434" i="2"/>
  <c r="D7435" i="2"/>
  <c r="D7436" i="2"/>
  <c r="D7437" i="2"/>
  <c r="D7438" i="2"/>
  <c r="D7439" i="2"/>
  <c r="D7440" i="2"/>
  <c r="D7441" i="2"/>
  <c r="D7442" i="2"/>
  <c r="D7443" i="2"/>
  <c r="D7444" i="2"/>
  <c r="D7445" i="2"/>
  <c r="D7446" i="2"/>
  <c r="D7447" i="2"/>
  <c r="D7448" i="2"/>
  <c r="D7449" i="2"/>
  <c r="D7450" i="2"/>
  <c r="D7451" i="2"/>
  <c r="D7452" i="2"/>
  <c r="D7453" i="2"/>
  <c r="D7454" i="2"/>
  <c r="D7455" i="2"/>
  <c r="D7456" i="2"/>
  <c r="D7457" i="2"/>
  <c r="D7458" i="2"/>
  <c r="D7459" i="2"/>
  <c r="D7460" i="2"/>
  <c r="D7461" i="2"/>
  <c r="D7462" i="2"/>
  <c r="D7463" i="2"/>
  <c r="D7464" i="2"/>
  <c r="D7465" i="2"/>
  <c r="D7466" i="2"/>
  <c r="D7467" i="2"/>
  <c r="D7468" i="2"/>
  <c r="D7469" i="2"/>
  <c r="D7470" i="2"/>
  <c r="D7471" i="2"/>
  <c r="D7472" i="2"/>
  <c r="D7473" i="2"/>
  <c r="D7474" i="2"/>
  <c r="D7475" i="2"/>
  <c r="D7476" i="2"/>
  <c r="D7477" i="2"/>
  <c r="D7478" i="2"/>
  <c r="D7479" i="2"/>
  <c r="D7480" i="2"/>
  <c r="D7481" i="2"/>
  <c r="D7482" i="2"/>
  <c r="D7483" i="2"/>
  <c r="D7484" i="2"/>
  <c r="D7485" i="2"/>
  <c r="D7486" i="2"/>
  <c r="D7487" i="2"/>
  <c r="D7488" i="2"/>
  <c r="D7489" i="2"/>
  <c r="D7490" i="2"/>
  <c r="D7491" i="2"/>
  <c r="D7492" i="2"/>
  <c r="D7493" i="2"/>
  <c r="D7494" i="2"/>
  <c r="D7495" i="2"/>
  <c r="D7496" i="2"/>
  <c r="D7497" i="2"/>
  <c r="D7498" i="2"/>
  <c r="D7499" i="2"/>
  <c r="D7500" i="2"/>
  <c r="D7501" i="2"/>
  <c r="D7502" i="2"/>
  <c r="D7503" i="2"/>
  <c r="D7504" i="2"/>
  <c r="D7505" i="2"/>
  <c r="D7506" i="2"/>
  <c r="D7507" i="2"/>
  <c r="D7508" i="2"/>
  <c r="D7509" i="2"/>
  <c r="D7510" i="2"/>
  <c r="D7511" i="2"/>
  <c r="D7512" i="2"/>
  <c r="D7513" i="2"/>
  <c r="D7514" i="2"/>
  <c r="D7515" i="2"/>
  <c r="D7516" i="2"/>
  <c r="D7517" i="2"/>
  <c r="D7518" i="2"/>
  <c r="D7519" i="2"/>
  <c r="D7520" i="2"/>
  <c r="D7521" i="2"/>
  <c r="D7522" i="2"/>
  <c r="D7523" i="2"/>
  <c r="D7524" i="2"/>
  <c r="D7525" i="2"/>
  <c r="D7526" i="2"/>
  <c r="D7527" i="2"/>
  <c r="D7528" i="2"/>
  <c r="D7529" i="2"/>
  <c r="D7530" i="2"/>
  <c r="D7531" i="2"/>
  <c r="D7532" i="2"/>
  <c r="D7533" i="2"/>
  <c r="D7534" i="2"/>
  <c r="D7535" i="2"/>
  <c r="D7536" i="2"/>
  <c r="D7537" i="2"/>
  <c r="D7538" i="2"/>
  <c r="D7539" i="2"/>
  <c r="D7540" i="2"/>
  <c r="D7541" i="2"/>
  <c r="D7542" i="2"/>
  <c r="D7543" i="2"/>
  <c r="D7544" i="2"/>
  <c r="D7545" i="2"/>
  <c r="D7546" i="2"/>
  <c r="D7547" i="2"/>
  <c r="D7548" i="2"/>
  <c r="D7549" i="2"/>
  <c r="D7550" i="2"/>
  <c r="D7551" i="2"/>
  <c r="D7552" i="2"/>
  <c r="D7553" i="2"/>
  <c r="D7554" i="2"/>
  <c r="D7555" i="2"/>
  <c r="D7556" i="2"/>
  <c r="D7557" i="2"/>
  <c r="D7558" i="2"/>
  <c r="D7559" i="2"/>
  <c r="D7560" i="2"/>
  <c r="D7561" i="2"/>
  <c r="D7562" i="2"/>
  <c r="D7563" i="2"/>
  <c r="D7564" i="2"/>
  <c r="D7565" i="2"/>
  <c r="D7566" i="2"/>
  <c r="D7567" i="2"/>
  <c r="D7568" i="2"/>
  <c r="D7569" i="2"/>
  <c r="D7570" i="2"/>
  <c r="D7571" i="2"/>
  <c r="D7572" i="2"/>
  <c r="D7573" i="2"/>
  <c r="D7574" i="2"/>
  <c r="D7575" i="2"/>
  <c r="D7576" i="2"/>
  <c r="D7577" i="2"/>
  <c r="D7578" i="2"/>
  <c r="D7579" i="2"/>
  <c r="D7580" i="2"/>
  <c r="D7581" i="2"/>
  <c r="D7582" i="2"/>
  <c r="D7583" i="2"/>
  <c r="D7584" i="2"/>
  <c r="D7585" i="2"/>
  <c r="D7586" i="2"/>
  <c r="D7587" i="2"/>
  <c r="D7588" i="2"/>
  <c r="D7589" i="2"/>
  <c r="D7590" i="2"/>
  <c r="D7591" i="2"/>
  <c r="D7592" i="2"/>
  <c r="D7593" i="2"/>
  <c r="D7594" i="2"/>
  <c r="D7595" i="2"/>
  <c r="D7596" i="2"/>
  <c r="D7597" i="2"/>
  <c r="D7598" i="2"/>
  <c r="D7599" i="2"/>
  <c r="D7600" i="2"/>
  <c r="D7601" i="2"/>
  <c r="D7602" i="2"/>
  <c r="D7603" i="2"/>
  <c r="D7604" i="2"/>
  <c r="D7605" i="2"/>
  <c r="D7606" i="2"/>
  <c r="D7607" i="2"/>
  <c r="D7608" i="2"/>
  <c r="D7609" i="2"/>
  <c r="D7610" i="2"/>
  <c r="D7611" i="2"/>
  <c r="D7612" i="2"/>
  <c r="D7613" i="2"/>
  <c r="D7614" i="2"/>
  <c r="D7615" i="2"/>
  <c r="D7616" i="2"/>
  <c r="D7617" i="2"/>
  <c r="D7618" i="2"/>
  <c r="D7619" i="2"/>
  <c r="D7620" i="2"/>
  <c r="D7621" i="2"/>
  <c r="D7622" i="2"/>
  <c r="D7623" i="2"/>
  <c r="D7624" i="2"/>
  <c r="D7625" i="2"/>
  <c r="D7626" i="2"/>
  <c r="D7627" i="2"/>
  <c r="D7628" i="2"/>
  <c r="D7629" i="2"/>
  <c r="D7630" i="2"/>
  <c r="D7631" i="2"/>
  <c r="D7632" i="2"/>
  <c r="D7633" i="2"/>
  <c r="D7634" i="2"/>
  <c r="D7635" i="2"/>
  <c r="D7636" i="2"/>
  <c r="D7637" i="2"/>
  <c r="D7638" i="2"/>
  <c r="D7639" i="2"/>
  <c r="D7640" i="2"/>
  <c r="D7641" i="2"/>
  <c r="D7642" i="2"/>
  <c r="D7643" i="2"/>
  <c r="D7644" i="2"/>
  <c r="D7645" i="2"/>
  <c r="D7646" i="2"/>
  <c r="D7647" i="2"/>
  <c r="D7648" i="2"/>
  <c r="D7649" i="2"/>
  <c r="D7650" i="2"/>
  <c r="D7651" i="2"/>
  <c r="D7652" i="2"/>
  <c r="D7653" i="2"/>
  <c r="D7654" i="2"/>
  <c r="D7655" i="2"/>
  <c r="D7656" i="2"/>
  <c r="D7657" i="2"/>
  <c r="D7658" i="2"/>
  <c r="D7659" i="2"/>
  <c r="D7660" i="2"/>
  <c r="D7661" i="2"/>
  <c r="D7662" i="2"/>
  <c r="D7663" i="2"/>
  <c r="D7664" i="2"/>
  <c r="D7665" i="2"/>
  <c r="D7666" i="2"/>
  <c r="D7667" i="2"/>
  <c r="D7668" i="2"/>
  <c r="D7669" i="2"/>
  <c r="D7670" i="2"/>
  <c r="D7671" i="2"/>
  <c r="D7672" i="2"/>
  <c r="D7673" i="2"/>
  <c r="D7674" i="2"/>
  <c r="D7675" i="2"/>
  <c r="D7676" i="2"/>
  <c r="D7677" i="2"/>
  <c r="D7678" i="2"/>
  <c r="D7679" i="2"/>
  <c r="D7680" i="2"/>
  <c r="D7681" i="2"/>
  <c r="D7682" i="2"/>
  <c r="D7683" i="2"/>
  <c r="D7684" i="2"/>
  <c r="D7685" i="2"/>
  <c r="D7686" i="2"/>
  <c r="D7687" i="2"/>
  <c r="D7688" i="2"/>
  <c r="D7689" i="2"/>
  <c r="D7690" i="2"/>
  <c r="D7691" i="2"/>
  <c r="D7692" i="2"/>
  <c r="D7693" i="2"/>
  <c r="D7694" i="2"/>
  <c r="D7695" i="2"/>
  <c r="D7696" i="2"/>
  <c r="D7697" i="2"/>
  <c r="D7698" i="2"/>
  <c r="D7699" i="2"/>
  <c r="D7700" i="2"/>
  <c r="D7701" i="2"/>
  <c r="D7702" i="2"/>
  <c r="D7703" i="2"/>
  <c r="D7704" i="2"/>
  <c r="D7705" i="2"/>
  <c r="D7706" i="2"/>
  <c r="D7707" i="2"/>
  <c r="D7708" i="2"/>
  <c r="D7709" i="2"/>
  <c r="D7710" i="2"/>
  <c r="D7711" i="2"/>
  <c r="D7712" i="2"/>
  <c r="D7713" i="2"/>
  <c r="D7714" i="2"/>
  <c r="D7715" i="2"/>
  <c r="D7716" i="2"/>
  <c r="D7717" i="2"/>
  <c r="D7718" i="2"/>
  <c r="D7719" i="2"/>
  <c r="D7720" i="2"/>
  <c r="D7721" i="2"/>
  <c r="D7722" i="2"/>
  <c r="D7723" i="2"/>
  <c r="D7724" i="2"/>
  <c r="D7725" i="2"/>
  <c r="D7726" i="2"/>
  <c r="D7727" i="2"/>
  <c r="D7728" i="2"/>
  <c r="D7729" i="2"/>
  <c r="D7730" i="2"/>
  <c r="D7731" i="2"/>
  <c r="D7732" i="2"/>
  <c r="D7733" i="2"/>
  <c r="D7734" i="2"/>
  <c r="D7735" i="2"/>
  <c r="D7736" i="2"/>
  <c r="D7737" i="2"/>
  <c r="D7738" i="2"/>
  <c r="D7739" i="2"/>
  <c r="D7740" i="2"/>
  <c r="D7741" i="2"/>
  <c r="D7742" i="2"/>
  <c r="D7743" i="2"/>
  <c r="D7744" i="2"/>
  <c r="D7745" i="2"/>
  <c r="D7746" i="2"/>
  <c r="D7747" i="2"/>
  <c r="D7748" i="2"/>
  <c r="D7749" i="2"/>
  <c r="D7750" i="2"/>
  <c r="D7751" i="2"/>
  <c r="D7752" i="2"/>
  <c r="D7753" i="2"/>
  <c r="D7754" i="2"/>
  <c r="D7755" i="2"/>
  <c r="D7756" i="2"/>
  <c r="D7757" i="2"/>
  <c r="D7758" i="2"/>
  <c r="D7759" i="2"/>
  <c r="D7760" i="2"/>
  <c r="D7761" i="2"/>
  <c r="D7762" i="2"/>
  <c r="D7763" i="2"/>
  <c r="D7764" i="2"/>
  <c r="D7765" i="2"/>
  <c r="D7766" i="2"/>
  <c r="D7767" i="2"/>
  <c r="D7768" i="2"/>
  <c r="D7769" i="2"/>
  <c r="D7770" i="2"/>
  <c r="D7771" i="2"/>
  <c r="D7772" i="2"/>
  <c r="D7773" i="2"/>
  <c r="D7774" i="2"/>
  <c r="D7775" i="2"/>
  <c r="D7776" i="2"/>
  <c r="D7777" i="2"/>
  <c r="D7778" i="2"/>
  <c r="D7779" i="2"/>
  <c r="D7780" i="2"/>
  <c r="D7781" i="2"/>
  <c r="D7782" i="2"/>
  <c r="D7783" i="2"/>
  <c r="D7784" i="2"/>
  <c r="D7785" i="2"/>
  <c r="D7786" i="2"/>
  <c r="D7787" i="2"/>
  <c r="D7788" i="2"/>
  <c r="D7789" i="2"/>
  <c r="D7790" i="2"/>
  <c r="D7791" i="2"/>
  <c r="D7792" i="2"/>
  <c r="D7793" i="2"/>
  <c r="D7794" i="2"/>
  <c r="D7795" i="2"/>
  <c r="D7796" i="2"/>
  <c r="D7797" i="2"/>
  <c r="D7798" i="2"/>
  <c r="D7799" i="2"/>
  <c r="D7800" i="2"/>
  <c r="D7801" i="2"/>
  <c r="D7802" i="2"/>
  <c r="D7803" i="2"/>
  <c r="D7804" i="2"/>
  <c r="D7805" i="2"/>
  <c r="D7806" i="2"/>
  <c r="D7807" i="2"/>
  <c r="D7808" i="2"/>
  <c r="D7809" i="2"/>
  <c r="D7810" i="2"/>
  <c r="D7811" i="2"/>
  <c r="D7812" i="2"/>
  <c r="D7813" i="2"/>
  <c r="D7814" i="2"/>
  <c r="D7815" i="2"/>
  <c r="D7816" i="2"/>
  <c r="D7817" i="2"/>
  <c r="D7818" i="2"/>
  <c r="D7819" i="2"/>
  <c r="D7820" i="2"/>
  <c r="D7821" i="2"/>
  <c r="D7822" i="2"/>
  <c r="D7823" i="2"/>
  <c r="D7824" i="2"/>
  <c r="D7825" i="2"/>
  <c r="D7826" i="2"/>
  <c r="D7827" i="2"/>
  <c r="D7828" i="2"/>
  <c r="D7829" i="2"/>
  <c r="D7830" i="2"/>
  <c r="D7831" i="2"/>
  <c r="D7832" i="2"/>
  <c r="D7833" i="2"/>
  <c r="D7834" i="2"/>
  <c r="D7835" i="2"/>
  <c r="D7836" i="2"/>
  <c r="D7837" i="2"/>
  <c r="D7838" i="2"/>
  <c r="D7839" i="2"/>
  <c r="D7840" i="2"/>
  <c r="D7841" i="2"/>
  <c r="D7842" i="2"/>
  <c r="D7843" i="2"/>
  <c r="D7844" i="2"/>
  <c r="D7845" i="2"/>
  <c r="D7846" i="2"/>
  <c r="D7847" i="2"/>
  <c r="D7848" i="2"/>
  <c r="D7849" i="2"/>
  <c r="D7850" i="2"/>
  <c r="D7851" i="2"/>
  <c r="D7852" i="2"/>
  <c r="D7853" i="2"/>
  <c r="D7854" i="2"/>
  <c r="D7855" i="2"/>
  <c r="D7856" i="2"/>
  <c r="D7857" i="2"/>
  <c r="D7858" i="2"/>
  <c r="D7859" i="2"/>
  <c r="D7860" i="2"/>
  <c r="D7861" i="2"/>
  <c r="D7862" i="2"/>
  <c r="D7863" i="2"/>
  <c r="D7864" i="2"/>
  <c r="D7865" i="2"/>
  <c r="D7866" i="2"/>
  <c r="D7867" i="2"/>
  <c r="D7868" i="2"/>
  <c r="D7869" i="2"/>
  <c r="D7870" i="2"/>
  <c r="D7871" i="2"/>
  <c r="D7872" i="2"/>
  <c r="D7873" i="2"/>
  <c r="D7874" i="2"/>
  <c r="D7875" i="2"/>
  <c r="D7876" i="2"/>
  <c r="D7877" i="2"/>
  <c r="D7878" i="2"/>
  <c r="D7879" i="2"/>
  <c r="D7880" i="2"/>
  <c r="D7881" i="2"/>
  <c r="D7882" i="2"/>
  <c r="D7883" i="2"/>
  <c r="D7884" i="2"/>
  <c r="D7885" i="2"/>
  <c r="D7886" i="2"/>
  <c r="D7887" i="2"/>
  <c r="D7888" i="2"/>
  <c r="D7889" i="2"/>
  <c r="D7890" i="2"/>
  <c r="D7891" i="2"/>
  <c r="D7892" i="2"/>
  <c r="D7893" i="2"/>
  <c r="D7894" i="2"/>
  <c r="D7895" i="2"/>
  <c r="D7896" i="2"/>
  <c r="D7897" i="2"/>
  <c r="D7898" i="2"/>
  <c r="D7899" i="2"/>
  <c r="D7900" i="2"/>
  <c r="D7901" i="2"/>
  <c r="D7902" i="2"/>
  <c r="D7903" i="2"/>
  <c r="D7904" i="2"/>
  <c r="D7905" i="2"/>
  <c r="D7906" i="2"/>
  <c r="D7907" i="2"/>
  <c r="D7908" i="2"/>
  <c r="D7909" i="2"/>
  <c r="D7910" i="2"/>
  <c r="D7911" i="2"/>
  <c r="D7912" i="2"/>
  <c r="D7913" i="2"/>
  <c r="D7914" i="2"/>
  <c r="D7915" i="2"/>
  <c r="D7916" i="2"/>
  <c r="D7917" i="2"/>
  <c r="D7918" i="2"/>
  <c r="D7919" i="2"/>
  <c r="D7920" i="2"/>
  <c r="D7921" i="2"/>
  <c r="D7922" i="2"/>
  <c r="D7923" i="2"/>
  <c r="D7924" i="2"/>
  <c r="D7925" i="2"/>
  <c r="D7926" i="2"/>
  <c r="D7927" i="2"/>
  <c r="D7928" i="2"/>
  <c r="D7929" i="2"/>
  <c r="D7930" i="2"/>
  <c r="D7931" i="2"/>
  <c r="D7932" i="2"/>
  <c r="D7933" i="2"/>
  <c r="D7934" i="2"/>
  <c r="D7935" i="2"/>
  <c r="D7936" i="2"/>
  <c r="D7937" i="2"/>
  <c r="D7938" i="2"/>
  <c r="D7939" i="2"/>
  <c r="D7940" i="2"/>
  <c r="D7941" i="2"/>
  <c r="D7942" i="2"/>
  <c r="D7943" i="2"/>
  <c r="D7944" i="2"/>
  <c r="D7945" i="2"/>
  <c r="D7946" i="2"/>
  <c r="D7947" i="2"/>
  <c r="D7948" i="2"/>
  <c r="D7949" i="2"/>
  <c r="D7950" i="2"/>
  <c r="D7951" i="2"/>
  <c r="D7952" i="2"/>
  <c r="D7953" i="2"/>
  <c r="D7954" i="2"/>
  <c r="D7955" i="2"/>
  <c r="D7956" i="2"/>
  <c r="D7957" i="2"/>
  <c r="D7958" i="2"/>
  <c r="D7959" i="2"/>
  <c r="D7960" i="2"/>
  <c r="D7961" i="2"/>
  <c r="D7962" i="2"/>
  <c r="D7963" i="2"/>
  <c r="D7964" i="2"/>
  <c r="D7965" i="2"/>
  <c r="D7966" i="2"/>
  <c r="D7967" i="2"/>
  <c r="D7968" i="2"/>
  <c r="D7969" i="2"/>
  <c r="D7970" i="2"/>
  <c r="D7971" i="2"/>
  <c r="D7972" i="2"/>
  <c r="D7973" i="2"/>
  <c r="D7974" i="2"/>
  <c r="D7975" i="2"/>
  <c r="D7976" i="2"/>
  <c r="D7977" i="2"/>
  <c r="D7978" i="2"/>
  <c r="D7979" i="2"/>
  <c r="D7980" i="2"/>
  <c r="D7981" i="2"/>
  <c r="D7982" i="2"/>
  <c r="D7983" i="2"/>
  <c r="D7984" i="2"/>
  <c r="D7985" i="2"/>
  <c r="D7986" i="2"/>
  <c r="D7987" i="2"/>
  <c r="D7988" i="2"/>
  <c r="D7989" i="2"/>
  <c r="D7990" i="2"/>
  <c r="D7991" i="2"/>
  <c r="D7992" i="2"/>
  <c r="D7993" i="2"/>
  <c r="D7994" i="2"/>
  <c r="D7995" i="2"/>
  <c r="D7996" i="2"/>
  <c r="D7997" i="2"/>
  <c r="D7998" i="2"/>
  <c r="D7999" i="2"/>
  <c r="D8000" i="2"/>
  <c r="D8001" i="2"/>
  <c r="D8002" i="2"/>
  <c r="D8003" i="2"/>
  <c r="D8004" i="2"/>
  <c r="D8005" i="2"/>
  <c r="D8006" i="2"/>
  <c r="D8007" i="2"/>
  <c r="D8008" i="2"/>
  <c r="D8009" i="2"/>
  <c r="D8010" i="2"/>
  <c r="D8011" i="2"/>
  <c r="D8012" i="2"/>
  <c r="D8013" i="2"/>
  <c r="D8014" i="2"/>
  <c r="D8015" i="2"/>
  <c r="D8016" i="2"/>
  <c r="D8017" i="2"/>
  <c r="D8018" i="2"/>
  <c r="D8019" i="2"/>
  <c r="D8020" i="2"/>
  <c r="D8021" i="2"/>
  <c r="D8022" i="2"/>
  <c r="D8023" i="2"/>
  <c r="D8024" i="2"/>
  <c r="D8025" i="2"/>
  <c r="D8026" i="2"/>
  <c r="D8027" i="2"/>
  <c r="D8028" i="2"/>
  <c r="D8029" i="2"/>
  <c r="D8030" i="2"/>
  <c r="D8031" i="2"/>
  <c r="D8032" i="2"/>
  <c r="D8033" i="2"/>
  <c r="D8034" i="2"/>
  <c r="D8035" i="2"/>
  <c r="D8036" i="2"/>
  <c r="D8037" i="2"/>
  <c r="D8038" i="2"/>
  <c r="D8039" i="2"/>
  <c r="D8040" i="2"/>
  <c r="D8041" i="2"/>
  <c r="D8042" i="2"/>
  <c r="D8043" i="2"/>
  <c r="D8044" i="2"/>
  <c r="D8045" i="2"/>
  <c r="D8046" i="2"/>
  <c r="D8047" i="2"/>
  <c r="D8048" i="2"/>
  <c r="D8049" i="2"/>
  <c r="D8050" i="2"/>
  <c r="D8051" i="2"/>
  <c r="D8052" i="2"/>
  <c r="D8053" i="2"/>
  <c r="D8054" i="2"/>
  <c r="D8055" i="2"/>
  <c r="D8056" i="2"/>
  <c r="D8057" i="2"/>
  <c r="D8058" i="2"/>
  <c r="D8059" i="2"/>
  <c r="D8060" i="2"/>
  <c r="D8061" i="2"/>
  <c r="D8062" i="2"/>
  <c r="D8063" i="2"/>
  <c r="D8064" i="2"/>
  <c r="D8065" i="2"/>
  <c r="D8066" i="2"/>
  <c r="D8067" i="2"/>
  <c r="D8068" i="2"/>
  <c r="D8069" i="2"/>
  <c r="D8070" i="2"/>
  <c r="D8071" i="2"/>
  <c r="D8072" i="2"/>
  <c r="D8073" i="2"/>
  <c r="D8074" i="2"/>
  <c r="D8075" i="2"/>
  <c r="D8076" i="2"/>
  <c r="D8077" i="2"/>
  <c r="D8078" i="2"/>
  <c r="D8079" i="2"/>
  <c r="D8080" i="2"/>
  <c r="D8081" i="2"/>
  <c r="D8082" i="2"/>
  <c r="D8083" i="2"/>
  <c r="D8084" i="2"/>
  <c r="D8085" i="2"/>
  <c r="D8086" i="2"/>
  <c r="D8087" i="2"/>
  <c r="D8088" i="2"/>
  <c r="D8089" i="2"/>
  <c r="D8090" i="2"/>
  <c r="D8091" i="2"/>
  <c r="D8092" i="2"/>
  <c r="D8093" i="2"/>
  <c r="D8094" i="2"/>
  <c r="D8095" i="2"/>
  <c r="D8096" i="2"/>
  <c r="D8097" i="2"/>
  <c r="D8098" i="2"/>
  <c r="D8099" i="2"/>
  <c r="D8100" i="2"/>
  <c r="D8101" i="2"/>
  <c r="D8102" i="2"/>
  <c r="D8103" i="2"/>
  <c r="D8104" i="2"/>
  <c r="D8105" i="2"/>
  <c r="D8106" i="2"/>
  <c r="D8107" i="2"/>
  <c r="D8108" i="2"/>
  <c r="D8109" i="2"/>
  <c r="D8110" i="2"/>
  <c r="D8111" i="2"/>
  <c r="D8112" i="2"/>
  <c r="D8113" i="2"/>
  <c r="D8114" i="2"/>
  <c r="D8115" i="2"/>
  <c r="D8116" i="2"/>
  <c r="D8117" i="2"/>
  <c r="D8118" i="2"/>
  <c r="D8119" i="2"/>
  <c r="D8120" i="2"/>
  <c r="D8121" i="2"/>
  <c r="D8122" i="2"/>
  <c r="D8123" i="2"/>
  <c r="D8124" i="2"/>
  <c r="D8125" i="2"/>
  <c r="D8126" i="2"/>
  <c r="D8127" i="2"/>
  <c r="D8128" i="2"/>
  <c r="D8129" i="2"/>
  <c r="D8130" i="2"/>
  <c r="D8131" i="2"/>
  <c r="D8132" i="2"/>
  <c r="D8133" i="2"/>
  <c r="D8134" i="2"/>
  <c r="D8135" i="2"/>
  <c r="D8136" i="2"/>
  <c r="D8137" i="2"/>
  <c r="D8138" i="2"/>
  <c r="D8139" i="2"/>
  <c r="D8140" i="2"/>
  <c r="D8141" i="2"/>
  <c r="D8142" i="2"/>
  <c r="D8143" i="2"/>
  <c r="D8144" i="2"/>
  <c r="D8145" i="2"/>
  <c r="D8146" i="2"/>
  <c r="D8147" i="2"/>
  <c r="D8148" i="2"/>
  <c r="D8149" i="2"/>
  <c r="D8150" i="2"/>
  <c r="D8151" i="2"/>
  <c r="D8152" i="2"/>
  <c r="D8153" i="2"/>
  <c r="D8154" i="2"/>
  <c r="D8155" i="2"/>
  <c r="D8156" i="2"/>
  <c r="D8157" i="2"/>
  <c r="D8158" i="2"/>
  <c r="D8159" i="2"/>
  <c r="D8160" i="2"/>
  <c r="D8161" i="2"/>
  <c r="D8162" i="2"/>
  <c r="D8163" i="2"/>
  <c r="D8164" i="2"/>
  <c r="D8165" i="2"/>
  <c r="D8166" i="2"/>
  <c r="D8167" i="2"/>
  <c r="D8168" i="2"/>
  <c r="D8169" i="2"/>
  <c r="D8170" i="2"/>
  <c r="D8171" i="2"/>
  <c r="D8172" i="2"/>
  <c r="D8173" i="2"/>
  <c r="D8174" i="2"/>
  <c r="D8175" i="2"/>
  <c r="D8176" i="2"/>
  <c r="D8177" i="2"/>
  <c r="D8178" i="2"/>
  <c r="D8179" i="2"/>
  <c r="D8180" i="2"/>
  <c r="D8181" i="2"/>
  <c r="D8182" i="2"/>
  <c r="D8183" i="2"/>
  <c r="D8184" i="2"/>
  <c r="D8185" i="2"/>
  <c r="D8186" i="2"/>
  <c r="D8187" i="2"/>
  <c r="D8188" i="2"/>
  <c r="D8189" i="2"/>
  <c r="D8190" i="2"/>
  <c r="D8191" i="2"/>
  <c r="D8192" i="2"/>
  <c r="D8193" i="2"/>
  <c r="D8194" i="2"/>
  <c r="D8195" i="2"/>
  <c r="D8196" i="2"/>
  <c r="D8197" i="2"/>
  <c r="D8198" i="2"/>
  <c r="D8199" i="2"/>
  <c r="D8200" i="2"/>
  <c r="D8201" i="2"/>
  <c r="D8202" i="2"/>
  <c r="D8203" i="2"/>
  <c r="D8204" i="2"/>
  <c r="D8205" i="2"/>
  <c r="D8206" i="2"/>
  <c r="D8207" i="2"/>
  <c r="D8208" i="2"/>
  <c r="D8209" i="2"/>
  <c r="D8210" i="2"/>
  <c r="D8211" i="2"/>
  <c r="D8212" i="2"/>
  <c r="D8213" i="2"/>
  <c r="D8214" i="2"/>
  <c r="D8215" i="2"/>
  <c r="D8216" i="2"/>
  <c r="D8217" i="2"/>
  <c r="D8218" i="2"/>
  <c r="D8219" i="2"/>
  <c r="D8220" i="2"/>
  <c r="D8221" i="2"/>
  <c r="D8222" i="2"/>
  <c r="D8223" i="2"/>
  <c r="D8224" i="2"/>
  <c r="D8225" i="2"/>
  <c r="D8226" i="2"/>
  <c r="D8227" i="2"/>
  <c r="D8228" i="2"/>
  <c r="D8229" i="2"/>
  <c r="D8230" i="2"/>
  <c r="D8231" i="2"/>
  <c r="D8232" i="2"/>
  <c r="D8233" i="2"/>
  <c r="D8234" i="2"/>
  <c r="D8235" i="2"/>
  <c r="D8236" i="2"/>
  <c r="D8237" i="2"/>
  <c r="D8238" i="2"/>
  <c r="D8239" i="2"/>
  <c r="D8240" i="2"/>
  <c r="D8241" i="2"/>
  <c r="D8242" i="2"/>
  <c r="D8243" i="2"/>
  <c r="D8244" i="2"/>
  <c r="D8245" i="2"/>
  <c r="D8246" i="2"/>
  <c r="D8247" i="2"/>
  <c r="D8248" i="2"/>
  <c r="D8249" i="2"/>
  <c r="D8250" i="2"/>
  <c r="D8251" i="2"/>
  <c r="D8252" i="2"/>
  <c r="D8253" i="2"/>
  <c r="D8254" i="2"/>
  <c r="D8255" i="2"/>
  <c r="D8256" i="2"/>
  <c r="D8257" i="2"/>
  <c r="D8258" i="2"/>
  <c r="D8259" i="2"/>
  <c r="D8260" i="2"/>
  <c r="D8261" i="2"/>
  <c r="D8262" i="2"/>
  <c r="D8263" i="2"/>
  <c r="D8264" i="2"/>
  <c r="D8265" i="2"/>
  <c r="D8266" i="2"/>
  <c r="D8267" i="2"/>
  <c r="D8268" i="2"/>
  <c r="D8269" i="2"/>
  <c r="D8270" i="2"/>
  <c r="D8271" i="2"/>
  <c r="D8272" i="2"/>
  <c r="D8273" i="2"/>
  <c r="D8274" i="2"/>
  <c r="D8275" i="2"/>
  <c r="D8276" i="2"/>
  <c r="D8277" i="2"/>
  <c r="D8278" i="2"/>
  <c r="D8279" i="2"/>
  <c r="D8280" i="2"/>
  <c r="D8281" i="2"/>
  <c r="D8282" i="2"/>
  <c r="D8283" i="2"/>
  <c r="D8284" i="2"/>
  <c r="D8285" i="2"/>
  <c r="D8286" i="2"/>
  <c r="D8287" i="2"/>
  <c r="D8288" i="2"/>
  <c r="D8289" i="2"/>
  <c r="D8290" i="2"/>
  <c r="D8291" i="2"/>
  <c r="D8292" i="2"/>
  <c r="D8293" i="2"/>
  <c r="D8294" i="2"/>
  <c r="D8295" i="2"/>
  <c r="D8296" i="2"/>
  <c r="D8297" i="2"/>
  <c r="D8298" i="2"/>
  <c r="D8299" i="2"/>
  <c r="D8300" i="2"/>
  <c r="D8301" i="2"/>
  <c r="D8302" i="2"/>
  <c r="D8303" i="2"/>
  <c r="D8304" i="2"/>
  <c r="D8305" i="2"/>
  <c r="D8306" i="2"/>
  <c r="D8307" i="2"/>
  <c r="D8308" i="2"/>
  <c r="D8309" i="2"/>
  <c r="D8310" i="2"/>
  <c r="D8311" i="2"/>
  <c r="D8312" i="2"/>
  <c r="D8313" i="2"/>
  <c r="D8314" i="2"/>
  <c r="D8315" i="2"/>
  <c r="D8316" i="2"/>
  <c r="D8317" i="2"/>
  <c r="D8318" i="2"/>
  <c r="D8319" i="2"/>
  <c r="D8320" i="2"/>
  <c r="D8321" i="2"/>
  <c r="D8322" i="2"/>
  <c r="D8323" i="2"/>
  <c r="D8324" i="2"/>
  <c r="D8325" i="2"/>
  <c r="D8326" i="2"/>
  <c r="D8327" i="2"/>
  <c r="D8328" i="2"/>
  <c r="D8329" i="2"/>
  <c r="D8330" i="2"/>
  <c r="D8331" i="2"/>
  <c r="D8332" i="2"/>
  <c r="D8333" i="2"/>
  <c r="D8334" i="2"/>
  <c r="D8335" i="2"/>
  <c r="D8336" i="2"/>
  <c r="D8337" i="2"/>
  <c r="D8338" i="2"/>
  <c r="D8339" i="2"/>
  <c r="D8340" i="2"/>
  <c r="D8341" i="2"/>
  <c r="D8342" i="2"/>
  <c r="D8343" i="2"/>
  <c r="D8344" i="2"/>
  <c r="D8345" i="2"/>
  <c r="D8346" i="2"/>
  <c r="D8347" i="2"/>
  <c r="D8348" i="2"/>
  <c r="D8349" i="2"/>
  <c r="D8350" i="2"/>
  <c r="D8351" i="2"/>
  <c r="D8352" i="2"/>
  <c r="D8353" i="2"/>
  <c r="D8354" i="2"/>
  <c r="D8355" i="2"/>
  <c r="D8356" i="2"/>
  <c r="D8357" i="2"/>
  <c r="D8358" i="2"/>
  <c r="D8359" i="2"/>
  <c r="D8360" i="2"/>
  <c r="D8361" i="2"/>
  <c r="D8362" i="2"/>
  <c r="D8363" i="2"/>
  <c r="D8364" i="2"/>
  <c r="D8365" i="2"/>
  <c r="D8366" i="2"/>
  <c r="D8367" i="2"/>
  <c r="D8368" i="2"/>
  <c r="D8369" i="2"/>
  <c r="D8370" i="2"/>
  <c r="D8371" i="2"/>
  <c r="D8372" i="2"/>
  <c r="D8373" i="2"/>
  <c r="D8374" i="2"/>
  <c r="D8375" i="2"/>
  <c r="D8376" i="2"/>
  <c r="D8377" i="2"/>
  <c r="D8378" i="2"/>
  <c r="D8379" i="2"/>
  <c r="D8380" i="2"/>
  <c r="D8381" i="2"/>
  <c r="D8382" i="2"/>
  <c r="D8383" i="2"/>
  <c r="D8384" i="2"/>
  <c r="D8385" i="2"/>
  <c r="D8386" i="2"/>
  <c r="D8387" i="2"/>
  <c r="D8388" i="2"/>
  <c r="D8389" i="2"/>
  <c r="D8390" i="2"/>
  <c r="D8391" i="2"/>
  <c r="D8392" i="2"/>
  <c r="D8393" i="2"/>
  <c r="D8394" i="2"/>
  <c r="D8395" i="2"/>
  <c r="D8396" i="2"/>
  <c r="D8397" i="2"/>
  <c r="D8398" i="2"/>
  <c r="D8399" i="2"/>
  <c r="D8400" i="2"/>
  <c r="D8401" i="2"/>
  <c r="D8402" i="2"/>
  <c r="D8403" i="2"/>
  <c r="D8404" i="2"/>
  <c r="D8405" i="2"/>
  <c r="D8406" i="2"/>
  <c r="D8407" i="2"/>
  <c r="D8408" i="2"/>
  <c r="D8409" i="2"/>
  <c r="D8410" i="2"/>
  <c r="D8411" i="2"/>
  <c r="D8412" i="2"/>
  <c r="D8413" i="2"/>
  <c r="D8414" i="2"/>
  <c r="D8415" i="2"/>
  <c r="D8416" i="2"/>
  <c r="D8417" i="2"/>
  <c r="D8418" i="2"/>
  <c r="D8419" i="2"/>
  <c r="D8420" i="2"/>
  <c r="D8421" i="2"/>
  <c r="D8422" i="2"/>
  <c r="D8423" i="2"/>
  <c r="D8424" i="2"/>
  <c r="D8425" i="2"/>
  <c r="D8426" i="2"/>
  <c r="D8427" i="2"/>
  <c r="D8428" i="2"/>
  <c r="D8429" i="2"/>
  <c r="D8430" i="2"/>
  <c r="D8431" i="2"/>
  <c r="D8432" i="2"/>
  <c r="D8433" i="2"/>
  <c r="D8434" i="2"/>
  <c r="D8435" i="2"/>
  <c r="D8436" i="2"/>
  <c r="D8437" i="2"/>
  <c r="D8438" i="2"/>
  <c r="D8439" i="2"/>
  <c r="D8440" i="2"/>
  <c r="D8441" i="2"/>
  <c r="D8442" i="2"/>
  <c r="D8443" i="2"/>
  <c r="D8444" i="2"/>
  <c r="D8445" i="2"/>
  <c r="D8446" i="2"/>
  <c r="D8447" i="2"/>
  <c r="D8448" i="2"/>
  <c r="D8449" i="2"/>
  <c r="D8450" i="2"/>
  <c r="D8451" i="2"/>
  <c r="D8452" i="2"/>
  <c r="D8453" i="2"/>
  <c r="D8454" i="2"/>
  <c r="D8455" i="2"/>
  <c r="D8456" i="2"/>
  <c r="D8457" i="2"/>
  <c r="D8458" i="2"/>
  <c r="D8459" i="2"/>
  <c r="D8460" i="2"/>
  <c r="D8461" i="2"/>
  <c r="D8462" i="2"/>
  <c r="D8463" i="2"/>
  <c r="D8464" i="2"/>
  <c r="D8465" i="2"/>
  <c r="D8466" i="2"/>
  <c r="D8467" i="2"/>
  <c r="D8468" i="2"/>
  <c r="D8469" i="2"/>
  <c r="D8470" i="2"/>
  <c r="D8471" i="2"/>
  <c r="D8472" i="2"/>
  <c r="D8473" i="2"/>
  <c r="D8474" i="2"/>
  <c r="D8475" i="2"/>
  <c r="D8476" i="2"/>
  <c r="D8477" i="2"/>
  <c r="D8478" i="2"/>
  <c r="D8479" i="2"/>
  <c r="D8480" i="2"/>
  <c r="D8481" i="2"/>
  <c r="D8482" i="2"/>
  <c r="D8483" i="2"/>
  <c r="D8484" i="2"/>
  <c r="D8485" i="2"/>
  <c r="D8486" i="2"/>
  <c r="D8487" i="2"/>
  <c r="D8488" i="2"/>
  <c r="D8489" i="2"/>
  <c r="D8490" i="2"/>
  <c r="D8491" i="2"/>
  <c r="D8492" i="2"/>
  <c r="D8493" i="2"/>
  <c r="D8494" i="2"/>
  <c r="D8495" i="2"/>
  <c r="D8496" i="2"/>
  <c r="D8497" i="2"/>
  <c r="D8498" i="2"/>
  <c r="D8499" i="2"/>
  <c r="D8500" i="2"/>
  <c r="D8501" i="2"/>
  <c r="D8502" i="2"/>
  <c r="D8503" i="2"/>
  <c r="D8504" i="2"/>
  <c r="D8505" i="2"/>
  <c r="D8506" i="2"/>
  <c r="D8507" i="2"/>
  <c r="D8508" i="2"/>
  <c r="D8509" i="2"/>
  <c r="D8510" i="2"/>
  <c r="D8511" i="2"/>
  <c r="D8512" i="2"/>
  <c r="D8513" i="2"/>
  <c r="D8514" i="2"/>
  <c r="D8515" i="2"/>
  <c r="D8516" i="2"/>
  <c r="D8517" i="2"/>
  <c r="D8518" i="2"/>
  <c r="D8519" i="2"/>
  <c r="D8520" i="2"/>
  <c r="D8521" i="2"/>
  <c r="D8522" i="2"/>
  <c r="D8523" i="2"/>
  <c r="D8524" i="2"/>
  <c r="D8525" i="2"/>
  <c r="D8526" i="2"/>
  <c r="D8527" i="2"/>
  <c r="D8528" i="2"/>
  <c r="D8529" i="2"/>
  <c r="D8530" i="2"/>
  <c r="D8531" i="2"/>
  <c r="D8532" i="2"/>
  <c r="D8533" i="2"/>
  <c r="D8534" i="2"/>
  <c r="D8535" i="2"/>
  <c r="D8536" i="2"/>
  <c r="D8537" i="2"/>
  <c r="D8538" i="2"/>
  <c r="D8539" i="2"/>
  <c r="D8540" i="2"/>
  <c r="D8541" i="2"/>
  <c r="D8542" i="2"/>
  <c r="D8543" i="2"/>
  <c r="D8544" i="2"/>
  <c r="D8545" i="2"/>
  <c r="D8546" i="2"/>
  <c r="D8547" i="2"/>
  <c r="D8548" i="2"/>
  <c r="D8549" i="2"/>
  <c r="D8550" i="2"/>
  <c r="D8551" i="2"/>
  <c r="D8552" i="2"/>
  <c r="D8553" i="2"/>
  <c r="D8554" i="2"/>
  <c r="D8555" i="2"/>
  <c r="D8556" i="2"/>
  <c r="D8557" i="2"/>
  <c r="D8558" i="2"/>
  <c r="D8559" i="2"/>
  <c r="D8560" i="2"/>
  <c r="D8561" i="2"/>
  <c r="D8562" i="2"/>
  <c r="D8563" i="2"/>
  <c r="D8564" i="2"/>
  <c r="D8565" i="2"/>
  <c r="D8566" i="2"/>
  <c r="D8567" i="2"/>
  <c r="D8568" i="2"/>
  <c r="D8569" i="2"/>
  <c r="D8570" i="2"/>
  <c r="D8571" i="2"/>
  <c r="D8572" i="2"/>
  <c r="D8573" i="2"/>
  <c r="D8574" i="2"/>
  <c r="D8575" i="2"/>
  <c r="D8576" i="2"/>
  <c r="D8577" i="2"/>
  <c r="D8578" i="2"/>
  <c r="D8579" i="2"/>
  <c r="D8580" i="2"/>
  <c r="D8581" i="2"/>
  <c r="D8582" i="2"/>
  <c r="D8583" i="2"/>
  <c r="D8584" i="2"/>
  <c r="D8585" i="2"/>
  <c r="D8586" i="2"/>
  <c r="D8587" i="2"/>
  <c r="D8588" i="2"/>
  <c r="D8589" i="2"/>
  <c r="D8590" i="2"/>
  <c r="D8591" i="2"/>
  <c r="D8592" i="2"/>
  <c r="D8593" i="2"/>
  <c r="D8594" i="2"/>
  <c r="D8595" i="2"/>
  <c r="D8596" i="2"/>
  <c r="D8597" i="2"/>
  <c r="D8598" i="2"/>
  <c r="D8599" i="2"/>
  <c r="D8600" i="2"/>
  <c r="D8601" i="2"/>
  <c r="D8602" i="2"/>
  <c r="D8603" i="2"/>
  <c r="D8604" i="2"/>
  <c r="D8605" i="2"/>
  <c r="D8606" i="2"/>
  <c r="D8607" i="2"/>
  <c r="D8608" i="2"/>
  <c r="D8609" i="2"/>
  <c r="D8610" i="2"/>
  <c r="D8611" i="2"/>
  <c r="D8612" i="2"/>
  <c r="D8613" i="2"/>
  <c r="D8614" i="2"/>
  <c r="D8615" i="2"/>
  <c r="D8616" i="2"/>
  <c r="D8617" i="2"/>
  <c r="D8618" i="2"/>
  <c r="D8619" i="2"/>
  <c r="D8620" i="2"/>
  <c r="D8621" i="2"/>
  <c r="D8622" i="2"/>
  <c r="D8623" i="2"/>
  <c r="D8624" i="2"/>
  <c r="D8625" i="2"/>
  <c r="D8626" i="2"/>
  <c r="D8627" i="2"/>
  <c r="D8628" i="2"/>
  <c r="D8629" i="2"/>
  <c r="D8630" i="2"/>
  <c r="D8631" i="2"/>
  <c r="D8632" i="2"/>
  <c r="D8633" i="2"/>
  <c r="D8634" i="2"/>
  <c r="D8635" i="2"/>
  <c r="D8636" i="2"/>
  <c r="D8637" i="2"/>
  <c r="D8638" i="2"/>
  <c r="D8639" i="2"/>
  <c r="D8640" i="2"/>
  <c r="D8641" i="2"/>
  <c r="D8642" i="2"/>
  <c r="D8643" i="2"/>
  <c r="D8644" i="2"/>
  <c r="D8645" i="2"/>
  <c r="D8646" i="2"/>
  <c r="D8647" i="2"/>
  <c r="D8648" i="2"/>
  <c r="D8649" i="2"/>
  <c r="D8650" i="2"/>
  <c r="D8651" i="2"/>
  <c r="D8652" i="2"/>
  <c r="D8653" i="2"/>
  <c r="D8654" i="2"/>
  <c r="D8655" i="2"/>
  <c r="D8656" i="2"/>
  <c r="D8657" i="2"/>
  <c r="D8658" i="2"/>
  <c r="D8659" i="2"/>
  <c r="D8660" i="2"/>
  <c r="D8661" i="2"/>
  <c r="D8662" i="2"/>
  <c r="D8663" i="2"/>
  <c r="D8664" i="2"/>
  <c r="D8665" i="2"/>
  <c r="D8666" i="2"/>
  <c r="D8667" i="2"/>
  <c r="D8668" i="2"/>
  <c r="D8669" i="2"/>
  <c r="D8670" i="2"/>
  <c r="D8671" i="2"/>
  <c r="D8672" i="2"/>
  <c r="D8673" i="2"/>
  <c r="D8674" i="2"/>
  <c r="D8675" i="2"/>
  <c r="D8676" i="2"/>
  <c r="D8677" i="2"/>
  <c r="D8678" i="2"/>
  <c r="D8679" i="2"/>
  <c r="D8680" i="2"/>
  <c r="D8681" i="2"/>
  <c r="D8682" i="2"/>
  <c r="D8683" i="2"/>
  <c r="D8684" i="2"/>
  <c r="D8685" i="2"/>
  <c r="D8686" i="2"/>
  <c r="D8687" i="2"/>
  <c r="D8688" i="2"/>
  <c r="D8689" i="2"/>
  <c r="D8690" i="2"/>
  <c r="D8691" i="2"/>
  <c r="D8692" i="2"/>
  <c r="D8693" i="2"/>
  <c r="D8694" i="2"/>
  <c r="D8695" i="2"/>
  <c r="D8696" i="2"/>
  <c r="D8697" i="2"/>
  <c r="D8698" i="2"/>
  <c r="D8699" i="2"/>
  <c r="D8700" i="2"/>
  <c r="D8701" i="2"/>
  <c r="D8702" i="2"/>
  <c r="D8703" i="2"/>
  <c r="D8704" i="2"/>
  <c r="D8705" i="2"/>
  <c r="D8706" i="2"/>
  <c r="D8707" i="2"/>
  <c r="D8708" i="2"/>
  <c r="D8709" i="2"/>
  <c r="D8710" i="2"/>
  <c r="D8711" i="2"/>
  <c r="D8712" i="2"/>
  <c r="D8713" i="2"/>
  <c r="D8714" i="2"/>
  <c r="D8715" i="2"/>
  <c r="D8716" i="2"/>
  <c r="D8717" i="2"/>
  <c r="D8718" i="2"/>
  <c r="D8719" i="2"/>
  <c r="D8720" i="2"/>
  <c r="D8721" i="2"/>
  <c r="D8722" i="2"/>
  <c r="D8723" i="2"/>
  <c r="D8724" i="2"/>
  <c r="D8725" i="2"/>
  <c r="D8726" i="2"/>
  <c r="D8727" i="2"/>
  <c r="D8728" i="2"/>
  <c r="D8729" i="2"/>
  <c r="D8730" i="2"/>
  <c r="D8731" i="2"/>
  <c r="D8732" i="2"/>
  <c r="D8733" i="2"/>
  <c r="D8734" i="2"/>
  <c r="D8735" i="2"/>
  <c r="D8736" i="2"/>
  <c r="D8737" i="2"/>
  <c r="D8738" i="2"/>
  <c r="D8739" i="2"/>
  <c r="D8740" i="2"/>
  <c r="D8741" i="2"/>
  <c r="D8742" i="2"/>
  <c r="D8743" i="2"/>
  <c r="D8744" i="2"/>
  <c r="D8745" i="2"/>
  <c r="D8746" i="2"/>
  <c r="D8747" i="2"/>
  <c r="D8748" i="2"/>
  <c r="D8749" i="2"/>
  <c r="D8750" i="2"/>
  <c r="D8751" i="2"/>
  <c r="D8752" i="2"/>
  <c r="D8753" i="2"/>
  <c r="D8754" i="2"/>
  <c r="D8755" i="2"/>
  <c r="D8756" i="2"/>
  <c r="D8757" i="2"/>
  <c r="D8758" i="2"/>
  <c r="D8759" i="2"/>
  <c r="D8760" i="2"/>
  <c r="D8761" i="2"/>
  <c r="D8762" i="2"/>
  <c r="D8763" i="2"/>
  <c r="D8764" i="2"/>
  <c r="D8765" i="2"/>
  <c r="D8766" i="2"/>
  <c r="D8767" i="2"/>
  <c r="D8768" i="2"/>
  <c r="D8769" i="2"/>
  <c r="D8770" i="2"/>
  <c r="D8771" i="2"/>
  <c r="D8772" i="2"/>
  <c r="D8773" i="2"/>
  <c r="D8774" i="2"/>
  <c r="D8775" i="2"/>
  <c r="D8776" i="2"/>
  <c r="D8777" i="2"/>
  <c r="D8778" i="2"/>
  <c r="D8779" i="2"/>
  <c r="D8780" i="2"/>
  <c r="D8781" i="2"/>
  <c r="D8782" i="2"/>
  <c r="D8783" i="2"/>
  <c r="D8784" i="2"/>
  <c r="D8785" i="2"/>
  <c r="D8786" i="2"/>
  <c r="D8787" i="2"/>
  <c r="D8788" i="2"/>
  <c r="D8789" i="2"/>
  <c r="D8790" i="2"/>
  <c r="D8791" i="2"/>
  <c r="D8792" i="2"/>
  <c r="D8793" i="2"/>
  <c r="D8794" i="2"/>
  <c r="D8795" i="2"/>
  <c r="D8796" i="2"/>
  <c r="D8797" i="2"/>
  <c r="D8798" i="2"/>
  <c r="D8799" i="2"/>
  <c r="D8800" i="2"/>
  <c r="D8801" i="2"/>
  <c r="D8802" i="2"/>
  <c r="D8803" i="2"/>
  <c r="D8804" i="2"/>
  <c r="D8805" i="2"/>
  <c r="D8806" i="2"/>
  <c r="D8807" i="2"/>
  <c r="D8808" i="2"/>
  <c r="D8809" i="2"/>
  <c r="D8810" i="2"/>
  <c r="D8811" i="2"/>
  <c r="D8812" i="2"/>
  <c r="D8813" i="2"/>
  <c r="D8814" i="2"/>
  <c r="D8815" i="2"/>
  <c r="D8816" i="2"/>
  <c r="D8817" i="2"/>
  <c r="D8818" i="2"/>
  <c r="D8819" i="2"/>
  <c r="D8820" i="2"/>
  <c r="D8821" i="2"/>
  <c r="D8822" i="2"/>
  <c r="D8823" i="2"/>
  <c r="D8824" i="2"/>
  <c r="D8825" i="2"/>
  <c r="D8826" i="2"/>
  <c r="D8827" i="2"/>
  <c r="D8828" i="2"/>
  <c r="D8829" i="2"/>
  <c r="D8830" i="2"/>
  <c r="D8831" i="2"/>
  <c r="D8832" i="2"/>
  <c r="D8833" i="2"/>
  <c r="D8834" i="2"/>
  <c r="D8835" i="2"/>
  <c r="D8836" i="2"/>
  <c r="D8837" i="2"/>
  <c r="D8838" i="2"/>
  <c r="D8839" i="2"/>
  <c r="D8840" i="2"/>
  <c r="D8841" i="2"/>
  <c r="D8842" i="2"/>
  <c r="D8843" i="2"/>
  <c r="D8844" i="2"/>
  <c r="D8845" i="2"/>
  <c r="D8846" i="2"/>
  <c r="D8847" i="2"/>
  <c r="D8848" i="2"/>
  <c r="D8849" i="2"/>
  <c r="D8850" i="2"/>
  <c r="D8851" i="2"/>
  <c r="D8852" i="2"/>
  <c r="D8853" i="2"/>
  <c r="D8854" i="2"/>
  <c r="D8855" i="2"/>
  <c r="D8856" i="2"/>
  <c r="D8857" i="2"/>
  <c r="D8858" i="2"/>
  <c r="D8859" i="2"/>
  <c r="D8860" i="2"/>
  <c r="D8861" i="2"/>
  <c r="D8862" i="2"/>
  <c r="D8863" i="2"/>
  <c r="D8864" i="2"/>
  <c r="D8865" i="2"/>
  <c r="D8866" i="2"/>
  <c r="D8867" i="2"/>
  <c r="D8868" i="2"/>
  <c r="D8869" i="2"/>
  <c r="D8870" i="2"/>
  <c r="D8871" i="2"/>
  <c r="D8872" i="2"/>
  <c r="D8873" i="2"/>
  <c r="D8874" i="2"/>
  <c r="D8875" i="2"/>
  <c r="D8876" i="2"/>
  <c r="D8877" i="2"/>
  <c r="D8878" i="2"/>
  <c r="D8879" i="2"/>
  <c r="D8880" i="2"/>
  <c r="D8881" i="2"/>
  <c r="D8882" i="2"/>
  <c r="D8883" i="2"/>
  <c r="D8884" i="2"/>
  <c r="D8885" i="2"/>
  <c r="D8886" i="2"/>
  <c r="D8887" i="2"/>
  <c r="D8888" i="2"/>
  <c r="D8889" i="2"/>
  <c r="D8890" i="2"/>
  <c r="D8891" i="2"/>
  <c r="D8892" i="2"/>
  <c r="D8893" i="2"/>
  <c r="D8894" i="2"/>
  <c r="D8895" i="2"/>
  <c r="D8896" i="2"/>
  <c r="D8897" i="2"/>
  <c r="D8898" i="2"/>
  <c r="D8899" i="2"/>
  <c r="D8900" i="2"/>
  <c r="D8901" i="2"/>
  <c r="D8902" i="2"/>
  <c r="D8903" i="2"/>
  <c r="D8904" i="2"/>
  <c r="D8905" i="2"/>
  <c r="D8906" i="2"/>
  <c r="D8907" i="2"/>
  <c r="D8908" i="2"/>
  <c r="D8909" i="2"/>
  <c r="D8910" i="2"/>
  <c r="D8911" i="2"/>
  <c r="D8912" i="2"/>
  <c r="D8913" i="2"/>
  <c r="D8914" i="2"/>
  <c r="D8915" i="2"/>
  <c r="D8916" i="2"/>
  <c r="D8917" i="2"/>
  <c r="D8918" i="2"/>
  <c r="D8919" i="2"/>
  <c r="D8920" i="2"/>
  <c r="D8921" i="2"/>
  <c r="D8922" i="2"/>
  <c r="D8923" i="2"/>
  <c r="D8924" i="2"/>
  <c r="D8925" i="2"/>
  <c r="D8926" i="2"/>
  <c r="D8927" i="2"/>
  <c r="D8928" i="2"/>
  <c r="D8929" i="2"/>
  <c r="D8930" i="2"/>
  <c r="D8931" i="2"/>
  <c r="D8932" i="2"/>
  <c r="D8933" i="2"/>
  <c r="D8934" i="2"/>
  <c r="D8935" i="2"/>
  <c r="D8936" i="2"/>
  <c r="D8937" i="2"/>
  <c r="D8938" i="2"/>
  <c r="D8939" i="2"/>
  <c r="D8940" i="2"/>
  <c r="D8941" i="2"/>
  <c r="D8942" i="2"/>
  <c r="D8943" i="2"/>
  <c r="D8944" i="2"/>
  <c r="D8945" i="2"/>
  <c r="D8946" i="2"/>
  <c r="D8947" i="2"/>
  <c r="D8948" i="2"/>
  <c r="D8949" i="2"/>
  <c r="D8950" i="2"/>
  <c r="D8951" i="2"/>
  <c r="D8952" i="2"/>
  <c r="D8953" i="2"/>
  <c r="D8954" i="2"/>
  <c r="D8955" i="2"/>
  <c r="D8956" i="2"/>
  <c r="D8957" i="2"/>
  <c r="D8958" i="2"/>
  <c r="D8959" i="2"/>
  <c r="D8960" i="2"/>
  <c r="D8961" i="2"/>
  <c r="D8962" i="2"/>
  <c r="D8963" i="2"/>
  <c r="D8964" i="2"/>
  <c r="D8965" i="2"/>
  <c r="D8966" i="2"/>
  <c r="D8967" i="2"/>
  <c r="D8968" i="2"/>
  <c r="D8969" i="2"/>
  <c r="D8970" i="2"/>
  <c r="D8971" i="2"/>
  <c r="D8972" i="2"/>
  <c r="D8973" i="2"/>
  <c r="D8974" i="2"/>
  <c r="D8975" i="2"/>
  <c r="D8976" i="2"/>
  <c r="D8977" i="2"/>
  <c r="D8978" i="2"/>
  <c r="D8979" i="2"/>
  <c r="D8980" i="2"/>
  <c r="D8981" i="2"/>
  <c r="D8982" i="2"/>
  <c r="D8983" i="2"/>
  <c r="D8984" i="2"/>
  <c r="D8985" i="2"/>
  <c r="D8986" i="2"/>
  <c r="D8987" i="2"/>
  <c r="D8988" i="2"/>
  <c r="D8989" i="2"/>
  <c r="D8990" i="2"/>
  <c r="D8991" i="2"/>
  <c r="D8992" i="2"/>
  <c r="D8993" i="2"/>
  <c r="D8994" i="2"/>
  <c r="D8995" i="2"/>
  <c r="D8996" i="2"/>
  <c r="D8997" i="2"/>
  <c r="D8998" i="2"/>
  <c r="D8999" i="2"/>
  <c r="D9000" i="2"/>
  <c r="D9001" i="2"/>
  <c r="D9002" i="2"/>
  <c r="D9003" i="2"/>
  <c r="D9004" i="2"/>
  <c r="D9005" i="2"/>
  <c r="D9006" i="2"/>
  <c r="D9007" i="2"/>
  <c r="D9008" i="2"/>
  <c r="D9009" i="2"/>
  <c r="D9010" i="2"/>
  <c r="D9011" i="2"/>
  <c r="D9012" i="2"/>
  <c r="D9013" i="2"/>
  <c r="D9014" i="2"/>
  <c r="D9015" i="2"/>
  <c r="D9016" i="2"/>
  <c r="D9017" i="2"/>
  <c r="D9018" i="2"/>
  <c r="D9019" i="2"/>
  <c r="D9020" i="2"/>
  <c r="D9021" i="2"/>
  <c r="D9022" i="2"/>
  <c r="D9023" i="2"/>
  <c r="D9024" i="2"/>
  <c r="D9025" i="2"/>
  <c r="D9026" i="2"/>
  <c r="D9027" i="2"/>
  <c r="D9028" i="2"/>
  <c r="D9029" i="2"/>
  <c r="D9030" i="2"/>
  <c r="D9031" i="2"/>
  <c r="D9032" i="2"/>
  <c r="D9033" i="2"/>
  <c r="D9034" i="2"/>
  <c r="D9035" i="2"/>
  <c r="D9036" i="2"/>
  <c r="D9037" i="2"/>
  <c r="D9038" i="2"/>
  <c r="D9039" i="2"/>
  <c r="D9040" i="2"/>
  <c r="D9041" i="2"/>
  <c r="D9042" i="2"/>
  <c r="D9043" i="2"/>
  <c r="D9044" i="2"/>
  <c r="D9045" i="2"/>
  <c r="D9046" i="2"/>
  <c r="D9047" i="2"/>
  <c r="D9048" i="2"/>
  <c r="D9049" i="2"/>
  <c r="D9050" i="2"/>
  <c r="D9051" i="2"/>
  <c r="D9052" i="2"/>
  <c r="D9053" i="2"/>
  <c r="D9054" i="2"/>
  <c r="D9055" i="2"/>
  <c r="D9056" i="2"/>
  <c r="D9057" i="2"/>
  <c r="D9058" i="2"/>
  <c r="D9059" i="2"/>
  <c r="D9060" i="2"/>
  <c r="D9061" i="2"/>
  <c r="D9062" i="2"/>
  <c r="D9063" i="2"/>
  <c r="D9064" i="2"/>
  <c r="D9065" i="2"/>
  <c r="D9066" i="2"/>
  <c r="D9067" i="2"/>
  <c r="D9068" i="2"/>
  <c r="D9069" i="2"/>
  <c r="D9070" i="2"/>
  <c r="D9071" i="2"/>
  <c r="D9072" i="2"/>
  <c r="D9073" i="2"/>
  <c r="D9074" i="2"/>
  <c r="D9075" i="2"/>
  <c r="D9076" i="2"/>
  <c r="D9077" i="2"/>
  <c r="D9078" i="2"/>
  <c r="D9079" i="2"/>
  <c r="D9080" i="2"/>
  <c r="D9081" i="2"/>
  <c r="D9082" i="2"/>
  <c r="D9083" i="2"/>
  <c r="D9084" i="2"/>
  <c r="D9085" i="2"/>
  <c r="D9086" i="2"/>
  <c r="D9087" i="2"/>
  <c r="D9088" i="2"/>
  <c r="D9089" i="2"/>
  <c r="D9090" i="2"/>
  <c r="D9091" i="2"/>
  <c r="D9092" i="2"/>
  <c r="D9093" i="2"/>
  <c r="D9094" i="2"/>
  <c r="D9095" i="2"/>
  <c r="D9096" i="2"/>
  <c r="D9097" i="2"/>
  <c r="D9098" i="2"/>
  <c r="D9099" i="2"/>
  <c r="D9100" i="2"/>
  <c r="D9101" i="2"/>
  <c r="D9102" i="2"/>
  <c r="D9103" i="2"/>
  <c r="D9104" i="2"/>
  <c r="D9105" i="2"/>
  <c r="D9106" i="2"/>
  <c r="D9107" i="2"/>
  <c r="D9108" i="2"/>
  <c r="D9109" i="2"/>
  <c r="D9110" i="2"/>
  <c r="D9111" i="2"/>
  <c r="D9112" i="2"/>
  <c r="D9113" i="2"/>
  <c r="D9114" i="2"/>
  <c r="D9115" i="2"/>
  <c r="D9116" i="2"/>
  <c r="D9117" i="2"/>
  <c r="D9118" i="2"/>
  <c r="D9119" i="2"/>
  <c r="D9120" i="2"/>
  <c r="D9121" i="2"/>
  <c r="D9122" i="2"/>
  <c r="D9123" i="2"/>
  <c r="D9124" i="2"/>
  <c r="D9125" i="2"/>
  <c r="D9126" i="2"/>
  <c r="D9127" i="2"/>
  <c r="D9128" i="2"/>
  <c r="D9129" i="2"/>
  <c r="D9130" i="2"/>
  <c r="D9131" i="2"/>
  <c r="D9132" i="2"/>
  <c r="D9133" i="2"/>
  <c r="D9134" i="2"/>
  <c r="D9135" i="2"/>
  <c r="D9136" i="2"/>
  <c r="D9137" i="2"/>
  <c r="D9138" i="2"/>
  <c r="D9139" i="2"/>
  <c r="D9140" i="2"/>
  <c r="D9141" i="2"/>
  <c r="D9142" i="2"/>
  <c r="D9143" i="2"/>
  <c r="D9144" i="2"/>
  <c r="D9145" i="2"/>
  <c r="D9146" i="2"/>
  <c r="D9147" i="2"/>
  <c r="D9148" i="2"/>
  <c r="D9149" i="2"/>
  <c r="D9150" i="2"/>
  <c r="D9151" i="2"/>
  <c r="D9152" i="2"/>
  <c r="D9153" i="2"/>
  <c r="D9154" i="2"/>
  <c r="D9155" i="2"/>
  <c r="D9156" i="2"/>
  <c r="D9157" i="2"/>
  <c r="D9158" i="2"/>
  <c r="D9159" i="2"/>
  <c r="D9160" i="2"/>
  <c r="D9161" i="2"/>
  <c r="D9162" i="2"/>
  <c r="D9163" i="2"/>
  <c r="D9164" i="2"/>
  <c r="D9165" i="2"/>
  <c r="D9166" i="2"/>
  <c r="D9167" i="2"/>
  <c r="D9168" i="2"/>
  <c r="D9169" i="2"/>
  <c r="D9170" i="2"/>
  <c r="D9171" i="2"/>
  <c r="D9172" i="2"/>
  <c r="D9173" i="2"/>
  <c r="D9174" i="2"/>
  <c r="D9175" i="2"/>
  <c r="D9176" i="2"/>
  <c r="D9177" i="2"/>
  <c r="D9178" i="2"/>
  <c r="D9179" i="2"/>
  <c r="D9180" i="2"/>
  <c r="D9181" i="2"/>
  <c r="D9182" i="2"/>
  <c r="D9183" i="2"/>
  <c r="D9184" i="2"/>
  <c r="D9185" i="2"/>
  <c r="D9186" i="2"/>
  <c r="D9187" i="2"/>
  <c r="D9188" i="2"/>
  <c r="D9189" i="2"/>
  <c r="D9190" i="2"/>
  <c r="D9191" i="2"/>
  <c r="D9192" i="2"/>
  <c r="D9193" i="2"/>
  <c r="D9194" i="2"/>
  <c r="D9195" i="2"/>
  <c r="D9196" i="2"/>
  <c r="D9197" i="2"/>
  <c r="D9198" i="2"/>
  <c r="D9199" i="2"/>
  <c r="D9200" i="2"/>
  <c r="D9201" i="2"/>
  <c r="D9202" i="2"/>
  <c r="D9203" i="2"/>
  <c r="D9204" i="2"/>
  <c r="D9205" i="2"/>
  <c r="D9206" i="2"/>
  <c r="D9207" i="2"/>
  <c r="D9208" i="2"/>
  <c r="D9209" i="2"/>
  <c r="D9210" i="2"/>
  <c r="D9211" i="2"/>
  <c r="D9212" i="2"/>
  <c r="D9213" i="2"/>
  <c r="D9214" i="2"/>
  <c r="D9215" i="2"/>
  <c r="D9216" i="2"/>
  <c r="D9217" i="2"/>
  <c r="D9218" i="2"/>
  <c r="D9219" i="2"/>
  <c r="D9220" i="2"/>
  <c r="D9221" i="2"/>
  <c r="D9222" i="2"/>
  <c r="D9223" i="2"/>
  <c r="D9224" i="2"/>
  <c r="D9225" i="2"/>
  <c r="D9226" i="2"/>
  <c r="D9227" i="2"/>
  <c r="D9228" i="2"/>
  <c r="D9229" i="2"/>
  <c r="D9230" i="2"/>
  <c r="D9231" i="2"/>
  <c r="D9232" i="2"/>
  <c r="D9233" i="2"/>
  <c r="D9234" i="2"/>
  <c r="D9235" i="2"/>
  <c r="D9236" i="2"/>
  <c r="D9237" i="2"/>
  <c r="D9238" i="2"/>
  <c r="D9239" i="2"/>
  <c r="D9240" i="2"/>
  <c r="D9241" i="2"/>
  <c r="D9242" i="2"/>
  <c r="D9243" i="2"/>
  <c r="D9244" i="2"/>
  <c r="D9245" i="2"/>
  <c r="D9246" i="2"/>
  <c r="D9247" i="2"/>
  <c r="D9248" i="2"/>
  <c r="D9249" i="2"/>
  <c r="D9250" i="2"/>
  <c r="D9251" i="2"/>
  <c r="D9252" i="2"/>
  <c r="D9253" i="2"/>
  <c r="D9254" i="2"/>
  <c r="D9255" i="2"/>
  <c r="D9256" i="2"/>
  <c r="D9257" i="2"/>
  <c r="D9258" i="2"/>
  <c r="D9259" i="2"/>
  <c r="D9260" i="2"/>
  <c r="D9261" i="2"/>
  <c r="D9262" i="2"/>
  <c r="D9263" i="2"/>
  <c r="D9264" i="2"/>
  <c r="D9265" i="2"/>
  <c r="D9266" i="2"/>
  <c r="D9267" i="2"/>
  <c r="D9268" i="2"/>
  <c r="D9269" i="2"/>
  <c r="D9270" i="2"/>
  <c r="D9271" i="2"/>
  <c r="D9272" i="2"/>
  <c r="D9273" i="2"/>
  <c r="D9274" i="2"/>
  <c r="D9275" i="2"/>
  <c r="D9276" i="2"/>
  <c r="D9277" i="2"/>
  <c r="D9278" i="2"/>
  <c r="D9279" i="2"/>
  <c r="D9280" i="2"/>
  <c r="D9281" i="2"/>
  <c r="D9282" i="2"/>
  <c r="D9283" i="2"/>
  <c r="D9284" i="2"/>
  <c r="D9285" i="2"/>
  <c r="D9286" i="2"/>
  <c r="D9287" i="2"/>
  <c r="D9288" i="2"/>
  <c r="D9289" i="2"/>
  <c r="D9290" i="2"/>
  <c r="D9291" i="2"/>
  <c r="D9292" i="2"/>
  <c r="D9293" i="2"/>
  <c r="D9294" i="2"/>
  <c r="D9295" i="2"/>
  <c r="D9296" i="2"/>
  <c r="D9297" i="2"/>
  <c r="D9298" i="2"/>
  <c r="D9299" i="2"/>
  <c r="D9300" i="2"/>
  <c r="D9301" i="2"/>
  <c r="D9302" i="2"/>
  <c r="D9303" i="2"/>
  <c r="D9304" i="2"/>
  <c r="D9305" i="2"/>
  <c r="D9306" i="2"/>
  <c r="D9307" i="2"/>
  <c r="D9308" i="2"/>
  <c r="D9309" i="2"/>
  <c r="D9310" i="2"/>
  <c r="D9311" i="2"/>
  <c r="D9312" i="2"/>
  <c r="D9313" i="2"/>
  <c r="D9314" i="2"/>
  <c r="D9315" i="2"/>
  <c r="D9316" i="2"/>
  <c r="D9317" i="2"/>
  <c r="D9318" i="2"/>
  <c r="D9319" i="2"/>
  <c r="D9320" i="2"/>
  <c r="D9321" i="2"/>
  <c r="D9322" i="2"/>
  <c r="D9323" i="2"/>
  <c r="D9324" i="2"/>
  <c r="D9325" i="2"/>
  <c r="D9326" i="2"/>
  <c r="D9327" i="2"/>
  <c r="D9328" i="2"/>
  <c r="D9329" i="2"/>
  <c r="D9330" i="2"/>
  <c r="D9331" i="2"/>
  <c r="D9332" i="2"/>
  <c r="D9333" i="2"/>
  <c r="D9334" i="2"/>
  <c r="D9335" i="2"/>
  <c r="D9336" i="2"/>
  <c r="D9337" i="2"/>
  <c r="D9338" i="2"/>
  <c r="D9339" i="2"/>
  <c r="D9340" i="2"/>
  <c r="D9341" i="2"/>
  <c r="D9342" i="2"/>
  <c r="D9343" i="2"/>
  <c r="D9344" i="2"/>
  <c r="D9345" i="2"/>
  <c r="D9346" i="2"/>
  <c r="D9347" i="2"/>
  <c r="D9348" i="2"/>
  <c r="D9349" i="2"/>
  <c r="D9350" i="2"/>
  <c r="D9351" i="2"/>
  <c r="D9352" i="2"/>
  <c r="D9353" i="2"/>
  <c r="D9354" i="2"/>
  <c r="D9355" i="2"/>
  <c r="D9356" i="2"/>
  <c r="D9357" i="2"/>
  <c r="D9358" i="2"/>
  <c r="D9359" i="2"/>
  <c r="D9360" i="2"/>
  <c r="D9361" i="2"/>
  <c r="D9362" i="2"/>
  <c r="D9363" i="2"/>
  <c r="D9364" i="2"/>
  <c r="D9365" i="2"/>
  <c r="D9366" i="2"/>
  <c r="D9367" i="2"/>
  <c r="D9368" i="2"/>
  <c r="D9369" i="2"/>
  <c r="D9370" i="2"/>
  <c r="D9371" i="2"/>
  <c r="D9372" i="2"/>
  <c r="D9373" i="2"/>
  <c r="D9374" i="2"/>
  <c r="D9375" i="2"/>
  <c r="D9376" i="2"/>
  <c r="D9377" i="2"/>
  <c r="D9378" i="2"/>
  <c r="D9379" i="2"/>
  <c r="D9380" i="2"/>
  <c r="D9381" i="2"/>
  <c r="D9382" i="2"/>
  <c r="D9383" i="2"/>
  <c r="D9384" i="2"/>
  <c r="D9385" i="2"/>
  <c r="D9386" i="2"/>
  <c r="D9387" i="2"/>
  <c r="D9388" i="2"/>
  <c r="D9389" i="2"/>
  <c r="D9390" i="2"/>
  <c r="D9391" i="2"/>
  <c r="D9392" i="2"/>
  <c r="D9393" i="2"/>
  <c r="D9394" i="2"/>
  <c r="D9395" i="2"/>
  <c r="D9396" i="2"/>
  <c r="D9397" i="2"/>
  <c r="D9398" i="2"/>
  <c r="D9399" i="2"/>
  <c r="D9400" i="2"/>
  <c r="D9401" i="2"/>
  <c r="D9402" i="2"/>
  <c r="D9403" i="2"/>
  <c r="D9404" i="2"/>
  <c r="D9405" i="2"/>
  <c r="D9406" i="2"/>
  <c r="D9407" i="2"/>
  <c r="D9408" i="2"/>
  <c r="D9409" i="2"/>
  <c r="D9410" i="2"/>
  <c r="D9411" i="2"/>
  <c r="D9412" i="2"/>
  <c r="D9413" i="2"/>
  <c r="D9414" i="2"/>
  <c r="D9415" i="2"/>
  <c r="D9416" i="2"/>
  <c r="D9417" i="2"/>
  <c r="D9418" i="2"/>
  <c r="D9419" i="2"/>
  <c r="D9420" i="2"/>
  <c r="D9421" i="2"/>
  <c r="D9422" i="2"/>
  <c r="D9423" i="2"/>
  <c r="D9424" i="2"/>
  <c r="D9425" i="2"/>
  <c r="D9426" i="2"/>
  <c r="D9427" i="2"/>
  <c r="D9428" i="2"/>
  <c r="D9429" i="2"/>
  <c r="D9430" i="2"/>
  <c r="D9431" i="2"/>
  <c r="D9432" i="2"/>
  <c r="D9433" i="2"/>
  <c r="D9434" i="2"/>
  <c r="D9435" i="2"/>
  <c r="D9436" i="2"/>
  <c r="D9437" i="2"/>
  <c r="D9438" i="2"/>
  <c r="D9439" i="2"/>
  <c r="D9440" i="2"/>
  <c r="D9441" i="2"/>
  <c r="D9442" i="2"/>
  <c r="D9443" i="2"/>
  <c r="D9444" i="2"/>
  <c r="D9445" i="2"/>
  <c r="D9446" i="2"/>
  <c r="D9447" i="2"/>
  <c r="D9448" i="2"/>
  <c r="D9449" i="2"/>
  <c r="D9450" i="2"/>
  <c r="D9451" i="2"/>
  <c r="D9452" i="2"/>
  <c r="D9453" i="2"/>
  <c r="D9454" i="2"/>
  <c r="D9455" i="2"/>
  <c r="D9456" i="2"/>
  <c r="D9457" i="2"/>
  <c r="D9458" i="2"/>
  <c r="D9459" i="2"/>
  <c r="D9460" i="2"/>
  <c r="D9461" i="2"/>
  <c r="D9462" i="2"/>
  <c r="D9463" i="2"/>
  <c r="D9464" i="2"/>
  <c r="D9465" i="2"/>
  <c r="D9466" i="2"/>
  <c r="D9467" i="2"/>
  <c r="D9468" i="2"/>
  <c r="D9469" i="2"/>
  <c r="D9470" i="2"/>
  <c r="D9471" i="2"/>
  <c r="D9472" i="2"/>
  <c r="D9473" i="2"/>
  <c r="D9474" i="2"/>
  <c r="D9475" i="2"/>
  <c r="D9476" i="2"/>
  <c r="D9477" i="2"/>
  <c r="D9478" i="2"/>
  <c r="D9479" i="2"/>
  <c r="D9480" i="2"/>
  <c r="D9481" i="2"/>
  <c r="D9482" i="2"/>
  <c r="D9483" i="2"/>
  <c r="D9484" i="2"/>
  <c r="D9485" i="2"/>
  <c r="D9486" i="2"/>
  <c r="D9487" i="2"/>
  <c r="D9488" i="2"/>
  <c r="D9489" i="2"/>
  <c r="D9490" i="2"/>
  <c r="D9491" i="2"/>
  <c r="D9492" i="2"/>
  <c r="D9493" i="2"/>
  <c r="D9494" i="2"/>
  <c r="D9495" i="2"/>
  <c r="D9496" i="2"/>
  <c r="D9497" i="2"/>
  <c r="D9498" i="2"/>
  <c r="D9499" i="2"/>
  <c r="D9500" i="2"/>
  <c r="D9501" i="2"/>
  <c r="D9502" i="2"/>
  <c r="D9503" i="2"/>
  <c r="D9504" i="2"/>
  <c r="D9505" i="2"/>
  <c r="D9506" i="2"/>
  <c r="D9507" i="2"/>
  <c r="D9508" i="2"/>
  <c r="D9509" i="2"/>
  <c r="D9510" i="2"/>
  <c r="D9511" i="2"/>
  <c r="D9512" i="2"/>
  <c r="D9513" i="2"/>
  <c r="D9514" i="2"/>
  <c r="D9515" i="2"/>
  <c r="D9516" i="2"/>
  <c r="D9517" i="2"/>
  <c r="D9518" i="2"/>
  <c r="D9519" i="2"/>
  <c r="D9520" i="2"/>
  <c r="D9521" i="2"/>
  <c r="D9522" i="2"/>
  <c r="D9523" i="2"/>
  <c r="D9524" i="2"/>
  <c r="D9525" i="2"/>
  <c r="D9526" i="2"/>
  <c r="D9527" i="2"/>
  <c r="D9528" i="2"/>
  <c r="D9529" i="2"/>
  <c r="D9530" i="2"/>
  <c r="D9531" i="2"/>
  <c r="D9532" i="2"/>
  <c r="D9533" i="2"/>
  <c r="D9534" i="2"/>
  <c r="D9535" i="2"/>
  <c r="D9536" i="2"/>
  <c r="D9537" i="2"/>
  <c r="D9538" i="2"/>
  <c r="D9539" i="2"/>
  <c r="D9540" i="2"/>
  <c r="D9541" i="2"/>
  <c r="D9542" i="2"/>
  <c r="D9543" i="2"/>
  <c r="D9544" i="2"/>
  <c r="D9545" i="2"/>
  <c r="D9546" i="2"/>
  <c r="D9547" i="2"/>
  <c r="D9548" i="2"/>
  <c r="D9549" i="2"/>
  <c r="D9550" i="2"/>
  <c r="D9551" i="2"/>
  <c r="D9552" i="2"/>
  <c r="D9553" i="2"/>
  <c r="D9554" i="2"/>
  <c r="D9555" i="2"/>
  <c r="D9556" i="2"/>
  <c r="D9557" i="2"/>
  <c r="D9558" i="2"/>
  <c r="D9559" i="2"/>
  <c r="D9560" i="2"/>
  <c r="D9561" i="2"/>
  <c r="D9562" i="2"/>
  <c r="D9563" i="2"/>
  <c r="D9564" i="2"/>
  <c r="D9565" i="2"/>
  <c r="D9566" i="2"/>
  <c r="D9567" i="2"/>
  <c r="D9568" i="2"/>
  <c r="D9569" i="2"/>
  <c r="D9570" i="2"/>
  <c r="D9571" i="2"/>
  <c r="D9572" i="2"/>
  <c r="D9573" i="2"/>
  <c r="D9574" i="2"/>
  <c r="D9575" i="2"/>
  <c r="D9576" i="2"/>
  <c r="D9577" i="2"/>
  <c r="D9578" i="2"/>
  <c r="D9579" i="2"/>
  <c r="D9580" i="2"/>
  <c r="D9581" i="2"/>
  <c r="D9582" i="2"/>
  <c r="D9583" i="2"/>
  <c r="D9584" i="2"/>
  <c r="D9585" i="2"/>
  <c r="D9586" i="2"/>
  <c r="D9587" i="2"/>
  <c r="D9588" i="2"/>
  <c r="D9589" i="2"/>
  <c r="D9590" i="2"/>
  <c r="D9591" i="2"/>
  <c r="D9592" i="2"/>
  <c r="D9593" i="2"/>
  <c r="D9594" i="2"/>
  <c r="D9595" i="2"/>
  <c r="D9596" i="2"/>
  <c r="D9597" i="2"/>
  <c r="D9598" i="2"/>
  <c r="D9599" i="2"/>
  <c r="D9600" i="2"/>
  <c r="D9601" i="2"/>
  <c r="D9602" i="2"/>
  <c r="D9603" i="2"/>
  <c r="D9604" i="2"/>
  <c r="D9605" i="2"/>
  <c r="D9606" i="2"/>
  <c r="D9607" i="2"/>
  <c r="D9608" i="2"/>
  <c r="D9609" i="2"/>
  <c r="D9610" i="2"/>
  <c r="D9611" i="2"/>
  <c r="D9612" i="2"/>
  <c r="D9613" i="2"/>
  <c r="D9614" i="2"/>
  <c r="D9615" i="2"/>
  <c r="D9616" i="2"/>
  <c r="D9617" i="2"/>
  <c r="D9618" i="2"/>
  <c r="D9619" i="2"/>
  <c r="D9620" i="2"/>
  <c r="D9621" i="2"/>
  <c r="D9622" i="2"/>
  <c r="D9623" i="2"/>
  <c r="D9624" i="2"/>
  <c r="D9625" i="2"/>
  <c r="D9626" i="2"/>
  <c r="D9627" i="2"/>
  <c r="D9628" i="2"/>
  <c r="D9629" i="2"/>
  <c r="D9630" i="2"/>
  <c r="D9631" i="2"/>
  <c r="D9632" i="2"/>
  <c r="D9633" i="2"/>
  <c r="D9634" i="2"/>
  <c r="D9635" i="2"/>
  <c r="D9636" i="2"/>
  <c r="D9637" i="2"/>
  <c r="D9638" i="2"/>
  <c r="D9639" i="2"/>
  <c r="D9640" i="2"/>
  <c r="D9641" i="2"/>
  <c r="D9642" i="2"/>
  <c r="D9643" i="2"/>
  <c r="D9644" i="2"/>
  <c r="D9645" i="2"/>
  <c r="D9646" i="2"/>
  <c r="D9647" i="2"/>
  <c r="D9648" i="2"/>
  <c r="D9649" i="2"/>
  <c r="D9650" i="2"/>
  <c r="D9651" i="2"/>
  <c r="D9652" i="2"/>
  <c r="D9653" i="2"/>
  <c r="D9654" i="2"/>
  <c r="D9655" i="2"/>
  <c r="D9656" i="2"/>
  <c r="D9657" i="2"/>
  <c r="D9658" i="2"/>
  <c r="D9659" i="2"/>
  <c r="D9660" i="2"/>
  <c r="D9661" i="2"/>
  <c r="D9662" i="2"/>
  <c r="D9663" i="2"/>
  <c r="D9664" i="2"/>
  <c r="D9665" i="2"/>
  <c r="D9666" i="2"/>
  <c r="D9667" i="2"/>
  <c r="D9668" i="2"/>
  <c r="D9669" i="2"/>
  <c r="D9670" i="2"/>
  <c r="D9671" i="2"/>
  <c r="D9672" i="2"/>
  <c r="D9673" i="2"/>
  <c r="D9674" i="2"/>
  <c r="D9675" i="2"/>
  <c r="D9676" i="2"/>
  <c r="D9677" i="2"/>
  <c r="D9678" i="2"/>
  <c r="D9679" i="2"/>
  <c r="D9680" i="2"/>
  <c r="D9681" i="2"/>
  <c r="D9682" i="2"/>
  <c r="D9683" i="2"/>
  <c r="D9684" i="2"/>
  <c r="D9685" i="2"/>
  <c r="D9686" i="2"/>
  <c r="D9687" i="2"/>
  <c r="D9688" i="2"/>
  <c r="D9689" i="2"/>
  <c r="D9690" i="2"/>
  <c r="D9691" i="2"/>
  <c r="D9692" i="2"/>
  <c r="D9693" i="2"/>
  <c r="D9694" i="2"/>
  <c r="D9695" i="2"/>
  <c r="D9696" i="2"/>
  <c r="D9697" i="2"/>
  <c r="D9698" i="2"/>
  <c r="D9699" i="2"/>
  <c r="D9700" i="2"/>
  <c r="D9701" i="2"/>
  <c r="D9702" i="2"/>
  <c r="D9703" i="2"/>
  <c r="D9704" i="2"/>
  <c r="D9705" i="2"/>
  <c r="D9706" i="2"/>
  <c r="D9707" i="2"/>
  <c r="D9708" i="2"/>
  <c r="D9709" i="2"/>
  <c r="D9710" i="2"/>
  <c r="D9711" i="2"/>
  <c r="D9712" i="2"/>
  <c r="D9713" i="2"/>
  <c r="D9714" i="2"/>
  <c r="D9715" i="2"/>
  <c r="D9716" i="2"/>
  <c r="D9717" i="2"/>
  <c r="D9718" i="2"/>
  <c r="D9719" i="2"/>
  <c r="D9720" i="2"/>
  <c r="D9721" i="2"/>
  <c r="D9722" i="2"/>
  <c r="D9723" i="2"/>
  <c r="D9724" i="2"/>
  <c r="D9725" i="2"/>
  <c r="D9726" i="2"/>
  <c r="D9727" i="2"/>
  <c r="D9728" i="2"/>
  <c r="D9729" i="2"/>
  <c r="D9730" i="2"/>
  <c r="D9731" i="2"/>
  <c r="D9732" i="2"/>
  <c r="D9733" i="2"/>
  <c r="D9734" i="2"/>
  <c r="D9735" i="2"/>
  <c r="D9736" i="2"/>
  <c r="D9737" i="2"/>
  <c r="D9738" i="2"/>
  <c r="D9739" i="2"/>
  <c r="D9740" i="2"/>
  <c r="D9741" i="2"/>
  <c r="D9742" i="2"/>
  <c r="D9743" i="2"/>
  <c r="D9744" i="2"/>
  <c r="D9745" i="2"/>
  <c r="D9746" i="2"/>
  <c r="D9747" i="2"/>
  <c r="D9748" i="2"/>
  <c r="D9749" i="2"/>
  <c r="D9750" i="2"/>
  <c r="D9751" i="2"/>
  <c r="D9752" i="2"/>
  <c r="D9753" i="2"/>
  <c r="D9754" i="2"/>
  <c r="D9755" i="2"/>
  <c r="D9756" i="2"/>
  <c r="D9757" i="2"/>
  <c r="D9758" i="2"/>
  <c r="D9759" i="2"/>
  <c r="D9760" i="2"/>
  <c r="D9761" i="2"/>
  <c r="D9762" i="2"/>
  <c r="D9763" i="2"/>
  <c r="D9764" i="2"/>
  <c r="D9765" i="2"/>
  <c r="D9766" i="2"/>
  <c r="D9767" i="2"/>
  <c r="D9768" i="2"/>
  <c r="D9769" i="2"/>
  <c r="D9770" i="2"/>
  <c r="D9771" i="2"/>
  <c r="D9772" i="2"/>
  <c r="D9773" i="2"/>
  <c r="D9774" i="2"/>
  <c r="D9775" i="2"/>
  <c r="D9776" i="2"/>
  <c r="D9777" i="2"/>
  <c r="D9778" i="2"/>
  <c r="D9779" i="2"/>
  <c r="D9780" i="2"/>
  <c r="D9781" i="2"/>
  <c r="D9782" i="2"/>
  <c r="D9783" i="2"/>
  <c r="D9784" i="2"/>
  <c r="D9785" i="2"/>
  <c r="D9786" i="2"/>
  <c r="D9787" i="2"/>
  <c r="D9788" i="2"/>
  <c r="D9789" i="2"/>
  <c r="D9790" i="2"/>
  <c r="D9791" i="2"/>
  <c r="D9792" i="2"/>
  <c r="D9793" i="2"/>
  <c r="D9794" i="2"/>
  <c r="D9795" i="2"/>
  <c r="D9796" i="2"/>
  <c r="D9797" i="2"/>
  <c r="D9798" i="2"/>
  <c r="D9799" i="2"/>
  <c r="D9800" i="2"/>
  <c r="D9801" i="2"/>
  <c r="D9802" i="2"/>
  <c r="D9803" i="2"/>
  <c r="D9804" i="2"/>
  <c r="D9805" i="2"/>
  <c r="D9806" i="2"/>
  <c r="D9807" i="2"/>
  <c r="D9808" i="2"/>
  <c r="D9809" i="2"/>
  <c r="D9810" i="2"/>
  <c r="D9811" i="2"/>
  <c r="D9812" i="2"/>
  <c r="D9813" i="2"/>
  <c r="D9814" i="2"/>
  <c r="D9815" i="2"/>
  <c r="D9816" i="2"/>
  <c r="D9817" i="2"/>
  <c r="D9818" i="2"/>
  <c r="D9819" i="2"/>
  <c r="D9820" i="2"/>
  <c r="D9821" i="2"/>
  <c r="D9822" i="2"/>
  <c r="D9823" i="2"/>
  <c r="D9824" i="2"/>
  <c r="D9825" i="2"/>
  <c r="D9826" i="2"/>
  <c r="D9827" i="2"/>
  <c r="D9828" i="2"/>
  <c r="D9829" i="2"/>
  <c r="D9830" i="2"/>
  <c r="D9831" i="2"/>
  <c r="D9832" i="2"/>
  <c r="D9833" i="2"/>
  <c r="D9834" i="2"/>
  <c r="D9835" i="2"/>
  <c r="D9836" i="2"/>
  <c r="D9837" i="2"/>
  <c r="D9838" i="2"/>
  <c r="D9839" i="2"/>
  <c r="D9840" i="2"/>
  <c r="D9841" i="2"/>
  <c r="D9842" i="2"/>
  <c r="D9843" i="2"/>
  <c r="D9844" i="2"/>
  <c r="D9845" i="2"/>
  <c r="D9846" i="2"/>
  <c r="D9847" i="2"/>
  <c r="D9848" i="2"/>
  <c r="D9849" i="2"/>
  <c r="D9850" i="2"/>
  <c r="D9851" i="2"/>
  <c r="D9852" i="2"/>
  <c r="D9853" i="2"/>
  <c r="D9854" i="2"/>
  <c r="D9855" i="2"/>
  <c r="D9856" i="2"/>
  <c r="D9857" i="2"/>
  <c r="D9858" i="2"/>
  <c r="D9859" i="2"/>
  <c r="D9860" i="2"/>
  <c r="D9861" i="2"/>
  <c r="D9862" i="2"/>
  <c r="D9863" i="2"/>
  <c r="D9864" i="2"/>
  <c r="D9865" i="2"/>
  <c r="D9866" i="2"/>
  <c r="D9867" i="2"/>
  <c r="D9868" i="2"/>
  <c r="D9869" i="2"/>
  <c r="D9870" i="2"/>
  <c r="D9871" i="2"/>
  <c r="D9872" i="2"/>
  <c r="D9873" i="2"/>
  <c r="D9874" i="2"/>
  <c r="D9875" i="2"/>
  <c r="D9876" i="2"/>
  <c r="D9877" i="2"/>
  <c r="D9878" i="2"/>
  <c r="D9879" i="2"/>
  <c r="D9880" i="2"/>
  <c r="D9881" i="2"/>
  <c r="D9882" i="2"/>
  <c r="D9883" i="2"/>
  <c r="D9884" i="2"/>
  <c r="D9885" i="2"/>
  <c r="D9886" i="2"/>
  <c r="D9887" i="2"/>
  <c r="D9888" i="2"/>
  <c r="D9889" i="2"/>
  <c r="D9890" i="2"/>
  <c r="D9891" i="2"/>
  <c r="D9892" i="2"/>
  <c r="D9893" i="2"/>
  <c r="D9894" i="2"/>
  <c r="D9895" i="2"/>
  <c r="D9896" i="2"/>
  <c r="D9897" i="2"/>
  <c r="D9898" i="2"/>
  <c r="D9899" i="2"/>
  <c r="D9900" i="2"/>
  <c r="D9901" i="2"/>
  <c r="D9902" i="2"/>
  <c r="D9903" i="2"/>
  <c r="D9904" i="2"/>
  <c r="D9905" i="2"/>
  <c r="D9906" i="2"/>
  <c r="D9907" i="2"/>
  <c r="D9908" i="2"/>
  <c r="D9909" i="2"/>
  <c r="D9910" i="2"/>
  <c r="D9911" i="2"/>
  <c r="D9912" i="2"/>
  <c r="D9913" i="2"/>
  <c r="D9914" i="2"/>
  <c r="D9915" i="2"/>
  <c r="D9916" i="2"/>
  <c r="D9917" i="2"/>
  <c r="D9918" i="2"/>
  <c r="D9919" i="2"/>
  <c r="D9920" i="2"/>
  <c r="D9921" i="2"/>
  <c r="D9922" i="2"/>
  <c r="D9923" i="2"/>
  <c r="D9924" i="2"/>
  <c r="D9925" i="2"/>
  <c r="D9926" i="2"/>
  <c r="D9927" i="2"/>
  <c r="D9928" i="2"/>
  <c r="D9929" i="2"/>
  <c r="D9930" i="2"/>
  <c r="D9931" i="2"/>
  <c r="D9932" i="2"/>
  <c r="D9933" i="2"/>
  <c r="D9934" i="2"/>
  <c r="D9935" i="2"/>
  <c r="D9936" i="2"/>
  <c r="D9937" i="2"/>
  <c r="D9938" i="2"/>
  <c r="D9939" i="2"/>
  <c r="D9940" i="2"/>
  <c r="D9941" i="2"/>
  <c r="D9942" i="2"/>
  <c r="D9943" i="2"/>
  <c r="D9944" i="2"/>
  <c r="D9945" i="2"/>
  <c r="D9946" i="2"/>
  <c r="D9947" i="2"/>
  <c r="D9948" i="2"/>
  <c r="D9949" i="2"/>
  <c r="D9950" i="2"/>
  <c r="D9951" i="2"/>
  <c r="D9952" i="2"/>
  <c r="D9953" i="2"/>
  <c r="D9954" i="2"/>
  <c r="D9955" i="2"/>
  <c r="D9956" i="2"/>
  <c r="D9957" i="2"/>
  <c r="D9958" i="2"/>
  <c r="D9959" i="2"/>
  <c r="D9960" i="2"/>
  <c r="D9961" i="2"/>
  <c r="D9962" i="2"/>
  <c r="D9963" i="2"/>
  <c r="D9964" i="2"/>
  <c r="D9965" i="2"/>
  <c r="D9966" i="2"/>
  <c r="D9967" i="2"/>
  <c r="D9968" i="2"/>
  <c r="D9969" i="2"/>
  <c r="D9970" i="2"/>
  <c r="D9971" i="2"/>
  <c r="D9972" i="2"/>
  <c r="D9973" i="2"/>
  <c r="D9974" i="2"/>
  <c r="D9975" i="2"/>
  <c r="D9976" i="2"/>
  <c r="D9977" i="2"/>
  <c r="D9978" i="2"/>
  <c r="D9979" i="2"/>
  <c r="D9980" i="2"/>
  <c r="D9981" i="2"/>
  <c r="D9982" i="2"/>
  <c r="D9983" i="2"/>
  <c r="D9984" i="2"/>
  <c r="D9985" i="2"/>
  <c r="D9986" i="2"/>
  <c r="D9987" i="2"/>
  <c r="D9988" i="2"/>
  <c r="D9989" i="2"/>
  <c r="D9990" i="2"/>
  <c r="D9991" i="2"/>
  <c r="D9992" i="2"/>
  <c r="D9993" i="2"/>
  <c r="D9994" i="2"/>
  <c r="D9995" i="2"/>
  <c r="D9996" i="2"/>
  <c r="D9997" i="2"/>
  <c r="D9998" i="2"/>
  <c r="D9999" i="2"/>
  <c r="D10000" i="2"/>
  <c r="D10001" i="2"/>
  <c r="D10002" i="2"/>
  <c r="D10003" i="2"/>
  <c r="D10004" i="2"/>
  <c r="D10005" i="2"/>
  <c r="D10006" i="2"/>
  <c r="D10007" i="2"/>
  <c r="D10008" i="2"/>
  <c r="D10009" i="2"/>
  <c r="D10010" i="2"/>
  <c r="D10011" i="2"/>
  <c r="D10012" i="2"/>
  <c r="D10013" i="2"/>
  <c r="D10014" i="2"/>
  <c r="D10015" i="2"/>
  <c r="D10016" i="2"/>
  <c r="D10017" i="2"/>
  <c r="D10018" i="2"/>
  <c r="D10019" i="2"/>
  <c r="D10020" i="2"/>
  <c r="D10021" i="2"/>
  <c r="D10022" i="2"/>
  <c r="D10023" i="2"/>
  <c r="D10024" i="2"/>
  <c r="D10025" i="2"/>
  <c r="D10026" i="2"/>
  <c r="D10027" i="2"/>
  <c r="D10028" i="2"/>
  <c r="D10029" i="2"/>
  <c r="D10030" i="2"/>
  <c r="D10031" i="2"/>
  <c r="D10032" i="2"/>
  <c r="D10033" i="2"/>
  <c r="D10034" i="2"/>
  <c r="D10035" i="2"/>
  <c r="D10036" i="2"/>
  <c r="D10037" i="2"/>
  <c r="D10038" i="2"/>
  <c r="D10039" i="2"/>
  <c r="D10040" i="2"/>
  <c r="D10041" i="2"/>
  <c r="D10042" i="2"/>
  <c r="D10043" i="2"/>
  <c r="D10044" i="2"/>
  <c r="D10045" i="2"/>
  <c r="D10046" i="2"/>
  <c r="D10047" i="2"/>
  <c r="D10048" i="2"/>
  <c r="D10049" i="2"/>
  <c r="D10050" i="2"/>
  <c r="D10051" i="2"/>
  <c r="D10052" i="2"/>
  <c r="D10053" i="2"/>
  <c r="D10054" i="2"/>
  <c r="D10055" i="2"/>
  <c r="D10056" i="2"/>
  <c r="D10057" i="2"/>
  <c r="D10058" i="2"/>
  <c r="D10059" i="2"/>
  <c r="D10060" i="2"/>
  <c r="D10061" i="2"/>
  <c r="D10062" i="2"/>
  <c r="D10063" i="2"/>
  <c r="D10064" i="2"/>
  <c r="D10065" i="2"/>
  <c r="D10066" i="2"/>
  <c r="D10067" i="2"/>
  <c r="D10068" i="2"/>
  <c r="D10069" i="2"/>
  <c r="D10070" i="2"/>
  <c r="D10071" i="2"/>
  <c r="D10072" i="2"/>
  <c r="D10073" i="2"/>
  <c r="D10074" i="2"/>
  <c r="D10075" i="2"/>
  <c r="D10076" i="2"/>
  <c r="D10077" i="2"/>
  <c r="D10078" i="2"/>
  <c r="D10079" i="2"/>
  <c r="D10080" i="2"/>
  <c r="D10081" i="2"/>
  <c r="D10082" i="2"/>
  <c r="D10083" i="2"/>
  <c r="D10084" i="2"/>
  <c r="D10085" i="2"/>
  <c r="D10086" i="2"/>
  <c r="D10087" i="2"/>
  <c r="D10088" i="2"/>
  <c r="D10089" i="2"/>
  <c r="D10090" i="2"/>
  <c r="D10091" i="2"/>
  <c r="D10092" i="2"/>
  <c r="D10093" i="2"/>
  <c r="D10094" i="2"/>
  <c r="D10095" i="2"/>
  <c r="D10096" i="2"/>
  <c r="D10097" i="2"/>
  <c r="D10098" i="2"/>
  <c r="D10099" i="2"/>
  <c r="D10100" i="2"/>
  <c r="D10101" i="2"/>
  <c r="D10102" i="2"/>
  <c r="D10103" i="2"/>
  <c r="D10104" i="2"/>
  <c r="D10105" i="2"/>
  <c r="D10106" i="2"/>
  <c r="D10107" i="2"/>
  <c r="D10108" i="2"/>
  <c r="D10109" i="2"/>
  <c r="D10110" i="2"/>
  <c r="D10111" i="2"/>
  <c r="D10112" i="2"/>
  <c r="D10113" i="2"/>
  <c r="D10114" i="2"/>
  <c r="D10115" i="2"/>
  <c r="D10116" i="2"/>
  <c r="D10117" i="2"/>
  <c r="D10118" i="2"/>
  <c r="D10119" i="2"/>
  <c r="D10120" i="2"/>
  <c r="D10121" i="2"/>
  <c r="D10122" i="2"/>
  <c r="D10123" i="2"/>
  <c r="D10124" i="2"/>
  <c r="D10125" i="2"/>
  <c r="D10126" i="2"/>
  <c r="D10127" i="2"/>
  <c r="D10128" i="2"/>
  <c r="D10129" i="2"/>
  <c r="D10130" i="2"/>
  <c r="D10131" i="2"/>
  <c r="D10132" i="2"/>
  <c r="D10133" i="2"/>
  <c r="D10134" i="2"/>
  <c r="D10135" i="2"/>
  <c r="D10136" i="2"/>
  <c r="D10137" i="2"/>
  <c r="D10138" i="2"/>
  <c r="D10139" i="2"/>
  <c r="D10140" i="2"/>
  <c r="D10141" i="2"/>
  <c r="D10142" i="2"/>
  <c r="D10143" i="2"/>
  <c r="D10144" i="2"/>
  <c r="D10145" i="2"/>
  <c r="D10146" i="2"/>
  <c r="D10147" i="2"/>
  <c r="D10148" i="2"/>
  <c r="D10149" i="2"/>
  <c r="D10150" i="2"/>
  <c r="D10151" i="2"/>
  <c r="D10152" i="2"/>
  <c r="D10153" i="2"/>
  <c r="D10154" i="2"/>
  <c r="D10155" i="2"/>
  <c r="D10156" i="2"/>
  <c r="D10157" i="2"/>
  <c r="D10158" i="2"/>
  <c r="D10159" i="2"/>
  <c r="D10160" i="2"/>
  <c r="D10161" i="2"/>
  <c r="D10162" i="2"/>
  <c r="D10163" i="2"/>
  <c r="D10164" i="2"/>
  <c r="D10165" i="2"/>
  <c r="D10166" i="2"/>
  <c r="D10167" i="2"/>
  <c r="D10168" i="2"/>
  <c r="D10169" i="2"/>
  <c r="D10170" i="2"/>
  <c r="D10171" i="2"/>
  <c r="D10172" i="2"/>
  <c r="D10173" i="2"/>
  <c r="D10174" i="2"/>
  <c r="D10175" i="2"/>
  <c r="D10176" i="2"/>
  <c r="D10177" i="2"/>
  <c r="D10178" i="2"/>
  <c r="D10179" i="2"/>
  <c r="D10180" i="2"/>
  <c r="D10181" i="2"/>
  <c r="D10182" i="2"/>
  <c r="D10183" i="2"/>
  <c r="D10184" i="2"/>
  <c r="D10185" i="2"/>
  <c r="D10186" i="2"/>
  <c r="D10187" i="2"/>
  <c r="D10188" i="2"/>
  <c r="D10189" i="2"/>
  <c r="D10190" i="2"/>
  <c r="D10191" i="2"/>
  <c r="D10192" i="2"/>
  <c r="D10193" i="2"/>
  <c r="D10194" i="2"/>
  <c r="D10195" i="2"/>
  <c r="D10196" i="2"/>
  <c r="D10197" i="2"/>
  <c r="D10198" i="2"/>
  <c r="D10199" i="2"/>
  <c r="D10200" i="2"/>
  <c r="D10201" i="2"/>
  <c r="D10202" i="2"/>
  <c r="D10203" i="2"/>
  <c r="D10204" i="2"/>
  <c r="D10205" i="2"/>
  <c r="D10206" i="2"/>
  <c r="D10207" i="2"/>
  <c r="D10208" i="2"/>
  <c r="D10209" i="2"/>
  <c r="D10210" i="2"/>
  <c r="D10211" i="2"/>
  <c r="D10212" i="2"/>
  <c r="D10213" i="2"/>
  <c r="D10214" i="2"/>
  <c r="D10215" i="2"/>
  <c r="D10216" i="2"/>
  <c r="D10217" i="2"/>
  <c r="D10218" i="2"/>
  <c r="D10219" i="2"/>
  <c r="D10220" i="2"/>
  <c r="D10221" i="2"/>
  <c r="D10222" i="2"/>
  <c r="D10223" i="2"/>
  <c r="D10224" i="2"/>
  <c r="D10225" i="2"/>
  <c r="D10226" i="2"/>
  <c r="D10227" i="2"/>
  <c r="D10228" i="2"/>
  <c r="D10229" i="2"/>
  <c r="D10230" i="2"/>
  <c r="D10231" i="2"/>
  <c r="D10232" i="2"/>
  <c r="D10233" i="2"/>
  <c r="D10234" i="2"/>
  <c r="D10235" i="2"/>
  <c r="D10236" i="2"/>
  <c r="D10237" i="2"/>
  <c r="D10238" i="2"/>
  <c r="D10239" i="2"/>
  <c r="D10240" i="2"/>
  <c r="D10241" i="2"/>
  <c r="D10242" i="2"/>
  <c r="D10243" i="2"/>
  <c r="D10244" i="2"/>
  <c r="D10245" i="2"/>
  <c r="D10246" i="2"/>
  <c r="D10247" i="2"/>
  <c r="D10248" i="2"/>
  <c r="D10249" i="2"/>
  <c r="D10250" i="2"/>
  <c r="D10251" i="2"/>
  <c r="D10252" i="2"/>
  <c r="D10253" i="2"/>
  <c r="D10254" i="2"/>
  <c r="D10255" i="2"/>
  <c r="D10256" i="2"/>
  <c r="D10257" i="2"/>
  <c r="D10258" i="2"/>
  <c r="D10259" i="2"/>
  <c r="D10260" i="2"/>
  <c r="D10261" i="2"/>
  <c r="D10262" i="2"/>
  <c r="D10263" i="2"/>
  <c r="D10264" i="2"/>
  <c r="D10265" i="2"/>
  <c r="D10266" i="2"/>
  <c r="D10267" i="2"/>
  <c r="D10268" i="2"/>
  <c r="D10269" i="2"/>
  <c r="D10270" i="2"/>
  <c r="D10271" i="2"/>
  <c r="D10272" i="2"/>
  <c r="D10273" i="2"/>
  <c r="D10274" i="2"/>
  <c r="D10275" i="2"/>
  <c r="D10276" i="2"/>
  <c r="D10277" i="2"/>
  <c r="D10278" i="2"/>
  <c r="D10279" i="2"/>
  <c r="D10280" i="2"/>
  <c r="D10281" i="2"/>
  <c r="D10282" i="2"/>
  <c r="D10283" i="2"/>
  <c r="D10284" i="2"/>
  <c r="D10285" i="2"/>
  <c r="D10286" i="2"/>
  <c r="D10287" i="2"/>
  <c r="D10288" i="2"/>
  <c r="D10289" i="2"/>
  <c r="D10290" i="2"/>
  <c r="D10291" i="2"/>
  <c r="D10292" i="2"/>
  <c r="D10293" i="2"/>
  <c r="D10294" i="2"/>
  <c r="D10295" i="2"/>
  <c r="D10296" i="2"/>
  <c r="D10297" i="2"/>
  <c r="D10298" i="2"/>
  <c r="D10299" i="2"/>
  <c r="D10300" i="2"/>
  <c r="D10301" i="2"/>
  <c r="D10302" i="2"/>
  <c r="D10303" i="2"/>
  <c r="D10304" i="2"/>
  <c r="D10305" i="2"/>
  <c r="D10306" i="2"/>
  <c r="D10307" i="2"/>
  <c r="D10308" i="2"/>
  <c r="D10309" i="2"/>
  <c r="D10310" i="2"/>
  <c r="D10311" i="2"/>
  <c r="D10312" i="2"/>
  <c r="D10313" i="2"/>
  <c r="D10314" i="2"/>
  <c r="D10315" i="2"/>
  <c r="D10316" i="2"/>
  <c r="D10317" i="2"/>
  <c r="D10318" i="2"/>
  <c r="D10319" i="2"/>
  <c r="D10320" i="2"/>
  <c r="D10321" i="2"/>
  <c r="D10322" i="2"/>
  <c r="D10323" i="2"/>
  <c r="D10324" i="2"/>
  <c r="D10325" i="2"/>
  <c r="D10326" i="2"/>
  <c r="D10327" i="2"/>
  <c r="D10328" i="2"/>
  <c r="D10329" i="2"/>
  <c r="D10330" i="2"/>
  <c r="D10331" i="2"/>
  <c r="D10332" i="2"/>
  <c r="D10333" i="2"/>
  <c r="D10334" i="2"/>
  <c r="D10335" i="2"/>
  <c r="D10336" i="2"/>
  <c r="D10337" i="2"/>
  <c r="D10338" i="2"/>
  <c r="D10339" i="2"/>
  <c r="D10340" i="2"/>
  <c r="D10341" i="2"/>
  <c r="D10342" i="2"/>
  <c r="D10343" i="2"/>
  <c r="D10344" i="2"/>
  <c r="D10345" i="2"/>
  <c r="D10346" i="2"/>
  <c r="D10347" i="2"/>
  <c r="D10348" i="2"/>
  <c r="D10349" i="2"/>
  <c r="D10350" i="2"/>
  <c r="D10351" i="2"/>
  <c r="D10352" i="2"/>
  <c r="D10353" i="2"/>
  <c r="D10354" i="2"/>
  <c r="D10355" i="2"/>
  <c r="D10356" i="2"/>
  <c r="D10357" i="2"/>
  <c r="D10358" i="2"/>
  <c r="D10359" i="2"/>
  <c r="D10360" i="2"/>
  <c r="D10361" i="2"/>
  <c r="D10362" i="2"/>
  <c r="D10363" i="2"/>
  <c r="D10364" i="2"/>
  <c r="D10365" i="2"/>
  <c r="D10366" i="2"/>
  <c r="D10367" i="2"/>
  <c r="D10368" i="2"/>
  <c r="D10369" i="2"/>
  <c r="D10370" i="2"/>
  <c r="D10371" i="2"/>
  <c r="D10372" i="2"/>
  <c r="D10373" i="2"/>
  <c r="D10374" i="2"/>
  <c r="D10375" i="2"/>
  <c r="D10376" i="2"/>
  <c r="D10377" i="2"/>
  <c r="D10378" i="2"/>
  <c r="D10379" i="2"/>
  <c r="D10380" i="2"/>
  <c r="D10381" i="2"/>
  <c r="D10382" i="2"/>
  <c r="D10383" i="2"/>
  <c r="D10384" i="2"/>
  <c r="D10385" i="2"/>
  <c r="D10386" i="2"/>
  <c r="D10387" i="2"/>
  <c r="D10388" i="2"/>
  <c r="D10389" i="2"/>
  <c r="D10390" i="2"/>
  <c r="D10391" i="2"/>
  <c r="D10392" i="2"/>
  <c r="D10393" i="2"/>
  <c r="D10394" i="2"/>
  <c r="D10395" i="2"/>
  <c r="D10396" i="2"/>
  <c r="D10397" i="2"/>
  <c r="D10398" i="2"/>
  <c r="D10399" i="2"/>
  <c r="D10400" i="2"/>
  <c r="D10401" i="2"/>
  <c r="D10402" i="2"/>
  <c r="D10403" i="2"/>
  <c r="D10404" i="2"/>
  <c r="D10405" i="2"/>
  <c r="D10406" i="2"/>
  <c r="D10407" i="2"/>
  <c r="D10408" i="2"/>
  <c r="D10409" i="2"/>
  <c r="D10410" i="2"/>
  <c r="D10411" i="2"/>
  <c r="D10412" i="2"/>
  <c r="D10413" i="2"/>
  <c r="D10414" i="2"/>
  <c r="D10415" i="2"/>
  <c r="D10416" i="2"/>
  <c r="D10417" i="2"/>
  <c r="D10418" i="2"/>
  <c r="D10419" i="2"/>
  <c r="D10420" i="2"/>
  <c r="D10421" i="2"/>
  <c r="D10422" i="2"/>
  <c r="D10423" i="2"/>
  <c r="D10424" i="2"/>
  <c r="D10425" i="2"/>
  <c r="D10426" i="2"/>
  <c r="D10427" i="2"/>
  <c r="D10428" i="2"/>
  <c r="D10429" i="2"/>
  <c r="D10430" i="2"/>
  <c r="D10431" i="2"/>
  <c r="D10432" i="2"/>
  <c r="D10433" i="2"/>
  <c r="D10434" i="2"/>
  <c r="D10435" i="2"/>
  <c r="D10436" i="2"/>
  <c r="D10437" i="2"/>
  <c r="D10438" i="2"/>
  <c r="D10439" i="2"/>
  <c r="D10440" i="2"/>
  <c r="D10441" i="2"/>
  <c r="D10442" i="2"/>
  <c r="D10443" i="2"/>
  <c r="D10444" i="2"/>
  <c r="D10445" i="2"/>
  <c r="D10446" i="2"/>
  <c r="D10447" i="2"/>
  <c r="D10448" i="2"/>
  <c r="D10449" i="2"/>
  <c r="D10450" i="2"/>
  <c r="D10451" i="2"/>
  <c r="D10452" i="2"/>
  <c r="D10453" i="2"/>
  <c r="D10454" i="2"/>
  <c r="D10455" i="2"/>
  <c r="D10456" i="2"/>
  <c r="D10457" i="2"/>
  <c r="D10458" i="2"/>
  <c r="D10459" i="2"/>
  <c r="D10460" i="2"/>
  <c r="D10461" i="2"/>
  <c r="D10462" i="2"/>
  <c r="D10463" i="2"/>
  <c r="D10464" i="2"/>
  <c r="D10465" i="2"/>
  <c r="D10466" i="2"/>
  <c r="D10467" i="2"/>
  <c r="D10468" i="2"/>
  <c r="D10469" i="2"/>
  <c r="D10470" i="2"/>
  <c r="D10471" i="2"/>
  <c r="D10472" i="2"/>
  <c r="D10473" i="2"/>
  <c r="D10474" i="2"/>
  <c r="D10475" i="2"/>
  <c r="D10476" i="2"/>
  <c r="D10477" i="2"/>
  <c r="D10478" i="2"/>
  <c r="D10479" i="2"/>
  <c r="D10480" i="2"/>
  <c r="D10481" i="2"/>
  <c r="D10482" i="2"/>
  <c r="D10483" i="2"/>
  <c r="D10484" i="2"/>
  <c r="D10485" i="2"/>
  <c r="D10486" i="2"/>
  <c r="D10487" i="2"/>
  <c r="D10488" i="2"/>
  <c r="D10489" i="2"/>
  <c r="D10490" i="2"/>
  <c r="D10491" i="2"/>
  <c r="D10492" i="2"/>
  <c r="D10493" i="2"/>
  <c r="D10494" i="2"/>
  <c r="D10495" i="2"/>
  <c r="D10496" i="2"/>
  <c r="D10497" i="2"/>
  <c r="D10498" i="2"/>
  <c r="D10499" i="2"/>
  <c r="D10500" i="2"/>
  <c r="D10501" i="2"/>
  <c r="D10502" i="2"/>
  <c r="D10503" i="2"/>
  <c r="D10504" i="2"/>
  <c r="D10505" i="2"/>
  <c r="D10506" i="2"/>
  <c r="D10507" i="2"/>
  <c r="D10508" i="2"/>
  <c r="D10509" i="2"/>
  <c r="D10510" i="2"/>
  <c r="D10511" i="2"/>
  <c r="D10512" i="2"/>
  <c r="D10513" i="2"/>
  <c r="D10514" i="2"/>
  <c r="D10515" i="2"/>
  <c r="D10516" i="2"/>
  <c r="D10517" i="2"/>
  <c r="D10518" i="2"/>
  <c r="D10519" i="2"/>
  <c r="D10520" i="2"/>
  <c r="D10521" i="2"/>
  <c r="D10522" i="2"/>
  <c r="D10523" i="2"/>
  <c r="D10524" i="2"/>
  <c r="D10525" i="2"/>
  <c r="D10526" i="2"/>
  <c r="D10527" i="2"/>
  <c r="D10528" i="2"/>
  <c r="D10529" i="2"/>
  <c r="D10530" i="2"/>
  <c r="D10531" i="2"/>
  <c r="D10532" i="2"/>
  <c r="D10533" i="2"/>
  <c r="D10534" i="2"/>
  <c r="D10535" i="2"/>
  <c r="D10536" i="2"/>
  <c r="D10537" i="2"/>
  <c r="D10538" i="2"/>
  <c r="D10539" i="2"/>
  <c r="D10540" i="2"/>
  <c r="D10541" i="2"/>
  <c r="D10542" i="2"/>
  <c r="D10543" i="2"/>
  <c r="D10544" i="2"/>
  <c r="D10545" i="2"/>
  <c r="D10546" i="2"/>
  <c r="D10547" i="2"/>
  <c r="D10548" i="2"/>
  <c r="D10549" i="2"/>
  <c r="D10550" i="2"/>
  <c r="D10551" i="2"/>
  <c r="D10552" i="2"/>
  <c r="D10553" i="2"/>
  <c r="D10554" i="2"/>
  <c r="D10555" i="2"/>
  <c r="D10556" i="2"/>
  <c r="D10557" i="2"/>
  <c r="D10558" i="2"/>
  <c r="D10559" i="2"/>
  <c r="D10560" i="2"/>
  <c r="D10561" i="2"/>
  <c r="D10562" i="2"/>
  <c r="D10563" i="2"/>
  <c r="D10564" i="2"/>
  <c r="D10565" i="2"/>
  <c r="D10566" i="2"/>
  <c r="D10567" i="2"/>
  <c r="D10568" i="2"/>
  <c r="D10569" i="2"/>
  <c r="D10570" i="2"/>
  <c r="D10571" i="2"/>
  <c r="D10572" i="2"/>
  <c r="D10573" i="2"/>
  <c r="D10574" i="2"/>
  <c r="D10575" i="2"/>
  <c r="D10576" i="2"/>
  <c r="D10577" i="2"/>
  <c r="D10578" i="2"/>
  <c r="D10579" i="2"/>
  <c r="D10580" i="2"/>
  <c r="D10581" i="2"/>
  <c r="D10582" i="2"/>
  <c r="D10583" i="2"/>
  <c r="D10584" i="2"/>
  <c r="D10585" i="2"/>
  <c r="D10586" i="2"/>
  <c r="D10587" i="2"/>
  <c r="D10588" i="2"/>
  <c r="D10589" i="2"/>
  <c r="D10590" i="2"/>
  <c r="D10591" i="2"/>
  <c r="D10592" i="2"/>
  <c r="D10593" i="2"/>
  <c r="D10594" i="2"/>
  <c r="D10595" i="2"/>
  <c r="D10596" i="2"/>
  <c r="D10597" i="2"/>
  <c r="D10598" i="2"/>
  <c r="D10599" i="2"/>
  <c r="D10600" i="2"/>
  <c r="D10601" i="2"/>
  <c r="D10602" i="2"/>
  <c r="D10603" i="2"/>
  <c r="D10604" i="2"/>
  <c r="D10605" i="2"/>
  <c r="D10606" i="2"/>
  <c r="D10607" i="2"/>
  <c r="D10608" i="2"/>
  <c r="D10609" i="2"/>
  <c r="D10610" i="2"/>
  <c r="D10611" i="2"/>
  <c r="D10612" i="2"/>
  <c r="D10613" i="2"/>
  <c r="D10614" i="2"/>
  <c r="D10615" i="2"/>
  <c r="D10616" i="2"/>
  <c r="D10617" i="2"/>
  <c r="D10618" i="2"/>
  <c r="D10619" i="2"/>
  <c r="D10620" i="2"/>
  <c r="D10621" i="2"/>
  <c r="D10622" i="2"/>
  <c r="D10623" i="2"/>
  <c r="D10624" i="2"/>
  <c r="D10625" i="2"/>
  <c r="D10626" i="2"/>
  <c r="D10627" i="2"/>
  <c r="D10628" i="2"/>
  <c r="D10629" i="2"/>
  <c r="D10630" i="2"/>
  <c r="D10631" i="2"/>
  <c r="D10632" i="2"/>
  <c r="D10633" i="2"/>
  <c r="D10634" i="2"/>
  <c r="D10635" i="2"/>
  <c r="D10636" i="2"/>
  <c r="D10637" i="2"/>
  <c r="D10638" i="2"/>
  <c r="D10639" i="2"/>
  <c r="D10640" i="2"/>
  <c r="D10641" i="2"/>
  <c r="D10642" i="2"/>
  <c r="D10643" i="2"/>
  <c r="D10644" i="2"/>
  <c r="D10645" i="2"/>
  <c r="D10646" i="2"/>
  <c r="D10647" i="2"/>
  <c r="D10648" i="2"/>
  <c r="D10649" i="2"/>
  <c r="D10650" i="2"/>
  <c r="D10651" i="2"/>
  <c r="D10652" i="2"/>
  <c r="D10653" i="2"/>
  <c r="D10654" i="2"/>
  <c r="D10655" i="2"/>
  <c r="D10656" i="2"/>
  <c r="D10657" i="2"/>
  <c r="D10658" i="2"/>
  <c r="D10659" i="2"/>
  <c r="D10660" i="2"/>
  <c r="D10661" i="2"/>
  <c r="D10662" i="2"/>
  <c r="D10663" i="2"/>
  <c r="D10664" i="2"/>
  <c r="D10665" i="2"/>
  <c r="D10666" i="2"/>
  <c r="D10667" i="2"/>
  <c r="D10668" i="2"/>
  <c r="D10669" i="2"/>
  <c r="D10670" i="2"/>
  <c r="D10671" i="2"/>
  <c r="D10672" i="2"/>
  <c r="D10673" i="2"/>
  <c r="D10674" i="2"/>
  <c r="D10675" i="2"/>
  <c r="D10676" i="2"/>
  <c r="D10677" i="2"/>
  <c r="D10678" i="2"/>
  <c r="D10679" i="2"/>
  <c r="D10680" i="2"/>
  <c r="D10681" i="2"/>
  <c r="D10682" i="2"/>
  <c r="D10683" i="2"/>
  <c r="D10684" i="2"/>
  <c r="D10685" i="2"/>
  <c r="D10686" i="2"/>
  <c r="D10687" i="2"/>
  <c r="D10688" i="2"/>
  <c r="D10689" i="2"/>
  <c r="D10690" i="2"/>
  <c r="D10691" i="2"/>
  <c r="D10692" i="2"/>
  <c r="D10693" i="2"/>
  <c r="D10694" i="2"/>
  <c r="D10695" i="2"/>
  <c r="D10696" i="2"/>
  <c r="D10697" i="2"/>
  <c r="D10698" i="2"/>
  <c r="D10699" i="2"/>
  <c r="D10700" i="2"/>
  <c r="D10701" i="2"/>
  <c r="D10702" i="2"/>
  <c r="D10703" i="2"/>
  <c r="D10704" i="2"/>
  <c r="D10705" i="2"/>
  <c r="D10706" i="2"/>
  <c r="D10707" i="2"/>
  <c r="D10708" i="2"/>
  <c r="D10709" i="2"/>
  <c r="D10710" i="2"/>
  <c r="D10711" i="2"/>
  <c r="D10712" i="2"/>
  <c r="D10713" i="2"/>
  <c r="D10714" i="2"/>
  <c r="D10715" i="2"/>
  <c r="D10716" i="2"/>
  <c r="D10717" i="2"/>
  <c r="D10718" i="2"/>
  <c r="D10719" i="2"/>
  <c r="D10720" i="2"/>
  <c r="D10721" i="2"/>
  <c r="D10722" i="2"/>
  <c r="D10723" i="2"/>
  <c r="D10724" i="2"/>
  <c r="D10725" i="2"/>
  <c r="D10726" i="2"/>
  <c r="D10727" i="2"/>
  <c r="D10728" i="2"/>
  <c r="D10729" i="2"/>
  <c r="D10730" i="2"/>
  <c r="D10731" i="2"/>
  <c r="D10732" i="2"/>
  <c r="D10733" i="2"/>
  <c r="D10734" i="2"/>
  <c r="D10735" i="2"/>
  <c r="D10736" i="2"/>
  <c r="D10737" i="2"/>
  <c r="D10738" i="2"/>
  <c r="D10739" i="2"/>
  <c r="D10740" i="2"/>
  <c r="D10741" i="2"/>
  <c r="D10742" i="2"/>
  <c r="D10743" i="2"/>
  <c r="D10744" i="2"/>
  <c r="D10745" i="2"/>
  <c r="D10746" i="2"/>
  <c r="D10747" i="2"/>
  <c r="D10748" i="2"/>
  <c r="D10749" i="2"/>
  <c r="D10750" i="2"/>
  <c r="D10751" i="2"/>
  <c r="D10752" i="2"/>
  <c r="D10753" i="2"/>
  <c r="D10754" i="2"/>
  <c r="D10755" i="2"/>
  <c r="D10756" i="2"/>
  <c r="D10757" i="2"/>
  <c r="D10758" i="2"/>
  <c r="D10759" i="2"/>
  <c r="D10760" i="2"/>
  <c r="D10761" i="2"/>
  <c r="D10762" i="2"/>
  <c r="D10763" i="2"/>
  <c r="D10764" i="2"/>
  <c r="D10765" i="2"/>
  <c r="D10766" i="2"/>
  <c r="D10767" i="2"/>
  <c r="D10768" i="2"/>
  <c r="D10769" i="2"/>
  <c r="D10770" i="2"/>
  <c r="D10771" i="2"/>
  <c r="D10772" i="2"/>
  <c r="D10773" i="2"/>
  <c r="D10774" i="2"/>
  <c r="D10775" i="2"/>
  <c r="D10776" i="2"/>
  <c r="D10777" i="2"/>
  <c r="D10778" i="2"/>
  <c r="D10779" i="2"/>
  <c r="D10780" i="2"/>
  <c r="D10781" i="2"/>
  <c r="D10782" i="2"/>
  <c r="D10783" i="2"/>
  <c r="D10784" i="2"/>
  <c r="D10785" i="2"/>
  <c r="D10786" i="2"/>
  <c r="D10787" i="2"/>
  <c r="D10788" i="2"/>
  <c r="D10789" i="2"/>
  <c r="D10790" i="2"/>
  <c r="D10791" i="2"/>
  <c r="D10792" i="2"/>
  <c r="D10793" i="2"/>
  <c r="D10794" i="2"/>
  <c r="D10795" i="2"/>
  <c r="D10796" i="2"/>
  <c r="D10797" i="2"/>
  <c r="D10798" i="2"/>
  <c r="D10799" i="2"/>
  <c r="D10800" i="2"/>
  <c r="D10801" i="2"/>
  <c r="D10802" i="2"/>
  <c r="D10803" i="2"/>
  <c r="D10804" i="2"/>
  <c r="D10805" i="2"/>
  <c r="D10806" i="2"/>
  <c r="D10807" i="2"/>
  <c r="D10808" i="2"/>
  <c r="D10809" i="2"/>
  <c r="D10810" i="2"/>
  <c r="D10811" i="2"/>
  <c r="D10812" i="2"/>
  <c r="D10813" i="2"/>
  <c r="D10814" i="2"/>
  <c r="D10815" i="2"/>
  <c r="D10816" i="2"/>
  <c r="D10817" i="2"/>
  <c r="D10818" i="2"/>
  <c r="D10819" i="2"/>
  <c r="D10820" i="2"/>
  <c r="D10821" i="2"/>
  <c r="D10822" i="2"/>
  <c r="D10823" i="2"/>
  <c r="D10824" i="2"/>
  <c r="D10825" i="2"/>
  <c r="D10826" i="2"/>
  <c r="D10827" i="2"/>
  <c r="D10828" i="2"/>
  <c r="D10829" i="2"/>
  <c r="D10830" i="2"/>
  <c r="D10831" i="2"/>
  <c r="D10832" i="2"/>
  <c r="D10833" i="2"/>
  <c r="D10834" i="2"/>
  <c r="D10835" i="2"/>
  <c r="D10836" i="2"/>
  <c r="D10837" i="2"/>
  <c r="D10838" i="2"/>
  <c r="D10839" i="2"/>
  <c r="D10840" i="2"/>
  <c r="D10841" i="2"/>
  <c r="D10842" i="2"/>
  <c r="D10843" i="2"/>
  <c r="D10844" i="2"/>
  <c r="D10845" i="2"/>
  <c r="D10846" i="2"/>
  <c r="D10847" i="2"/>
  <c r="D10848" i="2"/>
  <c r="D10849" i="2"/>
  <c r="D10850" i="2"/>
  <c r="D10851" i="2"/>
  <c r="D10852" i="2"/>
  <c r="D10853" i="2"/>
  <c r="D10854" i="2"/>
  <c r="D10855" i="2"/>
  <c r="D10856" i="2"/>
  <c r="D10857" i="2"/>
  <c r="D10858" i="2"/>
  <c r="D10859" i="2"/>
  <c r="D10860" i="2"/>
  <c r="D10861" i="2"/>
  <c r="D10862" i="2"/>
  <c r="D10863" i="2"/>
  <c r="D10864" i="2"/>
  <c r="D10865" i="2"/>
  <c r="D10866" i="2"/>
  <c r="D10867" i="2"/>
  <c r="D10868" i="2"/>
  <c r="D10869" i="2"/>
  <c r="D10870" i="2"/>
  <c r="D10871" i="2"/>
  <c r="D10872" i="2"/>
  <c r="D10873" i="2"/>
  <c r="D10874" i="2"/>
  <c r="D10875" i="2"/>
  <c r="D10876" i="2"/>
  <c r="D10877" i="2"/>
  <c r="D10878" i="2"/>
  <c r="D10879" i="2"/>
  <c r="D10880" i="2"/>
  <c r="D10881" i="2"/>
  <c r="D10882" i="2"/>
  <c r="D10883" i="2"/>
  <c r="D10884" i="2"/>
  <c r="D10885" i="2"/>
  <c r="D10886" i="2"/>
  <c r="D10887" i="2"/>
  <c r="D10888" i="2"/>
  <c r="D10889" i="2"/>
  <c r="D10890" i="2"/>
  <c r="D10891" i="2"/>
  <c r="D10892" i="2"/>
  <c r="D10893" i="2"/>
  <c r="D10894" i="2"/>
  <c r="D10895" i="2"/>
  <c r="D10896" i="2"/>
  <c r="D10897" i="2"/>
  <c r="D10898" i="2"/>
  <c r="D10899" i="2"/>
  <c r="D10900" i="2"/>
  <c r="D10901" i="2"/>
  <c r="D10902" i="2"/>
  <c r="D10903" i="2"/>
  <c r="D10904" i="2"/>
  <c r="D10905" i="2"/>
  <c r="D10906" i="2"/>
  <c r="D10907" i="2"/>
  <c r="D10908" i="2"/>
  <c r="D10909" i="2"/>
  <c r="D10910" i="2"/>
  <c r="D10911" i="2"/>
  <c r="D10912" i="2"/>
  <c r="D10913" i="2"/>
  <c r="D10914" i="2"/>
  <c r="D10915" i="2"/>
  <c r="D10916" i="2"/>
  <c r="D10917" i="2"/>
  <c r="D10918" i="2"/>
  <c r="D10919" i="2"/>
  <c r="D10920" i="2"/>
  <c r="D10921" i="2"/>
  <c r="D10922" i="2"/>
  <c r="D10923" i="2"/>
  <c r="D10924" i="2"/>
  <c r="D10925" i="2"/>
  <c r="D10926" i="2"/>
  <c r="D10927" i="2"/>
  <c r="D10928" i="2"/>
  <c r="D10929" i="2"/>
  <c r="D10930" i="2"/>
  <c r="D10931" i="2"/>
  <c r="D10932" i="2"/>
  <c r="D10933" i="2"/>
  <c r="D10934" i="2"/>
  <c r="D10935" i="2"/>
  <c r="D10936" i="2"/>
  <c r="D10937" i="2"/>
  <c r="D10938" i="2"/>
  <c r="D10939" i="2"/>
  <c r="D10940" i="2"/>
  <c r="D10941" i="2"/>
  <c r="D10942" i="2"/>
  <c r="D10943" i="2"/>
  <c r="D10944" i="2"/>
  <c r="D10945" i="2"/>
  <c r="D10946" i="2"/>
  <c r="D10947" i="2"/>
  <c r="D10948" i="2"/>
  <c r="D10949" i="2"/>
  <c r="D10950" i="2"/>
  <c r="D10951" i="2"/>
  <c r="D10952" i="2"/>
  <c r="D10953" i="2"/>
  <c r="D10954" i="2"/>
  <c r="D10955" i="2"/>
  <c r="D10956" i="2"/>
  <c r="D10957" i="2"/>
  <c r="D10958" i="2"/>
  <c r="D10959" i="2"/>
  <c r="D10960" i="2"/>
  <c r="D10961" i="2"/>
  <c r="D10962" i="2"/>
  <c r="D10963" i="2"/>
  <c r="D10964" i="2"/>
  <c r="D10965" i="2"/>
  <c r="D10966" i="2"/>
  <c r="D10967" i="2"/>
  <c r="D10968" i="2"/>
  <c r="D10969" i="2"/>
  <c r="D10970" i="2"/>
  <c r="D10971" i="2"/>
  <c r="D10972" i="2"/>
  <c r="D10973" i="2"/>
  <c r="D10974" i="2"/>
  <c r="D10975" i="2"/>
  <c r="D10976" i="2"/>
  <c r="D10977" i="2"/>
  <c r="D10978" i="2"/>
  <c r="D10979" i="2"/>
  <c r="D10980" i="2"/>
  <c r="D10981" i="2"/>
  <c r="D10982" i="2"/>
  <c r="D10983" i="2"/>
  <c r="D10984" i="2"/>
  <c r="D10985" i="2"/>
  <c r="D10986" i="2"/>
  <c r="D10987" i="2"/>
  <c r="D10988" i="2"/>
  <c r="D10989" i="2"/>
  <c r="D10990" i="2"/>
  <c r="D10991" i="2"/>
  <c r="D10992" i="2"/>
  <c r="D10993" i="2"/>
  <c r="D10994" i="2"/>
  <c r="D10995" i="2"/>
  <c r="D10996" i="2"/>
  <c r="D10997" i="2"/>
  <c r="D10998" i="2"/>
  <c r="D10999" i="2"/>
  <c r="D11000" i="2"/>
  <c r="D11001" i="2"/>
  <c r="D11002" i="2"/>
  <c r="D11003" i="2"/>
  <c r="D11004" i="2"/>
  <c r="D11005" i="2"/>
  <c r="D11006" i="2"/>
  <c r="D11007" i="2"/>
  <c r="D11008" i="2"/>
  <c r="D11009" i="2"/>
  <c r="D11010" i="2"/>
  <c r="D11011" i="2"/>
  <c r="D11012" i="2"/>
  <c r="D11013" i="2"/>
  <c r="D11014" i="2"/>
  <c r="D11015" i="2"/>
  <c r="D11016" i="2"/>
  <c r="D11017" i="2"/>
  <c r="D11018" i="2"/>
  <c r="D11019" i="2"/>
  <c r="D11020" i="2"/>
  <c r="D11021" i="2"/>
  <c r="D11022" i="2"/>
  <c r="D11023" i="2"/>
  <c r="D11024" i="2"/>
  <c r="D11025" i="2"/>
  <c r="D11026" i="2"/>
  <c r="D11027" i="2"/>
  <c r="D11028" i="2"/>
  <c r="D11029" i="2"/>
  <c r="D11030" i="2"/>
  <c r="D11031" i="2"/>
  <c r="D11032" i="2"/>
  <c r="D11033" i="2"/>
  <c r="D11034" i="2"/>
  <c r="D11035" i="2"/>
  <c r="D11036" i="2"/>
  <c r="D11037" i="2"/>
  <c r="D11038" i="2"/>
  <c r="D11039" i="2"/>
  <c r="D11040" i="2"/>
  <c r="D11041" i="2"/>
  <c r="D11042" i="2"/>
  <c r="D11043" i="2"/>
  <c r="D11044" i="2"/>
  <c r="D11045" i="2"/>
  <c r="D11046" i="2"/>
  <c r="D11047" i="2"/>
  <c r="D11048" i="2"/>
  <c r="D11049" i="2"/>
  <c r="D11050" i="2"/>
  <c r="D11051" i="2"/>
  <c r="D11052" i="2"/>
  <c r="D11053" i="2"/>
  <c r="D11054" i="2"/>
  <c r="D11055" i="2"/>
  <c r="D11056" i="2"/>
  <c r="D11057" i="2"/>
  <c r="D11058" i="2"/>
  <c r="D11059" i="2"/>
  <c r="D11060" i="2"/>
  <c r="D11061" i="2"/>
  <c r="D11062" i="2"/>
  <c r="D11063" i="2"/>
  <c r="D11064" i="2"/>
  <c r="D11065" i="2"/>
  <c r="D11066" i="2"/>
  <c r="D11067" i="2"/>
  <c r="D11068" i="2"/>
  <c r="D11069" i="2"/>
  <c r="D11070" i="2"/>
  <c r="D11071" i="2"/>
  <c r="D11072" i="2"/>
  <c r="D11073" i="2"/>
  <c r="D11074" i="2"/>
  <c r="D11075" i="2"/>
  <c r="D11076" i="2"/>
  <c r="D11077" i="2"/>
  <c r="D11078" i="2"/>
  <c r="D11079" i="2"/>
  <c r="D11080" i="2"/>
  <c r="D11081" i="2"/>
  <c r="D11082" i="2"/>
  <c r="D11083" i="2"/>
  <c r="D11084" i="2"/>
  <c r="D11085" i="2"/>
  <c r="D11086" i="2"/>
  <c r="D11087" i="2"/>
  <c r="D11088" i="2"/>
  <c r="D11089" i="2"/>
  <c r="D11090" i="2"/>
  <c r="D11091" i="2"/>
  <c r="D11092" i="2"/>
  <c r="D11093" i="2"/>
  <c r="D11094" i="2"/>
  <c r="D11095" i="2"/>
  <c r="D11096" i="2"/>
  <c r="D11097" i="2"/>
  <c r="D11098" i="2"/>
  <c r="D11099" i="2"/>
  <c r="D11100" i="2"/>
  <c r="D11101" i="2"/>
  <c r="D11102" i="2"/>
  <c r="D11103" i="2"/>
  <c r="D11104" i="2"/>
  <c r="D11105" i="2"/>
  <c r="D11106" i="2"/>
  <c r="D11107" i="2"/>
  <c r="D11108" i="2"/>
  <c r="D11109" i="2"/>
  <c r="D11110" i="2"/>
  <c r="D11111" i="2"/>
  <c r="D11112" i="2"/>
  <c r="D11113" i="2"/>
  <c r="D11114" i="2"/>
  <c r="D11115" i="2"/>
  <c r="D11116" i="2"/>
  <c r="D11117" i="2"/>
  <c r="D11118" i="2"/>
  <c r="D11119" i="2"/>
  <c r="D11120" i="2"/>
  <c r="D11121" i="2"/>
  <c r="D11122" i="2"/>
  <c r="D11123" i="2"/>
  <c r="D11124" i="2"/>
  <c r="D11125" i="2"/>
  <c r="D11126" i="2"/>
  <c r="D11127" i="2"/>
  <c r="D11128" i="2"/>
  <c r="D11129" i="2"/>
  <c r="D11130" i="2"/>
  <c r="D11131" i="2"/>
  <c r="D11132" i="2"/>
  <c r="D11133" i="2"/>
  <c r="D11134" i="2"/>
  <c r="D11135" i="2"/>
  <c r="D11136" i="2"/>
  <c r="D11137" i="2"/>
  <c r="D11138" i="2"/>
  <c r="D11139" i="2"/>
  <c r="D11140" i="2"/>
  <c r="D11141" i="2"/>
  <c r="D11142" i="2"/>
  <c r="D11143" i="2"/>
  <c r="D11144" i="2"/>
  <c r="D11145" i="2"/>
  <c r="D11146" i="2"/>
  <c r="D11147" i="2"/>
  <c r="D11148" i="2"/>
  <c r="D11149" i="2"/>
  <c r="D11150" i="2"/>
  <c r="D11151" i="2"/>
  <c r="D11152" i="2"/>
  <c r="D11153" i="2"/>
  <c r="D11154" i="2"/>
  <c r="D11155" i="2"/>
  <c r="D11156" i="2"/>
  <c r="D11157" i="2"/>
  <c r="D11158" i="2"/>
  <c r="D11159" i="2"/>
  <c r="D11160" i="2"/>
  <c r="D11161" i="2"/>
  <c r="D11162" i="2"/>
  <c r="D11163" i="2"/>
  <c r="D11164" i="2"/>
  <c r="D11165" i="2"/>
  <c r="D11166" i="2"/>
  <c r="D11167" i="2"/>
  <c r="D11168" i="2"/>
  <c r="D11169" i="2"/>
  <c r="D11170" i="2"/>
  <c r="D11171" i="2"/>
  <c r="D11172" i="2"/>
  <c r="D11173" i="2"/>
  <c r="D11174" i="2"/>
  <c r="D11175" i="2"/>
  <c r="D11176" i="2"/>
  <c r="D11177" i="2"/>
  <c r="D11178" i="2"/>
  <c r="D11179" i="2"/>
  <c r="D11180" i="2"/>
  <c r="D11181" i="2"/>
  <c r="D11182" i="2"/>
  <c r="D11183" i="2"/>
  <c r="D11184" i="2"/>
  <c r="D11185" i="2"/>
  <c r="D11186" i="2"/>
  <c r="D11187" i="2"/>
  <c r="D11188" i="2"/>
  <c r="D11189" i="2"/>
  <c r="D11190" i="2"/>
  <c r="D11191" i="2"/>
  <c r="D11192" i="2"/>
  <c r="D11193" i="2"/>
  <c r="D11194" i="2"/>
  <c r="D11195" i="2"/>
  <c r="D11196" i="2"/>
  <c r="D11197" i="2"/>
  <c r="D11198" i="2"/>
  <c r="D11199" i="2"/>
  <c r="D11200" i="2"/>
  <c r="D11201" i="2"/>
  <c r="D11202" i="2"/>
  <c r="D11203" i="2"/>
  <c r="D11204" i="2"/>
  <c r="D11205" i="2"/>
  <c r="D11206" i="2"/>
  <c r="D11207" i="2"/>
  <c r="D11208" i="2"/>
  <c r="D11209" i="2"/>
  <c r="D11210" i="2"/>
  <c r="D11211" i="2"/>
  <c r="D11212" i="2"/>
  <c r="D11213" i="2"/>
  <c r="D11214" i="2"/>
  <c r="D11215" i="2"/>
  <c r="D11216" i="2"/>
  <c r="D11217" i="2"/>
  <c r="D11218" i="2"/>
  <c r="D11219" i="2"/>
  <c r="D11220" i="2"/>
  <c r="D11221" i="2"/>
  <c r="D11222" i="2"/>
  <c r="D11223" i="2"/>
  <c r="D11224" i="2"/>
  <c r="D11225" i="2"/>
  <c r="D11226" i="2"/>
  <c r="D11227" i="2"/>
  <c r="D11228" i="2"/>
  <c r="D11229" i="2"/>
  <c r="D11230" i="2"/>
  <c r="D11231" i="2"/>
  <c r="D11232" i="2"/>
  <c r="D11233" i="2"/>
  <c r="D11234" i="2"/>
  <c r="D11235" i="2"/>
  <c r="D11236" i="2"/>
  <c r="D11237" i="2"/>
  <c r="D11238" i="2"/>
  <c r="D11239" i="2"/>
  <c r="D11240" i="2"/>
  <c r="D11241" i="2"/>
  <c r="D11242" i="2"/>
  <c r="D11243" i="2"/>
  <c r="D11244" i="2"/>
  <c r="D11245" i="2"/>
  <c r="D11246" i="2"/>
  <c r="D11247" i="2"/>
  <c r="D11248" i="2"/>
  <c r="D11249" i="2"/>
  <c r="D11250" i="2"/>
  <c r="D11251" i="2"/>
  <c r="D11252" i="2"/>
  <c r="D11253" i="2"/>
  <c r="D11254" i="2"/>
  <c r="D11255" i="2"/>
  <c r="D11256" i="2"/>
  <c r="D11257" i="2"/>
  <c r="D11258" i="2"/>
  <c r="D11259" i="2"/>
  <c r="D11260" i="2"/>
  <c r="D11261" i="2"/>
  <c r="D11262" i="2"/>
  <c r="D11263" i="2"/>
  <c r="D11264" i="2"/>
  <c r="D11265" i="2"/>
  <c r="D11266" i="2"/>
  <c r="D11267" i="2"/>
  <c r="D11268" i="2"/>
  <c r="D11269" i="2"/>
  <c r="D11270" i="2"/>
  <c r="D11271" i="2"/>
  <c r="D11272" i="2"/>
  <c r="D11273" i="2"/>
  <c r="D11274" i="2"/>
  <c r="D11275" i="2"/>
  <c r="D11276" i="2"/>
  <c r="D11277" i="2"/>
  <c r="D11278" i="2"/>
  <c r="D11279" i="2"/>
  <c r="D11280" i="2"/>
  <c r="D11281" i="2"/>
  <c r="D11282" i="2"/>
  <c r="D11283" i="2"/>
  <c r="D11284" i="2"/>
  <c r="D11285" i="2"/>
  <c r="D11286" i="2"/>
  <c r="D11287" i="2"/>
  <c r="D11288" i="2"/>
  <c r="D11289" i="2"/>
  <c r="D11290" i="2"/>
  <c r="D11291" i="2"/>
  <c r="D11292" i="2"/>
  <c r="D11293" i="2"/>
  <c r="D11294" i="2"/>
  <c r="D11295" i="2"/>
  <c r="D11296" i="2"/>
  <c r="D11297" i="2"/>
  <c r="D11298" i="2"/>
  <c r="D11299" i="2"/>
  <c r="D11300" i="2"/>
  <c r="D11301" i="2"/>
  <c r="D11302" i="2"/>
  <c r="D11303" i="2"/>
  <c r="D11304" i="2"/>
  <c r="D11305" i="2"/>
  <c r="D11306" i="2"/>
  <c r="D11307" i="2"/>
  <c r="D11308" i="2"/>
  <c r="D11309" i="2"/>
  <c r="D11310" i="2"/>
  <c r="D11311" i="2"/>
  <c r="D11312" i="2"/>
  <c r="D11313" i="2"/>
  <c r="D11314" i="2"/>
  <c r="D11315" i="2"/>
  <c r="D11316" i="2"/>
  <c r="D11317" i="2"/>
  <c r="D11318" i="2"/>
  <c r="D11319" i="2"/>
  <c r="D11320" i="2"/>
  <c r="D11321" i="2"/>
  <c r="D11322" i="2"/>
  <c r="D11323" i="2"/>
  <c r="D11324" i="2"/>
  <c r="D11325" i="2"/>
  <c r="D11326" i="2"/>
  <c r="D11327" i="2"/>
  <c r="D11328" i="2"/>
  <c r="D11329" i="2"/>
  <c r="D11330" i="2"/>
  <c r="D11331" i="2"/>
  <c r="D11332" i="2"/>
  <c r="D11333" i="2"/>
  <c r="D11334" i="2"/>
  <c r="D11335" i="2"/>
  <c r="D11336" i="2"/>
  <c r="D11337" i="2"/>
  <c r="D11338" i="2"/>
  <c r="D11339" i="2"/>
  <c r="D11340" i="2"/>
  <c r="D11341" i="2"/>
  <c r="D11342" i="2"/>
  <c r="D11343" i="2"/>
  <c r="D11344" i="2"/>
  <c r="D11345" i="2"/>
  <c r="D11346" i="2"/>
  <c r="D11347" i="2"/>
  <c r="D11348" i="2"/>
  <c r="D11349" i="2"/>
  <c r="D11350" i="2"/>
  <c r="D11351" i="2"/>
  <c r="D11352" i="2"/>
  <c r="D11353" i="2"/>
  <c r="D11354" i="2"/>
  <c r="D11355" i="2"/>
  <c r="D11356" i="2"/>
  <c r="D11357" i="2"/>
  <c r="D11358" i="2"/>
  <c r="D11359" i="2"/>
  <c r="D11360" i="2"/>
  <c r="D11361" i="2"/>
  <c r="D11362" i="2"/>
  <c r="D11363" i="2"/>
  <c r="D11364" i="2"/>
  <c r="D11365" i="2"/>
  <c r="D11366" i="2"/>
  <c r="D11367" i="2"/>
  <c r="D11368" i="2"/>
  <c r="D11369" i="2"/>
  <c r="D11370" i="2"/>
  <c r="D11371" i="2"/>
  <c r="D11372" i="2"/>
  <c r="D11373" i="2"/>
  <c r="D11374" i="2"/>
  <c r="D11375" i="2"/>
  <c r="D11376" i="2"/>
  <c r="D11377" i="2"/>
  <c r="D11378" i="2"/>
  <c r="D11379" i="2"/>
  <c r="D11380" i="2"/>
  <c r="D11381" i="2"/>
  <c r="D11382" i="2"/>
  <c r="D11383" i="2"/>
  <c r="D11384" i="2"/>
  <c r="D11385" i="2"/>
  <c r="D11386" i="2"/>
  <c r="D11387" i="2"/>
  <c r="D11388" i="2"/>
  <c r="D11389" i="2"/>
  <c r="D11390" i="2"/>
  <c r="D11391" i="2"/>
  <c r="D11392" i="2"/>
  <c r="D11393" i="2"/>
  <c r="D11394" i="2"/>
  <c r="D11395" i="2"/>
  <c r="D11396" i="2"/>
  <c r="D11397" i="2"/>
  <c r="D11398" i="2"/>
  <c r="D11399" i="2"/>
  <c r="D11400" i="2"/>
  <c r="D11401" i="2"/>
  <c r="D11402" i="2"/>
  <c r="D11403" i="2"/>
  <c r="D11404" i="2"/>
  <c r="D11405" i="2"/>
  <c r="D11406" i="2"/>
  <c r="D11407" i="2"/>
  <c r="D11408" i="2"/>
  <c r="D11409" i="2"/>
  <c r="D11410" i="2"/>
  <c r="D11411" i="2"/>
  <c r="D11412" i="2"/>
  <c r="D11413" i="2"/>
  <c r="D11414" i="2"/>
  <c r="D11415" i="2"/>
  <c r="D11416" i="2"/>
  <c r="D11417" i="2"/>
  <c r="D11418" i="2"/>
  <c r="D11419" i="2"/>
  <c r="D11420" i="2"/>
  <c r="D11421" i="2"/>
  <c r="D11422" i="2"/>
  <c r="D11423" i="2"/>
  <c r="D11424" i="2"/>
  <c r="D11425" i="2"/>
  <c r="D11426" i="2"/>
  <c r="D11427" i="2"/>
  <c r="D11428" i="2"/>
  <c r="D11429" i="2"/>
  <c r="D11430" i="2"/>
  <c r="D11431" i="2"/>
  <c r="D11432" i="2"/>
  <c r="D11433" i="2"/>
  <c r="D11434" i="2"/>
  <c r="D11435" i="2"/>
  <c r="D11436" i="2"/>
  <c r="D11437" i="2"/>
  <c r="D11438" i="2"/>
  <c r="D11439" i="2"/>
  <c r="D11440" i="2"/>
  <c r="D11441" i="2"/>
  <c r="D11442" i="2"/>
  <c r="D11443" i="2"/>
  <c r="D11444" i="2"/>
  <c r="D11445" i="2"/>
  <c r="D11446" i="2"/>
  <c r="D11447" i="2"/>
  <c r="D11448" i="2"/>
  <c r="D11449" i="2"/>
  <c r="D11450" i="2"/>
  <c r="D11451" i="2"/>
  <c r="D11452" i="2"/>
  <c r="D11453" i="2"/>
  <c r="D11454" i="2"/>
  <c r="D11455" i="2"/>
  <c r="D11456" i="2"/>
  <c r="D11457" i="2"/>
  <c r="D11458" i="2"/>
  <c r="D11459" i="2"/>
  <c r="D11460" i="2"/>
  <c r="D11461" i="2"/>
  <c r="D11462" i="2"/>
  <c r="D11463" i="2"/>
  <c r="D11464" i="2"/>
  <c r="D11465" i="2"/>
  <c r="D11466" i="2"/>
  <c r="D11467" i="2"/>
  <c r="D11468" i="2"/>
  <c r="D11469" i="2"/>
  <c r="D11470" i="2"/>
  <c r="D11471" i="2"/>
  <c r="D11472" i="2"/>
  <c r="D11473" i="2"/>
  <c r="D11474" i="2"/>
  <c r="D11475" i="2"/>
  <c r="D11476" i="2"/>
  <c r="D11477" i="2"/>
  <c r="D11478" i="2"/>
  <c r="D11479" i="2"/>
  <c r="D11480" i="2"/>
  <c r="D11481" i="2"/>
  <c r="D11482" i="2"/>
  <c r="D11483" i="2"/>
  <c r="D11484" i="2"/>
  <c r="D11485" i="2"/>
  <c r="D11486" i="2"/>
  <c r="D11487" i="2"/>
  <c r="D11488" i="2"/>
  <c r="D11489" i="2"/>
  <c r="D11490" i="2"/>
  <c r="D11491" i="2"/>
  <c r="D11492" i="2"/>
  <c r="D11493" i="2"/>
  <c r="D11494" i="2"/>
  <c r="D11495" i="2"/>
  <c r="D11496" i="2"/>
  <c r="D11497" i="2"/>
  <c r="D11498" i="2"/>
  <c r="D11499" i="2"/>
  <c r="D11500" i="2"/>
  <c r="D11501" i="2"/>
  <c r="D11502" i="2"/>
  <c r="D11503" i="2"/>
  <c r="D11504" i="2"/>
  <c r="D11505" i="2"/>
  <c r="D11506" i="2"/>
  <c r="D11507" i="2"/>
  <c r="D11508" i="2"/>
  <c r="D11509" i="2"/>
  <c r="D11510" i="2"/>
  <c r="D11511" i="2"/>
  <c r="D11512" i="2"/>
  <c r="D11513" i="2"/>
  <c r="D11514" i="2"/>
  <c r="D11515" i="2"/>
  <c r="D11516" i="2"/>
  <c r="D11517" i="2"/>
  <c r="D11518" i="2"/>
  <c r="D11519" i="2"/>
  <c r="D11520" i="2"/>
  <c r="D11521" i="2"/>
  <c r="D11522" i="2"/>
  <c r="D11523" i="2"/>
  <c r="D11524" i="2"/>
  <c r="D11525" i="2"/>
  <c r="D11526" i="2"/>
  <c r="D11527" i="2"/>
  <c r="D11528" i="2"/>
  <c r="D11529" i="2"/>
  <c r="D11530" i="2"/>
  <c r="D11531" i="2"/>
  <c r="D11532" i="2"/>
  <c r="D11533" i="2"/>
  <c r="D11534" i="2"/>
  <c r="D11535" i="2"/>
  <c r="D11536" i="2"/>
  <c r="D11537" i="2"/>
  <c r="D11538" i="2"/>
  <c r="D11539" i="2"/>
  <c r="D11540" i="2"/>
  <c r="D11541" i="2"/>
  <c r="D11542" i="2"/>
  <c r="D11543" i="2"/>
  <c r="D11544" i="2"/>
  <c r="D11545" i="2"/>
  <c r="D11546" i="2"/>
  <c r="D11547" i="2"/>
  <c r="D11548" i="2"/>
  <c r="D11549" i="2"/>
  <c r="D11550" i="2"/>
  <c r="D11551" i="2"/>
  <c r="D11552" i="2"/>
  <c r="D11553" i="2"/>
  <c r="D11554" i="2"/>
  <c r="D11555" i="2"/>
  <c r="D11556" i="2"/>
  <c r="D11557" i="2"/>
  <c r="D11558" i="2"/>
  <c r="D11559" i="2"/>
  <c r="D11560" i="2"/>
  <c r="D11561" i="2"/>
  <c r="D11562" i="2"/>
  <c r="D11563" i="2"/>
  <c r="D11564" i="2"/>
  <c r="D11565" i="2"/>
  <c r="D11566" i="2"/>
  <c r="D11567" i="2"/>
  <c r="D11568" i="2"/>
  <c r="D11569" i="2"/>
  <c r="D11570" i="2"/>
  <c r="D11571" i="2"/>
  <c r="D11572" i="2"/>
  <c r="D11573" i="2"/>
  <c r="D11574" i="2"/>
  <c r="D11575" i="2"/>
  <c r="D11576" i="2"/>
  <c r="D11577" i="2"/>
  <c r="D11578" i="2"/>
  <c r="D11579" i="2"/>
  <c r="D11580" i="2"/>
  <c r="D11581" i="2"/>
  <c r="D11582" i="2"/>
  <c r="D11583" i="2"/>
  <c r="D11584" i="2"/>
  <c r="D11585" i="2"/>
  <c r="D11586" i="2"/>
  <c r="D11587" i="2"/>
  <c r="D11588" i="2"/>
  <c r="D11589" i="2"/>
  <c r="D11590" i="2"/>
  <c r="D11591" i="2"/>
  <c r="D11592" i="2"/>
  <c r="D11593" i="2"/>
  <c r="D11594" i="2"/>
  <c r="D11595" i="2"/>
  <c r="D11596" i="2"/>
  <c r="D11597" i="2"/>
  <c r="D11598" i="2"/>
  <c r="D11599" i="2"/>
  <c r="D11600" i="2"/>
  <c r="D11601" i="2"/>
  <c r="D11602" i="2"/>
  <c r="D11603" i="2"/>
  <c r="D11604" i="2"/>
  <c r="D11605" i="2"/>
  <c r="D11606" i="2"/>
  <c r="D11607" i="2"/>
  <c r="D11608" i="2"/>
  <c r="D11609" i="2"/>
  <c r="D11610" i="2"/>
  <c r="D11611" i="2"/>
  <c r="D11612" i="2"/>
  <c r="D11613" i="2"/>
  <c r="D11614" i="2"/>
  <c r="D11615" i="2"/>
  <c r="D11616" i="2"/>
  <c r="D11617" i="2"/>
  <c r="D11618" i="2"/>
  <c r="D11619" i="2"/>
  <c r="D11620" i="2"/>
  <c r="D11621" i="2"/>
  <c r="D11622" i="2"/>
  <c r="D11623" i="2"/>
  <c r="D11624" i="2"/>
  <c r="D11625" i="2"/>
  <c r="D11626" i="2"/>
  <c r="D11627" i="2"/>
  <c r="D11628" i="2"/>
  <c r="D11629" i="2"/>
  <c r="D11630" i="2"/>
  <c r="D11631" i="2"/>
  <c r="D11632" i="2"/>
  <c r="D11633" i="2"/>
  <c r="D11634" i="2"/>
  <c r="D11635" i="2"/>
  <c r="D11636" i="2"/>
  <c r="D11637" i="2"/>
  <c r="D11638" i="2"/>
  <c r="D11639" i="2"/>
  <c r="D11640" i="2"/>
  <c r="D11641" i="2"/>
  <c r="D11642" i="2"/>
  <c r="D11643" i="2"/>
  <c r="D11644" i="2"/>
  <c r="D11645" i="2"/>
  <c r="D11646" i="2"/>
  <c r="D11647" i="2"/>
  <c r="D11648" i="2"/>
  <c r="D11649" i="2"/>
  <c r="D11650" i="2"/>
  <c r="D11651" i="2"/>
  <c r="D11652" i="2"/>
  <c r="D11653" i="2"/>
  <c r="D11654" i="2"/>
  <c r="D11655" i="2"/>
  <c r="D11656" i="2"/>
  <c r="D11657" i="2"/>
  <c r="D11658" i="2"/>
  <c r="D11659" i="2"/>
  <c r="D11660" i="2"/>
  <c r="D11661" i="2"/>
  <c r="D11662" i="2"/>
  <c r="D11663" i="2"/>
  <c r="D11664" i="2"/>
  <c r="D11665" i="2"/>
  <c r="D11666" i="2"/>
  <c r="D11667" i="2"/>
  <c r="D11668" i="2"/>
  <c r="D11669" i="2"/>
  <c r="D11670" i="2"/>
  <c r="D11671" i="2"/>
  <c r="D11672" i="2"/>
  <c r="D11673" i="2"/>
  <c r="D11674" i="2"/>
  <c r="D11675" i="2"/>
  <c r="D11676" i="2"/>
  <c r="D11677" i="2"/>
  <c r="D11678" i="2"/>
  <c r="D11679" i="2"/>
  <c r="D11680" i="2"/>
  <c r="D11681" i="2"/>
  <c r="D11682" i="2"/>
  <c r="D11683" i="2"/>
  <c r="D11684" i="2"/>
  <c r="D11685" i="2"/>
  <c r="D11686" i="2"/>
  <c r="D11687" i="2"/>
  <c r="D11688" i="2"/>
  <c r="D11689" i="2"/>
  <c r="D11690" i="2"/>
  <c r="D11691" i="2"/>
  <c r="D11692" i="2"/>
  <c r="D11693" i="2"/>
  <c r="D11694" i="2"/>
  <c r="D11695" i="2"/>
  <c r="D11696" i="2"/>
  <c r="D11697" i="2"/>
  <c r="D11698" i="2"/>
  <c r="D11699" i="2"/>
  <c r="D11700" i="2"/>
  <c r="D11701" i="2"/>
  <c r="D11702" i="2"/>
  <c r="D11703" i="2"/>
  <c r="D11704" i="2"/>
  <c r="D11705" i="2"/>
  <c r="D11706" i="2"/>
  <c r="D11707" i="2"/>
  <c r="D11708" i="2"/>
  <c r="D11709" i="2"/>
  <c r="D11710" i="2"/>
  <c r="D11711" i="2"/>
  <c r="D11712" i="2"/>
  <c r="D11713" i="2"/>
  <c r="D11714" i="2"/>
  <c r="D11715" i="2"/>
  <c r="D11716" i="2"/>
  <c r="D11717" i="2"/>
  <c r="D11718" i="2"/>
  <c r="D11719" i="2"/>
  <c r="D11720" i="2"/>
  <c r="D11721" i="2"/>
  <c r="D11722" i="2"/>
  <c r="D11723" i="2"/>
  <c r="D11724" i="2"/>
  <c r="D11725" i="2"/>
  <c r="D11726" i="2"/>
  <c r="D11727" i="2"/>
  <c r="D11728" i="2"/>
  <c r="D11729" i="2"/>
  <c r="D11730" i="2"/>
  <c r="D11731" i="2"/>
  <c r="D11732" i="2"/>
  <c r="D11733" i="2"/>
  <c r="D11734" i="2"/>
  <c r="D11735" i="2"/>
  <c r="D11736" i="2"/>
  <c r="D11737" i="2"/>
  <c r="D11738" i="2"/>
  <c r="D11739" i="2"/>
  <c r="D11740" i="2"/>
  <c r="D11741" i="2"/>
  <c r="D11742" i="2"/>
  <c r="D11743" i="2"/>
  <c r="D11744" i="2"/>
  <c r="D11745" i="2"/>
  <c r="D11746" i="2"/>
  <c r="D11747" i="2"/>
  <c r="D11748" i="2"/>
  <c r="D11749" i="2"/>
  <c r="D11750" i="2"/>
  <c r="D11751" i="2"/>
  <c r="D11752" i="2"/>
  <c r="D11753" i="2"/>
  <c r="D11754" i="2"/>
  <c r="D11755" i="2"/>
  <c r="D11756" i="2"/>
  <c r="D11757" i="2"/>
  <c r="D11758" i="2"/>
  <c r="D11759" i="2"/>
  <c r="D11760" i="2"/>
  <c r="D11761" i="2"/>
  <c r="D11762" i="2"/>
  <c r="D11763" i="2"/>
  <c r="D11764" i="2"/>
  <c r="D11765" i="2"/>
  <c r="D11766" i="2"/>
  <c r="D11767" i="2"/>
  <c r="D11768" i="2"/>
  <c r="D11769" i="2"/>
  <c r="D11770" i="2"/>
  <c r="D11771" i="2"/>
  <c r="D11772" i="2"/>
  <c r="D11773" i="2"/>
  <c r="D11774" i="2"/>
  <c r="D11775" i="2"/>
  <c r="D11776" i="2"/>
  <c r="D11777" i="2"/>
  <c r="D11778" i="2"/>
  <c r="D11779" i="2"/>
  <c r="D11780" i="2"/>
  <c r="D11781" i="2"/>
  <c r="D11782" i="2"/>
  <c r="D11783" i="2"/>
  <c r="D11784" i="2"/>
  <c r="D11785" i="2"/>
  <c r="D11786" i="2"/>
  <c r="D11787" i="2"/>
  <c r="D11788" i="2"/>
  <c r="D11789" i="2"/>
  <c r="D11790" i="2"/>
  <c r="D11791" i="2"/>
  <c r="D11792" i="2"/>
  <c r="D11793" i="2"/>
  <c r="D11794" i="2"/>
  <c r="D11795" i="2"/>
  <c r="D11796" i="2"/>
  <c r="D11797" i="2"/>
  <c r="D11798" i="2"/>
  <c r="D11799" i="2"/>
  <c r="D11800" i="2"/>
  <c r="D11801" i="2"/>
  <c r="D11802" i="2"/>
  <c r="D11803" i="2"/>
  <c r="D11804" i="2"/>
  <c r="D11805" i="2"/>
  <c r="D11806" i="2"/>
  <c r="D11807" i="2"/>
  <c r="D11808" i="2"/>
  <c r="D11809" i="2"/>
  <c r="D11810" i="2"/>
  <c r="D11811" i="2"/>
  <c r="D11812" i="2"/>
  <c r="D11813" i="2"/>
  <c r="D11814" i="2"/>
  <c r="D11815" i="2"/>
  <c r="D11816" i="2"/>
  <c r="D11817" i="2"/>
  <c r="D11818" i="2"/>
  <c r="D11819" i="2"/>
  <c r="D11820" i="2"/>
  <c r="D11821" i="2"/>
  <c r="D11822" i="2"/>
  <c r="D11823" i="2"/>
  <c r="D11824" i="2"/>
  <c r="D11825" i="2"/>
  <c r="D11826" i="2"/>
  <c r="D11827" i="2"/>
  <c r="D11828" i="2"/>
  <c r="D11829" i="2"/>
  <c r="D11830" i="2"/>
  <c r="D11831" i="2"/>
  <c r="D11832" i="2"/>
  <c r="D11833" i="2"/>
  <c r="D11834" i="2"/>
  <c r="D11835" i="2"/>
  <c r="D11836" i="2"/>
  <c r="D11837" i="2"/>
  <c r="D11838" i="2"/>
  <c r="D11839" i="2"/>
  <c r="D11840" i="2"/>
  <c r="D11841" i="2"/>
  <c r="D11842" i="2"/>
  <c r="D11843" i="2"/>
  <c r="D11844" i="2"/>
  <c r="D11845" i="2"/>
  <c r="D11846" i="2"/>
  <c r="D11847" i="2"/>
  <c r="D11848" i="2"/>
  <c r="D11849" i="2"/>
  <c r="D11850" i="2"/>
  <c r="D11851" i="2"/>
  <c r="D11852" i="2"/>
  <c r="D11853" i="2"/>
  <c r="D11854" i="2"/>
  <c r="D11855" i="2"/>
  <c r="D11856" i="2"/>
  <c r="D11857" i="2"/>
  <c r="D11858" i="2"/>
  <c r="D11859" i="2"/>
  <c r="D11860" i="2"/>
  <c r="D11861" i="2"/>
  <c r="D11862" i="2"/>
  <c r="D11863" i="2"/>
  <c r="D11864" i="2"/>
  <c r="D11865" i="2"/>
  <c r="D11866" i="2"/>
  <c r="D11867" i="2"/>
  <c r="D11868" i="2"/>
  <c r="D11869" i="2"/>
  <c r="D11870" i="2"/>
  <c r="D11871" i="2"/>
  <c r="D11872" i="2"/>
  <c r="D11873" i="2"/>
  <c r="D11874" i="2"/>
  <c r="D11875" i="2"/>
  <c r="D11876" i="2"/>
  <c r="D11877" i="2"/>
  <c r="D11878" i="2"/>
  <c r="D11879" i="2"/>
  <c r="D11880" i="2"/>
  <c r="D11881" i="2"/>
  <c r="D11882" i="2"/>
  <c r="D11883" i="2"/>
  <c r="D11884" i="2"/>
  <c r="D11885" i="2"/>
  <c r="D11886" i="2"/>
  <c r="D11887" i="2"/>
  <c r="D11888" i="2"/>
  <c r="D11889" i="2"/>
  <c r="D11890" i="2"/>
  <c r="D11891" i="2"/>
  <c r="D11892" i="2"/>
  <c r="D11893" i="2"/>
  <c r="D11894" i="2"/>
  <c r="D11895" i="2"/>
  <c r="D11896" i="2"/>
  <c r="D11897" i="2"/>
  <c r="D11898" i="2"/>
  <c r="D11899" i="2"/>
  <c r="D11900" i="2"/>
  <c r="D11901" i="2"/>
  <c r="D11902" i="2"/>
  <c r="D11903" i="2"/>
  <c r="D11904" i="2"/>
  <c r="D11905" i="2"/>
  <c r="D11906" i="2"/>
  <c r="D11907" i="2"/>
  <c r="D11908" i="2"/>
  <c r="D11909" i="2"/>
  <c r="D11910" i="2"/>
  <c r="D11911" i="2"/>
  <c r="D11912" i="2"/>
  <c r="D11913" i="2"/>
  <c r="D11914" i="2"/>
  <c r="D11915" i="2"/>
  <c r="D11916" i="2"/>
  <c r="D11917" i="2"/>
  <c r="D11918" i="2"/>
  <c r="D11919" i="2"/>
  <c r="D11920" i="2"/>
  <c r="D11921" i="2"/>
  <c r="D11922" i="2"/>
  <c r="D11923" i="2"/>
  <c r="D11924" i="2"/>
  <c r="D11925" i="2"/>
  <c r="D11926" i="2"/>
  <c r="D11927" i="2"/>
  <c r="D11928" i="2"/>
  <c r="D11929" i="2"/>
  <c r="D11930" i="2"/>
  <c r="D11931" i="2"/>
  <c r="D11932" i="2"/>
  <c r="D11933" i="2"/>
  <c r="D11934" i="2"/>
  <c r="D11935" i="2"/>
  <c r="D11936" i="2"/>
  <c r="D11937" i="2"/>
  <c r="D11938" i="2"/>
  <c r="D11939" i="2"/>
  <c r="D11940" i="2"/>
  <c r="D11941" i="2"/>
  <c r="D11942" i="2"/>
  <c r="D11943" i="2"/>
  <c r="D11944" i="2"/>
  <c r="D11945" i="2"/>
  <c r="D11946" i="2"/>
  <c r="D11947" i="2"/>
  <c r="D11948" i="2"/>
  <c r="D11949" i="2"/>
  <c r="D11950" i="2"/>
  <c r="D11951" i="2"/>
  <c r="D11952" i="2"/>
  <c r="D11953" i="2"/>
  <c r="D11954" i="2"/>
  <c r="D11955" i="2"/>
  <c r="D11956" i="2"/>
  <c r="D11957" i="2"/>
  <c r="D11958" i="2"/>
  <c r="D11959" i="2"/>
  <c r="D11960" i="2"/>
  <c r="D11961" i="2"/>
  <c r="D11962" i="2"/>
  <c r="D11963" i="2"/>
  <c r="D11964" i="2"/>
  <c r="D11965" i="2"/>
  <c r="D11966" i="2"/>
  <c r="D11967" i="2"/>
  <c r="D11968" i="2"/>
  <c r="D11969" i="2"/>
  <c r="D11970" i="2"/>
  <c r="D11971" i="2"/>
  <c r="D11972" i="2"/>
  <c r="D11973" i="2"/>
  <c r="D11974" i="2"/>
  <c r="D11975" i="2"/>
  <c r="D11976" i="2"/>
  <c r="D11977" i="2"/>
  <c r="D11978" i="2"/>
  <c r="D11979" i="2"/>
  <c r="D11980" i="2"/>
  <c r="D11981" i="2"/>
  <c r="D11982" i="2"/>
  <c r="D11983" i="2"/>
  <c r="D11984" i="2"/>
  <c r="D11985" i="2"/>
  <c r="D11986" i="2"/>
  <c r="D11987" i="2"/>
  <c r="D11988" i="2"/>
  <c r="D11989" i="2"/>
  <c r="D11990" i="2"/>
  <c r="D11991" i="2"/>
  <c r="D11992" i="2"/>
  <c r="D11993" i="2"/>
  <c r="D11994" i="2"/>
  <c r="D11995" i="2"/>
  <c r="D11996" i="2"/>
  <c r="D11997" i="2"/>
  <c r="D11998" i="2"/>
  <c r="D11999" i="2"/>
  <c r="D12000" i="2"/>
  <c r="D12001" i="2"/>
  <c r="D12002" i="2"/>
  <c r="D12003" i="2"/>
  <c r="D12004" i="2"/>
  <c r="D12005" i="2"/>
  <c r="D12006" i="2"/>
  <c r="D12007" i="2"/>
  <c r="D12008" i="2"/>
  <c r="D12009" i="2"/>
  <c r="D12010" i="2"/>
  <c r="D12011" i="2"/>
  <c r="D12012" i="2"/>
  <c r="D12013" i="2"/>
  <c r="D12014" i="2"/>
  <c r="D12015" i="2"/>
  <c r="D12016" i="2"/>
  <c r="D12017" i="2"/>
  <c r="D12018" i="2"/>
  <c r="D12019" i="2"/>
  <c r="D12020" i="2"/>
  <c r="D12021" i="2"/>
  <c r="D12022" i="2"/>
  <c r="D12023" i="2"/>
  <c r="D12024" i="2"/>
  <c r="D12025" i="2"/>
  <c r="D12026" i="2"/>
  <c r="D12027" i="2"/>
  <c r="D12028" i="2"/>
  <c r="D12029" i="2"/>
  <c r="D12030" i="2"/>
  <c r="D12031" i="2"/>
  <c r="D12032" i="2"/>
  <c r="D12033" i="2"/>
  <c r="D12034" i="2"/>
  <c r="D12035" i="2"/>
  <c r="D12036" i="2"/>
  <c r="D12037" i="2"/>
  <c r="D12038" i="2"/>
  <c r="D12039" i="2"/>
  <c r="D12040" i="2"/>
  <c r="D12041" i="2"/>
  <c r="D12042" i="2"/>
  <c r="D12043" i="2"/>
  <c r="D12044" i="2"/>
  <c r="D12045" i="2"/>
  <c r="D12046" i="2"/>
  <c r="D12047" i="2"/>
  <c r="D12048" i="2"/>
  <c r="D12049" i="2"/>
  <c r="D12050" i="2"/>
  <c r="D12051" i="2"/>
  <c r="D12052" i="2"/>
  <c r="D12053" i="2"/>
  <c r="D12054" i="2"/>
  <c r="D12055" i="2"/>
  <c r="D12056" i="2"/>
  <c r="D12057" i="2"/>
  <c r="D12058" i="2"/>
  <c r="D12059" i="2"/>
  <c r="D12060" i="2"/>
  <c r="D12061" i="2"/>
  <c r="D12062" i="2"/>
  <c r="D12063" i="2"/>
  <c r="D12064" i="2"/>
  <c r="D12065" i="2"/>
  <c r="D12066" i="2"/>
  <c r="D12067" i="2"/>
  <c r="D12068" i="2"/>
  <c r="D12069" i="2"/>
  <c r="D12070" i="2"/>
  <c r="D12071" i="2"/>
  <c r="D12072" i="2"/>
  <c r="D12073" i="2"/>
  <c r="D12074" i="2"/>
  <c r="D12075" i="2"/>
  <c r="D12076" i="2"/>
  <c r="D12077" i="2"/>
  <c r="D12078" i="2"/>
  <c r="D12079" i="2"/>
  <c r="D12080" i="2"/>
  <c r="D12081" i="2"/>
  <c r="D12082" i="2"/>
  <c r="D12083" i="2"/>
  <c r="D12084" i="2"/>
  <c r="D12085" i="2"/>
  <c r="D12086" i="2"/>
  <c r="D12087" i="2"/>
  <c r="D12088" i="2"/>
  <c r="D12089" i="2"/>
  <c r="D12090" i="2"/>
  <c r="D12091" i="2"/>
  <c r="D12092" i="2"/>
  <c r="D12093" i="2"/>
  <c r="D12094" i="2"/>
  <c r="D12095" i="2"/>
  <c r="D12096" i="2"/>
  <c r="D12097" i="2"/>
  <c r="D12098" i="2"/>
  <c r="D12099" i="2"/>
  <c r="D12100" i="2"/>
  <c r="D12101" i="2"/>
  <c r="D12102" i="2"/>
  <c r="D12103" i="2"/>
  <c r="D12104" i="2"/>
  <c r="D12105" i="2"/>
  <c r="D12106" i="2"/>
  <c r="D12107" i="2"/>
  <c r="D12108" i="2"/>
  <c r="D12109" i="2"/>
  <c r="D12110" i="2"/>
  <c r="D12111" i="2"/>
  <c r="D12112" i="2"/>
  <c r="D12113" i="2"/>
  <c r="D12114" i="2"/>
  <c r="D12115" i="2"/>
  <c r="D12116" i="2"/>
  <c r="D12117" i="2"/>
  <c r="D12118" i="2"/>
  <c r="D12119" i="2"/>
  <c r="D12120" i="2"/>
  <c r="D12121" i="2"/>
  <c r="D12122" i="2"/>
  <c r="D12123" i="2"/>
  <c r="D12124" i="2"/>
  <c r="D12125" i="2"/>
  <c r="D12126" i="2"/>
  <c r="D12127" i="2"/>
  <c r="D12128" i="2"/>
  <c r="D12129" i="2"/>
  <c r="D12130" i="2"/>
  <c r="D12131" i="2"/>
  <c r="D12132" i="2"/>
  <c r="D12133" i="2"/>
  <c r="D12134" i="2"/>
  <c r="D12135" i="2"/>
  <c r="D12136" i="2"/>
  <c r="D12137" i="2"/>
  <c r="D12138" i="2"/>
  <c r="D12139" i="2"/>
  <c r="D12140" i="2"/>
  <c r="D12141" i="2"/>
  <c r="D12142" i="2"/>
  <c r="D12143" i="2"/>
  <c r="D12144" i="2"/>
  <c r="D12145" i="2"/>
  <c r="D12146" i="2"/>
  <c r="D12147" i="2"/>
  <c r="D12148" i="2"/>
  <c r="D12149" i="2"/>
  <c r="D12150" i="2"/>
  <c r="D12151" i="2"/>
  <c r="D12152" i="2"/>
  <c r="D12153" i="2"/>
  <c r="D12154" i="2"/>
  <c r="D12155" i="2"/>
  <c r="D12156" i="2"/>
  <c r="D12157" i="2"/>
  <c r="D12158" i="2"/>
  <c r="D12159" i="2"/>
  <c r="D12160" i="2"/>
  <c r="D12161" i="2"/>
  <c r="D12162" i="2"/>
  <c r="D12163" i="2"/>
  <c r="D12164" i="2"/>
  <c r="D12165" i="2"/>
  <c r="D12166" i="2"/>
  <c r="D12167" i="2"/>
  <c r="D12168" i="2"/>
  <c r="D12169" i="2"/>
  <c r="D12170" i="2"/>
  <c r="D12171" i="2"/>
  <c r="D12172" i="2"/>
  <c r="D12173" i="2"/>
  <c r="D12174" i="2"/>
  <c r="D12175" i="2"/>
  <c r="D12176" i="2"/>
  <c r="D12177" i="2"/>
  <c r="D12178" i="2"/>
  <c r="D12179" i="2"/>
  <c r="D12180" i="2"/>
  <c r="D12181" i="2"/>
  <c r="D12182" i="2"/>
  <c r="D12183" i="2"/>
  <c r="D12184" i="2"/>
  <c r="D12185" i="2"/>
  <c r="D12186" i="2"/>
  <c r="D12187" i="2"/>
  <c r="D12188" i="2"/>
  <c r="D12189" i="2"/>
  <c r="D12190" i="2"/>
  <c r="D12191" i="2"/>
  <c r="D12192" i="2"/>
  <c r="D12193" i="2"/>
  <c r="D12194" i="2"/>
  <c r="D12195" i="2"/>
  <c r="D12196" i="2"/>
  <c r="D12197" i="2"/>
  <c r="D12198" i="2"/>
  <c r="D12199" i="2"/>
  <c r="D12200" i="2"/>
  <c r="D12201" i="2"/>
  <c r="D12202" i="2"/>
  <c r="D12203" i="2"/>
  <c r="D12204" i="2"/>
  <c r="D12205" i="2"/>
  <c r="D12206" i="2"/>
  <c r="D12207" i="2"/>
  <c r="D12208" i="2"/>
  <c r="D12209" i="2"/>
  <c r="D12210" i="2"/>
  <c r="D12211" i="2"/>
  <c r="D12212" i="2"/>
  <c r="D12213" i="2"/>
  <c r="D12214" i="2"/>
  <c r="D12215" i="2"/>
  <c r="D12216" i="2"/>
  <c r="D12217" i="2"/>
  <c r="D12218" i="2"/>
  <c r="D12219" i="2"/>
  <c r="D12220" i="2"/>
  <c r="D12221" i="2"/>
  <c r="D12222" i="2"/>
  <c r="D12223" i="2"/>
  <c r="D12224" i="2"/>
  <c r="D12225" i="2"/>
  <c r="D12226" i="2"/>
  <c r="D12227" i="2"/>
  <c r="D12228" i="2"/>
  <c r="D12229" i="2"/>
  <c r="D12230" i="2"/>
  <c r="D12231" i="2"/>
  <c r="D12232" i="2"/>
  <c r="D12233" i="2"/>
  <c r="D12234" i="2"/>
  <c r="D12235" i="2"/>
  <c r="D12236" i="2"/>
  <c r="D12237" i="2"/>
  <c r="D12238" i="2"/>
  <c r="D12239" i="2"/>
  <c r="D12240" i="2"/>
  <c r="D12241" i="2"/>
  <c r="D12242" i="2"/>
  <c r="D12243" i="2"/>
  <c r="D12244" i="2"/>
  <c r="D12245" i="2"/>
  <c r="D12246" i="2"/>
  <c r="D12247" i="2"/>
  <c r="D12248" i="2"/>
  <c r="D12249" i="2"/>
  <c r="D12250" i="2"/>
  <c r="D12251" i="2"/>
  <c r="D12252" i="2"/>
  <c r="D12253" i="2"/>
  <c r="D12254" i="2"/>
  <c r="D12255" i="2"/>
  <c r="D12256" i="2"/>
  <c r="D12257" i="2"/>
  <c r="D12258" i="2"/>
  <c r="D12259" i="2"/>
  <c r="D12260" i="2"/>
  <c r="D12261" i="2"/>
  <c r="D12262" i="2"/>
  <c r="D12263" i="2"/>
  <c r="D12264" i="2"/>
  <c r="D12265" i="2"/>
  <c r="D12266" i="2"/>
  <c r="D12267" i="2"/>
  <c r="D12268" i="2"/>
  <c r="D12269" i="2"/>
  <c r="D12270" i="2"/>
  <c r="D12271" i="2"/>
  <c r="D12272" i="2"/>
  <c r="D12273" i="2"/>
  <c r="D12274" i="2"/>
  <c r="D12275" i="2"/>
  <c r="D12276" i="2"/>
  <c r="D12277" i="2"/>
  <c r="D12278" i="2"/>
  <c r="D12279" i="2"/>
  <c r="D12280" i="2"/>
  <c r="D12281" i="2"/>
  <c r="D12282" i="2"/>
  <c r="D12283" i="2"/>
  <c r="D12284" i="2"/>
  <c r="D12285" i="2"/>
  <c r="D12286" i="2"/>
  <c r="D12287" i="2"/>
  <c r="D12288" i="2"/>
  <c r="D12289" i="2"/>
  <c r="D12290" i="2"/>
  <c r="D12291" i="2"/>
  <c r="D12292" i="2"/>
  <c r="D12293" i="2"/>
  <c r="D12294" i="2"/>
  <c r="D12295" i="2"/>
  <c r="D12296" i="2"/>
  <c r="D12297" i="2"/>
  <c r="D12298" i="2"/>
  <c r="D12299" i="2"/>
  <c r="D12300" i="2"/>
  <c r="D12301" i="2"/>
  <c r="D12302" i="2"/>
  <c r="D12303" i="2"/>
  <c r="D12304" i="2"/>
  <c r="D12305" i="2"/>
  <c r="D12306" i="2"/>
  <c r="D12307" i="2"/>
  <c r="D12308" i="2"/>
  <c r="D12309" i="2"/>
  <c r="D12310" i="2"/>
  <c r="D12311" i="2"/>
  <c r="D12312" i="2"/>
  <c r="D12313" i="2"/>
  <c r="D12314" i="2"/>
  <c r="D12315" i="2"/>
  <c r="D12316" i="2"/>
  <c r="D12317" i="2"/>
  <c r="D12318" i="2"/>
  <c r="D12319" i="2"/>
  <c r="D12320" i="2"/>
  <c r="D12321" i="2"/>
  <c r="D12322" i="2"/>
  <c r="D12323" i="2"/>
  <c r="D12324" i="2"/>
  <c r="D12325" i="2"/>
  <c r="D12326" i="2"/>
  <c r="D12327" i="2"/>
  <c r="D12328" i="2"/>
  <c r="D12329" i="2"/>
  <c r="D12330" i="2"/>
  <c r="D12331" i="2"/>
  <c r="D12332" i="2"/>
  <c r="D12333" i="2"/>
  <c r="D12334" i="2"/>
  <c r="D12335" i="2"/>
  <c r="D12336" i="2"/>
  <c r="D12337" i="2"/>
  <c r="D12338" i="2"/>
  <c r="D12339" i="2"/>
  <c r="D12340" i="2"/>
  <c r="D12341" i="2"/>
  <c r="D12342" i="2"/>
  <c r="D12343" i="2"/>
  <c r="D12344" i="2"/>
  <c r="D12345" i="2"/>
  <c r="D12346" i="2"/>
  <c r="D12347" i="2"/>
  <c r="D12348" i="2"/>
  <c r="D12349" i="2"/>
  <c r="D12350" i="2"/>
  <c r="D12351" i="2"/>
  <c r="D12352" i="2"/>
  <c r="D12353" i="2"/>
  <c r="D12354" i="2"/>
  <c r="D12355" i="2"/>
  <c r="D12356" i="2"/>
  <c r="D12357" i="2"/>
  <c r="D12358" i="2"/>
  <c r="D12359" i="2"/>
  <c r="D12360" i="2"/>
  <c r="D12361" i="2"/>
  <c r="D12362" i="2"/>
  <c r="D12363" i="2"/>
  <c r="D12364" i="2"/>
  <c r="D12365" i="2"/>
  <c r="D12366" i="2"/>
  <c r="D12367" i="2"/>
  <c r="D12368" i="2"/>
  <c r="D12369" i="2"/>
  <c r="D12370" i="2"/>
  <c r="D12371" i="2"/>
  <c r="D12372" i="2"/>
  <c r="D12373" i="2"/>
  <c r="D12374" i="2"/>
  <c r="D12375" i="2"/>
  <c r="D12376" i="2"/>
  <c r="D12377" i="2"/>
  <c r="D12378" i="2"/>
  <c r="D12379" i="2"/>
  <c r="D12380" i="2"/>
  <c r="D12381" i="2"/>
  <c r="D12382" i="2"/>
  <c r="D12383" i="2"/>
  <c r="D12384" i="2"/>
  <c r="D12385" i="2"/>
  <c r="D12386" i="2"/>
  <c r="D12387" i="2"/>
  <c r="D12388" i="2"/>
  <c r="D12389" i="2"/>
  <c r="D12390" i="2"/>
  <c r="D12391" i="2"/>
  <c r="D12392" i="2"/>
  <c r="D12393" i="2"/>
  <c r="D12394" i="2"/>
  <c r="D12395" i="2"/>
  <c r="D12396" i="2"/>
  <c r="D12397" i="2"/>
  <c r="D12398" i="2"/>
  <c r="D12399" i="2"/>
  <c r="D12400" i="2"/>
  <c r="D12401" i="2"/>
  <c r="D12402" i="2"/>
  <c r="D12403" i="2"/>
  <c r="D12404" i="2"/>
  <c r="D12405" i="2"/>
  <c r="D12406" i="2"/>
  <c r="D12407" i="2"/>
  <c r="D12408" i="2"/>
  <c r="D12409" i="2"/>
  <c r="D12410" i="2"/>
  <c r="D12411" i="2"/>
  <c r="D12412" i="2"/>
  <c r="D12413" i="2"/>
  <c r="D12414" i="2"/>
  <c r="D12415" i="2"/>
  <c r="D12416" i="2"/>
  <c r="D12417" i="2"/>
  <c r="D12418" i="2"/>
  <c r="D12419" i="2"/>
  <c r="D12420" i="2"/>
  <c r="D12421" i="2"/>
  <c r="D12422" i="2"/>
  <c r="D12423" i="2"/>
  <c r="D12424" i="2"/>
  <c r="D12425" i="2"/>
  <c r="D12426" i="2"/>
  <c r="D12427" i="2"/>
  <c r="D12428" i="2"/>
  <c r="D12429" i="2"/>
  <c r="D12430" i="2"/>
  <c r="D12431" i="2"/>
  <c r="D12432" i="2"/>
  <c r="D12433" i="2"/>
  <c r="D12434" i="2"/>
  <c r="D12435" i="2"/>
  <c r="D12436" i="2"/>
  <c r="D12437" i="2"/>
  <c r="D12438" i="2"/>
  <c r="D12439" i="2"/>
  <c r="D12440" i="2"/>
  <c r="D12441" i="2"/>
  <c r="D12442" i="2"/>
  <c r="D12443" i="2"/>
  <c r="D12444" i="2"/>
  <c r="D12445" i="2"/>
  <c r="D12446" i="2"/>
  <c r="D12447" i="2"/>
  <c r="D12448" i="2"/>
  <c r="D12449" i="2"/>
  <c r="D12450" i="2"/>
  <c r="D12451" i="2"/>
  <c r="D12452" i="2"/>
  <c r="D12453" i="2"/>
  <c r="D12454" i="2"/>
  <c r="D12455" i="2"/>
  <c r="D12456" i="2"/>
  <c r="D12457" i="2"/>
  <c r="D12458" i="2"/>
  <c r="D12459" i="2"/>
  <c r="D12460" i="2"/>
  <c r="D12461" i="2"/>
  <c r="D12462" i="2"/>
  <c r="D12463" i="2"/>
  <c r="D12464" i="2"/>
  <c r="D12465" i="2"/>
  <c r="D12466" i="2"/>
  <c r="D12467" i="2"/>
  <c r="D12468" i="2"/>
  <c r="D12469" i="2"/>
  <c r="D12470" i="2"/>
  <c r="D12471" i="2"/>
  <c r="D12472" i="2"/>
  <c r="D12473" i="2"/>
  <c r="D12474" i="2"/>
  <c r="D12475" i="2"/>
  <c r="D12476" i="2"/>
  <c r="D12477" i="2"/>
  <c r="D12478" i="2"/>
  <c r="D12479" i="2"/>
  <c r="D12480" i="2"/>
  <c r="D12481" i="2"/>
  <c r="D12482" i="2"/>
  <c r="D12483" i="2"/>
  <c r="D12484" i="2"/>
  <c r="D12485" i="2"/>
  <c r="D12486" i="2"/>
  <c r="D12487" i="2"/>
  <c r="D12488" i="2"/>
  <c r="D12489" i="2"/>
  <c r="D12490" i="2"/>
  <c r="D12491" i="2"/>
  <c r="D12492" i="2"/>
  <c r="D12493" i="2"/>
  <c r="D12494" i="2"/>
  <c r="D12495" i="2"/>
  <c r="D12496" i="2"/>
  <c r="D12497" i="2"/>
  <c r="D12498" i="2"/>
  <c r="D12499" i="2"/>
  <c r="D12500" i="2"/>
  <c r="D12501" i="2"/>
  <c r="D12502" i="2"/>
  <c r="D12503" i="2"/>
  <c r="D12504" i="2"/>
  <c r="D12505" i="2"/>
  <c r="D12506" i="2"/>
  <c r="D12507" i="2"/>
  <c r="D12508" i="2"/>
  <c r="D12509" i="2"/>
  <c r="D12510" i="2"/>
  <c r="D12511" i="2"/>
  <c r="D12512" i="2"/>
  <c r="D12513" i="2"/>
  <c r="D12514" i="2"/>
  <c r="D12515" i="2"/>
  <c r="D12516" i="2"/>
  <c r="D12517" i="2"/>
  <c r="D12518" i="2"/>
  <c r="D12519" i="2"/>
  <c r="D12520" i="2"/>
  <c r="D12521" i="2"/>
  <c r="D12522" i="2"/>
  <c r="D12523" i="2"/>
  <c r="D12524" i="2"/>
  <c r="D12525" i="2"/>
  <c r="D12526" i="2"/>
  <c r="D12527" i="2"/>
  <c r="D12528" i="2"/>
  <c r="D12529" i="2"/>
  <c r="D12530" i="2"/>
  <c r="D12531" i="2"/>
  <c r="D12532" i="2"/>
  <c r="D12533" i="2"/>
  <c r="D12534" i="2"/>
  <c r="D12535" i="2"/>
  <c r="D12536" i="2"/>
  <c r="D12537" i="2"/>
  <c r="D12538" i="2"/>
  <c r="D12539" i="2"/>
  <c r="D12540" i="2"/>
  <c r="D12541" i="2"/>
  <c r="D12542" i="2"/>
  <c r="D12543" i="2"/>
  <c r="D12544" i="2"/>
  <c r="D12545" i="2"/>
  <c r="D12546" i="2"/>
  <c r="D12547" i="2"/>
  <c r="D12548" i="2"/>
  <c r="D12549" i="2"/>
  <c r="D12550" i="2"/>
  <c r="D12551" i="2"/>
  <c r="D12552" i="2"/>
  <c r="D12553" i="2"/>
  <c r="D12554" i="2"/>
  <c r="D12555" i="2"/>
  <c r="D12556" i="2"/>
  <c r="D12557" i="2"/>
  <c r="D12558" i="2"/>
  <c r="D12559" i="2"/>
  <c r="D12560" i="2"/>
  <c r="D12561" i="2"/>
  <c r="D12562" i="2"/>
  <c r="D12563" i="2"/>
  <c r="D12564" i="2"/>
  <c r="D12565" i="2"/>
  <c r="D12566" i="2"/>
  <c r="D12567" i="2"/>
  <c r="D12568" i="2"/>
  <c r="D12569" i="2"/>
  <c r="D12570" i="2"/>
  <c r="D12571" i="2"/>
  <c r="D12572" i="2"/>
  <c r="D12573" i="2"/>
  <c r="D12574" i="2"/>
  <c r="D12575" i="2"/>
  <c r="D12576" i="2"/>
  <c r="D12577" i="2"/>
  <c r="D12578" i="2"/>
  <c r="D12579" i="2"/>
  <c r="D12580" i="2"/>
  <c r="D12581" i="2"/>
  <c r="D12582" i="2"/>
  <c r="D12583" i="2"/>
  <c r="D12584" i="2"/>
  <c r="D12585" i="2"/>
  <c r="D12586" i="2"/>
  <c r="D12587" i="2"/>
  <c r="D12588" i="2"/>
  <c r="D12589" i="2"/>
  <c r="D12590" i="2"/>
  <c r="D12591" i="2"/>
  <c r="D12592" i="2"/>
  <c r="D12593" i="2"/>
  <c r="D12594" i="2"/>
  <c r="D12595" i="2"/>
  <c r="D12596" i="2"/>
  <c r="D12597" i="2"/>
  <c r="D12598" i="2"/>
  <c r="D12599" i="2"/>
  <c r="D12600" i="2"/>
  <c r="D12601" i="2"/>
  <c r="D12602" i="2"/>
  <c r="D12603" i="2"/>
  <c r="D12604" i="2"/>
  <c r="D12605" i="2"/>
  <c r="D12606" i="2"/>
  <c r="D12607" i="2"/>
  <c r="D12608" i="2"/>
  <c r="D12609" i="2"/>
  <c r="D12610" i="2"/>
  <c r="D12611" i="2"/>
  <c r="D12612" i="2"/>
  <c r="D12613" i="2"/>
  <c r="D12614" i="2"/>
  <c r="D12615" i="2"/>
  <c r="D12616" i="2"/>
  <c r="D12617" i="2"/>
  <c r="D12618" i="2"/>
  <c r="D12619" i="2"/>
  <c r="D12620" i="2"/>
  <c r="D12621" i="2"/>
  <c r="D12622" i="2"/>
  <c r="D12623" i="2"/>
  <c r="D12624" i="2"/>
  <c r="D12625" i="2"/>
  <c r="D12626" i="2"/>
  <c r="D12627" i="2"/>
  <c r="D12628" i="2"/>
  <c r="D12629" i="2"/>
  <c r="D12630" i="2"/>
  <c r="D12631" i="2"/>
  <c r="D12632" i="2"/>
  <c r="D12633" i="2"/>
  <c r="D12634" i="2"/>
  <c r="D12635" i="2"/>
  <c r="D12636" i="2"/>
  <c r="D12637" i="2"/>
  <c r="D12638" i="2"/>
  <c r="D12639" i="2"/>
  <c r="D12640" i="2"/>
  <c r="D12641" i="2"/>
  <c r="D12642" i="2"/>
  <c r="D12643" i="2"/>
  <c r="D12644" i="2"/>
  <c r="D12645" i="2"/>
  <c r="D12646" i="2"/>
  <c r="D12647" i="2"/>
  <c r="D12648" i="2"/>
  <c r="D12649" i="2"/>
  <c r="D12650" i="2"/>
  <c r="D12651" i="2"/>
  <c r="D12652" i="2"/>
  <c r="D12653" i="2"/>
  <c r="D12654" i="2"/>
  <c r="D12655" i="2"/>
  <c r="D12656" i="2"/>
  <c r="D12657" i="2"/>
  <c r="D12658" i="2"/>
  <c r="D12659" i="2"/>
  <c r="D12660" i="2"/>
  <c r="D12661" i="2"/>
  <c r="D12662" i="2"/>
  <c r="D12663" i="2"/>
  <c r="D12664" i="2"/>
  <c r="D12665" i="2"/>
  <c r="D12666" i="2"/>
  <c r="D12667" i="2"/>
  <c r="D12668" i="2"/>
  <c r="D12669" i="2"/>
  <c r="D12670" i="2"/>
  <c r="D12671" i="2"/>
  <c r="D12672" i="2"/>
  <c r="D12673" i="2"/>
  <c r="D12674" i="2"/>
  <c r="D12675" i="2"/>
  <c r="D12676" i="2"/>
  <c r="D12677" i="2"/>
  <c r="D12678" i="2"/>
  <c r="D12679" i="2"/>
  <c r="D12680" i="2"/>
  <c r="D12681" i="2"/>
  <c r="D12682" i="2"/>
  <c r="D12683" i="2"/>
  <c r="D12684" i="2"/>
  <c r="D12685" i="2"/>
  <c r="D12686" i="2"/>
  <c r="D12687" i="2"/>
  <c r="D12688" i="2"/>
  <c r="D12689" i="2"/>
  <c r="D12690" i="2"/>
  <c r="D12691" i="2"/>
  <c r="D12692" i="2"/>
  <c r="D12693" i="2"/>
  <c r="D12694" i="2"/>
  <c r="D12695" i="2"/>
  <c r="D12696" i="2"/>
  <c r="D12697" i="2"/>
  <c r="D12698" i="2"/>
  <c r="D12699" i="2"/>
  <c r="D12700" i="2"/>
  <c r="D12701" i="2"/>
  <c r="D12702" i="2"/>
  <c r="D12703" i="2"/>
  <c r="D12704" i="2"/>
  <c r="D12705" i="2"/>
  <c r="D12706" i="2"/>
  <c r="D12707" i="2"/>
  <c r="D12708" i="2"/>
  <c r="D12709" i="2"/>
  <c r="D12710" i="2"/>
  <c r="D12711" i="2"/>
  <c r="D12712" i="2"/>
  <c r="D12713" i="2"/>
  <c r="D12714" i="2"/>
  <c r="D12715" i="2"/>
  <c r="D12716" i="2"/>
  <c r="D12717" i="2"/>
  <c r="D12718" i="2"/>
  <c r="D12719" i="2"/>
  <c r="D12720" i="2"/>
  <c r="D12721" i="2"/>
  <c r="D12722" i="2"/>
  <c r="D12723" i="2"/>
  <c r="D12724" i="2"/>
  <c r="D12725" i="2"/>
  <c r="D12726" i="2"/>
  <c r="D12727" i="2"/>
  <c r="D12728" i="2"/>
  <c r="D12729" i="2"/>
  <c r="D12730" i="2"/>
  <c r="D12731" i="2"/>
  <c r="D12732" i="2"/>
  <c r="D12733" i="2"/>
  <c r="D12734" i="2"/>
  <c r="D12735" i="2"/>
  <c r="D12736" i="2"/>
  <c r="D12737" i="2"/>
  <c r="D12738" i="2"/>
  <c r="D12739" i="2"/>
  <c r="D12740" i="2"/>
  <c r="D12741" i="2"/>
  <c r="D12742" i="2"/>
  <c r="D12743" i="2"/>
  <c r="D12744" i="2"/>
  <c r="D12745" i="2"/>
  <c r="D12746" i="2"/>
  <c r="D12747" i="2"/>
  <c r="D12748" i="2"/>
  <c r="D12749" i="2"/>
  <c r="D12750" i="2"/>
  <c r="D12751" i="2"/>
  <c r="D12752" i="2"/>
  <c r="D12753" i="2"/>
  <c r="D12754" i="2"/>
  <c r="D12755" i="2"/>
  <c r="D12756" i="2"/>
  <c r="D12757" i="2"/>
  <c r="D12758" i="2"/>
  <c r="D12759" i="2"/>
  <c r="D12760" i="2"/>
  <c r="D12761" i="2"/>
  <c r="D12762" i="2"/>
  <c r="D12763" i="2"/>
  <c r="D12764" i="2"/>
  <c r="D12765" i="2"/>
  <c r="D12766" i="2"/>
  <c r="D12767" i="2"/>
  <c r="D12768" i="2"/>
  <c r="D12769" i="2"/>
  <c r="D12770" i="2"/>
  <c r="D12771" i="2"/>
  <c r="D12772" i="2"/>
  <c r="D12773" i="2"/>
  <c r="D12774" i="2"/>
  <c r="D12775" i="2"/>
  <c r="D12776" i="2"/>
  <c r="D12777" i="2"/>
  <c r="D12778" i="2"/>
  <c r="D12779" i="2"/>
  <c r="D12780" i="2"/>
  <c r="D12781" i="2"/>
  <c r="D12782" i="2"/>
  <c r="D12783" i="2"/>
  <c r="D12784" i="2"/>
  <c r="D12785" i="2"/>
  <c r="D12786" i="2"/>
  <c r="D12787" i="2"/>
  <c r="D12788" i="2"/>
  <c r="D12789" i="2"/>
  <c r="D12790" i="2"/>
  <c r="D12791" i="2"/>
  <c r="D12792" i="2"/>
  <c r="D12793" i="2"/>
  <c r="D12794" i="2"/>
  <c r="D12795" i="2"/>
  <c r="D12796" i="2"/>
  <c r="D12797" i="2"/>
  <c r="D12798" i="2"/>
  <c r="D12799" i="2"/>
  <c r="D12800" i="2"/>
  <c r="D12801" i="2"/>
  <c r="D12802" i="2"/>
  <c r="D12803" i="2"/>
  <c r="D12804" i="2"/>
  <c r="D12805" i="2"/>
  <c r="D12806" i="2"/>
  <c r="D12807" i="2"/>
  <c r="D12808" i="2"/>
  <c r="D12809" i="2"/>
  <c r="D12810" i="2"/>
  <c r="D12811" i="2"/>
  <c r="D12812" i="2"/>
  <c r="D12813" i="2"/>
  <c r="D12814" i="2"/>
  <c r="D12815" i="2"/>
  <c r="D12816" i="2"/>
  <c r="D12817" i="2"/>
  <c r="D12818" i="2"/>
  <c r="D12819" i="2"/>
  <c r="D12820" i="2"/>
  <c r="D12821" i="2"/>
  <c r="D12822" i="2"/>
  <c r="D12823" i="2"/>
  <c r="D12824" i="2"/>
  <c r="D12825" i="2"/>
  <c r="D12826" i="2"/>
  <c r="D12827" i="2"/>
  <c r="D12828" i="2"/>
  <c r="D12829" i="2"/>
  <c r="D12830" i="2"/>
  <c r="D12831" i="2"/>
  <c r="D12832" i="2"/>
  <c r="D12833" i="2"/>
  <c r="D12834" i="2"/>
  <c r="D12835" i="2"/>
  <c r="D12836" i="2"/>
  <c r="D12837" i="2"/>
  <c r="D12838" i="2"/>
  <c r="D12839" i="2"/>
  <c r="D12840" i="2"/>
  <c r="D12841" i="2"/>
  <c r="D12842" i="2"/>
  <c r="D12843" i="2"/>
  <c r="D12844" i="2"/>
  <c r="D12845" i="2"/>
  <c r="D12846" i="2"/>
  <c r="D12847" i="2"/>
  <c r="D12848" i="2"/>
  <c r="D12849" i="2"/>
  <c r="D12850" i="2"/>
  <c r="D12851" i="2"/>
  <c r="D12852" i="2"/>
  <c r="D12853" i="2"/>
  <c r="D12854" i="2"/>
  <c r="D12855" i="2"/>
  <c r="D12856" i="2"/>
  <c r="D12857" i="2"/>
  <c r="D12858" i="2"/>
  <c r="D12859" i="2"/>
  <c r="D12860" i="2"/>
  <c r="D12861" i="2"/>
  <c r="D12862" i="2"/>
  <c r="D12863" i="2"/>
  <c r="D12864" i="2"/>
  <c r="D12865" i="2"/>
  <c r="D12866" i="2"/>
  <c r="D12867" i="2"/>
  <c r="D12868" i="2"/>
  <c r="D12869" i="2"/>
  <c r="D12870" i="2"/>
  <c r="D12871" i="2"/>
  <c r="D12872" i="2"/>
  <c r="D12873" i="2"/>
  <c r="D12874" i="2"/>
  <c r="D12875" i="2"/>
  <c r="D12876" i="2"/>
  <c r="D12877" i="2"/>
  <c r="D12878" i="2"/>
  <c r="D12879" i="2"/>
  <c r="D12880" i="2"/>
  <c r="D12881" i="2"/>
  <c r="D12882" i="2"/>
  <c r="D12883" i="2"/>
  <c r="D12884" i="2"/>
  <c r="D12885" i="2"/>
  <c r="D12886" i="2"/>
  <c r="D12887" i="2"/>
  <c r="D12888" i="2"/>
  <c r="D12889" i="2"/>
  <c r="D12890" i="2"/>
  <c r="D12891" i="2"/>
  <c r="D12892" i="2"/>
  <c r="D12893" i="2"/>
  <c r="D12894" i="2"/>
  <c r="D12895" i="2"/>
  <c r="D12896" i="2"/>
  <c r="D12897" i="2"/>
  <c r="D12898" i="2"/>
  <c r="D12899" i="2"/>
  <c r="D12900" i="2"/>
  <c r="D12901" i="2"/>
  <c r="D12902" i="2"/>
  <c r="D12903" i="2"/>
  <c r="D12904" i="2"/>
  <c r="D12905" i="2"/>
  <c r="D12906" i="2"/>
  <c r="D12907" i="2"/>
  <c r="D12908" i="2"/>
  <c r="D12909" i="2"/>
  <c r="D12910" i="2"/>
  <c r="D12911" i="2"/>
  <c r="D12912" i="2"/>
  <c r="D12913" i="2"/>
  <c r="D12914" i="2"/>
  <c r="D12915" i="2"/>
  <c r="D12916" i="2"/>
  <c r="D12917" i="2"/>
  <c r="D12918" i="2"/>
  <c r="D12919" i="2"/>
  <c r="D12920" i="2"/>
  <c r="D12921" i="2"/>
  <c r="D12922" i="2"/>
  <c r="D12923" i="2"/>
  <c r="D12924" i="2"/>
  <c r="D12925" i="2"/>
  <c r="D12926" i="2"/>
  <c r="D12927" i="2"/>
  <c r="D12928" i="2"/>
  <c r="D12929" i="2"/>
  <c r="D12930" i="2"/>
  <c r="D12931" i="2"/>
  <c r="D12932" i="2"/>
  <c r="D12933" i="2"/>
  <c r="D12934" i="2"/>
  <c r="D12935" i="2"/>
  <c r="D12936" i="2"/>
  <c r="D12937" i="2"/>
  <c r="D12938" i="2"/>
  <c r="D12939" i="2"/>
  <c r="D12940" i="2"/>
  <c r="D12941" i="2"/>
  <c r="D12942" i="2"/>
  <c r="D12943" i="2"/>
  <c r="D12944" i="2"/>
  <c r="D12945" i="2"/>
  <c r="D12946" i="2"/>
  <c r="D12947" i="2"/>
  <c r="D12948" i="2"/>
  <c r="D12949" i="2"/>
  <c r="D12950" i="2"/>
  <c r="D12951" i="2"/>
  <c r="D12952" i="2"/>
  <c r="D12953" i="2"/>
  <c r="D12954" i="2"/>
  <c r="D12955" i="2"/>
  <c r="D12956" i="2"/>
  <c r="D12957" i="2"/>
  <c r="D12958" i="2"/>
  <c r="D12959" i="2"/>
  <c r="D12960" i="2"/>
  <c r="D12961" i="2"/>
  <c r="D12962" i="2"/>
  <c r="D12963" i="2"/>
  <c r="D12964" i="2"/>
  <c r="D12965" i="2"/>
  <c r="D12966" i="2"/>
  <c r="D12967" i="2"/>
  <c r="D12968" i="2"/>
  <c r="D12969" i="2"/>
  <c r="D12970" i="2"/>
  <c r="D12971" i="2"/>
  <c r="D12972" i="2"/>
  <c r="D12973" i="2"/>
  <c r="D12974" i="2"/>
  <c r="D12975" i="2"/>
  <c r="D12976" i="2"/>
  <c r="D12977" i="2"/>
  <c r="D12978" i="2"/>
  <c r="D12979" i="2"/>
  <c r="D12980" i="2"/>
  <c r="D12981" i="2"/>
  <c r="D12982" i="2"/>
  <c r="D12983" i="2"/>
  <c r="D12984" i="2"/>
  <c r="D12985" i="2"/>
  <c r="D12986" i="2"/>
  <c r="D12987" i="2"/>
  <c r="D12988" i="2"/>
  <c r="D12989" i="2"/>
  <c r="D12990" i="2"/>
  <c r="D12991" i="2"/>
  <c r="D12992" i="2"/>
  <c r="D12993" i="2"/>
  <c r="D12994" i="2"/>
  <c r="D12995" i="2"/>
  <c r="D12996" i="2"/>
  <c r="D12997" i="2"/>
  <c r="D12998" i="2"/>
  <c r="D12999" i="2"/>
  <c r="D13000" i="2"/>
  <c r="D13001" i="2"/>
  <c r="D13002" i="2"/>
  <c r="D13003" i="2"/>
  <c r="D13004" i="2"/>
  <c r="D13005" i="2"/>
  <c r="D13006" i="2"/>
  <c r="D13007" i="2"/>
  <c r="D13008" i="2"/>
  <c r="D13009" i="2"/>
  <c r="D13010" i="2"/>
  <c r="D13011" i="2"/>
  <c r="D13012" i="2"/>
  <c r="D13013" i="2"/>
  <c r="D13014" i="2"/>
  <c r="D13015" i="2"/>
  <c r="D13016" i="2"/>
  <c r="D13017" i="2"/>
  <c r="D13018" i="2"/>
  <c r="D13019" i="2"/>
  <c r="D13020" i="2"/>
  <c r="D13021" i="2"/>
  <c r="D13022" i="2"/>
  <c r="D13023" i="2"/>
  <c r="D13024" i="2"/>
  <c r="D13025" i="2"/>
  <c r="D13026" i="2"/>
  <c r="D13027" i="2"/>
  <c r="D13028" i="2"/>
  <c r="D13029" i="2"/>
  <c r="D13030" i="2"/>
  <c r="D13031" i="2"/>
  <c r="D13032" i="2"/>
  <c r="D13033" i="2"/>
  <c r="D13034" i="2"/>
  <c r="D13035" i="2"/>
  <c r="D13036" i="2"/>
  <c r="D13037" i="2"/>
  <c r="D13038" i="2"/>
  <c r="D13039" i="2"/>
  <c r="D13040" i="2"/>
  <c r="D13041" i="2"/>
  <c r="D13042" i="2"/>
  <c r="D13043" i="2"/>
  <c r="D13044" i="2"/>
  <c r="D13045" i="2"/>
  <c r="D13046" i="2"/>
  <c r="D13047" i="2"/>
  <c r="D13048" i="2"/>
  <c r="D13049" i="2"/>
  <c r="D13050" i="2"/>
  <c r="D13051" i="2"/>
  <c r="D13052" i="2"/>
  <c r="D13053" i="2"/>
  <c r="D13054" i="2"/>
  <c r="D13055" i="2"/>
  <c r="D13056" i="2"/>
  <c r="D13057" i="2"/>
  <c r="D13058" i="2"/>
  <c r="D13059" i="2"/>
  <c r="D13060" i="2"/>
  <c r="D13061" i="2"/>
  <c r="D13062" i="2"/>
  <c r="D13063" i="2"/>
  <c r="D13064" i="2"/>
  <c r="D13065" i="2"/>
  <c r="D13066" i="2"/>
  <c r="D13067" i="2"/>
  <c r="D13068" i="2"/>
  <c r="D13069" i="2"/>
  <c r="D13070" i="2"/>
  <c r="D13071" i="2"/>
  <c r="D13072" i="2"/>
  <c r="D13073" i="2"/>
  <c r="D13074" i="2"/>
  <c r="D13075" i="2"/>
  <c r="D13076" i="2"/>
  <c r="D13077" i="2"/>
  <c r="D13078" i="2"/>
  <c r="D13079" i="2"/>
  <c r="D13080" i="2"/>
  <c r="D13081" i="2"/>
  <c r="D13082" i="2"/>
  <c r="D13083" i="2"/>
  <c r="D13084" i="2"/>
  <c r="D13085" i="2"/>
  <c r="D13086" i="2"/>
  <c r="D13087" i="2"/>
  <c r="D13088" i="2"/>
  <c r="D13089" i="2"/>
  <c r="D13090" i="2"/>
  <c r="D13091" i="2"/>
  <c r="D13092" i="2"/>
  <c r="D13093" i="2"/>
  <c r="D13094" i="2"/>
  <c r="D13095" i="2"/>
  <c r="D13096" i="2"/>
  <c r="D13097" i="2"/>
  <c r="D13098" i="2"/>
  <c r="D13099" i="2"/>
  <c r="D13100" i="2"/>
  <c r="D13101" i="2"/>
  <c r="D13102" i="2"/>
  <c r="D13103" i="2"/>
  <c r="D13104" i="2"/>
  <c r="D13105" i="2"/>
  <c r="D13106" i="2"/>
  <c r="D13107" i="2"/>
  <c r="D13108" i="2"/>
  <c r="D13109" i="2"/>
  <c r="D13110" i="2"/>
  <c r="D13111" i="2"/>
  <c r="D13112" i="2"/>
  <c r="D13113" i="2"/>
  <c r="D13114" i="2"/>
  <c r="D13115" i="2"/>
  <c r="D13116" i="2"/>
  <c r="D13117" i="2"/>
  <c r="D13118" i="2"/>
  <c r="D13119" i="2"/>
  <c r="D13120" i="2"/>
  <c r="D13121" i="2"/>
  <c r="D13122" i="2"/>
  <c r="D13123" i="2"/>
  <c r="D13124" i="2"/>
  <c r="D13125" i="2"/>
  <c r="D13126" i="2"/>
  <c r="D13127" i="2"/>
  <c r="D13128" i="2"/>
  <c r="D13129" i="2"/>
  <c r="D13130" i="2"/>
  <c r="D13131" i="2"/>
  <c r="D13132" i="2"/>
  <c r="D13133" i="2"/>
  <c r="D13134" i="2"/>
  <c r="D13135" i="2"/>
  <c r="D13136" i="2"/>
  <c r="D13137" i="2"/>
  <c r="D13138" i="2"/>
  <c r="D13139" i="2"/>
  <c r="D13140" i="2"/>
  <c r="D13141" i="2"/>
  <c r="D13142" i="2"/>
  <c r="D13143" i="2"/>
  <c r="D13144" i="2"/>
  <c r="D13145" i="2"/>
  <c r="D13146" i="2"/>
  <c r="D13147" i="2"/>
  <c r="D13148" i="2"/>
  <c r="D13149" i="2"/>
  <c r="D13150" i="2"/>
  <c r="D13151" i="2"/>
  <c r="D13152" i="2"/>
  <c r="D13153" i="2"/>
  <c r="D13154" i="2"/>
  <c r="D13155" i="2"/>
  <c r="D13156" i="2"/>
  <c r="D13157" i="2"/>
  <c r="D13158" i="2"/>
  <c r="D13159" i="2"/>
  <c r="D13160" i="2"/>
  <c r="D13161" i="2"/>
  <c r="D13162" i="2"/>
  <c r="D13163" i="2"/>
  <c r="D13164" i="2"/>
  <c r="D13165" i="2"/>
  <c r="D13166" i="2"/>
  <c r="D13167" i="2"/>
  <c r="D13168" i="2"/>
  <c r="D13169" i="2"/>
  <c r="D13170" i="2"/>
  <c r="D13171" i="2"/>
  <c r="D13172" i="2"/>
  <c r="D13173" i="2"/>
  <c r="D13174" i="2"/>
  <c r="D13175" i="2"/>
  <c r="D13176" i="2"/>
  <c r="D13177" i="2"/>
  <c r="D13178" i="2"/>
  <c r="D13179" i="2"/>
  <c r="D13180" i="2"/>
  <c r="D13181" i="2"/>
  <c r="D13182" i="2"/>
  <c r="D13183" i="2"/>
  <c r="D13184" i="2"/>
  <c r="D13185" i="2"/>
  <c r="D13186" i="2"/>
  <c r="D13187" i="2"/>
  <c r="D13188" i="2"/>
  <c r="D13189" i="2"/>
  <c r="D13190" i="2"/>
  <c r="D13191" i="2"/>
  <c r="D13192" i="2"/>
  <c r="D13193" i="2"/>
  <c r="D13194" i="2"/>
  <c r="D13195" i="2"/>
  <c r="D13196" i="2"/>
  <c r="D13197" i="2"/>
  <c r="D13198" i="2"/>
  <c r="D13199" i="2"/>
  <c r="D13200" i="2"/>
  <c r="D13201" i="2"/>
  <c r="D13202" i="2"/>
  <c r="D13203" i="2"/>
  <c r="D13204" i="2"/>
  <c r="D13205" i="2"/>
  <c r="D13206" i="2"/>
  <c r="D13207" i="2"/>
  <c r="D13208" i="2"/>
  <c r="D13209" i="2"/>
  <c r="D13210" i="2"/>
  <c r="D13211" i="2"/>
  <c r="D13212" i="2"/>
  <c r="D13213" i="2"/>
  <c r="D13214" i="2"/>
  <c r="D13215" i="2"/>
  <c r="D13216" i="2"/>
  <c r="D13217" i="2"/>
  <c r="D13218" i="2"/>
  <c r="D13219" i="2"/>
  <c r="D13220" i="2"/>
  <c r="D13221" i="2"/>
  <c r="D13222" i="2"/>
  <c r="D13223" i="2"/>
  <c r="D13224" i="2"/>
  <c r="D13225" i="2"/>
  <c r="D13226" i="2"/>
  <c r="D13227" i="2"/>
  <c r="D13228" i="2"/>
  <c r="D13229" i="2"/>
  <c r="D13230" i="2"/>
  <c r="D13231" i="2"/>
  <c r="D13232" i="2"/>
  <c r="D13233" i="2"/>
  <c r="D13234" i="2"/>
  <c r="D13235" i="2"/>
  <c r="D13236" i="2"/>
  <c r="D13237" i="2"/>
  <c r="D13238" i="2"/>
  <c r="D13239" i="2"/>
  <c r="D13240" i="2"/>
  <c r="D13241" i="2"/>
  <c r="D13242" i="2"/>
  <c r="D13243" i="2"/>
  <c r="D13244" i="2"/>
  <c r="D13245" i="2"/>
  <c r="D13246" i="2"/>
  <c r="D13247" i="2"/>
  <c r="D13248" i="2"/>
  <c r="D13249" i="2"/>
  <c r="D13250" i="2"/>
  <c r="D13251" i="2"/>
  <c r="D13252" i="2"/>
  <c r="D13253" i="2"/>
  <c r="D13254" i="2"/>
  <c r="D13255" i="2"/>
  <c r="D13256" i="2"/>
  <c r="D13257" i="2"/>
  <c r="D13258" i="2"/>
  <c r="D13259" i="2"/>
  <c r="D13260" i="2"/>
  <c r="D13261" i="2"/>
  <c r="D13262" i="2"/>
  <c r="D13263" i="2"/>
  <c r="D13264" i="2"/>
  <c r="D13265" i="2"/>
  <c r="D13266" i="2"/>
  <c r="D13267" i="2"/>
  <c r="D13268" i="2"/>
  <c r="D13269" i="2"/>
  <c r="D13270" i="2"/>
  <c r="D13271" i="2"/>
  <c r="D13272" i="2"/>
  <c r="D13273" i="2"/>
  <c r="D13274" i="2"/>
  <c r="D13275" i="2"/>
  <c r="D13276" i="2"/>
  <c r="D13277" i="2"/>
  <c r="D13278" i="2"/>
  <c r="D13279" i="2"/>
  <c r="D13280" i="2"/>
  <c r="D13281" i="2"/>
  <c r="D13282" i="2"/>
  <c r="D13283" i="2"/>
  <c r="D13284" i="2"/>
  <c r="D13285" i="2"/>
  <c r="D13286" i="2"/>
  <c r="D13287" i="2"/>
  <c r="D13288" i="2"/>
  <c r="D13289" i="2"/>
  <c r="D13290" i="2"/>
  <c r="D13291" i="2"/>
  <c r="D13292" i="2"/>
  <c r="D13293" i="2"/>
  <c r="D13294" i="2"/>
  <c r="D13295" i="2"/>
  <c r="D13296" i="2"/>
  <c r="D13297" i="2"/>
  <c r="D13298" i="2"/>
  <c r="D13299" i="2"/>
  <c r="D13300" i="2"/>
  <c r="D13301" i="2"/>
  <c r="D13302" i="2"/>
  <c r="D13303" i="2"/>
  <c r="D13304" i="2"/>
  <c r="D13305" i="2"/>
  <c r="D13306" i="2"/>
  <c r="D13307" i="2"/>
  <c r="D13308" i="2"/>
  <c r="D13309" i="2"/>
  <c r="D13310" i="2"/>
  <c r="D13311" i="2"/>
  <c r="D13312" i="2"/>
  <c r="D13313" i="2"/>
  <c r="D13314" i="2"/>
  <c r="D13315" i="2"/>
  <c r="D13316" i="2"/>
  <c r="D13317" i="2"/>
  <c r="D13318" i="2"/>
  <c r="D13319" i="2"/>
  <c r="D13320" i="2"/>
  <c r="D13321" i="2"/>
  <c r="D13322" i="2"/>
  <c r="D13323" i="2"/>
  <c r="D13324" i="2"/>
  <c r="D13325" i="2"/>
  <c r="D13326" i="2"/>
  <c r="D13327" i="2"/>
  <c r="D13328" i="2"/>
  <c r="D13329" i="2"/>
  <c r="D13330" i="2"/>
  <c r="D13331" i="2"/>
  <c r="D13332" i="2"/>
  <c r="D13333" i="2"/>
  <c r="D13334" i="2"/>
  <c r="D13335" i="2"/>
  <c r="D13336" i="2"/>
  <c r="D13337" i="2"/>
  <c r="D13338" i="2"/>
  <c r="D13339" i="2"/>
  <c r="D13340" i="2"/>
  <c r="D13341" i="2"/>
  <c r="D13342" i="2"/>
  <c r="D13343" i="2"/>
  <c r="D13344" i="2"/>
  <c r="D13345" i="2"/>
  <c r="D13346" i="2"/>
  <c r="D13347" i="2"/>
  <c r="D13348" i="2"/>
  <c r="D13349" i="2"/>
  <c r="D13350" i="2"/>
  <c r="D13351" i="2"/>
  <c r="D13352" i="2"/>
  <c r="D13353" i="2"/>
  <c r="D13354" i="2"/>
  <c r="D13355" i="2"/>
  <c r="D13356" i="2"/>
  <c r="D13357" i="2"/>
  <c r="D13358" i="2"/>
  <c r="D13359" i="2"/>
  <c r="D13360" i="2"/>
  <c r="D13361" i="2"/>
  <c r="D13362" i="2"/>
  <c r="D13363" i="2"/>
  <c r="D13364" i="2"/>
  <c r="D13365" i="2"/>
  <c r="D13366" i="2"/>
  <c r="D13367" i="2"/>
  <c r="D13368" i="2"/>
  <c r="D13369" i="2"/>
  <c r="D13370" i="2"/>
  <c r="D13371" i="2"/>
  <c r="D13372" i="2"/>
  <c r="D13373" i="2"/>
  <c r="D13374" i="2"/>
  <c r="D13375" i="2"/>
  <c r="D13376" i="2"/>
  <c r="D13377" i="2"/>
  <c r="D13378" i="2"/>
  <c r="D13379" i="2"/>
  <c r="D13380" i="2"/>
  <c r="D13381" i="2"/>
  <c r="D13382" i="2"/>
  <c r="D13383" i="2"/>
  <c r="D13384" i="2"/>
  <c r="D13385" i="2"/>
  <c r="D13386" i="2"/>
  <c r="D13387" i="2"/>
  <c r="D13388" i="2"/>
  <c r="D13389" i="2"/>
  <c r="D13390" i="2"/>
  <c r="D13391" i="2"/>
  <c r="D13392" i="2"/>
  <c r="D13393" i="2"/>
  <c r="D13394" i="2"/>
  <c r="D13395" i="2"/>
  <c r="D13396" i="2"/>
  <c r="D13397" i="2"/>
  <c r="D13398" i="2"/>
  <c r="D13399" i="2"/>
  <c r="D13400" i="2"/>
  <c r="D13401" i="2"/>
  <c r="D13402" i="2"/>
  <c r="D13403" i="2"/>
  <c r="D13404" i="2"/>
  <c r="D13405" i="2"/>
  <c r="D13406" i="2"/>
  <c r="D13407" i="2"/>
  <c r="D13408" i="2"/>
  <c r="D13409" i="2"/>
  <c r="D13410" i="2"/>
  <c r="D13411" i="2"/>
  <c r="D13412" i="2"/>
  <c r="D13413" i="2"/>
  <c r="D13414" i="2"/>
  <c r="D13415" i="2"/>
  <c r="D13416" i="2"/>
  <c r="D13417" i="2"/>
  <c r="D13418" i="2"/>
  <c r="D13419" i="2"/>
  <c r="D13420" i="2"/>
  <c r="D13421" i="2"/>
  <c r="D13422" i="2"/>
  <c r="D13423" i="2"/>
  <c r="D13424" i="2"/>
  <c r="D13425" i="2"/>
  <c r="D13426" i="2"/>
  <c r="D13427" i="2"/>
  <c r="D13428" i="2"/>
  <c r="D13429" i="2"/>
  <c r="D13430" i="2"/>
  <c r="D13431" i="2"/>
  <c r="D13432" i="2"/>
  <c r="D13433" i="2"/>
  <c r="D13434" i="2"/>
  <c r="D13435" i="2"/>
  <c r="D13436" i="2"/>
  <c r="D13437" i="2"/>
  <c r="D13438" i="2"/>
  <c r="D13439" i="2"/>
  <c r="D13440" i="2"/>
  <c r="D13441" i="2"/>
  <c r="D13442" i="2"/>
  <c r="D13443" i="2"/>
  <c r="D13444" i="2"/>
  <c r="D13445" i="2"/>
  <c r="D13446" i="2"/>
  <c r="D13447" i="2"/>
  <c r="D13448" i="2"/>
  <c r="D13449" i="2"/>
  <c r="D13450" i="2"/>
  <c r="D13451" i="2"/>
  <c r="D13452" i="2"/>
  <c r="D13453" i="2"/>
  <c r="D13454" i="2"/>
  <c r="D13455" i="2"/>
  <c r="D13456" i="2"/>
  <c r="D13457" i="2"/>
  <c r="D13458" i="2"/>
  <c r="D13459" i="2"/>
  <c r="D13460" i="2"/>
  <c r="D13461" i="2"/>
  <c r="D13462" i="2"/>
  <c r="D13463" i="2"/>
  <c r="D13464" i="2"/>
  <c r="D13465" i="2"/>
  <c r="D13466" i="2"/>
  <c r="D13467" i="2"/>
  <c r="D13468" i="2"/>
  <c r="D13469" i="2"/>
  <c r="D13470" i="2"/>
  <c r="D13471" i="2"/>
  <c r="D13472" i="2"/>
  <c r="D13473" i="2"/>
  <c r="D13474" i="2"/>
  <c r="D13475" i="2"/>
  <c r="D13476" i="2"/>
  <c r="D13477" i="2"/>
  <c r="D13478" i="2"/>
  <c r="D13479" i="2"/>
  <c r="D13480" i="2"/>
  <c r="D13481" i="2"/>
  <c r="D13482" i="2"/>
  <c r="D13483" i="2"/>
  <c r="D13484" i="2"/>
  <c r="D13485" i="2"/>
  <c r="D13486" i="2"/>
  <c r="D13487" i="2"/>
  <c r="D13488" i="2"/>
  <c r="D13489" i="2"/>
  <c r="D13490" i="2"/>
  <c r="D13491" i="2"/>
  <c r="D13492" i="2"/>
  <c r="D13493" i="2"/>
  <c r="D13494" i="2"/>
  <c r="D13495" i="2"/>
  <c r="D13496" i="2"/>
  <c r="D13497" i="2"/>
  <c r="D13498" i="2"/>
  <c r="D13499" i="2"/>
  <c r="D13500" i="2"/>
  <c r="D13501" i="2"/>
  <c r="D13502" i="2"/>
  <c r="D13503" i="2"/>
  <c r="D13504" i="2"/>
  <c r="D13505" i="2"/>
  <c r="D13506" i="2"/>
  <c r="D13507" i="2"/>
  <c r="D13508" i="2"/>
  <c r="D13509" i="2"/>
  <c r="D13510" i="2"/>
  <c r="D13511" i="2"/>
  <c r="D13512" i="2"/>
  <c r="D13513" i="2"/>
  <c r="D13514" i="2"/>
  <c r="D13515" i="2"/>
  <c r="D13516" i="2"/>
  <c r="D13517" i="2"/>
  <c r="D13518" i="2"/>
  <c r="D13519" i="2"/>
  <c r="D13520" i="2"/>
  <c r="D13521" i="2"/>
  <c r="D13522" i="2"/>
  <c r="D13523" i="2"/>
  <c r="D13524" i="2"/>
  <c r="D13525" i="2"/>
  <c r="D13526" i="2"/>
  <c r="D13527" i="2"/>
  <c r="D13528" i="2"/>
  <c r="D13529" i="2"/>
  <c r="D13530" i="2"/>
  <c r="D13531" i="2"/>
  <c r="D13532" i="2"/>
  <c r="D13533" i="2"/>
  <c r="D13534" i="2"/>
  <c r="D13535" i="2"/>
  <c r="D13536" i="2"/>
  <c r="D13537" i="2"/>
  <c r="D13538" i="2"/>
  <c r="D13539" i="2"/>
  <c r="D13540" i="2"/>
  <c r="D13541" i="2"/>
  <c r="D13542" i="2"/>
  <c r="D13543" i="2"/>
  <c r="D13544" i="2"/>
  <c r="D13545" i="2"/>
  <c r="D13546" i="2"/>
  <c r="D13547" i="2"/>
  <c r="D13548" i="2"/>
  <c r="D13549" i="2"/>
  <c r="D13550" i="2"/>
  <c r="D13551" i="2"/>
  <c r="D13552" i="2"/>
  <c r="D13553" i="2"/>
  <c r="D13554" i="2"/>
  <c r="D13555" i="2"/>
  <c r="D13556" i="2"/>
  <c r="D13557" i="2"/>
  <c r="D13558" i="2"/>
  <c r="D13559" i="2"/>
  <c r="D13560" i="2"/>
  <c r="D13561" i="2"/>
  <c r="D13562" i="2"/>
  <c r="D13563" i="2"/>
  <c r="D13564" i="2"/>
  <c r="D13565" i="2"/>
  <c r="D13566" i="2"/>
  <c r="D13567" i="2"/>
  <c r="D13568" i="2"/>
  <c r="D13569" i="2"/>
  <c r="D13570" i="2"/>
  <c r="D13571" i="2"/>
  <c r="D13572" i="2"/>
  <c r="D13573" i="2"/>
  <c r="D13574" i="2"/>
  <c r="D13575" i="2"/>
  <c r="D13576" i="2"/>
  <c r="D13577" i="2"/>
  <c r="D13578" i="2"/>
  <c r="D13579" i="2"/>
  <c r="D13580" i="2"/>
  <c r="D13581" i="2"/>
  <c r="D13582" i="2"/>
  <c r="D13583" i="2"/>
  <c r="D13584" i="2"/>
  <c r="D13585" i="2"/>
  <c r="D13586" i="2"/>
  <c r="D13587" i="2"/>
  <c r="D13588" i="2"/>
  <c r="D13589" i="2"/>
  <c r="D13590" i="2"/>
  <c r="D13591" i="2"/>
  <c r="D13592" i="2"/>
  <c r="D13593" i="2"/>
  <c r="D13594" i="2"/>
  <c r="D13595" i="2"/>
  <c r="D13596" i="2"/>
  <c r="D13597" i="2"/>
  <c r="D13598" i="2"/>
  <c r="D13599" i="2"/>
  <c r="D13600" i="2"/>
  <c r="D13601" i="2"/>
  <c r="D13602" i="2"/>
  <c r="D13603" i="2"/>
  <c r="D13604" i="2"/>
  <c r="D13605" i="2"/>
  <c r="D13606" i="2"/>
  <c r="D13607" i="2"/>
  <c r="D13608" i="2"/>
  <c r="D13609" i="2"/>
  <c r="D13610" i="2"/>
  <c r="D13611" i="2"/>
  <c r="D13612" i="2"/>
  <c r="D13613" i="2"/>
  <c r="D13614" i="2"/>
  <c r="D13615" i="2"/>
  <c r="D13616" i="2"/>
  <c r="D13617" i="2"/>
  <c r="D13618" i="2"/>
  <c r="D13619" i="2"/>
  <c r="D13620" i="2"/>
  <c r="D13621" i="2"/>
  <c r="D13622" i="2"/>
  <c r="D13623" i="2"/>
  <c r="D13624" i="2"/>
  <c r="D13625" i="2"/>
  <c r="D13626" i="2"/>
  <c r="D13627" i="2"/>
  <c r="D13628" i="2"/>
  <c r="D13629" i="2"/>
  <c r="D13630" i="2"/>
  <c r="D13631" i="2"/>
  <c r="D13632" i="2"/>
  <c r="D13633" i="2"/>
  <c r="D13634" i="2"/>
  <c r="D13635" i="2"/>
  <c r="D13636" i="2"/>
  <c r="D13637" i="2"/>
  <c r="D13638" i="2"/>
  <c r="D13639" i="2"/>
  <c r="D13640" i="2"/>
  <c r="D13641" i="2"/>
  <c r="D13642" i="2"/>
  <c r="D13643" i="2"/>
  <c r="D13644" i="2"/>
  <c r="D13645" i="2"/>
  <c r="D13646" i="2"/>
  <c r="D13647" i="2"/>
  <c r="D13648" i="2"/>
  <c r="D13649" i="2"/>
  <c r="D13650" i="2"/>
  <c r="D13651" i="2"/>
  <c r="D13652" i="2"/>
  <c r="D13653" i="2"/>
  <c r="D13654" i="2"/>
  <c r="D13655" i="2"/>
  <c r="D13656" i="2"/>
  <c r="D13657" i="2"/>
  <c r="D13658" i="2"/>
  <c r="D13659" i="2"/>
  <c r="D13660" i="2"/>
  <c r="D13661" i="2"/>
  <c r="D13662" i="2"/>
  <c r="D13663" i="2"/>
  <c r="D13664" i="2"/>
  <c r="D13665" i="2"/>
  <c r="D13666" i="2"/>
  <c r="D13667" i="2"/>
  <c r="D13668" i="2"/>
  <c r="D13669" i="2"/>
  <c r="D13670" i="2"/>
  <c r="D13671" i="2"/>
  <c r="D13672" i="2"/>
  <c r="D13673" i="2"/>
  <c r="D13674" i="2"/>
  <c r="D13675" i="2"/>
  <c r="D13676" i="2"/>
  <c r="D13677" i="2"/>
  <c r="D13678" i="2"/>
  <c r="D13679" i="2"/>
  <c r="D13680" i="2"/>
  <c r="D13681" i="2"/>
  <c r="D13682" i="2"/>
  <c r="D13683" i="2"/>
  <c r="D13684" i="2"/>
  <c r="D13685" i="2"/>
  <c r="D13686" i="2"/>
  <c r="D13687" i="2"/>
  <c r="D13688" i="2"/>
  <c r="D13689" i="2"/>
  <c r="D13690" i="2"/>
  <c r="D13691" i="2"/>
  <c r="D13692" i="2"/>
  <c r="D13693" i="2"/>
  <c r="D13694" i="2"/>
  <c r="D13695" i="2"/>
  <c r="D13696" i="2"/>
  <c r="D13697" i="2"/>
  <c r="D13698" i="2"/>
  <c r="D13699" i="2"/>
  <c r="D13700" i="2"/>
  <c r="D13701" i="2"/>
  <c r="D13702" i="2"/>
  <c r="D13703" i="2"/>
  <c r="D13704" i="2"/>
  <c r="D13705" i="2"/>
  <c r="D13706" i="2"/>
  <c r="D13707" i="2"/>
  <c r="D13708" i="2"/>
  <c r="D13709" i="2"/>
  <c r="D13710" i="2"/>
  <c r="D13711" i="2"/>
  <c r="D13712" i="2"/>
  <c r="D13713" i="2"/>
  <c r="D13714" i="2"/>
  <c r="D13715" i="2"/>
  <c r="D13716" i="2"/>
  <c r="D13717" i="2"/>
  <c r="D13718" i="2"/>
  <c r="D13719" i="2"/>
  <c r="D13720" i="2"/>
  <c r="D13721" i="2"/>
  <c r="D13722" i="2"/>
  <c r="D13723" i="2"/>
  <c r="D13724" i="2"/>
  <c r="D13725" i="2"/>
  <c r="D13726" i="2"/>
  <c r="D13727" i="2"/>
  <c r="D13728" i="2"/>
  <c r="D13729" i="2"/>
  <c r="D13730" i="2"/>
  <c r="D13731" i="2"/>
  <c r="D13732" i="2"/>
  <c r="D13733" i="2"/>
  <c r="D13734" i="2"/>
  <c r="D13735" i="2"/>
  <c r="D13736" i="2"/>
  <c r="D13737" i="2"/>
  <c r="D13738" i="2"/>
  <c r="D13739" i="2"/>
  <c r="D13740" i="2"/>
  <c r="D13741" i="2"/>
  <c r="D13742" i="2"/>
  <c r="D13743" i="2"/>
  <c r="D13744" i="2"/>
  <c r="D13745" i="2"/>
  <c r="D13746" i="2"/>
  <c r="D13747" i="2"/>
  <c r="D13748" i="2"/>
  <c r="D13749" i="2"/>
  <c r="D13750" i="2"/>
  <c r="D13751" i="2"/>
  <c r="D13752" i="2"/>
  <c r="D13753" i="2"/>
  <c r="D13754" i="2"/>
  <c r="D13755" i="2"/>
  <c r="D13756" i="2"/>
  <c r="D13757" i="2"/>
  <c r="D13758" i="2"/>
  <c r="D13759" i="2"/>
  <c r="D13760" i="2"/>
  <c r="D13761" i="2"/>
  <c r="D13762" i="2"/>
  <c r="D13763" i="2"/>
  <c r="D13764" i="2"/>
  <c r="D13765" i="2"/>
  <c r="D13766" i="2"/>
  <c r="D13767" i="2"/>
  <c r="D13768" i="2"/>
  <c r="D13769" i="2"/>
  <c r="D13770" i="2"/>
  <c r="D13771" i="2"/>
  <c r="D13772" i="2"/>
  <c r="D13773" i="2"/>
  <c r="D13774" i="2"/>
  <c r="D13775" i="2"/>
  <c r="D13776" i="2"/>
  <c r="D13777" i="2"/>
  <c r="D13778" i="2"/>
  <c r="D13779" i="2"/>
  <c r="D13780" i="2"/>
  <c r="D13781" i="2"/>
  <c r="D13782" i="2"/>
  <c r="D13783" i="2"/>
  <c r="D13784" i="2"/>
  <c r="D13785" i="2"/>
  <c r="D13786" i="2"/>
  <c r="D13787" i="2"/>
  <c r="D13788" i="2"/>
  <c r="D13789" i="2"/>
  <c r="D13790" i="2"/>
  <c r="D13791" i="2"/>
  <c r="D13792" i="2"/>
  <c r="D13793" i="2"/>
  <c r="D13794" i="2"/>
  <c r="D13795" i="2"/>
  <c r="D13796" i="2"/>
  <c r="D13797" i="2"/>
  <c r="D13798" i="2"/>
  <c r="D13799" i="2"/>
  <c r="D13800" i="2"/>
  <c r="D13801" i="2"/>
  <c r="D13802" i="2"/>
  <c r="D13803" i="2"/>
  <c r="D13804" i="2"/>
  <c r="D13805" i="2"/>
  <c r="D13806" i="2"/>
  <c r="D13807" i="2"/>
  <c r="D13808" i="2"/>
  <c r="D13809" i="2"/>
  <c r="D13810" i="2"/>
  <c r="D13811" i="2"/>
  <c r="D13812" i="2"/>
  <c r="D13813" i="2"/>
  <c r="D13814" i="2"/>
  <c r="D13815" i="2"/>
  <c r="D13816" i="2"/>
  <c r="D13817" i="2"/>
  <c r="D13818" i="2"/>
  <c r="D13819" i="2"/>
  <c r="D13820" i="2"/>
  <c r="D13821" i="2"/>
  <c r="D13822" i="2"/>
  <c r="D13823" i="2"/>
  <c r="D13824" i="2"/>
  <c r="D13825" i="2"/>
  <c r="D13826" i="2"/>
  <c r="D13827" i="2"/>
  <c r="D13828" i="2"/>
  <c r="D13829" i="2"/>
  <c r="D13830" i="2"/>
  <c r="D13831" i="2"/>
  <c r="D13832" i="2"/>
  <c r="D13833" i="2"/>
  <c r="D13834" i="2"/>
  <c r="D13835" i="2"/>
  <c r="D13836" i="2"/>
  <c r="D13837" i="2"/>
  <c r="D13838" i="2"/>
  <c r="D13839" i="2"/>
  <c r="D13840" i="2"/>
  <c r="D13841" i="2"/>
  <c r="D13842" i="2"/>
  <c r="D13843" i="2"/>
  <c r="D13844" i="2"/>
  <c r="D13845" i="2"/>
  <c r="D13846" i="2"/>
  <c r="D13847" i="2"/>
  <c r="D13848" i="2"/>
  <c r="D13849" i="2"/>
  <c r="D13850" i="2"/>
  <c r="D13851" i="2"/>
  <c r="D13852" i="2"/>
  <c r="D13853" i="2"/>
  <c r="D13854" i="2"/>
  <c r="D13855" i="2"/>
  <c r="D13856" i="2"/>
  <c r="D13857" i="2"/>
  <c r="D13858" i="2"/>
  <c r="D13859" i="2"/>
  <c r="D13860" i="2"/>
  <c r="D13861" i="2"/>
  <c r="D13862" i="2"/>
  <c r="D13863" i="2"/>
  <c r="D13864" i="2"/>
  <c r="D13865" i="2"/>
  <c r="D13866" i="2"/>
  <c r="D13867" i="2"/>
  <c r="D13868" i="2"/>
  <c r="D13869" i="2"/>
  <c r="D13870" i="2"/>
  <c r="D13871" i="2"/>
  <c r="D13872" i="2"/>
  <c r="D13873" i="2"/>
  <c r="D13874" i="2"/>
  <c r="D13875" i="2"/>
  <c r="D13876" i="2"/>
  <c r="D13877" i="2"/>
  <c r="D13878" i="2"/>
  <c r="D13879" i="2"/>
  <c r="D13880" i="2"/>
  <c r="D13881" i="2"/>
  <c r="D13882" i="2"/>
  <c r="D13883" i="2"/>
  <c r="D13884" i="2"/>
  <c r="D13885" i="2"/>
  <c r="D13886" i="2"/>
  <c r="D13887" i="2"/>
  <c r="D13888" i="2"/>
  <c r="D13889" i="2"/>
  <c r="D13890" i="2"/>
  <c r="D13891" i="2"/>
  <c r="D13892" i="2"/>
  <c r="D13893" i="2"/>
  <c r="D13894" i="2"/>
  <c r="D13895" i="2"/>
  <c r="D13896" i="2"/>
  <c r="D13897" i="2"/>
  <c r="D13898" i="2"/>
  <c r="D13899" i="2"/>
  <c r="D13900" i="2"/>
  <c r="D13901" i="2"/>
  <c r="D13902" i="2"/>
  <c r="D13903" i="2"/>
  <c r="D13904" i="2"/>
  <c r="D13905" i="2"/>
  <c r="D13906" i="2"/>
  <c r="D13907" i="2"/>
  <c r="D13908" i="2"/>
  <c r="D13909" i="2"/>
  <c r="D13910" i="2"/>
  <c r="D13911" i="2"/>
  <c r="D13912" i="2"/>
  <c r="D13913" i="2"/>
  <c r="D13914" i="2"/>
  <c r="D13915" i="2"/>
  <c r="D13916" i="2"/>
  <c r="D13917" i="2"/>
  <c r="D13918" i="2"/>
  <c r="D13919" i="2"/>
  <c r="D13920" i="2"/>
  <c r="D13921" i="2"/>
  <c r="D13922" i="2"/>
  <c r="D13923" i="2"/>
  <c r="D13924" i="2"/>
  <c r="D13925" i="2"/>
  <c r="D13926" i="2"/>
  <c r="D13927" i="2"/>
  <c r="D13928" i="2"/>
  <c r="D13929" i="2"/>
  <c r="D13930" i="2"/>
  <c r="D13931" i="2"/>
  <c r="D13932" i="2"/>
  <c r="D13933" i="2"/>
  <c r="D13934" i="2"/>
  <c r="D13935" i="2"/>
  <c r="D13936" i="2"/>
  <c r="D13937" i="2"/>
  <c r="D13938" i="2"/>
  <c r="D13939" i="2"/>
  <c r="D13940" i="2"/>
  <c r="D13941" i="2"/>
  <c r="D13942" i="2"/>
  <c r="D13943" i="2"/>
  <c r="D13944" i="2"/>
  <c r="D13945" i="2"/>
  <c r="D13946" i="2"/>
  <c r="D13947" i="2"/>
  <c r="D13948" i="2"/>
  <c r="D13949" i="2"/>
  <c r="D13950" i="2"/>
  <c r="D13951" i="2"/>
  <c r="D13952" i="2"/>
  <c r="D13953" i="2"/>
  <c r="D13954" i="2"/>
  <c r="D13955" i="2"/>
  <c r="D13956" i="2"/>
  <c r="D13957" i="2"/>
  <c r="D13958" i="2"/>
  <c r="D13959" i="2"/>
  <c r="D13960" i="2"/>
  <c r="D13961" i="2"/>
  <c r="D13962" i="2"/>
  <c r="D13963" i="2"/>
  <c r="D13964" i="2"/>
  <c r="D13965" i="2"/>
  <c r="D13966" i="2"/>
  <c r="D13967" i="2"/>
  <c r="D13968" i="2"/>
  <c r="D13969" i="2"/>
  <c r="D13970" i="2"/>
  <c r="D13971" i="2"/>
  <c r="D13972" i="2"/>
  <c r="D13973" i="2"/>
  <c r="D13974" i="2"/>
  <c r="D13975" i="2"/>
  <c r="D13976" i="2"/>
  <c r="D13977" i="2"/>
  <c r="D13978" i="2"/>
  <c r="D13979" i="2"/>
  <c r="D13980" i="2"/>
  <c r="D13981" i="2"/>
  <c r="D13982" i="2"/>
  <c r="D13983" i="2"/>
  <c r="D13984" i="2"/>
  <c r="D13985" i="2"/>
  <c r="D13986" i="2"/>
  <c r="D13987" i="2"/>
  <c r="D13988" i="2"/>
  <c r="D13989" i="2"/>
  <c r="D13990" i="2"/>
  <c r="D13991" i="2"/>
  <c r="D13992" i="2"/>
  <c r="D13993" i="2"/>
  <c r="D13994" i="2"/>
  <c r="D13995" i="2"/>
  <c r="D13996" i="2"/>
  <c r="D13997" i="2"/>
  <c r="D13998" i="2"/>
  <c r="D13999" i="2"/>
  <c r="D14000" i="2"/>
  <c r="D14001" i="2"/>
  <c r="D14002" i="2"/>
  <c r="D14003" i="2"/>
  <c r="D14004" i="2"/>
  <c r="D14005" i="2"/>
  <c r="D14006" i="2"/>
  <c r="D14007" i="2"/>
  <c r="D14008" i="2"/>
  <c r="D14009" i="2"/>
  <c r="D14010" i="2"/>
  <c r="D14011" i="2"/>
  <c r="D14012" i="2"/>
  <c r="D14013" i="2"/>
  <c r="D14014" i="2"/>
  <c r="D14015" i="2"/>
  <c r="D14016" i="2"/>
  <c r="D14017" i="2"/>
  <c r="D14018" i="2"/>
  <c r="D14019" i="2"/>
  <c r="D14020" i="2"/>
  <c r="D14021" i="2"/>
  <c r="D14022" i="2"/>
  <c r="D14023" i="2"/>
  <c r="D14024" i="2"/>
  <c r="D14025" i="2"/>
  <c r="D14026" i="2"/>
  <c r="D14027" i="2"/>
  <c r="D14028" i="2"/>
  <c r="D14029" i="2"/>
  <c r="D14030" i="2"/>
  <c r="D14031" i="2"/>
  <c r="D14032" i="2"/>
  <c r="D14033" i="2"/>
  <c r="D14034" i="2"/>
  <c r="D14035" i="2"/>
  <c r="D14036" i="2"/>
  <c r="D14037" i="2"/>
  <c r="D14038" i="2"/>
  <c r="D14039" i="2"/>
  <c r="D14040" i="2"/>
  <c r="D14041" i="2"/>
  <c r="D14042" i="2"/>
  <c r="D14043" i="2"/>
  <c r="D14044" i="2"/>
  <c r="D14045" i="2"/>
  <c r="D14046" i="2"/>
  <c r="D14047" i="2"/>
  <c r="D14048" i="2"/>
  <c r="D14049" i="2"/>
  <c r="D14050" i="2"/>
  <c r="D14051" i="2"/>
  <c r="D14052" i="2"/>
  <c r="D14053" i="2"/>
  <c r="D14054" i="2"/>
  <c r="D14055" i="2"/>
  <c r="D14056" i="2"/>
  <c r="D14057" i="2"/>
  <c r="D14058" i="2"/>
  <c r="D14059" i="2"/>
  <c r="D14060" i="2"/>
  <c r="D14061" i="2"/>
  <c r="D14062" i="2"/>
  <c r="D14063" i="2"/>
  <c r="D14064" i="2"/>
  <c r="D14065" i="2"/>
  <c r="D14066" i="2"/>
  <c r="D14067" i="2"/>
  <c r="D14068" i="2"/>
  <c r="D14069" i="2"/>
  <c r="D14070" i="2"/>
  <c r="D14071" i="2"/>
  <c r="D14072" i="2"/>
  <c r="D14073" i="2"/>
  <c r="D14074" i="2"/>
  <c r="D14075" i="2"/>
  <c r="D14076" i="2"/>
  <c r="D14077" i="2"/>
  <c r="D14078" i="2"/>
  <c r="D14079" i="2"/>
  <c r="D14080" i="2"/>
  <c r="D14081" i="2"/>
  <c r="D14082" i="2"/>
  <c r="D14083" i="2"/>
  <c r="D14084" i="2"/>
  <c r="D14085" i="2"/>
  <c r="D14086" i="2"/>
  <c r="D14087" i="2"/>
  <c r="D14088" i="2"/>
  <c r="D14089" i="2"/>
  <c r="D14090" i="2"/>
  <c r="D14091" i="2"/>
  <c r="D14092" i="2"/>
  <c r="D14093" i="2"/>
  <c r="D14094" i="2"/>
  <c r="D14095" i="2"/>
  <c r="D14096" i="2"/>
  <c r="D14097" i="2"/>
  <c r="D14098" i="2"/>
  <c r="D14099" i="2"/>
  <c r="D14100" i="2"/>
  <c r="D14101" i="2"/>
  <c r="D14102" i="2"/>
  <c r="D14103" i="2"/>
  <c r="D14104" i="2"/>
  <c r="D14105" i="2"/>
  <c r="D14106" i="2"/>
  <c r="D14107" i="2"/>
  <c r="D14108" i="2"/>
  <c r="D14109" i="2"/>
  <c r="D14110" i="2"/>
  <c r="D14111" i="2"/>
  <c r="D14112" i="2"/>
  <c r="D14113" i="2"/>
  <c r="D14114" i="2"/>
  <c r="D14115" i="2"/>
  <c r="D14116" i="2"/>
  <c r="D14117" i="2"/>
  <c r="D14118" i="2"/>
  <c r="D14119" i="2"/>
  <c r="D14120" i="2"/>
  <c r="D14121" i="2"/>
  <c r="D14122" i="2"/>
  <c r="D14123" i="2"/>
  <c r="D14124" i="2"/>
  <c r="D14125" i="2"/>
  <c r="D14126" i="2"/>
  <c r="D14127" i="2"/>
  <c r="D14128" i="2"/>
  <c r="D14129" i="2"/>
  <c r="D14130" i="2"/>
  <c r="D14131" i="2"/>
  <c r="D14132" i="2"/>
  <c r="D14133" i="2"/>
  <c r="D14134" i="2"/>
  <c r="D14135" i="2"/>
  <c r="D14136" i="2"/>
  <c r="D14137" i="2"/>
  <c r="D14138" i="2"/>
  <c r="D14139" i="2"/>
  <c r="D14140" i="2"/>
  <c r="D14141" i="2"/>
  <c r="D14142" i="2"/>
  <c r="D14143" i="2"/>
  <c r="D14144" i="2"/>
  <c r="D14145" i="2"/>
  <c r="D14146" i="2"/>
  <c r="D14147" i="2"/>
  <c r="D14148" i="2"/>
  <c r="D14149" i="2"/>
  <c r="D14150" i="2"/>
  <c r="D14151" i="2"/>
  <c r="D14152" i="2"/>
  <c r="D14153" i="2"/>
  <c r="D14154" i="2"/>
  <c r="D14155" i="2"/>
  <c r="D14156" i="2"/>
  <c r="D14157" i="2"/>
  <c r="D14158" i="2"/>
  <c r="D14159" i="2"/>
  <c r="D14160" i="2"/>
  <c r="D14161" i="2"/>
  <c r="D14162" i="2"/>
  <c r="D14163" i="2"/>
  <c r="D14164" i="2"/>
  <c r="D14165" i="2"/>
  <c r="D14166" i="2"/>
  <c r="D14167" i="2"/>
  <c r="D14168" i="2"/>
  <c r="D14169" i="2"/>
  <c r="D14170" i="2"/>
  <c r="D14171" i="2"/>
  <c r="D14172" i="2"/>
  <c r="D14173" i="2"/>
  <c r="D14174" i="2"/>
  <c r="D14175" i="2"/>
  <c r="D14176" i="2"/>
  <c r="D14177" i="2"/>
  <c r="D14178" i="2"/>
  <c r="D14179" i="2"/>
  <c r="D14180" i="2"/>
  <c r="D14181" i="2"/>
  <c r="D14182" i="2"/>
  <c r="D14183" i="2"/>
  <c r="D14184" i="2"/>
  <c r="D14185" i="2"/>
  <c r="D14186" i="2"/>
  <c r="D14187" i="2"/>
  <c r="D14188" i="2"/>
  <c r="D14189" i="2"/>
  <c r="D14190" i="2"/>
  <c r="D14191" i="2"/>
  <c r="D14192" i="2"/>
  <c r="D14193" i="2"/>
  <c r="D14194" i="2"/>
  <c r="D14195" i="2"/>
  <c r="D14196" i="2"/>
  <c r="D14197" i="2"/>
  <c r="D14198" i="2"/>
  <c r="D14199" i="2"/>
  <c r="D14200" i="2"/>
  <c r="D14201" i="2"/>
  <c r="D14202" i="2"/>
  <c r="D14203" i="2"/>
  <c r="D14204" i="2"/>
  <c r="D14205" i="2"/>
  <c r="D14206" i="2"/>
  <c r="D14207" i="2"/>
  <c r="D14208" i="2"/>
  <c r="D14209" i="2"/>
  <c r="D14210" i="2"/>
  <c r="D14211" i="2"/>
  <c r="D14212" i="2"/>
  <c r="D14213" i="2"/>
  <c r="D14214" i="2"/>
  <c r="D14215" i="2"/>
  <c r="D14216" i="2"/>
  <c r="D14217" i="2"/>
  <c r="D14218" i="2"/>
  <c r="D14219" i="2"/>
  <c r="D14220" i="2"/>
  <c r="D14221" i="2"/>
  <c r="D14222" i="2"/>
  <c r="D14223" i="2"/>
  <c r="D14224" i="2"/>
  <c r="D14225" i="2"/>
  <c r="D14226" i="2"/>
  <c r="D14227" i="2"/>
  <c r="D14228" i="2"/>
  <c r="D14229" i="2"/>
  <c r="D14230" i="2"/>
  <c r="D14231" i="2"/>
  <c r="D14232" i="2"/>
  <c r="D14233" i="2"/>
  <c r="D14234" i="2"/>
  <c r="D14235" i="2"/>
  <c r="D14236" i="2"/>
  <c r="D14237" i="2"/>
  <c r="D14238" i="2"/>
  <c r="D14239" i="2"/>
  <c r="D14240" i="2"/>
  <c r="D14241" i="2"/>
  <c r="D14242" i="2"/>
  <c r="D14243" i="2"/>
  <c r="D14244" i="2"/>
  <c r="D14245" i="2"/>
  <c r="D14246" i="2"/>
  <c r="D14247" i="2"/>
  <c r="D14248" i="2"/>
  <c r="D14249" i="2"/>
  <c r="D14250" i="2"/>
  <c r="D14251" i="2"/>
  <c r="D14252" i="2"/>
  <c r="D14253" i="2"/>
  <c r="D14254" i="2"/>
  <c r="D14255" i="2"/>
  <c r="D14256" i="2"/>
  <c r="D14257" i="2"/>
  <c r="D14258" i="2"/>
  <c r="D14259" i="2"/>
  <c r="D14260" i="2"/>
  <c r="D14261" i="2"/>
  <c r="D14262" i="2"/>
  <c r="D14263" i="2"/>
  <c r="D14264" i="2"/>
  <c r="D14265" i="2"/>
  <c r="D14266" i="2"/>
  <c r="D14267" i="2"/>
  <c r="D14268" i="2"/>
  <c r="D14269" i="2"/>
  <c r="D14270" i="2"/>
  <c r="D14271" i="2"/>
  <c r="D14272" i="2"/>
  <c r="D14273" i="2"/>
  <c r="D14274" i="2"/>
  <c r="D14275" i="2"/>
  <c r="D14276" i="2"/>
  <c r="D14277" i="2"/>
  <c r="D14278" i="2"/>
  <c r="D14279" i="2"/>
  <c r="D14280" i="2"/>
  <c r="D14281" i="2"/>
  <c r="D14282" i="2"/>
  <c r="D14283" i="2"/>
  <c r="D14284" i="2"/>
  <c r="D14285" i="2"/>
  <c r="D14286" i="2"/>
  <c r="D14287" i="2"/>
  <c r="D14288" i="2"/>
  <c r="D14289" i="2"/>
  <c r="D14290" i="2"/>
  <c r="D14291" i="2"/>
  <c r="D14292" i="2"/>
  <c r="D14293" i="2"/>
  <c r="D14294" i="2"/>
  <c r="D14295" i="2"/>
  <c r="D14296" i="2"/>
  <c r="D14297" i="2"/>
  <c r="D14298" i="2"/>
  <c r="D14299" i="2"/>
  <c r="D14300" i="2"/>
  <c r="D14301" i="2"/>
  <c r="D14302" i="2"/>
  <c r="D14303" i="2"/>
  <c r="D14304" i="2"/>
  <c r="D14305" i="2"/>
  <c r="D14306" i="2"/>
  <c r="D14307" i="2"/>
  <c r="D14308" i="2"/>
  <c r="D14309" i="2"/>
  <c r="D14310" i="2"/>
  <c r="D14311" i="2"/>
  <c r="D14312" i="2"/>
  <c r="D14313" i="2"/>
  <c r="D14314" i="2"/>
  <c r="D14315" i="2"/>
  <c r="D14316" i="2"/>
  <c r="D14317" i="2"/>
  <c r="D14318" i="2"/>
  <c r="D14319" i="2"/>
  <c r="D14320" i="2"/>
  <c r="D14321" i="2"/>
  <c r="D14322" i="2"/>
  <c r="D14323" i="2"/>
  <c r="D14324" i="2"/>
  <c r="D14325" i="2"/>
  <c r="D14326" i="2"/>
  <c r="D14327" i="2"/>
  <c r="D14328" i="2"/>
  <c r="D14329" i="2"/>
  <c r="D14330" i="2"/>
  <c r="D14331" i="2"/>
  <c r="D14332" i="2"/>
  <c r="D14333" i="2"/>
  <c r="D14334" i="2"/>
  <c r="D14335" i="2"/>
  <c r="D14336" i="2"/>
  <c r="D14337" i="2"/>
  <c r="D14338" i="2"/>
  <c r="D14339" i="2"/>
  <c r="D14340" i="2"/>
  <c r="D14341" i="2"/>
  <c r="D14342" i="2"/>
  <c r="D14343" i="2"/>
  <c r="D14344" i="2"/>
  <c r="D14345" i="2"/>
  <c r="D14346" i="2"/>
  <c r="D14347" i="2"/>
  <c r="D14348" i="2"/>
  <c r="D14349" i="2"/>
  <c r="D14350" i="2"/>
  <c r="D14351" i="2"/>
  <c r="D14352" i="2"/>
  <c r="D14353" i="2"/>
  <c r="D14354" i="2"/>
  <c r="D14355" i="2"/>
  <c r="D14356" i="2"/>
  <c r="D14357" i="2"/>
  <c r="D14358" i="2"/>
  <c r="D14359" i="2"/>
  <c r="D14360" i="2"/>
  <c r="D14361" i="2"/>
  <c r="D14362" i="2"/>
  <c r="D14363" i="2"/>
  <c r="D14364" i="2"/>
  <c r="D14365" i="2"/>
  <c r="D14366" i="2"/>
  <c r="D14367" i="2"/>
  <c r="D14368" i="2"/>
  <c r="D14369" i="2"/>
  <c r="D14370" i="2"/>
  <c r="D14371" i="2"/>
  <c r="D14372" i="2"/>
  <c r="D14373" i="2"/>
  <c r="D14374" i="2"/>
  <c r="D14375" i="2"/>
  <c r="D14376" i="2"/>
  <c r="D14377" i="2"/>
  <c r="D14378" i="2"/>
  <c r="D14379" i="2"/>
  <c r="D14380" i="2"/>
  <c r="D14381" i="2"/>
  <c r="D14382" i="2"/>
  <c r="D14383" i="2"/>
  <c r="D14384" i="2"/>
  <c r="D14385" i="2"/>
  <c r="D14386" i="2"/>
  <c r="D14387" i="2"/>
  <c r="D14388" i="2"/>
  <c r="D14389" i="2"/>
  <c r="D14390" i="2"/>
  <c r="D14391" i="2"/>
  <c r="D14392" i="2"/>
  <c r="D14393" i="2"/>
  <c r="D14394" i="2"/>
  <c r="D14395" i="2"/>
  <c r="D14396" i="2"/>
  <c r="D14397" i="2"/>
  <c r="D14398" i="2"/>
  <c r="D14399" i="2"/>
  <c r="D14400" i="2"/>
  <c r="D14401" i="2"/>
  <c r="D14402" i="2"/>
  <c r="D14403" i="2"/>
  <c r="D14404" i="2"/>
  <c r="D14405" i="2"/>
  <c r="D14406" i="2"/>
  <c r="D14407" i="2"/>
  <c r="D14408" i="2"/>
  <c r="D14409" i="2"/>
  <c r="D14410" i="2"/>
  <c r="D14411" i="2"/>
  <c r="D14412" i="2"/>
  <c r="D14413" i="2"/>
  <c r="D14414" i="2"/>
  <c r="D14415" i="2"/>
  <c r="D14416" i="2"/>
  <c r="D14417" i="2"/>
  <c r="D14418" i="2"/>
  <c r="D14419" i="2"/>
  <c r="D14420" i="2"/>
  <c r="D14421" i="2"/>
  <c r="D14422" i="2"/>
  <c r="D14423" i="2"/>
  <c r="D14424" i="2"/>
  <c r="D14425" i="2"/>
  <c r="D14426" i="2"/>
  <c r="D14427" i="2"/>
  <c r="D14428" i="2"/>
  <c r="D14429" i="2"/>
  <c r="D14430" i="2"/>
  <c r="D14431" i="2"/>
  <c r="D14432" i="2"/>
  <c r="D14433" i="2"/>
  <c r="D14434" i="2"/>
  <c r="D14435" i="2"/>
  <c r="D14436" i="2"/>
  <c r="D14437" i="2"/>
  <c r="D14438" i="2"/>
  <c r="D14439" i="2"/>
  <c r="D14440" i="2"/>
  <c r="D14441" i="2"/>
  <c r="D14442" i="2"/>
  <c r="D14443" i="2"/>
  <c r="D14444" i="2"/>
  <c r="D14445" i="2"/>
  <c r="D14446" i="2"/>
  <c r="D14447" i="2"/>
  <c r="D14448" i="2"/>
  <c r="D14449" i="2"/>
  <c r="D14450" i="2"/>
  <c r="D14451" i="2"/>
  <c r="D14452" i="2"/>
  <c r="D14453" i="2"/>
  <c r="D14454" i="2"/>
  <c r="D14455" i="2"/>
  <c r="D14456" i="2"/>
  <c r="D14457" i="2"/>
  <c r="D14458" i="2"/>
  <c r="D14459" i="2"/>
  <c r="D14460" i="2"/>
  <c r="D14461" i="2"/>
  <c r="D14462" i="2"/>
  <c r="D14463" i="2"/>
  <c r="D14464" i="2"/>
  <c r="D14465" i="2"/>
  <c r="D14466" i="2"/>
  <c r="D14467" i="2"/>
  <c r="D14468" i="2"/>
  <c r="D14469" i="2"/>
  <c r="D14470" i="2"/>
  <c r="D14471" i="2"/>
  <c r="D14472" i="2"/>
  <c r="D14473" i="2"/>
  <c r="D14474" i="2"/>
  <c r="D14475" i="2"/>
  <c r="D14476" i="2"/>
  <c r="D14477" i="2"/>
  <c r="D14478" i="2"/>
  <c r="D14479" i="2"/>
  <c r="D14480" i="2"/>
  <c r="D14481" i="2"/>
  <c r="D14482" i="2"/>
  <c r="D14483" i="2"/>
  <c r="D14484" i="2"/>
  <c r="D14485" i="2"/>
  <c r="D14486" i="2"/>
  <c r="D14487" i="2"/>
  <c r="D14488" i="2"/>
  <c r="D14489" i="2"/>
  <c r="D14490" i="2"/>
  <c r="D14491" i="2"/>
  <c r="D14492" i="2"/>
  <c r="D14493" i="2"/>
  <c r="D14494" i="2"/>
  <c r="D14495" i="2"/>
  <c r="D14496" i="2"/>
  <c r="D14497" i="2"/>
  <c r="D14498" i="2"/>
  <c r="D14499" i="2"/>
  <c r="D14500" i="2"/>
  <c r="D14501" i="2"/>
  <c r="D14502" i="2"/>
  <c r="D14503" i="2"/>
  <c r="D14504" i="2"/>
  <c r="D14505" i="2"/>
  <c r="D14506" i="2"/>
  <c r="D14507" i="2"/>
  <c r="D14508" i="2"/>
  <c r="D14509" i="2"/>
  <c r="D14510" i="2"/>
  <c r="D14511" i="2"/>
  <c r="D14512" i="2"/>
  <c r="D14513" i="2"/>
  <c r="D14514" i="2"/>
  <c r="D14515" i="2"/>
  <c r="D14516" i="2"/>
  <c r="D14517" i="2"/>
  <c r="D14518" i="2"/>
  <c r="D14519" i="2"/>
  <c r="D14520" i="2"/>
  <c r="D14521" i="2"/>
  <c r="D14522" i="2"/>
  <c r="D14523" i="2"/>
  <c r="D14524" i="2"/>
  <c r="D14525" i="2"/>
  <c r="D14526" i="2"/>
  <c r="D14527" i="2"/>
  <c r="D14528" i="2"/>
  <c r="D14529" i="2"/>
  <c r="D14530" i="2"/>
  <c r="D14531" i="2"/>
  <c r="D14532" i="2"/>
  <c r="D14533" i="2"/>
  <c r="D14534" i="2"/>
  <c r="D14535" i="2"/>
  <c r="D14536" i="2"/>
  <c r="D14537" i="2"/>
  <c r="D14538" i="2"/>
  <c r="D14539" i="2"/>
  <c r="D14540" i="2"/>
  <c r="D14541" i="2"/>
  <c r="D14542" i="2"/>
  <c r="D14543" i="2"/>
  <c r="D14544" i="2"/>
  <c r="D14545" i="2"/>
  <c r="D14546" i="2"/>
  <c r="D14547" i="2"/>
  <c r="D14548" i="2"/>
  <c r="D14549" i="2"/>
  <c r="D14550" i="2"/>
  <c r="D14551" i="2"/>
  <c r="D14552" i="2"/>
  <c r="D14553" i="2"/>
  <c r="D14554" i="2"/>
  <c r="D14555" i="2"/>
  <c r="D14556" i="2"/>
  <c r="D14557" i="2"/>
  <c r="D14558" i="2"/>
  <c r="D14559" i="2"/>
  <c r="D14560" i="2"/>
  <c r="D14561" i="2"/>
  <c r="D14562" i="2"/>
  <c r="D14563" i="2"/>
  <c r="D14564" i="2"/>
  <c r="D14565" i="2"/>
  <c r="D14566" i="2"/>
  <c r="D14567" i="2"/>
  <c r="D14568" i="2"/>
  <c r="D14569" i="2"/>
  <c r="D14570" i="2"/>
  <c r="D14571" i="2"/>
  <c r="D14572" i="2"/>
  <c r="D14573" i="2"/>
  <c r="D14574" i="2"/>
  <c r="D14575" i="2"/>
  <c r="D14576" i="2"/>
  <c r="D14577" i="2"/>
  <c r="D14578" i="2"/>
  <c r="D14579" i="2"/>
  <c r="D14580" i="2"/>
  <c r="D14581" i="2"/>
  <c r="D14582" i="2"/>
  <c r="D14583" i="2"/>
  <c r="D14584" i="2"/>
  <c r="D14585" i="2"/>
  <c r="D14586" i="2"/>
  <c r="D14587" i="2"/>
  <c r="D14588" i="2"/>
  <c r="D14589" i="2"/>
  <c r="D14590" i="2"/>
  <c r="D14591" i="2"/>
  <c r="D14592" i="2"/>
  <c r="D14593" i="2"/>
  <c r="D14594" i="2"/>
  <c r="D14595" i="2"/>
  <c r="D14596" i="2"/>
  <c r="D14597" i="2"/>
  <c r="D14598" i="2"/>
  <c r="D14599" i="2"/>
  <c r="D14600" i="2"/>
  <c r="D14601" i="2"/>
  <c r="D14602" i="2"/>
  <c r="D14603" i="2"/>
  <c r="D14604" i="2"/>
  <c r="D14605" i="2"/>
  <c r="D14606" i="2"/>
  <c r="D14607" i="2"/>
  <c r="D14608" i="2"/>
  <c r="D14609" i="2"/>
  <c r="D14610" i="2"/>
  <c r="D14611" i="2"/>
  <c r="D14612" i="2"/>
  <c r="D14613" i="2"/>
  <c r="D14614" i="2"/>
  <c r="D14615" i="2"/>
  <c r="D14616" i="2"/>
  <c r="D14617" i="2"/>
  <c r="D14618" i="2"/>
  <c r="D14619" i="2"/>
  <c r="D14620" i="2"/>
  <c r="D14621" i="2"/>
  <c r="D14622" i="2"/>
  <c r="D14623" i="2"/>
  <c r="D14624" i="2"/>
  <c r="D14625" i="2"/>
  <c r="D14626" i="2"/>
  <c r="D14627" i="2"/>
  <c r="D14628" i="2"/>
  <c r="D14629" i="2"/>
  <c r="D14630" i="2"/>
  <c r="D14631" i="2"/>
  <c r="D14632" i="2"/>
  <c r="D14633" i="2"/>
  <c r="D14634" i="2"/>
  <c r="D14635" i="2"/>
  <c r="D14636" i="2"/>
  <c r="D14637" i="2"/>
  <c r="D14638" i="2"/>
  <c r="D14639" i="2"/>
  <c r="D14640" i="2"/>
  <c r="D14641" i="2"/>
  <c r="D14642" i="2"/>
  <c r="D14643" i="2"/>
  <c r="D14644" i="2"/>
  <c r="D14645" i="2"/>
  <c r="D14646" i="2"/>
  <c r="D14647" i="2"/>
  <c r="D14648" i="2"/>
  <c r="D14649" i="2"/>
  <c r="D14650" i="2"/>
  <c r="D14651" i="2"/>
  <c r="D14652" i="2"/>
  <c r="D14653" i="2"/>
  <c r="D14654" i="2"/>
  <c r="D14655" i="2"/>
  <c r="D14656" i="2"/>
  <c r="D14657" i="2"/>
  <c r="D14658" i="2"/>
  <c r="D14659" i="2"/>
  <c r="D14660" i="2"/>
  <c r="D14661" i="2"/>
  <c r="D14662" i="2"/>
  <c r="D14663" i="2"/>
  <c r="D14664" i="2"/>
  <c r="D14665" i="2"/>
  <c r="D14666" i="2"/>
  <c r="D14667" i="2"/>
  <c r="D14668" i="2"/>
  <c r="D14669" i="2"/>
  <c r="D14670" i="2"/>
  <c r="D14671" i="2"/>
  <c r="D14672" i="2"/>
  <c r="D14673" i="2"/>
  <c r="D14674" i="2"/>
  <c r="D14675" i="2"/>
  <c r="D14676" i="2"/>
  <c r="D14677" i="2"/>
  <c r="D14678" i="2"/>
  <c r="D14679" i="2"/>
  <c r="D14680" i="2"/>
  <c r="D14681" i="2"/>
  <c r="D14682" i="2"/>
  <c r="D14683" i="2"/>
  <c r="D14684" i="2"/>
  <c r="D14685" i="2"/>
  <c r="D14686" i="2"/>
  <c r="D14687" i="2"/>
  <c r="D14688" i="2"/>
  <c r="D14689" i="2"/>
  <c r="D14690" i="2"/>
  <c r="D14691" i="2"/>
  <c r="D14692" i="2"/>
  <c r="D14693" i="2"/>
  <c r="D14694" i="2"/>
  <c r="D14695" i="2"/>
  <c r="D14696" i="2"/>
  <c r="D14697" i="2"/>
  <c r="D14698" i="2"/>
  <c r="D14699" i="2"/>
  <c r="D14700" i="2"/>
  <c r="D14701" i="2"/>
  <c r="D14702" i="2"/>
  <c r="D14703" i="2"/>
  <c r="D14704" i="2"/>
  <c r="D14705" i="2"/>
  <c r="D14706" i="2"/>
  <c r="D14707" i="2"/>
  <c r="D14708" i="2"/>
  <c r="D14709" i="2"/>
  <c r="D14710" i="2"/>
  <c r="D14711" i="2"/>
  <c r="D14712" i="2"/>
  <c r="D14713" i="2"/>
  <c r="D14714" i="2"/>
  <c r="D14715" i="2"/>
  <c r="D14716" i="2"/>
  <c r="D14717" i="2"/>
  <c r="D14718" i="2"/>
  <c r="D14719" i="2"/>
  <c r="D14720" i="2"/>
  <c r="D14721" i="2"/>
  <c r="D14722" i="2"/>
  <c r="D14723" i="2"/>
  <c r="D14724" i="2"/>
  <c r="D14725" i="2"/>
  <c r="D14726" i="2"/>
  <c r="D14727" i="2"/>
  <c r="D14728" i="2"/>
  <c r="D14729" i="2"/>
  <c r="D14730" i="2"/>
  <c r="D14731" i="2"/>
  <c r="D14732" i="2"/>
  <c r="D14733" i="2"/>
  <c r="D14734" i="2"/>
  <c r="D14735" i="2"/>
  <c r="D14736" i="2"/>
  <c r="D14737" i="2"/>
  <c r="D14738" i="2"/>
  <c r="D14739" i="2"/>
  <c r="D14740" i="2"/>
  <c r="D14741" i="2"/>
  <c r="D14742" i="2"/>
  <c r="D14743" i="2"/>
  <c r="D14744" i="2"/>
  <c r="D14745" i="2"/>
  <c r="D14746" i="2"/>
  <c r="D14747" i="2"/>
  <c r="D14748" i="2"/>
  <c r="D14749" i="2"/>
  <c r="D14750" i="2"/>
  <c r="D14751" i="2"/>
  <c r="D14752" i="2"/>
  <c r="D14753" i="2"/>
  <c r="D14754" i="2"/>
  <c r="D14755" i="2"/>
  <c r="D14756" i="2"/>
  <c r="D14757" i="2"/>
  <c r="D14758" i="2"/>
  <c r="D14759" i="2"/>
  <c r="D14760" i="2"/>
  <c r="D14761" i="2"/>
  <c r="D14762" i="2"/>
  <c r="D14763" i="2"/>
  <c r="D14764" i="2"/>
  <c r="D14765" i="2"/>
  <c r="D14766" i="2"/>
  <c r="D14767" i="2"/>
  <c r="D14768" i="2"/>
  <c r="D14769" i="2"/>
  <c r="D14770" i="2"/>
  <c r="D14771" i="2"/>
  <c r="D14772" i="2"/>
  <c r="D14773" i="2"/>
  <c r="D14774" i="2"/>
  <c r="D14775" i="2"/>
  <c r="D14776" i="2"/>
  <c r="D14777" i="2"/>
  <c r="D14778" i="2"/>
  <c r="D14779" i="2"/>
  <c r="D14780" i="2"/>
  <c r="D14781" i="2"/>
  <c r="D14782" i="2"/>
  <c r="D14783" i="2"/>
  <c r="D14784" i="2"/>
  <c r="D14785" i="2"/>
  <c r="D14786" i="2"/>
  <c r="D14787" i="2"/>
  <c r="D14788" i="2"/>
  <c r="D14789" i="2"/>
  <c r="D14790" i="2"/>
  <c r="D14791" i="2"/>
  <c r="D14792" i="2"/>
  <c r="D14793" i="2"/>
  <c r="D14794" i="2"/>
  <c r="D14795" i="2"/>
  <c r="D14796" i="2"/>
  <c r="D14797" i="2"/>
  <c r="D14798" i="2"/>
  <c r="D14799" i="2"/>
  <c r="D14800" i="2"/>
  <c r="D14801" i="2"/>
  <c r="D14802" i="2"/>
  <c r="D14803" i="2"/>
  <c r="D14804" i="2"/>
  <c r="D14805" i="2"/>
  <c r="D14806" i="2"/>
  <c r="D14807" i="2"/>
  <c r="D14808" i="2"/>
  <c r="D14809" i="2"/>
  <c r="D14810" i="2"/>
  <c r="D14811" i="2"/>
  <c r="D14812" i="2"/>
  <c r="D14813" i="2"/>
  <c r="D14814" i="2"/>
  <c r="D14815" i="2"/>
  <c r="D14816" i="2"/>
  <c r="D14817" i="2"/>
  <c r="D14818" i="2"/>
  <c r="D14819" i="2"/>
  <c r="D14820" i="2"/>
  <c r="D14821" i="2"/>
  <c r="D14822" i="2"/>
  <c r="D14823" i="2"/>
  <c r="D14824" i="2"/>
  <c r="D14825" i="2"/>
  <c r="D14826" i="2"/>
  <c r="D14827" i="2"/>
  <c r="D14828" i="2"/>
  <c r="D14829" i="2"/>
  <c r="D14830" i="2"/>
  <c r="D14831" i="2"/>
  <c r="D14832" i="2"/>
  <c r="D14833" i="2"/>
  <c r="D14834" i="2"/>
  <c r="D14835" i="2"/>
  <c r="D14836" i="2"/>
  <c r="D14837" i="2"/>
  <c r="D14838" i="2"/>
  <c r="D14839" i="2"/>
  <c r="D14840" i="2"/>
  <c r="D14841" i="2"/>
  <c r="D14842" i="2"/>
  <c r="D14843" i="2"/>
  <c r="D14844" i="2"/>
  <c r="D14845" i="2"/>
  <c r="D14846" i="2"/>
  <c r="D14847" i="2"/>
  <c r="D14848" i="2"/>
  <c r="D14849" i="2"/>
  <c r="D14850" i="2"/>
  <c r="D14851" i="2"/>
  <c r="D14852" i="2"/>
  <c r="D14853" i="2"/>
  <c r="D14854" i="2"/>
  <c r="D14855" i="2"/>
  <c r="D14856" i="2"/>
  <c r="D14857" i="2"/>
  <c r="D14858" i="2"/>
  <c r="D14859" i="2"/>
  <c r="D14860" i="2"/>
  <c r="D14861" i="2"/>
  <c r="D14862" i="2"/>
  <c r="D14863" i="2"/>
  <c r="D14864" i="2"/>
  <c r="D14865" i="2"/>
  <c r="D14866" i="2"/>
  <c r="D14867" i="2"/>
  <c r="D14868" i="2"/>
  <c r="D14869" i="2"/>
  <c r="D14870" i="2"/>
  <c r="D14871" i="2"/>
  <c r="D14872" i="2"/>
  <c r="D14873" i="2"/>
  <c r="D14874" i="2"/>
  <c r="D14875" i="2"/>
  <c r="D14876" i="2"/>
  <c r="D14877" i="2"/>
  <c r="D14878" i="2"/>
  <c r="D14879" i="2"/>
  <c r="D14880" i="2"/>
  <c r="D14881" i="2"/>
  <c r="D14882" i="2"/>
  <c r="D14883" i="2"/>
  <c r="D14884" i="2"/>
  <c r="D14885" i="2"/>
  <c r="D14886" i="2"/>
  <c r="D14887" i="2"/>
  <c r="D14888" i="2"/>
  <c r="D14889" i="2"/>
  <c r="D14890" i="2"/>
  <c r="D14891" i="2"/>
  <c r="D14892" i="2"/>
  <c r="D14893" i="2"/>
  <c r="D14894" i="2"/>
  <c r="D14895" i="2"/>
  <c r="D14896" i="2"/>
  <c r="D14897" i="2"/>
  <c r="D14898" i="2"/>
  <c r="D14899" i="2"/>
  <c r="D14900" i="2"/>
  <c r="D14901" i="2"/>
  <c r="D14902" i="2"/>
  <c r="D14903" i="2"/>
  <c r="D14904" i="2"/>
  <c r="D14905" i="2"/>
  <c r="D14906" i="2"/>
  <c r="D14907" i="2"/>
  <c r="D14908" i="2"/>
  <c r="D14909" i="2"/>
  <c r="D14910" i="2"/>
  <c r="D14911" i="2"/>
  <c r="D14912" i="2"/>
  <c r="D14913" i="2"/>
  <c r="D14914" i="2"/>
  <c r="D14915" i="2"/>
  <c r="D14916" i="2"/>
  <c r="D14917" i="2"/>
  <c r="D14918" i="2"/>
  <c r="D14919" i="2"/>
  <c r="D14920" i="2"/>
  <c r="D14921" i="2"/>
  <c r="D14922" i="2"/>
  <c r="D14923" i="2"/>
  <c r="D14924" i="2"/>
  <c r="D14925" i="2"/>
  <c r="D14926" i="2"/>
  <c r="D14927" i="2"/>
  <c r="D14928" i="2"/>
  <c r="D14929" i="2"/>
  <c r="D14930" i="2"/>
  <c r="D14931" i="2"/>
  <c r="D14932" i="2"/>
  <c r="D14933" i="2"/>
  <c r="D14934" i="2"/>
  <c r="D14935" i="2"/>
  <c r="D14936" i="2"/>
  <c r="D14937" i="2"/>
  <c r="D14938" i="2"/>
  <c r="D14939" i="2"/>
  <c r="D14940" i="2"/>
  <c r="D14941" i="2"/>
  <c r="D14942" i="2"/>
  <c r="D14943" i="2"/>
  <c r="D14944" i="2"/>
  <c r="D14945" i="2"/>
  <c r="D14946" i="2"/>
  <c r="D14947" i="2"/>
  <c r="D14948" i="2"/>
  <c r="D14949" i="2"/>
  <c r="D14950" i="2"/>
  <c r="D14951" i="2"/>
  <c r="D14952" i="2"/>
  <c r="D14953" i="2"/>
  <c r="D14954" i="2"/>
  <c r="D14955" i="2"/>
  <c r="D14956" i="2"/>
  <c r="D14957" i="2"/>
  <c r="D14958" i="2"/>
  <c r="D14959" i="2"/>
  <c r="D14960" i="2"/>
  <c r="D14961" i="2"/>
  <c r="D14962" i="2"/>
  <c r="D14963" i="2"/>
  <c r="D14964" i="2"/>
  <c r="D14965" i="2"/>
  <c r="D14966" i="2"/>
  <c r="D14967" i="2"/>
  <c r="D14968" i="2"/>
  <c r="D14969" i="2"/>
  <c r="D14970" i="2"/>
  <c r="D14971" i="2"/>
  <c r="D14972" i="2"/>
  <c r="D14973" i="2"/>
  <c r="D14974" i="2"/>
  <c r="D14975" i="2"/>
  <c r="D14976" i="2"/>
  <c r="D14977" i="2"/>
  <c r="D14978" i="2"/>
  <c r="D14979" i="2"/>
  <c r="D14980" i="2"/>
  <c r="D14981" i="2"/>
  <c r="D14982" i="2"/>
  <c r="D14983" i="2"/>
  <c r="D14984" i="2"/>
  <c r="D14985" i="2"/>
  <c r="D14986" i="2"/>
  <c r="D14987" i="2"/>
  <c r="D14988" i="2"/>
  <c r="D14989" i="2"/>
  <c r="D14990" i="2"/>
  <c r="D14991" i="2"/>
  <c r="D14992" i="2"/>
  <c r="D14993" i="2"/>
  <c r="D14994" i="2"/>
  <c r="D14995" i="2"/>
  <c r="D14996" i="2"/>
  <c r="D14997" i="2"/>
  <c r="D14998" i="2"/>
  <c r="D14999" i="2"/>
  <c r="D15000" i="2"/>
  <c r="D15001" i="2"/>
  <c r="D15002" i="2"/>
  <c r="D15003" i="2"/>
  <c r="D15004" i="2"/>
  <c r="D15005" i="2"/>
  <c r="D15006" i="2"/>
  <c r="D15007" i="2"/>
  <c r="D15008" i="2"/>
  <c r="D15009" i="2"/>
  <c r="D15010" i="2"/>
  <c r="D15011" i="2"/>
  <c r="D15012" i="2"/>
  <c r="D15013" i="2"/>
  <c r="D15014" i="2"/>
  <c r="D15015" i="2"/>
  <c r="D15016" i="2"/>
  <c r="D15017" i="2"/>
  <c r="D15018" i="2"/>
  <c r="D15019" i="2"/>
  <c r="D15020" i="2"/>
  <c r="D15021" i="2"/>
  <c r="D15022" i="2"/>
  <c r="D15023" i="2"/>
  <c r="D15024" i="2"/>
  <c r="D15025" i="2"/>
  <c r="D15026" i="2"/>
  <c r="D15027" i="2"/>
  <c r="D15028" i="2"/>
  <c r="D15029" i="2"/>
  <c r="D15030" i="2"/>
  <c r="D15031" i="2"/>
  <c r="D15032" i="2"/>
  <c r="D15033" i="2"/>
  <c r="D15034" i="2"/>
  <c r="D15035" i="2"/>
  <c r="D15036" i="2"/>
  <c r="D15037" i="2"/>
  <c r="D15038" i="2"/>
  <c r="D15039" i="2"/>
  <c r="D15040" i="2"/>
  <c r="D15041" i="2"/>
  <c r="D15042" i="2"/>
  <c r="D15043" i="2"/>
  <c r="D15044" i="2"/>
  <c r="D15045" i="2"/>
  <c r="D15046" i="2"/>
  <c r="D15047" i="2"/>
  <c r="D15048" i="2"/>
  <c r="D15049" i="2"/>
  <c r="D15050" i="2"/>
  <c r="D15051" i="2"/>
  <c r="D15052" i="2"/>
  <c r="D15053" i="2"/>
  <c r="D15054" i="2"/>
  <c r="D15055" i="2"/>
  <c r="D15056" i="2"/>
  <c r="D15057" i="2"/>
  <c r="D15058" i="2"/>
  <c r="D15059" i="2"/>
  <c r="D15060" i="2"/>
  <c r="D15061" i="2"/>
  <c r="D15062" i="2"/>
  <c r="D15063" i="2"/>
  <c r="D15064" i="2"/>
  <c r="D15065" i="2"/>
  <c r="D15066" i="2"/>
  <c r="D15067" i="2"/>
  <c r="D15068" i="2"/>
  <c r="D15069" i="2"/>
  <c r="D15070" i="2"/>
  <c r="D15071" i="2"/>
  <c r="D15072" i="2"/>
  <c r="D15073" i="2"/>
  <c r="D15074" i="2"/>
  <c r="D15075" i="2"/>
  <c r="D15076" i="2"/>
  <c r="D15077" i="2"/>
  <c r="D15078" i="2"/>
  <c r="D15079" i="2"/>
  <c r="D15080" i="2"/>
  <c r="D15081" i="2"/>
  <c r="D15082" i="2"/>
  <c r="D15083" i="2"/>
  <c r="D15084" i="2"/>
  <c r="D15085" i="2"/>
  <c r="D15086" i="2"/>
  <c r="D15087" i="2"/>
  <c r="D15088" i="2"/>
  <c r="D15089" i="2"/>
  <c r="D15090" i="2"/>
  <c r="D15091" i="2"/>
  <c r="D15092" i="2"/>
  <c r="D15093" i="2"/>
  <c r="D15094" i="2"/>
  <c r="D15095" i="2"/>
  <c r="D15096" i="2"/>
  <c r="D15097" i="2"/>
  <c r="D15098" i="2"/>
  <c r="D15099" i="2"/>
  <c r="D15100" i="2"/>
  <c r="D15101" i="2"/>
  <c r="D15102" i="2"/>
  <c r="D15103" i="2"/>
  <c r="D15104" i="2"/>
  <c r="D15105" i="2"/>
  <c r="D15106" i="2"/>
  <c r="D15107" i="2"/>
  <c r="D15108" i="2"/>
  <c r="D15109" i="2"/>
  <c r="D15110" i="2"/>
  <c r="D15111" i="2"/>
  <c r="D15112" i="2"/>
  <c r="D15113" i="2"/>
  <c r="D15114" i="2"/>
  <c r="D15115" i="2"/>
  <c r="D15116" i="2"/>
  <c r="D15117" i="2"/>
  <c r="D15118" i="2"/>
  <c r="D15119" i="2"/>
  <c r="D15120" i="2"/>
  <c r="D15121" i="2"/>
  <c r="D15122" i="2"/>
  <c r="D15123" i="2"/>
  <c r="D15124" i="2"/>
  <c r="D15125" i="2"/>
  <c r="D15126" i="2"/>
  <c r="D15127" i="2"/>
  <c r="D15128" i="2"/>
  <c r="D15129" i="2"/>
  <c r="D15130" i="2"/>
  <c r="D15131" i="2"/>
  <c r="D15132" i="2"/>
  <c r="D15133" i="2"/>
  <c r="D15134" i="2"/>
  <c r="D15135" i="2"/>
  <c r="D15136" i="2"/>
  <c r="D15137" i="2"/>
  <c r="D15138" i="2"/>
  <c r="D15139" i="2"/>
  <c r="D15140" i="2"/>
  <c r="D15141" i="2"/>
  <c r="D15142" i="2"/>
  <c r="D15143" i="2"/>
  <c r="D15144" i="2"/>
  <c r="D15145" i="2"/>
  <c r="D15146" i="2"/>
  <c r="D15147" i="2"/>
  <c r="D15148" i="2"/>
  <c r="D15149" i="2"/>
  <c r="D15150" i="2"/>
  <c r="D15151" i="2"/>
  <c r="D15152" i="2"/>
  <c r="D15153" i="2"/>
  <c r="D15154" i="2"/>
  <c r="D15155" i="2"/>
  <c r="D15156" i="2"/>
  <c r="D15157" i="2"/>
  <c r="D15158" i="2"/>
  <c r="D15159" i="2"/>
  <c r="D15160" i="2"/>
  <c r="D15161" i="2"/>
  <c r="D15162" i="2"/>
  <c r="D15163" i="2"/>
  <c r="D15164" i="2"/>
  <c r="D15165" i="2"/>
  <c r="D15166" i="2"/>
  <c r="D15167" i="2"/>
  <c r="D15168" i="2"/>
  <c r="D15169" i="2"/>
  <c r="D15170" i="2"/>
  <c r="D15171" i="2"/>
  <c r="D15172" i="2"/>
  <c r="D15173" i="2"/>
  <c r="D15174" i="2"/>
  <c r="D15175" i="2"/>
  <c r="D15176" i="2"/>
  <c r="D15177" i="2"/>
  <c r="D15178" i="2"/>
  <c r="D15179" i="2"/>
  <c r="D15180" i="2"/>
  <c r="D15181" i="2"/>
  <c r="D15182" i="2"/>
  <c r="D15183" i="2"/>
  <c r="D15184" i="2"/>
  <c r="D15185" i="2"/>
  <c r="D15186" i="2"/>
  <c r="D15187" i="2"/>
  <c r="D15188" i="2"/>
  <c r="D15189" i="2"/>
  <c r="D15190" i="2"/>
  <c r="D15191" i="2"/>
  <c r="D15192" i="2"/>
  <c r="D15193" i="2"/>
  <c r="D15194" i="2"/>
  <c r="D15195" i="2"/>
  <c r="D15196" i="2"/>
  <c r="D15197" i="2"/>
  <c r="D15198" i="2"/>
  <c r="D15199" i="2"/>
  <c r="D15200" i="2"/>
  <c r="D15201" i="2"/>
  <c r="D15202" i="2"/>
  <c r="D15203" i="2"/>
  <c r="D15204" i="2"/>
  <c r="D15205" i="2"/>
  <c r="D15206" i="2"/>
  <c r="D15207" i="2"/>
  <c r="D15208" i="2"/>
  <c r="D15209" i="2"/>
  <c r="D15210" i="2"/>
  <c r="D15211" i="2"/>
  <c r="D15212" i="2"/>
  <c r="D15213" i="2"/>
  <c r="D15214" i="2"/>
  <c r="D15215" i="2"/>
  <c r="D15216" i="2"/>
  <c r="D15217" i="2"/>
  <c r="D15218" i="2"/>
  <c r="D15219" i="2"/>
  <c r="D15220" i="2"/>
  <c r="D15221" i="2"/>
  <c r="D15222" i="2"/>
  <c r="D15223" i="2"/>
  <c r="D15224" i="2"/>
  <c r="D15225" i="2"/>
  <c r="D15226" i="2"/>
  <c r="D15227" i="2"/>
  <c r="D15228" i="2"/>
  <c r="D15229" i="2"/>
  <c r="D15230" i="2"/>
  <c r="D15231" i="2"/>
  <c r="D15232" i="2"/>
  <c r="D15233" i="2"/>
  <c r="D15234" i="2"/>
  <c r="D15235" i="2"/>
  <c r="D15236" i="2"/>
  <c r="D15237" i="2"/>
  <c r="D15238" i="2"/>
  <c r="D15239" i="2"/>
  <c r="D15240" i="2"/>
  <c r="D15241" i="2"/>
  <c r="D15242" i="2"/>
  <c r="D15243" i="2"/>
  <c r="D15244" i="2"/>
  <c r="D15245" i="2"/>
  <c r="D15246" i="2"/>
  <c r="D15247" i="2"/>
  <c r="D15248" i="2"/>
  <c r="D15249" i="2"/>
  <c r="D15250" i="2"/>
  <c r="D15251" i="2"/>
  <c r="D15252" i="2"/>
  <c r="D15253" i="2"/>
  <c r="D15254" i="2"/>
  <c r="D15255" i="2"/>
  <c r="D15256" i="2"/>
  <c r="D15257" i="2"/>
  <c r="D15258" i="2"/>
  <c r="D15259" i="2"/>
  <c r="D15260" i="2"/>
  <c r="D15261" i="2"/>
  <c r="D15262" i="2"/>
  <c r="D15263" i="2"/>
  <c r="D15264" i="2"/>
  <c r="D15265" i="2"/>
  <c r="D15266" i="2"/>
  <c r="D15267" i="2"/>
  <c r="D15268" i="2"/>
  <c r="D15269" i="2"/>
  <c r="D15270" i="2"/>
  <c r="D15271" i="2"/>
  <c r="D15272" i="2"/>
  <c r="D15273" i="2"/>
  <c r="D15274" i="2"/>
  <c r="D15275" i="2"/>
  <c r="D15276" i="2"/>
  <c r="D15277" i="2"/>
  <c r="D15278" i="2"/>
  <c r="D15279" i="2"/>
  <c r="D15280" i="2"/>
  <c r="D15281" i="2"/>
  <c r="D15282" i="2"/>
  <c r="D15283" i="2"/>
  <c r="D15284" i="2"/>
  <c r="D15285" i="2"/>
  <c r="D15286" i="2"/>
  <c r="D15287" i="2"/>
  <c r="D15288" i="2"/>
  <c r="D15289" i="2"/>
  <c r="D15290" i="2"/>
  <c r="D15291" i="2"/>
  <c r="D15292" i="2"/>
  <c r="D15293" i="2"/>
  <c r="D15294" i="2"/>
  <c r="D15295" i="2"/>
  <c r="D15296" i="2"/>
  <c r="D15297" i="2"/>
  <c r="D15298" i="2"/>
  <c r="D15299" i="2"/>
  <c r="D15300" i="2"/>
  <c r="D15301" i="2"/>
  <c r="D15302" i="2"/>
  <c r="D15303" i="2"/>
  <c r="D15304" i="2"/>
  <c r="D15305" i="2"/>
  <c r="D15306" i="2"/>
  <c r="D15307" i="2"/>
  <c r="D15308" i="2"/>
  <c r="D15309" i="2"/>
  <c r="D15310" i="2"/>
  <c r="D15311" i="2"/>
  <c r="D15312" i="2"/>
  <c r="D15313" i="2"/>
  <c r="D15314" i="2"/>
  <c r="D15315" i="2"/>
  <c r="D15316" i="2"/>
  <c r="D15317" i="2"/>
  <c r="D15318" i="2"/>
  <c r="D15319" i="2"/>
  <c r="D15320" i="2"/>
  <c r="D15321" i="2"/>
  <c r="D15322" i="2"/>
  <c r="D15323" i="2"/>
  <c r="D15324" i="2"/>
  <c r="D15325" i="2"/>
  <c r="D15326" i="2"/>
  <c r="D15327" i="2"/>
  <c r="D15328" i="2"/>
  <c r="D15329" i="2"/>
  <c r="D15330" i="2"/>
  <c r="D15331" i="2"/>
  <c r="D15332" i="2"/>
  <c r="D15333" i="2"/>
  <c r="D15334" i="2"/>
  <c r="D15335" i="2"/>
  <c r="D15336" i="2"/>
  <c r="D15337" i="2"/>
  <c r="D15338" i="2"/>
  <c r="D15339" i="2"/>
  <c r="D15340" i="2"/>
  <c r="D15341" i="2"/>
  <c r="D15342" i="2"/>
  <c r="D15343" i="2"/>
  <c r="D15344" i="2"/>
  <c r="D15345" i="2"/>
  <c r="D15346" i="2"/>
  <c r="D15347" i="2"/>
  <c r="D15348" i="2"/>
  <c r="D15349" i="2"/>
  <c r="D15350" i="2"/>
  <c r="D15351" i="2"/>
  <c r="D15352" i="2"/>
  <c r="D15353" i="2"/>
  <c r="D15354" i="2"/>
  <c r="D15355" i="2"/>
  <c r="D15356" i="2"/>
  <c r="D15357" i="2"/>
  <c r="D15358" i="2"/>
  <c r="D15359" i="2"/>
  <c r="D15360" i="2"/>
  <c r="D15361" i="2"/>
  <c r="D15362" i="2"/>
  <c r="D15363" i="2"/>
  <c r="D15364" i="2"/>
  <c r="D15365" i="2"/>
  <c r="D15366" i="2"/>
  <c r="D15367" i="2"/>
  <c r="D15368" i="2"/>
  <c r="D15369" i="2"/>
  <c r="D15370" i="2"/>
  <c r="D15371" i="2"/>
  <c r="D15372" i="2"/>
  <c r="D15373" i="2"/>
  <c r="D15374" i="2"/>
  <c r="D15375" i="2"/>
  <c r="D15376" i="2"/>
  <c r="D15377" i="2"/>
  <c r="D15378" i="2"/>
  <c r="D15379" i="2"/>
  <c r="D15380" i="2"/>
  <c r="D15381" i="2"/>
  <c r="D15382" i="2"/>
  <c r="D15383" i="2"/>
  <c r="D15384" i="2"/>
  <c r="D15385" i="2"/>
  <c r="D15386" i="2"/>
  <c r="D15387" i="2"/>
  <c r="D15388" i="2"/>
  <c r="D15389" i="2"/>
  <c r="D15390" i="2"/>
  <c r="D15391" i="2"/>
  <c r="D15392" i="2"/>
  <c r="D15393" i="2"/>
  <c r="D15394" i="2"/>
  <c r="D15395" i="2"/>
  <c r="D15396" i="2"/>
  <c r="D15397" i="2"/>
  <c r="D15398" i="2"/>
  <c r="D15399" i="2"/>
  <c r="D15400" i="2"/>
  <c r="D15401" i="2"/>
  <c r="D15402" i="2"/>
  <c r="D15403" i="2"/>
  <c r="D15404" i="2"/>
  <c r="D15405" i="2"/>
  <c r="D15406" i="2"/>
  <c r="D15407" i="2"/>
  <c r="D15408" i="2"/>
  <c r="D15409" i="2"/>
  <c r="D15410" i="2"/>
  <c r="D15411" i="2"/>
  <c r="D15412" i="2"/>
  <c r="D15413" i="2"/>
  <c r="D15414" i="2"/>
  <c r="D15415" i="2"/>
  <c r="D15416" i="2"/>
  <c r="D15417" i="2"/>
  <c r="D15418" i="2"/>
  <c r="D15419" i="2"/>
  <c r="D15420" i="2"/>
  <c r="D15421" i="2"/>
  <c r="D15422" i="2"/>
  <c r="D15423" i="2"/>
  <c r="D15424" i="2"/>
  <c r="D15425" i="2"/>
  <c r="D15426" i="2"/>
  <c r="D15427" i="2"/>
  <c r="D15428" i="2"/>
  <c r="D15429" i="2"/>
  <c r="D15430" i="2"/>
  <c r="D15431" i="2"/>
  <c r="D15432" i="2"/>
  <c r="D15433" i="2"/>
  <c r="D15434" i="2"/>
  <c r="D15435" i="2"/>
  <c r="D15436" i="2"/>
  <c r="D15437" i="2"/>
  <c r="D15438" i="2"/>
  <c r="D15439" i="2"/>
  <c r="D15440" i="2"/>
  <c r="D15441" i="2"/>
  <c r="D15442" i="2"/>
  <c r="D15443" i="2"/>
  <c r="D15444" i="2"/>
  <c r="D15445" i="2"/>
  <c r="D15446" i="2"/>
  <c r="D15447" i="2"/>
  <c r="D15448" i="2"/>
  <c r="D15449" i="2"/>
  <c r="D15450" i="2"/>
  <c r="D15451" i="2"/>
  <c r="D15452" i="2"/>
  <c r="D15453" i="2"/>
  <c r="D15454" i="2"/>
  <c r="D15455" i="2"/>
  <c r="D15456" i="2"/>
  <c r="D15457" i="2"/>
  <c r="D15458" i="2"/>
  <c r="D15459" i="2"/>
  <c r="D15460" i="2"/>
  <c r="D15461" i="2"/>
  <c r="D15462" i="2"/>
  <c r="D15463" i="2"/>
  <c r="D15464" i="2"/>
  <c r="D15465" i="2"/>
  <c r="D15466" i="2"/>
  <c r="D15467" i="2"/>
  <c r="D15468" i="2"/>
  <c r="D15469" i="2"/>
  <c r="D15470" i="2"/>
  <c r="D15471" i="2"/>
  <c r="D15472" i="2"/>
  <c r="D15473" i="2"/>
  <c r="D15474" i="2"/>
  <c r="D15475" i="2"/>
  <c r="D15476" i="2"/>
  <c r="D15477" i="2"/>
  <c r="D15478" i="2"/>
  <c r="D15479" i="2"/>
  <c r="D15480" i="2"/>
  <c r="D15481" i="2"/>
  <c r="D15482" i="2"/>
  <c r="D15483" i="2"/>
  <c r="D15484" i="2"/>
  <c r="D15485" i="2"/>
  <c r="D15486" i="2"/>
  <c r="D15487" i="2"/>
  <c r="D15488" i="2"/>
  <c r="D15489" i="2"/>
  <c r="D15490" i="2"/>
  <c r="D15491" i="2"/>
  <c r="D15492" i="2"/>
  <c r="D15493" i="2"/>
  <c r="D15494" i="2"/>
  <c r="D15495" i="2"/>
  <c r="D15496" i="2"/>
  <c r="D15497" i="2"/>
  <c r="D15498" i="2"/>
  <c r="D15499" i="2"/>
  <c r="D15500" i="2"/>
  <c r="D15501" i="2"/>
  <c r="D15502" i="2"/>
  <c r="D15503" i="2"/>
  <c r="D15504" i="2"/>
  <c r="D15505" i="2"/>
  <c r="D15506" i="2"/>
  <c r="D15507" i="2"/>
  <c r="D15508" i="2"/>
  <c r="D15509" i="2"/>
  <c r="D15510" i="2"/>
  <c r="D15511" i="2"/>
  <c r="D15512" i="2"/>
  <c r="D15513" i="2"/>
  <c r="D15514" i="2"/>
  <c r="D15515" i="2"/>
  <c r="D15516" i="2"/>
  <c r="D15517" i="2"/>
  <c r="D15518" i="2"/>
  <c r="D15519" i="2"/>
  <c r="D15520" i="2"/>
  <c r="D15521" i="2"/>
  <c r="D15522" i="2"/>
  <c r="D15523" i="2"/>
  <c r="D15524" i="2"/>
  <c r="D15525" i="2"/>
  <c r="D15526" i="2"/>
  <c r="D15527" i="2"/>
  <c r="D15528" i="2"/>
  <c r="D15529" i="2"/>
  <c r="D15530" i="2"/>
  <c r="D15531" i="2"/>
  <c r="D15532" i="2"/>
  <c r="D15533" i="2"/>
  <c r="D15534" i="2"/>
  <c r="D15535" i="2"/>
  <c r="D15536" i="2"/>
  <c r="D15537" i="2"/>
  <c r="D15538" i="2"/>
  <c r="D15539" i="2"/>
  <c r="D15540" i="2"/>
  <c r="D15541" i="2"/>
  <c r="D15542" i="2"/>
  <c r="D15543" i="2"/>
  <c r="D15544" i="2"/>
  <c r="D15545" i="2"/>
  <c r="D15546" i="2"/>
  <c r="D15547" i="2"/>
  <c r="D15548" i="2"/>
  <c r="D15549" i="2"/>
  <c r="D15550" i="2"/>
  <c r="D15551" i="2"/>
  <c r="D15552" i="2"/>
  <c r="D15553" i="2"/>
  <c r="D15554" i="2"/>
  <c r="D15555" i="2"/>
  <c r="D15556" i="2"/>
  <c r="D15557" i="2"/>
  <c r="D15558" i="2"/>
  <c r="D15559" i="2"/>
  <c r="D15560" i="2"/>
  <c r="D15561" i="2"/>
  <c r="D15562" i="2"/>
  <c r="D15563" i="2"/>
  <c r="D15564" i="2"/>
  <c r="D15565" i="2"/>
  <c r="D15566" i="2"/>
  <c r="D15567" i="2"/>
  <c r="D15568" i="2"/>
  <c r="D15569" i="2"/>
  <c r="D15570" i="2"/>
  <c r="D15571" i="2"/>
  <c r="D15572" i="2"/>
  <c r="D15573" i="2"/>
  <c r="D15574" i="2"/>
  <c r="D15575" i="2"/>
  <c r="D15576" i="2"/>
  <c r="D15577" i="2"/>
  <c r="D15578" i="2"/>
  <c r="D15579" i="2"/>
  <c r="D15580" i="2"/>
  <c r="D15581" i="2"/>
  <c r="D15582" i="2"/>
  <c r="D15583" i="2"/>
  <c r="D15584" i="2"/>
  <c r="D15585" i="2"/>
  <c r="D15586" i="2"/>
  <c r="D15587" i="2"/>
  <c r="D15588" i="2"/>
  <c r="D15589" i="2"/>
  <c r="D15590" i="2"/>
  <c r="D15591" i="2"/>
  <c r="D15592" i="2"/>
  <c r="D15593" i="2"/>
  <c r="D15594" i="2"/>
  <c r="D15595" i="2"/>
  <c r="D15596" i="2"/>
  <c r="D15597" i="2"/>
  <c r="D15598" i="2"/>
  <c r="D15599" i="2"/>
  <c r="D15600" i="2"/>
  <c r="D15601" i="2"/>
  <c r="D15602" i="2"/>
  <c r="D15603" i="2"/>
  <c r="D15604" i="2"/>
  <c r="D15605" i="2"/>
  <c r="D15606" i="2"/>
  <c r="D15607" i="2"/>
  <c r="D15608" i="2"/>
  <c r="D15609" i="2"/>
  <c r="D15610" i="2"/>
  <c r="D15611" i="2"/>
  <c r="D15612" i="2"/>
  <c r="D15613" i="2"/>
  <c r="D15614" i="2"/>
  <c r="D15615" i="2"/>
  <c r="D15616" i="2"/>
  <c r="D15617" i="2"/>
  <c r="D15618" i="2"/>
  <c r="D15619" i="2"/>
  <c r="D15620" i="2"/>
  <c r="D15621" i="2"/>
  <c r="D15622" i="2"/>
  <c r="D15623" i="2"/>
  <c r="D15624" i="2"/>
  <c r="D15625" i="2"/>
  <c r="D15626" i="2"/>
  <c r="D15627" i="2"/>
  <c r="D15628" i="2"/>
  <c r="D15629" i="2"/>
  <c r="D15630" i="2"/>
  <c r="D15631" i="2"/>
  <c r="D15632" i="2"/>
  <c r="D15633" i="2"/>
  <c r="D15634" i="2"/>
  <c r="D15635" i="2"/>
  <c r="D15636" i="2"/>
  <c r="D15637" i="2"/>
  <c r="D15638" i="2"/>
  <c r="D15639" i="2"/>
  <c r="D15640" i="2"/>
  <c r="D15641" i="2"/>
  <c r="D15642" i="2"/>
  <c r="D15643" i="2"/>
  <c r="D15644" i="2"/>
  <c r="D15645" i="2"/>
  <c r="D15646" i="2"/>
  <c r="D15647" i="2"/>
  <c r="D15648" i="2"/>
  <c r="D15649" i="2"/>
  <c r="D15650" i="2"/>
  <c r="D15651" i="2"/>
  <c r="D15652" i="2"/>
  <c r="D15653" i="2"/>
  <c r="D15654" i="2"/>
  <c r="D15655" i="2"/>
  <c r="D15656" i="2"/>
  <c r="D15657" i="2"/>
  <c r="D15658" i="2"/>
  <c r="D15659" i="2"/>
  <c r="D15660" i="2"/>
  <c r="D15661" i="2"/>
  <c r="D15662" i="2"/>
  <c r="D15663" i="2"/>
  <c r="D15664" i="2"/>
  <c r="D15665" i="2"/>
  <c r="D15666" i="2"/>
  <c r="D15667" i="2"/>
  <c r="D15668" i="2"/>
  <c r="D15669" i="2"/>
  <c r="D15670" i="2"/>
  <c r="D15671" i="2"/>
  <c r="D15672" i="2"/>
  <c r="D15673" i="2"/>
  <c r="D15674" i="2"/>
  <c r="D15675" i="2"/>
  <c r="D15676" i="2"/>
  <c r="D15677" i="2"/>
  <c r="D15678" i="2"/>
  <c r="D15679" i="2"/>
  <c r="D15680" i="2"/>
  <c r="D15681" i="2"/>
  <c r="D15682" i="2"/>
  <c r="D15683" i="2"/>
  <c r="D15684" i="2"/>
  <c r="D15685" i="2"/>
  <c r="D15686" i="2"/>
  <c r="D15687" i="2"/>
  <c r="D15688" i="2"/>
  <c r="D15689" i="2"/>
  <c r="D15690" i="2"/>
  <c r="D15691" i="2"/>
  <c r="D15692" i="2"/>
  <c r="D15693" i="2"/>
  <c r="D15694" i="2"/>
  <c r="D15695" i="2"/>
  <c r="D15696" i="2"/>
  <c r="D15697" i="2"/>
  <c r="D15698" i="2"/>
  <c r="D15699" i="2"/>
  <c r="D15700" i="2"/>
  <c r="D15701" i="2"/>
  <c r="D15702" i="2"/>
  <c r="D15703" i="2"/>
  <c r="D15704" i="2"/>
  <c r="D15705" i="2"/>
  <c r="D15706" i="2"/>
  <c r="D15707" i="2"/>
  <c r="D15708" i="2"/>
  <c r="D15709" i="2"/>
  <c r="D15710" i="2"/>
  <c r="D15711" i="2"/>
  <c r="D15712" i="2"/>
  <c r="D15713" i="2"/>
  <c r="D15714" i="2"/>
  <c r="D15715" i="2"/>
  <c r="D15716" i="2"/>
  <c r="D15717" i="2"/>
  <c r="D15718" i="2"/>
  <c r="D15719" i="2"/>
  <c r="D15720" i="2"/>
  <c r="D15721" i="2"/>
  <c r="D15722" i="2"/>
  <c r="D15723" i="2"/>
  <c r="D15724" i="2"/>
  <c r="D15725" i="2"/>
  <c r="D15726" i="2"/>
  <c r="D15727" i="2"/>
  <c r="D15728" i="2"/>
  <c r="D15729" i="2"/>
  <c r="D15730" i="2"/>
  <c r="D15731" i="2"/>
  <c r="D15732" i="2"/>
  <c r="D15733" i="2"/>
  <c r="D15734" i="2"/>
  <c r="D15735" i="2"/>
  <c r="D15736" i="2"/>
  <c r="D15737" i="2"/>
  <c r="D15738" i="2"/>
  <c r="D15739" i="2"/>
  <c r="D15740" i="2"/>
  <c r="D15741" i="2"/>
  <c r="D15742" i="2"/>
  <c r="D15743" i="2"/>
  <c r="D15744" i="2"/>
  <c r="D15745" i="2"/>
  <c r="D15746" i="2"/>
  <c r="D15747" i="2"/>
  <c r="D15748" i="2"/>
  <c r="D15749" i="2"/>
  <c r="D15750" i="2"/>
  <c r="D15751" i="2"/>
  <c r="D15752" i="2"/>
  <c r="D15753" i="2"/>
  <c r="D15754" i="2"/>
  <c r="D15755" i="2"/>
  <c r="D15756" i="2"/>
  <c r="D15757" i="2"/>
  <c r="D15758" i="2"/>
  <c r="D15759" i="2"/>
  <c r="D15760" i="2"/>
  <c r="D15761" i="2"/>
  <c r="D15762" i="2"/>
  <c r="D15763" i="2"/>
  <c r="D15764" i="2"/>
  <c r="D15765" i="2"/>
  <c r="D15766" i="2"/>
  <c r="D15767" i="2"/>
  <c r="D15768" i="2"/>
  <c r="D15769" i="2"/>
  <c r="D15770" i="2"/>
  <c r="D15771" i="2"/>
  <c r="D15772" i="2"/>
  <c r="D15773" i="2"/>
  <c r="D15774" i="2"/>
  <c r="D15775" i="2"/>
  <c r="D15776" i="2"/>
  <c r="D15777" i="2"/>
  <c r="D15778" i="2"/>
  <c r="D15779" i="2"/>
  <c r="D15780" i="2"/>
  <c r="D15781" i="2"/>
  <c r="D15782" i="2"/>
  <c r="D15783" i="2"/>
  <c r="D15784" i="2"/>
  <c r="D15785" i="2"/>
  <c r="D15786" i="2"/>
  <c r="D15787" i="2"/>
  <c r="D15788" i="2"/>
  <c r="D15789" i="2"/>
  <c r="D15790" i="2"/>
  <c r="D15791" i="2"/>
  <c r="D15792" i="2"/>
  <c r="D15793" i="2"/>
  <c r="D15794" i="2"/>
  <c r="D15795" i="2"/>
  <c r="D15796" i="2"/>
  <c r="D15797" i="2"/>
  <c r="D15798" i="2"/>
  <c r="D15799" i="2"/>
  <c r="D15800" i="2"/>
  <c r="D15801" i="2"/>
  <c r="D15802" i="2"/>
  <c r="D15803" i="2"/>
  <c r="D15804" i="2"/>
  <c r="D15805" i="2"/>
  <c r="D15806" i="2"/>
  <c r="D15807" i="2"/>
  <c r="D15808" i="2"/>
  <c r="D15809" i="2"/>
  <c r="D15810" i="2"/>
  <c r="D15811" i="2"/>
  <c r="D15812" i="2"/>
  <c r="D15813" i="2"/>
  <c r="D15814" i="2"/>
  <c r="D15815" i="2"/>
  <c r="D15816" i="2"/>
  <c r="D15817" i="2"/>
  <c r="D15818" i="2"/>
  <c r="D15819" i="2"/>
  <c r="D15820" i="2"/>
  <c r="D15821" i="2"/>
  <c r="D15822" i="2"/>
  <c r="D15823" i="2"/>
  <c r="D15824" i="2"/>
  <c r="D15825" i="2"/>
  <c r="D15826" i="2"/>
  <c r="D15827" i="2"/>
  <c r="D15828" i="2"/>
  <c r="D15829" i="2"/>
  <c r="D15830" i="2"/>
  <c r="D15831" i="2"/>
  <c r="D15832" i="2"/>
  <c r="D15833" i="2"/>
  <c r="D15834" i="2"/>
  <c r="D15835" i="2"/>
  <c r="D15836" i="2"/>
  <c r="D15837" i="2"/>
  <c r="D15838" i="2"/>
  <c r="D15839" i="2"/>
  <c r="D15840" i="2"/>
  <c r="D15841" i="2"/>
  <c r="D15842" i="2"/>
  <c r="D15843" i="2"/>
  <c r="D15844" i="2"/>
  <c r="D15845" i="2"/>
  <c r="D15846" i="2"/>
  <c r="D15847" i="2"/>
  <c r="D15848" i="2"/>
  <c r="D15849" i="2"/>
  <c r="D15850" i="2"/>
  <c r="D15851" i="2"/>
  <c r="D15852" i="2"/>
  <c r="D15853" i="2"/>
  <c r="D15854" i="2"/>
  <c r="D15855" i="2"/>
  <c r="D15856" i="2"/>
  <c r="D15857" i="2"/>
  <c r="D15858" i="2"/>
  <c r="D15859" i="2"/>
  <c r="D15860" i="2"/>
  <c r="D15861" i="2"/>
  <c r="D15862" i="2"/>
  <c r="D15863" i="2"/>
  <c r="D15864" i="2"/>
  <c r="D15865" i="2"/>
  <c r="D15866" i="2"/>
  <c r="D15867" i="2"/>
  <c r="D15868" i="2"/>
  <c r="D15869" i="2"/>
  <c r="D15870" i="2"/>
  <c r="D15871" i="2"/>
  <c r="D15872" i="2"/>
  <c r="D15873" i="2"/>
  <c r="D15874" i="2"/>
  <c r="D15875" i="2"/>
  <c r="D15876" i="2"/>
  <c r="D15877" i="2"/>
  <c r="D15878" i="2"/>
  <c r="D15879" i="2"/>
  <c r="D15880" i="2"/>
  <c r="D15881" i="2"/>
  <c r="D15882" i="2"/>
  <c r="D15883" i="2"/>
  <c r="D15884" i="2"/>
  <c r="D15885" i="2"/>
  <c r="D15886" i="2"/>
  <c r="D15887" i="2"/>
  <c r="D15888" i="2"/>
  <c r="D15889" i="2"/>
  <c r="D15890" i="2"/>
  <c r="D15891" i="2"/>
  <c r="D15892" i="2"/>
  <c r="D15893" i="2"/>
  <c r="D15894" i="2"/>
  <c r="D15895" i="2"/>
  <c r="D15896" i="2"/>
  <c r="D15897" i="2"/>
  <c r="D15898" i="2"/>
  <c r="D15899" i="2"/>
  <c r="D15900" i="2"/>
  <c r="D15901" i="2"/>
  <c r="D15902" i="2"/>
  <c r="D15903" i="2"/>
  <c r="D15904" i="2"/>
  <c r="D15905" i="2"/>
  <c r="D15906" i="2"/>
  <c r="D15907" i="2"/>
  <c r="D15908" i="2"/>
  <c r="D15909" i="2"/>
  <c r="D15910" i="2"/>
  <c r="D15911" i="2"/>
  <c r="D15912" i="2"/>
  <c r="D15913" i="2"/>
  <c r="D15914" i="2"/>
  <c r="D15915" i="2"/>
  <c r="D15916" i="2"/>
  <c r="D15917" i="2"/>
  <c r="D15918" i="2"/>
  <c r="D15919" i="2"/>
  <c r="D15920" i="2"/>
  <c r="D15921" i="2"/>
  <c r="D15922" i="2"/>
  <c r="D15923" i="2"/>
  <c r="D15924" i="2"/>
  <c r="D15925" i="2"/>
  <c r="D15926" i="2"/>
  <c r="D15927" i="2"/>
  <c r="D15928" i="2"/>
  <c r="D15929" i="2"/>
  <c r="D15930" i="2"/>
  <c r="D15931" i="2"/>
  <c r="D15932" i="2"/>
  <c r="D15933" i="2"/>
  <c r="D15934" i="2"/>
  <c r="D15935" i="2"/>
  <c r="D15936" i="2"/>
  <c r="D15937" i="2"/>
  <c r="D15938" i="2"/>
  <c r="D15939" i="2"/>
  <c r="D15940" i="2"/>
  <c r="D15941" i="2"/>
  <c r="D15942" i="2"/>
  <c r="D15943" i="2"/>
  <c r="D15944" i="2"/>
  <c r="D15945" i="2"/>
  <c r="D15946" i="2"/>
  <c r="D15947" i="2"/>
  <c r="D15948" i="2"/>
  <c r="D15949" i="2"/>
  <c r="D15950" i="2"/>
  <c r="D15951" i="2"/>
  <c r="D15952" i="2"/>
  <c r="D15953" i="2"/>
  <c r="D15954" i="2"/>
  <c r="D15955" i="2"/>
  <c r="D15956" i="2"/>
  <c r="D15957" i="2"/>
  <c r="D15958" i="2"/>
  <c r="D15959" i="2"/>
  <c r="D15960" i="2"/>
  <c r="D15961" i="2"/>
  <c r="D15962" i="2"/>
  <c r="D15963" i="2"/>
  <c r="D15964" i="2"/>
  <c r="D15965" i="2"/>
  <c r="D15966" i="2"/>
  <c r="D15967" i="2"/>
  <c r="D15968" i="2"/>
  <c r="D15969" i="2"/>
  <c r="D15970" i="2"/>
  <c r="D15971" i="2"/>
  <c r="D15972" i="2"/>
  <c r="D15973" i="2"/>
  <c r="D15974" i="2"/>
  <c r="D15975" i="2"/>
  <c r="D15976" i="2"/>
  <c r="D15977" i="2"/>
  <c r="D15978" i="2"/>
  <c r="D15979" i="2"/>
  <c r="D15980" i="2"/>
  <c r="D15981" i="2"/>
  <c r="D15982" i="2"/>
  <c r="D15983" i="2"/>
  <c r="D15984" i="2"/>
  <c r="D15985" i="2"/>
  <c r="D15986" i="2"/>
  <c r="D15987" i="2"/>
  <c r="D15988" i="2"/>
  <c r="D15989" i="2"/>
  <c r="D15990" i="2"/>
  <c r="D15991" i="2"/>
  <c r="D15992" i="2"/>
  <c r="D15993" i="2"/>
  <c r="D15994" i="2"/>
  <c r="D15995" i="2"/>
  <c r="D15996" i="2"/>
  <c r="D15997" i="2"/>
  <c r="D15998" i="2"/>
  <c r="D15999" i="2"/>
  <c r="D16000" i="2"/>
  <c r="D16001" i="2"/>
  <c r="D16002" i="2"/>
  <c r="D16003" i="2"/>
  <c r="D16004" i="2"/>
  <c r="D16005" i="2"/>
  <c r="D16006" i="2"/>
  <c r="D16007" i="2"/>
  <c r="D16008" i="2"/>
  <c r="D16009" i="2"/>
  <c r="D16010" i="2"/>
  <c r="D16011" i="2"/>
  <c r="D16012" i="2"/>
  <c r="D16013" i="2"/>
  <c r="D16014" i="2"/>
  <c r="D16015" i="2"/>
  <c r="D16016" i="2"/>
  <c r="D16017" i="2"/>
  <c r="D16018" i="2"/>
  <c r="D16019" i="2"/>
  <c r="D16020" i="2"/>
  <c r="D16021" i="2"/>
  <c r="D16022" i="2"/>
  <c r="D16023" i="2"/>
  <c r="D16024" i="2"/>
  <c r="D16025" i="2"/>
  <c r="D16026" i="2"/>
  <c r="D16027" i="2"/>
  <c r="D16028" i="2"/>
  <c r="D16029" i="2"/>
  <c r="D16030" i="2"/>
  <c r="D16031" i="2"/>
  <c r="D16032" i="2"/>
  <c r="D16033" i="2"/>
  <c r="D16034" i="2"/>
  <c r="D16035" i="2"/>
  <c r="D16036" i="2"/>
  <c r="D16037" i="2"/>
  <c r="D16038" i="2"/>
  <c r="D16039" i="2"/>
  <c r="D16040" i="2"/>
  <c r="D16041" i="2"/>
  <c r="D16042" i="2"/>
  <c r="D16043" i="2"/>
  <c r="D16044" i="2"/>
  <c r="D16045" i="2"/>
  <c r="D16046" i="2"/>
  <c r="D16047" i="2"/>
  <c r="D16048" i="2"/>
  <c r="D16049" i="2"/>
  <c r="D16050" i="2"/>
  <c r="D16051" i="2"/>
  <c r="D16052" i="2"/>
  <c r="D16053" i="2"/>
  <c r="D16054" i="2"/>
  <c r="D16055" i="2"/>
  <c r="D16056" i="2"/>
  <c r="D16057" i="2"/>
  <c r="D16058" i="2"/>
  <c r="D16059" i="2"/>
  <c r="D16060" i="2"/>
  <c r="D16061" i="2"/>
  <c r="D16062" i="2"/>
  <c r="D16063" i="2"/>
  <c r="D16064" i="2"/>
  <c r="D16065" i="2"/>
  <c r="D16066" i="2"/>
  <c r="D16067" i="2"/>
  <c r="D16068" i="2"/>
  <c r="D16069" i="2"/>
  <c r="D16070" i="2"/>
  <c r="D16071" i="2"/>
  <c r="D16072" i="2"/>
  <c r="D16073" i="2"/>
  <c r="D16074" i="2"/>
  <c r="D16075" i="2"/>
  <c r="D16076" i="2"/>
  <c r="D16077" i="2"/>
  <c r="D16078" i="2"/>
  <c r="D16079" i="2"/>
  <c r="D16080" i="2"/>
  <c r="D16081" i="2"/>
  <c r="D16082" i="2"/>
  <c r="D16083" i="2"/>
  <c r="D16084" i="2"/>
  <c r="D16085" i="2"/>
  <c r="D16086" i="2"/>
  <c r="D16087" i="2"/>
  <c r="D16088" i="2"/>
  <c r="D16089" i="2"/>
  <c r="D16090" i="2"/>
  <c r="D16091" i="2"/>
  <c r="D16092" i="2"/>
  <c r="D16093" i="2"/>
  <c r="D16094" i="2"/>
  <c r="D16095" i="2"/>
  <c r="D16096" i="2"/>
  <c r="D16097" i="2"/>
  <c r="D16098" i="2"/>
  <c r="D16099" i="2"/>
  <c r="D16100" i="2"/>
  <c r="D16101" i="2"/>
  <c r="D16102" i="2"/>
  <c r="D16103" i="2"/>
  <c r="D16104" i="2"/>
  <c r="D16105" i="2"/>
  <c r="D16106" i="2"/>
  <c r="D16107" i="2"/>
  <c r="D16108" i="2"/>
  <c r="D16109" i="2"/>
  <c r="D16110" i="2"/>
  <c r="D16111" i="2"/>
  <c r="D16112" i="2"/>
  <c r="D16113" i="2"/>
  <c r="D16114" i="2"/>
  <c r="D16115" i="2"/>
  <c r="D16116" i="2"/>
  <c r="D16117" i="2"/>
  <c r="D16118" i="2"/>
  <c r="D16119" i="2"/>
  <c r="D16120" i="2"/>
  <c r="D16121" i="2"/>
  <c r="D16122" i="2"/>
  <c r="D16123" i="2"/>
  <c r="D16124" i="2"/>
  <c r="D16125" i="2"/>
  <c r="D16126" i="2"/>
  <c r="D16127" i="2"/>
  <c r="D16128" i="2"/>
  <c r="D16129" i="2"/>
  <c r="D16130" i="2"/>
  <c r="D16131" i="2"/>
  <c r="D16132" i="2"/>
  <c r="D16133" i="2"/>
  <c r="D16134" i="2"/>
  <c r="D16135" i="2"/>
  <c r="D16136" i="2"/>
  <c r="D16137" i="2"/>
  <c r="D16138" i="2"/>
  <c r="D16139" i="2"/>
  <c r="D16140" i="2"/>
  <c r="D16141" i="2"/>
  <c r="D16142" i="2"/>
  <c r="D16143" i="2"/>
  <c r="D16144" i="2"/>
  <c r="D16145" i="2"/>
  <c r="D16146" i="2"/>
  <c r="D16147" i="2"/>
  <c r="D16148" i="2"/>
  <c r="D16149" i="2"/>
  <c r="D16150" i="2"/>
  <c r="D16151" i="2"/>
  <c r="D16152" i="2"/>
  <c r="D16153" i="2"/>
  <c r="D16154" i="2"/>
  <c r="D16155" i="2"/>
  <c r="D16156" i="2"/>
  <c r="D16157" i="2"/>
  <c r="D16158" i="2"/>
  <c r="D16159" i="2"/>
  <c r="D16160" i="2"/>
  <c r="D16161" i="2"/>
  <c r="D16162" i="2"/>
  <c r="D16163" i="2"/>
  <c r="D16164" i="2"/>
  <c r="D16165" i="2"/>
  <c r="D16166" i="2"/>
  <c r="D16167" i="2"/>
  <c r="D16168" i="2"/>
  <c r="D16169" i="2"/>
  <c r="D16170" i="2"/>
  <c r="D16171" i="2"/>
  <c r="D16172" i="2"/>
  <c r="D16173" i="2"/>
  <c r="D16174" i="2"/>
  <c r="D16175" i="2"/>
  <c r="D16176" i="2"/>
  <c r="D16177" i="2"/>
  <c r="D16178" i="2"/>
  <c r="D16179" i="2"/>
  <c r="D16180" i="2"/>
  <c r="D16181" i="2"/>
  <c r="D16182" i="2"/>
  <c r="D16183" i="2"/>
  <c r="D16184" i="2"/>
  <c r="D16185" i="2"/>
  <c r="D16186" i="2"/>
  <c r="D16187" i="2"/>
  <c r="D16188" i="2"/>
  <c r="D16189" i="2"/>
  <c r="D16190" i="2"/>
  <c r="D16191" i="2"/>
  <c r="D16192" i="2"/>
  <c r="D16193" i="2"/>
  <c r="D16194" i="2"/>
  <c r="D16195" i="2"/>
  <c r="D16196" i="2"/>
  <c r="D16197" i="2"/>
  <c r="D16198" i="2"/>
  <c r="D16199" i="2"/>
  <c r="D16200" i="2"/>
  <c r="D16201" i="2"/>
  <c r="D16202" i="2"/>
  <c r="D16203" i="2"/>
  <c r="D16204" i="2"/>
  <c r="D16205" i="2"/>
  <c r="D16206" i="2"/>
  <c r="D16207" i="2"/>
  <c r="D16208" i="2"/>
  <c r="D16209" i="2"/>
  <c r="D16210" i="2"/>
  <c r="D16211" i="2"/>
  <c r="D16212" i="2"/>
  <c r="D16213" i="2"/>
  <c r="D16214" i="2"/>
  <c r="D16215" i="2"/>
  <c r="D16216" i="2"/>
  <c r="D16217" i="2"/>
  <c r="D16218" i="2"/>
  <c r="D16219" i="2"/>
  <c r="D16220" i="2"/>
  <c r="D16221" i="2"/>
  <c r="D16222" i="2"/>
  <c r="D16223" i="2"/>
  <c r="D16224" i="2"/>
  <c r="D16225" i="2"/>
  <c r="D16226" i="2"/>
  <c r="D16227" i="2"/>
  <c r="D16228" i="2"/>
  <c r="D16229" i="2"/>
  <c r="D16230" i="2"/>
  <c r="D16231" i="2"/>
  <c r="D16232" i="2"/>
  <c r="D16233" i="2"/>
  <c r="D16234" i="2"/>
  <c r="D16235" i="2"/>
  <c r="D16236" i="2"/>
  <c r="D16237" i="2"/>
  <c r="D16238" i="2"/>
  <c r="D16239" i="2"/>
  <c r="D16240" i="2"/>
  <c r="D16241" i="2"/>
  <c r="D16242" i="2"/>
  <c r="D16243" i="2"/>
  <c r="D16244" i="2"/>
  <c r="D16245" i="2"/>
  <c r="D16246" i="2"/>
  <c r="D16247" i="2"/>
  <c r="D16248" i="2"/>
  <c r="D16249" i="2"/>
  <c r="D16250" i="2"/>
  <c r="D16251" i="2"/>
  <c r="D16252" i="2"/>
  <c r="D16253" i="2"/>
  <c r="D16254" i="2"/>
  <c r="D16255" i="2"/>
  <c r="D16256" i="2"/>
  <c r="D16257" i="2"/>
  <c r="D16258" i="2"/>
  <c r="D16259" i="2"/>
  <c r="D16260" i="2"/>
  <c r="D16261" i="2"/>
  <c r="D16262" i="2"/>
  <c r="D16263" i="2"/>
  <c r="D16264" i="2"/>
  <c r="D16265" i="2"/>
  <c r="D16266" i="2"/>
  <c r="D16267" i="2"/>
  <c r="D16268" i="2"/>
  <c r="D16269" i="2"/>
  <c r="D16270" i="2"/>
  <c r="D16271" i="2"/>
  <c r="D16272" i="2"/>
  <c r="D16273" i="2"/>
  <c r="D16274" i="2"/>
  <c r="D16275" i="2"/>
  <c r="D16276" i="2"/>
  <c r="D16277" i="2"/>
  <c r="D16278" i="2"/>
  <c r="D16279" i="2"/>
  <c r="D16280" i="2"/>
  <c r="D16281" i="2"/>
  <c r="D16282" i="2"/>
  <c r="D16283" i="2"/>
  <c r="D16284" i="2"/>
  <c r="D16285" i="2"/>
  <c r="D16286" i="2"/>
  <c r="D16287" i="2"/>
  <c r="D16288" i="2"/>
  <c r="D16289" i="2"/>
  <c r="D16290" i="2"/>
  <c r="D16291" i="2"/>
  <c r="D16292" i="2"/>
  <c r="D16293" i="2"/>
  <c r="D16294" i="2"/>
  <c r="D16295" i="2"/>
  <c r="D16296" i="2"/>
  <c r="D16297" i="2"/>
  <c r="D16298" i="2"/>
  <c r="D16299" i="2"/>
  <c r="D16300" i="2"/>
  <c r="D16301" i="2"/>
  <c r="D16302" i="2"/>
  <c r="D16303" i="2"/>
  <c r="D16304" i="2"/>
  <c r="D16305" i="2"/>
  <c r="D16306" i="2"/>
  <c r="D16307" i="2"/>
  <c r="D16308" i="2"/>
  <c r="D16309" i="2"/>
  <c r="D16310" i="2"/>
  <c r="D16311" i="2"/>
  <c r="D16312" i="2"/>
  <c r="D16313" i="2"/>
  <c r="D16314" i="2"/>
  <c r="D16315" i="2"/>
  <c r="D16316" i="2"/>
  <c r="D16317" i="2"/>
  <c r="D16318" i="2"/>
  <c r="D16319" i="2"/>
  <c r="D16320" i="2"/>
  <c r="D16321" i="2"/>
  <c r="D16322" i="2"/>
  <c r="D16323" i="2"/>
  <c r="D16324" i="2"/>
  <c r="D16325" i="2"/>
  <c r="D16326" i="2"/>
  <c r="D16327" i="2"/>
  <c r="D16328" i="2"/>
  <c r="D16329" i="2"/>
  <c r="D16330" i="2"/>
  <c r="D16331" i="2"/>
  <c r="D16332" i="2"/>
  <c r="D16333" i="2"/>
  <c r="D16334" i="2"/>
  <c r="D16335" i="2"/>
  <c r="D16336" i="2"/>
  <c r="D16337" i="2"/>
  <c r="D16338" i="2"/>
  <c r="D16339" i="2"/>
  <c r="D16340" i="2"/>
  <c r="D16341" i="2"/>
  <c r="D16342" i="2"/>
  <c r="D16343" i="2"/>
  <c r="D16344" i="2"/>
  <c r="D16345" i="2"/>
  <c r="D16346" i="2"/>
  <c r="D16347" i="2"/>
  <c r="D16348" i="2"/>
  <c r="D16349" i="2"/>
  <c r="D16350" i="2"/>
  <c r="D16351" i="2"/>
  <c r="D16352" i="2"/>
  <c r="D16353" i="2"/>
  <c r="D16354" i="2"/>
  <c r="D16355" i="2"/>
  <c r="D16356" i="2"/>
  <c r="D16357" i="2"/>
  <c r="D16358" i="2"/>
  <c r="D16359" i="2"/>
  <c r="D16360" i="2"/>
  <c r="D16361" i="2"/>
  <c r="D16362" i="2"/>
  <c r="D16363" i="2"/>
  <c r="D16364" i="2"/>
  <c r="D16365" i="2"/>
  <c r="D16366" i="2"/>
  <c r="D16367" i="2"/>
  <c r="D16368" i="2"/>
  <c r="D16369" i="2"/>
  <c r="D16370" i="2"/>
  <c r="D16371" i="2"/>
  <c r="D16372" i="2"/>
  <c r="D16373" i="2"/>
  <c r="D16374" i="2"/>
  <c r="D16375" i="2"/>
  <c r="D16376" i="2"/>
  <c r="D16377" i="2"/>
  <c r="D16378" i="2"/>
  <c r="D16379" i="2"/>
  <c r="D16380" i="2"/>
  <c r="D16381" i="2"/>
  <c r="D16382" i="2"/>
  <c r="D16383" i="2"/>
  <c r="D16384" i="2"/>
  <c r="D16385" i="2"/>
  <c r="D16386" i="2"/>
  <c r="D16387" i="2"/>
  <c r="D16388" i="2"/>
  <c r="D16389" i="2"/>
  <c r="D16390" i="2"/>
  <c r="D16391" i="2"/>
  <c r="D16392" i="2"/>
  <c r="D16393" i="2"/>
  <c r="D16394" i="2"/>
  <c r="D16395" i="2"/>
  <c r="D16396" i="2"/>
  <c r="D16397" i="2"/>
  <c r="D16398" i="2"/>
  <c r="D16399" i="2"/>
  <c r="D16400" i="2"/>
  <c r="D16401" i="2"/>
  <c r="D16402" i="2"/>
  <c r="D16403" i="2"/>
  <c r="D16404" i="2"/>
  <c r="D16405" i="2"/>
  <c r="D16406" i="2"/>
  <c r="D16407" i="2"/>
  <c r="D16408" i="2"/>
  <c r="D16409" i="2"/>
  <c r="D16410" i="2"/>
  <c r="D16411" i="2"/>
  <c r="D16412" i="2"/>
  <c r="D16413" i="2"/>
  <c r="D16414" i="2"/>
  <c r="D16415" i="2"/>
  <c r="D16416" i="2"/>
  <c r="D16417" i="2"/>
  <c r="D16418" i="2"/>
  <c r="D16419" i="2"/>
  <c r="D16420" i="2"/>
  <c r="D16421" i="2"/>
  <c r="D16422" i="2"/>
  <c r="D16423" i="2"/>
  <c r="D16424" i="2"/>
  <c r="D16425" i="2"/>
  <c r="D16426" i="2"/>
  <c r="D16427" i="2"/>
  <c r="D16428" i="2"/>
  <c r="D16429" i="2"/>
  <c r="D16430" i="2"/>
  <c r="D16431" i="2"/>
  <c r="D16432" i="2"/>
  <c r="D16433" i="2"/>
  <c r="D16434" i="2"/>
  <c r="D16435" i="2"/>
  <c r="D16436" i="2"/>
  <c r="D16437" i="2"/>
  <c r="D16438" i="2"/>
  <c r="D16439" i="2"/>
  <c r="D16440" i="2"/>
  <c r="D16441" i="2"/>
  <c r="D16442" i="2"/>
  <c r="D16443" i="2"/>
  <c r="D16444" i="2"/>
  <c r="D16445" i="2"/>
  <c r="D16446" i="2"/>
  <c r="D16447" i="2"/>
  <c r="D16448" i="2"/>
  <c r="D16449" i="2"/>
  <c r="D16450" i="2"/>
  <c r="D16451" i="2"/>
  <c r="D16452" i="2"/>
  <c r="D16453" i="2"/>
  <c r="D16454" i="2"/>
  <c r="D16455" i="2"/>
  <c r="D16456" i="2"/>
  <c r="D16457" i="2"/>
  <c r="D16458" i="2"/>
  <c r="D16459" i="2"/>
  <c r="D16460" i="2"/>
  <c r="D16461" i="2"/>
  <c r="D16462" i="2"/>
  <c r="D16463" i="2"/>
  <c r="D16464" i="2"/>
  <c r="D16465" i="2"/>
  <c r="D16466" i="2"/>
  <c r="D16467" i="2"/>
  <c r="D16468" i="2"/>
  <c r="D16469" i="2"/>
  <c r="D16470" i="2"/>
  <c r="D16471" i="2"/>
  <c r="D16472" i="2"/>
  <c r="D16473" i="2"/>
  <c r="D16474" i="2"/>
  <c r="D16475" i="2"/>
  <c r="D16476" i="2"/>
  <c r="D16477" i="2"/>
  <c r="D16478" i="2"/>
  <c r="D16479" i="2"/>
  <c r="D16480" i="2"/>
  <c r="D16481" i="2"/>
  <c r="D16482" i="2"/>
  <c r="D16483" i="2"/>
  <c r="D16484" i="2"/>
  <c r="D16485" i="2"/>
  <c r="D16486" i="2"/>
  <c r="D16487" i="2"/>
  <c r="D16488" i="2"/>
  <c r="D16489" i="2"/>
  <c r="D16490" i="2"/>
  <c r="D16491" i="2"/>
  <c r="D16492" i="2"/>
  <c r="D16493" i="2"/>
  <c r="D16494" i="2"/>
  <c r="D16495" i="2"/>
  <c r="D16496" i="2"/>
  <c r="D16497" i="2"/>
  <c r="D16498" i="2"/>
  <c r="D16499" i="2"/>
  <c r="D16500" i="2"/>
  <c r="D16501" i="2"/>
  <c r="D16502" i="2"/>
  <c r="D16503" i="2"/>
  <c r="D16504" i="2"/>
  <c r="D16505" i="2"/>
  <c r="D16506" i="2"/>
  <c r="D16507" i="2"/>
  <c r="D16508" i="2"/>
  <c r="D16509" i="2"/>
  <c r="D16510" i="2"/>
  <c r="D16511" i="2"/>
  <c r="D16512" i="2"/>
  <c r="D16513" i="2"/>
  <c r="D16514" i="2"/>
  <c r="D16515" i="2"/>
  <c r="D16516" i="2"/>
  <c r="D16517" i="2"/>
  <c r="D16518" i="2"/>
  <c r="D16519" i="2"/>
  <c r="D16520" i="2"/>
  <c r="D16521" i="2"/>
  <c r="D16522" i="2"/>
  <c r="D16523" i="2"/>
  <c r="D16524" i="2"/>
  <c r="D16525" i="2"/>
  <c r="D16526" i="2"/>
  <c r="D16527" i="2"/>
  <c r="D16528" i="2"/>
  <c r="D16529" i="2"/>
  <c r="D16530" i="2"/>
  <c r="D16531" i="2"/>
  <c r="D16532" i="2"/>
  <c r="D16533" i="2"/>
  <c r="D16534" i="2"/>
  <c r="D16535" i="2"/>
  <c r="D16536" i="2"/>
  <c r="D16537" i="2"/>
  <c r="D16538" i="2"/>
  <c r="D16539" i="2"/>
  <c r="D16540" i="2"/>
  <c r="D16541" i="2"/>
  <c r="D16542" i="2"/>
  <c r="D16543" i="2"/>
  <c r="D16544" i="2"/>
  <c r="D16545" i="2"/>
  <c r="D16546" i="2"/>
  <c r="D16547" i="2"/>
  <c r="D16548" i="2"/>
  <c r="D16549" i="2"/>
  <c r="D16550" i="2"/>
  <c r="D16551" i="2"/>
  <c r="D16552" i="2"/>
  <c r="D16553" i="2"/>
  <c r="D16554" i="2"/>
  <c r="D16555" i="2"/>
  <c r="D16556" i="2"/>
  <c r="D16557" i="2"/>
  <c r="D16558" i="2"/>
  <c r="D16559" i="2"/>
  <c r="D16560" i="2"/>
  <c r="D16561" i="2"/>
  <c r="D16562" i="2"/>
  <c r="D16563" i="2"/>
  <c r="D16564" i="2"/>
  <c r="D16565" i="2"/>
  <c r="D16566" i="2"/>
  <c r="D16567" i="2"/>
  <c r="D16568" i="2"/>
  <c r="D16569" i="2"/>
  <c r="D16570" i="2"/>
  <c r="D16571" i="2"/>
  <c r="D16572" i="2"/>
  <c r="D16573" i="2"/>
  <c r="D16574" i="2"/>
  <c r="D16575" i="2"/>
  <c r="D16576" i="2"/>
  <c r="D16577" i="2"/>
  <c r="D16578" i="2"/>
  <c r="D16579" i="2"/>
  <c r="D16580" i="2"/>
  <c r="D16581" i="2"/>
  <c r="D16582" i="2"/>
  <c r="D16583" i="2"/>
  <c r="D16584" i="2"/>
  <c r="D16585" i="2"/>
  <c r="D16586" i="2"/>
  <c r="D16587" i="2"/>
  <c r="D16588" i="2"/>
  <c r="D16589" i="2"/>
  <c r="D16590" i="2"/>
  <c r="D16591" i="2"/>
  <c r="D16592" i="2"/>
  <c r="D16593" i="2"/>
  <c r="D16594" i="2"/>
  <c r="D16595" i="2"/>
  <c r="D16596" i="2"/>
  <c r="D16597" i="2"/>
  <c r="D16598" i="2"/>
  <c r="D16599" i="2"/>
  <c r="D16600" i="2"/>
  <c r="D16601" i="2"/>
  <c r="D16602" i="2"/>
  <c r="D16603" i="2"/>
  <c r="D16604" i="2"/>
  <c r="D16605" i="2"/>
  <c r="D16606" i="2"/>
  <c r="D16607" i="2"/>
  <c r="D16608" i="2"/>
  <c r="D16609" i="2"/>
  <c r="D16610" i="2"/>
  <c r="D16611" i="2"/>
  <c r="D16612" i="2"/>
  <c r="D16613" i="2"/>
  <c r="D16614" i="2"/>
  <c r="D16615" i="2"/>
  <c r="D16616" i="2"/>
  <c r="D16617" i="2"/>
  <c r="D16618" i="2"/>
  <c r="D16619" i="2"/>
  <c r="D16620" i="2"/>
  <c r="D16621" i="2"/>
  <c r="D16622" i="2"/>
  <c r="D16623" i="2"/>
  <c r="D16624" i="2"/>
  <c r="D16625" i="2"/>
  <c r="D16626" i="2"/>
  <c r="D16627" i="2"/>
  <c r="D16628" i="2"/>
  <c r="D16629" i="2"/>
  <c r="D16630" i="2"/>
  <c r="D16631" i="2"/>
  <c r="D16632" i="2"/>
  <c r="D16633" i="2"/>
  <c r="D16634" i="2"/>
  <c r="D16635" i="2"/>
  <c r="D16636" i="2"/>
  <c r="D16637" i="2"/>
  <c r="D16638" i="2"/>
  <c r="D16639" i="2"/>
  <c r="D16640" i="2"/>
  <c r="D16641" i="2"/>
  <c r="D16642" i="2"/>
  <c r="D16643" i="2"/>
  <c r="D16644" i="2"/>
  <c r="D16645" i="2"/>
  <c r="D16646" i="2"/>
  <c r="D16647" i="2"/>
  <c r="D16648" i="2"/>
  <c r="D16649" i="2"/>
  <c r="D16650" i="2"/>
  <c r="D16651" i="2"/>
  <c r="D16652" i="2"/>
  <c r="D16653" i="2"/>
  <c r="D16654" i="2"/>
  <c r="D16655" i="2"/>
  <c r="D16656" i="2"/>
  <c r="D16657" i="2"/>
  <c r="D16658" i="2"/>
  <c r="D16659" i="2"/>
  <c r="D16660" i="2"/>
  <c r="D16661" i="2"/>
  <c r="D16662" i="2"/>
  <c r="D16663" i="2"/>
  <c r="D16664" i="2"/>
  <c r="D16665" i="2"/>
  <c r="D16666" i="2"/>
  <c r="D16667" i="2"/>
  <c r="D16668" i="2"/>
  <c r="D16669" i="2"/>
  <c r="D16670" i="2"/>
  <c r="D16671" i="2"/>
  <c r="D16672" i="2"/>
  <c r="D16673" i="2"/>
  <c r="D16674" i="2"/>
  <c r="D16675" i="2"/>
  <c r="D16676" i="2"/>
  <c r="D16677" i="2"/>
  <c r="D16678" i="2"/>
  <c r="D16679" i="2"/>
  <c r="D16680" i="2"/>
  <c r="D16681" i="2"/>
  <c r="D16682" i="2"/>
  <c r="D16683" i="2"/>
  <c r="D16684" i="2"/>
  <c r="D16685" i="2"/>
  <c r="D16686" i="2"/>
  <c r="D16687" i="2"/>
  <c r="D16688" i="2"/>
  <c r="D16689" i="2"/>
  <c r="D16690" i="2"/>
  <c r="D16691" i="2"/>
  <c r="D16692" i="2"/>
  <c r="D16693" i="2"/>
  <c r="D16694" i="2"/>
  <c r="D16695" i="2"/>
  <c r="D16696" i="2"/>
  <c r="D16697" i="2"/>
  <c r="D16698" i="2"/>
  <c r="D16699" i="2"/>
  <c r="D16700" i="2"/>
  <c r="D16701" i="2"/>
  <c r="D16702" i="2"/>
  <c r="D16703" i="2"/>
  <c r="D16704" i="2"/>
  <c r="D16705" i="2"/>
  <c r="D16706" i="2"/>
  <c r="D16707" i="2"/>
  <c r="D16708" i="2"/>
  <c r="D16709" i="2"/>
  <c r="D16710" i="2"/>
  <c r="D16711" i="2"/>
  <c r="D16712" i="2"/>
  <c r="D16713" i="2"/>
  <c r="D16714" i="2"/>
  <c r="D16715" i="2"/>
  <c r="D16716" i="2"/>
  <c r="D16717" i="2"/>
  <c r="D16718" i="2"/>
  <c r="D16719" i="2"/>
  <c r="D16720" i="2"/>
  <c r="D16721" i="2"/>
  <c r="D16722" i="2"/>
  <c r="D16723" i="2"/>
  <c r="D16724" i="2"/>
  <c r="D16725" i="2"/>
  <c r="D16726" i="2"/>
  <c r="D16727" i="2"/>
  <c r="D16728" i="2"/>
  <c r="D16729" i="2"/>
  <c r="D16730" i="2"/>
  <c r="D16731" i="2"/>
  <c r="D16732" i="2"/>
  <c r="D16733" i="2"/>
  <c r="D16734" i="2"/>
  <c r="D16735" i="2"/>
  <c r="D16736" i="2"/>
  <c r="D16737" i="2"/>
  <c r="D16738" i="2"/>
  <c r="D16739" i="2"/>
  <c r="D16740" i="2"/>
  <c r="D16741" i="2"/>
  <c r="D16742" i="2"/>
  <c r="D16743" i="2"/>
  <c r="D16744" i="2"/>
  <c r="D16745" i="2"/>
  <c r="D16746" i="2"/>
  <c r="D16747" i="2"/>
  <c r="D16748" i="2"/>
  <c r="D16749" i="2"/>
  <c r="D16750" i="2"/>
  <c r="D16751" i="2"/>
  <c r="D16752" i="2"/>
  <c r="D16753" i="2"/>
  <c r="D16754" i="2"/>
  <c r="D16755" i="2"/>
  <c r="D16756" i="2"/>
  <c r="D16757" i="2"/>
  <c r="D16758" i="2"/>
  <c r="D16759" i="2"/>
  <c r="D16760" i="2"/>
  <c r="D16761" i="2"/>
  <c r="D16762" i="2"/>
  <c r="D16763" i="2"/>
  <c r="D16764" i="2"/>
  <c r="D16765" i="2"/>
  <c r="D16766" i="2"/>
  <c r="D16767" i="2"/>
  <c r="D16768" i="2"/>
  <c r="D16769" i="2"/>
  <c r="D16770" i="2"/>
  <c r="D16771" i="2"/>
  <c r="D16772" i="2"/>
  <c r="D16773" i="2"/>
  <c r="D16774" i="2"/>
  <c r="D16775" i="2"/>
  <c r="D16776" i="2"/>
  <c r="D16777" i="2"/>
  <c r="D16778" i="2"/>
  <c r="D16779" i="2"/>
  <c r="D16780" i="2"/>
  <c r="D16781" i="2"/>
  <c r="D16782" i="2"/>
  <c r="D16783" i="2"/>
  <c r="D16784" i="2"/>
  <c r="D16785" i="2"/>
  <c r="D16786" i="2"/>
  <c r="D16787" i="2"/>
  <c r="D16788" i="2"/>
  <c r="D16789" i="2"/>
  <c r="D16790" i="2"/>
  <c r="D16791" i="2"/>
  <c r="D16792" i="2"/>
  <c r="D16793" i="2"/>
  <c r="D16794" i="2"/>
  <c r="D16795" i="2"/>
  <c r="D16796" i="2"/>
  <c r="D16797" i="2"/>
  <c r="D16798" i="2"/>
  <c r="D16799" i="2"/>
  <c r="D16800" i="2"/>
  <c r="D16801" i="2"/>
  <c r="D16802" i="2"/>
  <c r="D16803" i="2"/>
  <c r="D16804" i="2"/>
  <c r="D16805" i="2"/>
  <c r="D16806" i="2"/>
  <c r="D16807" i="2"/>
  <c r="D16808" i="2"/>
  <c r="D16809" i="2"/>
  <c r="D16810" i="2"/>
  <c r="D16811" i="2"/>
  <c r="D16812" i="2"/>
  <c r="D16813" i="2"/>
  <c r="D16814" i="2"/>
  <c r="D16815" i="2"/>
  <c r="D16816" i="2"/>
  <c r="D16817" i="2"/>
  <c r="D16818" i="2"/>
  <c r="D16819" i="2"/>
  <c r="D16820" i="2"/>
  <c r="D16821" i="2"/>
  <c r="D16822" i="2"/>
  <c r="D16823" i="2"/>
  <c r="D16824" i="2"/>
  <c r="D16825" i="2"/>
  <c r="D16826" i="2"/>
  <c r="D16827" i="2"/>
  <c r="D16828" i="2"/>
  <c r="D16829" i="2"/>
  <c r="D16830" i="2"/>
  <c r="D16831" i="2"/>
  <c r="D16832" i="2"/>
  <c r="D16833" i="2"/>
  <c r="D16834" i="2"/>
  <c r="D16835" i="2"/>
  <c r="D16836" i="2"/>
  <c r="D16837" i="2"/>
  <c r="D16838" i="2"/>
  <c r="D16839" i="2"/>
  <c r="D16840" i="2"/>
  <c r="D16841" i="2"/>
  <c r="D16842" i="2"/>
  <c r="D16843" i="2"/>
  <c r="D16844" i="2"/>
  <c r="D16845" i="2"/>
  <c r="D16846" i="2"/>
  <c r="D16847" i="2"/>
  <c r="D16848" i="2"/>
  <c r="D16849" i="2"/>
  <c r="D16850" i="2"/>
  <c r="D16851" i="2"/>
  <c r="D16852" i="2"/>
  <c r="D16853" i="2"/>
  <c r="D16854" i="2"/>
  <c r="D16855" i="2"/>
  <c r="D16856" i="2"/>
  <c r="D16857" i="2"/>
  <c r="D16858" i="2"/>
  <c r="D16859" i="2"/>
  <c r="D16860" i="2"/>
  <c r="D16861" i="2"/>
  <c r="D16862" i="2"/>
  <c r="D16863" i="2"/>
  <c r="D16864" i="2"/>
  <c r="D16865" i="2"/>
  <c r="D16866" i="2"/>
  <c r="D16867" i="2"/>
  <c r="D16868" i="2"/>
  <c r="D16869" i="2"/>
  <c r="D16870" i="2"/>
  <c r="D16871" i="2"/>
  <c r="D16872" i="2"/>
  <c r="D16873" i="2"/>
  <c r="D16874" i="2"/>
  <c r="D16875" i="2"/>
  <c r="D16876" i="2"/>
  <c r="D16877" i="2"/>
  <c r="D16878" i="2"/>
  <c r="D16879" i="2"/>
  <c r="D16880" i="2"/>
  <c r="D16881" i="2"/>
  <c r="D16882" i="2"/>
  <c r="D16883" i="2"/>
  <c r="D16884" i="2"/>
  <c r="D16885" i="2"/>
  <c r="D16886" i="2"/>
  <c r="D16887" i="2"/>
  <c r="D16888" i="2"/>
  <c r="D16889" i="2"/>
  <c r="D16890" i="2"/>
  <c r="D16891" i="2"/>
  <c r="D16892" i="2"/>
  <c r="D16893" i="2"/>
  <c r="D16894" i="2"/>
  <c r="D16895" i="2"/>
  <c r="D16896" i="2"/>
  <c r="D16897" i="2"/>
  <c r="D16898" i="2"/>
  <c r="D16899" i="2"/>
  <c r="D16900" i="2"/>
  <c r="D16901" i="2"/>
  <c r="D16902" i="2"/>
  <c r="D16903" i="2"/>
  <c r="D16904" i="2"/>
  <c r="D16905" i="2"/>
  <c r="D16906" i="2"/>
  <c r="D16907" i="2"/>
  <c r="D16908" i="2"/>
  <c r="D16909" i="2"/>
  <c r="D16910" i="2"/>
  <c r="D16911" i="2"/>
  <c r="D16912" i="2"/>
  <c r="D16913" i="2"/>
  <c r="D16914" i="2"/>
  <c r="D16915" i="2"/>
  <c r="D16916" i="2"/>
  <c r="D16917" i="2"/>
  <c r="D16918" i="2"/>
  <c r="D16919" i="2"/>
  <c r="D16920" i="2"/>
  <c r="D16921" i="2"/>
  <c r="D16922" i="2"/>
  <c r="D16923" i="2"/>
  <c r="D16924" i="2"/>
  <c r="D16925" i="2"/>
  <c r="D16926" i="2"/>
  <c r="D16927" i="2"/>
  <c r="D16928" i="2"/>
  <c r="D16929" i="2"/>
  <c r="D16930" i="2"/>
  <c r="D16931" i="2"/>
  <c r="D16932" i="2"/>
  <c r="D16933" i="2"/>
  <c r="D16934" i="2"/>
  <c r="D16935" i="2"/>
  <c r="D16936" i="2"/>
  <c r="D16937" i="2"/>
  <c r="D16938" i="2"/>
  <c r="D16939" i="2"/>
  <c r="D16940" i="2"/>
  <c r="D16941" i="2"/>
  <c r="D16942" i="2"/>
  <c r="D16943" i="2"/>
  <c r="D16944" i="2"/>
  <c r="D16945" i="2"/>
  <c r="D16946" i="2"/>
  <c r="D16947" i="2"/>
  <c r="D16948" i="2"/>
  <c r="D16949" i="2"/>
  <c r="D16950" i="2"/>
  <c r="D16951" i="2"/>
  <c r="D16952" i="2"/>
  <c r="D16953" i="2"/>
  <c r="D16954" i="2"/>
  <c r="D16955" i="2"/>
  <c r="D16956" i="2"/>
  <c r="D16957" i="2"/>
  <c r="D16958" i="2"/>
  <c r="D16959" i="2"/>
  <c r="D16960" i="2"/>
  <c r="D16961" i="2"/>
  <c r="D16962" i="2"/>
  <c r="D16963" i="2"/>
  <c r="D16964" i="2"/>
  <c r="D16965" i="2"/>
  <c r="D16966" i="2"/>
  <c r="D16967" i="2"/>
  <c r="D16968" i="2"/>
  <c r="D16969" i="2"/>
  <c r="D16970" i="2"/>
  <c r="D16971" i="2"/>
  <c r="D16972" i="2"/>
  <c r="D16973" i="2"/>
  <c r="D16974" i="2"/>
  <c r="D16975" i="2"/>
  <c r="D16976" i="2"/>
  <c r="D16977" i="2"/>
  <c r="D16978" i="2"/>
  <c r="D16979" i="2"/>
  <c r="D16980" i="2"/>
  <c r="D16981" i="2"/>
  <c r="D16982" i="2"/>
  <c r="D16983" i="2"/>
  <c r="D16984" i="2"/>
  <c r="D16985" i="2"/>
  <c r="D16986" i="2"/>
  <c r="D16987" i="2"/>
  <c r="D16988" i="2"/>
  <c r="D16989" i="2"/>
  <c r="D16990" i="2"/>
  <c r="D16991" i="2"/>
  <c r="D16992" i="2"/>
  <c r="D16993" i="2"/>
  <c r="D16994" i="2"/>
  <c r="D16995" i="2"/>
  <c r="D16996" i="2"/>
  <c r="D16997" i="2"/>
  <c r="D16998" i="2"/>
  <c r="D16999" i="2"/>
  <c r="D17000" i="2"/>
  <c r="D17001" i="2"/>
  <c r="D17002" i="2"/>
  <c r="D17003" i="2"/>
  <c r="D17004" i="2"/>
  <c r="D17005" i="2"/>
  <c r="D17006" i="2"/>
  <c r="D17007" i="2"/>
  <c r="D17008" i="2"/>
  <c r="D17009" i="2"/>
  <c r="D17010" i="2"/>
  <c r="D17011" i="2"/>
  <c r="D17012" i="2"/>
  <c r="D17013" i="2"/>
  <c r="D17014" i="2"/>
  <c r="D17015" i="2"/>
  <c r="D17016" i="2"/>
  <c r="D17017" i="2"/>
  <c r="D17018" i="2"/>
  <c r="D17019" i="2"/>
  <c r="D17020" i="2"/>
  <c r="D17021" i="2"/>
  <c r="D17022" i="2"/>
  <c r="D17023" i="2"/>
  <c r="D17024" i="2"/>
  <c r="D17025" i="2"/>
  <c r="D17026" i="2"/>
  <c r="D17027" i="2"/>
  <c r="D17028" i="2"/>
  <c r="D17029" i="2"/>
  <c r="D17030" i="2"/>
  <c r="D17031" i="2"/>
  <c r="D17032" i="2"/>
  <c r="D17033" i="2"/>
  <c r="D17034" i="2"/>
  <c r="D17035" i="2"/>
  <c r="D17036" i="2"/>
  <c r="D17037" i="2"/>
  <c r="D17038" i="2"/>
  <c r="D17039" i="2"/>
  <c r="D17040" i="2"/>
  <c r="D17041" i="2"/>
  <c r="D17042" i="2"/>
  <c r="D17043" i="2"/>
  <c r="D17044" i="2"/>
  <c r="D17045" i="2"/>
  <c r="D17046" i="2"/>
  <c r="D17047" i="2"/>
  <c r="D17048" i="2"/>
  <c r="D17049" i="2"/>
  <c r="D17050" i="2"/>
  <c r="D17051" i="2"/>
  <c r="D17052" i="2"/>
  <c r="D17053" i="2"/>
  <c r="D17054" i="2"/>
  <c r="D17055" i="2"/>
  <c r="D17056" i="2"/>
  <c r="D17057" i="2"/>
  <c r="D17058" i="2"/>
  <c r="D17059" i="2"/>
  <c r="D17060" i="2"/>
  <c r="D17061" i="2"/>
  <c r="D17062" i="2"/>
  <c r="D17063" i="2"/>
  <c r="D17064" i="2"/>
  <c r="D17065" i="2"/>
  <c r="D17066" i="2"/>
  <c r="D17067" i="2"/>
  <c r="D17068" i="2"/>
  <c r="D17069" i="2"/>
  <c r="D17070" i="2"/>
  <c r="D17071" i="2"/>
  <c r="D17072" i="2"/>
  <c r="D17073" i="2"/>
  <c r="D17074" i="2"/>
  <c r="D17075" i="2"/>
  <c r="D17076" i="2"/>
  <c r="D17077" i="2"/>
  <c r="D17078" i="2"/>
  <c r="D17079" i="2"/>
  <c r="D17080" i="2"/>
  <c r="D17081" i="2"/>
  <c r="D17082" i="2"/>
  <c r="D17083" i="2"/>
  <c r="D17084" i="2"/>
  <c r="D17085" i="2"/>
  <c r="D17086" i="2"/>
  <c r="D17087" i="2"/>
  <c r="D17088" i="2"/>
  <c r="D17089" i="2"/>
  <c r="D17090" i="2"/>
  <c r="D17091" i="2"/>
  <c r="D17092" i="2"/>
  <c r="D17093" i="2"/>
  <c r="D17094" i="2"/>
  <c r="D17095" i="2"/>
  <c r="D17096" i="2"/>
  <c r="D17097" i="2"/>
  <c r="D17098" i="2"/>
  <c r="D17099" i="2"/>
  <c r="D17100" i="2"/>
  <c r="D17101" i="2"/>
  <c r="D17102" i="2"/>
  <c r="D17103" i="2"/>
  <c r="D17104" i="2"/>
  <c r="D17105" i="2"/>
  <c r="D17106" i="2"/>
  <c r="D17107" i="2"/>
  <c r="D17108" i="2"/>
  <c r="D17109" i="2"/>
  <c r="D17110" i="2"/>
  <c r="D17111" i="2"/>
  <c r="D17112" i="2"/>
  <c r="D17113" i="2"/>
  <c r="D17114" i="2"/>
  <c r="D17115" i="2"/>
  <c r="D17116" i="2"/>
  <c r="D17117" i="2"/>
  <c r="D17118" i="2"/>
  <c r="D17119" i="2"/>
  <c r="D17120" i="2"/>
  <c r="D17121" i="2"/>
  <c r="D17122" i="2"/>
  <c r="D17123" i="2"/>
  <c r="D17124" i="2"/>
  <c r="D17125" i="2"/>
  <c r="D17126" i="2"/>
  <c r="D17127" i="2"/>
  <c r="D17128" i="2"/>
  <c r="D17129" i="2"/>
  <c r="D17130" i="2"/>
  <c r="D17131" i="2"/>
  <c r="D17132" i="2"/>
  <c r="D17133" i="2"/>
  <c r="D17134" i="2"/>
  <c r="D17135" i="2"/>
  <c r="D17136" i="2"/>
  <c r="D17137" i="2"/>
  <c r="D17138" i="2"/>
  <c r="D17139" i="2"/>
  <c r="D17140" i="2"/>
  <c r="D17141" i="2"/>
  <c r="D17142" i="2"/>
  <c r="D17143" i="2"/>
  <c r="D17144" i="2"/>
  <c r="D17145" i="2"/>
  <c r="D17146" i="2"/>
  <c r="D17147" i="2"/>
  <c r="D17148" i="2"/>
  <c r="D17149" i="2"/>
  <c r="D17150" i="2"/>
  <c r="D17151" i="2"/>
  <c r="D17152" i="2"/>
  <c r="D17153" i="2"/>
  <c r="D17154" i="2"/>
  <c r="D17155" i="2"/>
  <c r="D17156" i="2"/>
  <c r="D17157" i="2"/>
  <c r="D17158" i="2"/>
  <c r="D17159" i="2"/>
  <c r="D17160" i="2"/>
  <c r="D17161" i="2"/>
  <c r="D17162" i="2"/>
  <c r="D17163" i="2"/>
  <c r="D17164" i="2"/>
  <c r="D17165" i="2"/>
  <c r="D17166" i="2"/>
  <c r="D17167" i="2"/>
  <c r="D17168" i="2"/>
  <c r="D17169" i="2"/>
  <c r="D17170" i="2"/>
  <c r="D17171" i="2"/>
  <c r="D17172" i="2"/>
  <c r="D17173" i="2"/>
  <c r="D17174" i="2"/>
  <c r="D17175" i="2"/>
  <c r="D17176" i="2"/>
  <c r="D17177" i="2"/>
  <c r="D17178" i="2"/>
  <c r="D17179" i="2"/>
  <c r="D17180" i="2"/>
  <c r="D17181" i="2"/>
  <c r="D17182" i="2"/>
  <c r="D17183" i="2"/>
  <c r="D17184" i="2"/>
  <c r="D17185" i="2"/>
  <c r="D17186" i="2"/>
  <c r="D17187" i="2"/>
  <c r="D17188" i="2"/>
  <c r="D17189" i="2"/>
  <c r="D17190" i="2"/>
  <c r="D17191" i="2"/>
  <c r="D17192" i="2"/>
  <c r="D17193" i="2"/>
  <c r="D17194" i="2"/>
  <c r="D17195" i="2"/>
  <c r="D17196" i="2"/>
  <c r="D17197" i="2"/>
  <c r="D17198" i="2"/>
  <c r="D17199" i="2"/>
  <c r="D17200" i="2"/>
  <c r="D17201" i="2"/>
  <c r="D17202" i="2"/>
  <c r="D17203" i="2"/>
  <c r="D17204" i="2"/>
  <c r="D17205" i="2"/>
  <c r="D17206" i="2"/>
  <c r="D17207" i="2"/>
  <c r="D17208" i="2"/>
  <c r="D17209" i="2"/>
  <c r="D17210" i="2"/>
  <c r="D17211" i="2"/>
  <c r="D17212" i="2"/>
  <c r="D17213" i="2"/>
  <c r="D17214" i="2"/>
  <c r="D17215" i="2"/>
  <c r="D17216" i="2"/>
  <c r="D17217" i="2"/>
  <c r="D17218" i="2"/>
  <c r="D17219" i="2"/>
  <c r="D17220" i="2"/>
  <c r="D17221" i="2"/>
  <c r="D17222" i="2"/>
  <c r="D17223" i="2"/>
  <c r="D17224" i="2"/>
  <c r="D17225" i="2"/>
  <c r="D17226" i="2"/>
  <c r="D17227" i="2"/>
  <c r="D17228" i="2"/>
  <c r="D17229" i="2"/>
  <c r="D17230" i="2"/>
  <c r="D17231" i="2"/>
  <c r="D17232" i="2"/>
  <c r="D17233" i="2"/>
  <c r="D17234" i="2"/>
  <c r="D17235" i="2"/>
  <c r="D17236" i="2"/>
  <c r="D17237" i="2"/>
  <c r="D17238" i="2"/>
  <c r="D17239" i="2"/>
  <c r="D17240" i="2"/>
  <c r="D17241" i="2"/>
  <c r="D17242" i="2"/>
  <c r="D17243" i="2"/>
  <c r="D17244" i="2"/>
  <c r="D17245" i="2"/>
  <c r="D17246" i="2"/>
  <c r="D17247" i="2"/>
  <c r="D17248" i="2"/>
  <c r="D17249" i="2"/>
  <c r="D17250" i="2"/>
  <c r="D17251" i="2"/>
  <c r="D17252" i="2"/>
  <c r="D17253" i="2"/>
  <c r="D17254" i="2"/>
  <c r="D17255" i="2"/>
  <c r="D17256" i="2"/>
  <c r="D17257" i="2"/>
  <c r="D17258" i="2"/>
  <c r="D17259" i="2"/>
  <c r="D17260" i="2"/>
  <c r="D17261" i="2"/>
  <c r="D17262" i="2"/>
  <c r="D17263" i="2"/>
  <c r="D17264" i="2"/>
  <c r="D17265" i="2"/>
  <c r="D17266" i="2"/>
  <c r="D17267" i="2"/>
  <c r="D17268" i="2"/>
  <c r="D17269" i="2"/>
  <c r="D17270" i="2"/>
  <c r="D17271" i="2"/>
  <c r="D17272" i="2"/>
  <c r="D17273" i="2"/>
  <c r="D17274" i="2"/>
  <c r="D17275" i="2"/>
  <c r="D17276" i="2"/>
  <c r="D17277" i="2"/>
  <c r="D17278" i="2"/>
  <c r="D17279" i="2"/>
  <c r="D17280" i="2"/>
  <c r="D17281" i="2"/>
  <c r="D17282" i="2"/>
  <c r="D17283" i="2"/>
  <c r="D17284" i="2"/>
  <c r="D17285" i="2"/>
  <c r="D17286" i="2"/>
  <c r="D17287" i="2"/>
  <c r="D17288" i="2"/>
  <c r="D17289" i="2"/>
  <c r="D17290" i="2"/>
  <c r="D17291" i="2"/>
  <c r="D17292" i="2"/>
  <c r="D17293" i="2"/>
  <c r="D17294" i="2"/>
  <c r="D17295" i="2"/>
  <c r="D17296" i="2"/>
  <c r="D17297" i="2"/>
  <c r="D17298" i="2"/>
  <c r="D17299" i="2"/>
  <c r="D17300" i="2"/>
  <c r="D17301" i="2"/>
  <c r="D17302" i="2"/>
  <c r="D17303" i="2"/>
  <c r="D17304" i="2"/>
  <c r="D17305" i="2"/>
  <c r="D17306" i="2"/>
  <c r="D17307" i="2"/>
  <c r="D17308" i="2"/>
  <c r="D17309" i="2"/>
  <c r="D17310" i="2"/>
  <c r="D17311" i="2"/>
  <c r="D17312" i="2"/>
  <c r="D17313" i="2"/>
  <c r="D17314" i="2"/>
  <c r="D17315" i="2"/>
  <c r="D17316" i="2"/>
  <c r="D17317" i="2"/>
  <c r="D17318" i="2"/>
  <c r="D17319" i="2"/>
  <c r="D17320" i="2"/>
  <c r="D17321" i="2"/>
  <c r="D17322" i="2"/>
  <c r="D17323" i="2"/>
  <c r="D17324" i="2"/>
  <c r="D17325" i="2"/>
  <c r="D17326" i="2"/>
  <c r="D17327" i="2"/>
  <c r="D17328" i="2"/>
  <c r="D17329" i="2"/>
  <c r="D17330" i="2"/>
  <c r="D17331" i="2"/>
  <c r="D17332" i="2"/>
  <c r="D17333" i="2"/>
  <c r="D17334" i="2"/>
  <c r="D17335" i="2"/>
  <c r="D17336" i="2"/>
  <c r="D17337" i="2"/>
  <c r="D17338" i="2"/>
  <c r="D17339" i="2"/>
  <c r="D17340" i="2"/>
  <c r="D17341" i="2"/>
  <c r="D17342" i="2"/>
  <c r="D17343" i="2"/>
  <c r="D17344" i="2"/>
  <c r="D17345" i="2"/>
  <c r="D17346" i="2"/>
  <c r="D17347" i="2"/>
  <c r="D17348" i="2"/>
  <c r="D17349" i="2"/>
  <c r="D17350" i="2"/>
  <c r="D17351" i="2"/>
  <c r="D17352" i="2"/>
  <c r="D17353" i="2"/>
  <c r="D17354" i="2"/>
  <c r="D17355" i="2"/>
  <c r="D17356" i="2"/>
  <c r="D17357" i="2"/>
  <c r="D17358" i="2"/>
  <c r="D17359" i="2"/>
  <c r="D17360" i="2"/>
  <c r="D17361" i="2"/>
  <c r="D17362" i="2"/>
  <c r="D17363" i="2"/>
  <c r="D17364" i="2"/>
  <c r="D17365" i="2"/>
  <c r="D17366" i="2"/>
  <c r="D17367" i="2"/>
  <c r="D17368" i="2"/>
  <c r="D17369" i="2"/>
  <c r="D17370" i="2"/>
  <c r="D17371" i="2"/>
  <c r="D17372" i="2"/>
  <c r="D17373" i="2"/>
  <c r="D17374" i="2"/>
  <c r="D17375" i="2"/>
  <c r="D17376" i="2"/>
  <c r="D17377" i="2"/>
  <c r="D17378" i="2"/>
  <c r="D17379" i="2"/>
  <c r="D17380" i="2"/>
  <c r="D17381" i="2"/>
  <c r="D17382" i="2"/>
  <c r="D17383" i="2"/>
  <c r="D17384" i="2"/>
  <c r="D17385" i="2"/>
  <c r="D17386" i="2"/>
  <c r="D17387" i="2"/>
  <c r="D17388" i="2"/>
  <c r="D17389" i="2"/>
  <c r="D17390" i="2"/>
  <c r="D17391" i="2"/>
  <c r="D17392" i="2"/>
  <c r="D17393" i="2"/>
  <c r="D17394" i="2"/>
  <c r="D17395" i="2"/>
  <c r="D17396" i="2"/>
  <c r="D17397" i="2"/>
  <c r="D17398" i="2"/>
  <c r="D17399" i="2"/>
  <c r="D17400" i="2"/>
  <c r="D17401" i="2"/>
  <c r="D17402" i="2"/>
  <c r="D17403" i="2"/>
  <c r="D17404" i="2"/>
  <c r="D17405" i="2"/>
  <c r="D17406" i="2"/>
  <c r="D17407" i="2"/>
  <c r="D17408" i="2"/>
  <c r="D17409" i="2"/>
  <c r="D17410" i="2"/>
  <c r="D17411" i="2"/>
  <c r="D17412" i="2"/>
  <c r="D17413" i="2"/>
  <c r="D17414" i="2"/>
  <c r="D17415" i="2"/>
  <c r="D17416" i="2"/>
  <c r="D17417" i="2"/>
  <c r="D17418" i="2"/>
  <c r="D17419" i="2"/>
  <c r="D17420" i="2"/>
  <c r="D17421" i="2"/>
  <c r="D17422" i="2"/>
  <c r="D17423" i="2"/>
  <c r="D17424" i="2"/>
  <c r="D17425" i="2"/>
  <c r="D17426" i="2"/>
  <c r="D17427" i="2"/>
  <c r="D17428" i="2"/>
  <c r="D17429" i="2"/>
  <c r="D17430" i="2"/>
  <c r="D17431" i="2"/>
  <c r="D17432" i="2"/>
  <c r="D17433" i="2"/>
  <c r="D17434" i="2"/>
  <c r="D17435" i="2"/>
  <c r="D17436" i="2"/>
  <c r="D17437" i="2"/>
  <c r="D17438" i="2"/>
  <c r="D17439" i="2"/>
  <c r="D17440" i="2"/>
  <c r="D17441" i="2"/>
  <c r="D17442" i="2"/>
  <c r="D17443" i="2"/>
  <c r="D17444" i="2"/>
  <c r="D17445" i="2"/>
  <c r="D17446" i="2"/>
  <c r="D17447" i="2"/>
  <c r="D17448" i="2"/>
  <c r="D17449" i="2"/>
  <c r="D17450" i="2"/>
  <c r="D17451" i="2"/>
  <c r="D17452" i="2"/>
  <c r="D17453" i="2"/>
  <c r="D17454" i="2"/>
  <c r="D17455" i="2"/>
  <c r="D17456" i="2"/>
  <c r="D17457" i="2"/>
  <c r="D17458" i="2"/>
  <c r="D17459" i="2"/>
  <c r="D17460" i="2"/>
  <c r="D17461" i="2"/>
  <c r="D17462" i="2"/>
  <c r="D17463" i="2"/>
  <c r="D17464" i="2"/>
  <c r="D17465" i="2"/>
  <c r="D17466" i="2"/>
  <c r="D17467" i="2"/>
  <c r="D17468" i="2"/>
  <c r="D17469" i="2"/>
  <c r="D17470" i="2"/>
  <c r="D17471" i="2"/>
  <c r="D17472" i="2"/>
  <c r="D17473" i="2"/>
  <c r="D17474" i="2"/>
  <c r="D17475" i="2"/>
  <c r="D17476" i="2"/>
  <c r="D17477" i="2"/>
  <c r="D17478" i="2"/>
  <c r="D17479" i="2"/>
  <c r="D17480" i="2"/>
  <c r="D17481" i="2"/>
  <c r="D17482" i="2"/>
  <c r="D17483" i="2"/>
  <c r="D17484" i="2"/>
  <c r="D17485" i="2"/>
  <c r="D17486" i="2"/>
  <c r="D17487" i="2"/>
  <c r="D17488" i="2"/>
  <c r="D17489" i="2"/>
  <c r="D17490" i="2"/>
  <c r="D17491" i="2"/>
  <c r="D17492" i="2"/>
  <c r="D17493" i="2"/>
  <c r="D17494" i="2"/>
  <c r="D17495" i="2"/>
  <c r="D17496" i="2"/>
  <c r="D17497" i="2"/>
  <c r="D17498" i="2"/>
  <c r="D17499" i="2"/>
  <c r="D17500" i="2"/>
  <c r="D17501" i="2"/>
  <c r="D17502" i="2"/>
  <c r="D17503" i="2"/>
  <c r="D17504" i="2"/>
  <c r="D17505" i="2"/>
  <c r="D17506" i="2"/>
  <c r="D17507" i="2"/>
  <c r="D17508" i="2"/>
  <c r="D17509" i="2"/>
  <c r="D17510" i="2"/>
  <c r="D17511" i="2"/>
  <c r="D17512" i="2"/>
  <c r="D17513" i="2"/>
  <c r="D17514" i="2"/>
  <c r="D17515" i="2"/>
  <c r="D17516" i="2"/>
  <c r="D17517" i="2"/>
  <c r="D17518" i="2"/>
  <c r="D17519" i="2"/>
  <c r="D17520" i="2"/>
  <c r="D17521" i="2"/>
  <c r="D17522" i="2"/>
  <c r="D17523" i="2"/>
  <c r="D17524" i="2"/>
  <c r="D17525" i="2"/>
  <c r="D17526" i="2"/>
  <c r="D17527" i="2"/>
  <c r="D17528" i="2"/>
  <c r="D17529" i="2"/>
  <c r="D17530" i="2"/>
  <c r="D17531" i="2"/>
  <c r="D17532" i="2"/>
  <c r="D17533" i="2"/>
  <c r="D17534" i="2"/>
  <c r="D17535" i="2"/>
  <c r="D17536" i="2"/>
  <c r="D17537" i="2"/>
  <c r="D17538" i="2"/>
  <c r="D17539" i="2"/>
  <c r="D17540" i="2"/>
  <c r="D17541" i="2"/>
  <c r="D17542" i="2"/>
  <c r="D17543" i="2"/>
  <c r="D17544" i="2"/>
  <c r="D17545" i="2"/>
  <c r="D17546" i="2"/>
  <c r="D17547" i="2"/>
  <c r="D17548" i="2"/>
  <c r="D17549" i="2"/>
  <c r="D17550" i="2"/>
  <c r="D17551" i="2"/>
  <c r="D17552" i="2"/>
  <c r="D17553" i="2"/>
  <c r="D17554" i="2"/>
  <c r="D17555" i="2"/>
  <c r="D17556" i="2"/>
  <c r="D17557" i="2"/>
  <c r="D17558" i="2"/>
  <c r="D17559" i="2"/>
  <c r="D17560" i="2"/>
  <c r="D17561" i="2"/>
  <c r="D17562" i="2"/>
  <c r="D17563" i="2"/>
  <c r="D17564" i="2"/>
  <c r="D17565" i="2"/>
  <c r="D17566" i="2"/>
  <c r="D17567" i="2"/>
  <c r="D17568" i="2"/>
  <c r="D17569" i="2"/>
  <c r="D17570" i="2"/>
  <c r="D17571" i="2"/>
  <c r="D17572" i="2"/>
  <c r="D17573" i="2"/>
  <c r="D17574" i="2"/>
  <c r="D17575" i="2"/>
  <c r="D17576" i="2"/>
  <c r="D17577" i="2"/>
  <c r="D17578" i="2"/>
  <c r="D17579" i="2"/>
  <c r="D17580" i="2"/>
  <c r="D17581" i="2"/>
  <c r="D17582" i="2"/>
  <c r="D17583" i="2"/>
  <c r="D17584" i="2"/>
  <c r="D17585" i="2"/>
  <c r="D17586" i="2"/>
  <c r="D17587" i="2"/>
  <c r="D17588" i="2"/>
  <c r="D17589" i="2"/>
  <c r="D17590" i="2"/>
  <c r="D17591" i="2"/>
  <c r="D17592" i="2"/>
  <c r="D17593" i="2"/>
  <c r="D17594" i="2"/>
  <c r="D17595" i="2"/>
  <c r="D17596" i="2"/>
  <c r="D17597" i="2"/>
  <c r="D17598" i="2"/>
  <c r="D17599" i="2"/>
  <c r="D17600" i="2"/>
  <c r="D17601" i="2"/>
  <c r="D17602" i="2"/>
  <c r="D17603" i="2"/>
  <c r="D17604" i="2"/>
  <c r="D17605" i="2"/>
  <c r="D17606" i="2"/>
  <c r="D17607" i="2"/>
  <c r="D17608" i="2"/>
  <c r="D17609" i="2"/>
  <c r="D17610" i="2"/>
  <c r="D17611" i="2"/>
  <c r="D17612" i="2"/>
  <c r="D17613" i="2"/>
  <c r="D17614" i="2"/>
  <c r="D17615" i="2"/>
  <c r="D17616" i="2"/>
  <c r="D17617" i="2"/>
  <c r="D17618" i="2"/>
  <c r="D17619" i="2"/>
  <c r="D17620" i="2"/>
  <c r="D17621" i="2"/>
  <c r="D17622" i="2"/>
  <c r="D17623" i="2"/>
  <c r="D17624" i="2"/>
  <c r="D17625" i="2"/>
  <c r="D17626" i="2"/>
  <c r="D17627" i="2"/>
  <c r="D17628" i="2"/>
  <c r="D17629" i="2"/>
  <c r="D17630" i="2"/>
  <c r="D17631" i="2"/>
  <c r="D17632" i="2"/>
  <c r="D17633" i="2"/>
  <c r="D17634" i="2"/>
  <c r="D17635" i="2"/>
  <c r="D17636" i="2"/>
  <c r="D17637" i="2"/>
  <c r="D17638" i="2"/>
  <c r="D17639" i="2"/>
  <c r="D17640" i="2"/>
  <c r="D17641" i="2"/>
  <c r="D17642" i="2"/>
  <c r="D17643" i="2"/>
  <c r="D17644" i="2"/>
  <c r="D17645" i="2"/>
  <c r="D17646" i="2"/>
  <c r="D17647" i="2"/>
  <c r="D17648" i="2"/>
  <c r="D17649" i="2"/>
  <c r="D17650" i="2"/>
  <c r="D17651" i="2"/>
  <c r="D17652" i="2"/>
  <c r="D17653" i="2"/>
  <c r="D17654" i="2"/>
  <c r="D17655" i="2"/>
  <c r="D17656" i="2"/>
  <c r="D17657" i="2"/>
  <c r="D17658" i="2"/>
  <c r="D17659" i="2"/>
  <c r="D17660" i="2"/>
  <c r="D17661" i="2"/>
  <c r="D17662" i="2"/>
  <c r="D17663" i="2"/>
  <c r="D17664" i="2"/>
  <c r="D17665" i="2"/>
  <c r="D17666" i="2"/>
  <c r="D17667" i="2"/>
  <c r="D17668" i="2"/>
  <c r="D17669" i="2"/>
  <c r="D17670" i="2"/>
  <c r="D17671" i="2"/>
  <c r="D17672" i="2"/>
  <c r="D17673" i="2"/>
  <c r="D17674" i="2"/>
  <c r="D17675" i="2"/>
  <c r="D17676" i="2"/>
  <c r="D17677" i="2"/>
  <c r="D17678" i="2"/>
  <c r="D17679" i="2"/>
  <c r="D17680" i="2"/>
  <c r="D17681" i="2"/>
  <c r="D17682" i="2"/>
  <c r="D17683" i="2"/>
  <c r="D17684" i="2"/>
  <c r="D17685" i="2"/>
  <c r="D17686" i="2"/>
  <c r="D17687" i="2"/>
  <c r="D17688" i="2"/>
  <c r="D17689" i="2"/>
  <c r="D17690" i="2"/>
  <c r="D17691" i="2"/>
  <c r="D17692" i="2"/>
  <c r="D17693" i="2"/>
  <c r="D17694" i="2"/>
  <c r="D17695" i="2"/>
  <c r="D17696" i="2"/>
  <c r="D17697" i="2"/>
  <c r="D17698" i="2"/>
  <c r="D17699" i="2"/>
  <c r="D17700" i="2"/>
  <c r="D17701" i="2"/>
  <c r="D17702" i="2"/>
  <c r="D17703" i="2"/>
  <c r="D17704" i="2"/>
  <c r="D17705" i="2"/>
  <c r="D17706" i="2"/>
  <c r="D17707" i="2"/>
  <c r="D17708" i="2"/>
  <c r="D17709" i="2"/>
  <c r="D17710" i="2"/>
  <c r="D17711" i="2"/>
  <c r="D17712" i="2"/>
  <c r="D17713" i="2"/>
  <c r="D17714" i="2"/>
  <c r="D17715" i="2"/>
  <c r="D17716" i="2"/>
  <c r="D17717" i="2"/>
  <c r="D17718" i="2"/>
  <c r="D17719" i="2"/>
  <c r="D17720" i="2"/>
  <c r="D17721" i="2"/>
  <c r="D17722" i="2"/>
  <c r="D17723" i="2"/>
  <c r="D17724" i="2"/>
  <c r="D17725" i="2"/>
  <c r="D17726" i="2"/>
  <c r="D17727" i="2"/>
  <c r="D17728" i="2"/>
  <c r="D17729" i="2"/>
  <c r="D17730" i="2"/>
  <c r="D17731" i="2"/>
  <c r="D17732" i="2"/>
  <c r="D17733" i="2"/>
  <c r="D17734" i="2"/>
  <c r="D17735" i="2"/>
  <c r="D17736" i="2"/>
  <c r="D17737" i="2"/>
  <c r="D17738" i="2"/>
  <c r="D17739" i="2"/>
  <c r="D17740" i="2"/>
  <c r="D17741" i="2"/>
  <c r="D17742" i="2"/>
  <c r="D17743" i="2"/>
  <c r="D17744" i="2"/>
  <c r="D17745" i="2"/>
  <c r="D17746" i="2"/>
  <c r="D17747" i="2"/>
  <c r="D17748" i="2"/>
  <c r="D17749" i="2"/>
  <c r="D17750" i="2"/>
  <c r="D17751" i="2"/>
  <c r="D17752" i="2"/>
  <c r="D17753" i="2"/>
  <c r="D17754" i="2"/>
  <c r="D17755" i="2"/>
  <c r="D17756" i="2"/>
  <c r="D17757" i="2"/>
  <c r="D17758" i="2"/>
  <c r="D17759" i="2"/>
  <c r="D17760" i="2"/>
  <c r="D17761" i="2"/>
  <c r="D17762" i="2"/>
  <c r="D17763" i="2"/>
  <c r="D17764" i="2"/>
  <c r="D17765" i="2"/>
  <c r="D17766" i="2"/>
  <c r="D17767" i="2"/>
  <c r="D17768" i="2"/>
  <c r="D17769" i="2"/>
  <c r="D17770" i="2"/>
  <c r="D17771" i="2"/>
  <c r="D17772" i="2"/>
  <c r="D17773" i="2"/>
  <c r="D17774" i="2"/>
  <c r="D17775" i="2"/>
  <c r="D17776" i="2"/>
  <c r="D17777" i="2"/>
  <c r="D17778" i="2"/>
  <c r="D17779" i="2"/>
  <c r="D17780" i="2"/>
  <c r="D17781" i="2"/>
  <c r="D17782" i="2"/>
  <c r="D17783" i="2"/>
  <c r="D17784" i="2"/>
  <c r="D17785" i="2"/>
  <c r="D17786" i="2"/>
  <c r="D17787" i="2"/>
  <c r="D17788" i="2"/>
  <c r="D17789" i="2"/>
  <c r="D17790" i="2"/>
  <c r="D17791" i="2"/>
  <c r="D17792" i="2"/>
  <c r="D17793" i="2"/>
  <c r="D17794" i="2"/>
  <c r="D17795" i="2"/>
  <c r="D17796" i="2"/>
  <c r="D17797" i="2"/>
  <c r="D17798" i="2"/>
  <c r="D17799" i="2"/>
  <c r="D17800" i="2"/>
  <c r="D17801" i="2"/>
  <c r="D17802" i="2"/>
  <c r="D17803" i="2"/>
  <c r="D17804" i="2"/>
  <c r="D17805" i="2"/>
  <c r="D17806" i="2"/>
  <c r="D17807" i="2"/>
  <c r="D17808" i="2"/>
  <c r="D17809" i="2"/>
  <c r="D17810" i="2"/>
  <c r="D17811" i="2"/>
  <c r="D17812" i="2"/>
  <c r="D17813" i="2"/>
  <c r="D17814" i="2"/>
  <c r="D17815" i="2"/>
  <c r="D17816" i="2"/>
  <c r="D17817" i="2"/>
  <c r="D17818" i="2"/>
  <c r="D17819" i="2"/>
  <c r="D17820" i="2"/>
  <c r="D17821" i="2"/>
  <c r="D17822" i="2"/>
  <c r="D17823" i="2"/>
  <c r="D17824" i="2"/>
  <c r="D17825" i="2"/>
  <c r="D17826" i="2"/>
  <c r="D17827" i="2"/>
  <c r="D17828" i="2"/>
  <c r="D17829" i="2"/>
  <c r="D17830" i="2"/>
  <c r="D17831" i="2"/>
  <c r="D17832" i="2"/>
  <c r="D17833" i="2"/>
  <c r="D17834" i="2"/>
  <c r="D17835" i="2"/>
  <c r="D17836" i="2"/>
  <c r="D17837" i="2"/>
  <c r="D17838" i="2"/>
  <c r="D17839" i="2"/>
  <c r="D17840" i="2"/>
  <c r="D17841" i="2"/>
  <c r="D17842" i="2"/>
  <c r="D17843" i="2"/>
  <c r="D17844" i="2"/>
  <c r="D17845" i="2"/>
  <c r="D17846" i="2"/>
  <c r="D17847" i="2"/>
  <c r="D17848" i="2"/>
  <c r="D17849" i="2"/>
  <c r="D17850" i="2"/>
  <c r="D17851" i="2"/>
  <c r="D17852" i="2"/>
  <c r="D17853" i="2"/>
  <c r="D17854" i="2"/>
  <c r="D17855" i="2"/>
  <c r="D17856" i="2"/>
  <c r="D17857" i="2"/>
  <c r="D17858" i="2"/>
  <c r="D17859" i="2"/>
  <c r="D17860" i="2"/>
  <c r="D17861" i="2"/>
  <c r="D17862" i="2"/>
  <c r="D17863" i="2"/>
  <c r="D17864" i="2"/>
  <c r="D17865" i="2"/>
  <c r="D17866" i="2"/>
  <c r="D17867" i="2"/>
  <c r="D17868" i="2"/>
  <c r="D17869" i="2"/>
  <c r="D17870" i="2"/>
  <c r="D17871" i="2"/>
  <c r="D17872" i="2"/>
  <c r="D17873" i="2"/>
  <c r="D17874" i="2"/>
  <c r="D17875" i="2"/>
  <c r="D17876" i="2"/>
  <c r="D17877" i="2"/>
  <c r="D17878" i="2"/>
  <c r="D17879" i="2"/>
  <c r="D17880" i="2"/>
  <c r="D17881" i="2"/>
  <c r="D17882" i="2"/>
  <c r="D17883" i="2"/>
  <c r="D17884" i="2"/>
  <c r="D17885" i="2"/>
  <c r="D17886" i="2"/>
  <c r="D17887" i="2"/>
  <c r="D17888" i="2"/>
  <c r="D17889" i="2"/>
  <c r="D17890" i="2"/>
  <c r="D17891" i="2"/>
  <c r="D17892" i="2"/>
  <c r="D17893" i="2"/>
  <c r="D17894" i="2"/>
  <c r="D17895" i="2"/>
  <c r="D17896" i="2"/>
  <c r="D17897" i="2"/>
  <c r="D17898" i="2"/>
  <c r="D17899" i="2"/>
  <c r="D17900" i="2"/>
  <c r="D17901" i="2"/>
  <c r="D17902" i="2"/>
  <c r="D17903" i="2"/>
  <c r="D17904" i="2"/>
  <c r="D17905" i="2"/>
  <c r="D17906" i="2"/>
  <c r="D17907" i="2"/>
  <c r="D17908" i="2"/>
  <c r="D17909" i="2"/>
  <c r="D17910" i="2"/>
  <c r="D17911" i="2"/>
  <c r="D17912" i="2"/>
  <c r="D17913" i="2"/>
  <c r="D17914" i="2"/>
  <c r="D17915" i="2"/>
  <c r="D17916" i="2"/>
  <c r="D17917" i="2"/>
  <c r="D17918" i="2"/>
  <c r="D17919" i="2"/>
  <c r="D17920" i="2"/>
  <c r="D17921" i="2"/>
  <c r="D17922" i="2"/>
  <c r="D17923" i="2"/>
  <c r="D17924" i="2"/>
  <c r="D17925" i="2"/>
  <c r="D17926" i="2"/>
  <c r="D17927" i="2"/>
  <c r="D17928" i="2"/>
  <c r="D17929" i="2"/>
  <c r="D17930" i="2"/>
  <c r="D17931" i="2"/>
  <c r="D17932" i="2"/>
  <c r="D17933" i="2"/>
  <c r="D17934" i="2"/>
  <c r="D17935" i="2"/>
  <c r="D17936" i="2"/>
  <c r="D17937" i="2"/>
  <c r="D17938" i="2"/>
  <c r="D17939" i="2"/>
  <c r="D17940" i="2"/>
  <c r="D17941" i="2"/>
  <c r="D17942" i="2"/>
  <c r="D17943" i="2"/>
  <c r="D17944" i="2"/>
  <c r="D17945" i="2"/>
  <c r="D17946" i="2"/>
  <c r="D17947" i="2"/>
  <c r="D17948" i="2"/>
  <c r="D17949" i="2"/>
  <c r="D17950" i="2"/>
  <c r="D17951" i="2"/>
  <c r="D17952" i="2"/>
  <c r="D17953" i="2"/>
  <c r="D17954" i="2"/>
  <c r="D17955" i="2"/>
  <c r="D17956" i="2"/>
  <c r="D17957" i="2"/>
  <c r="D17958" i="2"/>
  <c r="D17959" i="2"/>
  <c r="D17960" i="2"/>
  <c r="D17961" i="2"/>
  <c r="D17962" i="2"/>
  <c r="D17963" i="2"/>
  <c r="D17964" i="2"/>
  <c r="D17965" i="2"/>
  <c r="D17966" i="2"/>
  <c r="D17967" i="2"/>
  <c r="D17968" i="2"/>
  <c r="D17969" i="2"/>
  <c r="D17970" i="2"/>
  <c r="D17971" i="2"/>
  <c r="D17972" i="2"/>
  <c r="D17973" i="2"/>
  <c r="D17974" i="2"/>
  <c r="D17975" i="2"/>
  <c r="D17976" i="2"/>
  <c r="D17977" i="2"/>
  <c r="D17978" i="2"/>
  <c r="D17979" i="2"/>
  <c r="D17980" i="2"/>
  <c r="D17981" i="2"/>
  <c r="D17982" i="2"/>
  <c r="D17983" i="2"/>
  <c r="D17984" i="2"/>
  <c r="D17985" i="2"/>
  <c r="D17986" i="2"/>
  <c r="D17987" i="2"/>
  <c r="D17988" i="2"/>
  <c r="D17989" i="2"/>
  <c r="D17990" i="2"/>
  <c r="D17991" i="2"/>
  <c r="D17992" i="2"/>
  <c r="D17993" i="2"/>
  <c r="D17994" i="2"/>
  <c r="D17995" i="2"/>
  <c r="D17996" i="2"/>
  <c r="D17997" i="2"/>
  <c r="D17998" i="2"/>
  <c r="D17999" i="2"/>
  <c r="D18000" i="2"/>
  <c r="D18001" i="2"/>
  <c r="D18002" i="2"/>
  <c r="D18003" i="2"/>
  <c r="D18004" i="2"/>
  <c r="D18005" i="2"/>
  <c r="D18006" i="2"/>
  <c r="D18007" i="2"/>
  <c r="D18008" i="2"/>
  <c r="D18009" i="2"/>
  <c r="D18010" i="2"/>
  <c r="D18011" i="2"/>
  <c r="D18012" i="2"/>
  <c r="D18013" i="2"/>
  <c r="D18014" i="2"/>
  <c r="D18015" i="2"/>
  <c r="D18016" i="2"/>
  <c r="D18017" i="2"/>
  <c r="D18018" i="2"/>
  <c r="D18019" i="2"/>
  <c r="D18020" i="2"/>
  <c r="D18021" i="2"/>
  <c r="D18022" i="2"/>
  <c r="D18023" i="2"/>
  <c r="D18024" i="2"/>
  <c r="D18025" i="2"/>
  <c r="D18026" i="2"/>
  <c r="D18027" i="2"/>
  <c r="D18028" i="2"/>
  <c r="D18029" i="2"/>
  <c r="D18030" i="2"/>
  <c r="D18031" i="2"/>
  <c r="D18032" i="2"/>
  <c r="D18033" i="2"/>
  <c r="D18034" i="2"/>
  <c r="D18035" i="2"/>
  <c r="D18036" i="2"/>
  <c r="D18037" i="2"/>
  <c r="D18038" i="2"/>
  <c r="D18039" i="2"/>
  <c r="D18040" i="2"/>
  <c r="D18041" i="2"/>
  <c r="D18042" i="2"/>
  <c r="D18043" i="2"/>
  <c r="D18044" i="2"/>
  <c r="D18045" i="2"/>
  <c r="D18046" i="2"/>
  <c r="D18047" i="2"/>
  <c r="D18048" i="2"/>
  <c r="D18049" i="2"/>
  <c r="D18050" i="2"/>
  <c r="D18051" i="2"/>
  <c r="D18052" i="2"/>
  <c r="D18053" i="2"/>
  <c r="D18054" i="2"/>
  <c r="D18055" i="2"/>
  <c r="D18056" i="2"/>
  <c r="D18057" i="2"/>
  <c r="D18058" i="2"/>
  <c r="D18059" i="2"/>
  <c r="D18060" i="2"/>
  <c r="D18061" i="2"/>
  <c r="D18062" i="2"/>
  <c r="D18063" i="2"/>
  <c r="D18064" i="2"/>
  <c r="D18065" i="2"/>
  <c r="D18066" i="2"/>
  <c r="D18067" i="2"/>
  <c r="D18068" i="2"/>
  <c r="D18069" i="2"/>
  <c r="D18070" i="2"/>
  <c r="D18071" i="2"/>
  <c r="D18072" i="2"/>
  <c r="D18073" i="2"/>
  <c r="D18074" i="2"/>
  <c r="D18075" i="2"/>
  <c r="D18076" i="2"/>
  <c r="D18077" i="2"/>
  <c r="D18078" i="2"/>
  <c r="D18079" i="2"/>
  <c r="D18080" i="2"/>
  <c r="D18081" i="2"/>
  <c r="D18082" i="2"/>
  <c r="D18083" i="2"/>
  <c r="D18084" i="2"/>
  <c r="D18085" i="2"/>
  <c r="D18086" i="2"/>
  <c r="D18087" i="2"/>
  <c r="D18088" i="2"/>
  <c r="D18089" i="2"/>
  <c r="D18090" i="2"/>
  <c r="D18091" i="2"/>
  <c r="D18092" i="2"/>
  <c r="D18093" i="2"/>
  <c r="D18094" i="2"/>
  <c r="D18095" i="2"/>
  <c r="D18096" i="2"/>
  <c r="D18097" i="2"/>
  <c r="D18098" i="2"/>
  <c r="D18099" i="2"/>
  <c r="D18100" i="2"/>
  <c r="D18101" i="2"/>
  <c r="D18102" i="2"/>
  <c r="D18103" i="2"/>
  <c r="D18104" i="2"/>
  <c r="D18105" i="2"/>
  <c r="D18106" i="2"/>
  <c r="D18107" i="2"/>
  <c r="D18108" i="2"/>
  <c r="D18109" i="2"/>
  <c r="D18110" i="2"/>
  <c r="D18111" i="2"/>
  <c r="D18112" i="2"/>
  <c r="D18113" i="2"/>
  <c r="D18114" i="2"/>
  <c r="D18115" i="2"/>
  <c r="D18116" i="2"/>
  <c r="D18117" i="2"/>
  <c r="D18118" i="2"/>
  <c r="D18119" i="2"/>
  <c r="D18120" i="2"/>
  <c r="D18121" i="2"/>
  <c r="D18122" i="2"/>
  <c r="D18123" i="2"/>
  <c r="D18124" i="2"/>
  <c r="D18125" i="2"/>
  <c r="D18126" i="2"/>
  <c r="D18127" i="2"/>
  <c r="D18128" i="2"/>
  <c r="D18129" i="2"/>
  <c r="D18130" i="2"/>
  <c r="D18131" i="2"/>
  <c r="D18132" i="2"/>
  <c r="D18133" i="2"/>
  <c r="D18134" i="2"/>
  <c r="D18135" i="2"/>
  <c r="D18136" i="2"/>
  <c r="D18137" i="2"/>
  <c r="D18138" i="2"/>
  <c r="D18139" i="2"/>
  <c r="D18140" i="2"/>
  <c r="D18141" i="2"/>
  <c r="D18142" i="2"/>
  <c r="D18143" i="2"/>
  <c r="D18144" i="2"/>
  <c r="D18145" i="2"/>
  <c r="D18146" i="2"/>
  <c r="D18147" i="2"/>
  <c r="D18148" i="2"/>
  <c r="D18149" i="2"/>
  <c r="D18150" i="2"/>
  <c r="D18151" i="2"/>
  <c r="D18152" i="2"/>
  <c r="D18153" i="2"/>
  <c r="D18154" i="2"/>
  <c r="D18155" i="2"/>
  <c r="D18156" i="2"/>
  <c r="D18157" i="2"/>
  <c r="D18158" i="2"/>
  <c r="D18159" i="2"/>
  <c r="D18160" i="2"/>
  <c r="D18161" i="2"/>
  <c r="D18162" i="2"/>
  <c r="D18163" i="2"/>
  <c r="D18164" i="2"/>
  <c r="D18165" i="2"/>
  <c r="D18166" i="2"/>
  <c r="D18167" i="2"/>
  <c r="D18168" i="2"/>
  <c r="D18169" i="2"/>
  <c r="D18170" i="2"/>
  <c r="D18171" i="2"/>
  <c r="D18172" i="2"/>
  <c r="D18173" i="2"/>
  <c r="D18174" i="2"/>
  <c r="D18175" i="2"/>
  <c r="D18176" i="2"/>
  <c r="D18177" i="2"/>
  <c r="D18178" i="2"/>
  <c r="D18179" i="2"/>
  <c r="D18180" i="2"/>
  <c r="D18181" i="2"/>
  <c r="D18182" i="2"/>
  <c r="D18183" i="2"/>
  <c r="D18184" i="2"/>
  <c r="D18185" i="2"/>
  <c r="D18186" i="2"/>
  <c r="D18187" i="2"/>
  <c r="D18188" i="2"/>
  <c r="D18189" i="2"/>
  <c r="D18190" i="2"/>
  <c r="D18191" i="2"/>
  <c r="D18192" i="2"/>
  <c r="D18193" i="2"/>
  <c r="D18194" i="2"/>
  <c r="D18195" i="2"/>
  <c r="D18196" i="2"/>
  <c r="D18197" i="2"/>
  <c r="D18198" i="2"/>
  <c r="D18199" i="2"/>
  <c r="D18200" i="2"/>
  <c r="D18201" i="2"/>
  <c r="D18202" i="2"/>
  <c r="D18203" i="2"/>
  <c r="D18204" i="2"/>
  <c r="D18205" i="2"/>
  <c r="D18206" i="2"/>
  <c r="D18207" i="2"/>
  <c r="D18208" i="2"/>
  <c r="D18209" i="2"/>
  <c r="D18210" i="2"/>
  <c r="D18211" i="2"/>
  <c r="D18212" i="2"/>
  <c r="D18213" i="2"/>
  <c r="D18214" i="2"/>
  <c r="D18215" i="2"/>
  <c r="D18216" i="2"/>
  <c r="D18217" i="2"/>
  <c r="D18218" i="2"/>
  <c r="D18219" i="2"/>
  <c r="D18220" i="2"/>
  <c r="D18221" i="2"/>
  <c r="D18222" i="2"/>
  <c r="D18223" i="2"/>
  <c r="D18224" i="2"/>
  <c r="D18225" i="2"/>
  <c r="D18226" i="2"/>
  <c r="D18227" i="2"/>
  <c r="D18228" i="2"/>
  <c r="D18229" i="2"/>
  <c r="D18230" i="2"/>
  <c r="D18231" i="2"/>
  <c r="D18232" i="2"/>
  <c r="D18233" i="2"/>
  <c r="D18234" i="2"/>
  <c r="D18235" i="2"/>
  <c r="D18236" i="2"/>
  <c r="D18237" i="2"/>
  <c r="D18238" i="2"/>
  <c r="D18239" i="2"/>
  <c r="D18240" i="2"/>
  <c r="D18241" i="2"/>
  <c r="D18242" i="2"/>
  <c r="D18243" i="2"/>
  <c r="D18244" i="2"/>
  <c r="D18245" i="2"/>
  <c r="D18246" i="2"/>
  <c r="D18247" i="2"/>
  <c r="D18248" i="2"/>
  <c r="D18249" i="2"/>
  <c r="D18250" i="2"/>
  <c r="D18251" i="2"/>
  <c r="D18252" i="2"/>
  <c r="D18253" i="2"/>
  <c r="D18254" i="2"/>
  <c r="D18255" i="2"/>
  <c r="D18256" i="2"/>
  <c r="D18257" i="2"/>
  <c r="D18258" i="2"/>
  <c r="D18259" i="2"/>
  <c r="D18260" i="2"/>
  <c r="D18261" i="2"/>
  <c r="D18262" i="2"/>
  <c r="D18263" i="2"/>
  <c r="D18264" i="2"/>
  <c r="D18265" i="2"/>
  <c r="D18266" i="2"/>
  <c r="D18267" i="2"/>
  <c r="D18268" i="2"/>
  <c r="D18269" i="2"/>
  <c r="D18270" i="2"/>
  <c r="D18271" i="2"/>
  <c r="D18272" i="2"/>
  <c r="D18273" i="2"/>
  <c r="D18274" i="2"/>
  <c r="D18275" i="2"/>
  <c r="D18276" i="2"/>
  <c r="D18277" i="2"/>
  <c r="D18278" i="2"/>
  <c r="D18279" i="2"/>
  <c r="D18280" i="2"/>
  <c r="D18281" i="2"/>
  <c r="D18282" i="2"/>
  <c r="D18283" i="2"/>
  <c r="D18284" i="2"/>
  <c r="D18285" i="2"/>
  <c r="D18286" i="2"/>
  <c r="D18287" i="2"/>
  <c r="D18288" i="2"/>
  <c r="D18289" i="2"/>
  <c r="D18290" i="2"/>
  <c r="D18291" i="2"/>
  <c r="D18292" i="2"/>
  <c r="D18293" i="2"/>
  <c r="D18294" i="2"/>
  <c r="D18295" i="2"/>
  <c r="D18296" i="2"/>
  <c r="D18297" i="2"/>
  <c r="D18298" i="2"/>
  <c r="D18299" i="2"/>
  <c r="D18300" i="2"/>
  <c r="D18301" i="2"/>
  <c r="D18302" i="2"/>
  <c r="D18303" i="2"/>
  <c r="D18304" i="2"/>
  <c r="D18305" i="2"/>
  <c r="D18306" i="2"/>
  <c r="D18307" i="2"/>
  <c r="D18308" i="2"/>
  <c r="D18309" i="2"/>
  <c r="D18310" i="2"/>
  <c r="D18311" i="2"/>
  <c r="D18312" i="2"/>
  <c r="D18313" i="2"/>
  <c r="D18314" i="2"/>
  <c r="D18315" i="2"/>
  <c r="D18316" i="2"/>
  <c r="D18317" i="2"/>
  <c r="D18318" i="2"/>
  <c r="D18319" i="2"/>
  <c r="D18320" i="2"/>
  <c r="D18321" i="2"/>
  <c r="D18322" i="2"/>
  <c r="D18323" i="2"/>
  <c r="D18324" i="2"/>
  <c r="D18325" i="2"/>
  <c r="D18326" i="2"/>
  <c r="D18327" i="2"/>
  <c r="D18328" i="2"/>
  <c r="D18329" i="2"/>
  <c r="D18330" i="2"/>
  <c r="D18331" i="2"/>
  <c r="D18332" i="2"/>
  <c r="D18333" i="2"/>
  <c r="D18334" i="2"/>
  <c r="D18335" i="2"/>
  <c r="D18336" i="2"/>
  <c r="D18337" i="2"/>
  <c r="D18338" i="2"/>
  <c r="D18339" i="2"/>
  <c r="D18340" i="2"/>
  <c r="D18341" i="2"/>
  <c r="D18342" i="2"/>
  <c r="D18343" i="2"/>
  <c r="D18344" i="2"/>
  <c r="D18345" i="2"/>
  <c r="D18346" i="2"/>
  <c r="D18347" i="2"/>
  <c r="D18348" i="2"/>
  <c r="D18349" i="2"/>
  <c r="D18350" i="2"/>
  <c r="D18351" i="2"/>
  <c r="D18352" i="2"/>
  <c r="D18353" i="2"/>
  <c r="D18354" i="2"/>
  <c r="D18355" i="2"/>
  <c r="D18356" i="2"/>
  <c r="D18357" i="2"/>
  <c r="D18358" i="2"/>
  <c r="D18359" i="2"/>
  <c r="D18360" i="2"/>
  <c r="D18361" i="2"/>
  <c r="D18362" i="2"/>
  <c r="D18363" i="2"/>
  <c r="D18364" i="2"/>
  <c r="D18365" i="2"/>
  <c r="D18366" i="2"/>
  <c r="D18367" i="2"/>
  <c r="D18368" i="2"/>
  <c r="D18369" i="2"/>
  <c r="D18370" i="2"/>
  <c r="D18371" i="2"/>
  <c r="D18372" i="2"/>
  <c r="D18373" i="2"/>
  <c r="D18374" i="2"/>
  <c r="D18375" i="2"/>
  <c r="D18376" i="2"/>
  <c r="D18377" i="2"/>
  <c r="D18378" i="2"/>
  <c r="D18379" i="2"/>
  <c r="D18380" i="2"/>
  <c r="D18381" i="2"/>
  <c r="D18382" i="2"/>
  <c r="D18383" i="2"/>
  <c r="D18384" i="2"/>
  <c r="D18385" i="2"/>
  <c r="D18386" i="2"/>
  <c r="D18387" i="2"/>
  <c r="D18388" i="2"/>
  <c r="D18389" i="2"/>
  <c r="D18390" i="2"/>
  <c r="D18391" i="2"/>
  <c r="D18392" i="2"/>
  <c r="D18393" i="2"/>
  <c r="D18394" i="2"/>
  <c r="D18395" i="2"/>
  <c r="D18396" i="2"/>
  <c r="D18397" i="2"/>
  <c r="D18398" i="2"/>
  <c r="D18399" i="2"/>
  <c r="D18400" i="2"/>
  <c r="D18401" i="2"/>
  <c r="D18402" i="2"/>
  <c r="D18403" i="2"/>
  <c r="D18404" i="2"/>
  <c r="D18405" i="2"/>
  <c r="D18406" i="2"/>
  <c r="D18407" i="2"/>
  <c r="D18408" i="2"/>
  <c r="D18409" i="2"/>
  <c r="D18410" i="2"/>
  <c r="D18411" i="2"/>
  <c r="D18412" i="2"/>
  <c r="D18413" i="2"/>
  <c r="D18414" i="2"/>
  <c r="D18415" i="2"/>
  <c r="D18416" i="2"/>
  <c r="D18417" i="2"/>
  <c r="D18418" i="2"/>
  <c r="D18419" i="2"/>
  <c r="D18420" i="2"/>
  <c r="D18421" i="2"/>
  <c r="D18422" i="2"/>
  <c r="D18423" i="2"/>
  <c r="D18424" i="2"/>
  <c r="D18425" i="2"/>
  <c r="D18426" i="2"/>
  <c r="D18427" i="2"/>
  <c r="D18428" i="2"/>
  <c r="D18429" i="2"/>
  <c r="D18430" i="2"/>
  <c r="D18431" i="2"/>
  <c r="D18432" i="2"/>
  <c r="D18433" i="2"/>
  <c r="D18434" i="2"/>
  <c r="D18435" i="2"/>
  <c r="D18436" i="2"/>
  <c r="D18437" i="2"/>
  <c r="D18438" i="2"/>
  <c r="D18439" i="2"/>
  <c r="D18440" i="2"/>
  <c r="D18441" i="2"/>
  <c r="D18442" i="2"/>
  <c r="D18443" i="2"/>
  <c r="D18444" i="2"/>
  <c r="D18445" i="2"/>
  <c r="D18446" i="2"/>
  <c r="D18447" i="2"/>
  <c r="D18448" i="2"/>
  <c r="D18449" i="2"/>
  <c r="D18450" i="2"/>
  <c r="D18451" i="2"/>
  <c r="D18452" i="2"/>
  <c r="D18453" i="2"/>
  <c r="D18454" i="2"/>
  <c r="D18455" i="2"/>
  <c r="D18456" i="2"/>
  <c r="D18457" i="2"/>
  <c r="D18458" i="2"/>
  <c r="D18459" i="2"/>
  <c r="D18460" i="2"/>
  <c r="D18461" i="2"/>
  <c r="D18462" i="2"/>
  <c r="D18463" i="2"/>
  <c r="D18464" i="2"/>
  <c r="D18465" i="2"/>
  <c r="D18466" i="2"/>
  <c r="D18467" i="2"/>
  <c r="D18468" i="2"/>
  <c r="D18469" i="2"/>
  <c r="D18470" i="2"/>
  <c r="D18471" i="2"/>
  <c r="D18472" i="2"/>
  <c r="D18473" i="2"/>
  <c r="D18474" i="2"/>
  <c r="D18475" i="2"/>
  <c r="D18476" i="2"/>
  <c r="D18477" i="2"/>
  <c r="D18478" i="2"/>
  <c r="D18479" i="2"/>
  <c r="D18480" i="2"/>
  <c r="D18481" i="2"/>
  <c r="D18482" i="2"/>
  <c r="D18483" i="2"/>
  <c r="D18484" i="2"/>
  <c r="D18485" i="2"/>
  <c r="D18486" i="2"/>
  <c r="D18487" i="2"/>
  <c r="D18488" i="2"/>
  <c r="D18489" i="2"/>
  <c r="D18490" i="2"/>
  <c r="D18491" i="2"/>
  <c r="D18492" i="2"/>
  <c r="D18493" i="2"/>
  <c r="D18494" i="2"/>
  <c r="D18495" i="2"/>
  <c r="D18496" i="2"/>
  <c r="D18497" i="2"/>
  <c r="D18498" i="2"/>
  <c r="D18499" i="2"/>
  <c r="D18500" i="2"/>
  <c r="D18501" i="2"/>
  <c r="D18502" i="2"/>
  <c r="D18503" i="2"/>
  <c r="D18504" i="2"/>
  <c r="D18505" i="2"/>
  <c r="D18506" i="2"/>
  <c r="D18507" i="2"/>
  <c r="D18508" i="2"/>
  <c r="D18509" i="2"/>
  <c r="D18510" i="2"/>
  <c r="D18511" i="2"/>
  <c r="D18512" i="2"/>
  <c r="D18513" i="2"/>
  <c r="D18514" i="2"/>
  <c r="D18515" i="2"/>
  <c r="D18516" i="2"/>
  <c r="D18517" i="2"/>
  <c r="D18518" i="2"/>
  <c r="D18519" i="2"/>
  <c r="D18520" i="2"/>
  <c r="D18521" i="2"/>
  <c r="D18522" i="2"/>
  <c r="D18523" i="2"/>
  <c r="D18524" i="2"/>
  <c r="D18525" i="2"/>
  <c r="D18526" i="2"/>
  <c r="D18527" i="2"/>
  <c r="D18528" i="2"/>
  <c r="D18529" i="2"/>
  <c r="D18530" i="2"/>
  <c r="D18531" i="2"/>
  <c r="D18532" i="2"/>
  <c r="D18533" i="2"/>
  <c r="D18534" i="2"/>
  <c r="D18535" i="2"/>
  <c r="D18536" i="2"/>
  <c r="D18537" i="2"/>
  <c r="D18538" i="2"/>
  <c r="D18539" i="2"/>
  <c r="D18540" i="2"/>
  <c r="D18541" i="2"/>
  <c r="D18542" i="2"/>
  <c r="D18543" i="2"/>
  <c r="D18544" i="2"/>
  <c r="D18545" i="2"/>
  <c r="D18546" i="2"/>
  <c r="D18547" i="2"/>
  <c r="D18548" i="2"/>
  <c r="D18549" i="2"/>
  <c r="D18550" i="2"/>
  <c r="D18551" i="2"/>
  <c r="D18552" i="2"/>
  <c r="D18553" i="2"/>
  <c r="D18554" i="2"/>
  <c r="D18555" i="2"/>
  <c r="D18556" i="2"/>
  <c r="D18557" i="2"/>
  <c r="D18558" i="2"/>
  <c r="D18559" i="2"/>
  <c r="D18560" i="2"/>
  <c r="D18561" i="2"/>
  <c r="D18562" i="2"/>
  <c r="D18563" i="2"/>
  <c r="D18564" i="2"/>
  <c r="D18565" i="2"/>
  <c r="D18566" i="2"/>
  <c r="D18567" i="2"/>
  <c r="D18568" i="2"/>
  <c r="D18569" i="2"/>
  <c r="D18570" i="2"/>
  <c r="D18571" i="2"/>
  <c r="D18572" i="2"/>
  <c r="D18573" i="2"/>
  <c r="D18574" i="2"/>
  <c r="D18575" i="2"/>
  <c r="D18576" i="2"/>
  <c r="D18577" i="2"/>
  <c r="D18578" i="2"/>
  <c r="D18579" i="2"/>
  <c r="D18580" i="2"/>
  <c r="D18581" i="2"/>
  <c r="D18582" i="2"/>
  <c r="D18583" i="2"/>
  <c r="D18584" i="2"/>
  <c r="D18585" i="2"/>
  <c r="D18586" i="2"/>
  <c r="D18587" i="2"/>
  <c r="D18588" i="2"/>
  <c r="D18589" i="2"/>
  <c r="D18590" i="2"/>
  <c r="D18591" i="2"/>
  <c r="D18592" i="2"/>
  <c r="D18593" i="2"/>
  <c r="D18594" i="2"/>
  <c r="D18595" i="2"/>
  <c r="D18596" i="2"/>
  <c r="D18597" i="2"/>
  <c r="D18598" i="2"/>
  <c r="D18599" i="2"/>
  <c r="D18600" i="2"/>
  <c r="D18601" i="2"/>
  <c r="D18602" i="2"/>
  <c r="D18603" i="2"/>
  <c r="D18604" i="2"/>
  <c r="D18605" i="2"/>
  <c r="D18606" i="2"/>
  <c r="D18607" i="2"/>
  <c r="D18608" i="2"/>
  <c r="D18609" i="2"/>
  <c r="D18610" i="2"/>
  <c r="D18611" i="2"/>
  <c r="D18612" i="2"/>
  <c r="D18613" i="2"/>
  <c r="D18614" i="2"/>
  <c r="D18615" i="2"/>
  <c r="D18616" i="2"/>
  <c r="D18617" i="2"/>
  <c r="D18618" i="2"/>
  <c r="D18619" i="2"/>
  <c r="D18620" i="2"/>
  <c r="D18621" i="2"/>
  <c r="D18622" i="2"/>
  <c r="D18623" i="2"/>
  <c r="D18624" i="2"/>
  <c r="D18625" i="2"/>
  <c r="D18626" i="2"/>
  <c r="D18627" i="2"/>
  <c r="D18628" i="2"/>
  <c r="D18629" i="2"/>
  <c r="D18630" i="2"/>
  <c r="D18631" i="2"/>
  <c r="D18632" i="2"/>
  <c r="D18633" i="2"/>
  <c r="D18634" i="2"/>
  <c r="D18635" i="2"/>
  <c r="D18636" i="2"/>
  <c r="D18637" i="2"/>
  <c r="D18638" i="2"/>
  <c r="D18639" i="2"/>
  <c r="D18640" i="2"/>
  <c r="D18641" i="2"/>
  <c r="D18642" i="2"/>
  <c r="D18643" i="2"/>
  <c r="D18644" i="2"/>
  <c r="D18645" i="2"/>
  <c r="D18646" i="2"/>
  <c r="D18647" i="2"/>
  <c r="D18648" i="2"/>
  <c r="D18649" i="2"/>
  <c r="D18650" i="2"/>
  <c r="D18651" i="2"/>
  <c r="D18652" i="2"/>
  <c r="D18653" i="2"/>
  <c r="D18654" i="2"/>
  <c r="D18655" i="2"/>
  <c r="D18656" i="2"/>
  <c r="D18657" i="2"/>
  <c r="D18658" i="2"/>
  <c r="D18659" i="2"/>
  <c r="D18660" i="2"/>
  <c r="D18661" i="2"/>
  <c r="D18662" i="2"/>
  <c r="D18663" i="2"/>
  <c r="D18664" i="2"/>
  <c r="D18665" i="2"/>
  <c r="D18666" i="2"/>
  <c r="D18667" i="2"/>
  <c r="D18668" i="2"/>
  <c r="D18669" i="2"/>
  <c r="D18670" i="2"/>
  <c r="D18671" i="2"/>
  <c r="D18672" i="2"/>
  <c r="D18673" i="2"/>
  <c r="D18674" i="2"/>
  <c r="D18675" i="2"/>
  <c r="D18676" i="2"/>
  <c r="D18677" i="2"/>
  <c r="D18678" i="2"/>
  <c r="D18679" i="2"/>
  <c r="D18680" i="2"/>
  <c r="D18681" i="2"/>
  <c r="D18682" i="2"/>
  <c r="D18683" i="2"/>
  <c r="D18684" i="2"/>
  <c r="D18685" i="2"/>
  <c r="D18686" i="2"/>
  <c r="D18687" i="2"/>
  <c r="D18688" i="2"/>
  <c r="D18689" i="2"/>
  <c r="D18690" i="2"/>
  <c r="D18691" i="2"/>
  <c r="D18692" i="2"/>
  <c r="D18693" i="2"/>
  <c r="D18694" i="2"/>
  <c r="D18695" i="2"/>
  <c r="D18696" i="2"/>
  <c r="D18697" i="2"/>
  <c r="D18698" i="2"/>
  <c r="D18699" i="2"/>
  <c r="D18700" i="2"/>
  <c r="D18701" i="2"/>
  <c r="D18702" i="2"/>
  <c r="D18703" i="2"/>
  <c r="D18704" i="2"/>
  <c r="D18705" i="2"/>
  <c r="D18706" i="2"/>
  <c r="D18707" i="2"/>
  <c r="D18708" i="2"/>
  <c r="D18709" i="2"/>
  <c r="D18710" i="2"/>
  <c r="D18711" i="2"/>
  <c r="D18712" i="2"/>
  <c r="D18713" i="2"/>
  <c r="D18714" i="2"/>
  <c r="D18715" i="2"/>
  <c r="D18716" i="2"/>
  <c r="D18717" i="2"/>
  <c r="D18718" i="2"/>
  <c r="D18719" i="2"/>
  <c r="D18720" i="2"/>
  <c r="D18721" i="2"/>
  <c r="D18722" i="2"/>
  <c r="D18723" i="2"/>
  <c r="D18724" i="2"/>
  <c r="D18725" i="2"/>
  <c r="D18726" i="2"/>
  <c r="D18727" i="2"/>
  <c r="D18728" i="2"/>
  <c r="D18729" i="2"/>
  <c r="D18730" i="2"/>
  <c r="D18731" i="2"/>
  <c r="D18732" i="2"/>
  <c r="D18733" i="2"/>
  <c r="D18734" i="2"/>
  <c r="D18735" i="2"/>
  <c r="D18736" i="2"/>
  <c r="D18737" i="2"/>
  <c r="D18738" i="2"/>
  <c r="D18739" i="2"/>
  <c r="D18740" i="2"/>
  <c r="D18741" i="2"/>
  <c r="D18742" i="2"/>
  <c r="D18743" i="2"/>
  <c r="D18744" i="2"/>
  <c r="D18745" i="2"/>
  <c r="D18746" i="2"/>
  <c r="D18747" i="2"/>
  <c r="D18748" i="2"/>
  <c r="D18749" i="2"/>
  <c r="D18750" i="2"/>
  <c r="D18751" i="2"/>
  <c r="D18752" i="2"/>
  <c r="D18753" i="2"/>
  <c r="D18754" i="2"/>
  <c r="D18755" i="2"/>
  <c r="D18756" i="2"/>
  <c r="D18757" i="2"/>
  <c r="D18758" i="2"/>
  <c r="D18759" i="2"/>
  <c r="D18760" i="2"/>
  <c r="D18761" i="2"/>
  <c r="D18762" i="2"/>
  <c r="D18763" i="2"/>
  <c r="D18764" i="2"/>
  <c r="D18765" i="2"/>
  <c r="D18766" i="2"/>
  <c r="D18767" i="2"/>
  <c r="D18768" i="2"/>
  <c r="D18769" i="2"/>
  <c r="D18770" i="2"/>
  <c r="D18771" i="2"/>
  <c r="D18772" i="2"/>
  <c r="D18773" i="2"/>
  <c r="D18774" i="2"/>
  <c r="D18775" i="2"/>
  <c r="D18776" i="2"/>
  <c r="D18777" i="2"/>
  <c r="D18778" i="2"/>
  <c r="D18779" i="2"/>
  <c r="D18780" i="2"/>
  <c r="D18781" i="2"/>
  <c r="D18782" i="2"/>
  <c r="D18783" i="2"/>
  <c r="D18784" i="2"/>
  <c r="D18785" i="2"/>
  <c r="D18786" i="2"/>
  <c r="D18787" i="2"/>
  <c r="D18788" i="2"/>
  <c r="D18789" i="2"/>
  <c r="D18790" i="2"/>
  <c r="D18791" i="2"/>
  <c r="D18792" i="2"/>
  <c r="D18793" i="2"/>
  <c r="D18794" i="2"/>
  <c r="D18795" i="2"/>
  <c r="D18796" i="2"/>
  <c r="D18797" i="2"/>
  <c r="D18798" i="2"/>
  <c r="D18799" i="2"/>
  <c r="D18800" i="2"/>
  <c r="D18801" i="2"/>
  <c r="D18802" i="2"/>
  <c r="D18803" i="2"/>
  <c r="D18804" i="2"/>
  <c r="D18805" i="2"/>
  <c r="D18806" i="2"/>
  <c r="D18807" i="2"/>
  <c r="D18808" i="2"/>
  <c r="D18809" i="2"/>
  <c r="D18810" i="2"/>
  <c r="D18811" i="2"/>
  <c r="D18812" i="2"/>
  <c r="D18813" i="2"/>
  <c r="D18814" i="2"/>
  <c r="D18815" i="2"/>
  <c r="D18816" i="2"/>
  <c r="D18817" i="2"/>
  <c r="D18818" i="2"/>
  <c r="D18819" i="2"/>
  <c r="D18820" i="2"/>
  <c r="D18821" i="2"/>
  <c r="D18822" i="2"/>
  <c r="D18823" i="2"/>
  <c r="D18824" i="2"/>
  <c r="D18825" i="2"/>
  <c r="D18826" i="2"/>
  <c r="D18827" i="2"/>
  <c r="D18828" i="2"/>
  <c r="D18829" i="2"/>
  <c r="D18830" i="2"/>
  <c r="D18831" i="2"/>
  <c r="D18832" i="2"/>
  <c r="D18833" i="2"/>
  <c r="D18834" i="2"/>
  <c r="D18835" i="2"/>
  <c r="D18836" i="2"/>
  <c r="D18837" i="2"/>
  <c r="D18838" i="2"/>
  <c r="D18839" i="2"/>
  <c r="D18840" i="2"/>
  <c r="D18841" i="2"/>
  <c r="D18842" i="2"/>
  <c r="D18843" i="2"/>
  <c r="D18844" i="2"/>
  <c r="D18845" i="2"/>
  <c r="D18846" i="2"/>
  <c r="D18847" i="2"/>
  <c r="D18848" i="2"/>
  <c r="D18849" i="2"/>
  <c r="D18850" i="2"/>
  <c r="D18851" i="2"/>
  <c r="D18852" i="2"/>
  <c r="D18853" i="2"/>
  <c r="D18854" i="2"/>
  <c r="D18855" i="2"/>
  <c r="D18856" i="2"/>
  <c r="D18857" i="2"/>
  <c r="D18858" i="2"/>
  <c r="D18859" i="2"/>
  <c r="D18860" i="2"/>
  <c r="D18861" i="2"/>
  <c r="D18862" i="2"/>
  <c r="D18863" i="2"/>
  <c r="D18864" i="2"/>
  <c r="D18865" i="2"/>
  <c r="D18866" i="2"/>
  <c r="D18867" i="2"/>
  <c r="D18868" i="2"/>
  <c r="D18869" i="2"/>
  <c r="D18870" i="2"/>
  <c r="D18871" i="2"/>
  <c r="D18872" i="2"/>
  <c r="D18873" i="2"/>
  <c r="D18874" i="2"/>
  <c r="D18875" i="2"/>
  <c r="D18876" i="2"/>
  <c r="D18877" i="2"/>
  <c r="D18878" i="2"/>
  <c r="D18879" i="2"/>
  <c r="D18880" i="2"/>
  <c r="D18881" i="2"/>
  <c r="D18882" i="2"/>
  <c r="D18883" i="2"/>
  <c r="D18884" i="2"/>
  <c r="D18885" i="2"/>
  <c r="D18886" i="2"/>
  <c r="D18887" i="2"/>
  <c r="D18888" i="2"/>
  <c r="D18889" i="2"/>
  <c r="D18890" i="2"/>
  <c r="D18891" i="2"/>
  <c r="D18892" i="2"/>
  <c r="D18893" i="2"/>
  <c r="D18894" i="2"/>
  <c r="D18895" i="2"/>
  <c r="D18896" i="2"/>
  <c r="D18897" i="2"/>
  <c r="D18898" i="2"/>
  <c r="D18899" i="2"/>
  <c r="D18900" i="2"/>
  <c r="D18901" i="2"/>
  <c r="D18902" i="2"/>
  <c r="D18903" i="2"/>
  <c r="D18904" i="2"/>
  <c r="D18905" i="2"/>
  <c r="D18906" i="2"/>
  <c r="D18907" i="2"/>
  <c r="D18908" i="2"/>
  <c r="D18909" i="2"/>
  <c r="D18910" i="2"/>
  <c r="D18911" i="2"/>
  <c r="D18912" i="2"/>
  <c r="D18913" i="2"/>
  <c r="D18914" i="2"/>
  <c r="D18915" i="2"/>
  <c r="D18916" i="2"/>
  <c r="D18917" i="2"/>
  <c r="D18918" i="2"/>
  <c r="D18919" i="2"/>
  <c r="D18920" i="2"/>
  <c r="D18921" i="2"/>
  <c r="D18922" i="2"/>
  <c r="D18923" i="2"/>
  <c r="D18924" i="2"/>
  <c r="D18925" i="2"/>
  <c r="D18926" i="2"/>
  <c r="D18927" i="2"/>
  <c r="D18928" i="2"/>
  <c r="D18929" i="2"/>
  <c r="D18930" i="2"/>
  <c r="D18931" i="2"/>
  <c r="D18932" i="2"/>
  <c r="D18933" i="2"/>
  <c r="D18934" i="2"/>
  <c r="D18935" i="2"/>
  <c r="D18936" i="2"/>
  <c r="D18937" i="2"/>
  <c r="D18938" i="2"/>
  <c r="D18939" i="2"/>
  <c r="D18940" i="2"/>
  <c r="D18941" i="2"/>
  <c r="D18942" i="2"/>
  <c r="D18943" i="2"/>
  <c r="D18944" i="2"/>
  <c r="D18945" i="2"/>
  <c r="D18946" i="2"/>
  <c r="D18947" i="2"/>
  <c r="D18948" i="2"/>
  <c r="D18949" i="2"/>
  <c r="D18950" i="2"/>
  <c r="D18951" i="2"/>
  <c r="D18952" i="2"/>
  <c r="D18953" i="2"/>
  <c r="D18954" i="2"/>
  <c r="D18955" i="2"/>
  <c r="D18956" i="2"/>
  <c r="D18957" i="2"/>
  <c r="D18958" i="2"/>
  <c r="D18959" i="2"/>
  <c r="D18960" i="2"/>
  <c r="D18961" i="2"/>
  <c r="D18962" i="2"/>
  <c r="D18963" i="2"/>
  <c r="D18964" i="2"/>
  <c r="D18965" i="2"/>
  <c r="D18966" i="2"/>
  <c r="D18967" i="2"/>
  <c r="D18968" i="2"/>
  <c r="D18969" i="2"/>
  <c r="D18970" i="2"/>
  <c r="D18971" i="2"/>
  <c r="D18972" i="2"/>
  <c r="D18973" i="2"/>
  <c r="D18974" i="2"/>
  <c r="D18975" i="2"/>
  <c r="D18976" i="2"/>
  <c r="D18977" i="2"/>
  <c r="D18978" i="2"/>
  <c r="D18979" i="2"/>
  <c r="D18980" i="2"/>
  <c r="D18981" i="2"/>
  <c r="D18982" i="2"/>
  <c r="D18983" i="2"/>
  <c r="D18984" i="2"/>
  <c r="D18985" i="2"/>
  <c r="D18986" i="2"/>
  <c r="D18987" i="2"/>
  <c r="D18988" i="2"/>
  <c r="D18989" i="2"/>
  <c r="D18990" i="2"/>
  <c r="D18991" i="2"/>
  <c r="D18992" i="2"/>
  <c r="D18993" i="2"/>
  <c r="D18994" i="2"/>
  <c r="D18995" i="2"/>
  <c r="D18996" i="2"/>
  <c r="D18997" i="2"/>
  <c r="D18998" i="2"/>
  <c r="D18999" i="2"/>
  <c r="D19000" i="2"/>
  <c r="D19001" i="2"/>
  <c r="D19002" i="2"/>
  <c r="D19003" i="2"/>
  <c r="D19004" i="2"/>
  <c r="D19005" i="2"/>
  <c r="D19006" i="2"/>
  <c r="D19007" i="2"/>
  <c r="D19008" i="2"/>
  <c r="D19009" i="2"/>
  <c r="D19010" i="2"/>
  <c r="D19011" i="2"/>
  <c r="D19012" i="2"/>
  <c r="D19013" i="2"/>
  <c r="D19014" i="2"/>
  <c r="D19015" i="2"/>
  <c r="D19016" i="2"/>
  <c r="D19017" i="2"/>
  <c r="D19018" i="2"/>
  <c r="D19019" i="2"/>
  <c r="D19020" i="2"/>
  <c r="D19021" i="2"/>
  <c r="D19022" i="2"/>
  <c r="D19023" i="2"/>
  <c r="D19024" i="2"/>
  <c r="D19025" i="2"/>
  <c r="D19026" i="2"/>
  <c r="D19027" i="2"/>
  <c r="D19028" i="2"/>
  <c r="D19029" i="2"/>
  <c r="D19030" i="2"/>
  <c r="D19031" i="2"/>
  <c r="D19032" i="2"/>
  <c r="D19033" i="2"/>
  <c r="D19034" i="2"/>
  <c r="D19035" i="2"/>
  <c r="D19036" i="2"/>
  <c r="D19037" i="2"/>
  <c r="D19038" i="2"/>
  <c r="D19039" i="2"/>
  <c r="D19040" i="2"/>
  <c r="D19041" i="2"/>
  <c r="D19042" i="2"/>
  <c r="D19043" i="2"/>
  <c r="D19044" i="2"/>
  <c r="D19045" i="2"/>
  <c r="D19046" i="2"/>
  <c r="D19047" i="2"/>
  <c r="D19048" i="2"/>
  <c r="D19049" i="2"/>
  <c r="D19050" i="2"/>
  <c r="D19051" i="2"/>
  <c r="D19052" i="2"/>
  <c r="D19053" i="2"/>
  <c r="D19054" i="2"/>
  <c r="D19055" i="2"/>
  <c r="D19056" i="2"/>
  <c r="D19057" i="2"/>
  <c r="D19058" i="2"/>
  <c r="D19059" i="2"/>
  <c r="D19060" i="2"/>
  <c r="D19061" i="2"/>
  <c r="D19062" i="2"/>
  <c r="D19063" i="2"/>
  <c r="D19064" i="2"/>
  <c r="D19065" i="2"/>
  <c r="D19066" i="2"/>
  <c r="D19067" i="2"/>
  <c r="D19068" i="2"/>
  <c r="D19069" i="2"/>
  <c r="D19070" i="2"/>
  <c r="D19071" i="2"/>
  <c r="D19072" i="2"/>
  <c r="D19073" i="2"/>
  <c r="D19074" i="2"/>
  <c r="D19075" i="2"/>
  <c r="D19076" i="2"/>
  <c r="D19077" i="2"/>
  <c r="D19078" i="2"/>
  <c r="D19079" i="2"/>
  <c r="D19080" i="2"/>
  <c r="D19081" i="2"/>
  <c r="D19082" i="2"/>
  <c r="D19083" i="2"/>
  <c r="D19084" i="2"/>
  <c r="D19085" i="2"/>
  <c r="D19086" i="2"/>
  <c r="D19087" i="2"/>
  <c r="D19088" i="2"/>
  <c r="D19089" i="2"/>
  <c r="D19090" i="2"/>
  <c r="D19091" i="2"/>
  <c r="D19092" i="2"/>
  <c r="D19093" i="2"/>
  <c r="D19094" i="2"/>
  <c r="D19095" i="2"/>
  <c r="D19096" i="2"/>
  <c r="D19097" i="2"/>
  <c r="D19098" i="2"/>
  <c r="D19099" i="2"/>
  <c r="D19100" i="2"/>
  <c r="D19101" i="2"/>
  <c r="D19102" i="2"/>
  <c r="D19103" i="2"/>
  <c r="D19104" i="2"/>
  <c r="D19105" i="2"/>
  <c r="D19106" i="2"/>
  <c r="D19107" i="2"/>
  <c r="D19108" i="2"/>
  <c r="D19109" i="2"/>
  <c r="D19110" i="2"/>
  <c r="D19111" i="2"/>
  <c r="D19112" i="2"/>
  <c r="D19113" i="2"/>
  <c r="D19114" i="2"/>
  <c r="D19115" i="2"/>
  <c r="D19116" i="2"/>
  <c r="D19117" i="2"/>
  <c r="D19118" i="2"/>
  <c r="D19119" i="2"/>
  <c r="D19120" i="2"/>
  <c r="D19121" i="2"/>
  <c r="D19122" i="2"/>
  <c r="D19123" i="2"/>
  <c r="D19124" i="2"/>
  <c r="D19125" i="2"/>
  <c r="D19126" i="2"/>
  <c r="D19127" i="2"/>
  <c r="D19128" i="2"/>
  <c r="D19129" i="2"/>
  <c r="D19130" i="2"/>
  <c r="D19131" i="2"/>
  <c r="D19132" i="2"/>
  <c r="D19133" i="2"/>
  <c r="D19134" i="2"/>
  <c r="D19135" i="2"/>
  <c r="D19136" i="2"/>
  <c r="D19137" i="2"/>
  <c r="D19138" i="2"/>
  <c r="D19139" i="2"/>
  <c r="D19140" i="2"/>
  <c r="D19141" i="2"/>
  <c r="D19142" i="2"/>
  <c r="D19143" i="2"/>
  <c r="D19144" i="2"/>
  <c r="D19145" i="2"/>
  <c r="D19146" i="2"/>
  <c r="D19147" i="2"/>
  <c r="D19148" i="2"/>
  <c r="D19149" i="2"/>
  <c r="D19150" i="2"/>
  <c r="D19151" i="2"/>
  <c r="D19152" i="2"/>
  <c r="D19153" i="2"/>
  <c r="D19154" i="2"/>
  <c r="D19155" i="2"/>
  <c r="D19156" i="2"/>
  <c r="D19157" i="2"/>
  <c r="D19158" i="2"/>
  <c r="D19159" i="2"/>
  <c r="D19160" i="2"/>
  <c r="D19161" i="2"/>
  <c r="D19162" i="2"/>
  <c r="D19163" i="2"/>
  <c r="D19164" i="2"/>
  <c r="D19165" i="2"/>
  <c r="D19166" i="2"/>
  <c r="D19167" i="2"/>
  <c r="D19168" i="2"/>
  <c r="D19169" i="2"/>
  <c r="D19170" i="2"/>
  <c r="D19171" i="2"/>
  <c r="D19172" i="2"/>
  <c r="D19173" i="2"/>
  <c r="D19174" i="2"/>
  <c r="D19175" i="2"/>
  <c r="D19176" i="2"/>
  <c r="D19177" i="2"/>
  <c r="D19178" i="2"/>
  <c r="D19179" i="2"/>
  <c r="D19180" i="2"/>
  <c r="D19181" i="2"/>
  <c r="D19182" i="2"/>
  <c r="D19183" i="2"/>
  <c r="D19184" i="2"/>
  <c r="D19185" i="2"/>
  <c r="D19186" i="2"/>
  <c r="D19187" i="2"/>
  <c r="D19188" i="2"/>
  <c r="D19189" i="2"/>
  <c r="D19190" i="2"/>
  <c r="D19191" i="2"/>
  <c r="D19192" i="2"/>
  <c r="D19193" i="2"/>
  <c r="D19194" i="2"/>
  <c r="D19195" i="2"/>
  <c r="D19196" i="2"/>
  <c r="D19197" i="2"/>
  <c r="D19198" i="2"/>
  <c r="D19199" i="2"/>
  <c r="D19200" i="2"/>
  <c r="D19201" i="2"/>
  <c r="D19202" i="2"/>
  <c r="D19203" i="2"/>
  <c r="D19204" i="2"/>
  <c r="D19205" i="2"/>
  <c r="D19206" i="2"/>
  <c r="D19207" i="2"/>
  <c r="D19208" i="2"/>
  <c r="D19209" i="2"/>
  <c r="D19210" i="2"/>
  <c r="D19211" i="2"/>
  <c r="D19212" i="2"/>
  <c r="D19213" i="2"/>
  <c r="D19214" i="2"/>
  <c r="D19215" i="2"/>
  <c r="D19216" i="2"/>
  <c r="D19217" i="2"/>
  <c r="D19218" i="2"/>
  <c r="D19219" i="2"/>
  <c r="D19220" i="2"/>
  <c r="D19221" i="2"/>
  <c r="D19222" i="2"/>
  <c r="D19223" i="2"/>
  <c r="D19224" i="2"/>
  <c r="D19225" i="2"/>
  <c r="D19226" i="2"/>
  <c r="D19227" i="2"/>
  <c r="D19228" i="2"/>
  <c r="D19229" i="2"/>
  <c r="D19230" i="2"/>
  <c r="D19231" i="2"/>
  <c r="D19232" i="2"/>
  <c r="D19233" i="2"/>
  <c r="D19234" i="2"/>
  <c r="D19235" i="2"/>
  <c r="D19236" i="2"/>
  <c r="D19237" i="2"/>
  <c r="D19238" i="2"/>
  <c r="D19239" i="2"/>
  <c r="D19240" i="2"/>
  <c r="D19241" i="2"/>
  <c r="D19242" i="2"/>
  <c r="D19243" i="2"/>
  <c r="D19244" i="2"/>
  <c r="D19245" i="2"/>
  <c r="D19246" i="2"/>
  <c r="D19247" i="2"/>
  <c r="D19248" i="2"/>
  <c r="D19249" i="2"/>
  <c r="D19250" i="2"/>
  <c r="D19251" i="2"/>
  <c r="D19252" i="2"/>
  <c r="D19253" i="2"/>
  <c r="D19254" i="2"/>
  <c r="D19255" i="2"/>
  <c r="D19256" i="2"/>
  <c r="D19257" i="2"/>
  <c r="D19258" i="2"/>
  <c r="D19259" i="2"/>
  <c r="D19260" i="2"/>
  <c r="D19261" i="2"/>
  <c r="D19262" i="2"/>
  <c r="D19263" i="2"/>
  <c r="D19264" i="2"/>
  <c r="D19265" i="2"/>
  <c r="D19266" i="2"/>
  <c r="D19267" i="2"/>
  <c r="D19268" i="2"/>
  <c r="D19269" i="2"/>
  <c r="D19270" i="2"/>
  <c r="D19271" i="2"/>
  <c r="D19272" i="2"/>
  <c r="D19273" i="2"/>
  <c r="D19274" i="2"/>
  <c r="D19275" i="2"/>
  <c r="D19276" i="2"/>
  <c r="D19277" i="2"/>
  <c r="D19278" i="2"/>
  <c r="D19279" i="2"/>
  <c r="D19280" i="2"/>
  <c r="D19281" i="2"/>
  <c r="D19282" i="2"/>
  <c r="D19283" i="2"/>
  <c r="D19284" i="2"/>
  <c r="D19285" i="2"/>
  <c r="D19286" i="2"/>
  <c r="D19287" i="2"/>
  <c r="D19288" i="2"/>
  <c r="D19289" i="2"/>
  <c r="D19290" i="2"/>
  <c r="D19291" i="2"/>
  <c r="D19292" i="2"/>
  <c r="D19293" i="2"/>
  <c r="D19294" i="2"/>
  <c r="D19295" i="2"/>
  <c r="D19296" i="2"/>
  <c r="D19297" i="2"/>
  <c r="D19298" i="2"/>
  <c r="D19299" i="2"/>
  <c r="D19300" i="2"/>
  <c r="D19301" i="2"/>
  <c r="D19302" i="2"/>
  <c r="D19303" i="2"/>
  <c r="D19304" i="2"/>
  <c r="D19305" i="2"/>
  <c r="D19306" i="2"/>
  <c r="D19307" i="2"/>
  <c r="D19308" i="2"/>
  <c r="D19309" i="2"/>
  <c r="D19310" i="2"/>
  <c r="D19311" i="2"/>
  <c r="D19312" i="2"/>
  <c r="D19313" i="2"/>
  <c r="D19314" i="2"/>
  <c r="D19315" i="2"/>
  <c r="D19316" i="2"/>
  <c r="D19317" i="2"/>
  <c r="D19318" i="2"/>
  <c r="D19319" i="2"/>
  <c r="D19320" i="2"/>
  <c r="D19321" i="2"/>
  <c r="D19322" i="2"/>
  <c r="D19323" i="2"/>
  <c r="D19324" i="2"/>
  <c r="D19325" i="2"/>
  <c r="D19326" i="2"/>
  <c r="D19327" i="2"/>
  <c r="D19328" i="2"/>
  <c r="D19329" i="2"/>
  <c r="D19330" i="2"/>
  <c r="D19331" i="2"/>
  <c r="D19332" i="2"/>
  <c r="D19333" i="2"/>
  <c r="D19334" i="2"/>
  <c r="D19335" i="2"/>
  <c r="D19336" i="2"/>
  <c r="D19337" i="2"/>
  <c r="D19338" i="2"/>
  <c r="D19339" i="2"/>
  <c r="D19340" i="2"/>
  <c r="D19341" i="2"/>
  <c r="D19342" i="2"/>
  <c r="D19343" i="2"/>
  <c r="D19344" i="2"/>
  <c r="D19345" i="2"/>
  <c r="D19346" i="2"/>
  <c r="D19347" i="2"/>
  <c r="D19348" i="2"/>
  <c r="D19349" i="2"/>
  <c r="D19350" i="2"/>
  <c r="D19351" i="2"/>
  <c r="D19352" i="2"/>
  <c r="D19353" i="2"/>
  <c r="D19354" i="2"/>
  <c r="D19355" i="2"/>
  <c r="D19356" i="2"/>
  <c r="D19357" i="2"/>
  <c r="D19358" i="2"/>
  <c r="D19359" i="2"/>
  <c r="D19360" i="2"/>
  <c r="D19361" i="2"/>
  <c r="D19362" i="2"/>
  <c r="D19363" i="2"/>
  <c r="D19364" i="2"/>
  <c r="D19365" i="2"/>
  <c r="D19366" i="2"/>
  <c r="D19367" i="2"/>
  <c r="D19368" i="2"/>
  <c r="D19369" i="2"/>
  <c r="D19370" i="2"/>
  <c r="D19371" i="2"/>
  <c r="D19372" i="2"/>
  <c r="D19373" i="2"/>
  <c r="D19374" i="2"/>
  <c r="D19375" i="2"/>
  <c r="D19376" i="2"/>
  <c r="D19377" i="2"/>
  <c r="D19378" i="2"/>
  <c r="D19379" i="2"/>
  <c r="D19380" i="2"/>
  <c r="D19381" i="2"/>
  <c r="D19382" i="2"/>
  <c r="D19383" i="2"/>
  <c r="D19384" i="2"/>
  <c r="D19385" i="2"/>
  <c r="D19386" i="2"/>
  <c r="D19387" i="2"/>
  <c r="D19388" i="2"/>
  <c r="D19389" i="2"/>
  <c r="D19390" i="2"/>
  <c r="D19391" i="2"/>
  <c r="D19392" i="2"/>
  <c r="D19393" i="2"/>
  <c r="D19394" i="2"/>
  <c r="D19395" i="2"/>
  <c r="D19396" i="2"/>
  <c r="D19397" i="2"/>
  <c r="D19398" i="2"/>
  <c r="D19399" i="2"/>
  <c r="D19400" i="2"/>
  <c r="D19401" i="2"/>
  <c r="D19402" i="2"/>
  <c r="D19403" i="2"/>
  <c r="D19404" i="2"/>
  <c r="D19405" i="2"/>
  <c r="D19406" i="2"/>
  <c r="D19407" i="2"/>
  <c r="D19408" i="2"/>
  <c r="D19409" i="2"/>
  <c r="D19410" i="2"/>
  <c r="D19411" i="2"/>
  <c r="D19412" i="2"/>
  <c r="D19413" i="2"/>
  <c r="D19414" i="2"/>
  <c r="D19415" i="2"/>
  <c r="D19416" i="2"/>
  <c r="D19417" i="2"/>
  <c r="D19418" i="2"/>
  <c r="D19419" i="2"/>
  <c r="D19420" i="2"/>
  <c r="D19421" i="2"/>
  <c r="D19422" i="2"/>
  <c r="D19423" i="2"/>
  <c r="D19424" i="2"/>
  <c r="D19425" i="2"/>
  <c r="D19426" i="2"/>
  <c r="D19427" i="2"/>
  <c r="D19428" i="2"/>
  <c r="D19429" i="2"/>
  <c r="D19430" i="2"/>
  <c r="D19431" i="2"/>
  <c r="D19432" i="2"/>
  <c r="D19433" i="2"/>
  <c r="D19434" i="2"/>
  <c r="D19435" i="2"/>
  <c r="D19436" i="2"/>
  <c r="D19437" i="2"/>
  <c r="D19438" i="2"/>
  <c r="D19439" i="2"/>
  <c r="D19440" i="2"/>
  <c r="D19441" i="2"/>
  <c r="D19442" i="2"/>
  <c r="D19443" i="2"/>
  <c r="D19444" i="2"/>
  <c r="D19445" i="2"/>
  <c r="D19446" i="2"/>
  <c r="D19447" i="2"/>
  <c r="D19448" i="2"/>
  <c r="D19449" i="2"/>
  <c r="D19450" i="2"/>
  <c r="D19451" i="2"/>
  <c r="D19452" i="2"/>
  <c r="D19453" i="2"/>
  <c r="D19454" i="2"/>
  <c r="D19455" i="2"/>
  <c r="D19456" i="2"/>
  <c r="D19457" i="2"/>
  <c r="D19458" i="2"/>
  <c r="D19459" i="2"/>
  <c r="D19460" i="2"/>
  <c r="D19461" i="2"/>
  <c r="D19462" i="2"/>
  <c r="D19463" i="2"/>
  <c r="D19464" i="2"/>
  <c r="D19465" i="2"/>
  <c r="D19466" i="2"/>
  <c r="D19467" i="2"/>
  <c r="D19468" i="2"/>
  <c r="D19469" i="2"/>
  <c r="D19470" i="2"/>
  <c r="D19471" i="2"/>
  <c r="D19472" i="2"/>
  <c r="D19473" i="2"/>
  <c r="D19474" i="2"/>
  <c r="D19475" i="2"/>
  <c r="D19476" i="2"/>
  <c r="D19477" i="2"/>
  <c r="D19478" i="2"/>
  <c r="D19479" i="2"/>
  <c r="D19480" i="2"/>
  <c r="D19481" i="2"/>
  <c r="D19482" i="2"/>
  <c r="D19483" i="2"/>
  <c r="D19484" i="2"/>
  <c r="D19485" i="2"/>
  <c r="D19486" i="2"/>
  <c r="D19487" i="2"/>
  <c r="D19488" i="2"/>
  <c r="D19489" i="2"/>
  <c r="D19490" i="2"/>
  <c r="D19491" i="2"/>
  <c r="D19492" i="2"/>
  <c r="D19493" i="2"/>
  <c r="D19494" i="2"/>
  <c r="D19495" i="2"/>
  <c r="D19496" i="2"/>
  <c r="D19497" i="2"/>
  <c r="D19498" i="2"/>
  <c r="D19499" i="2"/>
  <c r="D19500" i="2"/>
  <c r="D19501" i="2"/>
  <c r="D19502" i="2"/>
  <c r="D19503" i="2"/>
  <c r="D19504" i="2"/>
  <c r="D19505" i="2"/>
  <c r="D19506" i="2"/>
  <c r="D19507" i="2"/>
  <c r="D19508" i="2"/>
  <c r="D19509" i="2"/>
  <c r="D19510" i="2"/>
  <c r="D19511" i="2"/>
  <c r="D19512" i="2"/>
  <c r="D19513" i="2"/>
  <c r="D19514" i="2"/>
  <c r="D19515" i="2"/>
  <c r="D19516" i="2"/>
  <c r="D19517" i="2"/>
  <c r="D19518" i="2"/>
  <c r="D19519" i="2"/>
  <c r="D19520" i="2"/>
  <c r="D19521" i="2"/>
  <c r="D19522" i="2"/>
  <c r="D19523" i="2"/>
  <c r="D19524" i="2"/>
  <c r="D19525" i="2"/>
  <c r="D19526" i="2"/>
  <c r="D19527" i="2"/>
  <c r="D19528" i="2"/>
  <c r="D19529" i="2"/>
  <c r="D19530" i="2"/>
  <c r="D19531" i="2"/>
  <c r="D19532" i="2"/>
  <c r="D19533" i="2"/>
  <c r="D19534" i="2"/>
  <c r="D19535" i="2"/>
  <c r="D19536" i="2"/>
  <c r="D19537" i="2"/>
  <c r="D19538" i="2"/>
  <c r="D19539" i="2"/>
  <c r="D19540" i="2"/>
  <c r="D19541" i="2"/>
  <c r="D19542" i="2"/>
  <c r="D19543" i="2"/>
  <c r="D19544" i="2"/>
  <c r="D19545" i="2"/>
  <c r="D19546" i="2"/>
  <c r="D19547" i="2"/>
  <c r="D19548" i="2"/>
  <c r="D19549" i="2"/>
  <c r="D19550" i="2"/>
  <c r="D19551" i="2"/>
  <c r="D19552" i="2"/>
  <c r="D19553" i="2"/>
  <c r="D19554" i="2"/>
  <c r="D19555" i="2"/>
  <c r="D19556" i="2"/>
  <c r="D19557" i="2"/>
  <c r="D19558" i="2"/>
  <c r="D19559" i="2"/>
  <c r="D19560" i="2"/>
  <c r="D19561" i="2"/>
  <c r="D19562" i="2"/>
  <c r="D19563" i="2"/>
  <c r="D19564" i="2"/>
  <c r="D19565" i="2"/>
  <c r="D19566" i="2"/>
  <c r="D19567" i="2"/>
  <c r="D19568" i="2"/>
  <c r="D19569" i="2"/>
  <c r="D19570" i="2"/>
  <c r="D19571" i="2"/>
  <c r="D19572" i="2"/>
  <c r="D19573" i="2"/>
  <c r="D19574" i="2"/>
  <c r="D19575" i="2"/>
  <c r="D19576" i="2"/>
  <c r="D19577" i="2"/>
  <c r="D19578" i="2"/>
  <c r="D19579" i="2"/>
  <c r="D19580" i="2"/>
  <c r="D19581" i="2"/>
  <c r="D19582" i="2"/>
  <c r="D19583" i="2"/>
  <c r="D19584" i="2"/>
  <c r="D19585" i="2"/>
  <c r="D19586" i="2"/>
  <c r="D19587" i="2"/>
  <c r="D19588" i="2"/>
  <c r="D19589" i="2"/>
  <c r="D19590" i="2"/>
  <c r="D19591" i="2"/>
  <c r="D19592" i="2"/>
  <c r="D19593" i="2"/>
  <c r="D19594" i="2"/>
  <c r="D19595" i="2"/>
  <c r="D19596" i="2"/>
  <c r="D19597" i="2"/>
  <c r="D19598" i="2"/>
  <c r="D19599" i="2"/>
  <c r="D19600" i="2"/>
  <c r="D19601" i="2"/>
  <c r="D19602" i="2"/>
  <c r="D19603" i="2"/>
  <c r="D19604" i="2"/>
  <c r="D19605" i="2"/>
  <c r="D19606" i="2"/>
  <c r="D19607" i="2"/>
  <c r="D19608" i="2"/>
  <c r="D19609" i="2"/>
  <c r="D19610" i="2"/>
  <c r="D19611" i="2"/>
  <c r="D19612" i="2"/>
  <c r="D19613" i="2"/>
  <c r="D19614" i="2"/>
  <c r="D19615" i="2"/>
  <c r="D19616" i="2"/>
  <c r="D19617" i="2"/>
  <c r="D19618" i="2"/>
  <c r="D19619" i="2"/>
  <c r="D19620" i="2"/>
  <c r="D19621" i="2"/>
  <c r="D19622" i="2"/>
  <c r="D19623" i="2"/>
  <c r="D19624" i="2"/>
  <c r="D19625" i="2"/>
  <c r="D19626" i="2"/>
  <c r="D19627" i="2"/>
  <c r="D19628" i="2"/>
  <c r="D19629" i="2"/>
  <c r="D19630" i="2"/>
  <c r="D19631" i="2"/>
  <c r="D19632" i="2"/>
  <c r="D19633" i="2"/>
  <c r="D19634" i="2"/>
  <c r="D19635" i="2"/>
  <c r="D19636" i="2"/>
  <c r="D19637" i="2"/>
  <c r="D19638" i="2"/>
  <c r="D19639" i="2"/>
  <c r="D19640" i="2"/>
  <c r="D19641" i="2"/>
  <c r="D19642" i="2"/>
  <c r="D19643" i="2"/>
  <c r="D19644" i="2"/>
  <c r="D19645" i="2"/>
  <c r="D19646" i="2"/>
  <c r="D19647" i="2"/>
  <c r="D19648" i="2"/>
  <c r="D19649" i="2"/>
  <c r="D19650" i="2"/>
  <c r="D19651" i="2"/>
  <c r="D19652" i="2"/>
  <c r="D19653" i="2"/>
  <c r="D19654" i="2"/>
  <c r="D19655" i="2"/>
  <c r="D19656" i="2"/>
  <c r="D19657" i="2"/>
  <c r="D19658" i="2"/>
  <c r="D19659" i="2"/>
  <c r="D19660" i="2"/>
  <c r="D19661" i="2"/>
  <c r="D19662" i="2"/>
  <c r="D19663" i="2"/>
  <c r="D19664" i="2"/>
  <c r="D19665" i="2"/>
  <c r="D19666" i="2"/>
  <c r="D19667" i="2"/>
  <c r="D19668" i="2"/>
  <c r="D19669" i="2"/>
  <c r="D19670" i="2"/>
  <c r="D19671" i="2"/>
  <c r="D19672" i="2"/>
  <c r="D19673" i="2"/>
  <c r="D19674" i="2"/>
  <c r="D19675" i="2"/>
  <c r="D19676" i="2"/>
  <c r="D19677" i="2"/>
  <c r="D19678" i="2"/>
  <c r="D19679" i="2"/>
  <c r="D19680" i="2"/>
  <c r="D19681" i="2"/>
  <c r="D19682" i="2"/>
  <c r="D19683" i="2"/>
  <c r="D19684" i="2"/>
  <c r="D19685" i="2"/>
  <c r="D19686" i="2"/>
  <c r="D19687" i="2"/>
  <c r="D19688" i="2"/>
  <c r="D19689" i="2"/>
  <c r="D19690" i="2"/>
  <c r="D19691" i="2"/>
  <c r="D19692" i="2"/>
  <c r="D19693" i="2"/>
  <c r="D19694" i="2"/>
  <c r="D19695" i="2"/>
  <c r="D19696" i="2"/>
  <c r="D19697" i="2"/>
  <c r="D19698" i="2"/>
  <c r="D19699" i="2"/>
  <c r="D19700" i="2"/>
  <c r="D19701" i="2"/>
  <c r="D19702" i="2"/>
  <c r="D19703" i="2"/>
  <c r="D19704" i="2"/>
  <c r="D19705" i="2"/>
  <c r="D19706" i="2"/>
  <c r="D19707" i="2"/>
  <c r="D19708" i="2"/>
  <c r="D19709" i="2"/>
  <c r="D19710" i="2"/>
  <c r="D19711" i="2"/>
  <c r="D19712" i="2"/>
  <c r="D19713" i="2"/>
  <c r="D19714" i="2"/>
  <c r="D19715" i="2"/>
  <c r="D19716" i="2"/>
  <c r="D19717" i="2"/>
  <c r="D19718" i="2"/>
  <c r="D19719" i="2"/>
  <c r="D19720" i="2"/>
  <c r="D19721" i="2"/>
  <c r="D19722" i="2"/>
  <c r="D19723" i="2"/>
  <c r="D19724" i="2"/>
  <c r="D19725" i="2"/>
  <c r="D19726" i="2"/>
  <c r="D19727" i="2"/>
  <c r="D19728" i="2"/>
  <c r="D19729" i="2"/>
  <c r="D19730" i="2"/>
  <c r="D19731" i="2"/>
  <c r="D19732" i="2"/>
  <c r="D19733" i="2"/>
  <c r="D19734" i="2"/>
  <c r="D19735" i="2"/>
  <c r="D19736" i="2"/>
  <c r="D19737" i="2"/>
  <c r="D19738" i="2"/>
  <c r="D19739" i="2"/>
  <c r="D19740" i="2"/>
  <c r="D19741" i="2"/>
  <c r="D19742" i="2"/>
  <c r="D19743" i="2"/>
  <c r="D19744" i="2"/>
  <c r="D19745" i="2"/>
  <c r="D19746" i="2"/>
  <c r="D19747" i="2"/>
  <c r="D19748" i="2"/>
  <c r="D19749" i="2"/>
  <c r="D19750" i="2"/>
  <c r="D19751" i="2"/>
  <c r="D19752" i="2"/>
  <c r="D19753" i="2"/>
  <c r="D19754" i="2"/>
  <c r="D19755" i="2"/>
  <c r="D19756" i="2"/>
  <c r="D19757" i="2"/>
  <c r="D19758" i="2"/>
  <c r="D19759" i="2"/>
  <c r="D19760" i="2"/>
  <c r="D19761" i="2"/>
  <c r="D19762" i="2"/>
  <c r="D19763" i="2"/>
  <c r="D19764" i="2"/>
  <c r="D19765" i="2"/>
  <c r="D19766" i="2"/>
  <c r="D19767" i="2"/>
  <c r="D19768" i="2"/>
  <c r="D19769" i="2"/>
  <c r="D19770" i="2"/>
  <c r="D19771" i="2"/>
  <c r="D19772" i="2"/>
  <c r="D19773" i="2"/>
  <c r="D19774" i="2"/>
  <c r="D19775" i="2"/>
  <c r="D19776" i="2"/>
  <c r="D19777" i="2"/>
  <c r="D19778" i="2"/>
  <c r="D19779" i="2"/>
  <c r="D19780" i="2"/>
  <c r="D19781" i="2"/>
  <c r="D19782" i="2"/>
  <c r="D19783" i="2"/>
  <c r="D19784" i="2"/>
  <c r="D19785" i="2"/>
  <c r="D19786" i="2"/>
  <c r="D19787" i="2"/>
  <c r="D19788" i="2"/>
  <c r="D19789" i="2"/>
  <c r="D19790" i="2"/>
  <c r="D19791" i="2"/>
  <c r="D19792" i="2"/>
  <c r="D19793" i="2"/>
  <c r="D19794" i="2"/>
  <c r="D19795" i="2"/>
  <c r="D19796" i="2"/>
  <c r="D19797" i="2"/>
  <c r="D19798" i="2"/>
  <c r="D19799" i="2"/>
  <c r="D19800" i="2"/>
  <c r="D19801" i="2"/>
  <c r="D19802" i="2"/>
  <c r="D19803" i="2"/>
  <c r="D19804" i="2"/>
  <c r="D19805" i="2"/>
  <c r="D19806" i="2"/>
  <c r="D19807" i="2"/>
  <c r="D19808" i="2"/>
  <c r="D19809" i="2"/>
  <c r="D19810" i="2"/>
  <c r="D19811" i="2"/>
  <c r="D19812" i="2"/>
  <c r="D19813" i="2"/>
  <c r="D19814" i="2"/>
  <c r="D19815" i="2"/>
  <c r="D19816" i="2"/>
  <c r="D19817" i="2"/>
  <c r="D19818" i="2"/>
  <c r="D19819" i="2"/>
  <c r="D19820" i="2"/>
  <c r="D19821" i="2"/>
  <c r="D19822" i="2"/>
  <c r="D19823" i="2"/>
  <c r="D19824" i="2"/>
  <c r="D19825" i="2"/>
  <c r="D19826" i="2"/>
  <c r="D19827" i="2"/>
  <c r="D19828" i="2"/>
  <c r="D19829" i="2"/>
  <c r="D19830" i="2"/>
  <c r="D19831" i="2"/>
  <c r="D19832" i="2"/>
  <c r="D19833" i="2"/>
  <c r="D19834" i="2"/>
  <c r="D19835" i="2"/>
  <c r="D19836" i="2"/>
  <c r="D19837" i="2"/>
  <c r="D19838" i="2"/>
  <c r="D19839" i="2"/>
  <c r="D19840" i="2"/>
  <c r="D19841" i="2"/>
  <c r="D19842" i="2"/>
  <c r="D19843" i="2"/>
  <c r="D19844" i="2"/>
  <c r="D19845" i="2"/>
  <c r="D19846" i="2"/>
  <c r="D19847" i="2"/>
  <c r="D19848" i="2"/>
  <c r="D19849" i="2"/>
  <c r="D19850" i="2"/>
  <c r="D19851" i="2"/>
  <c r="D19852" i="2"/>
  <c r="D19853" i="2"/>
  <c r="D19854" i="2"/>
  <c r="D19855" i="2"/>
  <c r="D19856" i="2"/>
  <c r="D19857" i="2"/>
  <c r="D19858" i="2"/>
  <c r="D19859" i="2"/>
  <c r="D19860" i="2"/>
  <c r="D19861" i="2"/>
  <c r="D19862" i="2"/>
  <c r="D19863" i="2"/>
  <c r="D19864" i="2"/>
  <c r="D19865" i="2"/>
  <c r="D19866" i="2"/>
  <c r="D19867" i="2"/>
  <c r="D19868" i="2"/>
  <c r="D19869" i="2"/>
  <c r="D19870" i="2"/>
  <c r="D19871" i="2"/>
  <c r="D19872" i="2"/>
  <c r="D19873" i="2"/>
  <c r="D19874" i="2"/>
  <c r="D19875" i="2"/>
  <c r="D19876" i="2"/>
  <c r="D19877" i="2"/>
  <c r="D19878" i="2"/>
  <c r="D19879" i="2"/>
  <c r="D19880" i="2"/>
  <c r="D19881" i="2"/>
  <c r="D19882" i="2"/>
  <c r="D19883" i="2"/>
  <c r="D19884" i="2"/>
  <c r="D19885" i="2"/>
  <c r="D19886" i="2"/>
  <c r="D19887" i="2"/>
  <c r="D19888" i="2"/>
  <c r="D19889" i="2"/>
  <c r="D19890" i="2"/>
  <c r="D19891" i="2"/>
  <c r="D19892" i="2"/>
  <c r="D19893" i="2"/>
  <c r="D19894" i="2"/>
  <c r="D19895" i="2"/>
  <c r="D19896" i="2"/>
  <c r="D19897" i="2"/>
  <c r="D19898" i="2"/>
  <c r="D19899" i="2"/>
  <c r="D19900" i="2"/>
  <c r="D19901" i="2"/>
  <c r="D19902" i="2"/>
  <c r="D19903" i="2"/>
  <c r="D19904" i="2"/>
  <c r="D19905" i="2"/>
  <c r="D19906" i="2"/>
  <c r="D19907" i="2"/>
  <c r="D19908" i="2"/>
  <c r="D19909" i="2"/>
  <c r="D19910" i="2"/>
  <c r="D19911" i="2"/>
  <c r="D19912" i="2"/>
  <c r="D19913" i="2"/>
  <c r="D19914" i="2"/>
  <c r="D19915" i="2"/>
  <c r="D19916" i="2"/>
  <c r="D19917" i="2"/>
  <c r="D19918" i="2"/>
  <c r="D19919" i="2"/>
  <c r="D19920" i="2"/>
  <c r="D19921" i="2"/>
  <c r="D19922" i="2"/>
  <c r="D19923" i="2"/>
  <c r="D19924" i="2"/>
  <c r="D19925" i="2"/>
  <c r="D19926" i="2"/>
  <c r="D19927" i="2"/>
  <c r="D19928" i="2"/>
  <c r="D19929" i="2"/>
  <c r="D19930" i="2"/>
  <c r="D19931" i="2"/>
  <c r="D19932" i="2"/>
  <c r="D19933" i="2"/>
  <c r="D19934" i="2"/>
  <c r="D19935" i="2"/>
  <c r="D19936" i="2"/>
  <c r="D19937" i="2"/>
  <c r="D19938" i="2"/>
  <c r="D19939" i="2"/>
  <c r="D19940" i="2"/>
  <c r="D19941" i="2"/>
  <c r="D19942" i="2"/>
  <c r="D19943" i="2"/>
  <c r="D19944" i="2"/>
  <c r="D19945" i="2"/>
  <c r="D19946" i="2"/>
  <c r="D19947" i="2"/>
  <c r="D19948" i="2"/>
  <c r="D19949" i="2"/>
  <c r="D19950" i="2"/>
  <c r="D19951" i="2"/>
  <c r="D19952" i="2"/>
  <c r="D19953" i="2"/>
  <c r="D19954" i="2"/>
  <c r="D19955" i="2"/>
  <c r="D19956" i="2"/>
  <c r="D19957" i="2"/>
  <c r="D19958" i="2"/>
  <c r="D19959" i="2"/>
  <c r="D19960" i="2"/>
  <c r="D19961" i="2"/>
  <c r="D19962" i="2"/>
  <c r="D19963" i="2"/>
  <c r="D19964" i="2"/>
  <c r="D19965" i="2"/>
  <c r="D19966" i="2"/>
  <c r="D19967" i="2"/>
  <c r="D19968" i="2"/>
  <c r="D19969" i="2"/>
  <c r="D19970" i="2"/>
  <c r="D19971" i="2"/>
  <c r="D19972" i="2"/>
  <c r="D19973" i="2"/>
  <c r="D19974" i="2"/>
  <c r="D19975" i="2"/>
  <c r="D19976" i="2"/>
  <c r="D19977" i="2"/>
  <c r="D19978" i="2"/>
  <c r="D19979" i="2"/>
  <c r="D19980" i="2"/>
  <c r="D19981" i="2"/>
  <c r="D19982" i="2"/>
  <c r="D19983" i="2"/>
  <c r="D19984" i="2"/>
  <c r="D19985" i="2"/>
  <c r="D19986" i="2"/>
  <c r="D19987" i="2"/>
  <c r="D19988" i="2"/>
  <c r="D19989" i="2"/>
  <c r="D19990" i="2"/>
  <c r="D19991" i="2"/>
  <c r="D19992" i="2"/>
  <c r="D19993" i="2"/>
  <c r="D19994" i="2"/>
  <c r="D19995" i="2"/>
  <c r="D19996" i="2"/>
  <c r="D19997" i="2"/>
  <c r="D19998" i="2"/>
  <c r="D19999" i="2"/>
  <c r="D20000" i="2"/>
  <c r="D20001" i="2"/>
  <c r="D20002" i="2"/>
  <c r="D20003" i="2"/>
  <c r="D20004" i="2"/>
  <c r="D20005" i="2"/>
  <c r="D20006" i="2"/>
  <c r="D20007" i="2"/>
  <c r="D20008" i="2"/>
  <c r="D20009" i="2"/>
  <c r="D20010" i="2"/>
  <c r="D20011" i="2"/>
  <c r="D20012" i="2"/>
  <c r="D20013" i="2"/>
  <c r="D20014" i="2"/>
  <c r="D20015" i="2"/>
  <c r="D20016" i="2"/>
  <c r="D20017" i="2"/>
  <c r="D20018" i="2"/>
  <c r="D20019" i="2"/>
  <c r="D20020" i="2"/>
  <c r="D20021" i="2"/>
  <c r="D20022" i="2"/>
  <c r="D20023" i="2"/>
  <c r="D20024" i="2"/>
  <c r="D20025" i="2"/>
  <c r="D20026" i="2"/>
  <c r="D20027" i="2"/>
  <c r="D20028" i="2"/>
  <c r="D20029" i="2"/>
  <c r="D20030" i="2"/>
  <c r="D20031" i="2"/>
  <c r="D20032" i="2"/>
  <c r="D20033" i="2"/>
  <c r="D20034" i="2"/>
  <c r="D20035" i="2"/>
  <c r="D20036" i="2"/>
  <c r="D20037" i="2"/>
  <c r="D20038" i="2"/>
  <c r="D20039" i="2"/>
  <c r="D20040" i="2"/>
  <c r="D20041" i="2"/>
  <c r="D20042" i="2"/>
  <c r="D20043" i="2"/>
  <c r="D20044" i="2"/>
  <c r="D20045" i="2"/>
  <c r="D20046" i="2"/>
  <c r="D20047" i="2"/>
  <c r="D20048" i="2"/>
  <c r="D20049" i="2"/>
  <c r="D20050" i="2"/>
  <c r="D20051" i="2"/>
  <c r="D20052" i="2"/>
  <c r="D20053" i="2"/>
  <c r="D20054" i="2"/>
  <c r="D20055" i="2"/>
  <c r="D20056" i="2"/>
  <c r="D20057" i="2"/>
  <c r="D20058" i="2"/>
  <c r="D20059" i="2"/>
  <c r="D20060" i="2"/>
  <c r="D20061" i="2"/>
  <c r="D20062" i="2"/>
  <c r="D20063" i="2"/>
  <c r="D20064" i="2"/>
  <c r="D20065" i="2"/>
  <c r="D20066" i="2"/>
  <c r="D20067" i="2"/>
  <c r="D20068" i="2"/>
  <c r="D20069" i="2"/>
  <c r="D20070" i="2"/>
  <c r="D20071" i="2"/>
  <c r="D20072" i="2"/>
  <c r="D20073" i="2"/>
  <c r="D20074" i="2"/>
  <c r="D20075" i="2"/>
  <c r="D20076" i="2"/>
  <c r="D20077" i="2"/>
  <c r="D20078" i="2"/>
  <c r="D20079" i="2"/>
  <c r="D20080" i="2"/>
  <c r="D20081" i="2"/>
  <c r="D20082" i="2"/>
  <c r="D20083" i="2"/>
  <c r="D20084" i="2"/>
  <c r="D20085" i="2"/>
  <c r="D20086" i="2"/>
  <c r="D20087" i="2"/>
  <c r="D20088" i="2"/>
  <c r="D20089" i="2"/>
  <c r="D20090" i="2"/>
  <c r="D20091" i="2"/>
  <c r="D20092" i="2"/>
  <c r="D20093" i="2"/>
  <c r="D20094" i="2"/>
  <c r="D20095" i="2"/>
  <c r="D20096" i="2"/>
  <c r="D20097" i="2"/>
  <c r="D20098" i="2"/>
  <c r="D20099" i="2"/>
  <c r="D20100" i="2"/>
  <c r="D20101" i="2"/>
  <c r="D20102" i="2"/>
  <c r="D20103" i="2"/>
  <c r="D20104" i="2"/>
  <c r="D20105" i="2"/>
  <c r="D20106" i="2"/>
  <c r="D20107" i="2"/>
  <c r="D20108" i="2"/>
  <c r="D20109" i="2"/>
  <c r="D20110" i="2"/>
  <c r="D20111" i="2"/>
  <c r="D20112" i="2"/>
  <c r="D20113" i="2"/>
  <c r="D20114" i="2"/>
  <c r="D20115" i="2"/>
  <c r="D20116" i="2"/>
  <c r="D20117" i="2"/>
  <c r="D20118" i="2"/>
  <c r="D20119" i="2"/>
  <c r="D20120" i="2"/>
  <c r="D20121" i="2"/>
  <c r="D20122" i="2"/>
  <c r="D20123" i="2"/>
  <c r="D20124" i="2"/>
  <c r="D20125" i="2"/>
  <c r="D20126" i="2"/>
  <c r="D20127" i="2"/>
  <c r="D20128" i="2"/>
  <c r="D20129" i="2"/>
  <c r="D20130" i="2"/>
  <c r="D20131" i="2"/>
  <c r="D20132" i="2"/>
  <c r="D20133" i="2"/>
  <c r="D20134" i="2"/>
  <c r="D20135" i="2"/>
  <c r="D20136" i="2"/>
  <c r="D20137" i="2"/>
  <c r="D20138" i="2"/>
  <c r="D20139" i="2"/>
  <c r="D20140" i="2"/>
  <c r="D20141" i="2"/>
  <c r="D20142" i="2"/>
  <c r="D20143" i="2"/>
  <c r="D20144" i="2"/>
  <c r="D20145" i="2"/>
  <c r="D20146" i="2"/>
  <c r="D20147" i="2"/>
  <c r="D20148" i="2"/>
  <c r="D20149" i="2"/>
  <c r="D20150" i="2"/>
  <c r="D20151" i="2"/>
  <c r="D20152" i="2"/>
  <c r="D20153" i="2"/>
  <c r="D20154" i="2"/>
  <c r="D20155" i="2"/>
  <c r="D20156" i="2"/>
  <c r="D20157" i="2"/>
  <c r="D20158" i="2"/>
  <c r="D20159" i="2"/>
  <c r="D20160" i="2"/>
  <c r="D20161" i="2"/>
  <c r="D20162" i="2"/>
  <c r="D20163" i="2"/>
  <c r="D20164" i="2"/>
  <c r="D20165" i="2"/>
  <c r="D20166" i="2"/>
  <c r="D20167" i="2"/>
  <c r="D20168" i="2"/>
  <c r="D20169" i="2"/>
  <c r="D20170" i="2"/>
  <c r="D20171" i="2"/>
  <c r="D20172" i="2"/>
  <c r="D20173" i="2"/>
  <c r="D20174" i="2"/>
  <c r="D20175" i="2"/>
  <c r="D20176" i="2"/>
  <c r="D20177" i="2"/>
  <c r="D20178" i="2"/>
  <c r="D20179" i="2"/>
  <c r="D20180" i="2"/>
  <c r="D20181" i="2"/>
  <c r="D20182" i="2"/>
  <c r="D20183" i="2"/>
  <c r="D20184" i="2"/>
  <c r="D20185" i="2"/>
  <c r="D20186" i="2"/>
  <c r="D20187" i="2"/>
  <c r="D20188" i="2"/>
  <c r="D20189" i="2"/>
  <c r="D20190" i="2"/>
  <c r="D20191" i="2"/>
  <c r="D20192" i="2"/>
  <c r="D20193" i="2"/>
  <c r="D20194" i="2"/>
  <c r="D20195" i="2"/>
  <c r="D20196" i="2"/>
  <c r="D20197" i="2"/>
  <c r="D20198" i="2"/>
  <c r="D20199" i="2"/>
  <c r="D20200" i="2"/>
  <c r="D20201" i="2"/>
  <c r="D20202" i="2"/>
  <c r="D20203" i="2"/>
  <c r="D20204" i="2"/>
  <c r="D20205" i="2"/>
  <c r="D20206" i="2"/>
  <c r="D20207" i="2"/>
  <c r="D20208" i="2"/>
  <c r="D20209" i="2"/>
  <c r="D20210" i="2"/>
  <c r="D20211" i="2"/>
  <c r="D20212" i="2"/>
  <c r="D20213" i="2"/>
  <c r="D20214" i="2"/>
  <c r="D20215" i="2"/>
  <c r="D20216" i="2"/>
  <c r="D20217" i="2"/>
  <c r="D20218" i="2"/>
  <c r="D20219" i="2"/>
  <c r="D20220" i="2"/>
  <c r="D20221" i="2"/>
  <c r="D20222" i="2"/>
  <c r="D20223" i="2"/>
  <c r="D20224" i="2"/>
  <c r="D20225" i="2"/>
  <c r="D20226" i="2"/>
  <c r="D20227" i="2"/>
  <c r="D20228" i="2"/>
  <c r="D20229" i="2"/>
  <c r="D20230" i="2"/>
  <c r="D20231" i="2"/>
  <c r="D20232" i="2"/>
  <c r="D20233" i="2"/>
  <c r="D20234" i="2"/>
  <c r="D20235" i="2"/>
  <c r="D20236" i="2"/>
  <c r="D20237" i="2"/>
  <c r="D20238" i="2"/>
  <c r="D20239" i="2"/>
  <c r="D20240" i="2"/>
  <c r="D20241" i="2"/>
  <c r="D20242" i="2"/>
  <c r="D20243" i="2"/>
  <c r="D20244" i="2"/>
  <c r="D20245" i="2"/>
  <c r="D20246" i="2"/>
  <c r="D20247" i="2"/>
  <c r="D20248" i="2"/>
  <c r="D20249" i="2"/>
  <c r="D20250" i="2"/>
  <c r="D20251" i="2"/>
  <c r="D20252" i="2"/>
  <c r="D20253" i="2"/>
  <c r="D20254" i="2"/>
  <c r="D20255" i="2"/>
  <c r="D20256" i="2"/>
  <c r="D20257" i="2"/>
  <c r="D20258" i="2"/>
  <c r="D20259" i="2"/>
  <c r="D20260" i="2"/>
  <c r="D20261" i="2"/>
  <c r="D20262" i="2"/>
  <c r="D20263" i="2"/>
  <c r="D20264" i="2"/>
  <c r="D20265" i="2"/>
  <c r="D20266" i="2"/>
  <c r="D20267" i="2"/>
  <c r="D20268" i="2"/>
  <c r="D20269" i="2"/>
  <c r="D20270" i="2"/>
  <c r="D20271" i="2"/>
  <c r="D20272" i="2"/>
  <c r="D20273" i="2"/>
  <c r="D20274" i="2"/>
  <c r="D20275" i="2"/>
  <c r="D20276" i="2"/>
  <c r="D20277" i="2"/>
  <c r="D20278" i="2"/>
  <c r="D20279" i="2"/>
  <c r="D20280" i="2"/>
  <c r="D20281" i="2"/>
  <c r="D20282" i="2"/>
  <c r="D20283" i="2"/>
  <c r="D20284" i="2"/>
  <c r="D20285" i="2"/>
  <c r="D20286" i="2"/>
  <c r="D20287" i="2"/>
  <c r="D20288" i="2"/>
  <c r="D20289" i="2"/>
  <c r="D20290" i="2"/>
  <c r="D20291" i="2"/>
  <c r="D20292" i="2"/>
  <c r="D20293" i="2"/>
  <c r="D20294" i="2"/>
  <c r="D20295" i="2"/>
  <c r="D20296" i="2"/>
  <c r="D20297" i="2"/>
  <c r="D20298" i="2"/>
  <c r="D20299" i="2"/>
  <c r="D20300" i="2"/>
  <c r="D20301" i="2"/>
  <c r="D20302" i="2"/>
  <c r="D20303" i="2"/>
  <c r="D20304" i="2"/>
  <c r="D20305" i="2"/>
  <c r="D20306" i="2"/>
  <c r="D20307" i="2"/>
  <c r="D20308" i="2"/>
  <c r="D20309" i="2"/>
  <c r="D20310" i="2"/>
  <c r="D20311" i="2"/>
  <c r="D20312" i="2"/>
  <c r="D20313" i="2"/>
  <c r="D20314" i="2"/>
  <c r="D20315" i="2"/>
  <c r="D20316" i="2"/>
  <c r="D20317" i="2"/>
  <c r="D20318" i="2"/>
  <c r="D20319" i="2"/>
  <c r="D20320" i="2"/>
  <c r="D20321" i="2"/>
  <c r="D20322" i="2"/>
  <c r="D20323" i="2"/>
  <c r="D20324" i="2"/>
  <c r="D20325" i="2"/>
  <c r="D20326" i="2"/>
  <c r="D20327" i="2"/>
  <c r="D20328" i="2"/>
  <c r="D20329" i="2"/>
  <c r="D20330" i="2"/>
  <c r="D20331" i="2"/>
  <c r="D20332" i="2"/>
  <c r="D20333" i="2"/>
  <c r="D20334" i="2"/>
  <c r="D20335" i="2"/>
  <c r="D20336" i="2"/>
  <c r="D20337" i="2"/>
  <c r="D20338" i="2"/>
  <c r="D20339" i="2"/>
  <c r="D20340" i="2"/>
  <c r="D20341" i="2"/>
  <c r="D20342" i="2"/>
  <c r="D20343" i="2"/>
  <c r="D20344" i="2"/>
  <c r="D20345" i="2"/>
  <c r="D20346" i="2"/>
  <c r="D20347" i="2"/>
  <c r="D20348" i="2"/>
  <c r="D20349" i="2"/>
  <c r="D20350" i="2"/>
  <c r="D20351" i="2"/>
  <c r="D20352" i="2"/>
  <c r="D20353" i="2"/>
  <c r="D20354" i="2"/>
  <c r="D20355" i="2"/>
  <c r="D20356" i="2"/>
  <c r="D20357" i="2"/>
  <c r="D20358" i="2"/>
  <c r="D20359" i="2"/>
  <c r="D20360" i="2"/>
  <c r="D20361" i="2"/>
  <c r="D20362" i="2"/>
  <c r="D20363" i="2"/>
  <c r="D20364" i="2"/>
  <c r="D20365" i="2"/>
  <c r="D20366" i="2"/>
  <c r="D20367" i="2"/>
  <c r="D20368" i="2"/>
  <c r="D20369" i="2"/>
  <c r="D20370" i="2"/>
  <c r="D20371" i="2"/>
  <c r="D20372" i="2"/>
  <c r="D20373" i="2"/>
  <c r="D20374" i="2"/>
  <c r="D20375" i="2"/>
  <c r="D20376" i="2"/>
  <c r="D20377" i="2"/>
  <c r="D20378" i="2"/>
  <c r="D20379" i="2"/>
  <c r="D20380" i="2"/>
  <c r="D20381" i="2"/>
  <c r="D20382" i="2"/>
  <c r="D20383" i="2"/>
  <c r="D20384" i="2"/>
  <c r="D20385" i="2"/>
  <c r="D20386" i="2"/>
  <c r="D20387" i="2"/>
  <c r="D20388" i="2"/>
  <c r="D20389" i="2"/>
  <c r="D20390" i="2"/>
  <c r="D20391" i="2"/>
  <c r="D20392" i="2"/>
  <c r="D20393" i="2"/>
  <c r="D20394" i="2"/>
  <c r="D20395" i="2"/>
  <c r="D20396" i="2"/>
  <c r="D20397" i="2"/>
  <c r="D20398" i="2"/>
  <c r="D20399" i="2"/>
  <c r="D20400" i="2"/>
  <c r="D20401" i="2"/>
  <c r="D20402" i="2"/>
  <c r="D20403" i="2"/>
  <c r="D20404" i="2"/>
  <c r="D20405" i="2"/>
  <c r="D20406" i="2"/>
  <c r="D20407" i="2"/>
  <c r="D20408" i="2"/>
  <c r="D20409" i="2"/>
  <c r="D20410" i="2"/>
  <c r="D20411" i="2"/>
  <c r="D20412" i="2"/>
  <c r="D20413" i="2"/>
  <c r="D20414" i="2"/>
  <c r="D20415" i="2"/>
  <c r="D20416" i="2"/>
  <c r="D20417" i="2"/>
  <c r="D20418" i="2"/>
  <c r="D20419" i="2"/>
  <c r="D20420" i="2"/>
  <c r="D20421" i="2"/>
  <c r="D20422" i="2"/>
  <c r="D20423" i="2"/>
  <c r="D20424" i="2"/>
  <c r="D20425" i="2"/>
  <c r="D20426" i="2"/>
  <c r="D20427" i="2"/>
  <c r="D20428" i="2"/>
  <c r="D20429" i="2"/>
  <c r="D20430" i="2"/>
  <c r="D20431" i="2"/>
  <c r="D20432" i="2"/>
  <c r="D20433" i="2"/>
  <c r="D20434" i="2"/>
  <c r="D20435" i="2"/>
  <c r="D20436" i="2"/>
  <c r="D20437" i="2"/>
  <c r="D20438" i="2"/>
  <c r="D20439" i="2"/>
  <c r="D20440" i="2"/>
  <c r="D20441" i="2"/>
  <c r="D20442" i="2"/>
  <c r="D20443" i="2"/>
  <c r="D20444" i="2"/>
  <c r="D20445" i="2"/>
  <c r="D20446" i="2"/>
  <c r="D20447" i="2"/>
  <c r="D20448" i="2"/>
  <c r="D20449" i="2"/>
  <c r="D20450" i="2"/>
  <c r="D20451" i="2"/>
  <c r="D20452" i="2"/>
  <c r="D20453" i="2"/>
  <c r="D20454" i="2"/>
  <c r="D20455" i="2"/>
  <c r="D20456" i="2"/>
  <c r="D20457" i="2"/>
  <c r="D20458" i="2"/>
  <c r="D20459" i="2"/>
  <c r="D20460" i="2"/>
  <c r="D20461" i="2"/>
  <c r="D20462" i="2"/>
  <c r="D20463" i="2"/>
  <c r="D20464" i="2"/>
  <c r="D20465" i="2"/>
  <c r="D20466" i="2"/>
  <c r="D20467" i="2"/>
  <c r="D20468" i="2"/>
  <c r="D20469" i="2"/>
  <c r="D20470" i="2"/>
  <c r="D20471" i="2"/>
  <c r="D20472" i="2"/>
  <c r="D20473" i="2"/>
  <c r="D20474" i="2"/>
  <c r="D20475" i="2"/>
  <c r="D20476" i="2"/>
  <c r="D20477" i="2"/>
  <c r="D20478" i="2"/>
  <c r="D20479" i="2"/>
  <c r="D20480" i="2"/>
  <c r="D20481" i="2"/>
  <c r="D20482" i="2"/>
  <c r="D20483" i="2"/>
  <c r="D20484" i="2"/>
  <c r="D20485" i="2"/>
  <c r="D20486" i="2"/>
  <c r="D20487" i="2"/>
  <c r="D20488" i="2"/>
  <c r="D20489" i="2"/>
  <c r="D20490" i="2"/>
  <c r="D20491" i="2"/>
  <c r="D20492" i="2"/>
  <c r="D20493" i="2"/>
  <c r="D20494" i="2"/>
  <c r="D20495" i="2"/>
  <c r="D20496" i="2"/>
  <c r="D20497" i="2"/>
  <c r="D20498" i="2"/>
  <c r="D20499" i="2"/>
  <c r="D20500" i="2"/>
  <c r="D20501" i="2"/>
  <c r="D20502" i="2"/>
  <c r="D20503" i="2"/>
  <c r="D20504" i="2"/>
  <c r="D20505" i="2"/>
  <c r="D20506" i="2"/>
  <c r="D20507" i="2"/>
  <c r="D20508" i="2"/>
  <c r="D20509" i="2"/>
  <c r="D20510" i="2"/>
  <c r="D20511" i="2"/>
  <c r="D20512" i="2"/>
  <c r="D20513" i="2"/>
  <c r="D20514" i="2"/>
  <c r="D20515" i="2"/>
  <c r="D20516" i="2"/>
  <c r="D20517" i="2"/>
  <c r="D20518" i="2"/>
  <c r="D20519" i="2"/>
  <c r="D20520" i="2"/>
  <c r="D20521" i="2"/>
  <c r="D20522" i="2"/>
  <c r="D20523" i="2"/>
  <c r="D20524" i="2"/>
  <c r="D20525" i="2"/>
  <c r="D20526" i="2"/>
  <c r="D20527" i="2"/>
  <c r="D20528" i="2"/>
  <c r="D20529" i="2"/>
  <c r="D20530" i="2"/>
  <c r="D20531" i="2"/>
  <c r="D20532" i="2"/>
  <c r="D20533" i="2"/>
  <c r="D20534" i="2"/>
  <c r="D20535" i="2"/>
  <c r="D20536" i="2"/>
  <c r="D20537" i="2"/>
  <c r="D20538" i="2"/>
  <c r="D20539" i="2"/>
  <c r="D20540" i="2"/>
  <c r="D20541" i="2"/>
  <c r="D20542" i="2"/>
  <c r="D20543" i="2"/>
  <c r="D20544" i="2"/>
  <c r="D20545" i="2"/>
  <c r="D20546" i="2"/>
  <c r="D20547" i="2"/>
  <c r="D20548" i="2"/>
  <c r="D20549" i="2"/>
  <c r="D20550" i="2"/>
  <c r="D20551" i="2"/>
  <c r="D20552" i="2"/>
  <c r="D20553" i="2"/>
  <c r="D20554" i="2"/>
  <c r="D20555" i="2"/>
  <c r="D20556" i="2"/>
  <c r="D20557" i="2"/>
  <c r="D20558" i="2"/>
  <c r="D20559" i="2"/>
  <c r="D20560" i="2"/>
  <c r="D20561" i="2"/>
  <c r="D20562" i="2"/>
  <c r="D20563" i="2"/>
  <c r="D20564" i="2"/>
  <c r="D20565" i="2"/>
  <c r="D20566" i="2"/>
  <c r="D20567" i="2"/>
  <c r="D20568" i="2"/>
  <c r="D20569" i="2"/>
  <c r="D20570" i="2"/>
  <c r="D20571" i="2"/>
  <c r="D20572" i="2"/>
  <c r="D20573" i="2"/>
  <c r="D20574" i="2"/>
  <c r="D20575" i="2"/>
  <c r="D20576" i="2"/>
  <c r="D20577" i="2"/>
  <c r="D20578" i="2"/>
  <c r="D20579" i="2"/>
  <c r="D20580" i="2"/>
  <c r="D20581" i="2"/>
  <c r="D20582" i="2"/>
  <c r="D20583" i="2"/>
  <c r="D20584" i="2"/>
  <c r="D20585" i="2"/>
  <c r="D20586" i="2"/>
  <c r="D20587" i="2"/>
  <c r="D20588" i="2"/>
  <c r="D20589" i="2"/>
  <c r="D20590" i="2"/>
  <c r="D20591" i="2"/>
  <c r="D20592" i="2"/>
  <c r="D20593" i="2"/>
  <c r="D20594" i="2"/>
  <c r="D20595" i="2"/>
  <c r="D20596" i="2"/>
  <c r="D20597" i="2"/>
  <c r="D20598" i="2"/>
  <c r="D20599" i="2"/>
  <c r="D20600" i="2"/>
  <c r="D20601" i="2"/>
  <c r="D20602" i="2"/>
  <c r="D20603" i="2"/>
  <c r="D20604" i="2"/>
  <c r="D20605" i="2"/>
  <c r="D20606" i="2"/>
  <c r="D20607" i="2"/>
  <c r="D20608" i="2"/>
  <c r="D20609" i="2"/>
  <c r="D20610" i="2"/>
  <c r="D20611" i="2"/>
  <c r="D20612" i="2"/>
  <c r="D20613" i="2"/>
  <c r="D20614" i="2"/>
  <c r="D20615" i="2"/>
  <c r="D20616" i="2"/>
  <c r="D20617" i="2"/>
  <c r="D20618" i="2"/>
  <c r="D20619" i="2"/>
  <c r="D20620" i="2"/>
  <c r="D20621" i="2"/>
  <c r="D20622" i="2"/>
  <c r="D20623" i="2"/>
  <c r="D20624" i="2"/>
  <c r="D20625" i="2"/>
  <c r="D20626" i="2"/>
  <c r="D20627" i="2"/>
  <c r="D20628" i="2"/>
  <c r="D20629" i="2"/>
  <c r="D20630" i="2"/>
  <c r="D20631" i="2"/>
  <c r="D20632" i="2"/>
  <c r="D20633" i="2"/>
  <c r="D20634" i="2"/>
  <c r="D20635" i="2"/>
  <c r="D20636" i="2"/>
  <c r="D20637" i="2"/>
  <c r="D20638" i="2"/>
  <c r="D20639" i="2"/>
  <c r="D20640" i="2"/>
  <c r="D20641" i="2"/>
  <c r="D20642" i="2"/>
  <c r="D20643" i="2"/>
  <c r="D20644" i="2"/>
  <c r="D20645" i="2"/>
  <c r="D20646" i="2"/>
  <c r="D20647" i="2"/>
  <c r="D20648" i="2"/>
  <c r="D20649" i="2"/>
  <c r="D20650" i="2"/>
  <c r="D20651" i="2"/>
  <c r="D20652" i="2"/>
  <c r="D20653" i="2"/>
  <c r="D20654" i="2"/>
  <c r="D20655" i="2"/>
  <c r="D20656" i="2"/>
  <c r="D20657" i="2"/>
  <c r="D20658" i="2"/>
  <c r="D20659" i="2"/>
  <c r="D20660" i="2"/>
  <c r="D20661" i="2"/>
  <c r="D20662" i="2"/>
  <c r="D20663" i="2"/>
  <c r="D20664" i="2"/>
  <c r="D20665" i="2"/>
  <c r="D20666" i="2"/>
  <c r="D20667" i="2"/>
  <c r="D20668" i="2"/>
  <c r="D20669" i="2"/>
  <c r="D20670" i="2"/>
  <c r="D20671" i="2"/>
  <c r="D20672" i="2"/>
  <c r="D20673" i="2"/>
  <c r="D20674" i="2"/>
  <c r="D20675" i="2"/>
  <c r="D20676" i="2"/>
  <c r="D20677" i="2"/>
  <c r="D20678" i="2"/>
  <c r="D20679" i="2"/>
  <c r="D20680" i="2"/>
  <c r="D20681" i="2"/>
  <c r="D20682" i="2"/>
  <c r="D20683" i="2"/>
  <c r="D20684" i="2"/>
  <c r="D20685" i="2"/>
  <c r="D20686" i="2"/>
  <c r="D20687" i="2"/>
  <c r="D20688" i="2"/>
  <c r="D20689" i="2"/>
  <c r="D20690" i="2"/>
  <c r="D20691" i="2"/>
  <c r="D20692" i="2"/>
  <c r="D20693" i="2"/>
  <c r="D20694" i="2"/>
  <c r="D20695" i="2"/>
  <c r="D20696" i="2"/>
  <c r="D20697" i="2"/>
  <c r="D20698" i="2"/>
  <c r="D20699" i="2"/>
  <c r="D20700" i="2"/>
  <c r="D20701" i="2"/>
  <c r="D20702" i="2"/>
  <c r="D20703" i="2"/>
  <c r="D20704" i="2"/>
  <c r="D20705" i="2"/>
  <c r="D20706" i="2"/>
  <c r="D20707" i="2"/>
  <c r="D20708" i="2"/>
  <c r="D20709" i="2"/>
  <c r="D20710" i="2"/>
  <c r="D20711" i="2"/>
  <c r="D20712" i="2"/>
  <c r="D20713" i="2"/>
  <c r="D20714" i="2"/>
  <c r="D20715" i="2"/>
  <c r="D20716" i="2"/>
  <c r="D20717" i="2"/>
  <c r="D20718" i="2"/>
  <c r="D20719" i="2"/>
  <c r="D20720" i="2"/>
  <c r="D20721" i="2"/>
  <c r="D20722" i="2"/>
  <c r="D20723" i="2"/>
  <c r="D20724" i="2"/>
  <c r="D20725" i="2"/>
  <c r="D20726" i="2"/>
  <c r="D20727" i="2"/>
  <c r="D20728" i="2"/>
  <c r="D20729" i="2"/>
  <c r="D20730" i="2"/>
  <c r="D20731" i="2"/>
  <c r="D20732" i="2"/>
  <c r="D20733" i="2"/>
  <c r="D20734" i="2"/>
  <c r="D20735" i="2"/>
  <c r="D20736" i="2"/>
  <c r="D20737" i="2"/>
  <c r="D20738" i="2"/>
  <c r="D20739" i="2"/>
  <c r="D20740" i="2"/>
  <c r="D20741" i="2"/>
  <c r="D20742" i="2"/>
  <c r="D20743" i="2"/>
  <c r="D20744" i="2"/>
  <c r="D20745" i="2"/>
  <c r="D20746" i="2"/>
  <c r="D20747" i="2"/>
  <c r="D20748" i="2"/>
  <c r="D20749" i="2"/>
  <c r="D20750" i="2"/>
  <c r="D20751" i="2"/>
  <c r="D20752" i="2"/>
  <c r="D20753" i="2"/>
  <c r="D20754" i="2"/>
  <c r="D20755" i="2"/>
  <c r="D20756" i="2"/>
  <c r="D20757" i="2"/>
  <c r="D20758" i="2"/>
  <c r="D20759" i="2"/>
  <c r="D20760" i="2"/>
  <c r="D20761" i="2"/>
  <c r="D20762" i="2"/>
  <c r="D20763" i="2"/>
  <c r="D20764" i="2"/>
  <c r="D20765" i="2"/>
  <c r="D20766" i="2"/>
  <c r="D20767" i="2"/>
  <c r="D20768" i="2"/>
  <c r="D20769" i="2"/>
  <c r="D20770" i="2"/>
  <c r="D20771" i="2"/>
  <c r="D20772" i="2"/>
  <c r="D20773" i="2"/>
  <c r="D20774" i="2"/>
  <c r="D20775" i="2"/>
  <c r="D20776" i="2"/>
  <c r="D20777" i="2"/>
  <c r="D20778" i="2"/>
  <c r="D20779" i="2"/>
  <c r="D20780" i="2"/>
  <c r="D20781" i="2"/>
  <c r="D20782" i="2"/>
  <c r="D20783" i="2"/>
  <c r="D20784" i="2"/>
  <c r="D20785" i="2"/>
  <c r="D20786" i="2"/>
  <c r="D20787" i="2"/>
  <c r="D20788" i="2"/>
  <c r="D20789" i="2"/>
  <c r="D20790" i="2"/>
  <c r="D20791" i="2"/>
  <c r="D20792" i="2"/>
  <c r="D20793" i="2"/>
  <c r="D20794" i="2"/>
  <c r="D20795" i="2"/>
  <c r="D20796" i="2"/>
  <c r="D20797" i="2"/>
  <c r="D20798" i="2"/>
  <c r="D20799" i="2"/>
  <c r="D20800" i="2"/>
  <c r="D20801" i="2"/>
  <c r="D20802" i="2"/>
  <c r="D20803" i="2"/>
  <c r="D20804" i="2"/>
  <c r="D20805" i="2"/>
  <c r="D20806" i="2"/>
  <c r="D20807" i="2"/>
  <c r="D20808" i="2"/>
  <c r="D20809" i="2"/>
  <c r="D20810" i="2"/>
  <c r="D20811" i="2"/>
  <c r="D20812" i="2"/>
  <c r="D20813" i="2"/>
  <c r="D20814" i="2"/>
  <c r="D20815" i="2"/>
  <c r="D20816" i="2"/>
  <c r="D20817" i="2"/>
  <c r="D20818" i="2"/>
  <c r="D20819" i="2"/>
  <c r="D20820" i="2"/>
  <c r="D20821" i="2"/>
  <c r="D20822" i="2"/>
  <c r="D20823" i="2"/>
  <c r="D20824" i="2"/>
  <c r="D20825" i="2"/>
  <c r="D20826" i="2"/>
  <c r="D20827" i="2"/>
  <c r="D20828" i="2"/>
  <c r="D20829" i="2"/>
  <c r="D20830" i="2"/>
  <c r="D20831" i="2"/>
  <c r="D20832" i="2"/>
  <c r="D20833" i="2"/>
  <c r="D20834" i="2"/>
  <c r="D20835" i="2"/>
  <c r="D20836" i="2"/>
  <c r="D20837" i="2"/>
  <c r="D20838" i="2"/>
  <c r="D20839" i="2"/>
  <c r="D20840" i="2"/>
  <c r="D20841" i="2"/>
  <c r="D20842" i="2"/>
  <c r="D20843" i="2"/>
  <c r="D20844" i="2"/>
  <c r="D20845" i="2"/>
  <c r="D20846" i="2"/>
  <c r="D20847" i="2"/>
  <c r="D20848" i="2"/>
  <c r="D20849" i="2"/>
  <c r="D20850" i="2"/>
  <c r="D20851" i="2"/>
  <c r="D20852" i="2"/>
  <c r="D20853" i="2"/>
  <c r="D20854" i="2"/>
  <c r="D20855" i="2"/>
  <c r="D20856" i="2"/>
  <c r="D20857" i="2"/>
  <c r="D20858" i="2"/>
  <c r="D20859" i="2"/>
  <c r="D20860" i="2"/>
  <c r="D20861" i="2"/>
  <c r="D20862" i="2"/>
  <c r="D20863" i="2"/>
  <c r="D20864" i="2"/>
  <c r="D20865" i="2"/>
  <c r="D20866" i="2"/>
  <c r="D20867" i="2"/>
  <c r="D20868" i="2"/>
  <c r="D20869" i="2"/>
  <c r="D20870" i="2"/>
  <c r="D20871" i="2"/>
  <c r="D20872" i="2"/>
  <c r="D20873" i="2"/>
  <c r="D20874" i="2"/>
  <c r="D20875" i="2"/>
  <c r="D20876" i="2"/>
  <c r="D20877" i="2"/>
  <c r="D20878" i="2"/>
  <c r="D20879" i="2"/>
  <c r="D20880" i="2"/>
  <c r="D20881" i="2"/>
  <c r="D20882" i="2"/>
  <c r="D20883" i="2"/>
  <c r="D20884" i="2"/>
  <c r="D20885" i="2"/>
  <c r="D20886" i="2"/>
  <c r="D20887" i="2"/>
  <c r="D20888" i="2"/>
  <c r="D20889" i="2"/>
  <c r="D20890" i="2"/>
  <c r="D20891" i="2"/>
  <c r="D20892" i="2"/>
  <c r="D20893" i="2"/>
  <c r="D20894" i="2"/>
  <c r="D20895" i="2"/>
  <c r="D20896" i="2"/>
  <c r="D20897" i="2"/>
  <c r="D20898" i="2"/>
  <c r="D20899" i="2"/>
  <c r="D20900" i="2"/>
  <c r="D20901" i="2"/>
  <c r="D20902" i="2"/>
  <c r="D20903" i="2"/>
  <c r="D20904" i="2"/>
  <c r="D20905" i="2"/>
  <c r="D20906" i="2"/>
  <c r="D20907" i="2"/>
  <c r="D20908" i="2"/>
  <c r="D20909" i="2"/>
  <c r="D20910" i="2"/>
  <c r="D20911" i="2"/>
  <c r="D20912" i="2"/>
  <c r="D20913" i="2"/>
  <c r="D20914" i="2"/>
  <c r="D20915" i="2"/>
  <c r="D20916" i="2"/>
  <c r="D20917" i="2"/>
  <c r="D20918" i="2"/>
  <c r="D20919" i="2"/>
  <c r="D20920" i="2"/>
  <c r="D20921" i="2"/>
  <c r="D20922" i="2"/>
  <c r="D20923" i="2"/>
  <c r="D20924" i="2"/>
  <c r="D20925" i="2"/>
  <c r="D20926" i="2"/>
  <c r="D20927" i="2"/>
  <c r="D20928" i="2"/>
  <c r="D20929" i="2"/>
  <c r="D20930" i="2"/>
  <c r="D20931" i="2"/>
  <c r="D20932" i="2"/>
  <c r="D20933" i="2"/>
  <c r="D20934" i="2"/>
  <c r="D20935" i="2"/>
  <c r="D20936" i="2"/>
  <c r="D20937" i="2"/>
  <c r="D20938" i="2"/>
  <c r="D20939" i="2"/>
  <c r="D20940" i="2"/>
  <c r="D20941" i="2"/>
  <c r="D20942" i="2"/>
  <c r="D20943" i="2"/>
  <c r="D20944" i="2"/>
  <c r="D20945" i="2"/>
  <c r="D20946" i="2"/>
  <c r="D20947" i="2"/>
  <c r="D20948" i="2"/>
  <c r="D20949" i="2"/>
  <c r="D20950" i="2"/>
  <c r="D20951" i="2"/>
  <c r="D20952" i="2"/>
  <c r="D20953" i="2"/>
  <c r="D20954" i="2"/>
  <c r="D20955" i="2"/>
  <c r="D20956" i="2"/>
  <c r="D20957" i="2"/>
  <c r="D20958" i="2"/>
  <c r="D20959" i="2"/>
  <c r="D20960" i="2"/>
  <c r="D20961" i="2"/>
  <c r="D20962" i="2"/>
  <c r="D20963" i="2"/>
  <c r="D20964" i="2"/>
  <c r="D20965" i="2"/>
  <c r="D20966" i="2"/>
  <c r="D20967" i="2"/>
  <c r="D20968" i="2"/>
  <c r="D20969" i="2"/>
  <c r="D20970" i="2"/>
  <c r="D20971" i="2"/>
  <c r="D20972" i="2"/>
  <c r="D20973" i="2"/>
  <c r="D20974" i="2"/>
  <c r="D20975" i="2"/>
  <c r="D20976" i="2"/>
  <c r="D20977" i="2"/>
  <c r="D20978" i="2"/>
  <c r="D20979" i="2"/>
  <c r="D20980" i="2"/>
  <c r="D20981" i="2"/>
  <c r="D20982" i="2"/>
  <c r="D20983" i="2"/>
  <c r="D20984" i="2"/>
  <c r="D20985" i="2"/>
  <c r="D20986" i="2"/>
  <c r="D20987" i="2"/>
  <c r="D20988" i="2"/>
  <c r="D20989" i="2"/>
  <c r="D20990" i="2"/>
  <c r="D20991" i="2"/>
  <c r="D20992" i="2"/>
  <c r="D20993" i="2"/>
  <c r="D20994" i="2"/>
  <c r="D20995" i="2"/>
  <c r="D20996" i="2"/>
  <c r="D20997" i="2"/>
  <c r="D20998" i="2"/>
  <c r="D20999" i="2"/>
  <c r="D21000" i="2"/>
  <c r="D21001" i="2"/>
  <c r="D21002" i="2"/>
  <c r="D21003" i="2"/>
  <c r="D21004" i="2"/>
  <c r="D21005" i="2"/>
  <c r="D21006" i="2"/>
  <c r="D21007" i="2"/>
  <c r="D21008" i="2"/>
  <c r="D21009" i="2"/>
  <c r="D21010" i="2"/>
  <c r="D21011" i="2"/>
  <c r="D21012" i="2"/>
  <c r="D21013" i="2"/>
  <c r="D21014" i="2"/>
  <c r="D21015" i="2"/>
  <c r="D21016" i="2"/>
  <c r="D21017" i="2"/>
  <c r="D21018" i="2"/>
  <c r="D21019" i="2"/>
  <c r="D21020" i="2"/>
  <c r="D21021" i="2"/>
  <c r="D21022" i="2"/>
  <c r="D21023" i="2"/>
  <c r="D21024" i="2"/>
  <c r="D21025" i="2"/>
  <c r="D21026" i="2"/>
  <c r="D21027" i="2"/>
  <c r="D21028" i="2"/>
  <c r="D21029" i="2"/>
  <c r="D21030" i="2"/>
  <c r="D21031" i="2"/>
  <c r="D21032" i="2"/>
  <c r="D21033" i="2"/>
  <c r="D21034" i="2"/>
  <c r="D21035" i="2"/>
  <c r="D21036" i="2"/>
  <c r="D21037" i="2"/>
  <c r="D21038" i="2"/>
  <c r="D21039" i="2"/>
  <c r="D21040" i="2"/>
  <c r="D21041" i="2"/>
  <c r="D21042" i="2"/>
  <c r="D21043" i="2"/>
  <c r="D21044" i="2"/>
  <c r="D21045" i="2"/>
  <c r="D21046" i="2"/>
  <c r="D21047" i="2"/>
  <c r="D21048" i="2"/>
  <c r="D21049" i="2"/>
  <c r="D21050" i="2"/>
  <c r="D21051" i="2"/>
  <c r="D21052" i="2"/>
  <c r="D21053" i="2"/>
  <c r="D21054" i="2"/>
  <c r="D21055" i="2"/>
  <c r="D21056" i="2"/>
  <c r="D21057" i="2"/>
  <c r="D21058" i="2"/>
  <c r="D21059" i="2"/>
  <c r="D21060" i="2"/>
  <c r="D21061" i="2"/>
  <c r="D21062" i="2"/>
  <c r="D21063" i="2"/>
  <c r="D21064" i="2"/>
  <c r="D21065" i="2"/>
  <c r="D21066" i="2"/>
  <c r="D21067" i="2"/>
  <c r="D21068" i="2"/>
  <c r="D21069" i="2"/>
  <c r="D21070" i="2"/>
  <c r="D21071" i="2"/>
  <c r="D21072" i="2"/>
  <c r="D21073" i="2"/>
  <c r="D21074" i="2"/>
  <c r="D21075" i="2"/>
  <c r="D21076" i="2"/>
  <c r="D21077" i="2"/>
  <c r="D21078" i="2"/>
  <c r="D21079" i="2"/>
  <c r="D21080" i="2"/>
  <c r="D21081" i="2"/>
  <c r="D21082" i="2"/>
  <c r="D21083" i="2"/>
  <c r="D21084" i="2"/>
  <c r="D21085" i="2"/>
  <c r="D21086" i="2"/>
  <c r="D21087" i="2"/>
  <c r="D21088" i="2"/>
  <c r="D21089" i="2"/>
  <c r="D21090" i="2"/>
  <c r="D21091" i="2"/>
  <c r="D21092" i="2"/>
  <c r="D21093" i="2"/>
  <c r="D21094" i="2"/>
  <c r="D21095" i="2"/>
  <c r="D21096" i="2"/>
  <c r="D21097" i="2"/>
  <c r="D21098" i="2"/>
  <c r="D21099" i="2"/>
  <c r="D21100" i="2"/>
  <c r="D21101" i="2"/>
  <c r="D21102" i="2"/>
  <c r="D21103" i="2"/>
  <c r="D21104" i="2"/>
  <c r="D21105" i="2"/>
  <c r="D21106" i="2"/>
  <c r="D21107" i="2"/>
  <c r="D21108" i="2"/>
  <c r="D21109" i="2"/>
  <c r="D21110" i="2"/>
  <c r="D21111" i="2"/>
  <c r="D21112" i="2"/>
  <c r="D21113" i="2"/>
  <c r="D21114" i="2"/>
  <c r="D21115" i="2"/>
  <c r="D21116" i="2"/>
  <c r="D21117" i="2"/>
  <c r="D21118" i="2"/>
  <c r="D21119" i="2"/>
  <c r="D21120" i="2"/>
  <c r="D21121" i="2"/>
  <c r="D21122" i="2"/>
  <c r="D21123" i="2"/>
  <c r="D21124" i="2"/>
  <c r="D21125" i="2"/>
  <c r="D21126" i="2"/>
  <c r="D21127" i="2"/>
  <c r="D21128" i="2"/>
  <c r="D21129" i="2"/>
  <c r="D21130" i="2"/>
  <c r="D21131" i="2"/>
  <c r="D21132" i="2"/>
  <c r="D21133" i="2"/>
  <c r="D21134" i="2"/>
  <c r="D21135" i="2"/>
  <c r="D21136" i="2"/>
  <c r="D21137" i="2"/>
  <c r="D21138" i="2"/>
  <c r="D21139" i="2"/>
  <c r="D21140" i="2"/>
  <c r="D21141" i="2"/>
  <c r="D21142" i="2"/>
  <c r="D21143" i="2"/>
  <c r="D21144" i="2"/>
  <c r="D21145" i="2"/>
  <c r="D21146" i="2"/>
  <c r="D21147" i="2"/>
  <c r="D21148" i="2"/>
  <c r="D21149" i="2"/>
  <c r="D21150" i="2"/>
  <c r="D21151" i="2"/>
  <c r="D21152" i="2"/>
  <c r="D21153" i="2"/>
  <c r="D21154" i="2"/>
  <c r="D21155" i="2"/>
  <c r="D21156" i="2"/>
  <c r="D21157" i="2"/>
  <c r="D21158" i="2"/>
  <c r="D21159" i="2"/>
  <c r="D21160" i="2"/>
  <c r="D21161" i="2"/>
  <c r="D21162" i="2"/>
  <c r="D21163" i="2"/>
  <c r="D21164" i="2"/>
  <c r="D21165" i="2"/>
  <c r="D21166" i="2"/>
  <c r="D21167" i="2"/>
  <c r="D21168" i="2"/>
  <c r="D21169" i="2"/>
  <c r="D21170" i="2"/>
  <c r="D21171" i="2"/>
  <c r="D21172" i="2"/>
  <c r="D21173" i="2"/>
  <c r="D21174" i="2"/>
  <c r="D21175" i="2"/>
  <c r="D21176" i="2"/>
  <c r="D21177" i="2"/>
  <c r="D21178" i="2"/>
  <c r="D21179" i="2"/>
  <c r="D21180" i="2"/>
  <c r="D21181" i="2"/>
  <c r="D21182" i="2"/>
  <c r="D21183" i="2"/>
  <c r="D21184" i="2"/>
  <c r="D21185" i="2"/>
  <c r="D21186" i="2"/>
  <c r="D21187" i="2"/>
  <c r="D21188" i="2"/>
  <c r="D21189" i="2"/>
  <c r="D21190" i="2"/>
  <c r="D21191" i="2"/>
  <c r="D21192" i="2"/>
  <c r="D21193" i="2"/>
  <c r="D21194" i="2"/>
  <c r="D21195" i="2"/>
  <c r="D21196" i="2"/>
  <c r="D21197" i="2"/>
  <c r="D21198" i="2"/>
  <c r="D21199" i="2"/>
  <c r="D21200" i="2"/>
  <c r="D21201" i="2"/>
  <c r="D21202" i="2"/>
  <c r="D21203" i="2"/>
  <c r="D21204" i="2"/>
  <c r="D21205" i="2"/>
  <c r="D21206" i="2"/>
  <c r="D21207" i="2"/>
  <c r="D21208" i="2"/>
  <c r="D21209" i="2"/>
  <c r="D21210" i="2"/>
  <c r="D21211" i="2"/>
  <c r="D21212" i="2"/>
  <c r="D21213" i="2"/>
  <c r="D21214" i="2"/>
  <c r="D21215" i="2"/>
  <c r="D21216" i="2"/>
  <c r="D21217" i="2"/>
  <c r="D21218" i="2"/>
  <c r="D21219" i="2"/>
  <c r="D21220" i="2"/>
  <c r="D21221" i="2"/>
  <c r="D21222" i="2"/>
  <c r="D21223" i="2"/>
  <c r="D21224" i="2"/>
  <c r="D21225" i="2"/>
  <c r="D21226" i="2"/>
  <c r="D21227" i="2"/>
  <c r="D21228" i="2"/>
  <c r="D21229" i="2"/>
  <c r="D21230" i="2"/>
  <c r="D21231" i="2"/>
  <c r="D21232" i="2"/>
  <c r="D21233" i="2"/>
  <c r="D21234" i="2"/>
  <c r="D21235" i="2"/>
  <c r="D21236" i="2"/>
  <c r="D21237" i="2"/>
  <c r="D21238" i="2"/>
  <c r="D21239" i="2"/>
  <c r="D21240" i="2"/>
  <c r="D21241" i="2"/>
  <c r="D21242" i="2"/>
  <c r="D21243" i="2"/>
  <c r="D21244" i="2"/>
  <c r="D21245" i="2"/>
  <c r="D21246" i="2"/>
  <c r="D21247" i="2"/>
  <c r="D21248" i="2"/>
  <c r="D21249" i="2"/>
  <c r="D21250" i="2"/>
  <c r="D21251" i="2"/>
  <c r="D21252" i="2"/>
  <c r="D21253" i="2"/>
  <c r="D21254" i="2"/>
  <c r="D21255" i="2"/>
  <c r="D21256" i="2"/>
  <c r="D21257" i="2"/>
  <c r="D21258" i="2"/>
  <c r="D21259" i="2"/>
  <c r="D21260" i="2"/>
  <c r="D21261" i="2"/>
  <c r="D21262" i="2"/>
  <c r="D21263" i="2"/>
  <c r="D21264" i="2"/>
  <c r="D21265" i="2"/>
  <c r="D21266" i="2"/>
  <c r="D21267" i="2"/>
  <c r="D21268" i="2"/>
  <c r="D21269" i="2"/>
  <c r="D21270" i="2"/>
  <c r="D21271" i="2"/>
  <c r="D21272" i="2"/>
  <c r="D21273" i="2"/>
  <c r="D21274" i="2"/>
  <c r="D21275" i="2"/>
  <c r="D21276" i="2"/>
  <c r="D21277" i="2"/>
  <c r="D21278" i="2"/>
  <c r="D21279" i="2"/>
  <c r="D21280" i="2"/>
  <c r="D21281" i="2"/>
  <c r="D21282" i="2"/>
  <c r="D21283" i="2"/>
  <c r="D21284" i="2"/>
  <c r="D21285" i="2"/>
  <c r="D21286" i="2"/>
  <c r="D21287" i="2"/>
  <c r="D21288" i="2"/>
  <c r="D21289" i="2"/>
  <c r="D21290" i="2"/>
  <c r="D21291" i="2"/>
  <c r="D21292" i="2"/>
  <c r="D21293" i="2"/>
  <c r="D21294" i="2"/>
  <c r="D21295" i="2"/>
  <c r="D21296" i="2"/>
  <c r="D21297" i="2"/>
  <c r="D21298" i="2"/>
  <c r="D21299" i="2"/>
  <c r="D21300" i="2"/>
  <c r="D21301" i="2"/>
  <c r="D21302" i="2"/>
  <c r="D21303" i="2"/>
  <c r="D21304" i="2"/>
  <c r="D21305" i="2"/>
  <c r="D21306" i="2"/>
  <c r="D21307" i="2"/>
  <c r="D21308" i="2"/>
  <c r="D21309" i="2"/>
  <c r="D21310" i="2"/>
  <c r="D21311" i="2"/>
  <c r="D21312" i="2"/>
  <c r="D21313" i="2"/>
  <c r="D21314" i="2"/>
  <c r="D21315" i="2"/>
  <c r="D21316" i="2"/>
  <c r="D21317" i="2"/>
  <c r="D21318" i="2"/>
  <c r="D21319" i="2"/>
  <c r="D21320" i="2"/>
  <c r="D21321" i="2"/>
  <c r="D21322" i="2"/>
  <c r="D21323" i="2"/>
  <c r="D21324" i="2"/>
  <c r="D21325" i="2"/>
  <c r="D21326" i="2"/>
  <c r="D21327" i="2"/>
  <c r="D21328" i="2"/>
  <c r="D21329" i="2"/>
  <c r="D21330" i="2"/>
  <c r="D21331" i="2"/>
  <c r="D21332" i="2"/>
  <c r="D21333" i="2"/>
  <c r="D21334" i="2"/>
  <c r="D21335" i="2"/>
  <c r="D21336" i="2"/>
  <c r="D21337" i="2"/>
  <c r="D21338" i="2"/>
  <c r="D21339" i="2"/>
  <c r="D21340" i="2"/>
  <c r="D21341" i="2"/>
  <c r="D21342" i="2"/>
  <c r="D21343" i="2"/>
  <c r="D21344" i="2"/>
  <c r="D21345" i="2"/>
  <c r="D21346" i="2"/>
  <c r="D21347" i="2"/>
  <c r="D21348" i="2"/>
  <c r="D21349" i="2"/>
  <c r="D21350" i="2"/>
  <c r="D21351" i="2"/>
  <c r="D21352" i="2"/>
  <c r="D21353" i="2"/>
  <c r="D21354" i="2"/>
  <c r="D21355" i="2"/>
  <c r="D21356" i="2"/>
  <c r="D21357" i="2"/>
  <c r="D21358" i="2"/>
  <c r="D21359" i="2"/>
  <c r="D21360" i="2"/>
  <c r="D21361" i="2"/>
  <c r="D21362" i="2"/>
  <c r="D21363" i="2"/>
  <c r="D21364" i="2"/>
  <c r="D21365" i="2"/>
  <c r="D21366" i="2"/>
  <c r="D21367" i="2"/>
  <c r="D21368" i="2"/>
  <c r="D21369" i="2"/>
  <c r="D21370" i="2"/>
  <c r="D21371" i="2"/>
  <c r="D21372" i="2"/>
  <c r="D21373" i="2"/>
  <c r="D21374" i="2"/>
  <c r="D21375" i="2"/>
  <c r="D21376" i="2"/>
  <c r="D21377" i="2"/>
  <c r="D21378" i="2"/>
  <c r="D21379" i="2"/>
  <c r="D21380" i="2"/>
  <c r="D21381" i="2"/>
  <c r="D21382" i="2"/>
  <c r="D21383" i="2"/>
  <c r="D21384" i="2"/>
  <c r="D21385" i="2"/>
  <c r="D21386" i="2"/>
  <c r="D21387" i="2"/>
  <c r="D21388" i="2"/>
  <c r="D21389" i="2"/>
  <c r="D21390" i="2"/>
  <c r="D21391" i="2"/>
  <c r="D21392" i="2"/>
  <c r="D21393" i="2"/>
  <c r="D21394" i="2"/>
  <c r="D21395" i="2"/>
  <c r="D21396" i="2"/>
  <c r="D21397" i="2"/>
  <c r="D21398" i="2"/>
  <c r="D21399" i="2"/>
  <c r="D21400" i="2"/>
  <c r="D21401" i="2"/>
  <c r="D21402" i="2"/>
  <c r="D21403" i="2"/>
  <c r="D21404" i="2"/>
  <c r="D21405" i="2"/>
  <c r="D21406" i="2"/>
  <c r="D21407" i="2"/>
  <c r="D21408" i="2"/>
  <c r="D21409" i="2"/>
  <c r="D21410" i="2"/>
  <c r="D21411" i="2"/>
  <c r="D21412" i="2"/>
  <c r="D21413" i="2"/>
  <c r="D21414" i="2"/>
  <c r="D21415" i="2"/>
  <c r="D21416" i="2"/>
  <c r="D21417" i="2"/>
  <c r="D21418" i="2"/>
  <c r="D21419" i="2"/>
  <c r="D21420" i="2"/>
  <c r="D21421" i="2"/>
  <c r="D21422" i="2"/>
  <c r="D21423" i="2"/>
  <c r="D21424" i="2"/>
  <c r="D21425" i="2"/>
  <c r="D21426" i="2"/>
  <c r="D21427" i="2"/>
  <c r="D21428" i="2"/>
  <c r="D21429" i="2"/>
  <c r="D21430" i="2"/>
  <c r="D21431" i="2"/>
  <c r="D21432" i="2"/>
  <c r="D21433" i="2"/>
  <c r="D21434" i="2"/>
  <c r="D21435" i="2"/>
  <c r="D21436" i="2"/>
  <c r="D21437" i="2"/>
  <c r="D21438" i="2"/>
  <c r="D21439" i="2"/>
  <c r="D21440" i="2"/>
  <c r="D21441" i="2"/>
  <c r="D21442" i="2"/>
  <c r="D21443" i="2"/>
  <c r="D21444" i="2"/>
  <c r="D21445" i="2"/>
  <c r="D21446" i="2"/>
  <c r="D21447" i="2"/>
  <c r="D21448" i="2"/>
  <c r="D21449" i="2"/>
  <c r="D21450" i="2"/>
  <c r="D21451" i="2"/>
  <c r="D21452" i="2"/>
  <c r="D21453" i="2"/>
  <c r="D21454" i="2"/>
  <c r="D21455" i="2"/>
  <c r="D21456" i="2"/>
  <c r="D21457" i="2"/>
  <c r="D21458" i="2"/>
  <c r="D21459" i="2"/>
  <c r="D21460" i="2"/>
  <c r="D21461" i="2"/>
  <c r="D21462" i="2"/>
  <c r="D21463" i="2"/>
  <c r="D21464" i="2"/>
  <c r="D21465" i="2"/>
  <c r="D21466" i="2"/>
  <c r="D21467" i="2"/>
  <c r="D21468" i="2"/>
  <c r="D21469" i="2"/>
  <c r="D21470" i="2"/>
  <c r="D21471" i="2"/>
  <c r="D21472" i="2"/>
  <c r="D21473" i="2"/>
  <c r="D21474" i="2"/>
  <c r="D21475" i="2"/>
  <c r="D21476" i="2"/>
  <c r="D21477" i="2"/>
  <c r="D21478" i="2"/>
  <c r="D21479" i="2"/>
  <c r="D21480" i="2"/>
  <c r="D21481" i="2"/>
  <c r="D21482" i="2"/>
  <c r="D21483" i="2"/>
  <c r="D21484" i="2"/>
  <c r="D21485" i="2"/>
  <c r="D21486" i="2"/>
  <c r="D21487" i="2"/>
  <c r="D21488" i="2"/>
  <c r="D21489" i="2"/>
  <c r="D21490" i="2"/>
  <c r="D21491" i="2"/>
  <c r="D21492" i="2"/>
  <c r="D21493" i="2"/>
  <c r="D21494" i="2"/>
  <c r="D21495" i="2"/>
  <c r="D21496" i="2"/>
  <c r="D21497" i="2"/>
  <c r="D21498" i="2"/>
  <c r="D21499" i="2"/>
  <c r="D21500" i="2"/>
  <c r="D21501" i="2"/>
  <c r="D21502" i="2"/>
  <c r="D21503" i="2"/>
  <c r="D21504" i="2"/>
  <c r="D21505" i="2"/>
  <c r="D21506" i="2"/>
  <c r="D21507" i="2"/>
  <c r="D21508" i="2"/>
  <c r="D21509" i="2"/>
  <c r="D21510" i="2"/>
  <c r="D21511" i="2"/>
  <c r="D21512" i="2"/>
  <c r="D21513" i="2"/>
  <c r="D21514" i="2"/>
  <c r="D21515" i="2"/>
  <c r="D21516" i="2"/>
  <c r="D21517" i="2"/>
  <c r="D21518" i="2"/>
  <c r="D21519" i="2"/>
  <c r="D21520" i="2"/>
  <c r="D21521" i="2"/>
  <c r="D21522" i="2"/>
  <c r="D21523" i="2"/>
  <c r="D21524" i="2"/>
  <c r="D21525" i="2"/>
  <c r="D21526" i="2"/>
  <c r="D21527" i="2"/>
  <c r="D21528" i="2"/>
  <c r="D21529" i="2"/>
  <c r="D21530" i="2"/>
  <c r="D21531" i="2"/>
  <c r="D21532" i="2"/>
  <c r="D21533" i="2"/>
  <c r="D21534" i="2"/>
  <c r="D21535" i="2"/>
  <c r="D21536" i="2"/>
  <c r="D21537" i="2"/>
  <c r="D21538" i="2"/>
  <c r="D21539" i="2"/>
  <c r="D21540" i="2"/>
  <c r="D21541" i="2"/>
  <c r="D21542" i="2"/>
  <c r="D21543" i="2"/>
  <c r="D21544" i="2"/>
  <c r="D21545" i="2"/>
  <c r="D21546" i="2"/>
  <c r="D21547" i="2"/>
  <c r="D21548" i="2"/>
  <c r="D21549" i="2"/>
  <c r="D21550" i="2"/>
  <c r="D21551" i="2"/>
  <c r="D21552" i="2"/>
  <c r="D21553" i="2"/>
  <c r="D21554" i="2"/>
  <c r="D21555" i="2"/>
  <c r="D21556" i="2"/>
  <c r="D21557" i="2"/>
  <c r="D21558" i="2"/>
  <c r="D21559" i="2"/>
  <c r="D21560" i="2"/>
  <c r="D21561" i="2"/>
  <c r="D21562" i="2"/>
  <c r="D21563" i="2"/>
  <c r="D21564" i="2"/>
  <c r="D21565" i="2"/>
  <c r="D21566" i="2"/>
  <c r="D21567" i="2"/>
  <c r="D21568" i="2"/>
  <c r="D21569" i="2"/>
  <c r="D21570" i="2"/>
  <c r="D21571" i="2"/>
  <c r="D21572" i="2"/>
  <c r="D21573" i="2"/>
  <c r="D21574" i="2"/>
  <c r="D21575" i="2"/>
  <c r="D21576" i="2"/>
  <c r="D21577" i="2"/>
  <c r="D21578" i="2"/>
  <c r="D21579" i="2"/>
  <c r="D21580" i="2"/>
  <c r="D21581" i="2"/>
  <c r="D21582" i="2"/>
  <c r="D21583" i="2"/>
  <c r="D21584" i="2"/>
  <c r="D21585" i="2"/>
  <c r="D21586" i="2"/>
  <c r="D21587" i="2"/>
  <c r="D21588" i="2"/>
  <c r="D21589" i="2"/>
  <c r="D21590" i="2"/>
  <c r="D21591" i="2"/>
  <c r="D21592" i="2"/>
  <c r="D21593" i="2"/>
  <c r="D21594" i="2"/>
  <c r="D21595" i="2"/>
  <c r="D21596" i="2"/>
  <c r="D21597" i="2"/>
  <c r="D21598" i="2"/>
  <c r="D21599" i="2"/>
  <c r="D21600" i="2"/>
  <c r="D21601" i="2"/>
  <c r="D21602" i="2"/>
  <c r="D21603" i="2"/>
  <c r="D21604" i="2"/>
  <c r="D21605" i="2"/>
  <c r="D21606" i="2"/>
  <c r="D21607" i="2"/>
  <c r="D21608" i="2"/>
  <c r="D21609" i="2"/>
  <c r="D21610" i="2"/>
  <c r="D21611" i="2"/>
  <c r="D21612" i="2"/>
  <c r="D21613" i="2"/>
  <c r="D21614" i="2"/>
  <c r="D21615" i="2"/>
  <c r="D21616" i="2"/>
  <c r="D21617" i="2"/>
  <c r="D21618" i="2"/>
  <c r="D21619" i="2"/>
  <c r="D21620" i="2"/>
  <c r="D21621" i="2"/>
  <c r="D21622" i="2"/>
  <c r="D21623" i="2"/>
  <c r="D21624" i="2"/>
  <c r="D21625" i="2"/>
  <c r="D21626" i="2"/>
  <c r="D21627" i="2"/>
  <c r="D21628" i="2"/>
  <c r="D21629" i="2"/>
  <c r="D21630" i="2"/>
  <c r="D21631" i="2"/>
  <c r="D21632" i="2"/>
  <c r="D21633" i="2"/>
  <c r="D21634" i="2"/>
  <c r="D21635" i="2"/>
  <c r="D21636" i="2"/>
  <c r="D21637" i="2"/>
  <c r="D21638" i="2"/>
  <c r="D21639" i="2"/>
  <c r="D21640" i="2"/>
  <c r="D21641" i="2"/>
  <c r="D21642" i="2"/>
  <c r="D21643" i="2"/>
  <c r="D21644" i="2"/>
  <c r="D21645" i="2"/>
  <c r="D21646" i="2"/>
  <c r="D21647" i="2"/>
  <c r="D21648" i="2"/>
  <c r="D21649" i="2"/>
  <c r="D21650" i="2"/>
  <c r="D21651" i="2"/>
  <c r="D21652" i="2"/>
  <c r="D21653" i="2"/>
  <c r="D21654" i="2"/>
  <c r="D21655" i="2"/>
  <c r="D21656" i="2"/>
  <c r="D21657" i="2"/>
  <c r="D21658" i="2"/>
  <c r="D21659" i="2"/>
  <c r="D21660" i="2"/>
  <c r="D21661" i="2"/>
  <c r="D21662" i="2"/>
  <c r="D21663" i="2"/>
  <c r="D21664" i="2"/>
  <c r="D21665" i="2"/>
  <c r="D21666" i="2"/>
  <c r="D21667" i="2"/>
  <c r="D21668" i="2"/>
  <c r="D21669" i="2"/>
  <c r="D21670" i="2"/>
  <c r="D21671" i="2"/>
  <c r="D21672" i="2"/>
  <c r="D21673" i="2"/>
  <c r="D21674" i="2"/>
  <c r="D21675" i="2"/>
  <c r="D21676" i="2"/>
  <c r="D21677" i="2"/>
  <c r="D21678" i="2"/>
  <c r="D21679" i="2"/>
  <c r="D21680" i="2"/>
  <c r="D21681" i="2"/>
  <c r="D21682" i="2"/>
  <c r="D21683" i="2"/>
  <c r="D21684" i="2"/>
  <c r="D21685" i="2"/>
  <c r="D21686" i="2"/>
  <c r="D21687" i="2"/>
  <c r="D21688" i="2"/>
  <c r="D21689" i="2"/>
  <c r="D21690" i="2"/>
  <c r="D21691" i="2"/>
  <c r="D21692" i="2"/>
  <c r="D21693" i="2"/>
  <c r="D21694" i="2"/>
  <c r="D21695" i="2"/>
  <c r="D21696" i="2"/>
  <c r="D21697" i="2"/>
  <c r="D21698" i="2"/>
  <c r="D21699" i="2"/>
  <c r="D21700" i="2"/>
  <c r="D21701" i="2"/>
  <c r="D21702" i="2"/>
  <c r="D21703" i="2"/>
  <c r="D21704" i="2"/>
  <c r="D21705" i="2"/>
  <c r="D21706" i="2"/>
  <c r="D21707" i="2"/>
  <c r="D21708" i="2"/>
  <c r="D21709" i="2"/>
  <c r="D21710" i="2"/>
  <c r="D21711" i="2"/>
  <c r="D21712" i="2"/>
  <c r="D21713" i="2"/>
  <c r="D21714" i="2"/>
  <c r="D21715" i="2"/>
  <c r="D21716" i="2"/>
  <c r="D21717" i="2"/>
  <c r="D21718" i="2"/>
  <c r="D21719" i="2"/>
  <c r="D21720" i="2"/>
  <c r="D21721" i="2"/>
  <c r="D21722" i="2"/>
  <c r="D21723" i="2"/>
  <c r="D21724" i="2"/>
  <c r="D21725" i="2"/>
  <c r="D21726" i="2"/>
  <c r="D21727" i="2"/>
  <c r="D21728" i="2"/>
  <c r="D21729" i="2"/>
  <c r="D21730" i="2"/>
  <c r="D21731" i="2"/>
  <c r="D21732" i="2"/>
  <c r="D21733" i="2"/>
  <c r="D21734" i="2"/>
  <c r="D21735" i="2"/>
  <c r="D21736" i="2"/>
  <c r="D21737" i="2"/>
  <c r="D21738" i="2"/>
  <c r="D21739" i="2"/>
  <c r="D21740" i="2"/>
  <c r="D21741" i="2"/>
  <c r="D21742" i="2"/>
  <c r="D21743" i="2"/>
  <c r="D21744" i="2"/>
  <c r="D21745" i="2"/>
  <c r="D21746" i="2"/>
  <c r="D21747" i="2"/>
  <c r="D21748" i="2"/>
  <c r="D21749" i="2"/>
  <c r="D21750" i="2"/>
  <c r="D21751" i="2"/>
  <c r="D21752" i="2"/>
  <c r="D21753" i="2"/>
  <c r="D21754" i="2"/>
  <c r="D21755" i="2"/>
  <c r="D21756" i="2"/>
  <c r="D21757" i="2"/>
  <c r="D21758" i="2"/>
  <c r="D21759" i="2"/>
  <c r="D21760" i="2"/>
  <c r="D21761" i="2"/>
  <c r="D21762" i="2"/>
  <c r="D21763" i="2"/>
  <c r="D21764" i="2"/>
  <c r="D21765" i="2"/>
  <c r="D21766" i="2"/>
  <c r="D21767" i="2"/>
  <c r="D21768" i="2"/>
  <c r="D21769" i="2"/>
  <c r="D21770" i="2"/>
  <c r="D21771" i="2"/>
  <c r="D21772" i="2"/>
  <c r="D21773" i="2"/>
  <c r="D21774" i="2"/>
  <c r="D21775" i="2"/>
  <c r="D21776" i="2"/>
  <c r="D21777" i="2"/>
  <c r="D21778" i="2"/>
  <c r="D21779" i="2"/>
  <c r="D21780" i="2"/>
  <c r="D21781" i="2"/>
  <c r="D21782" i="2"/>
  <c r="D21783" i="2"/>
  <c r="D21784" i="2"/>
  <c r="D21785" i="2"/>
  <c r="D21786" i="2"/>
  <c r="D21787" i="2"/>
  <c r="D21788" i="2"/>
  <c r="D21789" i="2"/>
  <c r="D21790" i="2"/>
  <c r="D21791" i="2"/>
  <c r="D21792" i="2"/>
  <c r="D21793" i="2"/>
  <c r="D21794" i="2"/>
  <c r="D21795" i="2"/>
  <c r="D21796" i="2"/>
  <c r="D21797" i="2"/>
  <c r="D21798" i="2"/>
  <c r="D21799" i="2"/>
  <c r="D21800" i="2"/>
  <c r="D21801" i="2"/>
  <c r="D21802" i="2"/>
  <c r="D21803" i="2"/>
  <c r="D21804" i="2"/>
  <c r="D21805" i="2"/>
  <c r="D21806" i="2"/>
  <c r="D21807" i="2"/>
  <c r="D21808" i="2"/>
  <c r="D21809" i="2"/>
  <c r="D21810" i="2"/>
  <c r="D21811" i="2"/>
  <c r="D21812" i="2"/>
  <c r="D21813" i="2"/>
  <c r="D21814" i="2"/>
  <c r="D21815" i="2"/>
  <c r="D21816" i="2"/>
  <c r="D21817" i="2"/>
  <c r="D21818" i="2"/>
  <c r="D21819" i="2"/>
  <c r="D21820" i="2"/>
  <c r="D21821" i="2"/>
  <c r="D21822" i="2"/>
  <c r="D21823" i="2"/>
  <c r="D21824" i="2"/>
  <c r="D21825" i="2"/>
  <c r="D21826" i="2"/>
  <c r="D21827" i="2"/>
  <c r="D21828" i="2"/>
  <c r="D21829" i="2"/>
  <c r="D21830" i="2"/>
  <c r="D21831" i="2"/>
  <c r="D21832" i="2"/>
  <c r="D21833" i="2"/>
  <c r="D21834" i="2"/>
  <c r="D21835" i="2"/>
  <c r="D21836" i="2"/>
  <c r="D21837" i="2"/>
  <c r="D21838" i="2"/>
  <c r="D21839" i="2"/>
  <c r="D21840" i="2"/>
  <c r="D21841" i="2"/>
  <c r="D21842" i="2"/>
  <c r="D21843" i="2"/>
  <c r="D21844" i="2"/>
  <c r="D21845" i="2"/>
  <c r="D21846" i="2"/>
  <c r="D21847" i="2"/>
  <c r="D21848" i="2"/>
  <c r="D21849" i="2"/>
  <c r="D21850" i="2"/>
  <c r="D21851" i="2"/>
  <c r="D21852" i="2"/>
  <c r="D21853" i="2"/>
  <c r="D21854" i="2"/>
  <c r="D21855" i="2"/>
  <c r="D21856" i="2"/>
  <c r="D21857" i="2"/>
  <c r="D21858" i="2"/>
  <c r="D21859" i="2"/>
  <c r="D21860" i="2"/>
  <c r="D21861" i="2"/>
  <c r="D21862" i="2"/>
  <c r="D21863" i="2"/>
  <c r="D21864" i="2"/>
  <c r="D21865" i="2"/>
  <c r="D21866" i="2"/>
  <c r="D21867" i="2"/>
  <c r="D21868" i="2"/>
  <c r="D21869" i="2"/>
  <c r="D21870" i="2"/>
  <c r="D21871" i="2"/>
  <c r="D21872" i="2"/>
  <c r="D21873" i="2"/>
  <c r="D21874" i="2"/>
  <c r="D21875" i="2"/>
  <c r="D21876" i="2"/>
  <c r="D21877" i="2"/>
  <c r="D21878" i="2"/>
  <c r="D21879" i="2"/>
  <c r="D21880" i="2"/>
  <c r="D21881" i="2"/>
  <c r="D21882" i="2"/>
  <c r="D21883" i="2"/>
  <c r="D21884" i="2"/>
  <c r="D21885" i="2"/>
  <c r="D21886" i="2"/>
  <c r="D21887" i="2"/>
  <c r="D21888" i="2"/>
  <c r="D21889" i="2"/>
  <c r="D21890" i="2"/>
  <c r="D21891" i="2"/>
  <c r="D21892" i="2"/>
  <c r="D21893" i="2"/>
  <c r="D21894" i="2"/>
  <c r="D21895" i="2"/>
  <c r="D21896" i="2"/>
  <c r="D21897" i="2"/>
  <c r="D21898" i="2"/>
  <c r="D21899" i="2"/>
  <c r="D21900" i="2"/>
  <c r="D21901" i="2"/>
  <c r="D21902" i="2"/>
  <c r="D21903" i="2"/>
  <c r="D21904" i="2"/>
  <c r="D21905" i="2"/>
  <c r="D21906" i="2"/>
  <c r="D21907" i="2"/>
  <c r="D21908" i="2"/>
  <c r="D21909" i="2"/>
  <c r="D21910" i="2"/>
  <c r="D21911" i="2"/>
  <c r="D21912" i="2"/>
  <c r="D21913" i="2"/>
  <c r="D21914" i="2"/>
  <c r="D21915" i="2"/>
  <c r="D21916" i="2"/>
  <c r="D21917" i="2"/>
  <c r="D21918" i="2"/>
  <c r="D21919" i="2"/>
  <c r="D21920" i="2"/>
  <c r="D21921" i="2"/>
  <c r="D21922" i="2"/>
  <c r="D21923" i="2"/>
  <c r="D21924" i="2"/>
  <c r="D21925" i="2"/>
  <c r="D21926" i="2"/>
  <c r="D21927" i="2"/>
  <c r="D21928" i="2"/>
  <c r="D21929" i="2"/>
  <c r="D21930" i="2"/>
  <c r="D21931" i="2"/>
  <c r="D21932" i="2"/>
  <c r="D21933" i="2"/>
  <c r="D21934" i="2"/>
  <c r="D21935" i="2"/>
  <c r="D21936" i="2"/>
  <c r="D21937" i="2"/>
  <c r="D21938" i="2"/>
  <c r="D21939" i="2"/>
  <c r="D21940" i="2"/>
  <c r="D21941" i="2"/>
  <c r="D21942" i="2"/>
  <c r="D21943" i="2"/>
  <c r="D21944" i="2"/>
  <c r="D21945" i="2"/>
  <c r="D21946" i="2"/>
  <c r="D21947" i="2"/>
  <c r="D21948" i="2"/>
  <c r="D21949" i="2"/>
  <c r="D21950" i="2"/>
  <c r="D21951" i="2"/>
  <c r="D21952" i="2"/>
  <c r="D21953" i="2"/>
  <c r="D21954" i="2"/>
  <c r="D21955" i="2"/>
  <c r="D21956" i="2"/>
  <c r="D21957" i="2"/>
  <c r="D21958" i="2"/>
  <c r="D21959" i="2"/>
  <c r="D21960" i="2"/>
  <c r="D21961" i="2"/>
  <c r="D21962" i="2"/>
  <c r="D21963" i="2"/>
  <c r="D21964" i="2"/>
  <c r="D21965" i="2"/>
  <c r="D21966" i="2"/>
  <c r="D21967" i="2"/>
  <c r="D21968" i="2"/>
  <c r="D21969" i="2"/>
  <c r="D21970" i="2"/>
  <c r="D21971" i="2"/>
  <c r="D21972" i="2"/>
  <c r="D21973" i="2"/>
  <c r="D21974" i="2"/>
  <c r="D21975" i="2"/>
  <c r="D21976" i="2"/>
  <c r="D21977" i="2"/>
  <c r="D21978" i="2"/>
  <c r="D21979" i="2"/>
  <c r="D21980" i="2"/>
  <c r="D21981" i="2"/>
  <c r="D21982" i="2"/>
  <c r="D21983" i="2"/>
  <c r="D21984" i="2"/>
  <c r="D21985" i="2"/>
  <c r="D21986" i="2"/>
  <c r="D21987" i="2"/>
  <c r="D21988" i="2"/>
  <c r="D21989" i="2"/>
  <c r="D21990" i="2"/>
  <c r="D21991" i="2"/>
  <c r="D21992" i="2"/>
  <c r="D21993" i="2"/>
  <c r="D21994" i="2"/>
  <c r="D21995" i="2"/>
  <c r="D21996" i="2"/>
  <c r="D21997" i="2"/>
  <c r="D21998" i="2"/>
  <c r="D21999" i="2"/>
  <c r="D22000" i="2"/>
  <c r="D22001" i="2"/>
  <c r="D22002" i="2"/>
  <c r="D22003" i="2"/>
  <c r="D22004" i="2"/>
  <c r="D22005" i="2"/>
  <c r="D22006" i="2"/>
  <c r="D22007" i="2"/>
  <c r="D22008" i="2"/>
  <c r="D22009" i="2"/>
  <c r="D22010" i="2"/>
  <c r="D22011" i="2"/>
  <c r="D22012" i="2"/>
  <c r="D22013" i="2"/>
  <c r="D22014" i="2"/>
  <c r="D22015" i="2"/>
  <c r="D22016" i="2"/>
  <c r="D22017" i="2"/>
  <c r="D22018" i="2"/>
  <c r="D22019" i="2"/>
  <c r="D22020" i="2"/>
  <c r="D22021" i="2"/>
  <c r="D22022" i="2"/>
  <c r="D22023" i="2"/>
  <c r="D22024" i="2"/>
  <c r="D22025" i="2"/>
  <c r="D22026" i="2"/>
  <c r="D22027" i="2"/>
  <c r="D22028" i="2"/>
  <c r="D22029" i="2"/>
  <c r="D22030" i="2"/>
  <c r="D22031" i="2"/>
  <c r="D22032" i="2"/>
  <c r="D22033" i="2"/>
  <c r="D22034" i="2"/>
  <c r="D22035" i="2"/>
  <c r="D22036" i="2"/>
  <c r="D22037" i="2"/>
  <c r="D22038" i="2"/>
  <c r="D22039" i="2"/>
  <c r="D22040" i="2"/>
  <c r="D22041" i="2"/>
  <c r="D22042" i="2"/>
  <c r="D22043" i="2"/>
  <c r="D22044" i="2"/>
  <c r="D22045" i="2"/>
  <c r="D22046" i="2"/>
  <c r="D22047" i="2"/>
  <c r="D22048" i="2"/>
  <c r="D22049" i="2"/>
  <c r="D22050" i="2"/>
  <c r="D22051" i="2"/>
  <c r="D22052" i="2"/>
  <c r="D22053" i="2"/>
  <c r="D22054" i="2"/>
  <c r="D22055" i="2"/>
  <c r="D22056" i="2"/>
  <c r="D22057" i="2"/>
  <c r="D22058" i="2"/>
  <c r="D22059" i="2"/>
  <c r="D22060" i="2"/>
  <c r="D22061" i="2"/>
  <c r="D22062" i="2"/>
  <c r="D22063" i="2"/>
  <c r="D22064" i="2"/>
  <c r="D22065" i="2"/>
  <c r="D22066" i="2"/>
  <c r="D22067" i="2"/>
  <c r="D22068" i="2"/>
  <c r="D22069" i="2"/>
  <c r="D22070" i="2"/>
  <c r="D22071" i="2"/>
  <c r="D22072" i="2"/>
  <c r="D22073" i="2"/>
  <c r="D22074" i="2"/>
  <c r="D22075" i="2"/>
  <c r="D22076" i="2"/>
  <c r="D22077" i="2"/>
  <c r="D22078" i="2"/>
  <c r="D22079" i="2"/>
  <c r="D22080" i="2"/>
  <c r="D22081" i="2"/>
  <c r="D22082" i="2"/>
  <c r="D22083" i="2"/>
  <c r="D22084" i="2"/>
  <c r="D22085" i="2"/>
  <c r="D22086" i="2"/>
  <c r="D22087" i="2"/>
  <c r="D22088" i="2"/>
  <c r="D22089" i="2"/>
  <c r="D22090" i="2"/>
  <c r="D22091" i="2"/>
  <c r="D22092" i="2"/>
  <c r="D22093" i="2"/>
  <c r="D22094" i="2"/>
  <c r="D22095" i="2"/>
  <c r="D22096" i="2"/>
  <c r="D22097" i="2"/>
  <c r="D22098" i="2"/>
  <c r="D22099" i="2"/>
  <c r="D22100" i="2"/>
  <c r="D22101" i="2"/>
  <c r="D22102" i="2"/>
  <c r="D22103" i="2"/>
  <c r="D22104" i="2"/>
  <c r="D22105" i="2"/>
  <c r="D22106" i="2"/>
  <c r="D22107" i="2"/>
  <c r="D22108" i="2"/>
  <c r="D22109" i="2"/>
  <c r="D22110" i="2"/>
  <c r="D22111" i="2"/>
  <c r="D22112" i="2"/>
  <c r="D22113" i="2"/>
  <c r="D22114" i="2"/>
  <c r="D22115" i="2"/>
  <c r="D22116" i="2"/>
  <c r="D22117" i="2"/>
  <c r="D22118" i="2"/>
  <c r="D22119" i="2"/>
  <c r="D22120" i="2"/>
  <c r="D22121" i="2"/>
  <c r="D22122" i="2"/>
  <c r="D22123" i="2"/>
  <c r="D22124" i="2"/>
  <c r="D22125" i="2"/>
  <c r="D22126" i="2"/>
  <c r="D22127" i="2"/>
  <c r="D22128" i="2"/>
  <c r="D22129" i="2"/>
  <c r="D22130" i="2"/>
  <c r="D22131" i="2"/>
  <c r="D22132" i="2"/>
  <c r="D22133" i="2"/>
  <c r="D22134" i="2"/>
  <c r="D22135" i="2"/>
  <c r="D22136" i="2"/>
  <c r="D22137" i="2"/>
  <c r="D22138" i="2"/>
  <c r="D22139" i="2"/>
  <c r="D22140" i="2"/>
  <c r="D22141" i="2"/>
  <c r="D22142" i="2"/>
  <c r="D22143" i="2"/>
  <c r="D22144" i="2"/>
  <c r="D22145" i="2"/>
  <c r="D22146" i="2"/>
  <c r="D22147" i="2"/>
  <c r="D22148" i="2"/>
  <c r="D22149" i="2"/>
  <c r="D22150" i="2"/>
  <c r="D22151" i="2"/>
  <c r="D22152" i="2"/>
  <c r="D22153" i="2"/>
  <c r="D22154" i="2"/>
  <c r="D22155" i="2"/>
  <c r="D22156" i="2"/>
  <c r="D22157" i="2"/>
  <c r="D22158" i="2"/>
  <c r="D22159" i="2"/>
  <c r="D22160" i="2"/>
  <c r="D22161" i="2"/>
  <c r="D22162" i="2"/>
  <c r="D22163" i="2"/>
  <c r="D22164" i="2"/>
  <c r="D22165" i="2"/>
  <c r="D22166" i="2"/>
  <c r="D22167" i="2"/>
  <c r="D22168" i="2"/>
  <c r="D22169" i="2"/>
  <c r="D22170" i="2"/>
  <c r="D22171" i="2"/>
  <c r="D22172" i="2"/>
  <c r="D22173" i="2"/>
  <c r="D22174" i="2"/>
  <c r="D22175" i="2"/>
  <c r="D22176" i="2"/>
  <c r="D22177" i="2"/>
  <c r="D22178" i="2"/>
  <c r="D22179" i="2"/>
  <c r="D22180" i="2"/>
  <c r="D22181" i="2"/>
  <c r="D22182" i="2"/>
  <c r="D22183" i="2"/>
  <c r="D22184" i="2"/>
  <c r="D22185" i="2"/>
  <c r="D22186" i="2"/>
  <c r="D22187" i="2"/>
  <c r="D22188" i="2"/>
  <c r="D22189" i="2"/>
  <c r="D22190" i="2"/>
  <c r="D22191" i="2"/>
  <c r="D22192" i="2"/>
  <c r="D22193" i="2"/>
  <c r="D22194" i="2"/>
  <c r="D22195" i="2"/>
  <c r="D22196" i="2"/>
  <c r="D22197" i="2"/>
  <c r="D22198" i="2"/>
  <c r="D22199" i="2"/>
  <c r="D22200" i="2"/>
  <c r="D22201" i="2"/>
  <c r="D22202" i="2"/>
  <c r="D22203" i="2"/>
  <c r="D22204" i="2"/>
  <c r="D22205" i="2"/>
  <c r="D22206" i="2"/>
  <c r="D22207" i="2"/>
  <c r="D22208" i="2"/>
  <c r="D22209" i="2"/>
  <c r="D22210" i="2"/>
  <c r="D22211" i="2"/>
  <c r="D22212" i="2"/>
  <c r="D22213" i="2"/>
  <c r="D22214" i="2"/>
  <c r="D22215" i="2"/>
  <c r="D22216" i="2"/>
  <c r="D22217" i="2"/>
  <c r="D22218" i="2"/>
  <c r="D22219" i="2"/>
  <c r="D22220" i="2"/>
  <c r="D22221" i="2"/>
  <c r="D22222" i="2"/>
  <c r="D22223" i="2"/>
  <c r="D22224" i="2"/>
  <c r="D22225" i="2"/>
  <c r="D22226" i="2"/>
  <c r="D22227" i="2"/>
  <c r="D22228" i="2"/>
  <c r="D22229" i="2"/>
  <c r="D22230" i="2"/>
  <c r="D22231" i="2"/>
  <c r="D22232" i="2"/>
  <c r="D22233" i="2"/>
  <c r="D22234" i="2"/>
  <c r="D22235" i="2"/>
  <c r="D22236" i="2"/>
  <c r="D22237" i="2"/>
  <c r="D22238" i="2"/>
  <c r="D22239" i="2"/>
  <c r="D22240" i="2"/>
  <c r="D22241" i="2"/>
  <c r="D22242" i="2"/>
  <c r="D22243" i="2"/>
  <c r="D22244" i="2"/>
  <c r="D22245" i="2"/>
  <c r="D22246" i="2"/>
  <c r="D22247" i="2"/>
  <c r="D22248" i="2"/>
  <c r="D22249" i="2"/>
  <c r="D22250" i="2"/>
  <c r="D22251" i="2"/>
  <c r="D22252" i="2"/>
  <c r="D22253" i="2"/>
  <c r="D22254" i="2"/>
  <c r="D22255" i="2"/>
  <c r="D22256" i="2"/>
  <c r="D22257" i="2"/>
  <c r="D22258" i="2"/>
  <c r="D22259" i="2"/>
  <c r="D22260" i="2"/>
  <c r="D22261" i="2"/>
  <c r="D22262" i="2"/>
  <c r="D22263" i="2"/>
  <c r="D22264" i="2"/>
  <c r="D22265" i="2"/>
  <c r="D22266" i="2"/>
  <c r="D22267" i="2"/>
  <c r="D22268" i="2"/>
  <c r="D22269" i="2"/>
  <c r="D22270" i="2"/>
  <c r="D22271" i="2"/>
  <c r="D22272" i="2"/>
  <c r="D22273" i="2"/>
  <c r="D22274" i="2"/>
  <c r="D22275" i="2"/>
  <c r="D22276" i="2"/>
  <c r="D22277" i="2"/>
  <c r="D22278" i="2"/>
  <c r="D22279" i="2"/>
  <c r="D22280" i="2"/>
  <c r="D22281" i="2"/>
  <c r="D22282" i="2"/>
  <c r="D22283" i="2"/>
  <c r="D22284" i="2"/>
  <c r="D22285" i="2"/>
  <c r="D22286" i="2"/>
  <c r="D22287" i="2"/>
  <c r="D22288" i="2"/>
  <c r="D22289" i="2"/>
  <c r="D22290" i="2"/>
  <c r="D22291" i="2"/>
  <c r="D22292" i="2"/>
  <c r="D22293" i="2"/>
  <c r="D22294" i="2"/>
  <c r="D22295" i="2"/>
  <c r="D22296" i="2"/>
  <c r="D22297" i="2"/>
  <c r="D22298" i="2"/>
  <c r="D22299" i="2"/>
  <c r="D22300" i="2"/>
  <c r="D22301" i="2"/>
  <c r="D22302" i="2"/>
  <c r="D22303" i="2"/>
  <c r="D22304" i="2"/>
  <c r="D22305" i="2"/>
  <c r="D22306" i="2"/>
  <c r="D22307" i="2"/>
  <c r="D22308" i="2"/>
  <c r="D22309" i="2"/>
  <c r="D22310" i="2"/>
  <c r="D22311" i="2"/>
  <c r="D22312" i="2"/>
  <c r="D22313" i="2"/>
  <c r="D22314" i="2"/>
  <c r="D22315" i="2"/>
  <c r="D22316" i="2"/>
  <c r="D22317" i="2"/>
  <c r="D22318" i="2"/>
  <c r="D22319" i="2"/>
  <c r="D22320" i="2"/>
  <c r="D22321" i="2"/>
  <c r="D22322" i="2"/>
  <c r="D22323" i="2"/>
  <c r="D22324" i="2"/>
  <c r="D22325" i="2"/>
  <c r="D22326" i="2"/>
  <c r="D22327" i="2"/>
  <c r="D22328" i="2"/>
  <c r="D22329" i="2"/>
  <c r="D22330" i="2"/>
  <c r="D22331" i="2"/>
  <c r="D22332" i="2"/>
  <c r="D22333" i="2"/>
  <c r="D22334" i="2"/>
  <c r="D22335" i="2"/>
  <c r="D22336" i="2"/>
  <c r="D22337" i="2"/>
  <c r="D22338" i="2"/>
  <c r="D22339" i="2"/>
  <c r="D22340" i="2"/>
  <c r="D22341" i="2"/>
  <c r="D22342" i="2"/>
  <c r="D22343" i="2"/>
  <c r="D22344" i="2"/>
  <c r="D22345" i="2"/>
  <c r="D22346" i="2"/>
  <c r="D22347" i="2"/>
  <c r="D22348" i="2"/>
  <c r="D22349" i="2"/>
  <c r="D22350" i="2"/>
  <c r="D22351" i="2"/>
  <c r="D22352" i="2"/>
  <c r="D22353" i="2"/>
  <c r="D22354" i="2"/>
  <c r="D22355" i="2"/>
  <c r="D22356" i="2"/>
  <c r="D22357" i="2"/>
  <c r="D22358" i="2"/>
  <c r="D22359" i="2"/>
  <c r="D22360" i="2"/>
  <c r="D22361" i="2"/>
  <c r="D22362" i="2"/>
  <c r="D22363" i="2"/>
  <c r="D22364" i="2"/>
  <c r="D22365" i="2"/>
  <c r="D22366" i="2"/>
  <c r="D22367" i="2"/>
  <c r="D22368" i="2"/>
  <c r="D22369" i="2"/>
  <c r="D22370" i="2"/>
  <c r="D22371" i="2"/>
  <c r="D22372" i="2"/>
  <c r="D22373" i="2"/>
  <c r="D22374" i="2"/>
  <c r="D22375" i="2"/>
  <c r="D22376" i="2"/>
  <c r="D22377" i="2"/>
  <c r="D22378" i="2"/>
  <c r="D22379" i="2"/>
  <c r="D22380" i="2"/>
  <c r="D22381" i="2"/>
  <c r="D22382" i="2"/>
  <c r="D22383" i="2"/>
  <c r="D22384" i="2"/>
  <c r="D22385" i="2"/>
  <c r="D22386" i="2"/>
  <c r="D22387" i="2"/>
  <c r="D22388" i="2"/>
  <c r="D22389" i="2"/>
  <c r="D22390" i="2"/>
  <c r="D22391" i="2"/>
  <c r="D22392" i="2"/>
  <c r="D22393" i="2"/>
  <c r="D22394" i="2"/>
  <c r="D22395" i="2"/>
  <c r="D22396" i="2"/>
  <c r="D22397" i="2"/>
  <c r="D22398" i="2"/>
  <c r="D22399" i="2"/>
  <c r="D22400" i="2"/>
  <c r="D22401" i="2"/>
  <c r="D22402" i="2"/>
  <c r="D22403" i="2"/>
  <c r="D22404" i="2"/>
  <c r="D22405" i="2"/>
  <c r="D22406" i="2"/>
  <c r="D22407" i="2"/>
  <c r="D22408" i="2"/>
  <c r="D22409" i="2"/>
  <c r="D22410" i="2"/>
  <c r="D22411" i="2"/>
  <c r="D22412" i="2"/>
  <c r="D22413" i="2"/>
  <c r="D22414" i="2"/>
  <c r="D22415" i="2"/>
  <c r="D22416" i="2"/>
  <c r="D22417" i="2"/>
  <c r="D22418" i="2"/>
  <c r="D22419" i="2"/>
  <c r="D22420" i="2"/>
  <c r="D22421" i="2"/>
  <c r="D22422" i="2"/>
  <c r="D22423" i="2"/>
  <c r="D22424" i="2"/>
  <c r="D22425" i="2"/>
  <c r="D22426" i="2"/>
  <c r="D22427" i="2"/>
  <c r="D22428" i="2"/>
  <c r="D22429" i="2"/>
  <c r="D22430" i="2"/>
  <c r="D22431" i="2"/>
  <c r="D22432" i="2"/>
  <c r="D22433" i="2"/>
  <c r="D22434" i="2"/>
  <c r="D22435" i="2"/>
  <c r="D22436" i="2"/>
  <c r="D22437" i="2"/>
  <c r="D22438" i="2"/>
  <c r="D22439" i="2"/>
  <c r="D22440" i="2"/>
  <c r="D22441" i="2"/>
  <c r="D22442" i="2"/>
  <c r="D22443" i="2"/>
  <c r="D22444" i="2"/>
  <c r="D22445" i="2"/>
  <c r="D22446" i="2"/>
  <c r="D22447" i="2"/>
  <c r="D22448" i="2"/>
  <c r="D22449" i="2"/>
  <c r="D22450" i="2"/>
  <c r="D22451" i="2"/>
  <c r="D22452" i="2"/>
  <c r="D22453" i="2"/>
  <c r="D22454" i="2"/>
  <c r="D22455" i="2"/>
  <c r="D22456" i="2"/>
  <c r="D22457" i="2"/>
  <c r="D22458" i="2"/>
  <c r="D22459" i="2"/>
  <c r="D22460" i="2"/>
  <c r="D22461" i="2"/>
  <c r="D22462" i="2"/>
  <c r="D22463" i="2"/>
  <c r="D22464" i="2"/>
  <c r="D22465" i="2"/>
  <c r="D22466" i="2"/>
  <c r="D22467" i="2"/>
  <c r="D22468" i="2"/>
  <c r="D22469" i="2"/>
  <c r="D22470" i="2"/>
  <c r="D22471" i="2"/>
  <c r="D22472" i="2"/>
  <c r="D22473" i="2"/>
  <c r="D22474" i="2"/>
  <c r="D22475" i="2"/>
  <c r="D22476" i="2"/>
  <c r="D22477" i="2"/>
  <c r="D22478" i="2"/>
  <c r="D22479" i="2"/>
  <c r="D22480" i="2"/>
  <c r="D22481" i="2"/>
  <c r="D22482" i="2"/>
  <c r="D22483" i="2"/>
  <c r="D22484" i="2"/>
  <c r="D22485" i="2"/>
  <c r="D22486" i="2"/>
  <c r="D22487" i="2"/>
  <c r="D22488" i="2"/>
  <c r="D22489" i="2"/>
  <c r="D22490" i="2"/>
  <c r="D22491" i="2"/>
  <c r="D22492" i="2"/>
  <c r="D22493" i="2"/>
  <c r="D22494" i="2"/>
  <c r="D22495" i="2"/>
  <c r="D22496" i="2"/>
  <c r="D22497" i="2"/>
  <c r="D22498" i="2"/>
  <c r="D22499" i="2"/>
  <c r="D22500" i="2"/>
  <c r="D22501" i="2"/>
  <c r="D22502" i="2"/>
  <c r="D22503" i="2"/>
  <c r="D22504" i="2"/>
  <c r="D22505" i="2"/>
  <c r="D22506" i="2"/>
  <c r="D22507" i="2"/>
  <c r="D22508" i="2"/>
  <c r="D22509" i="2"/>
  <c r="D22510" i="2"/>
  <c r="D22511" i="2"/>
  <c r="D22512" i="2"/>
  <c r="D22513" i="2"/>
  <c r="D22514" i="2"/>
  <c r="D22515" i="2"/>
  <c r="D22516" i="2"/>
  <c r="D22517" i="2"/>
  <c r="D22518" i="2"/>
  <c r="D22519" i="2"/>
  <c r="D22520" i="2"/>
  <c r="D22521" i="2"/>
  <c r="D22522" i="2"/>
  <c r="D22523" i="2"/>
  <c r="D22524" i="2"/>
  <c r="D22525" i="2"/>
  <c r="D22526" i="2"/>
  <c r="D22527" i="2"/>
  <c r="D22528" i="2"/>
  <c r="D22529" i="2"/>
  <c r="D22530" i="2"/>
  <c r="D22531" i="2"/>
  <c r="D22532" i="2"/>
  <c r="D22533" i="2"/>
  <c r="D22534" i="2"/>
  <c r="D22535" i="2"/>
  <c r="D22536" i="2"/>
  <c r="D22537" i="2"/>
  <c r="D22538" i="2"/>
  <c r="D22539" i="2"/>
  <c r="D22540" i="2"/>
  <c r="D22541" i="2"/>
  <c r="D22542" i="2"/>
  <c r="D22543" i="2"/>
  <c r="D22544" i="2"/>
  <c r="D22545" i="2"/>
  <c r="D22546" i="2"/>
  <c r="D22547" i="2"/>
  <c r="D22548" i="2"/>
  <c r="D22549" i="2"/>
  <c r="D22550" i="2"/>
  <c r="D22551" i="2"/>
  <c r="D22552" i="2"/>
  <c r="D22553" i="2"/>
  <c r="D22554" i="2"/>
  <c r="D22555" i="2"/>
  <c r="D22556" i="2"/>
  <c r="D22557" i="2"/>
  <c r="D22558" i="2"/>
  <c r="D22559" i="2"/>
  <c r="D22560" i="2"/>
  <c r="D22561" i="2"/>
  <c r="D22562" i="2"/>
  <c r="D22563" i="2"/>
  <c r="D22564" i="2"/>
  <c r="D22565" i="2"/>
  <c r="D22566" i="2"/>
  <c r="D22567" i="2"/>
  <c r="D22568" i="2"/>
  <c r="D22569" i="2"/>
  <c r="D22570" i="2"/>
  <c r="D22571" i="2"/>
  <c r="D22572" i="2"/>
  <c r="D22573" i="2"/>
  <c r="D22574" i="2"/>
  <c r="D22575" i="2"/>
  <c r="D22576" i="2"/>
  <c r="D22577" i="2"/>
  <c r="D22578" i="2"/>
  <c r="D22579" i="2"/>
  <c r="D22580" i="2"/>
  <c r="D22581" i="2"/>
  <c r="D22582" i="2"/>
  <c r="D22583" i="2"/>
  <c r="D22584" i="2"/>
  <c r="D22585" i="2"/>
  <c r="D22586" i="2"/>
  <c r="D22587" i="2"/>
  <c r="D22588" i="2"/>
  <c r="D22589" i="2"/>
  <c r="D22590" i="2"/>
  <c r="D22591" i="2"/>
  <c r="D22592" i="2"/>
  <c r="D22593" i="2"/>
  <c r="D22594" i="2"/>
  <c r="D22595" i="2"/>
  <c r="D22596" i="2"/>
  <c r="D22597" i="2"/>
  <c r="D22598" i="2"/>
  <c r="D22599" i="2"/>
  <c r="D22600" i="2"/>
  <c r="D22601" i="2"/>
  <c r="D22602" i="2"/>
  <c r="D22603" i="2"/>
  <c r="D22604" i="2"/>
  <c r="D22605" i="2"/>
  <c r="D22606" i="2"/>
  <c r="D22607" i="2"/>
  <c r="D22608" i="2"/>
  <c r="D22609" i="2"/>
  <c r="D22610" i="2"/>
  <c r="D22611" i="2"/>
  <c r="D22612" i="2"/>
  <c r="D22613" i="2"/>
  <c r="D22614" i="2"/>
  <c r="D22615" i="2"/>
  <c r="D22616" i="2"/>
  <c r="D22617" i="2"/>
  <c r="D22618" i="2"/>
  <c r="D22619" i="2"/>
  <c r="D22620" i="2"/>
  <c r="D22621" i="2"/>
  <c r="D22622" i="2"/>
  <c r="D22623" i="2"/>
  <c r="D22624" i="2"/>
  <c r="D22625" i="2"/>
  <c r="D22626" i="2"/>
  <c r="D22627" i="2"/>
  <c r="D22628" i="2"/>
  <c r="D22629" i="2"/>
  <c r="D22630" i="2"/>
  <c r="D22631" i="2"/>
  <c r="D22632" i="2"/>
  <c r="D22633" i="2"/>
  <c r="D22634" i="2"/>
  <c r="D22635" i="2"/>
  <c r="D22636" i="2"/>
  <c r="D22637" i="2"/>
  <c r="D22638" i="2"/>
  <c r="D22639" i="2"/>
  <c r="D22640" i="2"/>
  <c r="D22641" i="2"/>
  <c r="D22642" i="2"/>
  <c r="D22643" i="2"/>
  <c r="D22644" i="2"/>
  <c r="D22645" i="2"/>
  <c r="D22646" i="2"/>
  <c r="D22647" i="2"/>
  <c r="D22648" i="2"/>
  <c r="D22649" i="2"/>
  <c r="D22650" i="2"/>
  <c r="D22651" i="2"/>
  <c r="D22652" i="2"/>
  <c r="D22653" i="2"/>
  <c r="D22654" i="2"/>
  <c r="D22655" i="2"/>
  <c r="D22656" i="2"/>
  <c r="D22657" i="2"/>
  <c r="D22658" i="2"/>
  <c r="D22659" i="2"/>
  <c r="D22660" i="2"/>
  <c r="D22661" i="2"/>
  <c r="D22662" i="2"/>
  <c r="D22663" i="2"/>
  <c r="D22664" i="2"/>
  <c r="D22665" i="2"/>
  <c r="D22666" i="2"/>
  <c r="D22667" i="2"/>
  <c r="D22668" i="2"/>
  <c r="D22669" i="2"/>
  <c r="D22670" i="2"/>
  <c r="D22671" i="2"/>
  <c r="D22672" i="2"/>
  <c r="D22673" i="2"/>
  <c r="D22674" i="2"/>
  <c r="D22675" i="2"/>
  <c r="D22676" i="2"/>
  <c r="D22677" i="2"/>
  <c r="D22678" i="2"/>
  <c r="D22679" i="2"/>
  <c r="D22680" i="2"/>
  <c r="D22681" i="2"/>
  <c r="D22682" i="2"/>
  <c r="D22683" i="2"/>
  <c r="D22684" i="2"/>
  <c r="D22685" i="2"/>
  <c r="D22686" i="2"/>
  <c r="D22687" i="2"/>
  <c r="D22688" i="2"/>
  <c r="D22689" i="2"/>
  <c r="D22690" i="2"/>
  <c r="D22691" i="2"/>
  <c r="D22692" i="2"/>
  <c r="D22693" i="2"/>
  <c r="D22694" i="2"/>
  <c r="D22695" i="2"/>
  <c r="D22696" i="2"/>
  <c r="D22697" i="2"/>
  <c r="D22698" i="2"/>
  <c r="D22699" i="2"/>
  <c r="D22700" i="2"/>
  <c r="D22701" i="2"/>
  <c r="D22702" i="2"/>
  <c r="D22703" i="2"/>
  <c r="D22704" i="2"/>
  <c r="D22705" i="2"/>
  <c r="D22706" i="2"/>
  <c r="D22707" i="2"/>
  <c r="D22708" i="2"/>
  <c r="D22709" i="2"/>
  <c r="D22710" i="2"/>
  <c r="D22711" i="2"/>
  <c r="D22712" i="2"/>
  <c r="D22713" i="2"/>
  <c r="D22714" i="2"/>
  <c r="D22715" i="2"/>
  <c r="D22716" i="2"/>
  <c r="D22717" i="2"/>
  <c r="D22718" i="2"/>
  <c r="D22719" i="2"/>
  <c r="D22720" i="2"/>
  <c r="D22721" i="2"/>
  <c r="D22722" i="2"/>
  <c r="D22723" i="2"/>
  <c r="D22724" i="2"/>
  <c r="D22725" i="2"/>
  <c r="D22726" i="2"/>
  <c r="D22727" i="2"/>
  <c r="D22728" i="2"/>
  <c r="D22729" i="2"/>
  <c r="D22730" i="2"/>
  <c r="D22731" i="2"/>
  <c r="D22732" i="2"/>
  <c r="D22733" i="2"/>
  <c r="D22734" i="2"/>
  <c r="D22735" i="2"/>
  <c r="D22736" i="2"/>
  <c r="D22737" i="2"/>
  <c r="D22738" i="2"/>
  <c r="D22739" i="2"/>
  <c r="D22740" i="2"/>
  <c r="D22741" i="2"/>
  <c r="D22742" i="2"/>
  <c r="D22743" i="2"/>
  <c r="D22744" i="2"/>
  <c r="D22745" i="2"/>
  <c r="D22746" i="2"/>
  <c r="D22747" i="2"/>
  <c r="D22748" i="2"/>
  <c r="D22749" i="2"/>
  <c r="D22750" i="2"/>
  <c r="D22751" i="2"/>
  <c r="D22752" i="2"/>
  <c r="D22753" i="2"/>
  <c r="D22754" i="2"/>
  <c r="D22755" i="2"/>
  <c r="D22756" i="2"/>
  <c r="D22757" i="2"/>
  <c r="D22758" i="2"/>
  <c r="D22759" i="2"/>
  <c r="D22760" i="2"/>
  <c r="D22761" i="2"/>
  <c r="D22762" i="2"/>
  <c r="D22763" i="2"/>
  <c r="D22764" i="2"/>
  <c r="D22765" i="2"/>
  <c r="D22766" i="2"/>
  <c r="D22767" i="2"/>
  <c r="D22768" i="2"/>
  <c r="D22769" i="2"/>
  <c r="D22770" i="2"/>
  <c r="D22771" i="2"/>
  <c r="D22772" i="2"/>
  <c r="D22773" i="2"/>
  <c r="D22774" i="2"/>
  <c r="D22775" i="2"/>
  <c r="D22776" i="2"/>
  <c r="D22777" i="2"/>
  <c r="D22778" i="2"/>
  <c r="D22779" i="2"/>
  <c r="D22780" i="2"/>
  <c r="D22781" i="2"/>
  <c r="D22782" i="2"/>
  <c r="D22783" i="2"/>
  <c r="D22784" i="2"/>
  <c r="D22785" i="2"/>
  <c r="D22786" i="2"/>
  <c r="D22787" i="2"/>
  <c r="D22788" i="2"/>
  <c r="D22789" i="2"/>
  <c r="D22790" i="2"/>
  <c r="D22791" i="2"/>
  <c r="D22792" i="2"/>
  <c r="D22793" i="2"/>
  <c r="D22794" i="2"/>
  <c r="D22795" i="2"/>
  <c r="D22796" i="2"/>
  <c r="D22797" i="2"/>
  <c r="D22798" i="2"/>
  <c r="D22799" i="2"/>
  <c r="D22800" i="2"/>
  <c r="D22801" i="2"/>
  <c r="D22802" i="2"/>
  <c r="D22803" i="2"/>
  <c r="D22804" i="2"/>
  <c r="D22805" i="2"/>
  <c r="D22806" i="2"/>
  <c r="D22807" i="2"/>
  <c r="D22808" i="2"/>
  <c r="D22809" i="2"/>
  <c r="D22810" i="2"/>
  <c r="D22811" i="2"/>
  <c r="D22812" i="2"/>
  <c r="D22813" i="2"/>
  <c r="D22814" i="2"/>
  <c r="D22815" i="2"/>
  <c r="D22816" i="2"/>
  <c r="D22817" i="2"/>
  <c r="D22818" i="2"/>
  <c r="D22819" i="2"/>
  <c r="D22820" i="2"/>
  <c r="D22821" i="2"/>
  <c r="D22822" i="2"/>
  <c r="D22823" i="2"/>
  <c r="D22824" i="2"/>
  <c r="D22825" i="2"/>
  <c r="D22826" i="2"/>
  <c r="D22827" i="2"/>
  <c r="D22828" i="2"/>
  <c r="D22829" i="2"/>
  <c r="D22830" i="2"/>
  <c r="D22831" i="2"/>
  <c r="D22832" i="2"/>
  <c r="D22833" i="2"/>
  <c r="D22834" i="2"/>
  <c r="D22835" i="2"/>
  <c r="D22836" i="2"/>
  <c r="D22837" i="2"/>
  <c r="D22838" i="2"/>
  <c r="D22839" i="2"/>
  <c r="D22840" i="2"/>
  <c r="D22841" i="2"/>
  <c r="D22842" i="2"/>
  <c r="D22843" i="2"/>
  <c r="D22844" i="2"/>
  <c r="D22845" i="2"/>
  <c r="D22846" i="2"/>
  <c r="D22847" i="2"/>
  <c r="D22848" i="2"/>
  <c r="D22849" i="2"/>
  <c r="D22850" i="2"/>
  <c r="D22851" i="2"/>
  <c r="D22852" i="2"/>
  <c r="D22853" i="2"/>
  <c r="D22854" i="2"/>
  <c r="D22855" i="2"/>
  <c r="D22856" i="2"/>
  <c r="D22857" i="2"/>
  <c r="D22858" i="2"/>
  <c r="D22859" i="2"/>
  <c r="D22860" i="2"/>
  <c r="D22861" i="2"/>
  <c r="D22862" i="2"/>
  <c r="D22863" i="2"/>
  <c r="D22864" i="2"/>
  <c r="D22865" i="2"/>
  <c r="D22866" i="2"/>
  <c r="D22867" i="2"/>
  <c r="D22868" i="2"/>
  <c r="D22869" i="2"/>
  <c r="D22870" i="2"/>
  <c r="D22871" i="2"/>
  <c r="D22872" i="2"/>
  <c r="D22873" i="2"/>
  <c r="D22874" i="2"/>
  <c r="D22875" i="2"/>
  <c r="D22876" i="2"/>
  <c r="D22877" i="2"/>
  <c r="D22878" i="2"/>
  <c r="D22879" i="2"/>
  <c r="D22880" i="2"/>
  <c r="D22881" i="2"/>
  <c r="D22882" i="2"/>
  <c r="D22883" i="2"/>
  <c r="D22884" i="2"/>
  <c r="D22885" i="2"/>
  <c r="D22886" i="2"/>
  <c r="D22887" i="2"/>
  <c r="D22888" i="2"/>
  <c r="D22889" i="2"/>
  <c r="D22890" i="2"/>
  <c r="D22891" i="2"/>
  <c r="D22892" i="2"/>
  <c r="D22893" i="2"/>
  <c r="D22894" i="2"/>
  <c r="D22895" i="2"/>
  <c r="D22896" i="2"/>
  <c r="D22897" i="2"/>
  <c r="D22898" i="2"/>
  <c r="D22899" i="2"/>
  <c r="D22900" i="2"/>
  <c r="D22901" i="2"/>
  <c r="D22902" i="2"/>
  <c r="D22903" i="2"/>
  <c r="D22904" i="2"/>
  <c r="D22905" i="2"/>
  <c r="D22906" i="2"/>
  <c r="D22907" i="2"/>
  <c r="D22908" i="2"/>
  <c r="D22909" i="2"/>
  <c r="D22910" i="2"/>
  <c r="D22911" i="2"/>
  <c r="D22912" i="2"/>
  <c r="D22913" i="2"/>
  <c r="D22914" i="2"/>
  <c r="D22915" i="2"/>
  <c r="D22916" i="2"/>
  <c r="D22917" i="2"/>
  <c r="D22918" i="2"/>
  <c r="D22919" i="2"/>
  <c r="D22920" i="2"/>
  <c r="D22921" i="2"/>
  <c r="D22922" i="2"/>
  <c r="D22923" i="2"/>
  <c r="D22924" i="2"/>
  <c r="D22925" i="2"/>
  <c r="D22926" i="2"/>
  <c r="D22927" i="2"/>
  <c r="D22928" i="2"/>
  <c r="D22929" i="2"/>
  <c r="D22930" i="2"/>
  <c r="D22931" i="2"/>
  <c r="D22932" i="2"/>
  <c r="D22933" i="2"/>
  <c r="D22934" i="2"/>
  <c r="D22935" i="2"/>
  <c r="D22936" i="2"/>
  <c r="D22937" i="2"/>
  <c r="D22938" i="2"/>
  <c r="D22939" i="2"/>
  <c r="D22940" i="2"/>
  <c r="D22941" i="2"/>
  <c r="D22942" i="2"/>
  <c r="D22943" i="2"/>
  <c r="D22944" i="2"/>
  <c r="D22945" i="2"/>
  <c r="D22946" i="2"/>
  <c r="D22947" i="2"/>
  <c r="D22948" i="2"/>
  <c r="D22949" i="2"/>
  <c r="D22950" i="2"/>
  <c r="D22951" i="2"/>
  <c r="D22952" i="2"/>
  <c r="D22953" i="2"/>
  <c r="D22954" i="2"/>
  <c r="D22955" i="2"/>
  <c r="D22956" i="2"/>
  <c r="D22957" i="2"/>
  <c r="D22958" i="2"/>
  <c r="D22959" i="2"/>
  <c r="D22960" i="2"/>
  <c r="D22961" i="2"/>
  <c r="D22962" i="2"/>
  <c r="D22963" i="2"/>
  <c r="D22964" i="2"/>
  <c r="D22965" i="2"/>
  <c r="D22966" i="2"/>
  <c r="D22967" i="2"/>
  <c r="D22968" i="2"/>
  <c r="D22969" i="2"/>
  <c r="D22970" i="2"/>
  <c r="D22971" i="2"/>
  <c r="D22972" i="2"/>
  <c r="D22973" i="2"/>
  <c r="D22974" i="2"/>
  <c r="D22975" i="2"/>
  <c r="D22976" i="2"/>
  <c r="D22977" i="2"/>
  <c r="D22978" i="2"/>
  <c r="D22979" i="2"/>
  <c r="D22980" i="2"/>
  <c r="D22981" i="2"/>
  <c r="D22982" i="2"/>
  <c r="D22983" i="2"/>
  <c r="D22984" i="2"/>
  <c r="D22985" i="2"/>
  <c r="D22986" i="2"/>
  <c r="D22987" i="2"/>
  <c r="D22988" i="2"/>
  <c r="D22989" i="2"/>
  <c r="D22990" i="2"/>
  <c r="D22991" i="2"/>
  <c r="D22992" i="2"/>
  <c r="D22993" i="2"/>
  <c r="D22994" i="2"/>
  <c r="D22995" i="2"/>
  <c r="D22996" i="2"/>
  <c r="D22997" i="2"/>
  <c r="D22998" i="2"/>
  <c r="D22999" i="2"/>
  <c r="D23000" i="2"/>
  <c r="D23001" i="2"/>
  <c r="D23002" i="2"/>
  <c r="D23003" i="2"/>
  <c r="D23004" i="2"/>
  <c r="D23005" i="2"/>
  <c r="D23006" i="2"/>
  <c r="D23007" i="2"/>
  <c r="D23008" i="2"/>
  <c r="D23009" i="2"/>
  <c r="D23010" i="2"/>
  <c r="D23011" i="2"/>
  <c r="D23012" i="2"/>
  <c r="D23013" i="2"/>
  <c r="D23014" i="2"/>
  <c r="D23015" i="2"/>
  <c r="D23016" i="2"/>
  <c r="D23017" i="2"/>
  <c r="D23018" i="2"/>
  <c r="D23019" i="2"/>
  <c r="D23020" i="2"/>
  <c r="D23021" i="2"/>
  <c r="D23022" i="2"/>
  <c r="D23023" i="2"/>
  <c r="D23024" i="2"/>
  <c r="D23025" i="2"/>
  <c r="D23026" i="2"/>
  <c r="D23027" i="2"/>
  <c r="D23028" i="2"/>
  <c r="D23029" i="2"/>
  <c r="D23030" i="2"/>
  <c r="D23031" i="2"/>
  <c r="D23032" i="2"/>
  <c r="D23033" i="2"/>
  <c r="D23034" i="2"/>
  <c r="D23035" i="2"/>
  <c r="D23036" i="2"/>
  <c r="D23037" i="2"/>
  <c r="D23038" i="2"/>
  <c r="D23039" i="2"/>
  <c r="D23040" i="2"/>
  <c r="D23041" i="2"/>
  <c r="D23042" i="2"/>
  <c r="D23043" i="2"/>
  <c r="D23044" i="2"/>
  <c r="D23045" i="2"/>
  <c r="D23046" i="2"/>
  <c r="D23047" i="2"/>
  <c r="D23048" i="2"/>
  <c r="D23049" i="2"/>
  <c r="D23050" i="2"/>
  <c r="D23051" i="2"/>
  <c r="D23052" i="2"/>
  <c r="D23053" i="2"/>
  <c r="D23054" i="2"/>
  <c r="D23055" i="2"/>
  <c r="D23056" i="2"/>
  <c r="D23057" i="2"/>
  <c r="D23058" i="2"/>
  <c r="D23059" i="2"/>
  <c r="D23060" i="2"/>
  <c r="D23061" i="2"/>
  <c r="D23062" i="2"/>
  <c r="D23063" i="2"/>
  <c r="D23064" i="2"/>
  <c r="D23065" i="2"/>
  <c r="D23066" i="2"/>
  <c r="D23067" i="2"/>
  <c r="D23068" i="2"/>
  <c r="D23069" i="2"/>
  <c r="D23070" i="2"/>
  <c r="D23071" i="2"/>
  <c r="D23072" i="2"/>
  <c r="D23073" i="2"/>
  <c r="D23074" i="2"/>
  <c r="D23075" i="2"/>
  <c r="D23076" i="2"/>
  <c r="D23077" i="2"/>
  <c r="D23078" i="2"/>
  <c r="D23079" i="2"/>
  <c r="D23080" i="2"/>
  <c r="D23081" i="2"/>
  <c r="D23082" i="2"/>
  <c r="D23083" i="2"/>
  <c r="D23084" i="2"/>
  <c r="D23085" i="2"/>
  <c r="D23086" i="2"/>
  <c r="D23087" i="2"/>
  <c r="D23088" i="2"/>
  <c r="D23089" i="2"/>
  <c r="D23090" i="2"/>
  <c r="D23091" i="2"/>
  <c r="D23092" i="2"/>
  <c r="D23093" i="2"/>
  <c r="D23094" i="2"/>
  <c r="D23095" i="2"/>
  <c r="D23096" i="2"/>
  <c r="D23097" i="2"/>
  <c r="D23098" i="2"/>
  <c r="D23099" i="2"/>
  <c r="D23100" i="2"/>
  <c r="D23101" i="2"/>
  <c r="D23102" i="2"/>
  <c r="D23103" i="2"/>
  <c r="D23104" i="2"/>
  <c r="D23105" i="2"/>
  <c r="D23106" i="2"/>
  <c r="D23107" i="2"/>
  <c r="D23108" i="2"/>
  <c r="D23109" i="2"/>
  <c r="D23110" i="2"/>
  <c r="D23111" i="2"/>
  <c r="D23112" i="2"/>
  <c r="D23113" i="2"/>
  <c r="D23114" i="2"/>
  <c r="D23115" i="2"/>
  <c r="D23116" i="2"/>
  <c r="D23117" i="2"/>
  <c r="D23118" i="2"/>
  <c r="D23119" i="2"/>
  <c r="D23120" i="2"/>
  <c r="D23121" i="2"/>
  <c r="D23122" i="2"/>
  <c r="D23123" i="2"/>
  <c r="D23124" i="2"/>
  <c r="D23125" i="2"/>
  <c r="D23126" i="2"/>
  <c r="D23127" i="2"/>
  <c r="D23128" i="2"/>
  <c r="D23129" i="2"/>
  <c r="D23130" i="2"/>
  <c r="D23131" i="2"/>
  <c r="D23132" i="2"/>
  <c r="D23133" i="2"/>
  <c r="D23134" i="2"/>
  <c r="D23135" i="2"/>
  <c r="D23136" i="2"/>
  <c r="D23137" i="2"/>
  <c r="D23138" i="2"/>
  <c r="D23139" i="2"/>
  <c r="D23140" i="2"/>
  <c r="D23141" i="2"/>
  <c r="D23142" i="2"/>
  <c r="D23143" i="2"/>
  <c r="D23144" i="2"/>
  <c r="D23145" i="2"/>
  <c r="D23146" i="2"/>
  <c r="D23147" i="2"/>
  <c r="D23148" i="2"/>
  <c r="D23149" i="2"/>
  <c r="D23150" i="2"/>
  <c r="D23151" i="2"/>
  <c r="D23152" i="2"/>
  <c r="D23153" i="2"/>
  <c r="D23154" i="2"/>
  <c r="D23155" i="2"/>
  <c r="D23156" i="2"/>
  <c r="D23157" i="2"/>
  <c r="D23158" i="2"/>
  <c r="D23159" i="2"/>
  <c r="D23160" i="2"/>
  <c r="D23161" i="2"/>
  <c r="D23162" i="2"/>
  <c r="D23163" i="2"/>
  <c r="D23164" i="2"/>
  <c r="D23165" i="2"/>
  <c r="D23166" i="2"/>
  <c r="D23167" i="2"/>
  <c r="D23168" i="2"/>
  <c r="D23169" i="2"/>
  <c r="D23170" i="2"/>
  <c r="D23171" i="2"/>
  <c r="D23172" i="2"/>
  <c r="D23173" i="2"/>
  <c r="D23174" i="2"/>
  <c r="D23175" i="2"/>
  <c r="D23176" i="2"/>
  <c r="D23177" i="2"/>
  <c r="D23178" i="2"/>
  <c r="D23179" i="2"/>
  <c r="D23180" i="2"/>
  <c r="D23181" i="2"/>
  <c r="D23182" i="2"/>
  <c r="D23183" i="2"/>
  <c r="D23184" i="2"/>
  <c r="D23185" i="2"/>
  <c r="D23186" i="2"/>
  <c r="D23187" i="2"/>
  <c r="D23188" i="2"/>
  <c r="D23189" i="2"/>
  <c r="D23190" i="2"/>
  <c r="D23191" i="2"/>
  <c r="D23192" i="2"/>
  <c r="D23193" i="2"/>
  <c r="D23194" i="2"/>
  <c r="D23195" i="2"/>
  <c r="D23196" i="2"/>
  <c r="D23197" i="2"/>
  <c r="D23198" i="2"/>
  <c r="D23199" i="2"/>
  <c r="D23200" i="2"/>
  <c r="D23201" i="2"/>
  <c r="D23202" i="2"/>
  <c r="D23203" i="2"/>
  <c r="D23204" i="2"/>
  <c r="D23205" i="2"/>
  <c r="D23206" i="2"/>
  <c r="D23207" i="2"/>
  <c r="D23208" i="2"/>
  <c r="D23209" i="2"/>
  <c r="D23210" i="2"/>
  <c r="D23211" i="2"/>
  <c r="D23212" i="2"/>
  <c r="D23213" i="2"/>
  <c r="D23214" i="2"/>
  <c r="D23215" i="2"/>
  <c r="D23216" i="2"/>
  <c r="D23217" i="2"/>
  <c r="D23218" i="2"/>
  <c r="D23219" i="2"/>
  <c r="D23220" i="2"/>
  <c r="D23221" i="2"/>
  <c r="D23222" i="2"/>
  <c r="D23223" i="2"/>
  <c r="D23224" i="2"/>
  <c r="D23225" i="2"/>
  <c r="D23226" i="2"/>
  <c r="D23227" i="2"/>
  <c r="D23228" i="2"/>
  <c r="D23229" i="2"/>
  <c r="D23230" i="2"/>
  <c r="D23231" i="2"/>
  <c r="D23232" i="2"/>
  <c r="D23233" i="2"/>
  <c r="D23234" i="2"/>
  <c r="D23235" i="2"/>
  <c r="D23236" i="2"/>
  <c r="D23237" i="2"/>
  <c r="D23238" i="2"/>
  <c r="D23239" i="2"/>
  <c r="D23240" i="2"/>
  <c r="D23241" i="2"/>
  <c r="D23242" i="2"/>
  <c r="D23243" i="2"/>
  <c r="D23244" i="2"/>
  <c r="D23245" i="2"/>
  <c r="D23246" i="2"/>
  <c r="D23247" i="2"/>
  <c r="D23248" i="2"/>
  <c r="D23249" i="2"/>
  <c r="D23250" i="2"/>
  <c r="D23251" i="2"/>
  <c r="D23252" i="2"/>
  <c r="D23253" i="2"/>
  <c r="D23254" i="2"/>
  <c r="D23255" i="2"/>
  <c r="D23256" i="2"/>
  <c r="D23257" i="2"/>
  <c r="D23258" i="2"/>
  <c r="D23259" i="2"/>
  <c r="D23260" i="2"/>
  <c r="D23261" i="2"/>
  <c r="D23262" i="2"/>
  <c r="D23263" i="2"/>
  <c r="D23264" i="2"/>
  <c r="D23265" i="2"/>
  <c r="D23266" i="2"/>
  <c r="D23267" i="2"/>
  <c r="D23268" i="2"/>
  <c r="D23269" i="2"/>
  <c r="D23270" i="2"/>
  <c r="D23271" i="2"/>
  <c r="D23272" i="2"/>
  <c r="D23273" i="2"/>
  <c r="D23274" i="2"/>
  <c r="D23275" i="2"/>
  <c r="D23276" i="2"/>
  <c r="D23277" i="2"/>
  <c r="D23278" i="2"/>
  <c r="D23279" i="2"/>
  <c r="D23280" i="2"/>
  <c r="D23281" i="2"/>
  <c r="D23282" i="2"/>
  <c r="D23283" i="2"/>
  <c r="D23284" i="2"/>
  <c r="D23285" i="2"/>
  <c r="D23286" i="2"/>
  <c r="D23287" i="2"/>
  <c r="D23288" i="2"/>
  <c r="D23289" i="2"/>
  <c r="D23290" i="2"/>
  <c r="D23291" i="2"/>
  <c r="D23292" i="2"/>
  <c r="D23293" i="2"/>
  <c r="D23294" i="2"/>
  <c r="D23295" i="2"/>
  <c r="D23296" i="2"/>
  <c r="D23297" i="2"/>
  <c r="D23298" i="2"/>
  <c r="D23299" i="2"/>
  <c r="D23300" i="2"/>
  <c r="D23301" i="2"/>
  <c r="D23302" i="2"/>
  <c r="D23303" i="2"/>
  <c r="D23304" i="2"/>
  <c r="D23305" i="2"/>
  <c r="D23306" i="2"/>
  <c r="D23307" i="2"/>
  <c r="D23308" i="2"/>
  <c r="D23309" i="2"/>
  <c r="D23310" i="2"/>
  <c r="D23311" i="2"/>
  <c r="D23312" i="2"/>
  <c r="D23313" i="2"/>
  <c r="D23314" i="2"/>
  <c r="D23315" i="2"/>
  <c r="D23316" i="2"/>
  <c r="D23317" i="2"/>
  <c r="D23318" i="2"/>
  <c r="D23319" i="2"/>
  <c r="D23320" i="2"/>
  <c r="D23321" i="2"/>
  <c r="D23322" i="2"/>
  <c r="D23323" i="2"/>
  <c r="D23324" i="2"/>
  <c r="D23325" i="2"/>
  <c r="D23326" i="2"/>
  <c r="D23327" i="2"/>
  <c r="D23328" i="2"/>
  <c r="D23329" i="2"/>
  <c r="D23330" i="2"/>
  <c r="D23331" i="2"/>
  <c r="D23332" i="2"/>
  <c r="D23333" i="2"/>
  <c r="D23334" i="2"/>
  <c r="D23335" i="2"/>
  <c r="D23336" i="2"/>
  <c r="D23337" i="2"/>
  <c r="D23338" i="2"/>
  <c r="D23339" i="2"/>
  <c r="D23340" i="2"/>
  <c r="D23341" i="2"/>
  <c r="D23342" i="2"/>
  <c r="D23343" i="2"/>
  <c r="D23344" i="2"/>
  <c r="D23345" i="2"/>
  <c r="D23346" i="2"/>
  <c r="D23347" i="2"/>
  <c r="D23348" i="2"/>
  <c r="D23349" i="2"/>
  <c r="D23350" i="2"/>
  <c r="D23351" i="2"/>
  <c r="D23352" i="2"/>
  <c r="D23353" i="2"/>
  <c r="D23354" i="2"/>
  <c r="D23355" i="2"/>
  <c r="D23356" i="2"/>
  <c r="D23357" i="2"/>
  <c r="D23358" i="2"/>
  <c r="D23359" i="2"/>
  <c r="D23360" i="2"/>
  <c r="D23361" i="2"/>
  <c r="D23362" i="2"/>
  <c r="D23363" i="2"/>
  <c r="D23364" i="2"/>
  <c r="D23365" i="2"/>
  <c r="D23366" i="2"/>
  <c r="D23367" i="2"/>
  <c r="D23368" i="2"/>
  <c r="D23369" i="2"/>
  <c r="D23370" i="2"/>
  <c r="D23371" i="2"/>
  <c r="D23372" i="2"/>
  <c r="D23373" i="2"/>
  <c r="D23374" i="2"/>
  <c r="D23375" i="2"/>
  <c r="D23376" i="2"/>
  <c r="D23377" i="2"/>
  <c r="D23378" i="2"/>
  <c r="D23379" i="2"/>
  <c r="D23380" i="2"/>
  <c r="D23381" i="2"/>
  <c r="D23382" i="2"/>
  <c r="D23383" i="2"/>
  <c r="D23384" i="2"/>
  <c r="D23385" i="2"/>
  <c r="D23386" i="2"/>
  <c r="D23387" i="2"/>
  <c r="D23388" i="2"/>
  <c r="D23389" i="2"/>
  <c r="D23390" i="2"/>
  <c r="D23391" i="2"/>
  <c r="D23392" i="2"/>
  <c r="D23393" i="2"/>
  <c r="D23394" i="2"/>
  <c r="D23395" i="2"/>
  <c r="D23396" i="2"/>
  <c r="D23397" i="2"/>
  <c r="D23398" i="2"/>
  <c r="D23399" i="2"/>
  <c r="D23400" i="2"/>
  <c r="D23401" i="2"/>
  <c r="D23402" i="2"/>
  <c r="D23403" i="2"/>
  <c r="D23404" i="2"/>
  <c r="D23405" i="2"/>
  <c r="D23406" i="2"/>
  <c r="D23407" i="2"/>
  <c r="D23408" i="2"/>
  <c r="D23409" i="2"/>
  <c r="D23410" i="2"/>
  <c r="D23411" i="2"/>
  <c r="D23412" i="2"/>
  <c r="D23413" i="2"/>
  <c r="D23414" i="2"/>
  <c r="D23415" i="2"/>
  <c r="D23416" i="2"/>
  <c r="D23417" i="2"/>
  <c r="D23418" i="2"/>
  <c r="D23419" i="2"/>
  <c r="D23420" i="2"/>
  <c r="D23421" i="2"/>
  <c r="D23422" i="2"/>
  <c r="D23423" i="2"/>
  <c r="D23424" i="2"/>
  <c r="D23425" i="2"/>
  <c r="D23426" i="2"/>
  <c r="D23427" i="2"/>
  <c r="D23428" i="2"/>
  <c r="D23429" i="2"/>
  <c r="D23430" i="2"/>
  <c r="D23431" i="2"/>
  <c r="D23432" i="2"/>
  <c r="D23433" i="2"/>
  <c r="D23434" i="2"/>
  <c r="D23435" i="2"/>
  <c r="D23436" i="2"/>
  <c r="D23437" i="2"/>
  <c r="D23438" i="2"/>
  <c r="D23439" i="2"/>
  <c r="D23440" i="2"/>
  <c r="D23441" i="2"/>
  <c r="D23442" i="2"/>
  <c r="D23443" i="2"/>
  <c r="D23444" i="2"/>
  <c r="D23445" i="2"/>
  <c r="D23446" i="2"/>
  <c r="D23447" i="2"/>
  <c r="D23448" i="2"/>
  <c r="D23449" i="2"/>
  <c r="D23450" i="2"/>
  <c r="D23451" i="2"/>
  <c r="D23452" i="2"/>
  <c r="D23453" i="2"/>
  <c r="D23454" i="2"/>
  <c r="D23455" i="2"/>
  <c r="D23456" i="2"/>
  <c r="D23457" i="2"/>
  <c r="D23458" i="2"/>
  <c r="D23459" i="2"/>
  <c r="D23460" i="2"/>
  <c r="D23461" i="2"/>
  <c r="D23462" i="2"/>
  <c r="D23463" i="2"/>
  <c r="D23464" i="2"/>
  <c r="D23465" i="2"/>
  <c r="D23466" i="2"/>
  <c r="D23467" i="2"/>
  <c r="D23468" i="2"/>
  <c r="D23469" i="2"/>
  <c r="D23470" i="2"/>
  <c r="D23471" i="2"/>
  <c r="D23472" i="2"/>
  <c r="D23473" i="2"/>
  <c r="D23474" i="2"/>
  <c r="D23475" i="2"/>
  <c r="D23476" i="2"/>
  <c r="D23477" i="2"/>
  <c r="D23478" i="2"/>
  <c r="D23479" i="2"/>
  <c r="D23480" i="2"/>
  <c r="D23481" i="2"/>
  <c r="D23482" i="2"/>
  <c r="D23483" i="2"/>
  <c r="D23484" i="2"/>
  <c r="D23485" i="2"/>
  <c r="D23486" i="2"/>
  <c r="D23487" i="2"/>
  <c r="D23488" i="2"/>
  <c r="D23489" i="2"/>
  <c r="D23490" i="2"/>
  <c r="D23491" i="2"/>
  <c r="D23492" i="2"/>
  <c r="D23493" i="2"/>
  <c r="D23494" i="2"/>
  <c r="D23495" i="2"/>
  <c r="D23496" i="2"/>
  <c r="D23497" i="2"/>
  <c r="D23498" i="2"/>
  <c r="D23499" i="2"/>
  <c r="D23500" i="2"/>
  <c r="D23501" i="2"/>
  <c r="D23502" i="2"/>
  <c r="D23503" i="2"/>
  <c r="D23504" i="2"/>
  <c r="D23505" i="2"/>
  <c r="D23506" i="2"/>
  <c r="D23507" i="2"/>
  <c r="D23508" i="2"/>
  <c r="D23509" i="2"/>
  <c r="D23510" i="2"/>
  <c r="D23511" i="2"/>
  <c r="D23512" i="2"/>
  <c r="D23513" i="2"/>
  <c r="D23514" i="2"/>
  <c r="D23515" i="2"/>
  <c r="D23516" i="2"/>
  <c r="D23517" i="2"/>
  <c r="D23518" i="2"/>
  <c r="D23519" i="2"/>
  <c r="D23520" i="2"/>
  <c r="D23521" i="2"/>
  <c r="D23522" i="2"/>
  <c r="D23523" i="2"/>
  <c r="D23524" i="2"/>
  <c r="D23525" i="2"/>
  <c r="D23526" i="2"/>
  <c r="D23527" i="2"/>
  <c r="D23528" i="2"/>
  <c r="D23529" i="2"/>
  <c r="D23530" i="2"/>
  <c r="D23531" i="2"/>
  <c r="D23532" i="2"/>
  <c r="D23533" i="2"/>
  <c r="D23534" i="2"/>
  <c r="D23535" i="2"/>
  <c r="D23536" i="2"/>
  <c r="D23537" i="2"/>
  <c r="D23538" i="2"/>
  <c r="D23539" i="2"/>
  <c r="D23540" i="2"/>
  <c r="D23541" i="2"/>
  <c r="D23542" i="2"/>
  <c r="D23543" i="2"/>
  <c r="D23544" i="2"/>
  <c r="D23545" i="2"/>
  <c r="D23546" i="2"/>
  <c r="D23547" i="2"/>
  <c r="D23548" i="2"/>
  <c r="D23549" i="2"/>
  <c r="D23550" i="2"/>
  <c r="D23551" i="2"/>
  <c r="D23552" i="2"/>
  <c r="D23553" i="2"/>
  <c r="D23554" i="2"/>
  <c r="D23555" i="2"/>
  <c r="D23556" i="2"/>
  <c r="D23557" i="2"/>
  <c r="D23558" i="2"/>
  <c r="D23559" i="2"/>
  <c r="D23560" i="2"/>
  <c r="D23561" i="2"/>
  <c r="D23562" i="2"/>
  <c r="D23563" i="2"/>
  <c r="D23564" i="2"/>
  <c r="D23565" i="2"/>
  <c r="D23566" i="2"/>
  <c r="D23567" i="2"/>
  <c r="D23568" i="2"/>
  <c r="D23569" i="2"/>
  <c r="D23570" i="2"/>
  <c r="D23571" i="2"/>
  <c r="D23572" i="2"/>
  <c r="D23573" i="2"/>
  <c r="D23574" i="2"/>
  <c r="D23575" i="2"/>
  <c r="D23576" i="2"/>
  <c r="D23577" i="2"/>
  <c r="D23578" i="2"/>
  <c r="D23579" i="2"/>
  <c r="D23580" i="2"/>
  <c r="D23581" i="2"/>
  <c r="D23582" i="2"/>
  <c r="D23583" i="2"/>
  <c r="D23584" i="2"/>
  <c r="D23585" i="2"/>
  <c r="D23586" i="2"/>
  <c r="D23587" i="2"/>
  <c r="D23588" i="2"/>
  <c r="D23589" i="2"/>
  <c r="D23590" i="2"/>
  <c r="D23591" i="2"/>
  <c r="D23592" i="2"/>
  <c r="D23593" i="2"/>
  <c r="D23594" i="2"/>
  <c r="D23595" i="2"/>
  <c r="D23596" i="2"/>
  <c r="D23597" i="2"/>
  <c r="D23598" i="2"/>
  <c r="D23599" i="2"/>
  <c r="D23600" i="2"/>
  <c r="D23601" i="2"/>
  <c r="D23602" i="2"/>
  <c r="D23603" i="2"/>
  <c r="D23604" i="2"/>
  <c r="D23605" i="2"/>
  <c r="D23606" i="2"/>
  <c r="D23607" i="2"/>
  <c r="D23608" i="2"/>
  <c r="D23609" i="2"/>
  <c r="D23610" i="2"/>
  <c r="D23611" i="2"/>
  <c r="D23612" i="2"/>
  <c r="D23613" i="2"/>
  <c r="D23614" i="2"/>
  <c r="D23615" i="2"/>
  <c r="D23616" i="2"/>
  <c r="D23617" i="2"/>
  <c r="D23618" i="2"/>
  <c r="D23619" i="2"/>
  <c r="D23620" i="2"/>
  <c r="D23621" i="2"/>
  <c r="D23622" i="2"/>
  <c r="D23623" i="2"/>
  <c r="D23624" i="2"/>
  <c r="D23625" i="2"/>
  <c r="D23626" i="2"/>
  <c r="D23627" i="2"/>
  <c r="D23628" i="2"/>
  <c r="D23629" i="2"/>
  <c r="D23630" i="2"/>
  <c r="D23631" i="2"/>
  <c r="D23632" i="2"/>
  <c r="D23633" i="2"/>
  <c r="D23634" i="2"/>
  <c r="D23635" i="2"/>
  <c r="D23636" i="2"/>
  <c r="D23637" i="2"/>
  <c r="D23638" i="2"/>
  <c r="D23639" i="2"/>
  <c r="D23640" i="2"/>
  <c r="D23641" i="2"/>
  <c r="D23642" i="2"/>
  <c r="D23643" i="2"/>
  <c r="D23644" i="2"/>
  <c r="D23645" i="2"/>
  <c r="D23646" i="2"/>
  <c r="D23647" i="2"/>
  <c r="D23648" i="2"/>
  <c r="D23649" i="2"/>
  <c r="D23650" i="2"/>
  <c r="D23651" i="2"/>
  <c r="D23652" i="2"/>
  <c r="D23653" i="2"/>
  <c r="D23654" i="2"/>
  <c r="D23655" i="2"/>
  <c r="D23656" i="2"/>
  <c r="D23657" i="2"/>
  <c r="D23658" i="2"/>
  <c r="D23659" i="2"/>
  <c r="D23660" i="2"/>
  <c r="D23661" i="2"/>
  <c r="D23662" i="2"/>
  <c r="D23663" i="2"/>
  <c r="D23664" i="2"/>
  <c r="D23665" i="2"/>
  <c r="D23666" i="2"/>
  <c r="D23667" i="2"/>
  <c r="D23668" i="2"/>
  <c r="D23669" i="2"/>
  <c r="D23670" i="2"/>
  <c r="D23671" i="2"/>
  <c r="D23672" i="2"/>
  <c r="D23673" i="2"/>
  <c r="D23674" i="2"/>
  <c r="D23675" i="2"/>
  <c r="D23676" i="2"/>
  <c r="D23677" i="2"/>
  <c r="D23678" i="2"/>
  <c r="D23679" i="2"/>
  <c r="D23680" i="2"/>
  <c r="D23681" i="2"/>
  <c r="D23682" i="2"/>
  <c r="D23683" i="2"/>
  <c r="D23684" i="2"/>
  <c r="D23685" i="2"/>
  <c r="D23686" i="2"/>
  <c r="D23687" i="2"/>
  <c r="D23688" i="2"/>
  <c r="D23689" i="2"/>
  <c r="D23690" i="2"/>
  <c r="D23691" i="2"/>
  <c r="D23692" i="2"/>
  <c r="D23693" i="2"/>
  <c r="D23694" i="2"/>
  <c r="D23695" i="2"/>
  <c r="D23696" i="2"/>
  <c r="D23697" i="2"/>
  <c r="D23698" i="2"/>
  <c r="D23699" i="2"/>
  <c r="D23700" i="2"/>
  <c r="D23701" i="2"/>
  <c r="D23702" i="2"/>
  <c r="D23703" i="2"/>
  <c r="D23704" i="2"/>
  <c r="D23705" i="2"/>
  <c r="D23706" i="2"/>
  <c r="D23707" i="2"/>
  <c r="D23708" i="2"/>
  <c r="D23709" i="2"/>
  <c r="D23710" i="2"/>
  <c r="D23711" i="2"/>
  <c r="D23712" i="2"/>
  <c r="D23713" i="2"/>
  <c r="D23714" i="2"/>
  <c r="D23715" i="2"/>
  <c r="D23716" i="2"/>
  <c r="D23717" i="2"/>
  <c r="D23718" i="2"/>
  <c r="D23719" i="2"/>
  <c r="D23720" i="2"/>
  <c r="D23721" i="2"/>
  <c r="D23722" i="2"/>
  <c r="D23723" i="2"/>
  <c r="D23724" i="2"/>
  <c r="D23725" i="2"/>
  <c r="D23726" i="2"/>
  <c r="D23727" i="2"/>
  <c r="D23728" i="2"/>
  <c r="D23729" i="2"/>
  <c r="D23730" i="2"/>
  <c r="D23731" i="2"/>
  <c r="D23732" i="2"/>
  <c r="D23733" i="2"/>
  <c r="D23734" i="2"/>
  <c r="D23735" i="2"/>
  <c r="D23736" i="2"/>
  <c r="D23737" i="2"/>
  <c r="D23738" i="2"/>
  <c r="D23739" i="2"/>
  <c r="D23740" i="2"/>
  <c r="D23741" i="2"/>
  <c r="D23742" i="2"/>
  <c r="D23743" i="2"/>
  <c r="D23744" i="2"/>
  <c r="D23745" i="2"/>
  <c r="D23746" i="2"/>
  <c r="D23747" i="2"/>
  <c r="D23748" i="2"/>
  <c r="D23749" i="2"/>
  <c r="D23750" i="2"/>
  <c r="D23751" i="2"/>
  <c r="D23752" i="2"/>
  <c r="D23753" i="2"/>
  <c r="D23754" i="2"/>
  <c r="D23755" i="2"/>
  <c r="D23756" i="2"/>
  <c r="D23757" i="2"/>
  <c r="D23758" i="2"/>
  <c r="D23759" i="2"/>
  <c r="D23760" i="2"/>
  <c r="D23761" i="2"/>
  <c r="D23762" i="2"/>
  <c r="D23763" i="2"/>
  <c r="D23764" i="2"/>
  <c r="D23765" i="2"/>
  <c r="D23766" i="2"/>
  <c r="D23767" i="2"/>
  <c r="D23768" i="2"/>
  <c r="D23769" i="2"/>
  <c r="D23770" i="2"/>
  <c r="D23771" i="2"/>
  <c r="D23772" i="2"/>
  <c r="D23773" i="2"/>
  <c r="D23774" i="2"/>
  <c r="D23775" i="2"/>
  <c r="D23776" i="2"/>
  <c r="D23777" i="2"/>
  <c r="D23778" i="2"/>
  <c r="D23779" i="2"/>
  <c r="D23780" i="2"/>
  <c r="D23781" i="2"/>
  <c r="D23782" i="2"/>
  <c r="D23783" i="2"/>
  <c r="D23784" i="2"/>
  <c r="D23785" i="2"/>
  <c r="D23786" i="2"/>
  <c r="D23787" i="2"/>
  <c r="D23788" i="2"/>
  <c r="D23789" i="2"/>
  <c r="D23790" i="2"/>
  <c r="D23791" i="2"/>
  <c r="D23792" i="2"/>
  <c r="D23793" i="2"/>
  <c r="D23794" i="2"/>
  <c r="D23795" i="2"/>
  <c r="D23796" i="2"/>
  <c r="D23797" i="2"/>
  <c r="D23798" i="2"/>
  <c r="D23799" i="2"/>
  <c r="D23800" i="2"/>
  <c r="D23801" i="2"/>
  <c r="D23802" i="2"/>
  <c r="D23803" i="2"/>
  <c r="D23804" i="2"/>
  <c r="D23805" i="2"/>
  <c r="D23806" i="2"/>
  <c r="D23807" i="2"/>
  <c r="D23808" i="2"/>
  <c r="D23809" i="2"/>
  <c r="D23810" i="2"/>
  <c r="D23811" i="2"/>
  <c r="D23812" i="2"/>
  <c r="D23813" i="2"/>
  <c r="D23814" i="2"/>
  <c r="D23815" i="2"/>
  <c r="D23816" i="2"/>
  <c r="D23817" i="2"/>
  <c r="D23818" i="2"/>
  <c r="D23819" i="2"/>
  <c r="D23820" i="2"/>
  <c r="D23821" i="2"/>
  <c r="D23822" i="2"/>
  <c r="D23823" i="2"/>
  <c r="D23824" i="2"/>
  <c r="D23825" i="2"/>
  <c r="D23826" i="2"/>
  <c r="D23827" i="2"/>
  <c r="D23828" i="2"/>
  <c r="D23829" i="2"/>
  <c r="D23830" i="2"/>
  <c r="D23831" i="2"/>
  <c r="D23832" i="2"/>
  <c r="D23833" i="2"/>
  <c r="D23834" i="2"/>
  <c r="D23835" i="2"/>
  <c r="D23836" i="2"/>
  <c r="D23837" i="2"/>
  <c r="D23838" i="2"/>
  <c r="D23839" i="2"/>
  <c r="D23840" i="2"/>
  <c r="D23841" i="2"/>
  <c r="D23842" i="2"/>
  <c r="D23843" i="2"/>
  <c r="D23844" i="2"/>
  <c r="D23845" i="2"/>
  <c r="D23846" i="2"/>
  <c r="D23847" i="2"/>
  <c r="D23848" i="2"/>
  <c r="D23849" i="2"/>
  <c r="D23850" i="2"/>
  <c r="D23851" i="2"/>
  <c r="D23852" i="2"/>
  <c r="D23853" i="2"/>
  <c r="D23854" i="2"/>
  <c r="D23855" i="2"/>
  <c r="D23856" i="2"/>
  <c r="D23857" i="2"/>
  <c r="D23858" i="2"/>
  <c r="D23859" i="2"/>
  <c r="D23860" i="2"/>
  <c r="D23861" i="2"/>
  <c r="D23862" i="2"/>
  <c r="D23863" i="2"/>
  <c r="D23864" i="2"/>
  <c r="D23865" i="2"/>
  <c r="D23866" i="2"/>
  <c r="D23867" i="2"/>
  <c r="D23868" i="2"/>
  <c r="D23869" i="2"/>
  <c r="D23870" i="2"/>
  <c r="D23871" i="2"/>
  <c r="D23872" i="2"/>
  <c r="D23873" i="2"/>
  <c r="D23874" i="2"/>
  <c r="D23875" i="2"/>
  <c r="D23876" i="2"/>
  <c r="D23877" i="2"/>
  <c r="D23878" i="2"/>
  <c r="D23879" i="2"/>
  <c r="D23880" i="2"/>
  <c r="D23881" i="2"/>
  <c r="D23882" i="2"/>
  <c r="D23883" i="2"/>
  <c r="D23884" i="2"/>
  <c r="D23885" i="2"/>
  <c r="D23886" i="2"/>
  <c r="D23887" i="2"/>
  <c r="D23888" i="2"/>
  <c r="D23889" i="2"/>
  <c r="D23890" i="2"/>
  <c r="D23891" i="2"/>
  <c r="D23892" i="2"/>
  <c r="D23893" i="2"/>
  <c r="D23894" i="2"/>
  <c r="D23895" i="2"/>
  <c r="D23896" i="2"/>
  <c r="D23897" i="2"/>
  <c r="D23898" i="2"/>
  <c r="D23899" i="2"/>
  <c r="D23900" i="2"/>
  <c r="D23901" i="2"/>
  <c r="D23902" i="2"/>
  <c r="D23903" i="2"/>
  <c r="D23904" i="2"/>
  <c r="D23905" i="2"/>
  <c r="D23906" i="2"/>
  <c r="D23907" i="2"/>
  <c r="D23908" i="2"/>
  <c r="D23909" i="2"/>
  <c r="D23910" i="2"/>
  <c r="D23911" i="2"/>
  <c r="D23912" i="2"/>
  <c r="D23913" i="2"/>
  <c r="D23914" i="2"/>
  <c r="D23915" i="2"/>
  <c r="D23916" i="2"/>
  <c r="D23917" i="2"/>
  <c r="D23918" i="2"/>
  <c r="D23919" i="2"/>
  <c r="D23920" i="2"/>
  <c r="D23921" i="2"/>
  <c r="D23922" i="2"/>
  <c r="D23923" i="2"/>
  <c r="D23924" i="2"/>
  <c r="D23925" i="2"/>
  <c r="D23926" i="2"/>
  <c r="D23927" i="2"/>
  <c r="D23928" i="2"/>
  <c r="D23929" i="2"/>
  <c r="D23930" i="2"/>
  <c r="D23931" i="2"/>
  <c r="D23932" i="2"/>
  <c r="D23933" i="2"/>
  <c r="D23934" i="2"/>
  <c r="D23935" i="2"/>
  <c r="D23936" i="2"/>
  <c r="D23937" i="2"/>
  <c r="D23938" i="2"/>
  <c r="D23939" i="2"/>
  <c r="D23940" i="2"/>
  <c r="D23941" i="2"/>
  <c r="D23942" i="2"/>
  <c r="D23943" i="2"/>
  <c r="D23944" i="2"/>
  <c r="D23945" i="2"/>
  <c r="D23946" i="2"/>
  <c r="D23947" i="2"/>
  <c r="D23948" i="2"/>
  <c r="D23949" i="2"/>
  <c r="D23950" i="2"/>
  <c r="D23951" i="2"/>
  <c r="D23952" i="2"/>
  <c r="D23953" i="2"/>
  <c r="D23954" i="2"/>
  <c r="D23955" i="2"/>
  <c r="D23956" i="2"/>
  <c r="D23957" i="2"/>
  <c r="D23958" i="2"/>
  <c r="D23959" i="2"/>
  <c r="D23960" i="2"/>
  <c r="D23961" i="2"/>
  <c r="D23962" i="2"/>
  <c r="D23963" i="2"/>
  <c r="D23964" i="2"/>
  <c r="D23965" i="2"/>
  <c r="D23966" i="2"/>
  <c r="D23967" i="2"/>
  <c r="D23968" i="2"/>
  <c r="D23969" i="2"/>
  <c r="D23970" i="2"/>
  <c r="D23971" i="2"/>
  <c r="D23972" i="2"/>
  <c r="D23973" i="2"/>
  <c r="D23974" i="2"/>
  <c r="D23975" i="2"/>
  <c r="D23976" i="2"/>
  <c r="D23977" i="2"/>
  <c r="D23978" i="2"/>
  <c r="D23979" i="2"/>
  <c r="D23980" i="2"/>
  <c r="D23981" i="2"/>
  <c r="D23982" i="2"/>
  <c r="D23983" i="2"/>
  <c r="D23984" i="2"/>
  <c r="D23985" i="2"/>
  <c r="D23986" i="2"/>
  <c r="D23987" i="2"/>
  <c r="D23988" i="2"/>
  <c r="D23989" i="2"/>
  <c r="D23990" i="2"/>
  <c r="D23991" i="2"/>
  <c r="D23992" i="2"/>
  <c r="D23993" i="2"/>
  <c r="D23994" i="2"/>
  <c r="D23995" i="2"/>
  <c r="D23996" i="2"/>
  <c r="D23997" i="2"/>
  <c r="D23998" i="2"/>
  <c r="D23999" i="2"/>
  <c r="D24000" i="2"/>
  <c r="D24001" i="2"/>
  <c r="D24002" i="2"/>
  <c r="D24003" i="2"/>
  <c r="D24004" i="2"/>
  <c r="D24005" i="2"/>
  <c r="D24006" i="2"/>
  <c r="D24007" i="2"/>
  <c r="D24008" i="2"/>
  <c r="D24009" i="2"/>
  <c r="D24010" i="2"/>
  <c r="D24011" i="2"/>
  <c r="D24012" i="2"/>
  <c r="D24013" i="2"/>
  <c r="D24014" i="2"/>
  <c r="D24015" i="2"/>
  <c r="D24016" i="2"/>
  <c r="D24017" i="2"/>
  <c r="D24018" i="2"/>
  <c r="D24019" i="2"/>
  <c r="D24020" i="2"/>
  <c r="D24021" i="2"/>
  <c r="D24022" i="2"/>
  <c r="D24023" i="2"/>
  <c r="D24024" i="2"/>
  <c r="D24025" i="2"/>
  <c r="D24026" i="2"/>
  <c r="D24027" i="2"/>
  <c r="D24028" i="2"/>
  <c r="D24029" i="2"/>
  <c r="D24030" i="2"/>
  <c r="D24031" i="2"/>
  <c r="D24032" i="2"/>
  <c r="D24033" i="2"/>
  <c r="D24034" i="2"/>
  <c r="D24035" i="2"/>
  <c r="D24036" i="2"/>
  <c r="D24037" i="2"/>
  <c r="D24038" i="2"/>
  <c r="D24039" i="2"/>
  <c r="D24040" i="2"/>
  <c r="D24041" i="2"/>
  <c r="D24042" i="2"/>
  <c r="D24043" i="2"/>
  <c r="D24044" i="2"/>
  <c r="D24045" i="2"/>
  <c r="D24046" i="2"/>
  <c r="D24047" i="2"/>
  <c r="D24048" i="2"/>
  <c r="D24049" i="2"/>
  <c r="D24050" i="2"/>
  <c r="D24051" i="2"/>
  <c r="D24052" i="2"/>
  <c r="D24053" i="2"/>
  <c r="D24054" i="2"/>
  <c r="D24055" i="2"/>
  <c r="D24056" i="2"/>
  <c r="D24057" i="2"/>
  <c r="D24058" i="2"/>
  <c r="D24059" i="2"/>
  <c r="D24060" i="2"/>
  <c r="D24061" i="2"/>
  <c r="D24062" i="2"/>
  <c r="D24063" i="2"/>
  <c r="D24064" i="2"/>
  <c r="D24065" i="2"/>
  <c r="D24066" i="2"/>
  <c r="D24067" i="2"/>
  <c r="D24068" i="2"/>
  <c r="D24069" i="2"/>
  <c r="D24070" i="2"/>
  <c r="D24071" i="2"/>
  <c r="D24072" i="2"/>
  <c r="D24073" i="2"/>
  <c r="D24074" i="2"/>
  <c r="D24075" i="2"/>
  <c r="D24076" i="2"/>
  <c r="D24077" i="2"/>
  <c r="D24078" i="2"/>
  <c r="D24079" i="2"/>
  <c r="D24080" i="2"/>
  <c r="D24081" i="2"/>
  <c r="D24082" i="2"/>
  <c r="D24083" i="2"/>
  <c r="D24084" i="2"/>
  <c r="D24085" i="2"/>
  <c r="D24086" i="2"/>
  <c r="D24087" i="2"/>
  <c r="D24088" i="2"/>
  <c r="D24089" i="2"/>
  <c r="D24090" i="2"/>
  <c r="D24091" i="2"/>
  <c r="D24092" i="2"/>
  <c r="D24093" i="2"/>
  <c r="D24094" i="2"/>
  <c r="D24095" i="2"/>
  <c r="D24096" i="2"/>
  <c r="D24097" i="2"/>
  <c r="D24098" i="2"/>
  <c r="D24099" i="2"/>
  <c r="D24100" i="2"/>
  <c r="D24101" i="2"/>
  <c r="D24102" i="2"/>
  <c r="D24103" i="2"/>
  <c r="D24104" i="2"/>
  <c r="D24105" i="2"/>
  <c r="D24106" i="2"/>
  <c r="D24107" i="2"/>
  <c r="D24108" i="2"/>
  <c r="D24109" i="2"/>
  <c r="D24110" i="2"/>
  <c r="D24111" i="2"/>
  <c r="D24112" i="2"/>
  <c r="D24113" i="2"/>
  <c r="D24114" i="2"/>
  <c r="D24115" i="2"/>
  <c r="D24116" i="2"/>
  <c r="D24117" i="2"/>
  <c r="D24118" i="2"/>
  <c r="D24119" i="2"/>
  <c r="D24120" i="2"/>
  <c r="D24121" i="2"/>
  <c r="D24122" i="2"/>
  <c r="D24123" i="2"/>
  <c r="D24124" i="2"/>
  <c r="D24125" i="2"/>
  <c r="D24126" i="2"/>
  <c r="D24127" i="2"/>
  <c r="D24128" i="2"/>
  <c r="D24129" i="2"/>
  <c r="D24130" i="2"/>
  <c r="D24131" i="2"/>
  <c r="D24132" i="2"/>
  <c r="D24133" i="2"/>
  <c r="D24134" i="2"/>
  <c r="D24135" i="2"/>
  <c r="D24136" i="2"/>
  <c r="D24137" i="2"/>
  <c r="D24138" i="2"/>
  <c r="D24139" i="2"/>
  <c r="D24140" i="2"/>
  <c r="D24141" i="2"/>
  <c r="D24142" i="2"/>
  <c r="D24143" i="2"/>
  <c r="D24144" i="2"/>
  <c r="D24145" i="2"/>
  <c r="D24146" i="2"/>
  <c r="D24147" i="2"/>
  <c r="D24148" i="2"/>
  <c r="D24149" i="2"/>
  <c r="D24150" i="2"/>
  <c r="D24151" i="2"/>
  <c r="D24152" i="2"/>
  <c r="D24153" i="2"/>
  <c r="D24154" i="2"/>
  <c r="D24155" i="2"/>
  <c r="D24156" i="2"/>
  <c r="D24157" i="2"/>
  <c r="D24158" i="2"/>
  <c r="D24159" i="2"/>
  <c r="D24160" i="2"/>
  <c r="D24161" i="2"/>
  <c r="D24162" i="2"/>
  <c r="D24163" i="2"/>
  <c r="D24164" i="2"/>
  <c r="D24165" i="2"/>
  <c r="D24166" i="2"/>
  <c r="D24167" i="2"/>
  <c r="D24168" i="2"/>
  <c r="D24169" i="2"/>
  <c r="D24170" i="2"/>
  <c r="D24171" i="2"/>
  <c r="D24172" i="2"/>
  <c r="D24173" i="2"/>
  <c r="D24174" i="2"/>
  <c r="D24175" i="2"/>
  <c r="D24176" i="2"/>
  <c r="D24177" i="2"/>
  <c r="D24178" i="2"/>
  <c r="D24179" i="2"/>
  <c r="D24180" i="2"/>
  <c r="D24181" i="2"/>
  <c r="D24182" i="2"/>
  <c r="D24183" i="2"/>
  <c r="D24184" i="2"/>
  <c r="D24185" i="2"/>
  <c r="D24186" i="2"/>
  <c r="D24187" i="2"/>
  <c r="D24188" i="2"/>
  <c r="D24189" i="2"/>
  <c r="D24190" i="2"/>
  <c r="D24191" i="2"/>
  <c r="D24192" i="2"/>
  <c r="D24193" i="2"/>
  <c r="D24194" i="2"/>
  <c r="D24195" i="2"/>
  <c r="D24196" i="2"/>
  <c r="D24197" i="2"/>
  <c r="D24198" i="2"/>
  <c r="D24199" i="2"/>
  <c r="D24200" i="2"/>
  <c r="D24201" i="2"/>
  <c r="D24202" i="2"/>
  <c r="D24203" i="2"/>
  <c r="D24204" i="2"/>
  <c r="D24205" i="2"/>
  <c r="D24206" i="2"/>
  <c r="D24207" i="2"/>
  <c r="D24208" i="2"/>
  <c r="D24209" i="2"/>
  <c r="D24210" i="2"/>
  <c r="D24211" i="2"/>
  <c r="D24212" i="2"/>
  <c r="D24213" i="2"/>
  <c r="D24214" i="2"/>
  <c r="D24215" i="2"/>
  <c r="D24216" i="2"/>
  <c r="D24217" i="2"/>
  <c r="D24218" i="2"/>
  <c r="D24219" i="2"/>
  <c r="D24220" i="2"/>
  <c r="D24221" i="2"/>
  <c r="D24222" i="2"/>
  <c r="D24223" i="2"/>
  <c r="D24224" i="2"/>
  <c r="D24225" i="2"/>
  <c r="D24226" i="2"/>
  <c r="D24227" i="2"/>
  <c r="D24228" i="2"/>
  <c r="D24229" i="2"/>
  <c r="D24230" i="2"/>
  <c r="D24231" i="2"/>
  <c r="D24232" i="2"/>
  <c r="D24233" i="2"/>
  <c r="D24234" i="2"/>
  <c r="D24235" i="2"/>
  <c r="D24236" i="2"/>
  <c r="D24237" i="2"/>
  <c r="D24238" i="2"/>
  <c r="D24239" i="2"/>
  <c r="D24240" i="2"/>
  <c r="D24241" i="2"/>
  <c r="D24242" i="2"/>
  <c r="D24243" i="2"/>
  <c r="D24244" i="2"/>
  <c r="D24245" i="2"/>
  <c r="D24246" i="2"/>
  <c r="D24247" i="2"/>
  <c r="D24248" i="2"/>
  <c r="D24249" i="2"/>
  <c r="D24250" i="2"/>
  <c r="D24251" i="2"/>
  <c r="D24252" i="2"/>
  <c r="D24253" i="2"/>
  <c r="D24254" i="2"/>
  <c r="D24255" i="2"/>
  <c r="D24256" i="2"/>
  <c r="D24257" i="2"/>
  <c r="D24258" i="2"/>
  <c r="D24259" i="2"/>
  <c r="D24260" i="2"/>
  <c r="D24261" i="2"/>
  <c r="D24262" i="2"/>
  <c r="D24263" i="2"/>
  <c r="D24264" i="2"/>
  <c r="D24265" i="2"/>
  <c r="D24266" i="2"/>
  <c r="D24267" i="2"/>
  <c r="D24268" i="2"/>
  <c r="D24269" i="2"/>
  <c r="D24270" i="2"/>
  <c r="D24271" i="2"/>
  <c r="D24272" i="2"/>
  <c r="D24273" i="2"/>
  <c r="D24274" i="2"/>
  <c r="D24275" i="2"/>
  <c r="D24276" i="2"/>
  <c r="D24277" i="2"/>
  <c r="D24278" i="2"/>
  <c r="D24279" i="2"/>
  <c r="D24280" i="2"/>
  <c r="D24281" i="2"/>
  <c r="D24282" i="2"/>
  <c r="D24283" i="2"/>
  <c r="D24284" i="2"/>
  <c r="D24285" i="2"/>
  <c r="D24286" i="2"/>
  <c r="D24287" i="2"/>
  <c r="D24288" i="2"/>
  <c r="D24289" i="2"/>
  <c r="D24290" i="2"/>
  <c r="D24291" i="2"/>
  <c r="D24292" i="2"/>
  <c r="D24293" i="2"/>
  <c r="D24294" i="2"/>
  <c r="D24295" i="2"/>
  <c r="D24296" i="2"/>
  <c r="D24297" i="2"/>
  <c r="D24298" i="2"/>
  <c r="D24299" i="2"/>
  <c r="D24300" i="2"/>
  <c r="D24301" i="2"/>
  <c r="D24302" i="2"/>
  <c r="D24303" i="2"/>
  <c r="D24304" i="2"/>
  <c r="D24305" i="2"/>
  <c r="D24306" i="2"/>
  <c r="D24307" i="2"/>
  <c r="D24308" i="2"/>
  <c r="D24309" i="2"/>
  <c r="D24310" i="2"/>
  <c r="D24311" i="2"/>
  <c r="D24312" i="2"/>
  <c r="D24313" i="2"/>
  <c r="D24314" i="2"/>
  <c r="D24315" i="2"/>
  <c r="D24316" i="2"/>
  <c r="D24317" i="2"/>
  <c r="D24318" i="2"/>
  <c r="D24319" i="2"/>
  <c r="D24320" i="2"/>
  <c r="D24321" i="2"/>
  <c r="D24322" i="2"/>
  <c r="D24323" i="2"/>
  <c r="D24324" i="2"/>
  <c r="D24325" i="2"/>
  <c r="D24326" i="2"/>
  <c r="D24327" i="2"/>
  <c r="D24328" i="2"/>
  <c r="D24329" i="2"/>
  <c r="D24330" i="2"/>
  <c r="D24331" i="2"/>
  <c r="D24332" i="2"/>
  <c r="D24333" i="2"/>
  <c r="D24334" i="2"/>
  <c r="D24335" i="2"/>
  <c r="D24336" i="2"/>
  <c r="D24337" i="2"/>
  <c r="D24338" i="2"/>
  <c r="D24339" i="2"/>
  <c r="D24340" i="2"/>
  <c r="D24341" i="2"/>
  <c r="D24342" i="2"/>
  <c r="D24343" i="2"/>
  <c r="D24344" i="2"/>
  <c r="D24345" i="2"/>
  <c r="D24346" i="2"/>
  <c r="D24347" i="2"/>
  <c r="D24348" i="2"/>
  <c r="D24349" i="2"/>
  <c r="D24350" i="2"/>
  <c r="D24351" i="2"/>
  <c r="D24352" i="2"/>
  <c r="D24353" i="2"/>
  <c r="D24354" i="2"/>
  <c r="D24355" i="2"/>
  <c r="D24356" i="2"/>
  <c r="D24357" i="2"/>
  <c r="D24358" i="2"/>
  <c r="D24359" i="2"/>
  <c r="D24360" i="2"/>
  <c r="D24361" i="2"/>
  <c r="D24362" i="2"/>
  <c r="D24363" i="2"/>
  <c r="D24364" i="2"/>
  <c r="D24365" i="2"/>
  <c r="D24366" i="2"/>
  <c r="D24367" i="2"/>
  <c r="D24368" i="2"/>
  <c r="D24369" i="2"/>
  <c r="D24370" i="2"/>
  <c r="D24371" i="2"/>
  <c r="D24372" i="2"/>
  <c r="D24373" i="2"/>
  <c r="D24374" i="2"/>
  <c r="D24375" i="2"/>
  <c r="D24376" i="2"/>
  <c r="D24377" i="2"/>
  <c r="D24378" i="2"/>
  <c r="D24379" i="2"/>
  <c r="D24380" i="2"/>
  <c r="D24381" i="2"/>
  <c r="D24382" i="2"/>
  <c r="D24383" i="2"/>
  <c r="D24384" i="2"/>
  <c r="D24385" i="2"/>
  <c r="D24386" i="2"/>
  <c r="D24387" i="2"/>
  <c r="D24388" i="2"/>
  <c r="D24389" i="2"/>
  <c r="D24390" i="2"/>
  <c r="D24391" i="2"/>
  <c r="D24392" i="2"/>
  <c r="D24393" i="2"/>
  <c r="D24394" i="2"/>
  <c r="D24395" i="2"/>
  <c r="D24396" i="2"/>
  <c r="D24397" i="2"/>
  <c r="D24398" i="2"/>
  <c r="D24399" i="2"/>
  <c r="D24400" i="2"/>
  <c r="D24401" i="2"/>
  <c r="D24402" i="2"/>
  <c r="D24403" i="2"/>
  <c r="D24404" i="2"/>
  <c r="D24405" i="2"/>
  <c r="D24406" i="2"/>
  <c r="D24407" i="2"/>
  <c r="D24408" i="2"/>
  <c r="D24409" i="2"/>
  <c r="D24410" i="2"/>
  <c r="D24411" i="2"/>
  <c r="D24412" i="2"/>
  <c r="D24413" i="2"/>
  <c r="D24414" i="2"/>
  <c r="D24415" i="2"/>
  <c r="D24416" i="2"/>
  <c r="D24417" i="2"/>
  <c r="D24418" i="2"/>
  <c r="D24419" i="2"/>
  <c r="D24420" i="2"/>
  <c r="D24421" i="2"/>
  <c r="D24422" i="2"/>
  <c r="D24423" i="2"/>
  <c r="D24424" i="2"/>
  <c r="D24425" i="2"/>
  <c r="D24426" i="2"/>
  <c r="D24427" i="2"/>
  <c r="D24428" i="2"/>
  <c r="D24429" i="2"/>
  <c r="D24430" i="2"/>
  <c r="D24431" i="2"/>
  <c r="D24432" i="2"/>
  <c r="D24433" i="2"/>
  <c r="D24434" i="2"/>
  <c r="D24435" i="2"/>
  <c r="D24436" i="2"/>
  <c r="D24437" i="2"/>
  <c r="D24438" i="2"/>
  <c r="D24439" i="2"/>
  <c r="D24440" i="2"/>
  <c r="D24441" i="2"/>
  <c r="D24442" i="2"/>
  <c r="D24443" i="2"/>
  <c r="D24444" i="2"/>
  <c r="D24445" i="2"/>
  <c r="D24446" i="2"/>
  <c r="D24447" i="2"/>
  <c r="D24448" i="2"/>
  <c r="D24449" i="2"/>
  <c r="D24450" i="2"/>
  <c r="D24451" i="2"/>
  <c r="D24452" i="2"/>
  <c r="D24453" i="2"/>
  <c r="D24454" i="2"/>
  <c r="D24455" i="2"/>
  <c r="D24456" i="2"/>
  <c r="D24457" i="2"/>
  <c r="D24458" i="2"/>
  <c r="D24459" i="2"/>
  <c r="D24460" i="2"/>
  <c r="D24461" i="2"/>
  <c r="D24462" i="2"/>
  <c r="D24463" i="2"/>
  <c r="D24464" i="2"/>
  <c r="D24465" i="2"/>
  <c r="D24466" i="2"/>
  <c r="D24467" i="2"/>
  <c r="D24468" i="2"/>
  <c r="D24469" i="2"/>
  <c r="D24470" i="2"/>
  <c r="D24471" i="2"/>
  <c r="D24472" i="2"/>
  <c r="D24473" i="2"/>
  <c r="D24474" i="2"/>
  <c r="D24475" i="2"/>
  <c r="D24476" i="2"/>
  <c r="D24477" i="2"/>
  <c r="D24478" i="2"/>
  <c r="D24479" i="2"/>
  <c r="D24480" i="2"/>
  <c r="D24481" i="2"/>
  <c r="D24482" i="2"/>
  <c r="D24483" i="2"/>
  <c r="D24484" i="2"/>
  <c r="D24485" i="2"/>
  <c r="D24486" i="2"/>
  <c r="D24487" i="2"/>
  <c r="D24488" i="2"/>
  <c r="D24489" i="2"/>
  <c r="D24490" i="2"/>
  <c r="D24491" i="2"/>
  <c r="D24492" i="2"/>
  <c r="D24493" i="2"/>
  <c r="D24494" i="2"/>
  <c r="D24495" i="2"/>
  <c r="D24496" i="2"/>
  <c r="D24497" i="2"/>
  <c r="D24498" i="2"/>
  <c r="D24499" i="2"/>
  <c r="D24500" i="2"/>
  <c r="D24501" i="2"/>
  <c r="D24502" i="2"/>
  <c r="D24503" i="2"/>
  <c r="D24504" i="2"/>
  <c r="D24505" i="2"/>
  <c r="D24506" i="2"/>
  <c r="D24507" i="2"/>
  <c r="D24508" i="2"/>
  <c r="D24509" i="2"/>
  <c r="D24510" i="2"/>
  <c r="D24511" i="2"/>
  <c r="D24512" i="2"/>
  <c r="D24513" i="2"/>
  <c r="D24514" i="2"/>
  <c r="D24515" i="2"/>
  <c r="D24516" i="2"/>
  <c r="D24517" i="2"/>
  <c r="D24518" i="2"/>
  <c r="D24519" i="2"/>
  <c r="D24520" i="2"/>
  <c r="D24521" i="2"/>
  <c r="D24522" i="2"/>
  <c r="D24523" i="2"/>
  <c r="D24524" i="2"/>
  <c r="D24525" i="2"/>
  <c r="D24526" i="2"/>
  <c r="D24527" i="2"/>
  <c r="D24528" i="2"/>
  <c r="D24529" i="2"/>
  <c r="D24530" i="2"/>
  <c r="D24531" i="2"/>
  <c r="D24532" i="2"/>
  <c r="D24533" i="2"/>
  <c r="D24534" i="2"/>
  <c r="D24535" i="2"/>
  <c r="D24536" i="2"/>
  <c r="D24537" i="2"/>
  <c r="D24538" i="2"/>
  <c r="D24539" i="2"/>
  <c r="D24540" i="2"/>
  <c r="D24541" i="2"/>
  <c r="D24542" i="2"/>
  <c r="D24543" i="2"/>
  <c r="D24544" i="2"/>
  <c r="D24545" i="2"/>
  <c r="D24546" i="2"/>
  <c r="D24547" i="2"/>
  <c r="D24548" i="2"/>
  <c r="D24549" i="2"/>
  <c r="D24550" i="2"/>
  <c r="D24551" i="2"/>
  <c r="D24552" i="2"/>
  <c r="D24553" i="2"/>
  <c r="D24554" i="2"/>
  <c r="D24555" i="2"/>
  <c r="D24556" i="2"/>
  <c r="D24557" i="2"/>
  <c r="D24558" i="2"/>
  <c r="D24559" i="2"/>
  <c r="D24560" i="2"/>
  <c r="D24561" i="2"/>
  <c r="D24562" i="2"/>
  <c r="D24563" i="2"/>
  <c r="D24564" i="2"/>
  <c r="D24565" i="2"/>
  <c r="D24566" i="2"/>
  <c r="D24567" i="2"/>
  <c r="D24568" i="2"/>
  <c r="D24569" i="2"/>
  <c r="D24570" i="2"/>
  <c r="D24571" i="2"/>
  <c r="D24572" i="2"/>
  <c r="D24573" i="2"/>
  <c r="D24574" i="2"/>
  <c r="D24575" i="2"/>
  <c r="D24576" i="2"/>
  <c r="D24577" i="2"/>
  <c r="D24578" i="2"/>
  <c r="D24579" i="2"/>
  <c r="D24580" i="2"/>
  <c r="D24581" i="2"/>
  <c r="D24582" i="2"/>
  <c r="D24583" i="2"/>
  <c r="D24584" i="2"/>
  <c r="D24585" i="2"/>
  <c r="D24586" i="2"/>
  <c r="D24587" i="2"/>
  <c r="D24588" i="2"/>
  <c r="D24589" i="2"/>
  <c r="D24590" i="2"/>
  <c r="D24591" i="2"/>
  <c r="D24592" i="2"/>
  <c r="D24593" i="2"/>
  <c r="D24594" i="2"/>
  <c r="D24595" i="2"/>
  <c r="D24596" i="2"/>
  <c r="D24597" i="2"/>
  <c r="D24598" i="2"/>
  <c r="D24599" i="2"/>
  <c r="D24600" i="2"/>
  <c r="D24601" i="2"/>
  <c r="D24602" i="2"/>
  <c r="D24603" i="2"/>
  <c r="D24604" i="2"/>
  <c r="D24605" i="2"/>
  <c r="D24606" i="2"/>
  <c r="D24607" i="2"/>
  <c r="D24608" i="2"/>
  <c r="D24609" i="2"/>
  <c r="D24610" i="2"/>
  <c r="D24611" i="2"/>
  <c r="D24612" i="2"/>
  <c r="D24613" i="2"/>
  <c r="D24614" i="2"/>
  <c r="D24615" i="2"/>
  <c r="D24616" i="2"/>
  <c r="D24617" i="2"/>
  <c r="D24618" i="2"/>
  <c r="D24619" i="2"/>
  <c r="D24620" i="2"/>
  <c r="D24621" i="2"/>
  <c r="D24622" i="2"/>
  <c r="D24623" i="2"/>
  <c r="D24624" i="2"/>
  <c r="D24625" i="2"/>
  <c r="D24626" i="2"/>
  <c r="D24627" i="2"/>
  <c r="D24628" i="2"/>
  <c r="D24629" i="2"/>
  <c r="D24630" i="2"/>
  <c r="D24631" i="2"/>
  <c r="D24632" i="2"/>
  <c r="D24633" i="2"/>
  <c r="D24634" i="2"/>
  <c r="D24635" i="2"/>
  <c r="D24636" i="2"/>
  <c r="D24637" i="2"/>
  <c r="D24638" i="2"/>
  <c r="D24639" i="2"/>
  <c r="D24640" i="2"/>
  <c r="D24641" i="2"/>
  <c r="D24642" i="2"/>
  <c r="D24643" i="2"/>
  <c r="D24644" i="2"/>
  <c r="D24645" i="2"/>
  <c r="D24646" i="2"/>
  <c r="D24647" i="2"/>
  <c r="D24648" i="2"/>
  <c r="D24649" i="2"/>
  <c r="D24650" i="2"/>
  <c r="D24651" i="2"/>
  <c r="D24652" i="2"/>
  <c r="D24653" i="2"/>
  <c r="D24654" i="2"/>
  <c r="D24655" i="2"/>
  <c r="D24656" i="2"/>
  <c r="D24657" i="2"/>
  <c r="D24658" i="2"/>
  <c r="D24659" i="2"/>
  <c r="D24660" i="2"/>
  <c r="D24661" i="2"/>
  <c r="D24662" i="2"/>
  <c r="D24663" i="2"/>
  <c r="D24664" i="2"/>
  <c r="D24665" i="2"/>
  <c r="D24666" i="2"/>
  <c r="D24667" i="2"/>
  <c r="D24668" i="2"/>
  <c r="D24669" i="2"/>
  <c r="D24670" i="2"/>
  <c r="D24671" i="2"/>
  <c r="D24672" i="2"/>
  <c r="D24673" i="2"/>
  <c r="D24674" i="2"/>
  <c r="D24675" i="2"/>
  <c r="D24676" i="2"/>
  <c r="D24677" i="2"/>
  <c r="D24678" i="2"/>
  <c r="D24679" i="2"/>
  <c r="D24680" i="2"/>
  <c r="D24681" i="2"/>
  <c r="D24682" i="2"/>
  <c r="D24683" i="2"/>
  <c r="D24684" i="2"/>
  <c r="D24685" i="2"/>
  <c r="D24686" i="2"/>
  <c r="D24687" i="2"/>
  <c r="D24688" i="2"/>
  <c r="D24689" i="2"/>
  <c r="D24690" i="2"/>
  <c r="D24691" i="2"/>
  <c r="D24692" i="2"/>
  <c r="D24693" i="2"/>
  <c r="D24694" i="2"/>
  <c r="D24695" i="2"/>
  <c r="D24696" i="2"/>
  <c r="D24697" i="2"/>
  <c r="D24698" i="2"/>
  <c r="D24699" i="2"/>
  <c r="D24700" i="2"/>
  <c r="D24701" i="2"/>
  <c r="D24702" i="2"/>
  <c r="D24703" i="2"/>
  <c r="D24704" i="2"/>
  <c r="D24705" i="2"/>
  <c r="D24706" i="2"/>
  <c r="D24707" i="2"/>
  <c r="D24708" i="2"/>
  <c r="D24709" i="2"/>
  <c r="D24710" i="2"/>
  <c r="D24711" i="2"/>
  <c r="D24712" i="2"/>
  <c r="D24713" i="2"/>
  <c r="D24714" i="2"/>
  <c r="D24715" i="2"/>
  <c r="D24716" i="2"/>
  <c r="D24717" i="2"/>
  <c r="D24718" i="2"/>
  <c r="D24719" i="2"/>
  <c r="D24720" i="2"/>
  <c r="D24721" i="2"/>
  <c r="D24722" i="2"/>
  <c r="D24723" i="2"/>
  <c r="D24724" i="2"/>
  <c r="D24725" i="2"/>
  <c r="D24726" i="2"/>
  <c r="D24727" i="2"/>
  <c r="D24728" i="2"/>
  <c r="D24729" i="2"/>
  <c r="D24730" i="2"/>
  <c r="D24731" i="2"/>
  <c r="D24732" i="2"/>
  <c r="D24733" i="2"/>
  <c r="D24734" i="2"/>
  <c r="D24735" i="2"/>
  <c r="D24736" i="2"/>
  <c r="D24737" i="2"/>
  <c r="D24738" i="2"/>
  <c r="D24739" i="2"/>
  <c r="D24740" i="2"/>
  <c r="D24741" i="2"/>
  <c r="D24742" i="2"/>
  <c r="D24743" i="2"/>
  <c r="D24744" i="2"/>
  <c r="D24745" i="2"/>
  <c r="D24746" i="2"/>
  <c r="D24747" i="2"/>
  <c r="D24748" i="2"/>
  <c r="D24749" i="2"/>
  <c r="D24750" i="2"/>
  <c r="D24751" i="2"/>
  <c r="D24752" i="2"/>
  <c r="D24753" i="2"/>
  <c r="D24754" i="2"/>
  <c r="D24755" i="2"/>
  <c r="D24756" i="2"/>
  <c r="D24757" i="2"/>
  <c r="D24758" i="2"/>
  <c r="D24759" i="2"/>
  <c r="D24760" i="2"/>
  <c r="D24761" i="2"/>
  <c r="D24762" i="2"/>
  <c r="D24763" i="2"/>
  <c r="D24764" i="2"/>
  <c r="D24765" i="2"/>
  <c r="D24766" i="2"/>
  <c r="D24767" i="2"/>
  <c r="D24768" i="2"/>
  <c r="D24769" i="2"/>
  <c r="D24770" i="2"/>
  <c r="D24771" i="2"/>
  <c r="D24772" i="2"/>
  <c r="D24773" i="2"/>
  <c r="D24774" i="2"/>
  <c r="D24775" i="2"/>
  <c r="D24776" i="2"/>
  <c r="D24777" i="2"/>
  <c r="D24778" i="2"/>
  <c r="D24779" i="2"/>
  <c r="D24780" i="2"/>
  <c r="D24781" i="2"/>
  <c r="D24782" i="2"/>
  <c r="D24783" i="2"/>
  <c r="D24784" i="2"/>
  <c r="D24785" i="2"/>
  <c r="D24786" i="2"/>
  <c r="D24787" i="2"/>
  <c r="D24788" i="2"/>
  <c r="D24789" i="2"/>
  <c r="D24790" i="2"/>
  <c r="D24791" i="2"/>
  <c r="D24792" i="2"/>
  <c r="D24793" i="2"/>
  <c r="D24794" i="2"/>
  <c r="D24795" i="2"/>
  <c r="D24796" i="2"/>
  <c r="D24797" i="2"/>
  <c r="D24798" i="2"/>
  <c r="D24799" i="2"/>
  <c r="D24800" i="2"/>
  <c r="D24801" i="2"/>
  <c r="D24802" i="2"/>
  <c r="D24803" i="2"/>
  <c r="D24804" i="2"/>
  <c r="D24805" i="2"/>
  <c r="D24806" i="2"/>
  <c r="D24807" i="2"/>
  <c r="D24808" i="2"/>
  <c r="D24809" i="2"/>
  <c r="D24810" i="2"/>
  <c r="D24811" i="2"/>
  <c r="D24812" i="2"/>
  <c r="D24813" i="2"/>
  <c r="D24814" i="2"/>
  <c r="D24815" i="2"/>
  <c r="D24816" i="2"/>
  <c r="D24817" i="2"/>
  <c r="D24818" i="2"/>
  <c r="D24819" i="2"/>
  <c r="D24820" i="2"/>
  <c r="D24821" i="2"/>
  <c r="D24822" i="2"/>
  <c r="D24823" i="2"/>
  <c r="D24824" i="2"/>
  <c r="D24825" i="2"/>
  <c r="D24826" i="2"/>
  <c r="D24827" i="2"/>
  <c r="D24828" i="2"/>
  <c r="D24829" i="2"/>
  <c r="D24830" i="2"/>
  <c r="D24831" i="2"/>
  <c r="D24832" i="2"/>
  <c r="D24833" i="2"/>
  <c r="D24834" i="2"/>
  <c r="D24835" i="2"/>
  <c r="D24836" i="2"/>
  <c r="D24837" i="2"/>
  <c r="D24838" i="2"/>
  <c r="D24839" i="2"/>
  <c r="D24840" i="2"/>
  <c r="D24841" i="2"/>
  <c r="D24842" i="2"/>
  <c r="D24843" i="2"/>
  <c r="D24844" i="2"/>
  <c r="D24845" i="2"/>
  <c r="D24846" i="2"/>
  <c r="D24847" i="2"/>
  <c r="D24848" i="2"/>
  <c r="D24849" i="2"/>
  <c r="D24850" i="2"/>
  <c r="D24851" i="2"/>
  <c r="D24852" i="2"/>
  <c r="D24853" i="2"/>
  <c r="D24854" i="2"/>
  <c r="D24855" i="2"/>
  <c r="D24856" i="2"/>
  <c r="D24857" i="2"/>
  <c r="D24858" i="2"/>
  <c r="D24859" i="2"/>
  <c r="D24860" i="2"/>
  <c r="D24861" i="2"/>
  <c r="D24862" i="2"/>
  <c r="D24863" i="2"/>
  <c r="D24864" i="2"/>
  <c r="D24865" i="2"/>
  <c r="D24866" i="2"/>
  <c r="D24867" i="2"/>
  <c r="D24868" i="2"/>
  <c r="D24869" i="2"/>
  <c r="D24870" i="2"/>
  <c r="D24871" i="2"/>
  <c r="D24872" i="2"/>
  <c r="D24873" i="2"/>
  <c r="D24874" i="2"/>
  <c r="D24875" i="2"/>
  <c r="D24876" i="2"/>
  <c r="D24877" i="2"/>
  <c r="D24878" i="2"/>
  <c r="D24879" i="2"/>
  <c r="D24880" i="2"/>
  <c r="D24881" i="2"/>
  <c r="D24882" i="2"/>
  <c r="D24883" i="2"/>
  <c r="D24884" i="2"/>
  <c r="D24885" i="2"/>
  <c r="D24886" i="2"/>
  <c r="D24887" i="2"/>
  <c r="D24888" i="2"/>
  <c r="D24889" i="2"/>
  <c r="D24890" i="2"/>
  <c r="D24891" i="2"/>
  <c r="D24892" i="2"/>
  <c r="D24893" i="2"/>
  <c r="D24894" i="2"/>
  <c r="D24895" i="2"/>
  <c r="D24896" i="2"/>
  <c r="D24897" i="2"/>
  <c r="D24898" i="2"/>
  <c r="D24899" i="2"/>
  <c r="D24900" i="2"/>
  <c r="D24901" i="2"/>
  <c r="D24902" i="2"/>
  <c r="D24903" i="2"/>
  <c r="D24904" i="2"/>
  <c r="D24905" i="2"/>
  <c r="D24906" i="2"/>
  <c r="D24907" i="2"/>
  <c r="D24908" i="2"/>
  <c r="D24909" i="2"/>
  <c r="D24910" i="2"/>
  <c r="D24911" i="2"/>
  <c r="D24912" i="2"/>
  <c r="D24913" i="2"/>
  <c r="D24914" i="2"/>
  <c r="D24915" i="2"/>
  <c r="D24916" i="2"/>
  <c r="D24917" i="2"/>
  <c r="D24918" i="2"/>
  <c r="D24919" i="2"/>
  <c r="D24920" i="2"/>
  <c r="D24921" i="2"/>
  <c r="D24922" i="2"/>
  <c r="D24923" i="2"/>
  <c r="D24924" i="2"/>
  <c r="D24925" i="2"/>
  <c r="D24926" i="2"/>
  <c r="D24927" i="2"/>
  <c r="D24928" i="2"/>
  <c r="D24929" i="2"/>
  <c r="D24930" i="2"/>
  <c r="D24931" i="2"/>
  <c r="D24932" i="2"/>
  <c r="D24933" i="2"/>
  <c r="D24934" i="2"/>
  <c r="D24935" i="2"/>
  <c r="D24936" i="2"/>
  <c r="D24937" i="2"/>
  <c r="D24938" i="2"/>
  <c r="D24939" i="2"/>
  <c r="D24940" i="2"/>
  <c r="D24941" i="2"/>
  <c r="D24942" i="2"/>
  <c r="D24943" i="2"/>
  <c r="D24944" i="2"/>
  <c r="D24945" i="2"/>
  <c r="D24946" i="2"/>
  <c r="D24947" i="2"/>
  <c r="D24948" i="2"/>
  <c r="D24949" i="2"/>
  <c r="D24950" i="2"/>
  <c r="D24951" i="2"/>
  <c r="D24952" i="2"/>
  <c r="D24953" i="2"/>
  <c r="D24954" i="2"/>
  <c r="D24955" i="2"/>
  <c r="D24956" i="2"/>
  <c r="D24957" i="2"/>
  <c r="D24958" i="2"/>
  <c r="D24959" i="2"/>
  <c r="D24960" i="2"/>
  <c r="D24961" i="2"/>
  <c r="D24962" i="2"/>
  <c r="D24963" i="2"/>
  <c r="D24964" i="2"/>
  <c r="D24965" i="2"/>
  <c r="D24966" i="2"/>
  <c r="D24967" i="2"/>
  <c r="D24968" i="2"/>
  <c r="D24969" i="2"/>
  <c r="D24970" i="2"/>
  <c r="D24971" i="2"/>
  <c r="D24972" i="2"/>
  <c r="D24973" i="2"/>
  <c r="D24974" i="2"/>
  <c r="D24975" i="2"/>
  <c r="D24976" i="2"/>
  <c r="D24977" i="2"/>
  <c r="D24978" i="2"/>
  <c r="D24979" i="2"/>
  <c r="D24980" i="2"/>
  <c r="D24981" i="2"/>
  <c r="D24982" i="2"/>
  <c r="D24983" i="2"/>
  <c r="D24984" i="2"/>
  <c r="D24985" i="2"/>
  <c r="D24986" i="2"/>
  <c r="D24987" i="2"/>
  <c r="D24988" i="2"/>
  <c r="D24989" i="2"/>
  <c r="D24990" i="2"/>
  <c r="D24991" i="2"/>
  <c r="D24992" i="2"/>
  <c r="D24993" i="2"/>
  <c r="D24994" i="2"/>
  <c r="D24995" i="2"/>
  <c r="D24996" i="2"/>
  <c r="D24997" i="2"/>
  <c r="D24998" i="2"/>
  <c r="D24999" i="2"/>
  <c r="D25000" i="2"/>
  <c r="D25001" i="2"/>
  <c r="D25002" i="2"/>
  <c r="D25003" i="2"/>
  <c r="D25004" i="2"/>
  <c r="D25005" i="2"/>
  <c r="D25006" i="2"/>
  <c r="D25007" i="2"/>
  <c r="D25008" i="2"/>
  <c r="D25009" i="2"/>
  <c r="D25010" i="2"/>
  <c r="D25011" i="2"/>
  <c r="D25012" i="2"/>
  <c r="D25013" i="2"/>
  <c r="D25014" i="2"/>
  <c r="D25015" i="2"/>
  <c r="D25016" i="2"/>
  <c r="D25017" i="2"/>
  <c r="D25018" i="2"/>
  <c r="D25019" i="2"/>
  <c r="D25020" i="2"/>
  <c r="D25021" i="2"/>
  <c r="D25022" i="2"/>
  <c r="D25023" i="2"/>
  <c r="D25024" i="2"/>
  <c r="D25025" i="2"/>
  <c r="D25026" i="2"/>
  <c r="D25027" i="2"/>
  <c r="D25028" i="2"/>
  <c r="D25029" i="2"/>
  <c r="D25030" i="2"/>
  <c r="D25031" i="2"/>
  <c r="D25032" i="2"/>
  <c r="D25033" i="2"/>
  <c r="D25034" i="2"/>
  <c r="D25035" i="2"/>
  <c r="D25036" i="2"/>
  <c r="D25037" i="2"/>
  <c r="D25038" i="2"/>
  <c r="D25039" i="2"/>
  <c r="D25040" i="2"/>
  <c r="D25041" i="2"/>
  <c r="D25042" i="2"/>
  <c r="D25043" i="2"/>
  <c r="D25044" i="2"/>
  <c r="D25045" i="2"/>
  <c r="D25046" i="2"/>
  <c r="D25047" i="2"/>
  <c r="D25048" i="2"/>
  <c r="D25049" i="2"/>
  <c r="D25050" i="2"/>
  <c r="D25051" i="2"/>
  <c r="D25052" i="2"/>
  <c r="D25053" i="2"/>
  <c r="D25054" i="2"/>
  <c r="D25055" i="2"/>
  <c r="D25056" i="2"/>
  <c r="D25057" i="2"/>
  <c r="D25058" i="2"/>
  <c r="D25059" i="2"/>
  <c r="D25060" i="2"/>
  <c r="D25061" i="2"/>
  <c r="D25062" i="2"/>
  <c r="D25063" i="2"/>
  <c r="D25064" i="2"/>
  <c r="D25065" i="2"/>
  <c r="D25066" i="2"/>
  <c r="D25067" i="2"/>
  <c r="D25068" i="2"/>
  <c r="D25069" i="2"/>
  <c r="D25070" i="2"/>
  <c r="D25071" i="2"/>
  <c r="D25072" i="2"/>
  <c r="D25073" i="2"/>
  <c r="D25074" i="2"/>
  <c r="D25075" i="2"/>
  <c r="D25076" i="2"/>
  <c r="D25077" i="2"/>
  <c r="D25078" i="2"/>
  <c r="D25079" i="2"/>
  <c r="D25080" i="2"/>
  <c r="D25081" i="2"/>
  <c r="D25082" i="2"/>
  <c r="D25083" i="2"/>
  <c r="D25084" i="2"/>
  <c r="D25085" i="2"/>
  <c r="D25086" i="2"/>
  <c r="D25087" i="2"/>
  <c r="D25088" i="2"/>
  <c r="D25089" i="2"/>
  <c r="D25090" i="2"/>
  <c r="D25091" i="2"/>
  <c r="D25092" i="2"/>
  <c r="D25093" i="2"/>
  <c r="D25094" i="2"/>
  <c r="D25095" i="2"/>
  <c r="D25096" i="2"/>
  <c r="D25097" i="2"/>
  <c r="D25098" i="2"/>
  <c r="D25099" i="2"/>
  <c r="D25100" i="2"/>
  <c r="D25101" i="2"/>
  <c r="D25102" i="2"/>
  <c r="D25103" i="2"/>
  <c r="D25104" i="2"/>
  <c r="D25105" i="2"/>
  <c r="D25106" i="2"/>
  <c r="D25107" i="2"/>
  <c r="D25108" i="2"/>
  <c r="D25109" i="2"/>
  <c r="D25110" i="2"/>
  <c r="D25111" i="2"/>
  <c r="D25112" i="2"/>
  <c r="D25113" i="2"/>
  <c r="D25114" i="2"/>
  <c r="D25115" i="2"/>
  <c r="D25116" i="2"/>
  <c r="D25117" i="2"/>
  <c r="D25118" i="2"/>
  <c r="D25119" i="2"/>
  <c r="D25120" i="2"/>
  <c r="D25121" i="2"/>
  <c r="D25122" i="2"/>
  <c r="D25123" i="2"/>
  <c r="D25124" i="2"/>
  <c r="D25125" i="2"/>
  <c r="D25126" i="2"/>
  <c r="D25127" i="2"/>
  <c r="D25128" i="2"/>
  <c r="D25129" i="2"/>
  <c r="D25130" i="2"/>
  <c r="D25131" i="2"/>
  <c r="D25132" i="2"/>
  <c r="D25133" i="2"/>
  <c r="D25134" i="2"/>
  <c r="D25135" i="2"/>
  <c r="D25136" i="2"/>
  <c r="D25137" i="2"/>
  <c r="D25138" i="2"/>
  <c r="D25139" i="2"/>
  <c r="D25140" i="2"/>
  <c r="D25141" i="2"/>
  <c r="D25142" i="2"/>
  <c r="D25143" i="2"/>
  <c r="D25144" i="2"/>
  <c r="D25145" i="2"/>
  <c r="D25146" i="2"/>
  <c r="D25147" i="2"/>
  <c r="D25148" i="2"/>
  <c r="D25149" i="2"/>
  <c r="D25150" i="2"/>
  <c r="D25151" i="2"/>
  <c r="D25152" i="2"/>
  <c r="D25153" i="2"/>
  <c r="D25154" i="2"/>
  <c r="D25155" i="2"/>
  <c r="D25156" i="2"/>
  <c r="D25157" i="2"/>
  <c r="D25158" i="2"/>
  <c r="D25159" i="2"/>
  <c r="D25160" i="2"/>
  <c r="D25161" i="2"/>
  <c r="D25162" i="2"/>
  <c r="D25163" i="2"/>
  <c r="D25164" i="2"/>
  <c r="D25165" i="2"/>
  <c r="D25166" i="2"/>
  <c r="D25167" i="2"/>
  <c r="D25168" i="2"/>
  <c r="D25169" i="2"/>
  <c r="D25170" i="2"/>
  <c r="D25171" i="2"/>
  <c r="D25172" i="2"/>
  <c r="D25173" i="2"/>
  <c r="D25174" i="2"/>
  <c r="D25175" i="2"/>
  <c r="D25176" i="2"/>
  <c r="D25177" i="2"/>
  <c r="D25178" i="2"/>
  <c r="D25179" i="2"/>
  <c r="D25180" i="2"/>
  <c r="D25181" i="2"/>
  <c r="D25182" i="2"/>
  <c r="D25183" i="2"/>
  <c r="D25184" i="2"/>
  <c r="D25185" i="2"/>
  <c r="D25186" i="2"/>
  <c r="D25187" i="2"/>
  <c r="D25188" i="2"/>
  <c r="D25189" i="2"/>
  <c r="D25190" i="2"/>
  <c r="D25191" i="2"/>
  <c r="D25192" i="2"/>
  <c r="D25193" i="2"/>
  <c r="D25194" i="2"/>
  <c r="D25195" i="2"/>
  <c r="D25196" i="2"/>
  <c r="D25197" i="2"/>
  <c r="D25198" i="2"/>
  <c r="D25199" i="2"/>
  <c r="D25200" i="2"/>
  <c r="D25201" i="2"/>
  <c r="D25202" i="2"/>
  <c r="D25203" i="2"/>
  <c r="D25204" i="2"/>
  <c r="D25205" i="2"/>
  <c r="D25206" i="2"/>
  <c r="D25207" i="2"/>
  <c r="D25208" i="2"/>
  <c r="D25209" i="2"/>
  <c r="D25210" i="2"/>
  <c r="D25211" i="2"/>
  <c r="D25212" i="2"/>
  <c r="D25213" i="2"/>
  <c r="D25214" i="2"/>
  <c r="D25215" i="2"/>
  <c r="D25216" i="2"/>
  <c r="D25217" i="2"/>
  <c r="D25218" i="2"/>
  <c r="D25219" i="2"/>
  <c r="D25220" i="2"/>
  <c r="D25221" i="2"/>
  <c r="D25222" i="2"/>
  <c r="D25223" i="2"/>
  <c r="D25224" i="2"/>
  <c r="D25225" i="2"/>
  <c r="D25226" i="2"/>
  <c r="D25227" i="2"/>
  <c r="D25228" i="2"/>
  <c r="D25229" i="2"/>
  <c r="D25230" i="2"/>
  <c r="D25231" i="2"/>
  <c r="D25232" i="2"/>
  <c r="D25233" i="2"/>
  <c r="D25234" i="2"/>
  <c r="D25235" i="2"/>
  <c r="D25236" i="2"/>
  <c r="D25237" i="2"/>
  <c r="D25238" i="2"/>
  <c r="D25239" i="2"/>
  <c r="D25240" i="2"/>
  <c r="D25241" i="2"/>
  <c r="D25242" i="2"/>
  <c r="D25243" i="2"/>
  <c r="D25244" i="2"/>
  <c r="D25245" i="2"/>
  <c r="D25246" i="2"/>
  <c r="D25247" i="2"/>
  <c r="D25248" i="2"/>
  <c r="D25249" i="2"/>
  <c r="D25250" i="2"/>
  <c r="D25251" i="2"/>
  <c r="D25252" i="2"/>
  <c r="D25253" i="2"/>
  <c r="D25254" i="2"/>
  <c r="D25255" i="2"/>
  <c r="D25256" i="2"/>
  <c r="D25257" i="2"/>
  <c r="D25258" i="2"/>
  <c r="D25259" i="2"/>
  <c r="D25260" i="2"/>
  <c r="D25261" i="2"/>
  <c r="D25262" i="2"/>
  <c r="D25263" i="2"/>
  <c r="D25264" i="2"/>
  <c r="D25265" i="2"/>
  <c r="D25266" i="2"/>
  <c r="D25267" i="2"/>
  <c r="D25268" i="2"/>
  <c r="D25269" i="2"/>
  <c r="D25270" i="2"/>
  <c r="D25271" i="2"/>
  <c r="D25272" i="2"/>
  <c r="D25273" i="2"/>
  <c r="D25274" i="2"/>
  <c r="D25275" i="2"/>
  <c r="D25276" i="2"/>
  <c r="D25277" i="2"/>
  <c r="D25278" i="2"/>
  <c r="D25279" i="2"/>
  <c r="D25280" i="2"/>
  <c r="D25281" i="2"/>
  <c r="D25282" i="2"/>
  <c r="D25283" i="2"/>
  <c r="D25284" i="2"/>
  <c r="D25285" i="2"/>
  <c r="D25286" i="2"/>
  <c r="D25287" i="2"/>
  <c r="D25288" i="2"/>
  <c r="D25289" i="2"/>
  <c r="D25290" i="2"/>
  <c r="D25291" i="2"/>
  <c r="D25292" i="2"/>
  <c r="D25293" i="2"/>
  <c r="D25294" i="2"/>
  <c r="D25295" i="2"/>
  <c r="D25296" i="2"/>
  <c r="D25297" i="2"/>
  <c r="D25298" i="2"/>
  <c r="D25299" i="2"/>
  <c r="D25300" i="2"/>
  <c r="D25301" i="2"/>
  <c r="D25302" i="2"/>
  <c r="D25303" i="2"/>
  <c r="D25304" i="2"/>
  <c r="D25305" i="2"/>
  <c r="D25306" i="2"/>
  <c r="D25307" i="2"/>
  <c r="D25308" i="2"/>
  <c r="D25309" i="2"/>
  <c r="D25310" i="2"/>
  <c r="D25311" i="2"/>
  <c r="D25312" i="2"/>
  <c r="D25313" i="2"/>
  <c r="D25314" i="2"/>
  <c r="D25315" i="2"/>
  <c r="D25316" i="2"/>
  <c r="D25317" i="2"/>
  <c r="D25318" i="2"/>
  <c r="D25319" i="2"/>
  <c r="D25320" i="2"/>
  <c r="D25321" i="2"/>
  <c r="D25322" i="2"/>
  <c r="D25323" i="2"/>
  <c r="D25324" i="2"/>
  <c r="D25325" i="2"/>
  <c r="D25326" i="2"/>
  <c r="D25327" i="2"/>
  <c r="D25328" i="2"/>
  <c r="D25329" i="2"/>
  <c r="D25330" i="2"/>
  <c r="D25331" i="2"/>
  <c r="D25332" i="2"/>
  <c r="D25333" i="2"/>
  <c r="D25334" i="2"/>
  <c r="D25335" i="2"/>
  <c r="D25336" i="2"/>
  <c r="D25337" i="2"/>
  <c r="D25338" i="2"/>
  <c r="D25339" i="2"/>
  <c r="D25340" i="2"/>
  <c r="D25341" i="2"/>
  <c r="D25342" i="2"/>
  <c r="D25343" i="2"/>
  <c r="D25344" i="2"/>
  <c r="D25345" i="2"/>
  <c r="D25346" i="2"/>
  <c r="D25347" i="2"/>
  <c r="D25348" i="2"/>
  <c r="D25349" i="2"/>
  <c r="D25350" i="2"/>
  <c r="D25351" i="2"/>
  <c r="D25352" i="2"/>
  <c r="D25353" i="2"/>
  <c r="D25354" i="2"/>
  <c r="D25355" i="2"/>
  <c r="D25356" i="2"/>
  <c r="D25357" i="2"/>
  <c r="D25358" i="2"/>
  <c r="D25359" i="2"/>
  <c r="D25360" i="2"/>
  <c r="D25361" i="2"/>
  <c r="D25362" i="2"/>
  <c r="D25363" i="2"/>
  <c r="D25364" i="2"/>
  <c r="D25365" i="2"/>
  <c r="D25366" i="2"/>
  <c r="D25367" i="2"/>
  <c r="D25368" i="2"/>
  <c r="D25369" i="2"/>
  <c r="D25370" i="2"/>
  <c r="D25371" i="2"/>
  <c r="D25372" i="2"/>
  <c r="D25373" i="2"/>
  <c r="D25374" i="2"/>
  <c r="D25375" i="2"/>
  <c r="D25376" i="2"/>
  <c r="D25377" i="2"/>
  <c r="D25378" i="2"/>
  <c r="D25379" i="2"/>
  <c r="D25380" i="2"/>
  <c r="D25381" i="2"/>
  <c r="D25382" i="2"/>
  <c r="D25383" i="2"/>
  <c r="D25384" i="2"/>
  <c r="D25385" i="2"/>
  <c r="D25386" i="2"/>
  <c r="D25387" i="2"/>
  <c r="D25388" i="2"/>
  <c r="D25389" i="2"/>
  <c r="D25390" i="2"/>
  <c r="D25391" i="2"/>
  <c r="D25392" i="2"/>
  <c r="D25393" i="2"/>
  <c r="D25394" i="2"/>
  <c r="D25395" i="2"/>
  <c r="D25396" i="2"/>
  <c r="D25397" i="2"/>
  <c r="D25398" i="2"/>
  <c r="D25399" i="2"/>
  <c r="D25400" i="2"/>
  <c r="D25401" i="2"/>
  <c r="D25402" i="2"/>
  <c r="D25403" i="2"/>
  <c r="D25404" i="2"/>
  <c r="D25405" i="2"/>
  <c r="D25406" i="2"/>
  <c r="D25407" i="2"/>
  <c r="D25408" i="2"/>
  <c r="D25409" i="2"/>
  <c r="D25410" i="2"/>
  <c r="D25411" i="2"/>
  <c r="D25412" i="2"/>
  <c r="D25413" i="2"/>
  <c r="D25414" i="2"/>
  <c r="D25415" i="2"/>
  <c r="D25416" i="2"/>
  <c r="D25417" i="2"/>
  <c r="D25418" i="2"/>
  <c r="D25419" i="2"/>
  <c r="D25420" i="2"/>
  <c r="D25421" i="2"/>
  <c r="D25422" i="2"/>
  <c r="D25423" i="2"/>
  <c r="D25424" i="2"/>
  <c r="D25425" i="2"/>
  <c r="D25426" i="2"/>
  <c r="D25427" i="2"/>
  <c r="D25428" i="2"/>
  <c r="D25429" i="2"/>
  <c r="D25430" i="2"/>
  <c r="D25431" i="2"/>
  <c r="D25432" i="2"/>
  <c r="D25433" i="2"/>
  <c r="D25434" i="2"/>
  <c r="D25435" i="2"/>
  <c r="D25436" i="2"/>
  <c r="D25437" i="2"/>
  <c r="D25438" i="2"/>
  <c r="D25439" i="2"/>
  <c r="D25440" i="2"/>
  <c r="D25441" i="2"/>
  <c r="D25442" i="2"/>
  <c r="D25443" i="2"/>
  <c r="D25444" i="2"/>
  <c r="D25445" i="2"/>
  <c r="D25446" i="2"/>
  <c r="D25447" i="2"/>
  <c r="D25448" i="2"/>
  <c r="D25449" i="2"/>
  <c r="D25450" i="2"/>
  <c r="D25451" i="2"/>
  <c r="D25452" i="2"/>
  <c r="D25453" i="2"/>
  <c r="D25454" i="2"/>
  <c r="D25455" i="2"/>
  <c r="D25456" i="2"/>
  <c r="D25457" i="2"/>
  <c r="D25458" i="2"/>
  <c r="D25459" i="2"/>
  <c r="D25460" i="2"/>
  <c r="D25461" i="2"/>
  <c r="D25462" i="2"/>
  <c r="D25463" i="2"/>
  <c r="D25464" i="2"/>
  <c r="D25465" i="2"/>
  <c r="D25466" i="2"/>
  <c r="D25467" i="2"/>
  <c r="D25468" i="2"/>
  <c r="D25469" i="2"/>
  <c r="D25470" i="2"/>
  <c r="D25471" i="2"/>
  <c r="D25472" i="2"/>
  <c r="D25473" i="2"/>
  <c r="D25474" i="2"/>
  <c r="D25475" i="2"/>
  <c r="D25476" i="2"/>
  <c r="D25477" i="2"/>
  <c r="D25478" i="2"/>
  <c r="D25479" i="2"/>
  <c r="D25480" i="2"/>
  <c r="D25481" i="2"/>
  <c r="D25482" i="2"/>
  <c r="D25483" i="2"/>
  <c r="D25484" i="2"/>
  <c r="D25485" i="2"/>
  <c r="D25486" i="2"/>
  <c r="D25487" i="2"/>
  <c r="D25488" i="2"/>
  <c r="D25489" i="2"/>
  <c r="D25490" i="2"/>
  <c r="D25491" i="2"/>
  <c r="D25492" i="2"/>
  <c r="D25493" i="2"/>
  <c r="D25494" i="2"/>
  <c r="D25495" i="2"/>
  <c r="D25496" i="2"/>
  <c r="D25497" i="2"/>
  <c r="D25498" i="2"/>
  <c r="D25499" i="2"/>
  <c r="D25500" i="2"/>
  <c r="D25501" i="2"/>
  <c r="D25502" i="2"/>
  <c r="D25503" i="2"/>
  <c r="D25504" i="2"/>
  <c r="D25505" i="2"/>
  <c r="D25506" i="2"/>
  <c r="D25507" i="2"/>
  <c r="D25508" i="2"/>
  <c r="D25509" i="2"/>
  <c r="D25510" i="2"/>
  <c r="D25511" i="2"/>
  <c r="D25512" i="2"/>
  <c r="D25513" i="2"/>
  <c r="D25514" i="2"/>
  <c r="D25515" i="2"/>
  <c r="D25516" i="2"/>
  <c r="D25517" i="2"/>
  <c r="D25518" i="2"/>
  <c r="D25519" i="2"/>
  <c r="D25520" i="2"/>
  <c r="D25521" i="2"/>
  <c r="D25522" i="2"/>
  <c r="D25523" i="2"/>
  <c r="D25524" i="2"/>
  <c r="D25525" i="2"/>
  <c r="D25526" i="2"/>
  <c r="D25527" i="2"/>
  <c r="D25528" i="2"/>
  <c r="D25529" i="2"/>
  <c r="D25530" i="2"/>
  <c r="D25531" i="2"/>
  <c r="D25532" i="2"/>
  <c r="D25533" i="2"/>
  <c r="D25534" i="2"/>
  <c r="D25535" i="2"/>
  <c r="D25536" i="2"/>
  <c r="D25537" i="2"/>
  <c r="D25538" i="2"/>
  <c r="D25539" i="2"/>
  <c r="D25540" i="2"/>
  <c r="D25541" i="2"/>
  <c r="D25542" i="2"/>
  <c r="D25543" i="2"/>
  <c r="D25544" i="2"/>
  <c r="D25545" i="2"/>
  <c r="D25546" i="2"/>
  <c r="D25547" i="2"/>
  <c r="D25548" i="2"/>
  <c r="D25549" i="2"/>
  <c r="D25550" i="2"/>
  <c r="D25551" i="2"/>
  <c r="D25552" i="2"/>
  <c r="D25553" i="2"/>
  <c r="D25554" i="2"/>
  <c r="D25555" i="2"/>
  <c r="D25556" i="2"/>
  <c r="D25557" i="2"/>
  <c r="D25558" i="2"/>
  <c r="D25559" i="2"/>
  <c r="D25560" i="2"/>
  <c r="D25561" i="2"/>
  <c r="D25562" i="2"/>
  <c r="D25563" i="2"/>
  <c r="D25564" i="2"/>
  <c r="D25565" i="2"/>
  <c r="D25566" i="2"/>
  <c r="D25567" i="2"/>
  <c r="D25568" i="2"/>
  <c r="D25569" i="2"/>
  <c r="D25570" i="2"/>
  <c r="D25571" i="2"/>
  <c r="D25572" i="2"/>
  <c r="D25573" i="2"/>
  <c r="D25574" i="2"/>
  <c r="D25575" i="2"/>
  <c r="D25576" i="2"/>
  <c r="D25577" i="2"/>
  <c r="D25578" i="2"/>
  <c r="D25579" i="2"/>
  <c r="D25580" i="2"/>
  <c r="D25581" i="2"/>
  <c r="D25582" i="2"/>
  <c r="D25583" i="2"/>
  <c r="D25584" i="2"/>
  <c r="D25585" i="2"/>
  <c r="D25586" i="2"/>
  <c r="D25587" i="2"/>
  <c r="D25588" i="2"/>
  <c r="D25589" i="2"/>
  <c r="D25590" i="2"/>
  <c r="D25591" i="2"/>
  <c r="D25592" i="2"/>
  <c r="D25593" i="2"/>
  <c r="D25594" i="2"/>
  <c r="D25595" i="2"/>
  <c r="D25596" i="2"/>
  <c r="D25597" i="2"/>
  <c r="D25598" i="2"/>
  <c r="D25599" i="2"/>
  <c r="D25600" i="2"/>
  <c r="D25601" i="2"/>
  <c r="D25602" i="2"/>
  <c r="D25603" i="2"/>
  <c r="D25604" i="2"/>
  <c r="D25605" i="2"/>
  <c r="D25606" i="2"/>
  <c r="D25607" i="2"/>
  <c r="D25608" i="2"/>
  <c r="D25609" i="2"/>
  <c r="D25610" i="2"/>
  <c r="D25611" i="2"/>
  <c r="D25612" i="2"/>
  <c r="D25613" i="2"/>
  <c r="D25614" i="2"/>
  <c r="D25615" i="2"/>
  <c r="D25616" i="2"/>
  <c r="D25617" i="2"/>
  <c r="D25618" i="2"/>
  <c r="D25619" i="2"/>
  <c r="D25620" i="2"/>
  <c r="D25621" i="2"/>
  <c r="D25622" i="2"/>
  <c r="D25623" i="2"/>
  <c r="D25624" i="2"/>
  <c r="D25625" i="2"/>
  <c r="D25626" i="2"/>
  <c r="D25627" i="2"/>
  <c r="D25628" i="2"/>
  <c r="D25629" i="2"/>
  <c r="D25630" i="2"/>
  <c r="D25631" i="2"/>
  <c r="D25632" i="2"/>
  <c r="D25633" i="2"/>
  <c r="D25634" i="2"/>
  <c r="D25635" i="2"/>
  <c r="D25636" i="2"/>
  <c r="D25637" i="2"/>
  <c r="D25638" i="2"/>
  <c r="D25639" i="2"/>
  <c r="D25640" i="2"/>
  <c r="D25641" i="2"/>
  <c r="D25642" i="2"/>
  <c r="D25643" i="2"/>
  <c r="D25644" i="2"/>
  <c r="D25645" i="2"/>
  <c r="D25646" i="2"/>
  <c r="D25647" i="2"/>
  <c r="D25648" i="2"/>
  <c r="D25649" i="2"/>
  <c r="D25650" i="2"/>
  <c r="D25651" i="2"/>
  <c r="D25652" i="2"/>
  <c r="D25653" i="2"/>
  <c r="D25654" i="2"/>
  <c r="D25655" i="2"/>
  <c r="D25656" i="2"/>
  <c r="D25657" i="2"/>
  <c r="D25658" i="2"/>
  <c r="D25659" i="2"/>
  <c r="D25660" i="2"/>
  <c r="D25661" i="2"/>
  <c r="D25662" i="2"/>
  <c r="D25663" i="2"/>
  <c r="D25664" i="2"/>
  <c r="D25665" i="2"/>
  <c r="D25666" i="2"/>
  <c r="D25667" i="2"/>
  <c r="D25668" i="2"/>
  <c r="D25669" i="2"/>
  <c r="D25670" i="2"/>
  <c r="D25671" i="2"/>
  <c r="D25672" i="2"/>
  <c r="D25673" i="2"/>
  <c r="D25674" i="2"/>
  <c r="D25675" i="2"/>
  <c r="D25676" i="2"/>
  <c r="D25677" i="2"/>
  <c r="D25678" i="2"/>
  <c r="D25679" i="2"/>
  <c r="D25680" i="2"/>
  <c r="D25681" i="2"/>
  <c r="D25682" i="2"/>
  <c r="D25683" i="2"/>
  <c r="D25684" i="2"/>
  <c r="D25685" i="2"/>
  <c r="D25686" i="2"/>
  <c r="D25687" i="2"/>
  <c r="D25688" i="2"/>
  <c r="D25689" i="2"/>
  <c r="D25690" i="2"/>
  <c r="D25691" i="2"/>
  <c r="D25692" i="2"/>
  <c r="D25693" i="2"/>
  <c r="D25694" i="2"/>
  <c r="D25695" i="2"/>
  <c r="D25696" i="2"/>
  <c r="D25697" i="2"/>
  <c r="D25698" i="2"/>
  <c r="D25699" i="2"/>
  <c r="D25700" i="2"/>
  <c r="D25701" i="2"/>
  <c r="D25702" i="2"/>
  <c r="D25703" i="2"/>
  <c r="D25704" i="2"/>
  <c r="D25705" i="2"/>
  <c r="D25706" i="2"/>
  <c r="D25707" i="2"/>
  <c r="D25708" i="2"/>
  <c r="D25709" i="2"/>
  <c r="D25710" i="2"/>
  <c r="D25711" i="2"/>
  <c r="D25712" i="2"/>
  <c r="D25713" i="2"/>
  <c r="D25714" i="2"/>
  <c r="D25715" i="2"/>
  <c r="D25716" i="2"/>
  <c r="D25717" i="2"/>
  <c r="D25718" i="2"/>
  <c r="D25719" i="2"/>
  <c r="D25720" i="2"/>
  <c r="D25721" i="2"/>
  <c r="D25722" i="2"/>
  <c r="D25723" i="2"/>
  <c r="D25724" i="2"/>
  <c r="D25725" i="2"/>
  <c r="D25726" i="2"/>
  <c r="D25727" i="2"/>
  <c r="D25728" i="2"/>
  <c r="D25729" i="2"/>
  <c r="D25730" i="2"/>
  <c r="D25731" i="2"/>
  <c r="D25732" i="2"/>
  <c r="D25733" i="2"/>
  <c r="D25734" i="2"/>
  <c r="D25735" i="2"/>
  <c r="D25736" i="2"/>
  <c r="D25737" i="2"/>
  <c r="D25738" i="2"/>
  <c r="D25739" i="2"/>
  <c r="D25740" i="2"/>
  <c r="D25741" i="2"/>
  <c r="D25742" i="2"/>
  <c r="D25743" i="2"/>
  <c r="D25744" i="2"/>
  <c r="D25745" i="2"/>
  <c r="D25746" i="2"/>
  <c r="D25747" i="2"/>
  <c r="D25748" i="2"/>
  <c r="D25749" i="2"/>
  <c r="D25750" i="2"/>
  <c r="D25751" i="2"/>
  <c r="D25752" i="2"/>
  <c r="D25753" i="2"/>
  <c r="D25754" i="2"/>
  <c r="D25755" i="2"/>
  <c r="D25756" i="2"/>
  <c r="D25757" i="2"/>
  <c r="D25758" i="2"/>
  <c r="D25759" i="2"/>
  <c r="D25760" i="2"/>
  <c r="D25761" i="2"/>
  <c r="D25762" i="2"/>
  <c r="D25763" i="2"/>
  <c r="D25764" i="2"/>
  <c r="D25765" i="2"/>
  <c r="D25766" i="2"/>
  <c r="D25767" i="2"/>
  <c r="D25768" i="2"/>
  <c r="D25769" i="2"/>
  <c r="D25770" i="2"/>
  <c r="D25771" i="2"/>
  <c r="D25772" i="2"/>
  <c r="D25773" i="2"/>
  <c r="D25774" i="2"/>
  <c r="D25775" i="2"/>
  <c r="D25776" i="2"/>
  <c r="D25777" i="2"/>
  <c r="D25778" i="2"/>
  <c r="D25779" i="2"/>
  <c r="D25780" i="2"/>
  <c r="D25781" i="2"/>
  <c r="D25782" i="2"/>
  <c r="D25783" i="2"/>
  <c r="D25784" i="2"/>
  <c r="D25785" i="2"/>
  <c r="D25786" i="2"/>
  <c r="D25787" i="2"/>
  <c r="D25788" i="2"/>
  <c r="D25789" i="2"/>
  <c r="D25790" i="2"/>
  <c r="D25791" i="2"/>
  <c r="D25792" i="2"/>
  <c r="D25793" i="2"/>
  <c r="D25794" i="2"/>
  <c r="D25795" i="2"/>
  <c r="D25796" i="2"/>
  <c r="D25797" i="2"/>
  <c r="D25798" i="2"/>
  <c r="D25799" i="2"/>
  <c r="D25800" i="2"/>
  <c r="D25801" i="2"/>
  <c r="D25802" i="2"/>
  <c r="D25803" i="2"/>
  <c r="D25804" i="2"/>
  <c r="D25805" i="2"/>
  <c r="D25806" i="2"/>
  <c r="D25807" i="2"/>
  <c r="D25808" i="2"/>
  <c r="D25809" i="2"/>
  <c r="D25810" i="2"/>
  <c r="D25811" i="2"/>
  <c r="D25812" i="2"/>
  <c r="D25813" i="2"/>
  <c r="D25814" i="2"/>
  <c r="D25815" i="2"/>
  <c r="D25816" i="2"/>
  <c r="D25817" i="2"/>
  <c r="D25818" i="2"/>
  <c r="D25819" i="2"/>
  <c r="D25820" i="2"/>
  <c r="D25821" i="2"/>
  <c r="D25822" i="2"/>
  <c r="D25823" i="2"/>
  <c r="D25824" i="2"/>
  <c r="D25825" i="2"/>
  <c r="D25826" i="2"/>
  <c r="D25827" i="2"/>
  <c r="D25828" i="2"/>
  <c r="D25829" i="2"/>
  <c r="D25830" i="2"/>
  <c r="D25831" i="2"/>
  <c r="D25832" i="2"/>
  <c r="D25833" i="2"/>
  <c r="D25834" i="2"/>
  <c r="D25835" i="2"/>
  <c r="D25836" i="2"/>
  <c r="D25837" i="2"/>
  <c r="D25838" i="2"/>
  <c r="D25839" i="2"/>
  <c r="D25840" i="2"/>
  <c r="D25841" i="2"/>
  <c r="D25842" i="2"/>
  <c r="D25843" i="2"/>
  <c r="D25844" i="2"/>
  <c r="D25845" i="2"/>
  <c r="D25846" i="2"/>
  <c r="D25847" i="2"/>
  <c r="D25848" i="2"/>
  <c r="D25849" i="2"/>
  <c r="D25850" i="2"/>
  <c r="D25851" i="2"/>
  <c r="D25852" i="2"/>
  <c r="D25853" i="2"/>
  <c r="D25854" i="2"/>
  <c r="D25855" i="2"/>
  <c r="D25856" i="2"/>
  <c r="D25857" i="2"/>
  <c r="D25858" i="2"/>
  <c r="D25859" i="2"/>
  <c r="D25860" i="2"/>
  <c r="D25861" i="2"/>
  <c r="D25862" i="2"/>
  <c r="D25863" i="2"/>
  <c r="D25864" i="2"/>
  <c r="D25865" i="2"/>
  <c r="D25866" i="2"/>
  <c r="D25867" i="2"/>
  <c r="D25868" i="2"/>
  <c r="D25869" i="2"/>
  <c r="D25870" i="2"/>
  <c r="D25871" i="2"/>
  <c r="D25872" i="2"/>
  <c r="D25873" i="2"/>
  <c r="D25874" i="2"/>
  <c r="D25875" i="2"/>
  <c r="D25876" i="2"/>
  <c r="D25877" i="2"/>
  <c r="D25878" i="2"/>
  <c r="D25879" i="2"/>
  <c r="D25880" i="2"/>
  <c r="D25881" i="2"/>
  <c r="D25882" i="2"/>
  <c r="D25883" i="2"/>
  <c r="D25884" i="2"/>
  <c r="D25885" i="2"/>
  <c r="D25886" i="2"/>
  <c r="D25887" i="2"/>
  <c r="D25888" i="2"/>
  <c r="D25889" i="2"/>
  <c r="D25890" i="2"/>
  <c r="D25891" i="2"/>
  <c r="D25892" i="2"/>
  <c r="D25893" i="2"/>
  <c r="D25894" i="2"/>
  <c r="D25895" i="2"/>
  <c r="D25896" i="2"/>
  <c r="D25897" i="2"/>
  <c r="D25898" i="2"/>
  <c r="D25899" i="2"/>
  <c r="D25900" i="2"/>
  <c r="D25901" i="2"/>
  <c r="D25902" i="2"/>
  <c r="D25903" i="2"/>
  <c r="D25904" i="2"/>
  <c r="D25905" i="2"/>
  <c r="D25906" i="2"/>
  <c r="D25907" i="2"/>
  <c r="D25908" i="2"/>
  <c r="D25909" i="2"/>
  <c r="D25910" i="2"/>
  <c r="D25911" i="2"/>
  <c r="D25912" i="2"/>
  <c r="D25913" i="2"/>
  <c r="D25914" i="2"/>
  <c r="D25915" i="2"/>
  <c r="D25916" i="2"/>
  <c r="D25917" i="2"/>
  <c r="D25918" i="2"/>
  <c r="D25919" i="2"/>
  <c r="D25920" i="2"/>
  <c r="D25921" i="2"/>
  <c r="D25922" i="2"/>
  <c r="D25923" i="2"/>
  <c r="D25924" i="2"/>
  <c r="D25925" i="2"/>
  <c r="D25926" i="2"/>
  <c r="D25927" i="2"/>
  <c r="D25928" i="2"/>
  <c r="D25929" i="2"/>
  <c r="D25930" i="2"/>
  <c r="D25931" i="2"/>
  <c r="D25932" i="2"/>
  <c r="D25933" i="2"/>
  <c r="D25934" i="2"/>
  <c r="D25935" i="2"/>
  <c r="D25936" i="2"/>
  <c r="D25937" i="2"/>
  <c r="D25938" i="2"/>
  <c r="D25939" i="2"/>
  <c r="D25940" i="2"/>
  <c r="D25941" i="2"/>
  <c r="D25942" i="2"/>
  <c r="D25943" i="2"/>
  <c r="D25944" i="2"/>
  <c r="D25945" i="2"/>
  <c r="D25946" i="2"/>
  <c r="D25947" i="2"/>
  <c r="D25948" i="2"/>
  <c r="D25949" i="2"/>
  <c r="D25950" i="2"/>
  <c r="D25951" i="2"/>
  <c r="D25952" i="2"/>
  <c r="D25953" i="2"/>
  <c r="D25954" i="2"/>
  <c r="D25955" i="2"/>
  <c r="D25956" i="2"/>
  <c r="D25957" i="2"/>
  <c r="D25958" i="2"/>
  <c r="D25959" i="2"/>
  <c r="D25960" i="2"/>
  <c r="D25961" i="2"/>
  <c r="D25962" i="2"/>
  <c r="D25963" i="2"/>
  <c r="D25964" i="2"/>
  <c r="D25965" i="2"/>
  <c r="D25966" i="2"/>
  <c r="D25967" i="2"/>
  <c r="D25968" i="2"/>
  <c r="D25969" i="2"/>
  <c r="D25970" i="2"/>
  <c r="D25971" i="2"/>
  <c r="D25972" i="2"/>
  <c r="D25973" i="2"/>
  <c r="D25974" i="2"/>
  <c r="D25975" i="2"/>
  <c r="D25976" i="2"/>
  <c r="D25977" i="2"/>
  <c r="D25978" i="2"/>
  <c r="D25979" i="2"/>
  <c r="D25980" i="2"/>
  <c r="D25981" i="2"/>
  <c r="D25982" i="2"/>
  <c r="D25983" i="2"/>
  <c r="D25984" i="2"/>
  <c r="D25985" i="2"/>
  <c r="D25986" i="2"/>
  <c r="D25987" i="2"/>
  <c r="D25988" i="2"/>
  <c r="D25989" i="2"/>
  <c r="D25990" i="2"/>
  <c r="D25991" i="2"/>
  <c r="D25992" i="2"/>
  <c r="D25993" i="2"/>
  <c r="D25994" i="2"/>
  <c r="D25995" i="2"/>
  <c r="D25996" i="2"/>
  <c r="D25997" i="2"/>
  <c r="D25998" i="2"/>
  <c r="D25999" i="2"/>
  <c r="D26000" i="2"/>
  <c r="D26001" i="2"/>
  <c r="D26002" i="2"/>
  <c r="D26003" i="2"/>
  <c r="D26004" i="2"/>
  <c r="D26005" i="2"/>
  <c r="D26006" i="2"/>
  <c r="D26007" i="2"/>
  <c r="D26008" i="2"/>
  <c r="D26009" i="2"/>
  <c r="D26010" i="2"/>
  <c r="D26011" i="2"/>
  <c r="D26012" i="2"/>
  <c r="D26013" i="2"/>
  <c r="D26014" i="2"/>
  <c r="D26015" i="2"/>
  <c r="D26016" i="2"/>
  <c r="D26017" i="2"/>
  <c r="D26018" i="2"/>
  <c r="D26019" i="2"/>
  <c r="D26020" i="2"/>
  <c r="D26021" i="2"/>
  <c r="D26022" i="2"/>
  <c r="D26023" i="2"/>
  <c r="D26024" i="2"/>
  <c r="D26025" i="2"/>
  <c r="D26026" i="2"/>
  <c r="D26027" i="2"/>
  <c r="D26028" i="2"/>
  <c r="D26029" i="2"/>
  <c r="D26030" i="2"/>
  <c r="D26031" i="2"/>
  <c r="D26032" i="2"/>
  <c r="D26033" i="2"/>
  <c r="D26034" i="2"/>
  <c r="D26035" i="2"/>
  <c r="D26036" i="2"/>
  <c r="D26037" i="2"/>
  <c r="D26038" i="2"/>
  <c r="D26039" i="2"/>
  <c r="D26040" i="2"/>
  <c r="D26041" i="2"/>
  <c r="D26042" i="2"/>
  <c r="D26043" i="2"/>
  <c r="D26044" i="2"/>
  <c r="D26045" i="2"/>
  <c r="D26046" i="2"/>
  <c r="D26047" i="2"/>
  <c r="D26048" i="2"/>
  <c r="D26049" i="2"/>
  <c r="D26050" i="2"/>
  <c r="D26051" i="2"/>
  <c r="D26052" i="2"/>
  <c r="D26053" i="2"/>
  <c r="D26054" i="2"/>
  <c r="D26055" i="2"/>
  <c r="D26056" i="2"/>
  <c r="D26057" i="2"/>
  <c r="D26058" i="2"/>
  <c r="D26059" i="2"/>
  <c r="D26060" i="2"/>
  <c r="D26061" i="2"/>
  <c r="D26062" i="2"/>
  <c r="D26063" i="2"/>
  <c r="D26064" i="2"/>
  <c r="D26065" i="2"/>
  <c r="D26066" i="2"/>
  <c r="D26067" i="2"/>
  <c r="D26068" i="2"/>
  <c r="D26069" i="2"/>
  <c r="D26070" i="2"/>
  <c r="D26071" i="2"/>
  <c r="D26072" i="2"/>
  <c r="D26073" i="2"/>
  <c r="D26074" i="2"/>
  <c r="D26075" i="2"/>
  <c r="D26076" i="2"/>
  <c r="D26077" i="2"/>
  <c r="D26078" i="2"/>
  <c r="D26079" i="2"/>
  <c r="D26080" i="2"/>
  <c r="D26081" i="2"/>
  <c r="D26082" i="2"/>
  <c r="D26083" i="2"/>
  <c r="D26084" i="2"/>
  <c r="D26085" i="2"/>
  <c r="D26086" i="2"/>
  <c r="D26087" i="2"/>
  <c r="D26088" i="2"/>
  <c r="D26089" i="2"/>
  <c r="D26090" i="2"/>
  <c r="D26091" i="2"/>
  <c r="D26092" i="2"/>
  <c r="D26093" i="2"/>
  <c r="D26094" i="2"/>
  <c r="D26095" i="2"/>
  <c r="D26096" i="2"/>
  <c r="D26097" i="2"/>
  <c r="D26098" i="2"/>
  <c r="D26099" i="2"/>
  <c r="D26100" i="2"/>
  <c r="D26101" i="2"/>
  <c r="D26102" i="2"/>
  <c r="D26103" i="2"/>
  <c r="D26104" i="2"/>
  <c r="D26105" i="2"/>
  <c r="D26106" i="2"/>
  <c r="D26107" i="2"/>
  <c r="D26108" i="2"/>
  <c r="D26109" i="2"/>
  <c r="D26110" i="2"/>
  <c r="D26111" i="2"/>
  <c r="D26112" i="2"/>
  <c r="D26113" i="2"/>
  <c r="D26114" i="2"/>
  <c r="D26115" i="2"/>
  <c r="D26116" i="2"/>
  <c r="D26117" i="2"/>
  <c r="D26118" i="2"/>
  <c r="D26119" i="2"/>
  <c r="D26120" i="2"/>
  <c r="D26121" i="2"/>
  <c r="D26122" i="2"/>
  <c r="D26123" i="2"/>
  <c r="D26124" i="2"/>
  <c r="D26125" i="2"/>
  <c r="D26126" i="2"/>
  <c r="D26127" i="2"/>
  <c r="D26128" i="2"/>
  <c r="D26129" i="2"/>
  <c r="D26130" i="2"/>
  <c r="D26131" i="2"/>
  <c r="D26132" i="2"/>
  <c r="D26133" i="2"/>
  <c r="D26134" i="2"/>
  <c r="D26135" i="2"/>
  <c r="D26136" i="2"/>
  <c r="D26137" i="2"/>
  <c r="D26138" i="2"/>
  <c r="D26139" i="2"/>
  <c r="D26140" i="2"/>
  <c r="D26141" i="2"/>
  <c r="D26142" i="2"/>
  <c r="D26143" i="2"/>
  <c r="D26144" i="2"/>
  <c r="D26145" i="2"/>
  <c r="D26146" i="2"/>
  <c r="D26147" i="2"/>
  <c r="D26148" i="2"/>
  <c r="D26149" i="2"/>
  <c r="D26150" i="2"/>
  <c r="D26151" i="2"/>
  <c r="D26152" i="2"/>
  <c r="D26153" i="2"/>
  <c r="D26154" i="2"/>
  <c r="D26155" i="2"/>
  <c r="D26156" i="2"/>
  <c r="D26157" i="2"/>
  <c r="D26158" i="2"/>
  <c r="D26159" i="2"/>
  <c r="D26160" i="2"/>
  <c r="D26161" i="2"/>
  <c r="D26162" i="2"/>
  <c r="D26163" i="2"/>
  <c r="D26164" i="2"/>
  <c r="D26165" i="2"/>
  <c r="D26166" i="2"/>
  <c r="D26167" i="2"/>
  <c r="D26168" i="2"/>
  <c r="D26169" i="2"/>
  <c r="D26170" i="2"/>
  <c r="D26171" i="2"/>
  <c r="D26172" i="2"/>
  <c r="D26173" i="2"/>
  <c r="D26174" i="2"/>
  <c r="D26175" i="2"/>
  <c r="D26176" i="2"/>
  <c r="D26177" i="2"/>
  <c r="D26178" i="2"/>
  <c r="D26179" i="2"/>
  <c r="D26180" i="2"/>
  <c r="D26181" i="2"/>
  <c r="D26182" i="2"/>
  <c r="D26183" i="2"/>
  <c r="D26184" i="2"/>
  <c r="D26185" i="2"/>
  <c r="D26186" i="2"/>
  <c r="D26187" i="2"/>
  <c r="D26188" i="2"/>
  <c r="D26189" i="2"/>
  <c r="D26190" i="2"/>
  <c r="D26191" i="2"/>
  <c r="D26192" i="2"/>
  <c r="D26193" i="2"/>
  <c r="D26194" i="2"/>
  <c r="D26195" i="2"/>
  <c r="D26196" i="2"/>
  <c r="D26197" i="2"/>
  <c r="D26198" i="2"/>
  <c r="D26199" i="2"/>
  <c r="D26200" i="2"/>
  <c r="D26201" i="2"/>
  <c r="D26202" i="2"/>
  <c r="D26203" i="2"/>
  <c r="D26204" i="2"/>
  <c r="D26205" i="2"/>
  <c r="D26206" i="2"/>
  <c r="D26207" i="2"/>
  <c r="D26208" i="2"/>
  <c r="D26209" i="2"/>
  <c r="D26210" i="2"/>
  <c r="D26211" i="2"/>
  <c r="D26212" i="2"/>
  <c r="D26213" i="2"/>
  <c r="D26214" i="2"/>
  <c r="D26215" i="2"/>
  <c r="D26216" i="2"/>
  <c r="D26217" i="2"/>
  <c r="D26218" i="2"/>
  <c r="D26219" i="2"/>
  <c r="D26220" i="2"/>
  <c r="D26221" i="2"/>
  <c r="D26222" i="2"/>
  <c r="D26223" i="2"/>
  <c r="D26224" i="2"/>
  <c r="D26225" i="2"/>
  <c r="D26226" i="2"/>
  <c r="D26227" i="2"/>
  <c r="D26228" i="2"/>
  <c r="D26229" i="2"/>
  <c r="D26230" i="2"/>
  <c r="D26231" i="2"/>
  <c r="D26232" i="2"/>
  <c r="D26233" i="2"/>
  <c r="D26234" i="2"/>
  <c r="D26235" i="2"/>
  <c r="D26236" i="2"/>
  <c r="D26237" i="2"/>
  <c r="D26238" i="2"/>
  <c r="D26239" i="2"/>
  <c r="D26240" i="2"/>
  <c r="D26241" i="2"/>
  <c r="D26242" i="2"/>
  <c r="D26243" i="2"/>
  <c r="D26244" i="2"/>
  <c r="D26245" i="2"/>
  <c r="D26246" i="2"/>
  <c r="D26247" i="2"/>
  <c r="D26248" i="2"/>
  <c r="D26249" i="2"/>
  <c r="D26250" i="2"/>
  <c r="D26251" i="2"/>
  <c r="D26252" i="2"/>
  <c r="D26253" i="2"/>
  <c r="D26254" i="2"/>
  <c r="D26255" i="2"/>
  <c r="D26256" i="2"/>
  <c r="D26257" i="2"/>
  <c r="D26258" i="2"/>
  <c r="D26259" i="2"/>
  <c r="D26260" i="2"/>
  <c r="D26261" i="2"/>
  <c r="D26262" i="2"/>
  <c r="D26263" i="2"/>
  <c r="D26264" i="2"/>
  <c r="D26265" i="2"/>
  <c r="D26266" i="2"/>
  <c r="D26267" i="2"/>
  <c r="D26268" i="2"/>
  <c r="D26269" i="2"/>
  <c r="D26270" i="2"/>
  <c r="D26271" i="2"/>
  <c r="D26272" i="2"/>
  <c r="D26273" i="2"/>
  <c r="D26274" i="2"/>
  <c r="D26275" i="2"/>
  <c r="D26276" i="2"/>
  <c r="D26277" i="2"/>
  <c r="D26278" i="2"/>
  <c r="D26279" i="2"/>
  <c r="D26280" i="2"/>
  <c r="D26281" i="2"/>
  <c r="D26282" i="2"/>
  <c r="D26283" i="2"/>
  <c r="D26284" i="2"/>
  <c r="D26285" i="2"/>
  <c r="D26286" i="2"/>
  <c r="D26287" i="2"/>
  <c r="D26288" i="2"/>
  <c r="D26289" i="2"/>
  <c r="D26290" i="2"/>
  <c r="D26291" i="2"/>
  <c r="D26292" i="2"/>
  <c r="D26293" i="2"/>
  <c r="D26294" i="2"/>
  <c r="D26295" i="2"/>
  <c r="D26296" i="2"/>
  <c r="D26297" i="2"/>
  <c r="D26298" i="2"/>
  <c r="D26299" i="2"/>
  <c r="D26300" i="2"/>
  <c r="D26301" i="2"/>
  <c r="D26302" i="2"/>
  <c r="D26303" i="2"/>
  <c r="D26304" i="2"/>
  <c r="D26305" i="2"/>
  <c r="D26306" i="2"/>
  <c r="D26307" i="2"/>
  <c r="D26308" i="2"/>
  <c r="D26309" i="2"/>
  <c r="D26310" i="2"/>
  <c r="D26311" i="2"/>
  <c r="D26312" i="2"/>
  <c r="D26313" i="2"/>
  <c r="D26314" i="2"/>
  <c r="D26315" i="2"/>
  <c r="D26316" i="2"/>
  <c r="D26317" i="2"/>
  <c r="D26318" i="2"/>
  <c r="D26319" i="2"/>
  <c r="D26320" i="2"/>
  <c r="D26321" i="2"/>
  <c r="D26322" i="2"/>
  <c r="D26323" i="2"/>
  <c r="D26324" i="2"/>
  <c r="D26325" i="2"/>
  <c r="D26326" i="2"/>
  <c r="D26327" i="2"/>
  <c r="D26328" i="2"/>
  <c r="D26329" i="2"/>
  <c r="D26330" i="2"/>
  <c r="D26331" i="2"/>
  <c r="D26332" i="2"/>
  <c r="D26333" i="2"/>
  <c r="D26334" i="2"/>
  <c r="D26335" i="2"/>
  <c r="D26336" i="2"/>
  <c r="D26337" i="2"/>
  <c r="D26338" i="2"/>
  <c r="D26339" i="2"/>
  <c r="D26340" i="2"/>
  <c r="D26341" i="2"/>
  <c r="D26342" i="2"/>
  <c r="D26343" i="2"/>
  <c r="D26344" i="2"/>
  <c r="D26345" i="2"/>
  <c r="D26346" i="2"/>
  <c r="D26347" i="2"/>
  <c r="D26348" i="2"/>
  <c r="D26349" i="2"/>
  <c r="D26350" i="2"/>
  <c r="D26351" i="2"/>
  <c r="D26352" i="2"/>
  <c r="D26353" i="2"/>
  <c r="D26354" i="2"/>
  <c r="D26355" i="2"/>
  <c r="D26356" i="2"/>
  <c r="D26357" i="2"/>
  <c r="D26358" i="2"/>
  <c r="D26359" i="2"/>
  <c r="D26360" i="2"/>
  <c r="D26361" i="2"/>
  <c r="D26362" i="2"/>
  <c r="D26363" i="2"/>
  <c r="D26364" i="2"/>
  <c r="D26365" i="2"/>
  <c r="D26366" i="2"/>
  <c r="D26367" i="2"/>
  <c r="D26368" i="2"/>
  <c r="D26369" i="2"/>
  <c r="D26370" i="2"/>
  <c r="D26371" i="2"/>
  <c r="D26372" i="2"/>
  <c r="D26373" i="2"/>
  <c r="D26374" i="2"/>
  <c r="D26375" i="2"/>
  <c r="D26376" i="2"/>
  <c r="D26377" i="2"/>
  <c r="D26378" i="2"/>
  <c r="D26379" i="2"/>
  <c r="D26380" i="2"/>
  <c r="D26381" i="2"/>
  <c r="D26382" i="2"/>
  <c r="D26383" i="2"/>
  <c r="D26384" i="2"/>
  <c r="D26385" i="2"/>
  <c r="D26386" i="2"/>
  <c r="D26387" i="2"/>
  <c r="D26388" i="2"/>
  <c r="D26389" i="2"/>
  <c r="D26390" i="2"/>
  <c r="D26391" i="2"/>
  <c r="D26392" i="2"/>
  <c r="D26393" i="2"/>
  <c r="D26394" i="2"/>
  <c r="D26395" i="2"/>
  <c r="D26396" i="2"/>
  <c r="D26397" i="2"/>
  <c r="D26398" i="2"/>
  <c r="D26399" i="2"/>
  <c r="D26400" i="2"/>
  <c r="D26401" i="2"/>
  <c r="D26402" i="2"/>
  <c r="D26403" i="2"/>
  <c r="D26404" i="2"/>
  <c r="D26405" i="2"/>
  <c r="D26406" i="2"/>
  <c r="D26407" i="2"/>
  <c r="D26408" i="2"/>
  <c r="D26409" i="2"/>
  <c r="D26410" i="2"/>
  <c r="D26411" i="2"/>
  <c r="D26412" i="2"/>
  <c r="D26413" i="2"/>
  <c r="D26414" i="2"/>
  <c r="D26415" i="2"/>
  <c r="D26416" i="2"/>
  <c r="D26417" i="2"/>
  <c r="D26418" i="2"/>
  <c r="D26419" i="2"/>
  <c r="D26420" i="2"/>
  <c r="D26421" i="2"/>
  <c r="D26422" i="2"/>
  <c r="D26423" i="2"/>
  <c r="D26424" i="2"/>
  <c r="D26425" i="2"/>
  <c r="D26426" i="2"/>
  <c r="D26427" i="2"/>
  <c r="D26428" i="2"/>
  <c r="D26429" i="2"/>
  <c r="D26430" i="2"/>
  <c r="D26431" i="2"/>
  <c r="D26432" i="2"/>
  <c r="D26433" i="2"/>
  <c r="D26434" i="2"/>
  <c r="D26435" i="2"/>
  <c r="D26436" i="2"/>
  <c r="D26437" i="2"/>
  <c r="D26438" i="2"/>
  <c r="D26439" i="2"/>
  <c r="D26440" i="2"/>
  <c r="D26441" i="2"/>
  <c r="D26442" i="2"/>
  <c r="D26443" i="2"/>
  <c r="D26444" i="2"/>
  <c r="D26445" i="2"/>
  <c r="D26446" i="2"/>
  <c r="D26447" i="2"/>
  <c r="D26448" i="2"/>
  <c r="D26449" i="2"/>
  <c r="D26450" i="2"/>
  <c r="D26451" i="2"/>
  <c r="D26452" i="2"/>
  <c r="D26453" i="2"/>
  <c r="D26454" i="2"/>
  <c r="D26455" i="2"/>
  <c r="D26456" i="2"/>
  <c r="D26457" i="2"/>
  <c r="D26458" i="2"/>
  <c r="D26459" i="2"/>
  <c r="D26460" i="2"/>
  <c r="D26461" i="2"/>
  <c r="D26462" i="2"/>
  <c r="D26463" i="2"/>
  <c r="D26464" i="2"/>
  <c r="D26465" i="2"/>
  <c r="D26466" i="2"/>
  <c r="D26467" i="2"/>
  <c r="D26468" i="2"/>
  <c r="D26469" i="2"/>
  <c r="D26470" i="2"/>
  <c r="D26471" i="2"/>
  <c r="D26472" i="2"/>
  <c r="D26473" i="2"/>
  <c r="D26474" i="2"/>
  <c r="D26475" i="2"/>
  <c r="D26476" i="2"/>
  <c r="D26477" i="2"/>
  <c r="D26478" i="2"/>
  <c r="D26479" i="2"/>
  <c r="D26480" i="2"/>
  <c r="D26481" i="2"/>
  <c r="D26482" i="2"/>
  <c r="D26483" i="2"/>
  <c r="D26484" i="2"/>
  <c r="D26485" i="2"/>
  <c r="D26486" i="2"/>
  <c r="D26487" i="2"/>
  <c r="D26488" i="2"/>
  <c r="D26489" i="2"/>
  <c r="D26490" i="2"/>
  <c r="D26491" i="2"/>
  <c r="D26492" i="2"/>
  <c r="D26493" i="2"/>
  <c r="D26494" i="2"/>
  <c r="D26495" i="2"/>
  <c r="D26496" i="2"/>
  <c r="D26497" i="2"/>
  <c r="D26498" i="2"/>
  <c r="D26499" i="2"/>
  <c r="D26500" i="2"/>
  <c r="D26501" i="2"/>
  <c r="D26502" i="2"/>
  <c r="D26503" i="2"/>
  <c r="D26504" i="2"/>
  <c r="D26505" i="2"/>
  <c r="D26506" i="2"/>
  <c r="D26507" i="2"/>
  <c r="D26508" i="2"/>
  <c r="D26509" i="2"/>
  <c r="D26510" i="2"/>
  <c r="D26511" i="2"/>
  <c r="D26512" i="2"/>
  <c r="D26513" i="2"/>
  <c r="D26514" i="2"/>
  <c r="D26515" i="2"/>
  <c r="D26516" i="2"/>
  <c r="D26517" i="2"/>
  <c r="D26518" i="2"/>
  <c r="D26519" i="2"/>
  <c r="D26520" i="2"/>
  <c r="D26521" i="2"/>
  <c r="D26522" i="2"/>
  <c r="D26523" i="2"/>
  <c r="D26524" i="2"/>
  <c r="D26525" i="2"/>
  <c r="D26526" i="2"/>
  <c r="D26527" i="2"/>
  <c r="D26528" i="2"/>
  <c r="D26529" i="2"/>
  <c r="D26530" i="2"/>
  <c r="D26531" i="2"/>
  <c r="D26532" i="2"/>
  <c r="D26533" i="2"/>
  <c r="D26534" i="2"/>
  <c r="D26535" i="2"/>
  <c r="D26536" i="2"/>
  <c r="D26537" i="2"/>
  <c r="D26538" i="2"/>
  <c r="D26539" i="2"/>
  <c r="D26540" i="2"/>
  <c r="D26541" i="2"/>
  <c r="D26542" i="2"/>
  <c r="D26543" i="2"/>
  <c r="D26544" i="2"/>
  <c r="D26545" i="2"/>
  <c r="D26546" i="2"/>
  <c r="D26547" i="2"/>
  <c r="D26548" i="2"/>
  <c r="D26549" i="2"/>
  <c r="D26550" i="2"/>
  <c r="D26551" i="2"/>
  <c r="D26552" i="2"/>
  <c r="D26553" i="2"/>
  <c r="D26554" i="2"/>
  <c r="D26555" i="2"/>
  <c r="D26556" i="2"/>
  <c r="D26557" i="2"/>
  <c r="D26558" i="2"/>
  <c r="D26559" i="2"/>
  <c r="D26560" i="2"/>
  <c r="D26561" i="2"/>
  <c r="D26562" i="2"/>
  <c r="D26563" i="2"/>
  <c r="D26564" i="2"/>
  <c r="D26565" i="2"/>
  <c r="D26566" i="2"/>
  <c r="D26567" i="2"/>
  <c r="D26568" i="2"/>
  <c r="D26569" i="2"/>
  <c r="D26570" i="2"/>
  <c r="D26571" i="2"/>
  <c r="D26572" i="2"/>
  <c r="D26573" i="2"/>
  <c r="D26574" i="2"/>
  <c r="D26575" i="2"/>
  <c r="D26576" i="2"/>
  <c r="D26577" i="2"/>
  <c r="D26578" i="2"/>
  <c r="D26579" i="2"/>
  <c r="D26580" i="2"/>
  <c r="D26581" i="2"/>
  <c r="D26582" i="2"/>
  <c r="D26583" i="2"/>
  <c r="D26584" i="2"/>
  <c r="D26585" i="2"/>
  <c r="D26586" i="2"/>
  <c r="D26587" i="2"/>
  <c r="D26588" i="2"/>
  <c r="D26589" i="2"/>
  <c r="D26590" i="2"/>
  <c r="D26591" i="2"/>
  <c r="D26592" i="2"/>
  <c r="D26593" i="2"/>
  <c r="D26594" i="2"/>
  <c r="D26595" i="2"/>
  <c r="D26596" i="2"/>
  <c r="D26597" i="2"/>
  <c r="D26598" i="2"/>
  <c r="D26599" i="2"/>
  <c r="D26600" i="2"/>
  <c r="D26601" i="2"/>
  <c r="D26602" i="2"/>
  <c r="D26603" i="2"/>
  <c r="D26604" i="2"/>
  <c r="D26605" i="2"/>
  <c r="D26606" i="2"/>
  <c r="D26607" i="2"/>
  <c r="D26608" i="2"/>
  <c r="D26609" i="2"/>
  <c r="D26610" i="2"/>
  <c r="D26611" i="2"/>
  <c r="D26612" i="2"/>
  <c r="D26613" i="2"/>
  <c r="D26614" i="2"/>
  <c r="D26615" i="2"/>
  <c r="D26616" i="2"/>
  <c r="D26617" i="2"/>
  <c r="D26618" i="2"/>
  <c r="D26619" i="2"/>
  <c r="D26620" i="2"/>
  <c r="D26621" i="2"/>
  <c r="D26622" i="2"/>
  <c r="D26623" i="2"/>
  <c r="D26624" i="2"/>
  <c r="D26625" i="2"/>
  <c r="D26626" i="2"/>
  <c r="D26627" i="2"/>
  <c r="D26628" i="2"/>
  <c r="D26629" i="2"/>
  <c r="D26630" i="2"/>
  <c r="D26631" i="2"/>
  <c r="D26632" i="2"/>
  <c r="D26633" i="2"/>
  <c r="D26634" i="2"/>
  <c r="D26635" i="2"/>
  <c r="D26636" i="2"/>
  <c r="D26637" i="2"/>
  <c r="D26638" i="2"/>
  <c r="D26639" i="2"/>
  <c r="D26640" i="2"/>
  <c r="D26641" i="2"/>
  <c r="D26642" i="2"/>
  <c r="D26643" i="2"/>
  <c r="D26644" i="2"/>
  <c r="D26645" i="2"/>
  <c r="D26646" i="2"/>
  <c r="D26647" i="2"/>
  <c r="D26648" i="2"/>
  <c r="D26649" i="2"/>
  <c r="D26650" i="2"/>
  <c r="D26651" i="2"/>
  <c r="D26652" i="2"/>
  <c r="D26653" i="2"/>
  <c r="D26654" i="2"/>
  <c r="D26655" i="2"/>
  <c r="D26656" i="2"/>
  <c r="D26657" i="2"/>
  <c r="D26658" i="2"/>
  <c r="D26659" i="2"/>
  <c r="D26660" i="2"/>
  <c r="D26661" i="2"/>
  <c r="D26662" i="2"/>
  <c r="D26663" i="2"/>
  <c r="D26664" i="2"/>
  <c r="D26665" i="2"/>
  <c r="D26666" i="2"/>
  <c r="D26667" i="2"/>
  <c r="D26668" i="2"/>
  <c r="D26669" i="2"/>
  <c r="D26670" i="2"/>
  <c r="D26671" i="2"/>
  <c r="D26672" i="2"/>
  <c r="D26673" i="2"/>
  <c r="D26674" i="2"/>
  <c r="D26675" i="2"/>
  <c r="D26676" i="2"/>
  <c r="D26677" i="2"/>
  <c r="D26678" i="2"/>
  <c r="D26679" i="2"/>
  <c r="D26680" i="2"/>
  <c r="D26681" i="2"/>
  <c r="D26682" i="2"/>
  <c r="D26683" i="2"/>
  <c r="D26684" i="2"/>
  <c r="D26685" i="2"/>
  <c r="D26686" i="2"/>
  <c r="D26687" i="2"/>
  <c r="D26688" i="2"/>
  <c r="D26689" i="2"/>
  <c r="D26690" i="2"/>
  <c r="D26691" i="2"/>
  <c r="D26692" i="2"/>
  <c r="D26693" i="2"/>
  <c r="D26694" i="2"/>
  <c r="D26695" i="2"/>
  <c r="D26696" i="2"/>
  <c r="D26697" i="2"/>
  <c r="D26698" i="2"/>
  <c r="D26699" i="2"/>
  <c r="D26700" i="2"/>
  <c r="D26701" i="2"/>
  <c r="D26702" i="2"/>
  <c r="D26703" i="2"/>
  <c r="D26704" i="2"/>
  <c r="D26705" i="2"/>
  <c r="D26706" i="2"/>
  <c r="D26707" i="2"/>
  <c r="D26708" i="2"/>
  <c r="D26709" i="2"/>
  <c r="D26710" i="2"/>
  <c r="D26711" i="2"/>
  <c r="D26712" i="2"/>
  <c r="D26713" i="2"/>
  <c r="D26714" i="2"/>
  <c r="D26715" i="2"/>
  <c r="D26716" i="2"/>
  <c r="D26717" i="2"/>
  <c r="D26718" i="2"/>
  <c r="D26719" i="2"/>
  <c r="D26720" i="2"/>
  <c r="D26721" i="2"/>
  <c r="D26722" i="2"/>
  <c r="D26723" i="2"/>
  <c r="D26724" i="2"/>
  <c r="D26725" i="2"/>
  <c r="D26726" i="2"/>
  <c r="D26727" i="2"/>
  <c r="D26728" i="2"/>
  <c r="D26729" i="2"/>
  <c r="D26730" i="2"/>
  <c r="D26731" i="2"/>
  <c r="D26732" i="2"/>
  <c r="D26733" i="2"/>
  <c r="D26734" i="2"/>
  <c r="D26735" i="2"/>
  <c r="D26736" i="2"/>
  <c r="D26737" i="2"/>
  <c r="D26738" i="2"/>
  <c r="D26739" i="2"/>
  <c r="D26740" i="2"/>
  <c r="D26741" i="2"/>
  <c r="D26742" i="2"/>
  <c r="D26743" i="2"/>
  <c r="D26744" i="2"/>
  <c r="D26745" i="2"/>
  <c r="D26746" i="2"/>
  <c r="D26747" i="2"/>
  <c r="D26748" i="2"/>
  <c r="D26749" i="2"/>
  <c r="D26750" i="2"/>
  <c r="D26751" i="2"/>
  <c r="D26752" i="2"/>
  <c r="D26753" i="2"/>
  <c r="D26754" i="2"/>
  <c r="D26755" i="2"/>
  <c r="D26756" i="2"/>
  <c r="D26757" i="2"/>
  <c r="D26758" i="2"/>
  <c r="D26759" i="2"/>
  <c r="D26760" i="2"/>
  <c r="D26761" i="2"/>
  <c r="D26762" i="2"/>
  <c r="D26763" i="2"/>
  <c r="D26764" i="2"/>
  <c r="D26765" i="2"/>
  <c r="D26766" i="2"/>
  <c r="D26767" i="2"/>
  <c r="D26768" i="2"/>
  <c r="D26769" i="2"/>
  <c r="D26770" i="2"/>
  <c r="D26771" i="2"/>
  <c r="D26772" i="2"/>
  <c r="D26773" i="2"/>
  <c r="D26774" i="2"/>
  <c r="D26775" i="2"/>
  <c r="D26776" i="2"/>
  <c r="D26777" i="2"/>
  <c r="D26778" i="2"/>
  <c r="D26779" i="2"/>
  <c r="D26780" i="2"/>
  <c r="D26781" i="2"/>
  <c r="D26782" i="2"/>
  <c r="D26783" i="2"/>
  <c r="D26784" i="2"/>
  <c r="D26785" i="2"/>
  <c r="D26786" i="2"/>
  <c r="D26787" i="2"/>
  <c r="D26788" i="2"/>
  <c r="D26789" i="2"/>
  <c r="D26790" i="2"/>
  <c r="D26791" i="2"/>
  <c r="D26792" i="2"/>
  <c r="D26793" i="2"/>
  <c r="D26794" i="2"/>
  <c r="D26795" i="2"/>
  <c r="D26796" i="2"/>
  <c r="D26797" i="2"/>
  <c r="D26798" i="2"/>
  <c r="D26799" i="2"/>
  <c r="D26800" i="2"/>
  <c r="D26801" i="2"/>
  <c r="D26802" i="2"/>
  <c r="D26803" i="2"/>
  <c r="D26804" i="2"/>
  <c r="D26805" i="2"/>
  <c r="D26806" i="2"/>
  <c r="D26807" i="2"/>
  <c r="D26808" i="2"/>
  <c r="D26809" i="2"/>
  <c r="D26810" i="2"/>
  <c r="D26811" i="2"/>
  <c r="D26812" i="2"/>
  <c r="D26813" i="2"/>
  <c r="D26814" i="2"/>
  <c r="D26815" i="2"/>
  <c r="D26816" i="2"/>
  <c r="D26817" i="2"/>
  <c r="D26818" i="2"/>
  <c r="D26819" i="2"/>
  <c r="D26820" i="2"/>
  <c r="D26821" i="2"/>
  <c r="D26822" i="2"/>
  <c r="D26823" i="2"/>
  <c r="D26824" i="2"/>
  <c r="D26825" i="2"/>
  <c r="D26826" i="2"/>
  <c r="D26827" i="2"/>
  <c r="D26828" i="2"/>
  <c r="D26829" i="2"/>
  <c r="D26830" i="2"/>
  <c r="D26831" i="2"/>
  <c r="D26832" i="2"/>
  <c r="D26833" i="2"/>
  <c r="D26834" i="2"/>
  <c r="D26835" i="2"/>
  <c r="D26836" i="2"/>
  <c r="D26837" i="2"/>
  <c r="D26838" i="2"/>
  <c r="D26839" i="2"/>
  <c r="D26840" i="2"/>
  <c r="D26841" i="2"/>
  <c r="D26842" i="2"/>
  <c r="D26843" i="2"/>
  <c r="D26844" i="2"/>
  <c r="D26845" i="2"/>
  <c r="D26846" i="2"/>
  <c r="D26847" i="2"/>
  <c r="D26848" i="2"/>
  <c r="D26849" i="2"/>
  <c r="D26850" i="2"/>
  <c r="D26851" i="2"/>
  <c r="D26852" i="2"/>
  <c r="D26853" i="2"/>
  <c r="D26854" i="2"/>
  <c r="D26855" i="2"/>
  <c r="D26856" i="2"/>
  <c r="D26857" i="2"/>
  <c r="D26858" i="2"/>
  <c r="D26859" i="2"/>
  <c r="D26860" i="2"/>
  <c r="D26861" i="2"/>
  <c r="D26862" i="2"/>
  <c r="D26863" i="2"/>
  <c r="D26864" i="2"/>
  <c r="D26865" i="2"/>
  <c r="D26866" i="2"/>
  <c r="D26867" i="2"/>
  <c r="D26868" i="2"/>
  <c r="D26869" i="2"/>
  <c r="D26870" i="2"/>
  <c r="D26871" i="2"/>
  <c r="D26872" i="2"/>
  <c r="D26873" i="2"/>
  <c r="D26874" i="2"/>
  <c r="D26875" i="2"/>
  <c r="D26876" i="2"/>
  <c r="D26877" i="2"/>
  <c r="D26878" i="2"/>
  <c r="D26879" i="2"/>
  <c r="D26880" i="2"/>
  <c r="D26881" i="2"/>
  <c r="D26882" i="2"/>
  <c r="D26883" i="2"/>
  <c r="D26884" i="2"/>
  <c r="D26885" i="2"/>
  <c r="D26886" i="2"/>
  <c r="D26887" i="2"/>
  <c r="D26888" i="2"/>
  <c r="D26889" i="2"/>
  <c r="D26890" i="2"/>
  <c r="D26891" i="2"/>
  <c r="D26892" i="2"/>
  <c r="D26893" i="2"/>
  <c r="D26894" i="2"/>
  <c r="D26895" i="2"/>
  <c r="D26896" i="2"/>
  <c r="D26897" i="2"/>
  <c r="D26898" i="2"/>
  <c r="D26899" i="2"/>
  <c r="D26900" i="2"/>
  <c r="D26901" i="2"/>
  <c r="D26902" i="2"/>
  <c r="D26903" i="2"/>
  <c r="D26904" i="2"/>
  <c r="D26905" i="2"/>
  <c r="D26906" i="2"/>
  <c r="D26907" i="2"/>
  <c r="D26908" i="2"/>
  <c r="D26909" i="2"/>
  <c r="D26910" i="2"/>
  <c r="D26911" i="2"/>
  <c r="D26912" i="2"/>
  <c r="D26913" i="2"/>
  <c r="D26914" i="2"/>
  <c r="D26915" i="2"/>
  <c r="D26916" i="2"/>
  <c r="D26917" i="2"/>
  <c r="D26918" i="2"/>
  <c r="D26919" i="2"/>
  <c r="D26920" i="2"/>
  <c r="D26921" i="2"/>
  <c r="D26922" i="2"/>
  <c r="D26923" i="2"/>
  <c r="D26924" i="2"/>
  <c r="D26925" i="2"/>
  <c r="D26926" i="2"/>
  <c r="D26927" i="2"/>
  <c r="D26928" i="2"/>
  <c r="D26929" i="2"/>
  <c r="D26930" i="2"/>
  <c r="D26931" i="2"/>
  <c r="D26932" i="2"/>
  <c r="D26933" i="2"/>
  <c r="D26934" i="2"/>
  <c r="D26935" i="2"/>
  <c r="D26936" i="2"/>
  <c r="D26937" i="2"/>
  <c r="D26938" i="2"/>
  <c r="D26939" i="2"/>
  <c r="D26940" i="2"/>
  <c r="D26941" i="2"/>
  <c r="D26942" i="2"/>
  <c r="D26943" i="2"/>
  <c r="D26944" i="2"/>
  <c r="D26945" i="2"/>
  <c r="D26946" i="2"/>
  <c r="D26947" i="2"/>
  <c r="D26948" i="2"/>
  <c r="D26949" i="2"/>
  <c r="D26950" i="2"/>
  <c r="D26951" i="2"/>
  <c r="D26952" i="2"/>
  <c r="D26953" i="2"/>
  <c r="D26954" i="2"/>
  <c r="D26955" i="2"/>
  <c r="D26956" i="2"/>
  <c r="D26957" i="2"/>
  <c r="D26958" i="2"/>
  <c r="D26959" i="2"/>
  <c r="D26960" i="2"/>
  <c r="D26961" i="2"/>
  <c r="D26962" i="2"/>
  <c r="D26963" i="2"/>
  <c r="D26964" i="2"/>
  <c r="D26965" i="2"/>
  <c r="D26966" i="2"/>
  <c r="D26967" i="2"/>
  <c r="D26968" i="2"/>
  <c r="D26969" i="2"/>
  <c r="D26970" i="2"/>
  <c r="D26971" i="2"/>
  <c r="D26972" i="2"/>
  <c r="D26973" i="2"/>
  <c r="D26974" i="2"/>
  <c r="D26975" i="2"/>
  <c r="D26976" i="2"/>
  <c r="D26977" i="2"/>
  <c r="D26978" i="2"/>
  <c r="D26979" i="2"/>
  <c r="D26980" i="2"/>
  <c r="D26981" i="2"/>
  <c r="D26982" i="2"/>
  <c r="D26983" i="2"/>
  <c r="D26984" i="2"/>
  <c r="D26985" i="2"/>
  <c r="D26986" i="2"/>
  <c r="D26987" i="2"/>
  <c r="D26988" i="2"/>
  <c r="D26989" i="2"/>
  <c r="D26990" i="2"/>
  <c r="D26991" i="2"/>
  <c r="D26992" i="2"/>
  <c r="D26993" i="2"/>
  <c r="D26994" i="2"/>
  <c r="D26995" i="2"/>
  <c r="D26996" i="2"/>
  <c r="D26997" i="2"/>
  <c r="D26998" i="2"/>
  <c r="D26999" i="2"/>
  <c r="D27000" i="2"/>
  <c r="D27001" i="2"/>
  <c r="D27002" i="2"/>
  <c r="D27003" i="2"/>
  <c r="D27004" i="2"/>
  <c r="D27005" i="2"/>
  <c r="D27006" i="2"/>
  <c r="D27007" i="2"/>
  <c r="D27008" i="2"/>
  <c r="D27009" i="2"/>
  <c r="D27010" i="2"/>
  <c r="D27011" i="2"/>
  <c r="D27012" i="2"/>
  <c r="D27013" i="2"/>
  <c r="D27014" i="2"/>
  <c r="D27015" i="2"/>
  <c r="D27016" i="2"/>
  <c r="D27017" i="2"/>
  <c r="D27018" i="2"/>
  <c r="D27019" i="2"/>
  <c r="D27020" i="2"/>
  <c r="D27021" i="2"/>
  <c r="D27022" i="2"/>
  <c r="D27023" i="2"/>
  <c r="D27024" i="2"/>
  <c r="D27025" i="2"/>
  <c r="D27026" i="2"/>
  <c r="D27027" i="2"/>
  <c r="D27028" i="2"/>
  <c r="D27029" i="2"/>
  <c r="D27030" i="2"/>
  <c r="D27031" i="2"/>
  <c r="D27032" i="2"/>
  <c r="D27033" i="2"/>
  <c r="D27034" i="2"/>
  <c r="D27035" i="2"/>
  <c r="D27036" i="2"/>
  <c r="D27037" i="2"/>
  <c r="D27038" i="2"/>
  <c r="D27039" i="2"/>
  <c r="D27040" i="2"/>
  <c r="D27041" i="2"/>
  <c r="D27042" i="2"/>
  <c r="D27043" i="2"/>
  <c r="D27044" i="2"/>
  <c r="D27045" i="2"/>
  <c r="D27046" i="2"/>
  <c r="D27047" i="2"/>
  <c r="D27048" i="2"/>
  <c r="D27049" i="2"/>
  <c r="D27050" i="2"/>
  <c r="D27051" i="2"/>
  <c r="D27052" i="2"/>
  <c r="D27053" i="2"/>
  <c r="D27054" i="2"/>
  <c r="D27055" i="2"/>
  <c r="D27056" i="2"/>
  <c r="D27057" i="2"/>
  <c r="D27058" i="2"/>
  <c r="D27059" i="2"/>
  <c r="D27060" i="2"/>
  <c r="D27061" i="2"/>
  <c r="D27062" i="2"/>
  <c r="D27063" i="2"/>
  <c r="D27064" i="2"/>
  <c r="D27065" i="2"/>
  <c r="D27066" i="2"/>
  <c r="D27067" i="2"/>
  <c r="D27068" i="2"/>
  <c r="D27069" i="2"/>
  <c r="D27070" i="2"/>
  <c r="D27071" i="2"/>
  <c r="D27072" i="2"/>
  <c r="D27073" i="2"/>
  <c r="D27074" i="2"/>
  <c r="D27075" i="2"/>
  <c r="D27076" i="2"/>
  <c r="D27077" i="2"/>
  <c r="D27078" i="2"/>
  <c r="D27079" i="2"/>
  <c r="D27080" i="2"/>
  <c r="D27081" i="2"/>
  <c r="D27082" i="2"/>
  <c r="D27083" i="2"/>
  <c r="D27084" i="2"/>
  <c r="D27085" i="2"/>
  <c r="D27086" i="2"/>
  <c r="D27087" i="2"/>
  <c r="D27088" i="2"/>
  <c r="D27089" i="2"/>
  <c r="D27090" i="2"/>
  <c r="D27091" i="2"/>
  <c r="D27092" i="2"/>
  <c r="D27093" i="2"/>
  <c r="D27094" i="2"/>
  <c r="D27095" i="2"/>
  <c r="D27096" i="2"/>
  <c r="D27097" i="2"/>
  <c r="D27098" i="2"/>
  <c r="D27099" i="2"/>
  <c r="D27100" i="2"/>
  <c r="D27101" i="2"/>
  <c r="D27102" i="2"/>
  <c r="D27103" i="2"/>
  <c r="D27104" i="2"/>
  <c r="D27105" i="2"/>
  <c r="D27106" i="2"/>
  <c r="D27107" i="2"/>
  <c r="D27108" i="2"/>
  <c r="D27109" i="2"/>
  <c r="D27110" i="2"/>
  <c r="D27111" i="2"/>
  <c r="D27112" i="2"/>
  <c r="D27113" i="2"/>
  <c r="D27114" i="2"/>
  <c r="D27115" i="2"/>
  <c r="D27116" i="2"/>
  <c r="D27117" i="2"/>
  <c r="D27118" i="2"/>
  <c r="D27119" i="2"/>
  <c r="D27120" i="2"/>
  <c r="D27121" i="2"/>
  <c r="D27122" i="2"/>
  <c r="D27123" i="2"/>
  <c r="D27124" i="2"/>
  <c r="D27125" i="2"/>
  <c r="D27126" i="2"/>
  <c r="D27127" i="2"/>
  <c r="D27128" i="2"/>
  <c r="D27129" i="2"/>
  <c r="D27130" i="2"/>
  <c r="D27131" i="2"/>
  <c r="D27132" i="2"/>
  <c r="D27133" i="2"/>
  <c r="D27134" i="2"/>
  <c r="D27135" i="2"/>
  <c r="D27136" i="2"/>
  <c r="D27137" i="2"/>
  <c r="D27138" i="2"/>
  <c r="D27139" i="2"/>
  <c r="D27140" i="2"/>
  <c r="D27141" i="2"/>
  <c r="D27142" i="2"/>
  <c r="D27143" i="2"/>
  <c r="D27144" i="2"/>
  <c r="D27145" i="2"/>
  <c r="D27146" i="2"/>
  <c r="D27147" i="2"/>
  <c r="D27148" i="2"/>
  <c r="D27149" i="2"/>
  <c r="D27150" i="2"/>
  <c r="D27151" i="2"/>
  <c r="D27152" i="2"/>
  <c r="D27153" i="2"/>
  <c r="D27154" i="2"/>
  <c r="D27155" i="2"/>
  <c r="D27156" i="2"/>
  <c r="D27157" i="2"/>
  <c r="D27158" i="2"/>
  <c r="D27159" i="2"/>
  <c r="D27160" i="2"/>
  <c r="D27161" i="2"/>
  <c r="D27162" i="2"/>
  <c r="D27163" i="2"/>
  <c r="D27164" i="2"/>
  <c r="D27165" i="2"/>
  <c r="D27166" i="2"/>
  <c r="D27167" i="2"/>
  <c r="D27168" i="2"/>
  <c r="D27169" i="2"/>
  <c r="D27170" i="2"/>
  <c r="D27171" i="2"/>
  <c r="D27172" i="2"/>
  <c r="D27173" i="2"/>
  <c r="D27174" i="2"/>
  <c r="D27175" i="2"/>
  <c r="D27176" i="2"/>
  <c r="D27177" i="2"/>
  <c r="D27178" i="2"/>
  <c r="D27179" i="2"/>
  <c r="D27180" i="2"/>
  <c r="D27181" i="2"/>
  <c r="D27182" i="2"/>
  <c r="D27183" i="2"/>
  <c r="D27184" i="2"/>
  <c r="D27185" i="2"/>
  <c r="D27186" i="2"/>
  <c r="D27187" i="2"/>
  <c r="D27188" i="2"/>
  <c r="D27189" i="2"/>
  <c r="D27190" i="2"/>
  <c r="D27191" i="2"/>
  <c r="D27192" i="2"/>
  <c r="D27193" i="2"/>
  <c r="D27194" i="2"/>
  <c r="D27195" i="2"/>
  <c r="D27196" i="2"/>
  <c r="D27197" i="2"/>
  <c r="D27198" i="2"/>
  <c r="D27199" i="2"/>
  <c r="D27200" i="2"/>
  <c r="D27201" i="2"/>
  <c r="D27202" i="2"/>
  <c r="D27203" i="2"/>
  <c r="D27204" i="2"/>
  <c r="D27205" i="2"/>
  <c r="D27206" i="2"/>
  <c r="D27207" i="2"/>
  <c r="D27208" i="2"/>
  <c r="D27209" i="2"/>
  <c r="D27210" i="2"/>
  <c r="D27211" i="2"/>
  <c r="D27212" i="2"/>
  <c r="D27213" i="2"/>
  <c r="D27214" i="2"/>
  <c r="D27215" i="2"/>
  <c r="D27216" i="2"/>
  <c r="D27217" i="2"/>
  <c r="D27218" i="2"/>
  <c r="D27219" i="2"/>
  <c r="D27220" i="2"/>
  <c r="D27221" i="2"/>
  <c r="D27222" i="2"/>
  <c r="D27223" i="2"/>
  <c r="D27224" i="2"/>
  <c r="D27225" i="2"/>
  <c r="D27226" i="2"/>
  <c r="D27227" i="2"/>
  <c r="D27228" i="2"/>
  <c r="D27229" i="2"/>
  <c r="D27230" i="2"/>
  <c r="D27231" i="2"/>
  <c r="D27232" i="2"/>
  <c r="D27233" i="2"/>
  <c r="D27234" i="2"/>
  <c r="D27235" i="2"/>
  <c r="D27236" i="2"/>
  <c r="D27237" i="2"/>
  <c r="D27238" i="2"/>
  <c r="D27239" i="2"/>
  <c r="D27240" i="2"/>
  <c r="D27241" i="2"/>
  <c r="D27242" i="2"/>
  <c r="D27243" i="2"/>
  <c r="D27244" i="2"/>
  <c r="D27245" i="2"/>
  <c r="D27246" i="2"/>
  <c r="D27247" i="2"/>
  <c r="D27248" i="2"/>
  <c r="D27249" i="2"/>
  <c r="D27250" i="2"/>
  <c r="D27251" i="2"/>
  <c r="D27252" i="2"/>
  <c r="D27253" i="2"/>
  <c r="D27254" i="2"/>
  <c r="D27255" i="2"/>
  <c r="D27256" i="2"/>
  <c r="D27257" i="2"/>
  <c r="D27258" i="2"/>
  <c r="D27259" i="2"/>
  <c r="D27260" i="2"/>
  <c r="D27261" i="2"/>
  <c r="D27262" i="2"/>
  <c r="D27263" i="2"/>
  <c r="D27264" i="2"/>
  <c r="D27265" i="2"/>
  <c r="D27266" i="2"/>
  <c r="D27267" i="2"/>
  <c r="D27268" i="2"/>
  <c r="D27269" i="2"/>
  <c r="D27270" i="2"/>
  <c r="D27271" i="2"/>
  <c r="D27272" i="2"/>
  <c r="D27273" i="2"/>
  <c r="D27274" i="2"/>
  <c r="D27275" i="2"/>
  <c r="D27276" i="2"/>
  <c r="D27277" i="2"/>
  <c r="D27278" i="2"/>
  <c r="D27279" i="2"/>
  <c r="D27280" i="2"/>
  <c r="D27281" i="2"/>
  <c r="D27282" i="2"/>
  <c r="D27283" i="2"/>
  <c r="D27284" i="2"/>
  <c r="D27285" i="2"/>
  <c r="D27286" i="2"/>
  <c r="D27287" i="2"/>
  <c r="D27288" i="2"/>
  <c r="D27289" i="2"/>
  <c r="D27290" i="2"/>
  <c r="D27291" i="2"/>
  <c r="D27292" i="2"/>
  <c r="D27293" i="2"/>
  <c r="D27294" i="2"/>
  <c r="D27295" i="2"/>
  <c r="D27296" i="2"/>
  <c r="D27297" i="2"/>
  <c r="D27298" i="2"/>
  <c r="D27299" i="2"/>
  <c r="D27300" i="2"/>
  <c r="D27301" i="2"/>
  <c r="D27302" i="2"/>
  <c r="D27303" i="2"/>
  <c r="D27304" i="2"/>
  <c r="D27305" i="2"/>
  <c r="D27306" i="2"/>
  <c r="D27307" i="2"/>
  <c r="D27308" i="2"/>
  <c r="D27309" i="2"/>
  <c r="D27310" i="2"/>
  <c r="D27311" i="2"/>
  <c r="D27312" i="2"/>
  <c r="D27313" i="2"/>
  <c r="D27314" i="2"/>
  <c r="D27315" i="2"/>
  <c r="D27316" i="2"/>
  <c r="D27317" i="2"/>
  <c r="D27318" i="2"/>
  <c r="D27319" i="2"/>
  <c r="D27320" i="2"/>
  <c r="D27321" i="2"/>
  <c r="D27322" i="2"/>
  <c r="D27323" i="2"/>
  <c r="D27324" i="2"/>
  <c r="D27325" i="2"/>
  <c r="D27326" i="2"/>
  <c r="D27327" i="2"/>
  <c r="D27328" i="2"/>
  <c r="D27329" i="2"/>
  <c r="D27330" i="2"/>
  <c r="D27331" i="2"/>
  <c r="D27332" i="2"/>
  <c r="D27333" i="2"/>
  <c r="D27334" i="2"/>
  <c r="D27335" i="2"/>
  <c r="D27336" i="2"/>
  <c r="D27337" i="2"/>
  <c r="D27338" i="2"/>
  <c r="D27339" i="2"/>
  <c r="D27340" i="2"/>
  <c r="D27341" i="2"/>
  <c r="D27342" i="2"/>
  <c r="D27343" i="2"/>
  <c r="D27344" i="2"/>
  <c r="D27345" i="2"/>
  <c r="D27346" i="2"/>
  <c r="D27347" i="2"/>
  <c r="D27348" i="2"/>
  <c r="D27349" i="2"/>
  <c r="D27350" i="2"/>
  <c r="D27351" i="2"/>
  <c r="D27352" i="2"/>
  <c r="D27353" i="2"/>
  <c r="D27354" i="2"/>
  <c r="D27355" i="2"/>
  <c r="D27356" i="2"/>
  <c r="D27357" i="2"/>
  <c r="D27358" i="2"/>
  <c r="D27359" i="2"/>
  <c r="D27360" i="2"/>
  <c r="D27361" i="2"/>
  <c r="D27362" i="2"/>
  <c r="D27363" i="2"/>
  <c r="D27364" i="2"/>
  <c r="D27365" i="2"/>
  <c r="D27366" i="2"/>
  <c r="D27367" i="2"/>
  <c r="D27368" i="2"/>
  <c r="D27369" i="2"/>
  <c r="D27370" i="2"/>
  <c r="D27371" i="2"/>
  <c r="D27372" i="2"/>
  <c r="D27373" i="2"/>
  <c r="D27374" i="2"/>
  <c r="D27375" i="2"/>
  <c r="D27376" i="2"/>
  <c r="D27377" i="2"/>
  <c r="D27378" i="2"/>
  <c r="D27379" i="2"/>
  <c r="D27380" i="2"/>
  <c r="D27381" i="2"/>
  <c r="D27382" i="2"/>
  <c r="D27383" i="2"/>
  <c r="D27384" i="2"/>
  <c r="D27385" i="2"/>
  <c r="D27386" i="2"/>
  <c r="D27387" i="2"/>
  <c r="D27388" i="2"/>
  <c r="D27389" i="2"/>
  <c r="D27390" i="2"/>
  <c r="D27391" i="2"/>
  <c r="D27392" i="2"/>
  <c r="D27393" i="2"/>
  <c r="D27394" i="2"/>
  <c r="D27395" i="2"/>
  <c r="D27396" i="2"/>
  <c r="D27397" i="2"/>
  <c r="D27398" i="2"/>
  <c r="D27399" i="2"/>
  <c r="D27400" i="2"/>
  <c r="D27401" i="2"/>
  <c r="D27402" i="2"/>
  <c r="D27403" i="2"/>
  <c r="D27404" i="2"/>
  <c r="D27405" i="2"/>
  <c r="D27406" i="2"/>
  <c r="D27407" i="2"/>
  <c r="D27408" i="2"/>
  <c r="D27409" i="2"/>
  <c r="D27410" i="2"/>
  <c r="D27411" i="2"/>
  <c r="D27412" i="2"/>
  <c r="D27413" i="2"/>
  <c r="D27414" i="2"/>
  <c r="D27415" i="2"/>
  <c r="D27416" i="2"/>
  <c r="D27417" i="2"/>
  <c r="D27418" i="2"/>
  <c r="D27419" i="2"/>
  <c r="D27420" i="2"/>
  <c r="D27421" i="2"/>
  <c r="D27422" i="2"/>
  <c r="D27423" i="2"/>
  <c r="D27424" i="2"/>
  <c r="D27425" i="2"/>
  <c r="D27426" i="2"/>
  <c r="D27427" i="2"/>
  <c r="D27428" i="2"/>
  <c r="D27429" i="2"/>
  <c r="D27430" i="2"/>
  <c r="D27431" i="2"/>
  <c r="D27432" i="2"/>
  <c r="D27433" i="2"/>
  <c r="D27434" i="2"/>
  <c r="D27435" i="2"/>
  <c r="D27436" i="2"/>
  <c r="D27437" i="2"/>
  <c r="D27438" i="2"/>
  <c r="D27439" i="2"/>
  <c r="D27440" i="2"/>
  <c r="D27441" i="2"/>
  <c r="D27442" i="2"/>
  <c r="D27443" i="2"/>
  <c r="D27444" i="2"/>
  <c r="D27445" i="2"/>
  <c r="D27446" i="2"/>
  <c r="D27447" i="2"/>
  <c r="D27448" i="2"/>
  <c r="D27449" i="2"/>
  <c r="D27450" i="2"/>
  <c r="D27451" i="2"/>
  <c r="D27452" i="2"/>
  <c r="D27453" i="2"/>
  <c r="D27454" i="2"/>
  <c r="D27455" i="2"/>
  <c r="D27456" i="2"/>
  <c r="D27457" i="2"/>
  <c r="D27458" i="2"/>
  <c r="D27459" i="2"/>
  <c r="D27460" i="2"/>
  <c r="D27461" i="2"/>
  <c r="D27462" i="2"/>
  <c r="D27463" i="2"/>
  <c r="D27464" i="2"/>
  <c r="D27465" i="2"/>
  <c r="D27466" i="2"/>
  <c r="D27467" i="2"/>
  <c r="D27468" i="2"/>
  <c r="D27469" i="2"/>
  <c r="D27470" i="2"/>
  <c r="D27471" i="2"/>
  <c r="D27472" i="2"/>
  <c r="D27473" i="2"/>
  <c r="D27474" i="2"/>
  <c r="D27475" i="2"/>
  <c r="D27476" i="2"/>
  <c r="D27477" i="2"/>
  <c r="D27478" i="2"/>
  <c r="D27479" i="2"/>
  <c r="D27480" i="2"/>
  <c r="D27481" i="2"/>
  <c r="D27482" i="2"/>
  <c r="D27483" i="2"/>
  <c r="D27484" i="2"/>
  <c r="D27485" i="2"/>
  <c r="D27486" i="2"/>
  <c r="D27487" i="2"/>
  <c r="D27488" i="2"/>
  <c r="D27489" i="2"/>
  <c r="D27490" i="2"/>
  <c r="D27491" i="2"/>
  <c r="D27492" i="2"/>
  <c r="D27493" i="2"/>
  <c r="D27494" i="2"/>
  <c r="D27495" i="2"/>
  <c r="D27496" i="2"/>
  <c r="D27497" i="2"/>
  <c r="D27498" i="2"/>
  <c r="D27499" i="2"/>
  <c r="D27500" i="2"/>
  <c r="D27501" i="2"/>
  <c r="D27502" i="2"/>
  <c r="D27503" i="2"/>
  <c r="D27504" i="2"/>
  <c r="D27505" i="2"/>
  <c r="D27506" i="2"/>
  <c r="D27507" i="2"/>
  <c r="D27508" i="2"/>
  <c r="D27509" i="2"/>
  <c r="D27510" i="2"/>
  <c r="D27511" i="2"/>
  <c r="D27512" i="2"/>
  <c r="D27513" i="2"/>
  <c r="D27514" i="2"/>
  <c r="D27515" i="2"/>
  <c r="D27516" i="2"/>
  <c r="D27517" i="2"/>
  <c r="D27518" i="2"/>
  <c r="D27519" i="2"/>
  <c r="D27520" i="2"/>
  <c r="D27521" i="2"/>
  <c r="D27522" i="2"/>
  <c r="D27523" i="2"/>
  <c r="D27524" i="2"/>
  <c r="D27525" i="2"/>
  <c r="D27526" i="2"/>
  <c r="D27527" i="2"/>
  <c r="D27528" i="2"/>
  <c r="D27529" i="2"/>
  <c r="D27530" i="2"/>
  <c r="D27531" i="2"/>
  <c r="D27532" i="2"/>
  <c r="D27533" i="2"/>
  <c r="D27534" i="2"/>
  <c r="D27535" i="2"/>
  <c r="D27536" i="2"/>
  <c r="D27537" i="2"/>
  <c r="D27538" i="2"/>
  <c r="D27539" i="2"/>
  <c r="D27540" i="2"/>
  <c r="D27541" i="2"/>
  <c r="D27542" i="2"/>
  <c r="D27543" i="2"/>
  <c r="D27544" i="2"/>
  <c r="D27545" i="2"/>
  <c r="D27546" i="2"/>
  <c r="D27547" i="2"/>
  <c r="D27548" i="2"/>
  <c r="D27549" i="2"/>
  <c r="D27550" i="2"/>
  <c r="D27551" i="2"/>
  <c r="D27552" i="2"/>
  <c r="D27553" i="2"/>
  <c r="D27554" i="2"/>
  <c r="D27555" i="2"/>
  <c r="D27556" i="2"/>
  <c r="D27557" i="2"/>
  <c r="D27558" i="2"/>
  <c r="D27559" i="2"/>
  <c r="D27560" i="2"/>
  <c r="D27561" i="2"/>
  <c r="D27562" i="2"/>
  <c r="D27563" i="2"/>
  <c r="D27564" i="2"/>
  <c r="D27565" i="2"/>
  <c r="D27566" i="2"/>
  <c r="D27567" i="2"/>
  <c r="D27568" i="2"/>
  <c r="D27569" i="2"/>
  <c r="D27570" i="2"/>
  <c r="D27571" i="2"/>
  <c r="D27572" i="2"/>
  <c r="D27573" i="2"/>
  <c r="D27574" i="2"/>
  <c r="D27575" i="2"/>
  <c r="D27576" i="2"/>
  <c r="D27577" i="2"/>
  <c r="D27578" i="2"/>
  <c r="D27579" i="2"/>
  <c r="D27580" i="2"/>
  <c r="D27581" i="2"/>
  <c r="D27582" i="2"/>
  <c r="D27583" i="2"/>
  <c r="D27584" i="2"/>
  <c r="D27585" i="2"/>
  <c r="D27586" i="2"/>
  <c r="D27587" i="2"/>
  <c r="D27588" i="2"/>
  <c r="D27589" i="2"/>
  <c r="D27590" i="2"/>
  <c r="D27591" i="2"/>
  <c r="D27592" i="2"/>
  <c r="D27593" i="2"/>
  <c r="D27594" i="2"/>
  <c r="D27595" i="2"/>
  <c r="D27596" i="2"/>
  <c r="D27597" i="2"/>
  <c r="D27598" i="2"/>
  <c r="D27599" i="2"/>
  <c r="D27600" i="2"/>
  <c r="D27601" i="2"/>
  <c r="D27602" i="2"/>
  <c r="D27603" i="2"/>
  <c r="D27604" i="2"/>
  <c r="D27605" i="2"/>
  <c r="D27606" i="2"/>
  <c r="D27607" i="2"/>
  <c r="D27608" i="2"/>
  <c r="D27609" i="2"/>
  <c r="D27610" i="2"/>
  <c r="D27611" i="2"/>
  <c r="D27612" i="2"/>
  <c r="D27613" i="2"/>
  <c r="D27614" i="2"/>
  <c r="D27615" i="2"/>
  <c r="D27616" i="2"/>
  <c r="D27617" i="2"/>
  <c r="D27618" i="2"/>
  <c r="D27619" i="2"/>
  <c r="D27620" i="2"/>
  <c r="D27621" i="2"/>
  <c r="D27622" i="2"/>
  <c r="D27623" i="2"/>
  <c r="D27624" i="2"/>
  <c r="D27625" i="2"/>
  <c r="D27626" i="2"/>
  <c r="D27627" i="2"/>
  <c r="D27628" i="2"/>
  <c r="D27629" i="2"/>
  <c r="D27630" i="2"/>
  <c r="D27631" i="2"/>
  <c r="D27632" i="2"/>
  <c r="D27633" i="2"/>
  <c r="D27634" i="2"/>
  <c r="D27635" i="2"/>
  <c r="D27636" i="2"/>
  <c r="D27637" i="2"/>
  <c r="D27638" i="2"/>
  <c r="D27639" i="2"/>
  <c r="D27640" i="2"/>
  <c r="D27641" i="2"/>
  <c r="D27642" i="2"/>
  <c r="D27643" i="2"/>
  <c r="D27644" i="2"/>
  <c r="D27645" i="2"/>
  <c r="D27646" i="2"/>
  <c r="D27647" i="2"/>
  <c r="D27648" i="2"/>
  <c r="D27649" i="2"/>
  <c r="D27650" i="2"/>
  <c r="D27651" i="2"/>
  <c r="D27652" i="2"/>
  <c r="D27653" i="2"/>
  <c r="D27654" i="2"/>
  <c r="D27655" i="2"/>
  <c r="D27656" i="2"/>
  <c r="D27657" i="2"/>
  <c r="D27658" i="2"/>
  <c r="D27659" i="2"/>
  <c r="D27660" i="2"/>
  <c r="D27661" i="2"/>
  <c r="D27662" i="2"/>
  <c r="D27663" i="2"/>
  <c r="D27664" i="2"/>
  <c r="D27665" i="2"/>
  <c r="D27666" i="2"/>
  <c r="D27667" i="2"/>
  <c r="D27668" i="2"/>
  <c r="D27669" i="2"/>
  <c r="D27670" i="2"/>
  <c r="D27671" i="2"/>
  <c r="D27672" i="2"/>
  <c r="D27673" i="2"/>
  <c r="D27674" i="2"/>
  <c r="D27675" i="2"/>
  <c r="D27676" i="2"/>
  <c r="D27677" i="2"/>
  <c r="D27678" i="2"/>
  <c r="D27679" i="2"/>
  <c r="D27680" i="2"/>
  <c r="D27681" i="2"/>
  <c r="D27682" i="2"/>
  <c r="D27683" i="2"/>
  <c r="D27684" i="2"/>
  <c r="D27685" i="2"/>
  <c r="D27686" i="2"/>
  <c r="D27687" i="2"/>
  <c r="D27688" i="2"/>
  <c r="D27689" i="2"/>
  <c r="D27690" i="2"/>
  <c r="D27691" i="2"/>
  <c r="D27692" i="2"/>
  <c r="D27693" i="2"/>
  <c r="D27694" i="2"/>
  <c r="D27695" i="2"/>
  <c r="D27696" i="2"/>
  <c r="D27697" i="2"/>
  <c r="D27698" i="2"/>
  <c r="D27699" i="2"/>
  <c r="D27700" i="2"/>
  <c r="D27701" i="2"/>
  <c r="D27702" i="2"/>
  <c r="D27703" i="2"/>
  <c r="D27704" i="2"/>
  <c r="D27705" i="2"/>
  <c r="D27706" i="2"/>
  <c r="D27707" i="2"/>
  <c r="D27708" i="2"/>
  <c r="D27709" i="2"/>
  <c r="D27710" i="2"/>
  <c r="D27711" i="2"/>
  <c r="D27712" i="2"/>
  <c r="D27713" i="2"/>
  <c r="D27714" i="2"/>
  <c r="D27715" i="2"/>
  <c r="D27716" i="2"/>
  <c r="D27717" i="2"/>
  <c r="D27718" i="2"/>
  <c r="D27719" i="2"/>
  <c r="D27720" i="2"/>
  <c r="D27721" i="2"/>
  <c r="D27722" i="2"/>
  <c r="D27723" i="2"/>
  <c r="D27724" i="2"/>
  <c r="D27725" i="2"/>
  <c r="D27726" i="2"/>
  <c r="D27727" i="2"/>
  <c r="D27728" i="2"/>
  <c r="D27729" i="2"/>
  <c r="D27730" i="2"/>
  <c r="D27731" i="2"/>
  <c r="D27732" i="2"/>
  <c r="D27733" i="2"/>
  <c r="D27734" i="2"/>
  <c r="D27735" i="2"/>
  <c r="D27736" i="2"/>
  <c r="D27737" i="2"/>
  <c r="D27738" i="2"/>
  <c r="D27739" i="2"/>
  <c r="D27740" i="2"/>
  <c r="D27741" i="2"/>
  <c r="D27742" i="2"/>
  <c r="D27743" i="2"/>
  <c r="D27744" i="2"/>
  <c r="D27745" i="2"/>
  <c r="D27746" i="2"/>
  <c r="D27747" i="2"/>
  <c r="D27748" i="2"/>
  <c r="D27749" i="2"/>
  <c r="D27750" i="2"/>
  <c r="D27751" i="2"/>
  <c r="D27752" i="2"/>
  <c r="D27753" i="2"/>
  <c r="D27754" i="2"/>
  <c r="D27755" i="2"/>
  <c r="D27756" i="2"/>
  <c r="D27757" i="2"/>
  <c r="D27758" i="2"/>
  <c r="D27759" i="2"/>
  <c r="D27760" i="2"/>
  <c r="D27761" i="2"/>
  <c r="D27762" i="2"/>
  <c r="D27763" i="2"/>
  <c r="D27764" i="2"/>
  <c r="D27765" i="2"/>
  <c r="D27766" i="2"/>
  <c r="D27767" i="2"/>
  <c r="D27768" i="2"/>
  <c r="D27769" i="2"/>
  <c r="D27770" i="2"/>
  <c r="D27771" i="2"/>
  <c r="D27772" i="2"/>
  <c r="D27773" i="2"/>
  <c r="D27774" i="2"/>
  <c r="D27775" i="2"/>
  <c r="D27776" i="2"/>
  <c r="D27777" i="2"/>
  <c r="D27778" i="2"/>
  <c r="D27779" i="2"/>
  <c r="D27780" i="2"/>
  <c r="D27781" i="2"/>
  <c r="D27782" i="2"/>
  <c r="D27783" i="2"/>
  <c r="D27784" i="2"/>
  <c r="D27785" i="2"/>
  <c r="D27786" i="2"/>
  <c r="D27787" i="2"/>
  <c r="D27788" i="2"/>
  <c r="D27789" i="2"/>
  <c r="D27790" i="2"/>
  <c r="D27791" i="2"/>
  <c r="D27792" i="2"/>
  <c r="D27793" i="2"/>
  <c r="D27794" i="2"/>
  <c r="D27795" i="2"/>
  <c r="D27796" i="2"/>
  <c r="D27797" i="2"/>
  <c r="D27798" i="2"/>
  <c r="D27799" i="2"/>
  <c r="D27800" i="2"/>
  <c r="D27801" i="2"/>
  <c r="D27802" i="2"/>
  <c r="D27803" i="2"/>
  <c r="D27804" i="2"/>
  <c r="D27805" i="2"/>
  <c r="D27806" i="2"/>
  <c r="D27807" i="2"/>
  <c r="D27808" i="2"/>
  <c r="D27809" i="2"/>
  <c r="D27810" i="2"/>
  <c r="D27811" i="2"/>
  <c r="D27812" i="2"/>
  <c r="D27813" i="2"/>
  <c r="D27814" i="2"/>
  <c r="D27815" i="2"/>
  <c r="D27816" i="2"/>
  <c r="D27817" i="2"/>
  <c r="D27818" i="2"/>
  <c r="D27819" i="2"/>
  <c r="D27820" i="2"/>
  <c r="D27821" i="2"/>
  <c r="D27822" i="2"/>
  <c r="D27823" i="2"/>
  <c r="D27824" i="2"/>
  <c r="D27825" i="2"/>
  <c r="D27826" i="2"/>
  <c r="D27827" i="2"/>
  <c r="D27828" i="2"/>
  <c r="D27829" i="2"/>
  <c r="D27830" i="2"/>
  <c r="D27831" i="2"/>
  <c r="D27832" i="2"/>
  <c r="D27833" i="2"/>
  <c r="D27834" i="2"/>
  <c r="D27835" i="2"/>
  <c r="D27836" i="2"/>
  <c r="D27837" i="2"/>
  <c r="D27838" i="2"/>
  <c r="D27839" i="2"/>
  <c r="D27840" i="2"/>
  <c r="D27841" i="2"/>
  <c r="D27842" i="2"/>
  <c r="D27843" i="2"/>
  <c r="D27844" i="2"/>
  <c r="D27845" i="2"/>
  <c r="D27846" i="2"/>
  <c r="D27847" i="2"/>
  <c r="D27848" i="2"/>
  <c r="D27849" i="2"/>
  <c r="D27850" i="2"/>
  <c r="D27851" i="2"/>
  <c r="D27852" i="2"/>
  <c r="D27853" i="2"/>
  <c r="D27854" i="2"/>
  <c r="D27855" i="2"/>
  <c r="D27856" i="2"/>
  <c r="D27857" i="2"/>
  <c r="D27858" i="2"/>
  <c r="D27859" i="2"/>
  <c r="D27860" i="2"/>
  <c r="D27861" i="2"/>
  <c r="D27862" i="2"/>
  <c r="D27863" i="2"/>
  <c r="D27864" i="2"/>
  <c r="D27865" i="2"/>
  <c r="D27866" i="2"/>
  <c r="D27867" i="2"/>
  <c r="D27868" i="2"/>
  <c r="D27869" i="2"/>
  <c r="D27870" i="2"/>
  <c r="D27871" i="2"/>
  <c r="D27872" i="2"/>
  <c r="D27873" i="2"/>
  <c r="D27874" i="2"/>
  <c r="D27875" i="2"/>
  <c r="D27876" i="2"/>
  <c r="D27877" i="2"/>
  <c r="D27878" i="2"/>
  <c r="D27879" i="2"/>
  <c r="D27880" i="2"/>
  <c r="D27881" i="2"/>
  <c r="D27882" i="2"/>
  <c r="D27883" i="2"/>
  <c r="D27884" i="2"/>
  <c r="D27885" i="2"/>
  <c r="D27886" i="2"/>
  <c r="D27887" i="2"/>
  <c r="D27888" i="2"/>
  <c r="D27889" i="2"/>
  <c r="D27890" i="2"/>
  <c r="D27891" i="2"/>
  <c r="D27892" i="2"/>
  <c r="D27893" i="2"/>
  <c r="D27894" i="2"/>
  <c r="D27895" i="2"/>
  <c r="D27896" i="2"/>
  <c r="D27897" i="2"/>
  <c r="D27898" i="2"/>
  <c r="D27899" i="2"/>
  <c r="D27900" i="2"/>
  <c r="D27901" i="2"/>
  <c r="D27902" i="2"/>
  <c r="D27903" i="2"/>
  <c r="D27904" i="2"/>
  <c r="D27905" i="2"/>
  <c r="D27906" i="2"/>
  <c r="D27907" i="2"/>
  <c r="D27908" i="2"/>
  <c r="D27909" i="2"/>
  <c r="D27910" i="2"/>
  <c r="D27911" i="2"/>
  <c r="D27912" i="2"/>
  <c r="D27913" i="2"/>
  <c r="D27914" i="2"/>
  <c r="D27915" i="2"/>
  <c r="D27916" i="2"/>
  <c r="D27917" i="2"/>
  <c r="D27918" i="2"/>
  <c r="D27919" i="2"/>
  <c r="D27920" i="2"/>
  <c r="D27921" i="2"/>
  <c r="D27922" i="2"/>
  <c r="D27923" i="2"/>
  <c r="D27924" i="2"/>
  <c r="D27925" i="2"/>
  <c r="D27926" i="2"/>
  <c r="D27927" i="2"/>
  <c r="D27928" i="2"/>
  <c r="D27929" i="2"/>
  <c r="D27930" i="2"/>
  <c r="D27931" i="2"/>
  <c r="D27932" i="2"/>
  <c r="D27933" i="2"/>
  <c r="D27934" i="2"/>
  <c r="D27935" i="2"/>
  <c r="D27936" i="2"/>
  <c r="D27937" i="2"/>
  <c r="D27938" i="2"/>
  <c r="D27939" i="2"/>
  <c r="D27940" i="2"/>
  <c r="D27941" i="2"/>
  <c r="D27942" i="2"/>
  <c r="D27943" i="2"/>
  <c r="D27944" i="2"/>
  <c r="D27945" i="2"/>
  <c r="D27946" i="2"/>
  <c r="D27947" i="2"/>
  <c r="D27948" i="2"/>
  <c r="D27949" i="2"/>
  <c r="D27950" i="2"/>
  <c r="D27951" i="2"/>
  <c r="D27952" i="2"/>
  <c r="D27953" i="2"/>
  <c r="D27954" i="2"/>
  <c r="D27955" i="2"/>
  <c r="D27956" i="2"/>
  <c r="D27957" i="2"/>
  <c r="D27958" i="2"/>
  <c r="D27959" i="2"/>
  <c r="D27960" i="2"/>
  <c r="D27961" i="2"/>
  <c r="D27962" i="2"/>
  <c r="D27963" i="2"/>
  <c r="D27964" i="2"/>
  <c r="D27965" i="2"/>
  <c r="D27966" i="2"/>
  <c r="D27967" i="2"/>
  <c r="D27968" i="2"/>
  <c r="D27969" i="2"/>
  <c r="D27970" i="2"/>
  <c r="D27971" i="2"/>
  <c r="D27972" i="2"/>
  <c r="D27973" i="2"/>
  <c r="D27974" i="2"/>
  <c r="D27975" i="2"/>
  <c r="D27976" i="2"/>
  <c r="D27977" i="2"/>
  <c r="D27978" i="2"/>
  <c r="D27979" i="2"/>
  <c r="D27980" i="2"/>
  <c r="D27981" i="2"/>
  <c r="D27982" i="2"/>
  <c r="D27983" i="2"/>
  <c r="D27984" i="2"/>
  <c r="D27985" i="2"/>
  <c r="D27986" i="2"/>
  <c r="D27987" i="2"/>
  <c r="D27988" i="2"/>
  <c r="D27989" i="2"/>
  <c r="D27990" i="2"/>
  <c r="D27991" i="2"/>
  <c r="D27992" i="2"/>
  <c r="D27993" i="2"/>
  <c r="D27994" i="2"/>
  <c r="D27995" i="2"/>
  <c r="D27996" i="2"/>
  <c r="D27997" i="2"/>
  <c r="D27998" i="2"/>
  <c r="D27999" i="2"/>
  <c r="D28000" i="2"/>
  <c r="D28001" i="2"/>
  <c r="D28002" i="2"/>
  <c r="D28003" i="2"/>
  <c r="D28004" i="2"/>
  <c r="D28005" i="2"/>
  <c r="D28006" i="2"/>
  <c r="D28007" i="2"/>
  <c r="D28008" i="2"/>
  <c r="D28009" i="2"/>
  <c r="D28010" i="2"/>
  <c r="D28011" i="2"/>
  <c r="D28012" i="2"/>
  <c r="D28013" i="2"/>
  <c r="D28014" i="2"/>
  <c r="D28015" i="2"/>
  <c r="D28016" i="2"/>
  <c r="D28017" i="2"/>
  <c r="D28018" i="2"/>
  <c r="D28019" i="2"/>
  <c r="D28020" i="2"/>
  <c r="D28021" i="2"/>
  <c r="D28022" i="2"/>
  <c r="D28023" i="2"/>
  <c r="D28024" i="2"/>
  <c r="D28025" i="2"/>
  <c r="D28026" i="2"/>
  <c r="D28027" i="2"/>
  <c r="D28028" i="2"/>
  <c r="D28029" i="2"/>
  <c r="D28030" i="2"/>
  <c r="D28031" i="2"/>
  <c r="D28032" i="2"/>
  <c r="D28033" i="2"/>
  <c r="D28034" i="2"/>
  <c r="D28035" i="2"/>
  <c r="D28036" i="2"/>
  <c r="D28037" i="2"/>
  <c r="D28038" i="2"/>
  <c r="D28039" i="2"/>
  <c r="D28040" i="2"/>
  <c r="D28041" i="2"/>
  <c r="D28042" i="2"/>
  <c r="D28043" i="2"/>
  <c r="D28044" i="2"/>
  <c r="D28045" i="2"/>
  <c r="D28046" i="2"/>
  <c r="D28047" i="2"/>
  <c r="D28048" i="2"/>
  <c r="D28049" i="2"/>
  <c r="D28050" i="2"/>
  <c r="D28051" i="2"/>
  <c r="D28052" i="2"/>
  <c r="D28053" i="2"/>
  <c r="D28054" i="2"/>
  <c r="D28055" i="2"/>
  <c r="D28056" i="2"/>
  <c r="D28057" i="2"/>
  <c r="D28058" i="2"/>
  <c r="D28059" i="2"/>
  <c r="D28060" i="2"/>
  <c r="D28061" i="2"/>
  <c r="D28062" i="2"/>
  <c r="D28063" i="2"/>
  <c r="D28064" i="2"/>
  <c r="D28065" i="2"/>
  <c r="D28066" i="2"/>
  <c r="D28067" i="2"/>
  <c r="D28068" i="2"/>
  <c r="D28069" i="2"/>
  <c r="D28070" i="2"/>
  <c r="D28071" i="2"/>
  <c r="D28072" i="2"/>
  <c r="D28073" i="2"/>
  <c r="D28074" i="2"/>
  <c r="D28075" i="2"/>
  <c r="D28076" i="2"/>
  <c r="D28077" i="2"/>
  <c r="D28078" i="2"/>
  <c r="D28079" i="2"/>
  <c r="D28080" i="2"/>
  <c r="D28081" i="2"/>
  <c r="D28082" i="2"/>
  <c r="D28083" i="2"/>
  <c r="D28084" i="2"/>
  <c r="D28085" i="2"/>
  <c r="D28086" i="2"/>
  <c r="D28087" i="2"/>
  <c r="D28088" i="2"/>
  <c r="D28089" i="2"/>
  <c r="D28090" i="2"/>
  <c r="D28091" i="2"/>
  <c r="D28092" i="2"/>
  <c r="D28093" i="2"/>
  <c r="D28094" i="2"/>
  <c r="D28095" i="2"/>
  <c r="D28096" i="2"/>
  <c r="D28097" i="2"/>
  <c r="D28098" i="2"/>
  <c r="D28099" i="2"/>
  <c r="D28100" i="2"/>
  <c r="D28101" i="2"/>
  <c r="D28102" i="2"/>
  <c r="D28103" i="2"/>
  <c r="D28104" i="2"/>
  <c r="D28105" i="2"/>
  <c r="D28106" i="2"/>
  <c r="D28107" i="2"/>
  <c r="D28108" i="2"/>
  <c r="D28109" i="2"/>
  <c r="D28110" i="2"/>
  <c r="D28111" i="2"/>
  <c r="D28112" i="2"/>
  <c r="D28113" i="2"/>
  <c r="D28114" i="2"/>
  <c r="D28115" i="2"/>
  <c r="D28116" i="2"/>
  <c r="D28117" i="2"/>
  <c r="D28118" i="2"/>
  <c r="D28119" i="2"/>
  <c r="D28120" i="2"/>
  <c r="D28121" i="2"/>
  <c r="D28122" i="2"/>
  <c r="D28123" i="2"/>
  <c r="D28124" i="2"/>
  <c r="D28125" i="2"/>
  <c r="D28126" i="2"/>
  <c r="D28127" i="2"/>
  <c r="D28128" i="2"/>
  <c r="D28129" i="2"/>
  <c r="D28130" i="2"/>
  <c r="D28131" i="2"/>
  <c r="D28132" i="2"/>
  <c r="D28133" i="2"/>
  <c r="D28134" i="2"/>
  <c r="D28135" i="2"/>
  <c r="D28136" i="2"/>
  <c r="D28137" i="2"/>
  <c r="D28138" i="2"/>
  <c r="D28139" i="2"/>
  <c r="D28140" i="2"/>
  <c r="D28141" i="2"/>
  <c r="D28142" i="2"/>
  <c r="D28143" i="2"/>
  <c r="D28144" i="2"/>
  <c r="D28145" i="2"/>
  <c r="D28146" i="2"/>
  <c r="D28147" i="2"/>
  <c r="D28148" i="2"/>
  <c r="D28149" i="2"/>
  <c r="D28150" i="2"/>
  <c r="D28151" i="2"/>
  <c r="D28152" i="2"/>
  <c r="D28153" i="2"/>
  <c r="D28154" i="2"/>
  <c r="D28155" i="2"/>
  <c r="D28156" i="2"/>
  <c r="D28157" i="2"/>
  <c r="D28158" i="2"/>
  <c r="D28159" i="2"/>
  <c r="D28160" i="2"/>
  <c r="D28161" i="2"/>
  <c r="D28162" i="2"/>
  <c r="D28163" i="2"/>
  <c r="D28164" i="2"/>
  <c r="D28165" i="2"/>
  <c r="D28166" i="2"/>
  <c r="D28167" i="2"/>
  <c r="D28168" i="2"/>
  <c r="D28169" i="2"/>
  <c r="D28170" i="2"/>
  <c r="D28171" i="2"/>
  <c r="D28172" i="2"/>
  <c r="D28173" i="2"/>
  <c r="D28174" i="2"/>
  <c r="D28175" i="2"/>
  <c r="D28176" i="2"/>
  <c r="D28177" i="2"/>
  <c r="D28178" i="2"/>
  <c r="D28179" i="2"/>
  <c r="D28180" i="2"/>
  <c r="D28181" i="2"/>
  <c r="D28182" i="2"/>
  <c r="D28183" i="2"/>
  <c r="D28184" i="2"/>
  <c r="D28185" i="2"/>
  <c r="D28186" i="2"/>
  <c r="D28187" i="2"/>
  <c r="D28188" i="2"/>
  <c r="D28189" i="2"/>
  <c r="D28190" i="2"/>
  <c r="D28191" i="2"/>
  <c r="D28192" i="2"/>
  <c r="D28193" i="2"/>
  <c r="D28194" i="2"/>
  <c r="D28195" i="2"/>
  <c r="D28196" i="2"/>
  <c r="D28197" i="2"/>
  <c r="D28198" i="2"/>
  <c r="D28199" i="2"/>
  <c r="D28200" i="2"/>
  <c r="D28201" i="2"/>
  <c r="D28202" i="2"/>
  <c r="D28203" i="2"/>
  <c r="D28204" i="2"/>
  <c r="D28205" i="2"/>
  <c r="D28206" i="2"/>
  <c r="D28207" i="2"/>
  <c r="D28208" i="2"/>
  <c r="D28209" i="2"/>
  <c r="D28210" i="2"/>
  <c r="D28211" i="2"/>
  <c r="D28212" i="2"/>
  <c r="D28213" i="2"/>
  <c r="D28214" i="2"/>
  <c r="D28215" i="2"/>
  <c r="D28216" i="2"/>
  <c r="D28217" i="2"/>
  <c r="D28218" i="2"/>
  <c r="D28219" i="2"/>
  <c r="D28220" i="2"/>
  <c r="D28221" i="2"/>
  <c r="D28222" i="2"/>
  <c r="D28223" i="2"/>
  <c r="D28224" i="2"/>
  <c r="D28225" i="2"/>
  <c r="D28226" i="2"/>
  <c r="D28227" i="2"/>
  <c r="D28228" i="2"/>
  <c r="D28229" i="2"/>
  <c r="D28230" i="2"/>
  <c r="D28231" i="2"/>
  <c r="D28232" i="2"/>
  <c r="D28233" i="2"/>
  <c r="D28234" i="2"/>
  <c r="D28235" i="2"/>
  <c r="D28236" i="2"/>
  <c r="D28237" i="2"/>
  <c r="D28238" i="2"/>
  <c r="D28239" i="2"/>
  <c r="D28240" i="2"/>
  <c r="D28241" i="2"/>
  <c r="D28242" i="2"/>
  <c r="D28243" i="2"/>
  <c r="D28244" i="2"/>
  <c r="D28245" i="2"/>
  <c r="D28246" i="2"/>
  <c r="D28247" i="2"/>
  <c r="D28248" i="2"/>
  <c r="D28249" i="2"/>
  <c r="D28250" i="2"/>
  <c r="D28251" i="2"/>
  <c r="D28252" i="2"/>
  <c r="D28253" i="2"/>
  <c r="D28254" i="2"/>
  <c r="D28255" i="2"/>
  <c r="D28256" i="2"/>
  <c r="D28257" i="2"/>
  <c r="D28258" i="2"/>
  <c r="D28259" i="2"/>
  <c r="D28260" i="2"/>
  <c r="D28261" i="2"/>
  <c r="D28262" i="2"/>
  <c r="D28263" i="2"/>
  <c r="D28264" i="2"/>
  <c r="D28265" i="2"/>
  <c r="D28266" i="2"/>
  <c r="D28267" i="2"/>
  <c r="D28268" i="2"/>
  <c r="D28269" i="2"/>
  <c r="D28270" i="2"/>
  <c r="D28271" i="2"/>
  <c r="D28272" i="2"/>
  <c r="D28273" i="2"/>
  <c r="D28274" i="2"/>
  <c r="D28275" i="2"/>
  <c r="D28276" i="2"/>
  <c r="D28277" i="2"/>
  <c r="D28278" i="2"/>
  <c r="D28279" i="2"/>
  <c r="D28280" i="2"/>
  <c r="D28281" i="2"/>
  <c r="D28282" i="2"/>
  <c r="D28283" i="2"/>
  <c r="D28284" i="2"/>
  <c r="D28285" i="2"/>
  <c r="D28286" i="2"/>
  <c r="D28287" i="2"/>
  <c r="D28288" i="2"/>
  <c r="D28289" i="2"/>
  <c r="D28290" i="2"/>
  <c r="D28291" i="2"/>
  <c r="D28292" i="2"/>
  <c r="D28293" i="2"/>
  <c r="D28294" i="2"/>
  <c r="D28295" i="2"/>
  <c r="D28296" i="2"/>
  <c r="D28297" i="2"/>
  <c r="D28298" i="2"/>
  <c r="D28299" i="2"/>
  <c r="D28300" i="2"/>
  <c r="D28301" i="2"/>
  <c r="D28302" i="2"/>
  <c r="D28303" i="2"/>
  <c r="D28304" i="2"/>
  <c r="D28305" i="2"/>
  <c r="D28306" i="2"/>
  <c r="D28307" i="2"/>
  <c r="D28308" i="2"/>
  <c r="D28309" i="2"/>
  <c r="D28310" i="2"/>
  <c r="D28311" i="2"/>
  <c r="D28312" i="2"/>
  <c r="D28313" i="2"/>
  <c r="D28314" i="2"/>
  <c r="D28315" i="2"/>
  <c r="D28316" i="2"/>
  <c r="D28317" i="2"/>
  <c r="D28318" i="2"/>
  <c r="D28319" i="2"/>
  <c r="D28320" i="2"/>
  <c r="D28321" i="2"/>
  <c r="D28322" i="2"/>
  <c r="D28323" i="2"/>
  <c r="D28324" i="2"/>
  <c r="D28325" i="2"/>
  <c r="D28326" i="2"/>
  <c r="D28327" i="2"/>
  <c r="D28328" i="2"/>
  <c r="D28329" i="2"/>
  <c r="D28330" i="2"/>
  <c r="D28331" i="2"/>
  <c r="D28332" i="2"/>
  <c r="D28333" i="2"/>
  <c r="D28334" i="2"/>
  <c r="D28335" i="2"/>
  <c r="D28336" i="2"/>
  <c r="D28337" i="2"/>
  <c r="D28338" i="2"/>
  <c r="D28339" i="2"/>
  <c r="D28340" i="2"/>
  <c r="D28341" i="2"/>
  <c r="D28342" i="2"/>
  <c r="D28343" i="2"/>
  <c r="D28344" i="2"/>
  <c r="D28345" i="2"/>
  <c r="D28346" i="2"/>
  <c r="D28347" i="2"/>
  <c r="D28348" i="2"/>
  <c r="D28349" i="2"/>
  <c r="D28350" i="2"/>
  <c r="D28351" i="2"/>
  <c r="D28352" i="2"/>
  <c r="D28353" i="2"/>
  <c r="D28354" i="2"/>
  <c r="D28355" i="2"/>
  <c r="D28356" i="2"/>
  <c r="D28357" i="2"/>
  <c r="D28358" i="2"/>
  <c r="D28359" i="2"/>
  <c r="D28360" i="2"/>
  <c r="D28361" i="2"/>
  <c r="D28362" i="2"/>
  <c r="D28363" i="2"/>
  <c r="D28364" i="2"/>
  <c r="D28365" i="2"/>
  <c r="D28366" i="2"/>
  <c r="D28367" i="2"/>
  <c r="D28368" i="2"/>
  <c r="D28369" i="2"/>
  <c r="D28370" i="2"/>
  <c r="D28371" i="2"/>
  <c r="D28372" i="2"/>
  <c r="D28373" i="2"/>
  <c r="D28374" i="2"/>
  <c r="D28375" i="2"/>
  <c r="D28376" i="2"/>
  <c r="D28377" i="2"/>
  <c r="D28378" i="2"/>
  <c r="D28379" i="2"/>
  <c r="D28380" i="2"/>
  <c r="D28381" i="2"/>
  <c r="D28382" i="2"/>
  <c r="D28383" i="2"/>
  <c r="D28384" i="2"/>
  <c r="D28385" i="2"/>
  <c r="D28386" i="2"/>
  <c r="D28387" i="2"/>
  <c r="D28388" i="2"/>
  <c r="D28389" i="2"/>
  <c r="D28390" i="2"/>
  <c r="D28391" i="2"/>
  <c r="D28392" i="2"/>
  <c r="D28393" i="2"/>
  <c r="D28394" i="2"/>
  <c r="D28395" i="2"/>
  <c r="D28396" i="2"/>
  <c r="D28397" i="2"/>
  <c r="D28398" i="2"/>
  <c r="D28399" i="2"/>
  <c r="D28400" i="2"/>
  <c r="D28401" i="2"/>
  <c r="D28402" i="2"/>
  <c r="D28403" i="2"/>
  <c r="D28404" i="2"/>
  <c r="D28405" i="2"/>
  <c r="D28406" i="2"/>
  <c r="D28407" i="2"/>
  <c r="D28408" i="2"/>
  <c r="D28409" i="2"/>
  <c r="D28410" i="2"/>
  <c r="D28411" i="2"/>
  <c r="D28412" i="2"/>
  <c r="D28413" i="2"/>
  <c r="D28414" i="2"/>
  <c r="D28415" i="2"/>
  <c r="D28416" i="2"/>
  <c r="D28417" i="2"/>
  <c r="D28418" i="2"/>
  <c r="D28419" i="2"/>
  <c r="D28420" i="2"/>
  <c r="D28421" i="2"/>
  <c r="D28422" i="2"/>
  <c r="D28423" i="2"/>
  <c r="D28424" i="2"/>
  <c r="D28425" i="2"/>
  <c r="D28426" i="2"/>
  <c r="D28427" i="2"/>
  <c r="D28428" i="2"/>
  <c r="D28429" i="2"/>
  <c r="D28430" i="2"/>
  <c r="D28431" i="2"/>
  <c r="D28432" i="2"/>
  <c r="D28433" i="2"/>
  <c r="D28434" i="2"/>
  <c r="D28435" i="2"/>
  <c r="D28436" i="2"/>
  <c r="D28437" i="2"/>
  <c r="D28438" i="2"/>
  <c r="D28439" i="2"/>
  <c r="D28440" i="2"/>
  <c r="D28441" i="2"/>
  <c r="D28442" i="2"/>
  <c r="D28443" i="2"/>
  <c r="D28444" i="2"/>
  <c r="D28445" i="2"/>
  <c r="D28446" i="2"/>
  <c r="D28447" i="2"/>
  <c r="D28448" i="2"/>
  <c r="D28449" i="2"/>
  <c r="D28450" i="2"/>
  <c r="D28451" i="2"/>
  <c r="D28452" i="2"/>
  <c r="D28453" i="2"/>
  <c r="D28454" i="2"/>
  <c r="D28455" i="2"/>
  <c r="D28456" i="2"/>
  <c r="D28457" i="2"/>
  <c r="D28458" i="2"/>
  <c r="D28459" i="2"/>
  <c r="D28460" i="2"/>
  <c r="D28461" i="2"/>
  <c r="D28462" i="2"/>
  <c r="D28463" i="2"/>
  <c r="D28464" i="2"/>
  <c r="D28465" i="2"/>
  <c r="D28466" i="2"/>
  <c r="D28467" i="2"/>
  <c r="D28468" i="2"/>
  <c r="D28469" i="2"/>
  <c r="D28470" i="2"/>
  <c r="D28471" i="2"/>
  <c r="D28472" i="2"/>
  <c r="D28473" i="2"/>
  <c r="D28474" i="2"/>
  <c r="D28475" i="2"/>
  <c r="D28476" i="2"/>
  <c r="D28477" i="2"/>
  <c r="D28478" i="2"/>
  <c r="D28479" i="2"/>
  <c r="D28480" i="2"/>
  <c r="D28481" i="2"/>
  <c r="D28482" i="2"/>
  <c r="D28483" i="2"/>
  <c r="D28484" i="2"/>
  <c r="D28485" i="2"/>
  <c r="D28486" i="2"/>
  <c r="D28487" i="2"/>
  <c r="D28488" i="2"/>
  <c r="D28489" i="2"/>
  <c r="D28490" i="2"/>
  <c r="D28491" i="2"/>
  <c r="D28492" i="2"/>
  <c r="D28493" i="2"/>
  <c r="D28494" i="2"/>
  <c r="D28495" i="2"/>
  <c r="D28496" i="2"/>
  <c r="D28497" i="2"/>
  <c r="D28498" i="2"/>
  <c r="D28499" i="2"/>
  <c r="D28500" i="2"/>
  <c r="D28501" i="2"/>
  <c r="D28502" i="2"/>
  <c r="D28503" i="2"/>
  <c r="D28504" i="2"/>
  <c r="D28505" i="2"/>
  <c r="D28506" i="2"/>
  <c r="D28507" i="2"/>
  <c r="D28508" i="2"/>
  <c r="D28509" i="2"/>
  <c r="D28510" i="2"/>
  <c r="D28511" i="2"/>
  <c r="D28512" i="2"/>
  <c r="D28513" i="2"/>
  <c r="D28514" i="2"/>
  <c r="D28515" i="2"/>
  <c r="D28516" i="2"/>
  <c r="D28517" i="2"/>
  <c r="D28518" i="2"/>
  <c r="D28519" i="2"/>
  <c r="D28520" i="2"/>
  <c r="D28521" i="2"/>
  <c r="D28522" i="2"/>
  <c r="D28523" i="2"/>
  <c r="D28524" i="2"/>
  <c r="D28525" i="2"/>
  <c r="D28526" i="2"/>
  <c r="D28527" i="2"/>
  <c r="D28528" i="2"/>
  <c r="D28529" i="2"/>
  <c r="D28530" i="2"/>
  <c r="D28531" i="2"/>
  <c r="D28532" i="2"/>
  <c r="D28533" i="2"/>
  <c r="D28534" i="2"/>
  <c r="D28535" i="2"/>
  <c r="D28536" i="2"/>
  <c r="D28537" i="2"/>
  <c r="D28538" i="2"/>
  <c r="D28539" i="2"/>
  <c r="D28540" i="2"/>
  <c r="D28541" i="2"/>
  <c r="D28542" i="2"/>
  <c r="D28543" i="2"/>
  <c r="D28544" i="2"/>
  <c r="D28545" i="2"/>
  <c r="D28546" i="2"/>
  <c r="D28547" i="2"/>
  <c r="D28548" i="2"/>
  <c r="D28549" i="2"/>
  <c r="D28550" i="2"/>
  <c r="D28551" i="2"/>
  <c r="D28552" i="2"/>
  <c r="D28553" i="2"/>
  <c r="D28554" i="2"/>
  <c r="D28555" i="2"/>
  <c r="D28556" i="2"/>
  <c r="D28557" i="2"/>
  <c r="D28558" i="2"/>
  <c r="D28559" i="2"/>
  <c r="D28560" i="2"/>
  <c r="D28561" i="2"/>
  <c r="D28562" i="2"/>
  <c r="D28563" i="2"/>
  <c r="D28564" i="2"/>
  <c r="D28565" i="2"/>
  <c r="D28566" i="2"/>
  <c r="D28567" i="2"/>
  <c r="D28568" i="2"/>
  <c r="D28569" i="2"/>
  <c r="D28570" i="2"/>
  <c r="D28571" i="2"/>
  <c r="D28572" i="2"/>
  <c r="D28573" i="2"/>
  <c r="D28574" i="2"/>
  <c r="D28575" i="2"/>
  <c r="D28576" i="2"/>
  <c r="D28577" i="2"/>
  <c r="D28578" i="2"/>
  <c r="D28579" i="2"/>
  <c r="D28580" i="2"/>
  <c r="D28581" i="2"/>
  <c r="D28582" i="2"/>
  <c r="D28583" i="2"/>
  <c r="D28584" i="2"/>
  <c r="D28585" i="2"/>
  <c r="D28586" i="2"/>
  <c r="D28587" i="2"/>
  <c r="D28588" i="2"/>
  <c r="D28589" i="2"/>
  <c r="D28590" i="2"/>
  <c r="D28591" i="2"/>
  <c r="D28592" i="2"/>
  <c r="D28593" i="2"/>
  <c r="D28594" i="2"/>
  <c r="D28595" i="2"/>
  <c r="D28596" i="2"/>
  <c r="D28597" i="2"/>
  <c r="D28598" i="2"/>
  <c r="D28599" i="2"/>
  <c r="D28600" i="2"/>
  <c r="D28601" i="2"/>
  <c r="D28602" i="2"/>
  <c r="D28603" i="2"/>
  <c r="D28604" i="2"/>
  <c r="D28605" i="2"/>
  <c r="D28606" i="2"/>
  <c r="D28607" i="2"/>
  <c r="D28608" i="2"/>
  <c r="D28609" i="2"/>
  <c r="D28610" i="2"/>
  <c r="D28611" i="2"/>
  <c r="D28612" i="2"/>
  <c r="D28613" i="2"/>
  <c r="D28614" i="2"/>
  <c r="D28615" i="2"/>
  <c r="D28616" i="2"/>
  <c r="D28617" i="2"/>
  <c r="D28618" i="2"/>
  <c r="D28619" i="2"/>
  <c r="D28620" i="2"/>
  <c r="D28621" i="2"/>
  <c r="D28622" i="2"/>
  <c r="D28623" i="2"/>
  <c r="D28624" i="2"/>
  <c r="D28625" i="2"/>
  <c r="D28626" i="2"/>
  <c r="D28627" i="2"/>
  <c r="D28628" i="2"/>
  <c r="D28629" i="2"/>
  <c r="D28630" i="2"/>
  <c r="D28631" i="2"/>
  <c r="D28632" i="2"/>
  <c r="D28633" i="2"/>
  <c r="D28634" i="2"/>
  <c r="D28635" i="2"/>
  <c r="D28636" i="2"/>
  <c r="D28637" i="2"/>
  <c r="D28638" i="2"/>
  <c r="D28639" i="2"/>
  <c r="D28640" i="2"/>
  <c r="D28641" i="2"/>
  <c r="D28642" i="2"/>
  <c r="D28643" i="2"/>
  <c r="D28644" i="2"/>
  <c r="D28645" i="2"/>
  <c r="D28646" i="2"/>
  <c r="D28647" i="2"/>
  <c r="D28648" i="2"/>
  <c r="D28649" i="2"/>
  <c r="D28650" i="2"/>
  <c r="D28651" i="2"/>
  <c r="D28652" i="2"/>
  <c r="D28653" i="2"/>
  <c r="D28654" i="2"/>
  <c r="D28655" i="2"/>
  <c r="D28656" i="2"/>
  <c r="D28657" i="2"/>
  <c r="D28658" i="2"/>
  <c r="D28659" i="2"/>
  <c r="D28660" i="2"/>
  <c r="D28661" i="2"/>
  <c r="D28662" i="2"/>
  <c r="D28663" i="2"/>
  <c r="D28664" i="2"/>
  <c r="D28665" i="2"/>
  <c r="D28666" i="2"/>
  <c r="D28667" i="2"/>
  <c r="D28668" i="2"/>
  <c r="D28669" i="2"/>
  <c r="D28670" i="2"/>
  <c r="D28671" i="2"/>
  <c r="D28672" i="2"/>
  <c r="D28673" i="2"/>
  <c r="D28674" i="2"/>
  <c r="D28675" i="2"/>
  <c r="D28676" i="2"/>
  <c r="D28677" i="2"/>
  <c r="D28678" i="2"/>
  <c r="D28679" i="2"/>
  <c r="D28680" i="2"/>
  <c r="D28681" i="2"/>
  <c r="D28682" i="2"/>
  <c r="D28683" i="2"/>
  <c r="D28684" i="2"/>
  <c r="D28685" i="2"/>
  <c r="D28686" i="2"/>
  <c r="D28687" i="2"/>
  <c r="D28688" i="2"/>
  <c r="D28689" i="2"/>
  <c r="D28690" i="2"/>
  <c r="D28691" i="2"/>
  <c r="D28692" i="2"/>
  <c r="D28693" i="2"/>
  <c r="D28694" i="2"/>
  <c r="D28695" i="2"/>
  <c r="D28696" i="2"/>
  <c r="D28697" i="2"/>
  <c r="D28698" i="2"/>
  <c r="D28699" i="2"/>
  <c r="D28700" i="2"/>
  <c r="D28701" i="2"/>
  <c r="D28702" i="2"/>
  <c r="D28703" i="2"/>
  <c r="D28704" i="2"/>
  <c r="D28705" i="2"/>
  <c r="D28706" i="2"/>
  <c r="D28707" i="2"/>
  <c r="D28708" i="2"/>
  <c r="D28709" i="2"/>
  <c r="D28710" i="2"/>
  <c r="D28711" i="2"/>
  <c r="D28712" i="2"/>
  <c r="D28713" i="2"/>
  <c r="D28714" i="2"/>
  <c r="D28715" i="2"/>
  <c r="D28716" i="2"/>
  <c r="D28717" i="2"/>
  <c r="D28718" i="2"/>
  <c r="D28719" i="2"/>
  <c r="D28720" i="2"/>
  <c r="D28721" i="2"/>
  <c r="D28722" i="2"/>
  <c r="D28723" i="2"/>
  <c r="D28724" i="2"/>
  <c r="D28725" i="2"/>
  <c r="D28726" i="2"/>
  <c r="D28727" i="2"/>
  <c r="D28728" i="2"/>
  <c r="D28729" i="2"/>
  <c r="D28730" i="2"/>
  <c r="D28731" i="2"/>
  <c r="D28732" i="2"/>
  <c r="D28733" i="2"/>
  <c r="D28734" i="2"/>
  <c r="D28735" i="2"/>
  <c r="D28736" i="2"/>
  <c r="D28737" i="2"/>
  <c r="D28738" i="2"/>
  <c r="D28739" i="2"/>
  <c r="D28740" i="2"/>
  <c r="D28741" i="2"/>
  <c r="D28742" i="2"/>
  <c r="D28743" i="2"/>
  <c r="D28744" i="2"/>
  <c r="D28745" i="2"/>
  <c r="D28746" i="2"/>
  <c r="D28747" i="2"/>
  <c r="D28748" i="2"/>
  <c r="D28749" i="2"/>
  <c r="D28750" i="2"/>
  <c r="D28751" i="2"/>
  <c r="D28752" i="2"/>
  <c r="D28753" i="2"/>
  <c r="D28754" i="2"/>
  <c r="D28755" i="2"/>
  <c r="D28756" i="2"/>
  <c r="D28757" i="2"/>
  <c r="D28758" i="2"/>
  <c r="D28759" i="2"/>
  <c r="D28760" i="2"/>
  <c r="D28761" i="2"/>
  <c r="D28762" i="2"/>
  <c r="D28763" i="2"/>
  <c r="D28764" i="2"/>
  <c r="D28765" i="2"/>
  <c r="D28766" i="2"/>
  <c r="D28767" i="2"/>
  <c r="D28768" i="2"/>
  <c r="D28769" i="2"/>
  <c r="D28770" i="2"/>
  <c r="D28771" i="2"/>
  <c r="D28772" i="2"/>
  <c r="D28773" i="2"/>
  <c r="D28774" i="2"/>
  <c r="D28775" i="2"/>
  <c r="D28776" i="2"/>
  <c r="D28777" i="2"/>
  <c r="D28778" i="2"/>
  <c r="D28779" i="2"/>
  <c r="D28780" i="2"/>
  <c r="D28781" i="2"/>
  <c r="D28782" i="2"/>
  <c r="D28783" i="2"/>
  <c r="D28784" i="2"/>
  <c r="D28785" i="2"/>
  <c r="D28786" i="2"/>
  <c r="D28787" i="2"/>
  <c r="D28788" i="2"/>
  <c r="D28789" i="2"/>
  <c r="D28790" i="2"/>
  <c r="D28791" i="2"/>
  <c r="D28792" i="2"/>
  <c r="D28793" i="2"/>
  <c r="D28794" i="2"/>
  <c r="D28795" i="2"/>
  <c r="D28796" i="2"/>
  <c r="D28797" i="2"/>
  <c r="D28798" i="2"/>
  <c r="D28799" i="2"/>
  <c r="D28800" i="2"/>
  <c r="D28801" i="2"/>
  <c r="D28802" i="2"/>
  <c r="D28803" i="2"/>
  <c r="D28804" i="2"/>
  <c r="D28805" i="2"/>
  <c r="D28806" i="2"/>
  <c r="D28807" i="2"/>
  <c r="D28808" i="2"/>
  <c r="D28809" i="2"/>
  <c r="D28810" i="2"/>
  <c r="D28811" i="2"/>
  <c r="D28812" i="2"/>
  <c r="D28813" i="2"/>
  <c r="D28814" i="2"/>
  <c r="D28815" i="2"/>
  <c r="D28816" i="2"/>
  <c r="D28817" i="2"/>
  <c r="D28818" i="2"/>
  <c r="D28819" i="2"/>
  <c r="D28820" i="2"/>
  <c r="D28821" i="2"/>
  <c r="D28822" i="2"/>
  <c r="D28823" i="2"/>
  <c r="D28824" i="2"/>
  <c r="D28825" i="2"/>
  <c r="D28826" i="2"/>
  <c r="D28827" i="2"/>
  <c r="D28828" i="2"/>
  <c r="D28829" i="2"/>
  <c r="D28830" i="2"/>
  <c r="D28831" i="2"/>
  <c r="D28832" i="2"/>
  <c r="D28833" i="2"/>
  <c r="D28834" i="2"/>
  <c r="D28835" i="2"/>
  <c r="D28836" i="2"/>
  <c r="D28837" i="2"/>
  <c r="D28838" i="2"/>
  <c r="D28839" i="2"/>
  <c r="D28840" i="2"/>
  <c r="D28841" i="2"/>
  <c r="D28842" i="2"/>
  <c r="D28843" i="2"/>
  <c r="D28844" i="2"/>
  <c r="D28845" i="2"/>
  <c r="D28846" i="2"/>
  <c r="D28847" i="2"/>
  <c r="D28848" i="2"/>
  <c r="D28849" i="2"/>
  <c r="D28850" i="2"/>
  <c r="D28851" i="2"/>
  <c r="D28852" i="2"/>
  <c r="D28853" i="2"/>
  <c r="D28854" i="2"/>
  <c r="D28855" i="2"/>
  <c r="D28856" i="2"/>
  <c r="D28857" i="2"/>
  <c r="D28858" i="2"/>
  <c r="D28859" i="2"/>
  <c r="D28860" i="2"/>
  <c r="D28861" i="2"/>
  <c r="D28862" i="2"/>
  <c r="D28863" i="2"/>
  <c r="D28864" i="2"/>
  <c r="D28865" i="2"/>
  <c r="D28866" i="2"/>
  <c r="D28867" i="2"/>
  <c r="D28868" i="2"/>
  <c r="D28869" i="2"/>
  <c r="D28870" i="2"/>
  <c r="D28871" i="2"/>
  <c r="D28872" i="2"/>
  <c r="D28873" i="2"/>
  <c r="D28874" i="2"/>
  <c r="D28875" i="2"/>
  <c r="D28876" i="2"/>
  <c r="D28877" i="2"/>
  <c r="D28878" i="2"/>
  <c r="D28879" i="2"/>
  <c r="D28880" i="2"/>
  <c r="D28881" i="2"/>
  <c r="D28882" i="2"/>
  <c r="D28883" i="2"/>
  <c r="D28884" i="2"/>
  <c r="D28885" i="2"/>
  <c r="D28886" i="2"/>
  <c r="D28887" i="2"/>
  <c r="D28888" i="2"/>
  <c r="D28889" i="2"/>
  <c r="D28890" i="2"/>
  <c r="D28891" i="2"/>
  <c r="D28892" i="2"/>
  <c r="D28893" i="2"/>
  <c r="D28894" i="2"/>
  <c r="D28895" i="2"/>
  <c r="D28896" i="2"/>
  <c r="D28897" i="2"/>
  <c r="D28898" i="2"/>
  <c r="D28899" i="2"/>
  <c r="D28900" i="2"/>
  <c r="D28901" i="2"/>
  <c r="D28902" i="2"/>
  <c r="D28903" i="2"/>
  <c r="D28904" i="2"/>
  <c r="D28905" i="2"/>
  <c r="D28906" i="2"/>
  <c r="D28907" i="2"/>
  <c r="D28908" i="2"/>
  <c r="D28909" i="2"/>
  <c r="D28910" i="2"/>
  <c r="D28911" i="2"/>
  <c r="D28912" i="2"/>
  <c r="D28913" i="2"/>
  <c r="D28914" i="2"/>
  <c r="D28915" i="2"/>
  <c r="D28916" i="2"/>
  <c r="D28917" i="2"/>
  <c r="D28918" i="2"/>
  <c r="D28919" i="2"/>
  <c r="D28920" i="2"/>
  <c r="D28921" i="2"/>
  <c r="D28922" i="2"/>
  <c r="D28923" i="2"/>
  <c r="D28924" i="2"/>
  <c r="D28925" i="2"/>
  <c r="D28926" i="2"/>
  <c r="D28927" i="2"/>
  <c r="D28928" i="2"/>
  <c r="D28929" i="2"/>
  <c r="D28930" i="2"/>
  <c r="D28931" i="2"/>
  <c r="D28932" i="2"/>
  <c r="D28933" i="2"/>
  <c r="D28934" i="2"/>
  <c r="D28935" i="2"/>
  <c r="D28936" i="2"/>
  <c r="D28937" i="2"/>
  <c r="D28938" i="2"/>
  <c r="D28939" i="2"/>
  <c r="D28940" i="2"/>
  <c r="D28941" i="2"/>
  <c r="D28942" i="2"/>
  <c r="D28943" i="2"/>
  <c r="D28944" i="2"/>
  <c r="D28945" i="2"/>
  <c r="D28946" i="2"/>
  <c r="D28947" i="2"/>
  <c r="D28948" i="2"/>
  <c r="D28949" i="2"/>
  <c r="D28950" i="2"/>
  <c r="D28951" i="2"/>
  <c r="D28952" i="2"/>
  <c r="D28953" i="2"/>
  <c r="D28954" i="2"/>
  <c r="D28955" i="2"/>
  <c r="D28956" i="2"/>
  <c r="D28957" i="2"/>
  <c r="D28958" i="2"/>
  <c r="D28959" i="2"/>
  <c r="D28960" i="2"/>
  <c r="D28961" i="2"/>
  <c r="D28962" i="2"/>
  <c r="D28963" i="2"/>
  <c r="D28964" i="2"/>
  <c r="D28965" i="2"/>
  <c r="D28966" i="2"/>
  <c r="D28967" i="2"/>
  <c r="D28968" i="2"/>
  <c r="D28969" i="2"/>
  <c r="D28970" i="2"/>
  <c r="D28971" i="2"/>
  <c r="D28972" i="2"/>
  <c r="D28973" i="2"/>
  <c r="D28974" i="2"/>
  <c r="D28975" i="2"/>
  <c r="D28976" i="2"/>
  <c r="D28977" i="2"/>
  <c r="D28978" i="2"/>
  <c r="D28979" i="2"/>
  <c r="D28980" i="2"/>
  <c r="D28981" i="2"/>
  <c r="D28982" i="2"/>
  <c r="D28983" i="2"/>
  <c r="D28984" i="2"/>
  <c r="D28985" i="2"/>
  <c r="D28986" i="2"/>
  <c r="D28987" i="2"/>
  <c r="D28988" i="2"/>
  <c r="D28989" i="2"/>
  <c r="D28990" i="2"/>
  <c r="D28991" i="2"/>
  <c r="D28992" i="2"/>
  <c r="D28993" i="2"/>
  <c r="D28994" i="2"/>
  <c r="D28995" i="2"/>
  <c r="D28996" i="2"/>
  <c r="D28997" i="2"/>
  <c r="D28998" i="2"/>
  <c r="D28999" i="2"/>
  <c r="D29000" i="2"/>
  <c r="D29001" i="2"/>
  <c r="D29002" i="2"/>
  <c r="D29003" i="2"/>
  <c r="D29004" i="2"/>
  <c r="D29005" i="2"/>
  <c r="D29006" i="2"/>
  <c r="D29007" i="2"/>
  <c r="D29008" i="2"/>
  <c r="D29009" i="2"/>
  <c r="D29010" i="2"/>
  <c r="D29011" i="2"/>
  <c r="D29012" i="2"/>
  <c r="D29013" i="2"/>
  <c r="D29014" i="2"/>
  <c r="D29015" i="2"/>
  <c r="D29016" i="2"/>
  <c r="D29017" i="2"/>
  <c r="D29018" i="2"/>
  <c r="D29019" i="2"/>
  <c r="D29020" i="2"/>
  <c r="D29021" i="2"/>
  <c r="D29022" i="2"/>
  <c r="D29023" i="2"/>
  <c r="D29024" i="2"/>
  <c r="D29025" i="2"/>
  <c r="D29026" i="2"/>
  <c r="D29027" i="2"/>
  <c r="D29028" i="2"/>
  <c r="D29029" i="2"/>
  <c r="D29030" i="2"/>
  <c r="D29031" i="2"/>
  <c r="D29032" i="2"/>
  <c r="D29033" i="2"/>
  <c r="D29034" i="2"/>
  <c r="D29035" i="2"/>
  <c r="D29036" i="2"/>
  <c r="D29037" i="2"/>
  <c r="D29038" i="2"/>
  <c r="D29039" i="2"/>
  <c r="D29040" i="2"/>
  <c r="D29041" i="2"/>
  <c r="D29042" i="2"/>
  <c r="D29043" i="2"/>
  <c r="D29044" i="2"/>
  <c r="D29045" i="2"/>
  <c r="D29046" i="2"/>
  <c r="D29047" i="2"/>
  <c r="D29048" i="2"/>
  <c r="D29049" i="2"/>
  <c r="D29050" i="2"/>
  <c r="D29051" i="2"/>
  <c r="D29052" i="2"/>
  <c r="D29053" i="2"/>
  <c r="D29054" i="2"/>
  <c r="D29055" i="2"/>
  <c r="D29056" i="2"/>
  <c r="D29057" i="2"/>
  <c r="D29058" i="2"/>
  <c r="D29059" i="2"/>
  <c r="D29060" i="2"/>
  <c r="D29061" i="2"/>
  <c r="D29062" i="2"/>
  <c r="D29063" i="2"/>
  <c r="D29064" i="2"/>
  <c r="D29065" i="2"/>
  <c r="D29066" i="2"/>
  <c r="D29067" i="2"/>
  <c r="D29068" i="2"/>
  <c r="D29069" i="2"/>
  <c r="D29070" i="2"/>
  <c r="D29071" i="2"/>
  <c r="D29072" i="2"/>
  <c r="D29073" i="2"/>
  <c r="D29074" i="2"/>
  <c r="D29075" i="2"/>
  <c r="D29076" i="2"/>
  <c r="D29077" i="2"/>
  <c r="D29078" i="2"/>
  <c r="D29079" i="2"/>
  <c r="D29080" i="2"/>
  <c r="D29081" i="2"/>
  <c r="D29082" i="2"/>
  <c r="D29083" i="2"/>
  <c r="D29084" i="2"/>
  <c r="D29085" i="2"/>
  <c r="D29086" i="2"/>
  <c r="D29087" i="2"/>
  <c r="D29088" i="2"/>
  <c r="D29089" i="2"/>
  <c r="D29090" i="2"/>
  <c r="D29091" i="2"/>
  <c r="D29092" i="2"/>
  <c r="D29093" i="2"/>
  <c r="D29094" i="2"/>
  <c r="D29095" i="2"/>
  <c r="D29096" i="2"/>
  <c r="D29097" i="2"/>
  <c r="D29098" i="2"/>
  <c r="D29099" i="2"/>
  <c r="D29100" i="2"/>
  <c r="D29101" i="2"/>
  <c r="D29102" i="2"/>
  <c r="D29103" i="2"/>
  <c r="D29104" i="2"/>
  <c r="D29105" i="2"/>
  <c r="D29106" i="2"/>
  <c r="D29107" i="2"/>
  <c r="D29108" i="2"/>
  <c r="D29109" i="2"/>
  <c r="D29110" i="2"/>
  <c r="D29111" i="2"/>
  <c r="D29112" i="2"/>
  <c r="D29113" i="2"/>
  <c r="D29114" i="2"/>
  <c r="D29115" i="2"/>
  <c r="D29116" i="2"/>
  <c r="D29117" i="2"/>
  <c r="D29118" i="2"/>
  <c r="D29119" i="2"/>
  <c r="D29120" i="2"/>
  <c r="D29121" i="2"/>
  <c r="D29122" i="2"/>
  <c r="D29123" i="2"/>
  <c r="D29124" i="2"/>
  <c r="D29125" i="2"/>
  <c r="D29126" i="2"/>
  <c r="D29127" i="2"/>
  <c r="D29128" i="2"/>
  <c r="D29129" i="2"/>
  <c r="D29130" i="2"/>
  <c r="D29131" i="2"/>
  <c r="D29132" i="2"/>
  <c r="D29133" i="2"/>
  <c r="D29134" i="2"/>
  <c r="D29135" i="2"/>
  <c r="D29136" i="2"/>
  <c r="D29137" i="2"/>
  <c r="D29138" i="2"/>
  <c r="D29139" i="2"/>
  <c r="D29140" i="2"/>
  <c r="D29141" i="2"/>
  <c r="D29142" i="2"/>
  <c r="D29143" i="2"/>
  <c r="D29144" i="2"/>
  <c r="D29145" i="2"/>
  <c r="D29146" i="2"/>
  <c r="D29147" i="2"/>
  <c r="D29148" i="2"/>
  <c r="D29149" i="2"/>
  <c r="D29150" i="2"/>
  <c r="D29151" i="2"/>
  <c r="D29152" i="2"/>
  <c r="D29153" i="2"/>
  <c r="D29154" i="2"/>
  <c r="D29155" i="2"/>
  <c r="D29156" i="2"/>
  <c r="D29157" i="2"/>
  <c r="D29158" i="2"/>
  <c r="D29159" i="2"/>
  <c r="D29160" i="2"/>
  <c r="D29161" i="2"/>
  <c r="D29162" i="2"/>
  <c r="D29163" i="2"/>
  <c r="D29164" i="2"/>
  <c r="D29165" i="2"/>
  <c r="D29166" i="2"/>
  <c r="D29167" i="2"/>
  <c r="D29168" i="2"/>
  <c r="D29169" i="2"/>
  <c r="D29170" i="2"/>
  <c r="D29171" i="2"/>
  <c r="D29172" i="2"/>
  <c r="D29173" i="2"/>
  <c r="D29174" i="2"/>
  <c r="D29175" i="2"/>
  <c r="D29176" i="2"/>
  <c r="D29177" i="2"/>
  <c r="D29178" i="2"/>
  <c r="D29179" i="2"/>
  <c r="D29180" i="2"/>
  <c r="D29181" i="2"/>
  <c r="D29182" i="2"/>
  <c r="D29183" i="2"/>
  <c r="D29184" i="2"/>
  <c r="D29185" i="2"/>
  <c r="D29186" i="2"/>
  <c r="D29187" i="2"/>
  <c r="D29188" i="2"/>
  <c r="D29189" i="2"/>
  <c r="D29190" i="2"/>
  <c r="D29191" i="2"/>
  <c r="D29192" i="2"/>
  <c r="D29193" i="2"/>
  <c r="D29194" i="2"/>
  <c r="D29195" i="2"/>
  <c r="D29196" i="2"/>
  <c r="D29197" i="2"/>
  <c r="D29198" i="2"/>
  <c r="D29199" i="2"/>
  <c r="D29200" i="2"/>
  <c r="D29201" i="2"/>
  <c r="D29202" i="2"/>
  <c r="D29203" i="2"/>
  <c r="D29204" i="2"/>
  <c r="D29205" i="2"/>
  <c r="D29206" i="2"/>
  <c r="D29207" i="2"/>
  <c r="D29208" i="2"/>
  <c r="D29209" i="2"/>
  <c r="D29210" i="2"/>
  <c r="D29211" i="2"/>
  <c r="D29212" i="2"/>
  <c r="D29213" i="2"/>
  <c r="D29214" i="2"/>
  <c r="D29215" i="2"/>
  <c r="D29216" i="2"/>
  <c r="D29217" i="2"/>
  <c r="D29218" i="2"/>
  <c r="D29219" i="2"/>
  <c r="D29220" i="2"/>
  <c r="D29221" i="2"/>
  <c r="D29222" i="2"/>
  <c r="D29223" i="2"/>
  <c r="D29224" i="2"/>
  <c r="D29225" i="2"/>
  <c r="D29226" i="2"/>
  <c r="D29227" i="2"/>
  <c r="D29228" i="2"/>
  <c r="D29229" i="2"/>
  <c r="D29230" i="2"/>
  <c r="D29231" i="2"/>
  <c r="D29232" i="2"/>
  <c r="D29233" i="2"/>
  <c r="D29234" i="2"/>
  <c r="D29235" i="2"/>
  <c r="D29236" i="2"/>
  <c r="D29237" i="2"/>
  <c r="D29238" i="2"/>
  <c r="D29239" i="2"/>
  <c r="D29240" i="2"/>
  <c r="D29241" i="2"/>
  <c r="D29242" i="2"/>
  <c r="D29243" i="2"/>
  <c r="D29244" i="2"/>
  <c r="D29245" i="2"/>
  <c r="D29246" i="2"/>
  <c r="D29247" i="2"/>
  <c r="D29248" i="2"/>
  <c r="D29249" i="2"/>
  <c r="D29250" i="2"/>
  <c r="D29251" i="2"/>
  <c r="D29252" i="2"/>
  <c r="D29253" i="2"/>
  <c r="D29254" i="2"/>
  <c r="D29255" i="2"/>
  <c r="D29256" i="2"/>
  <c r="D29257" i="2"/>
  <c r="D29258" i="2"/>
  <c r="D29259" i="2"/>
  <c r="D29260" i="2"/>
  <c r="D29261" i="2"/>
  <c r="D29262" i="2"/>
  <c r="D29263" i="2"/>
  <c r="D29264" i="2"/>
  <c r="D29265" i="2"/>
  <c r="D29266" i="2"/>
  <c r="D29267" i="2"/>
  <c r="D29268" i="2"/>
  <c r="D29269" i="2"/>
  <c r="D29270" i="2"/>
  <c r="D29271" i="2"/>
  <c r="D29272" i="2"/>
  <c r="D29273" i="2"/>
  <c r="D29274" i="2"/>
  <c r="D29275" i="2"/>
  <c r="D29276" i="2"/>
  <c r="D29277" i="2"/>
  <c r="D29278" i="2"/>
  <c r="D29279" i="2"/>
  <c r="D29280" i="2"/>
  <c r="D29281" i="2"/>
  <c r="D29282" i="2"/>
  <c r="D29283" i="2"/>
  <c r="D29284" i="2"/>
  <c r="D29285" i="2"/>
  <c r="D29286" i="2"/>
  <c r="D29287" i="2"/>
  <c r="D29288" i="2"/>
  <c r="D29289" i="2"/>
  <c r="D29290" i="2"/>
  <c r="D29291" i="2"/>
  <c r="D29292" i="2"/>
  <c r="D29293" i="2"/>
  <c r="D29294" i="2"/>
  <c r="D29295" i="2"/>
  <c r="D29296" i="2"/>
  <c r="D29297" i="2"/>
  <c r="D29298" i="2"/>
  <c r="D29299" i="2"/>
  <c r="D29300" i="2"/>
  <c r="D29301" i="2"/>
  <c r="D29302" i="2"/>
  <c r="D29303" i="2"/>
  <c r="D29304" i="2"/>
  <c r="D29305" i="2"/>
  <c r="D29306" i="2"/>
  <c r="D29307" i="2"/>
  <c r="D29308" i="2"/>
  <c r="D29309" i="2"/>
  <c r="D29310" i="2"/>
  <c r="D29311" i="2"/>
  <c r="D29312" i="2"/>
  <c r="D29313" i="2"/>
  <c r="D29314" i="2"/>
  <c r="D29315" i="2"/>
  <c r="D29316" i="2"/>
  <c r="D29317" i="2"/>
  <c r="D29318" i="2"/>
  <c r="D29319" i="2"/>
  <c r="D29320" i="2"/>
  <c r="D29321" i="2"/>
  <c r="D29322" i="2"/>
  <c r="D29323" i="2"/>
  <c r="D29324" i="2"/>
  <c r="D29325" i="2"/>
  <c r="D29326" i="2"/>
  <c r="D29327" i="2"/>
  <c r="D29328" i="2"/>
  <c r="D29329" i="2"/>
  <c r="D29330" i="2"/>
  <c r="D29331" i="2"/>
  <c r="D29332" i="2"/>
  <c r="D29333" i="2"/>
  <c r="D29334" i="2"/>
  <c r="D29335" i="2"/>
  <c r="D29336" i="2"/>
  <c r="D29337" i="2"/>
  <c r="D29338" i="2"/>
  <c r="D29339" i="2"/>
  <c r="D29340" i="2"/>
  <c r="D29341" i="2"/>
  <c r="D29342" i="2"/>
  <c r="D29343" i="2"/>
  <c r="D29344" i="2"/>
  <c r="D29345" i="2"/>
  <c r="D29346" i="2"/>
  <c r="D29347" i="2"/>
  <c r="D29348" i="2"/>
  <c r="D29349" i="2"/>
  <c r="D29350" i="2"/>
  <c r="D29351" i="2"/>
  <c r="D29352" i="2"/>
  <c r="D29353" i="2"/>
  <c r="D29354" i="2"/>
  <c r="D29355" i="2"/>
  <c r="D29356" i="2"/>
  <c r="D29357" i="2"/>
  <c r="D29358" i="2"/>
  <c r="D29359" i="2"/>
  <c r="D29360" i="2"/>
  <c r="D29361" i="2"/>
  <c r="D29362" i="2"/>
  <c r="D29363" i="2"/>
  <c r="D29364" i="2"/>
  <c r="D29365" i="2"/>
  <c r="D29366" i="2"/>
  <c r="D29367" i="2"/>
  <c r="D29368" i="2"/>
  <c r="D29369" i="2"/>
  <c r="D29370" i="2"/>
  <c r="D29371" i="2"/>
  <c r="D29372" i="2"/>
  <c r="D29373" i="2"/>
  <c r="D29374" i="2"/>
  <c r="D29375" i="2"/>
  <c r="D29376" i="2"/>
  <c r="D29377" i="2"/>
  <c r="D29378" i="2"/>
  <c r="D29379" i="2"/>
  <c r="D29380" i="2"/>
  <c r="D29381" i="2"/>
  <c r="D29382" i="2"/>
  <c r="D29383" i="2"/>
  <c r="D29384" i="2"/>
  <c r="D29385" i="2"/>
  <c r="D29386" i="2"/>
  <c r="D29387" i="2"/>
  <c r="D29388" i="2"/>
  <c r="D29389" i="2"/>
  <c r="D29390" i="2"/>
  <c r="D29391" i="2"/>
  <c r="D29392" i="2"/>
  <c r="D29393" i="2"/>
  <c r="D29394" i="2"/>
  <c r="D29395" i="2"/>
  <c r="D29396" i="2"/>
  <c r="D29397" i="2"/>
  <c r="D29398" i="2"/>
  <c r="D29399" i="2"/>
  <c r="D29400" i="2"/>
  <c r="D29401" i="2"/>
  <c r="D29402" i="2"/>
  <c r="D29403" i="2"/>
  <c r="D29404" i="2"/>
  <c r="D29405" i="2"/>
  <c r="D29406" i="2"/>
  <c r="D29407" i="2"/>
  <c r="D29408" i="2"/>
  <c r="D29409" i="2"/>
  <c r="D29410" i="2"/>
  <c r="D29411" i="2"/>
  <c r="D29412" i="2"/>
  <c r="D29413" i="2"/>
  <c r="D29414" i="2"/>
  <c r="D29415" i="2"/>
  <c r="D29416" i="2"/>
  <c r="D29417" i="2"/>
  <c r="D29418" i="2"/>
  <c r="D29419" i="2"/>
  <c r="D29420" i="2"/>
  <c r="D29421" i="2"/>
  <c r="D29422" i="2"/>
  <c r="D29423" i="2"/>
  <c r="D29424" i="2"/>
  <c r="D29425" i="2"/>
  <c r="D29426" i="2"/>
  <c r="D29427" i="2"/>
  <c r="D29428" i="2"/>
  <c r="D29429" i="2"/>
  <c r="D29430" i="2"/>
  <c r="D29431" i="2"/>
  <c r="D29432" i="2"/>
  <c r="D29433" i="2"/>
  <c r="D29434" i="2"/>
  <c r="D29435" i="2"/>
  <c r="D29436" i="2"/>
  <c r="D29437" i="2"/>
  <c r="D29438" i="2"/>
  <c r="D29439" i="2"/>
  <c r="D29440" i="2"/>
  <c r="D29441" i="2"/>
  <c r="D29442" i="2"/>
  <c r="D29443" i="2"/>
  <c r="D29444" i="2"/>
  <c r="D29445" i="2"/>
  <c r="D29446" i="2"/>
  <c r="D29447" i="2"/>
  <c r="D29448" i="2"/>
  <c r="D29449" i="2"/>
  <c r="D29450" i="2"/>
  <c r="D29451" i="2"/>
  <c r="D29452" i="2"/>
  <c r="D29453" i="2"/>
  <c r="D29454" i="2"/>
  <c r="D29455" i="2"/>
  <c r="D29456" i="2"/>
  <c r="D29457" i="2"/>
  <c r="D29458" i="2"/>
  <c r="D29459" i="2"/>
  <c r="D29460" i="2"/>
  <c r="D29461" i="2"/>
  <c r="D29462" i="2"/>
  <c r="D29463" i="2"/>
  <c r="D29464" i="2"/>
  <c r="D29465" i="2"/>
  <c r="D29466" i="2"/>
  <c r="D29467" i="2"/>
  <c r="D29468" i="2"/>
  <c r="D29469" i="2"/>
  <c r="D29470" i="2"/>
  <c r="D29471" i="2"/>
  <c r="D29472" i="2"/>
  <c r="D29473" i="2"/>
  <c r="D29474" i="2"/>
  <c r="D29475" i="2"/>
  <c r="D29476" i="2"/>
  <c r="D29477" i="2"/>
  <c r="D29478" i="2"/>
  <c r="D29479" i="2"/>
  <c r="D29480" i="2"/>
  <c r="D29481" i="2"/>
  <c r="D29482" i="2"/>
  <c r="D29483" i="2"/>
  <c r="D29484" i="2"/>
  <c r="D29485" i="2"/>
  <c r="D29486" i="2"/>
  <c r="D29487" i="2"/>
  <c r="D29488" i="2"/>
  <c r="D29489" i="2"/>
  <c r="D29490" i="2"/>
  <c r="D29491" i="2"/>
  <c r="D29492" i="2"/>
  <c r="D29493" i="2"/>
  <c r="D29494" i="2"/>
  <c r="D29495" i="2"/>
  <c r="D29496" i="2"/>
  <c r="D29497" i="2"/>
  <c r="D29498" i="2"/>
  <c r="D29499" i="2"/>
  <c r="D29500" i="2"/>
  <c r="D29501" i="2"/>
  <c r="D29502" i="2"/>
  <c r="D29503" i="2"/>
  <c r="D29504" i="2"/>
  <c r="D29505" i="2"/>
  <c r="D29506" i="2"/>
  <c r="D29507" i="2"/>
  <c r="D29508" i="2"/>
  <c r="D29509" i="2"/>
  <c r="D29510" i="2"/>
  <c r="D29511" i="2"/>
  <c r="D29512" i="2"/>
  <c r="D29513" i="2"/>
  <c r="D29514" i="2"/>
  <c r="D29515" i="2"/>
  <c r="D29516" i="2"/>
  <c r="D29517" i="2"/>
  <c r="D29518" i="2"/>
  <c r="D29519" i="2"/>
  <c r="D29520" i="2"/>
  <c r="D29521" i="2"/>
  <c r="D29522" i="2"/>
  <c r="D29523" i="2"/>
  <c r="D29524" i="2"/>
  <c r="D29525" i="2"/>
  <c r="D29526" i="2"/>
  <c r="D29527" i="2"/>
  <c r="D29528" i="2"/>
  <c r="D29529" i="2"/>
  <c r="D29530" i="2"/>
  <c r="D29531" i="2"/>
  <c r="D29532" i="2"/>
  <c r="D29533" i="2"/>
  <c r="D29534" i="2"/>
  <c r="D29535" i="2"/>
  <c r="D29536" i="2"/>
  <c r="D29537" i="2"/>
  <c r="D29538" i="2"/>
  <c r="D29539" i="2"/>
  <c r="D29540" i="2"/>
  <c r="D29541" i="2"/>
  <c r="D29542" i="2"/>
  <c r="D29543" i="2"/>
  <c r="D29544" i="2"/>
  <c r="D29545" i="2"/>
  <c r="D29546" i="2"/>
  <c r="D29547" i="2"/>
  <c r="D29548" i="2"/>
  <c r="D29549" i="2"/>
  <c r="D29550" i="2"/>
  <c r="D29551" i="2"/>
  <c r="D29552" i="2"/>
  <c r="D29553" i="2"/>
  <c r="D29554" i="2"/>
  <c r="D29555" i="2"/>
  <c r="D29556" i="2"/>
  <c r="D29557" i="2"/>
  <c r="D29558" i="2"/>
  <c r="D29559" i="2"/>
  <c r="D29560" i="2"/>
  <c r="D29561" i="2"/>
  <c r="D29562" i="2"/>
  <c r="D29563" i="2"/>
  <c r="D29564" i="2"/>
  <c r="D29565" i="2"/>
  <c r="D29566" i="2"/>
  <c r="D29567" i="2"/>
  <c r="D29568" i="2"/>
  <c r="D29569" i="2"/>
  <c r="D29570" i="2"/>
  <c r="D29571" i="2"/>
  <c r="D29572" i="2"/>
  <c r="D29573" i="2"/>
  <c r="D29574" i="2"/>
  <c r="D29575" i="2"/>
  <c r="D29576" i="2"/>
  <c r="D29577" i="2"/>
  <c r="D29578" i="2"/>
  <c r="D29579" i="2"/>
  <c r="D29580" i="2"/>
  <c r="D29581" i="2"/>
  <c r="D29582" i="2"/>
  <c r="D29583" i="2"/>
  <c r="D29584" i="2"/>
  <c r="D29585" i="2"/>
  <c r="D29586" i="2"/>
  <c r="D29587" i="2"/>
  <c r="D29588" i="2"/>
  <c r="D29589" i="2"/>
  <c r="D29590" i="2"/>
  <c r="D29591" i="2"/>
  <c r="D29592" i="2"/>
  <c r="D29593" i="2"/>
  <c r="D29594" i="2"/>
  <c r="D29595" i="2"/>
  <c r="D29596" i="2"/>
  <c r="D29597" i="2"/>
  <c r="D29598" i="2"/>
  <c r="D29599" i="2"/>
  <c r="D29600" i="2"/>
  <c r="D29601" i="2"/>
  <c r="D29602" i="2"/>
  <c r="D29603" i="2"/>
  <c r="D29604" i="2"/>
  <c r="D29605" i="2"/>
  <c r="D29606" i="2"/>
  <c r="D29607" i="2"/>
  <c r="D29608" i="2"/>
  <c r="D29609" i="2"/>
  <c r="D29610" i="2"/>
  <c r="D29611" i="2"/>
  <c r="D29612" i="2"/>
  <c r="D29613" i="2"/>
  <c r="D29614" i="2"/>
  <c r="D29615" i="2"/>
  <c r="D29616" i="2"/>
  <c r="D29617" i="2"/>
  <c r="D29618" i="2"/>
  <c r="D29619" i="2"/>
  <c r="D29620" i="2"/>
  <c r="D29621" i="2"/>
  <c r="D29622" i="2"/>
  <c r="D29623" i="2"/>
  <c r="D29624" i="2"/>
  <c r="D29625" i="2"/>
  <c r="D29626" i="2"/>
  <c r="D29627" i="2"/>
  <c r="D29628" i="2"/>
  <c r="D29629" i="2"/>
  <c r="D29630" i="2"/>
  <c r="D29631" i="2"/>
  <c r="D29632" i="2"/>
  <c r="D29633" i="2"/>
  <c r="D29634" i="2"/>
  <c r="D29635" i="2"/>
  <c r="D29636" i="2"/>
  <c r="D29637" i="2"/>
  <c r="D29638" i="2"/>
  <c r="D29639" i="2"/>
  <c r="D29640" i="2"/>
  <c r="D29641" i="2"/>
  <c r="D29642" i="2"/>
  <c r="D29643" i="2"/>
  <c r="D29644" i="2"/>
  <c r="D29645" i="2"/>
  <c r="D29646" i="2"/>
  <c r="D29647" i="2"/>
  <c r="D29648" i="2"/>
  <c r="D29649" i="2"/>
  <c r="D29650" i="2"/>
  <c r="D29651" i="2"/>
  <c r="D29652" i="2"/>
  <c r="D29653" i="2"/>
  <c r="D29654" i="2"/>
  <c r="D29655" i="2"/>
  <c r="D29656" i="2"/>
  <c r="D29657" i="2"/>
  <c r="D29658" i="2"/>
  <c r="D29659" i="2"/>
  <c r="D29660" i="2"/>
  <c r="D29661" i="2"/>
  <c r="D29662" i="2"/>
  <c r="D29663" i="2"/>
  <c r="D29664" i="2"/>
  <c r="D29665" i="2"/>
  <c r="D29666" i="2"/>
  <c r="D29667" i="2"/>
  <c r="D29668" i="2"/>
  <c r="D29669" i="2"/>
  <c r="D29670" i="2"/>
  <c r="D29671" i="2"/>
  <c r="D29672" i="2"/>
  <c r="D29673" i="2"/>
  <c r="D29674" i="2"/>
  <c r="D29675" i="2"/>
  <c r="D29676" i="2"/>
  <c r="D29677" i="2"/>
  <c r="D29678" i="2"/>
  <c r="D29679" i="2"/>
  <c r="D29680" i="2"/>
  <c r="D29681" i="2"/>
  <c r="D29682" i="2"/>
  <c r="D29683" i="2"/>
  <c r="D29684" i="2"/>
  <c r="D29685" i="2"/>
  <c r="D29686" i="2"/>
  <c r="D29687" i="2"/>
  <c r="D29688" i="2"/>
  <c r="D29689" i="2"/>
  <c r="D29690" i="2"/>
  <c r="D29691" i="2"/>
  <c r="D29692" i="2"/>
  <c r="D29693" i="2"/>
  <c r="D29694" i="2"/>
  <c r="D29695" i="2"/>
  <c r="D29696" i="2"/>
  <c r="D29697" i="2"/>
  <c r="D29698" i="2"/>
  <c r="D29699" i="2"/>
  <c r="D29700" i="2"/>
  <c r="D29701" i="2"/>
  <c r="D29702" i="2"/>
  <c r="D29703" i="2"/>
  <c r="D29704" i="2"/>
  <c r="D29705" i="2"/>
  <c r="D29706" i="2"/>
  <c r="D29707" i="2"/>
  <c r="D29708" i="2"/>
  <c r="D29709" i="2"/>
  <c r="D29710" i="2"/>
  <c r="D29711" i="2"/>
  <c r="D29712" i="2"/>
  <c r="D29713" i="2"/>
  <c r="D29714" i="2"/>
  <c r="D29715" i="2"/>
  <c r="D29716" i="2"/>
  <c r="D29717" i="2"/>
  <c r="D29718" i="2"/>
  <c r="D29719" i="2"/>
  <c r="D29720" i="2"/>
  <c r="D29721" i="2"/>
  <c r="D29722" i="2"/>
  <c r="D29723" i="2"/>
  <c r="D29724" i="2"/>
  <c r="D29725" i="2"/>
  <c r="D29726" i="2"/>
  <c r="D29727" i="2"/>
  <c r="D29728" i="2"/>
  <c r="D29729" i="2"/>
  <c r="D29730" i="2"/>
  <c r="D29731" i="2"/>
  <c r="D29732" i="2"/>
  <c r="D29733" i="2"/>
  <c r="D29734" i="2"/>
  <c r="D29735" i="2"/>
  <c r="D29736" i="2"/>
  <c r="D29737" i="2"/>
  <c r="D29738" i="2"/>
  <c r="D29739" i="2"/>
  <c r="D29740" i="2"/>
  <c r="D29741" i="2"/>
  <c r="D29742" i="2"/>
  <c r="D29743" i="2"/>
  <c r="D29744" i="2"/>
  <c r="D29745" i="2"/>
  <c r="D29746" i="2"/>
  <c r="D29747" i="2"/>
  <c r="D29748" i="2"/>
  <c r="D29749" i="2"/>
  <c r="D29750" i="2"/>
  <c r="D29751" i="2"/>
  <c r="D29752" i="2"/>
  <c r="D29753" i="2"/>
  <c r="D29754" i="2"/>
  <c r="D29755" i="2"/>
  <c r="D29756" i="2"/>
  <c r="D29757" i="2"/>
  <c r="D29758" i="2"/>
  <c r="D29759" i="2"/>
  <c r="D29760" i="2"/>
  <c r="D29761" i="2"/>
  <c r="D29762" i="2"/>
  <c r="D29763" i="2"/>
  <c r="D29764" i="2"/>
  <c r="D29765" i="2"/>
  <c r="D29766" i="2"/>
  <c r="D29767" i="2"/>
  <c r="D29768" i="2"/>
  <c r="D29769" i="2"/>
  <c r="D29770" i="2"/>
  <c r="D29771" i="2"/>
  <c r="D29772" i="2"/>
  <c r="D29773" i="2"/>
  <c r="D29774" i="2"/>
  <c r="D29775" i="2"/>
  <c r="D29776" i="2"/>
  <c r="D29777" i="2"/>
  <c r="D29778" i="2"/>
  <c r="D29779" i="2"/>
  <c r="D29780" i="2"/>
  <c r="D29781" i="2"/>
  <c r="D29782" i="2"/>
  <c r="D29783" i="2"/>
  <c r="D29784" i="2"/>
  <c r="D29785" i="2"/>
  <c r="D29786" i="2"/>
  <c r="D29787" i="2"/>
  <c r="D29788" i="2"/>
  <c r="D29789" i="2"/>
  <c r="D29790" i="2"/>
  <c r="D29791" i="2"/>
  <c r="D29792" i="2"/>
  <c r="D29793" i="2"/>
  <c r="D29794" i="2"/>
  <c r="D29795" i="2"/>
  <c r="D29796" i="2"/>
  <c r="D29797" i="2"/>
  <c r="D29798" i="2"/>
  <c r="D29799" i="2"/>
  <c r="D29800" i="2"/>
  <c r="D29801" i="2"/>
  <c r="D29802" i="2"/>
  <c r="D29803" i="2"/>
  <c r="D29804" i="2"/>
  <c r="D29805" i="2"/>
  <c r="D29806" i="2"/>
  <c r="D29807" i="2"/>
  <c r="D29808" i="2"/>
  <c r="D29809" i="2"/>
  <c r="D29810" i="2"/>
  <c r="D29811" i="2"/>
  <c r="D29812" i="2"/>
  <c r="D29813" i="2"/>
  <c r="D29814" i="2"/>
  <c r="D29815" i="2"/>
  <c r="D29816" i="2"/>
  <c r="D29817" i="2"/>
  <c r="D29818" i="2"/>
  <c r="D29819" i="2"/>
  <c r="D29820" i="2"/>
  <c r="D29821" i="2"/>
  <c r="D29822" i="2"/>
  <c r="D29823" i="2"/>
  <c r="D29824" i="2"/>
  <c r="D29825" i="2"/>
  <c r="D29826" i="2"/>
  <c r="D29827" i="2"/>
  <c r="D29828" i="2"/>
  <c r="D29829" i="2"/>
  <c r="D29830" i="2"/>
  <c r="D29831" i="2"/>
  <c r="D29832" i="2"/>
  <c r="D29833" i="2"/>
  <c r="D29834" i="2"/>
  <c r="D29835" i="2"/>
  <c r="D29836" i="2"/>
  <c r="D29837" i="2"/>
  <c r="D29838" i="2"/>
  <c r="D29839" i="2"/>
  <c r="D29840" i="2"/>
  <c r="D29841" i="2"/>
  <c r="D29842" i="2"/>
  <c r="D29843" i="2"/>
  <c r="D29844" i="2"/>
  <c r="D29845" i="2"/>
  <c r="D29846" i="2"/>
  <c r="D29847" i="2"/>
  <c r="D29848" i="2"/>
  <c r="D29849" i="2"/>
  <c r="D29850" i="2"/>
  <c r="D29851" i="2"/>
  <c r="D29852" i="2"/>
  <c r="D29853" i="2"/>
  <c r="D29854" i="2"/>
  <c r="D29855" i="2"/>
  <c r="D29856" i="2"/>
  <c r="D29857" i="2"/>
  <c r="D29858" i="2"/>
  <c r="D29859" i="2"/>
  <c r="D29860" i="2"/>
  <c r="D29861" i="2"/>
  <c r="D29862" i="2"/>
  <c r="D29863" i="2"/>
  <c r="D29864" i="2"/>
  <c r="D29865" i="2"/>
  <c r="D29866" i="2"/>
  <c r="D29867" i="2"/>
  <c r="D29868" i="2"/>
  <c r="D29869" i="2"/>
  <c r="D29870" i="2"/>
  <c r="D29871" i="2"/>
  <c r="D29872" i="2"/>
  <c r="D29873" i="2"/>
  <c r="D29874" i="2"/>
  <c r="D29875" i="2"/>
  <c r="D29876" i="2"/>
  <c r="D29877" i="2"/>
  <c r="D29878" i="2"/>
  <c r="D29879" i="2"/>
  <c r="D29880" i="2"/>
  <c r="D29881" i="2"/>
  <c r="D29882" i="2"/>
  <c r="D29883" i="2"/>
  <c r="D29884" i="2"/>
  <c r="D29885" i="2"/>
  <c r="D29886" i="2"/>
  <c r="D29887" i="2"/>
  <c r="D29888" i="2"/>
  <c r="D29889" i="2"/>
  <c r="D29890" i="2"/>
  <c r="D29891" i="2"/>
  <c r="D29892" i="2"/>
  <c r="D29893" i="2"/>
  <c r="D29894" i="2"/>
  <c r="D29895" i="2"/>
  <c r="D29896" i="2"/>
  <c r="D29897" i="2"/>
  <c r="D29898" i="2"/>
  <c r="D29899" i="2"/>
  <c r="D29900" i="2"/>
  <c r="D29901" i="2"/>
  <c r="D29902" i="2"/>
  <c r="D29903" i="2"/>
  <c r="D29904" i="2"/>
  <c r="D29905" i="2"/>
  <c r="D29906" i="2"/>
  <c r="D29907" i="2"/>
  <c r="D29908" i="2"/>
  <c r="D29909" i="2"/>
  <c r="D29910" i="2"/>
  <c r="D29911" i="2"/>
  <c r="D29912" i="2"/>
  <c r="D29913" i="2"/>
  <c r="D29914" i="2"/>
  <c r="D29915" i="2"/>
  <c r="D29916" i="2"/>
  <c r="D29917" i="2"/>
  <c r="D29918" i="2"/>
  <c r="D29919" i="2"/>
  <c r="D29920" i="2"/>
  <c r="D29921" i="2"/>
  <c r="D29922" i="2"/>
  <c r="D29923" i="2"/>
  <c r="D29924" i="2"/>
  <c r="D29925" i="2"/>
  <c r="D29926" i="2"/>
  <c r="D29927" i="2"/>
  <c r="D29928" i="2"/>
  <c r="D29929" i="2"/>
  <c r="D29930" i="2"/>
  <c r="D29931" i="2"/>
  <c r="D29932" i="2"/>
  <c r="D29933" i="2"/>
  <c r="D29934" i="2"/>
  <c r="D29935" i="2"/>
  <c r="D29936" i="2"/>
  <c r="D29937" i="2"/>
  <c r="D29938" i="2"/>
  <c r="D29939" i="2"/>
  <c r="D29940" i="2"/>
  <c r="D29941" i="2"/>
  <c r="D29942" i="2"/>
  <c r="D29943" i="2"/>
  <c r="D29944" i="2"/>
  <c r="D29945" i="2"/>
  <c r="D29946" i="2"/>
  <c r="D29947" i="2"/>
  <c r="D29948" i="2"/>
  <c r="D29949" i="2"/>
  <c r="D29950" i="2"/>
  <c r="D29951" i="2"/>
  <c r="D29952" i="2"/>
  <c r="D29953" i="2"/>
  <c r="D29954" i="2"/>
  <c r="D29955" i="2"/>
  <c r="D29956" i="2"/>
  <c r="D29957" i="2"/>
  <c r="D29958" i="2"/>
  <c r="D29959" i="2"/>
  <c r="D29960" i="2"/>
  <c r="D29961" i="2"/>
  <c r="D29962" i="2"/>
  <c r="D29963" i="2"/>
  <c r="D29964" i="2"/>
  <c r="D29965" i="2"/>
  <c r="D29966" i="2"/>
  <c r="D29967" i="2"/>
  <c r="D29968" i="2"/>
  <c r="D29969" i="2"/>
  <c r="D29970" i="2"/>
  <c r="D29971" i="2"/>
  <c r="D29972" i="2"/>
  <c r="D29973" i="2"/>
  <c r="D29974" i="2"/>
  <c r="D29975" i="2"/>
  <c r="D29976" i="2"/>
  <c r="D29977" i="2"/>
  <c r="D29978" i="2"/>
  <c r="D29979" i="2"/>
  <c r="D29980" i="2"/>
  <c r="D29981" i="2"/>
  <c r="D29982" i="2"/>
  <c r="D29983" i="2"/>
  <c r="D29984" i="2"/>
  <c r="D29985" i="2"/>
  <c r="D29986" i="2"/>
  <c r="D29987" i="2"/>
  <c r="D29988" i="2"/>
  <c r="D29989" i="2"/>
  <c r="D29990" i="2"/>
  <c r="D29991" i="2"/>
  <c r="D29992" i="2"/>
  <c r="D29993" i="2"/>
  <c r="D29994" i="2"/>
  <c r="D29995" i="2"/>
  <c r="D29996" i="2"/>
  <c r="D29997" i="2"/>
  <c r="D29998" i="2"/>
  <c r="D29999" i="2"/>
  <c r="D30000" i="2"/>
  <c r="D30001" i="2"/>
  <c r="D30002" i="2"/>
  <c r="D30003" i="2"/>
  <c r="D30004" i="2"/>
  <c r="D30005" i="2"/>
  <c r="D30006" i="2"/>
  <c r="D30007" i="2"/>
  <c r="D30008" i="2"/>
  <c r="D30009" i="2"/>
  <c r="D30010" i="2"/>
  <c r="D30011" i="2"/>
  <c r="D30012" i="2"/>
  <c r="D30013" i="2"/>
  <c r="D30014" i="2"/>
  <c r="D30015" i="2"/>
  <c r="D30016" i="2"/>
  <c r="D30017" i="2"/>
  <c r="D30018" i="2"/>
  <c r="D30019" i="2"/>
  <c r="D30020" i="2"/>
  <c r="D30021" i="2"/>
  <c r="D30022" i="2"/>
  <c r="D30023" i="2"/>
  <c r="D30024" i="2"/>
  <c r="D30025" i="2"/>
  <c r="D30026" i="2"/>
  <c r="D30027" i="2"/>
  <c r="D30028" i="2"/>
  <c r="D30029" i="2"/>
  <c r="D30030" i="2"/>
  <c r="D30031" i="2"/>
  <c r="D30032" i="2"/>
  <c r="D30033" i="2"/>
  <c r="D30034" i="2"/>
  <c r="D30035" i="2"/>
  <c r="D30036" i="2"/>
  <c r="D30037" i="2"/>
  <c r="D30038" i="2"/>
  <c r="D30039" i="2"/>
  <c r="D30040" i="2"/>
  <c r="D30041" i="2"/>
  <c r="D30042" i="2"/>
  <c r="D30043" i="2"/>
  <c r="D30044" i="2"/>
  <c r="D30045" i="2"/>
  <c r="D30046" i="2"/>
  <c r="D30047" i="2"/>
  <c r="D30048" i="2"/>
  <c r="D30049" i="2"/>
  <c r="D30050" i="2"/>
  <c r="D30051" i="2"/>
  <c r="D30052" i="2"/>
  <c r="D30053" i="2"/>
  <c r="D30054" i="2"/>
  <c r="D30055" i="2"/>
  <c r="D30056" i="2"/>
  <c r="D30057" i="2"/>
  <c r="D30058" i="2"/>
  <c r="D30059" i="2"/>
  <c r="D30060" i="2"/>
  <c r="D30061" i="2"/>
  <c r="D30062" i="2"/>
  <c r="D30063" i="2"/>
  <c r="D30064" i="2"/>
  <c r="D30065" i="2"/>
  <c r="D30066" i="2"/>
  <c r="D30067" i="2"/>
  <c r="D30068" i="2"/>
  <c r="D30069" i="2"/>
  <c r="D30070" i="2"/>
  <c r="D30071" i="2"/>
  <c r="D30072" i="2"/>
  <c r="D30073" i="2"/>
  <c r="D30074" i="2"/>
  <c r="D30075" i="2"/>
  <c r="D30076" i="2"/>
  <c r="D30077" i="2"/>
  <c r="D30078" i="2"/>
  <c r="D30079" i="2"/>
  <c r="D30080" i="2"/>
  <c r="D30081" i="2"/>
  <c r="D30082" i="2"/>
  <c r="D30083" i="2"/>
  <c r="D30084" i="2"/>
  <c r="D30085" i="2"/>
  <c r="D30086" i="2"/>
  <c r="D30087" i="2"/>
  <c r="D30088" i="2"/>
  <c r="D30089" i="2"/>
  <c r="D30090" i="2"/>
  <c r="D30091" i="2"/>
  <c r="D30092" i="2"/>
  <c r="D30093" i="2"/>
  <c r="D30094" i="2"/>
  <c r="D30095" i="2"/>
  <c r="D30096" i="2"/>
  <c r="D30097" i="2"/>
  <c r="D30098" i="2"/>
  <c r="D30099" i="2"/>
  <c r="D30100" i="2"/>
  <c r="D30101" i="2"/>
  <c r="D30102" i="2"/>
  <c r="D30103" i="2"/>
  <c r="D30104" i="2"/>
  <c r="D30105" i="2"/>
  <c r="D30106" i="2"/>
  <c r="D30107" i="2"/>
  <c r="D30108" i="2"/>
  <c r="D30109" i="2"/>
  <c r="D30110" i="2"/>
  <c r="D30111" i="2"/>
  <c r="D30112" i="2"/>
  <c r="D30113" i="2"/>
  <c r="D30114" i="2"/>
  <c r="D30115" i="2"/>
  <c r="D30116" i="2"/>
  <c r="D30117" i="2"/>
  <c r="D30118" i="2"/>
  <c r="D30119" i="2"/>
  <c r="D30120" i="2"/>
  <c r="D30121" i="2"/>
  <c r="D30122" i="2"/>
  <c r="D30123" i="2"/>
  <c r="D30124" i="2"/>
  <c r="D30125" i="2"/>
  <c r="D30126" i="2"/>
  <c r="D30127" i="2"/>
  <c r="D30128" i="2"/>
  <c r="D30129" i="2"/>
  <c r="D30130" i="2"/>
  <c r="D30131" i="2"/>
  <c r="D30132" i="2"/>
  <c r="D30133" i="2"/>
  <c r="D30134" i="2"/>
  <c r="D30135" i="2"/>
  <c r="D30136" i="2"/>
  <c r="D30137" i="2"/>
  <c r="D30138" i="2"/>
  <c r="D30139" i="2"/>
  <c r="D30140" i="2"/>
  <c r="D30141" i="2"/>
  <c r="D30142" i="2"/>
  <c r="D30143" i="2"/>
  <c r="D30144" i="2"/>
  <c r="D30145" i="2"/>
  <c r="D30146" i="2"/>
  <c r="D30147" i="2"/>
  <c r="D30148" i="2"/>
  <c r="D30149" i="2"/>
  <c r="D30150" i="2"/>
  <c r="D30151" i="2"/>
  <c r="D30152" i="2"/>
  <c r="D30153" i="2"/>
  <c r="D30154" i="2"/>
  <c r="D30155" i="2"/>
  <c r="D30156" i="2"/>
  <c r="D30157" i="2"/>
  <c r="D30158" i="2"/>
  <c r="D30159" i="2"/>
  <c r="D30160" i="2"/>
  <c r="D30161" i="2"/>
  <c r="D30162" i="2"/>
  <c r="D30163" i="2"/>
  <c r="D30164" i="2"/>
  <c r="D30165" i="2"/>
  <c r="D30166" i="2"/>
  <c r="D30167" i="2"/>
  <c r="D30168" i="2"/>
  <c r="D30169" i="2"/>
  <c r="D30170" i="2"/>
  <c r="D30171" i="2"/>
  <c r="D30172" i="2"/>
  <c r="D30173" i="2"/>
  <c r="D30174" i="2"/>
  <c r="D30175" i="2"/>
  <c r="D30176" i="2"/>
  <c r="D30177" i="2"/>
  <c r="D30178" i="2"/>
  <c r="D30179" i="2"/>
  <c r="D30180" i="2"/>
  <c r="D30181" i="2"/>
  <c r="D30182" i="2"/>
  <c r="D30183" i="2"/>
  <c r="D30184" i="2"/>
  <c r="D30185" i="2"/>
  <c r="D30186" i="2"/>
  <c r="D30187" i="2"/>
  <c r="D30188" i="2"/>
  <c r="D30189" i="2"/>
  <c r="D30190" i="2"/>
  <c r="D30191" i="2"/>
  <c r="D30192" i="2"/>
  <c r="D30193" i="2"/>
  <c r="D30194" i="2"/>
  <c r="D30195" i="2"/>
  <c r="D30196" i="2"/>
  <c r="D30197" i="2"/>
  <c r="D30198" i="2"/>
  <c r="D30199" i="2"/>
  <c r="D30200" i="2"/>
  <c r="D30201" i="2"/>
  <c r="D30202" i="2"/>
  <c r="D30203" i="2"/>
  <c r="D30204" i="2"/>
  <c r="D30205" i="2"/>
  <c r="D30206" i="2"/>
  <c r="D30207" i="2"/>
  <c r="D30208" i="2"/>
  <c r="D30209" i="2"/>
  <c r="D30210" i="2"/>
  <c r="D30211" i="2"/>
  <c r="D30212" i="2"/>
  <c r="D30213" i="2"/>
  <c r="D30214" i="2"/>
  <c r="D30215" i="2"/>
  <c r="D30216" i="2"/>
  <c r="D30217" i="2"/>
  <c r="D30218" i="2"/>
  <c r="D30219" i="2"/>
  <c r="D30220" i="2"/>
  <c r="D30221" i="2"/>
  <c r="D30222" i="2"/>
  <c r="D30223" i="2"/>
  <c r="D30224" i="2"/>
  <c r="D30225" i="2"/>
  <c r="D30226" i="2"/>
  <c r="D30227" i="2"/>
  <c r="D30228" i="2"/>
  <c r="D30229" i="2"/>
  <c r="D30230" i="2"/>
  <c r="D30231" i="2"/>
  <c r="D30232" i="2"/>
  <c r="D30233" i="2"/>
  <c r="D30234" i="2"/>
  <c r="D30235" i="2"/>
  <c r="D30236" i="2"/>
  <c r="D30237" i="2"/>
  <c r="D30238" i="2"/>
  <c r="D30239" i="2"/>
  <c r="D30240" i="2"/>
  <c r="D30241" i="2"/>
  <c r="D30242" i="2"/>
  <c r="D30243" i="2"/>
  <c r="D30244" i="2"/>
  <c r="D30245" i="2"/>
  <c r="D30246" i="2"/>
  <c r="D30247" i="2"/>
  <c r="D30248" i="2"/>
  <c r="D30249" i="2"/>
  <c r="D30250" i="2"/>
  <c r="D30251" i="2"/>
  <c r="D30252" i="2"/>
  <c r="D30253" i="2"/>
  <c r="D30254" i="2"/>
  <c r="D30255" i="2"/>
  <c r="D30256" i="2"/>
  <c r="D30257" i="2"/>
  <c r="D30258" i="2"/>
  <c r="D30259" i="2"/>
  <c r="D30260" i="2"/>
  <c r="D30261" i="2"/>
  <c r="D30262" i="2"/>
  <c r="D30263" i="2"/>
  <c r="D30264" i="2"/>
  <c r="D30265" i="2"/>
  <c r="D30266" i="2"/>
  <c r="D30267" i="2"/>
  <c r="D30268" i="2"/>
  <c r="D30269" i="2"/>
  <c r="D30270" i="2"/>
  <c r="D30271" i="2"/>
  <c r="D30272" i="2"/>
  <c r="D30273" i="2"/>
  <c r="D30274" i="2"/>
  <c r="D30275" i="2"/>
  <c r="D30276" i="2"/>
  <c r="D30277" i="2"/>
  <c r="D30278" i="2"/>
  <c r="D30279" i="2"/>
  <c r="D30280" i="2"/>
  <c r="D30281" i="2"/>
  <c r="D30282" i="2"/>
  <c r="D30283" i="2"/>
  <c r="D30284" i="2"/>
  <c r="D30285" i="2"/>
  <c r="D30286" i="2"/>
  <c r="D30287" i="2"/>
  <c r="D30288" i="2"/>
  <c r="D30289" i="2"/>
  <c r="D30290" i="2"/>
  <c r="D30291" i="2"/>
  <c r="D30292" i="2"/>
  <c r="D30293" i="2"/>
  <c r="D30294" i="2"/>
  <c r="D30295" i="2"/>
  <c r="D30296" i="2"/>
  <c r="D30297" i="2"/>
  <c r="D30298" i="2"/>
  <c r="D30299" i="2"/>
  <c r="D30300" i="2"/>
  <c r="D30301" i="2"/>
  <c r="D30302" i="2"/>
  <c r="D30303" i="2"/>
  <c r="D30304" i="2"/>
  <c r="D30305" i="2"/>
  <c r="D30306" i="2"/>
  <c r="D30307" i="2"/>
  <c r="D30308" i="2"/>
  <c r="D30309" i="2"/>
  <c r="D30310" i="2"/>
  <c r="D30311" i="2"/>
  <c r="D30312" i="2"/>
  <c r="D30313" i="2"/>
  <c r="D30314" i="2"/>
  <c r="D30315" i="2"/>
  <c r="D30316" i="2"/>
  <c r="D30317" i="2"/>
  <c r="D30318" i="2"/>
  <c r="D30319" i="2"/>
  <c r="D30320" i="2"/>
  <c r="D30321" i="2"/>
  <c r="D30322" i="2"/>
  <c r="D30323" i="2"/>
  <c r="D30324" i="2"/>
  <c r="D30325" i="2"/>
  <c r="D30326" i="2"/>
  <c r="D30327" i="2"/>
  <c r="D30328" i="2"/>
  <c r="D30329" i="2"/>
  <c r="D30330" i="2"/>
  <c r="D30331" i="2"/>
  <c r="D30332" i="2"/>
  <c r="D30333" i="2"/>
  <c r="D30334" i="2"/>
  <c r="D30335" i="2"/>
  <c r="D30336" i="2"/>
  <c r="D30337" i="2"/>
  <c r="D30338" i="2"/>
  <c r="D30339" i="2"/>
  <c r="D30340" i="2"/>
  <c r="D30341" i="2"/>
  <c r="D30342" i="2"/>
  <c r="D30343" i="2"/>
  <c r="D30344" i="2"/>
  <c r="D30345" i="2"/>
  <c r="D30346" i="2"/>
  <c r="D30347" i="2"/>
  <c r="D30348" i="2"/>
  <c r="D30349" i="2"/>
  <c r="D30350" i="2"/>
  <c r="D30351" i="2"/>
  <c r="D30352" i="2"/>
  <c r="D30353" i="2"/>
  <c r="D30354" i="2"/>
  <c r="D30355" i="2"/>
  <c r="D30356" i="2"/>
  <c r="D30357" i="2"/>
  <c r="D30358" i="2"/>
  <c r="D30359" i="2"/>
  <c r="D30360" i="2"/>
  <c r="D30361" i="2"/>
  <c r="D30362" i="2"/>
  <c r="D30363" i="2"/>
  <c r="D30364" i="2"/>
  <c r="D30365" i="2"/>
  <c r="D30366" i="2"/>
  <c r="D30367" i="2"/>
  <c r="D30368" i="2"/>
  <c r="D30369" i="2"/>
  <c r="D30370" i="2"/>
  <c r="D30371" i="2"/>
  <c r="D30372" i="2"/>
  <c r="D30373" i="2"/>
  <c r="D30374" i="2"/>
  <c r="D30375" i="2"/>
  <c r="D30376" i="2"/>
  <c r="D30377" i="2"/>
  <c r="D30378" i="2"/>
  <c r="D30379" i="2"/>
  <c r="D30380" i="2"/>
  <c r="D30381" i="2"/>
  <c r="D30382" i="2"/>
  <c r="D30383" i="2"/>
  <c r="D30384" i="2"/>
  <c r="D30385" i="2"/>
  <c r="D30386" i="2"/>
  <c r="D30387" i="2"/>
  <c r="D30388" i="2"/>
  <c r="D30389" i="2"/>
  <c r="D30390" i="2"/>
  <c r="D30391" i="2"/>
  <c r="D30392" i="2"/>
  <c r="D30393" i="2"/>
  <c r="D30394" i="2"/>
  <c r="D30395" i="2"/>
  <c r="D30396" i="2"/>
  <c r="D30397" i="2"/>
  <c r="D30398" i="2"/>
  <c r="D30399" i="2"/>
  <c r="D30400" i="2"/>
  <c r="D30401" i="2"/>
  <c r="D30402" i="2"/>
  <c r="D30403" i="2"/>
  <c r="D30404" i="2"/>
  <c r="D30405" i="2"/>
  <c r="D30406" i="2"/>
  <c r="D30407" i="2"/>
  <c r="D30408" i="2"/>
  <c r="D30409" i="2"/>
  <c r="D30410" i="2"/>
  <c r="D30411" i="2"/>
  <c r="D30412" i="2"/>
  <c r="D30413" i="2"/>
  <c r="D30414" i="2"/>
  <c r="D30415" i="2"/>
  <c r="D30416" i="2"/>
  <c r="D30417" i="2"/>
  <c r="D30418" i="2"/>
  <c r="D30419" i="2"/>
  <c r="D30420" i="2"/>
  <c r="D30421" i="2"/>
  <c r="D30422" i="2"/>
  <c r="D30423" i="2"/>
  <c r="D30424" i="2"/>
  <c r="D30425" i="2"/>
  <c r="D30426" i="2"/>
  <c r="D30427" i="2"/>
  <c r="D30428" i="2"/>
  <c r="D30429" i="2"/>
  <c r="D30430" i="2"/>
  <c r="D30431" i="2"/>
  <c r="D30432" i="2"/>
  <c r="D30433" i="2"/>
  <c r="D30434" i="2"/>
  <c r="D30435" i="2"/>
  <c r="D30436" i="2"/>
  <c r="D30437" i="2"/>
  <c r="D30438" i="2"/>
  <c r="D30439" i="2"/>
  <c r="D30440" i="2"/>
  <c r="D30441" i="2"/>
  <c r="D30442" i="2"/>
  <c r="D30443" i="2"/>
  <c r="D30444" i="2"/>
  <c r="D30445" i="2"/>
  <c r="D30446" i="2"/>
  <c r="D30447" i="2"/>
  <c r="D30448" i="2"/>
  <c r="D30449" i="2"/>
  <c r="D30450" i="2"/>
  <c r="D30451" i="2"/>
  <c r="D30452" i="2"/>
  <c r="D30453" i="2"/>
  <c r="D30454" i="2"/>
  <c r="D30455" i="2"/>
  <c r="D30456" i="2"/>
  <c r="D30457" i="2"/>
  <c r="D30458" i="2"/>
  <c r="D30459" i="2"/>
  <c r="D30460" i="2"/>
  <c r="D30461" i="2"/>
  <c r="D30462" i="2"/>
  <c r="D30463" i="2"/>
  <c r="D30464" i="2"/>
  <c r="D30465" i="2"/>
  <c r="D30466" i="2"/>
  <c r="D30467" i="2"/>
  <c r="D30468" i="2"/>
  <c r="D30469" i="2"/>
  <c r="D30470" i="2"/>
  <c r="D30471" i="2"/>
  <c r="D30472" i="2"/>
  <c r="D30473" i="2"/>
  <c r="D30474" i="2"/>
  <c r="D30475" i="2"/>
  <c r="D30476" i="2"/>
  <c r="D30477" i="2"/>
  <c r="D30478" i="2"/>
  <c r="D30479" i="2"/>
  <c r="D30480" i="2"/>
  <c r="D30481" i="2"/>
  <c r="D30482" i="2"/>
  <c r="D30483" i="2"/>
  <c r="D30484" i="2"/>
  <c r="D30485" i="2"/>
  <c r="D30486" i="2"/>
  <c r="D30487" i="2"/>
  <c r="D30488" i="2"/>
  <c r="D30489" i="2"/>
  <c r="D30490" i="2"/>
  <c r="D30491" i="2"/>
  <c r="D30492" i="2"/>
  <c r="D30493" i="2"/>
  <c r="D30494" i="2"/>
  <c r="D30495" i="2"/>
  <c r="D30496" i="2"/>
  <c r="D30497" i="2"/>
  <c r="D30498" i="2"/>
  <c r="D30499" i="2"/>
  <c r="D30500" i="2"/>
  <c r="D30501" i="2"/>
  <c r="D30502" i="2"/>
  <c r="D30503" i="2"/>
  <c r="D30504" i="2"/>
  <c r="D30505" i="2"/>
  <c r="D30506" i="2"/>
  <c r="D30507" i="2"/>
  <c r="D30508" i="2"/>
  <c r="D30509" i="2"/>
  <c r="D30510" i="2"/>
  <c r="D30511" i="2"/>
  <c r="D30512" i="2"/>
  <c r="D30513" i="2"/>
  <c r="D30514" i="2"/>
  <c r="D30515" i="2"/>
  <c r="D30516" i="2"/>
  <c r="D30517" i="2"/>
  <c r="D30518" i="2"/>
  <c r="D30519" i="2"/>
  <c r="D30520" i="2"/>
  <c r="D30521" i="2"/>
  <c r="D30522" i="2"/>
  <c r="D30523" i="2"/>
  <c r="D30524" i="2"/>
  <c r="D30525" i="2"/>
  <c r="D30526" i="2"/>
  <c r="D30527" i="2"/>
  <c r="D30528" i="2"/>
  <c r="D30529" i="2"/>
  <c r="D30530" i="2"/>
  <c r="D30531" i="2"/>
  <c r="D30532" i="2"/>
  <c r="D30533" i="2"/>
  <c r="D30534" i="2"/>
  <c r="D30535" i="2"/>
  <c r="D30536" i="2"/>
  <c r="D30537" i="2"/>
  <c r="D30538" i="2"/>
  <c r="D30539" i="2"/>
  <c r="D30540" i="2"/>
  <c r="D30541" i="2"/>
  <c r="D30542" i="2"/>
  <c r="D30543" i="2"/>
  <c r="D30544" i="2"/>
  <c r="D30545" i="2"/>
  <c r="D30546" i="2"/>
  <c r="D30547" i="2"/>
  <c r="D30548" i="2"/>
  <c r="D30549" i="2"/>
  <c r="D30550" i="2"/>
  <c r="D30551" i="2"/>
  <c r="D30552" i="2"/>
  <c r="D30553" i="2"/>
  <c r="D30554" i="2"/>
  <c r="D30555" i="2"/>
  <c r="D30556" i="2"/>
  <c r="D30557" i="2"/>
  <c r="D30558" i="2"/>
  <c r="D30559" i="2"/>
  <c r="D30560" i="2"/>
  <c r="D30561" i="2"/>
  <c r="D30562" i="2"/>
  <c r="D30563" i="2"/>
  <c r="D30564" i="2"/>
  <c r="D30565" i="2"/>
  <c r="D30566" i="2"/>
  <c r="D30567" i="2"/>
  <c r="D30568" i="2"/>
  <c r="D30569" i="2"/>
  <c r="D30570" i="2"/>
  <c r="D30571" i="2"/>
  <c r="D30572" i="2"/>
  <c r="D30573" i="2"/>
  <c r="D30574" i="2"/>
  <c r="D30575" i="2"/>
  <c r="D30576" i="2"/>
  <c r="D30577" i="2"/>
  <c r="D30578" i="2"/>
  <c r="D30579" i="2"/>
  <c r="D30580" i="2"/>
  <c r="D30581" i="2"/>
  <c r="D30582" i="2"/>
  <c r="D30583" i="2"/>
  <c r="D30584" i="2"/>
  <c r="D30585" i="2"/>
  <c r="D30586" i="2"/>
  <c r="D30587" i="2"/>
  <c r="D30588" i="2"/>
  <c r="D30589" i="2"/>
  <c r="D30590" i="2"/>
  <c r="D30591" i="2"/>
  <c r="D30592" i="2"/>
  <c r="D30593" i="2"/>
  <c r="D30594" i="2"/>
  <c r="D30595" i="2"/>
  <c r="D30596" i="2"/>
  <c r="D30597" i="2"/>
  <c r="D30598" i="2"/>
  <c r="D30599" i="2"/>
  <c r="D30600" i="2"/>
  <c r="D30601" i="2"/>
  <c r="D30602" i="2"/>
  <c r="D30603" i="2"/>
  <c r="D30604" i="2"/>
  <c r="D30605" i="2"/>
  <c r="D30606" i="2"/>
  <c r="D30607" i="2"/>
  <c r="D30608" i="2"/>
  <c r="D30609" i="2"/>
  <c r="D30610" i="2"/>
  <c r="D30611" i="2"/>
  <c r="D30612" i="2"/>
  <c r="D30613" i="2"/>
  <c r="D30614" i="2"/>
  <c r="D30615" i="2"/>
  <c r="D30616" i="2"/>
  <c r="D30617" i="2"/>
  <c r="D30618" i="2"/>
  <c r="D30619" i="2"/>
  <c r="D30620" i="2"/>
  <c r="D30621" i="2"/>
  <c r="D30622" i="2"/>
  <c r="D30623" i="2"/>
  <c r="D30624" i="2"/>
  <c r="D30625" i="2"/>
  <c r="D30626" i="2"/>
  <c r="D30627" i="2"/>
  <c r="D30628" i="2"/>
  <c r="D30629" i="2"/>
  <c r="D30630" i="2"/>
  <c r="D30631" i="2"/>
  <c r="D30632" i="2"/>
  <c r="D30633" i="2"/>
  <c r="D30634" i="2"/>
  <c r="D30635" i="2"/>
  <c r="D30636" i="2"/>
  <c r="D30637" i="2"/>
  <c r="D30638" i="2"/>
  <c r="D30639" i="2"/>
  <c r="D30640" i="2"/>
  <c r="D30641" i="2"/>
  <c r="D30642" i="2"/>
  <c r="D30643" i="2"/>
  <c r="D30644" i="2"/>
  <c r="D30645" i="2"/>
  <c r="D30646" i="2"/>
  <c r="D30647" i="2"/>
  <c r="D30648" i="2"/>
  <c r="D30649" i="2"/>
  <c r="D30650" i="2"/>
  <c r="D30651" i="2"/>
  <c r="D30652" i="2"/>
  <c r="D30653" i="2"/>
  <c r="D30654" i="2"/>
  <c r="D30655" i="2"/>
  <c r="D30656" i="2"/>
  <c r="D30657" i="2"/>
  <c r="D30658" i="2"/>
  <c r="D30659" i="2"/>
  <c r="D30660" i="2"/>
  <c r="D30661" i="2"/>
  <c r="D30662" i="2"/>
  <c r="D30663" i="2"/>
  <c r="D30664" i="2"/>
  <c r="D30665" i="2"/>
  <c r="D30666" i="2"/>
  <c r="D30667" i="2"/>
  <c r="D30668" i="2"/>
  <c r="D30669" i="2"/>
  <c r="D30670" i="2"/>
  <c r="D30671" i="2"/>
  <c r="D30672" i="2"/>
  <c r="D30673" i="2"/>
  <c r="D30674" i="2"/>
  <c r="D30675" i="2"/>
  <c r="D30676" i="2"/>
  <c r="D30677" i="2"/>
  <c r="D30678" i="2"/>
  <c r="D30679" i="2"/>
  <c r="D30680" i="2"/>
  <c r="D30681" i="2"/>
  <c r="D30682" i="2"/>
  <c r="D30683" i="2"/>
  <c r="D30684" i="2"/>
  <c r="D30685" i="2"/>
  <c r="D30686" i="2"/>
  <c r="D30687" i="2"/>
  <c r="D30688" i="2"/>
  <c r="D30689" i="2"/>
  <c r="D30690" i="2"/>
  <c r="D30691" i="2"/>
  <c r="D30692" i="2"/>
  <c r="D30693" i="2"/>
  <c r="D30694" i="2"/>
  <c r="D30695" i="2"/>
  <c r="D30696" i="2"/>
  <c r="D30697" i="2"/>
  <c r="D30698" i="2"/>
  <c r="D30699" i="2"/>
  <c r="D30700" i="2"/>
  <c r="D30701" i="2"/>
  <c r="D30702" i="2"/>
  <c r="D30703" i="2"/>
  <c r="D30704" i="2"/>
  <c r="D30705" i="2"/>
  <c r="D30706" i="2"/>
  <c r="D30707" i="2"/>
  <c r="D30708" i="2"/>
  <c r="D30709" i="2"/>
  <c r="D30710" i="2"/>
  <c r="D30711" i="2"/>
  <c r="D30712" i="2"/>
  <c r="D30713" i="2"/>
  <c r="D30714" i="2"/>
  <c r="D30715" i="2"/>
  <c r="D30716" i="2"/>
  <c r="D30717" i="2"/>
  <c r="D30718" i="2"/>
  <c r="D30719" i="2"/>
  <c r="D30720" i="2"/>
  <c r="D30721" i="2"/>
  <c r="D30722" i="2"/>
  <c r="D30723" i="2"/>
  <c r="D30724" i="2"/>
  <c r="D30725" i="2"/>
  <c r="D30726" i="2"/>
  <c r="D30727" i="2"/>
  <c r="D30728" i="2"/>
  <c r="D30729" i="2"/>
  <c r="D30730" i="2"/>
  <c r="D30731" i="2"/>
  <c r="D30732" i="2"/>
  <c r="D30733" i="2"/>
  <c r="D30734" i="2"/>
  <c r="D30735" i="2"/>
  <c r="D30736" i="2"/>
  <c r="D30737" i="2"/>
  <c r="D30738" i="2"/>
  <c r="D30739" i="2"/>
  <c r="D30740" i="2"/>
  <c r="D30741" i="2"/>
  <c r="D30742" i="2"/>
  <c r="D30743" i="2"/>
  <c r="D30744" i="2"/>
  <c r="D30745" i="2"/>
  <c r="D30746" i="2"/>
  <c r="D30747" i="2"/>
  <c r="D30748" i="2"/>
  <c r="D30749" i="2"/>
  <c r="D30750" i="2"/>
  <c r="D30751" i="2"/>
  <c r="D30752" i="2"/>
  <c r="D30753" i="2"/>
  <c r="D30754" i="2"/>
  <c r="D30755" i="2"/>
  <c r="D30756" i="2"/>
  <c r="D30757" i="2"/>
  <c r="D30758" i="2"/>
  <c r="D30759" i="2"/>
  <c r="D30760" i="2"/>
  <c r="D30761" i="2"/>
  <c r="D30762" i="2"/>
  <c r="D30763" i="2"/>
  <c r="D30764" i="2"/>
  <c r="D30765" i="2"/>
  <c r="D30766" i="2"/>
  <c r="D30767" i="2"/>
  <c r="D30768" i="2"/>
  <c r="D30769" i="2"/>
  <c r="D30770" i="2"/>
  <c r="D30771" i="2"/>
  <c r="D30772" i="2"/>
  <c r="D30773" i="2"/>
  <c r="D30774" i="2"/>
  <c r="D30775" i="2"/>
  <c r="D30776" i="2"/>
  <c r="D30777" i="2"/>
  <c r="D30778" i="2"/>
  <c r="D30779" i="2"/>
  <c r="D30780" i="2"/>
  <c r="D30781" i="2"/>
  <c r="D30782" i="2"/>
  <c r="D30783" i="2"/>
  <c r="D30784" i="2"/>
  <c r="D30785" i="2"/>
  <c r="D30786" i="2"/>
  <c r="D30787" i="2"/>
  <c r="D30788" i="2"/>
  <c r="D30789" i="2"/>
  <c r="D30790" i="2"/>
  <c r="D30791" i="2"/>
  <c r="D30792" i="2"/>
  <c r="D30793" i="2"/>
  <c r="D30794" i="2"/>
  <c r="D30795" i="2"/>
  <c r="D30796" i="2"/>
  <c r="D30797" i="2"/>
  <c r="D30798" i="2"/>
  <c r="D30799" i="2"/>
  <c r="D30800" i="2"/>
  <c r="D30801" i="2"/>
  <c r="D30802" i="2"/>
  <c r="D30803" i="2"/>
  <c r="D30804" i="2"/>
  <c r="D30805" i="2"/>
  <c r="D30806" i="2"/>
  <c r="D30807" i="2"/>
  <c r="D30808" i="2"/>
  <c r="D30809" i="2"/>
  <c r="D30810" i="2"/>
  <c r="D30811" i="2"/>
  <c r="D30812" i="2"/>
  <c r="D30813" i="2"/>
  <c r="D30814" i="2"/>
  <c r="D30815" i="2"/>
  <c r="D30816" i="2"/>
  <c r="D30817" i="2"/>
  <c r="D30818" i="2"/>
  <c r="D30819" i="2"/>
  <c r="D30820" i="2"/>
  <c r="D30821" i="2"/>
  <c r="D30822" i="2"/>
  <c r="D30823" i="2"/>
  <c r="D30824" i="2"/>
  <c r="D30825" i="2"/>
  <c r="D30826" i="2"/>
  <c r="D30827" i="2"/>
  <c r="D30828" i="2"/>
  <c r="D30829" i="2"/>
  <c r="D30830" i="2"/>
  <c r="D30831" i="2"/>
  <c r="D30832" i="2"/>
  <c r="D30833" i="2"/>
  <c r="D30834" i="2"/>
  <c r="D30835" i="2"/>
  <c r="D30836" i="2"/>
  <c r="D30837" i="2"/>
  <c r="D30838" i="2"/>
  <c r="D30839" i="2"/>
  <c r="D30840" i="2"/>
  <c r="D30841" i="2"/>
  <c r="D30842" i="2"/>
  <c r="D30843" i="2"/>
  <c r="D30844" i="2"/>
  <c r="D30845" i="2"/>
  <c r="D30846" i="2"/>
  <c r="D30847" i="2"/>
  <c r="D30848" i="2"/>
  <c r="D30849" i="2"/>
  <c r="D30850" i="2"/>
  <c r="D30851" i="2"/>
  <c r="D30852" i="2"/>
  <c r="D30853" i="2"/>
  <c r="D30854" i="2"/>
  <c r="D30855" i="2"/>
  <c r="D30856" i="2"/>
  <c r="D30857" i="2"/>
  <c r="D30858" i="2"/>
  <c r="D30859" i="2"/>
  <c r="D30860" i="2"/>
  <c r="D30861" i="2"/>
  <c r="D30862" i="2"/>
  <c r="D30863" i="2"/>
  <c r="D30864" i="2"/>
  <c r="D30865" i="2"/>
  <c r="D30866" i="2"/>
  <c r="D30867" i="2"/>
  <c r="D30868" i="2"/>
  <c r="D30869" i="2"/>
  <c r="D30870" i="2"/>
  <c r="D30871" i="2"/>
  <c r="D30872" i="2"/>
  <c r="D30873" i="2"/>
  <c r="D30874" i="2"/>
  <c r="D30875" i="2"/>
  <c r="D30876" i="2"/>
  <c r="D30877" i="2"/>
  <c r="D30878" i="2"/>
  <c r="D30879" i="2"/>
  <c r="D30880" i="2"/>
  <c r="D30881" i="2"/>
  <c r="D30882" i="2"/>
  <c r="D30883" i="2"/>
  <c r="D30884" i="2"/>
  <c r="D30885" i="2"/>
  <c r="D30886" i="2"/>
  <c r="D30887" i="2"/>
  <c r="D30888" i="2"/>
  <c r="D30889" i="2"/>
  <c r="D30890" i="2"/>
  <c r="D30891" i="2"/>
  <c r="D30892" i="2"/>
  <c r="D30893" i="2"/>
  <c r="D30894" i="2"/>
  <c r="D30895" i="2"/>
  <c r="D30896" i="2"/>
  <c r="D30897" i="2"/>
  <c r="D30898" i="2"/>
  <c r="D30899" i="2"/>
  <c r="D30900" i="2"/>
  <c r="D30901" i="2"/>
  <c r="D30902" i="2"/>
  <c r="D30903" i="2"/>
  <c r="D30904" i="2"/>
  <c r="D30905" i="2"/>
  <c r="D30906" i="2"/>
  <c r="D30907" i="2"/>
  <c r="D30908" i="2"/>
  <c r="D30909" i="2"/>
  <c r="D30910" i="2"/>
  <c r="D30911" i="2"/>
  <c r="D30912" i="2"/>
  <c r="D30913" i="2"/>
  <c r="D30914" i="2"/>
  <c r="D30915" i="2"/>
  <c r="D30916" i="2"/>
  <c r="D30917" i="2"/>
  <c r="D30918" i="2"/>
  <c r="D30919" i="2"/>
  <c r="D30920" i="2"/>
  <c r="D30921" i="2"/>
  <c r="D30922" i="2"/>
  <c r="D30923" i="2"/>
  <c r="D30924" i="2"/>
  <c r="D30925" i="2"/>
  <c r="D30926" i="2"/>
  <c r="D30927" i="2"/>
  <c r="D30928" i="2"/>
  <c r="D30929" i="2"/>
  <c r="D30930" i="2"/>
  <c r="D30931" i="2"/>
  <c r="D30932" i="2"/>
  <c r="D30933" i="2"/>
  <c r="D30934" i="2"/>
  <c r="D30935" i="2"/>
  <c r="D30936" i="2"/>
  <c r="D30937" i="2"/>
  <c r="D30938" i="2"/>
  <c r="D30939" i="2"/>
  <c r="D30940" i="2"/>
  <c r="D30941" i="2"/>
  <c r="D30942" i="2"/>
  <c r="D30943" i="2"/>
  <c r="D30944" i="2"/>
  <c r="D30945" i="2"/>
  <c r="D30946" i="2"/>
  <c r="D30947" i="2"/>
  <c r="D30948" i="2"/>
  <c r="D30949" i="2"/>
  <c r="D30950" i="2"/>
  <c r="D30951" i="2"/>
  <c r="D30952" i="2"/>
  <c r="D30953" i="2"/>
  <c r="D30954" i="2"/>
  <c r="D30955" i="2"/>
  <c r="D30956" i="2"/>
  <c r="D30957" i="2"/>
  <c r="D30958" i="2"/>
  <c r="D30959" i="2"/>
  <c r="D30960" i="2"/>
  <c r="D30961" i="2"/>
  <c r="D30962" i="2"/>
  <c r="D30963" i="2"/>
  <c r="D30964" i="2"/>
  <c r="D30965" i="2"/>
  <c r="D30966" i="2"/>
  <c r="D30967" i="2"/>
  <c r="D30968" i="2"/>
  <c r="D30969" i="2"/>
  <c r="D30970" i="2"/>
  <c r="D30971" i="2"/>
  <c r="D30972" i="2"/>
  <c r="D30973" i="2"/>
  <c r="D30974" i="2"/>
  <c r="D30975" i="2"/>
  <c r="D30976" i="2"/>
  <c r="D30977" i="2"/>
  <c r="D30978" i="2"/>
  <c r="D30979" i="2"/>
  <c r="D30980" i="2"/>
  <c r="D30981" i="2"/>
  <c r="D30982" i="2"/>
  <c r="D30983" i="2"/>
  <c r="D30984" i="2"/>
  <c r="D30985" i="2"/>
  <c r="D30986" i="2"/>
  <c r="D30987" i="2"/>
  <c r="D30988" i="2"/>
  <c r="D30989" i="2"/>
  <c r="D30990" i="2"/>
  <c r="D30991" i="2"/>
  <c r="D30992" i="2"/>
  <c r="D30993" i="2"/>
  <c r="D30994" i="2"/>
  <c r="D30995" i="2"/>
  <c r="D30996" i="2"/>
  <c r="D30997" i="2"/>
  <c r="D30998" i="2"/>
  <c r="D30999" i="2"/>
  <c r="D31000" i="2"/>
  <c r="D31001" i="2"/>
  <c r="D31002" i="2"/>
  <c r="D31003" i="2"/>
  <c r="D31004" i="2"/>
  <c r="D31005" i="2"/>
  <c r="D31006" i="2"/>
  <c r="D31007" i="2"/>
  <c r="D31008" i="2"/>
  <c r="D31009" i="2"/>
  <c r="D31010" i="2"/>
  <c r="D31011" i="2"/>
  <c r="D31012" i="2"/>
  <c r="D31013" i="2"/>
  <c r="D31014" i="2"/>
  <c r="D31015" i="2"/>
  <c r="D31016" i="2"/>
  <c r="D31017" i="2"/>
  <c r="D31018" i="2"/>
  <c r="D31019" i="2"/>
  <c r="D31020" i="2"/>
  <c r="D31021" i="2"/>
  <c r="D31022" i="2"/>
  <c r="D31023" i="2"/>
  <c r="D31024" i="2"/>
  <c r="D31025" i="2"/>
  <c r="D31026" i="2"/>
  <c r="D31027" i="2"/>
  <c r="D31028" i="2"/>
  <c r="D31029" i="2"/>
  <c r="D31030" i="2"/>
  <c r="D31031" i="2"/>
  <c r="D31032" i="2"/>
  <c r="D31033" i="2"/>
  <c r="D31034" i="2"/>
  <c r="D31035" i="2"/>
  <c r="D31036" i="2"/>
  <c r="D31037" i="2"/>
  <c r="D31038" i="2"/>
  <c r="D31039" i="2"/>
  <c r="D31040" i="2"/>
  <c r="D31041" i="2"/>
  <c r="D31042" i="2"/>
  <c r="D31043" i="2"/>
  <c r="D31044" i="2"/>
  <c r="D31045" i="2"/>
  <c r="D31046" i="2"/>
  <c r="D31047" i="2"/>
  <c r="D31048" i="2"/>
  <c r="D31049" i="2"/>
  <c r="D31050" i="2"/>
  <c r="D31051" i="2"/>
  <c r="D31052" i="2"/>
  <c r="D31053" i="2"/>
  <c r="D31054" i="2"/>
  <c r="D31055" i="2"/>
  <c r="D31056" i="2"/>
  <c r="D31057" i="2"/>
  <c r="D31058" i="2"/>
  <c r="D31059" i="2"/>
  <c r="D31060" i="2"/>
  <c r="D31061" i="2"/>
  <c r="D31062" i="2"/>
  <c r="D31063" i="2"/>
  <c r="D31064" i="2"/>
  <c r="D31065" i="2"/>
  <c r="D31066" i="2"/>
  <c r="D31067" i="2"/>
  <c r="D31068" i="2"/>
  <c r="D31069" i="2"/>
  <c r="D31070" i="2"/>
  <c r="D31071" i="2"/>
  <c r="D31072" i="2"/>
  <c r="D31073" i="2"/>
  <c r="D31074" i="2"/>
  <c r="D31075" i="2"/>
  <c r="D31076" i="2"/>
  <c r="D31077" i="2"/>
  <c r="D31078" i="2"/>
  <c r="D31079" i="2"/>
  <c r="D31080" i="2"/>
  <c r="D31081" i="2"/>
  <c r="D31082" i="2"/>
  <c r="D31083" i="2"/>
  <c r="D31084" i="2"/>
  <c r="D31085" i="2"/>
  <c r="D31086" i="2"/>
  <c r="D31087" i="2"/>
  <c r="D31088" i="2"/>
  <c r="D31089" i="2"/>
  <c r="D31090" i="2"/>
  <c r="D31091" i="2"/>
  <c r="D31092" i="2"/>
  <c r="D31093" i="2"/>
  <c r="D31094" i="2"/>
  <c r="D31095" i="2"/>
  <c r="D31096" i="2"/>
  <c r="D31097" i="2"/>
  <c r="D31098" i="2"/>
  <c r="D31099" i="2"/>
  <c r="D31100" i="2"/>
  <c r="D31101" i="2"/>
  <c r="D31102" i="2"/>
  <c r="D31103" i="2"/>
  <c r="D31104" i="2"/>
  <c r="D31105" i="2"/>
  <c r="D31106" i="2"/>
  <c r="D31107" i="2"/>
  <c r="D31108" i="2"/>
  <c r="D31109" i="2"/>
  <c r="D31110" i="2"/>
  <c r="D31111" i="2"/>
  <c r="D31112" i="2"/>
  <c r="D31113" i="2"/>
  <c r="D31114" i="2"/>
  <c r="D31115" i="2"/>
  <c r="D31116" i="2"/>
  <c r="D31117" i="2"/>
  <c r="D31118" i="2"/>
  <c r="D31119" i="2"/>
  <c r="D31120" i="2"/>
  <c r="D31121" i="2"/>
  <c r="D31122" i="2"/>
  <c r="D31123" i="2"/>
  <c r="D31124" i="2"/>
  <c r="D31125" i="2"/>
  <c r="D31126" i="2"/>
  <c r="D31127" i="2"/>
  <c r="D31128" i="2"/>
  <c r="D31129" i="2"/>
  <c r="D31130" i="2"/>
  <c r="D31131" i="2"/>
  <c r="D31132" i="2"/>
  <c r="D31133" i="2"/>
  <c r="D31134" i="2"/>
  <c r="D31135" i="2"/>
  <c r="D31136" i="2"/>
  <c r="D31137" i="2"/>
  <c r="D31138" i="2"/>
  <c r="D31139" i="2"/>
  <c r="D31140" i="2"/>
  <c r="D31141" i="2"/>
  <c r="D31142" i="2"/>
  <c r="D31143" i="2"/>
  <c r="D31144" i="2"/>
  <c r="D31145" i="2"/>
  <c r="D31146" i="2"/>
  <c r="D31147" i="2"/>
  <c r="D31148" i="2"/>
  <c r="D31149" i="2"/>
  <c r="D31150" i="2"/>
  <c r="D31151" i="2"/>
  <c r="D31152" i="2"/>
  <c r="D31153" i="2"/>
  <c r="D31154" i="2"/>
  <c r="D31155" i="2"/>
  <c r="D31156" i="2"/>
  <c r="D31157" i="2"/>
  <c r="D31158" i="2"/>
  <c r="D31159" i="2"/>
  <c r="D31160" i="2"/>
  <c r="D31161" i="2"/>
  <c r="D31162" i="2"/>
  <c r="D31163" i="2"/>
  <c r="D31164" i="2"/>
  <c r="D31165" i="2"/>
  <c r="D31166" i="2"/>
  <c r="D31167" i="2"/>
  <c r="D31168" i="2"/>
  <c r="D31169" i="2"/>
  <c r="D31170" i="2"/>
  <c r="D31171" i="2"/>
  <c r="D31172" i="2"/>
  <c r="D31173" i="2"/>
  <c r="D31174" i="2"/>
  <c r="D31175" i="2"/>
  <c r="D31176" i="2"/>
  <c r="D31177" i="2"/>
  <c r="D31178" i="2"/>
  <c r="D31179" i="2"/>
  <c r="D31180" i="2"/>
  <c r="D31181" i="2"/>
  <c r="D31182" i="2"/>
  <c r="D31183" i="2"/>
  <c r="D31184" i="2"/>
  <c r="D31185" i="2"/>
  <c r="D31186" i="2"/>
  <c r="D31187" i="2"/>
  <c r="D31188" i="2"/>
  <c r="D31189" i="2"/>
  <c r="D31190" i="2"/>
  <c r="D31191" i="2"/>
  <c r="D31192" i="2"/>
  <c r="D31193" i="2"/>
  <c r="D31194" i="2"/>
  <c r="D31195" i="2"/>
  <c r="D31196" i="2"/>
  <c r="D31197" i="2"/>
  <c r="D31198" i="2"/>
  <c r="D31199" i="2"/>
  <c r="D31200" i="2"/>
  <c r="D31201" i="2"/>
  <c r="D31202" i="2"/>
  <c r="D31203" i="2"/>
  <c r="D31204" i="2"/>
  <c r="D31205" i="2"/>
  <c r="D31206" i="2"/>
  <c r="D31207" i="2"/>
  <c r="D31208" i="2"/>
  <c r="D31209" i="2"/>
  <c r="D31210" i="2"/>
  <c r="D31211" i="2"/>
  <c r="D31212" i="2"/>
  <c r="D31213" i="2"/>
  <c r="D31214" i="2"/>
  <c r="D31215" i="2"/>
  <c r="D31216" i="2"/>
  <c r="D31217" i="2"/>
  <c r="D31218" i="2"/>
  <c r="D31219" i="2"/>
  <c r="D31220" i="2"/>
  <c r="D31221" i="2"/>
  <c r="D31222" i="2"/>
  <c r="D31223" i="2"/>
  <c r="D31224" i="2"/>
  <c r="D31225" i="2"/>
  <c r="D31226" i="2"/>
  <c r="D31227" i="2"/>
  <c r="D31228" i="2"/>
  <c r="D31229" i="2"/>
  <c r="D31230" i="2"/>
  <c r="D31231" i="2"/>
  <c r="D31232" i="2"/>
  <c r="D31233" i="2"/>
  <c r="D31234" i="2"/>
  <c r="D31235" i="2"/>
  <c r="D31236" i="2"/>
  <c r="D31237" i="2"/>
  <c r="D31238" i="2"/>
  <c r="D31239" i="2"/>
  <c r="D31240" i="2"/>
  <c r="D31241" i="2"/>
  <c r="D31242" i="2"/>
  <c r="D31243" i="2"/>
  <c r="D31244" i="2"/>
  <c r="D31245" i="2"/>
  <c r="D31246" i="2"/>
  <c r="D31247" i="2"/>
  <c r="D31248" i="2"/>
  <c r="D31249" i="2"/>
  <c r="D31250" i="2"/>
  <c r="D31251" i="2"/>
  <c r="D31252" i="2"/>
  <c r="D31253" i="2"/>
  <c r="D31254" i="2"/>
  <c r="D31255" i="2"/>
  <c r="D31256" i="2"/>
  <c r="D31257" i="2"/>
  <c r="D31258" i="2"/>
  <c r="D31259" i="2"/>
  <c r="D31260" i="2"/>
  <c r="D31261" i="2"/>
  <c r="D31262" i="2"/>
  <c r="D31263" i="2"/>
  <c r="D31264" i="2"/>
  <c r="D31265" i="2"/>
  <c r="D31266" i="2"/>
  <c r="D31267" i="2"/>
  <c r="D31268" i="2"/>
  <c r="D31269" i="2"/>
  <c r="D31270" i="2"/>
  <c r="D31271" i="2"/>
  <c r="D31272" i="2"/>
  <c r="D31273" i="2"/>
  <c r="D31274" i="2"/>
  <c r="D31275" i="2"/>
  <c r="D31276" i="2"/>
  <c r="D31277" i="2"/>
  <c r="D31278" i="2"/>
  <c r="D31279" i="2"/>
  <c r="D31280" i="2"/>
  <c r="D31281" i="2"/>
  <c r="D31282" i="2"/>
  <c r="D31283" i="2"/>
  <c r="D31284" i="2"/>
  <c r="D31285" i="2"/>
  <c r="D31286" i="2"/>
  <c r="D31287" i="2"/>
  <c r="D31288" i="2"/>
  <c r="D31289" i="2"/>
  <c r="D31290" i="2"/>
  <c r="D31291" i="2"/>
  <c r="D31292" i="2"/>
  <c r="D31293" i="2"/>
  <c r="D31294" i="2"/>
  <c r="D31295" i="2"/>
  <c r="D31296" i="2"/>
  <c r="D31297" i="2"/>
  <c r="D31298" i="2"/>
  <c r="D31299" i="2"/>
  <c r="D31300" i="2"/>
  <c r="D31301" i="2"/>
  <c r="D31302" i="2"/>
  <c r="D31303" i="2"/>
  <c r="D31304" i="2"/>
  <c r="D31305" i="2"/>
  <c r="D31306" i="2"/>
  <c r="D31307" i="2"/>
  <c r="D31308" i="2"/>
  <c r="D31309" i="2"/>
  <c r="D31310" i="2"/>
  <c r="D31311" i="2"/>
  <c r="D31312" i="2"/>
  <c r="D31313" i="2"/>
  <c r="D31314" i="2"/>
  <c r="D31315" i="2"/>
  <c r="D31316" i="2"/>
  <c r="D31317" i="2"/>
  <c r="D31318" i="2"/>
  <c r="D31319" i="2"/>
  <c r="D31320" i="2"/>
  <c r="D31321" i="2"/>
  <c r="D31322" i="2"/>
  <c r="D31323" i="2"/>
  <c r="D31324" i="2"/>
  <c r="D31325" i="2"/>
  <c r="D31326" i="2"/>
  <c r="D31327" i="2"/>
  <c r="D31328" i="2"/>
  <c r="D31329" i="2"/>
  <c r="D31330" i="2"/>
  <c r="D31331" i="2"/>
  <c r="D31332" i="2"/>
  <c r="D31333" i="2"/>
  <c r="D31334" i="2"/>
  <c r="D31335" i="2"/>
  <c r="D31336" i="2"/>
  <c r="D31337" i="2"/>
  <c r="D31338" i="2"/>
  <c r="D31339" i="2"/>
  <c r="D31340" i="2"/>
  <c r="D31341" i="2"/>
  <c r="D31342" i="2"/>
  <c r="D31343" i="2"/>
  <c r="D31344" i="2"/>
  <c r="D31345" i="2"/>
  <c r="D31346" i="2"/>
  <c r="D31347" i="2"/>
  <c r="D31348" i="2"/>
  <c r="D31349" i="2"/>
  <c r="D31350" i="2"/>
  <c r="D31351" i="2"/>
  <c r="D31352" i="2"/>
  <c r="D31353" i="2"/>
  <c r="D31354" i="2"/>
  <c r="D31355" i="2"/>
  <c r="D31356" i="2"/>
  <c r="D31357" i="2"/>
  <c r="D31358" i="2"/>
  <c r="D31359" i="2"/>
  <c r="D31360" i="2"/>
  <c r="D31361" i="2"/>
  <c r="D31362" i="2"/>
  <c r="D31363" i="2"/>
  <c r="D31364" i="2"/>
  <c r="D31365" i="2"/>
  <c r="D31366" i="2"/>
  <c r="D31367" i="2"/>
  <c r="D31368" i="2"/>
  <c r="D31369" i="2"/>
  <c r="D31370" i="2"/>
  <c r="D31371" i="2"/>
  <c r="D31372" i="2"/>
  <c r="D31373" i="2"/>
  <c r="D31374" i="2"/>
  <c r="D31375" i="2"/>
  <c r="D31376" i="2"/>
  <c r="D31377" i="2"/>
  <c r="D31378" i="2"/>
  <c r="D31379" i="2"/>
  <c r="D31380" i="2"/>
  <c r="D31381" i="2"/>
  <c r="D31382" i="2"/>
  <c r="D31383" i="2"/>
  <c r="D31384" i="2"/>
  <c r="D31385" i="2"/>
  <c r="D31386" i="2"/>
  <c r="D31387" i="2"/>
  <c r="D31388" i="2"/>
  <c r="D31389" i="2"/>
  <c r="D31390" i="2"/>
  <c r="D31391" i="2"/>
  <c r="D31392" i="2"/>
  <c r="D31393" i="2"/>
  <c r="D31394" i="2"/>
  <c r="D31395" i="2"/>
  <c r="D31396" i="2"/>
  <c r="D31397" i="2"/>
  <c r="D31398" i="2"/>
  <c r="D31399" i="2"/>
  <c r="D31400" i="2"/>
  <c r="D31401" i="2"/>
  <c r="D31402" i="2"/>
  <c r="D31403" i="2"/>
  <c r="D31404" i="2"/>
  <c r="D31405" i="2"/>
  <c r="D31406" i="2"/>
  <c r="D31407" i="2"/>
  <c r="D31408" i="2"/>
  <c r="D31409" i="2"/>
  <c r="D31410" i="2"/>
  <c r="D31411" i="2"/>
  <c r="D31412" i="2"/>
  <c r="D31413" i="2"/>
  <c r="D31414" i="2"/>
  <c r="D31415" i="2"/>
  <c r="D31416" i="2"/>
  <c r="D31417" i="2"/>
  <c r="D31418" i="2"/>
  <c r="D31419" i="2"/>
  <c r="D31420" i="2"/>
  <c r="D31421" i="2"/>
  <c r="D31422" i="2"/>
  <c r="D31423" i="2"/>
  <c r="D31424" i="2"/>
  <c r="D31425" i="2"/>
  <c r="D31426" i="2"/>
  <c r="D31427" i="2"/>
  <c r="D31428" i="2"/>
  <c r="D31429" i="2"/>
  <c r="D31430" i="2"/>
  <c r="D31431" i="2"/>
  <c r="D31432" i="2"/>
  <c r="D31433" i="2"/>
  <c r="D31434" i="2"/>
  <c r="D31435" i="2"/>
  <c r="D31436" i="2"/>
  <c r="D31437" i="2"/>
  <c r="D31438" i="2"/>
  <c r="D31439" i="2"/>
  <c r="D31440" i="2"/>
  <c r="D31441" i="2"/>
  <c r="D31442" i="2"/>
  <c r="D31443" i="2"/>
  <c r="D31444" i="2"/>
  <c r="D31445" i="2"/>
  <c r="D31446" i="2"/>
  <c r="D31447" i="2"/>
  <c r="D31448" i="2"/>
  <c r="D31449" i="2"/>
  <c r="D31450" i="2"/>
  <c r="D31451" i="2"/>
  <c r="D31452" i="2"/>
  <c r="D31453" i="2"/>
  <c r="D31454" i="2"/>
  <c r="D31455" i="2"/>
  <c r="D31456" i="2"/>
  <c r="D31457" i="2"/>
  <c r="D31458" i="2"/>
  <c r="D31459" i="2"/>
  <c r="D31460" i="2"/>
  <c r="D31461" i="2"/>
  <c r="D31462" i="2"/>
  <c r="D31463" i="2"/>
  <c r="D31464" i="2"/>
  <c r="D31465" i="2"/>
  <c r="D31466" i="2"/>
  <c r="D31467" i="2"/>
  <c r="D31468" i="2"/>
  <c r="D31469" i="2"/>
  <c r="D31470" i="2"/>
  <c r="D31471" i="2"/>
  <c r="D31472" i="2"/>
  <c r="D31473" i="2"/>
  <c r="D31474" i="2"/>
  <c r="D31475" i="2"/>
  <c r="D31476" i="2"/>
  <c r="D31477" i="2"/>
  <c r="D31478" i="2"/>
  <c r="D31479" i="2"/>
  <c r="D31480" i="2"/>
  <c r="D31481" i="2"/>
  <c r="D31482" i="2"/>
  <c r="D31483" i="2"/>
  <c r="D31484" i="2"/>
  <c r="D31485" i="2"/>
  <c r="D31486" i="2"/>
  <c r="D31487" i="2"/>
  <c r="D31488" i="2"/>
  <c r="D31489" i="2"/>
  <c r="D31490" i="2"/>
  <c r="D31491" i="2"/>
  <c r="D31492" i="2"/>
  <c r="D31493" i="2"/>
  <c r="D31494" i="2"/>
  <c r="D31495" i="2"/>
  <c r="D31496" i="2"/>
  <c r="D31497" i="2"/>
  <c r="D31498" i="2"/>
  <c r="D31499" i="2"/>
  <c r="D31500" i="2"/>
  <c r="D31501" i="2"/>
  <c r="D31502" i="2"/>
  <c r="D31503" i="2"/>
  <c r="D31504" i="2"/>
  <c r="D31505" i="2"/>
  <c r="D31506" i="2"/>
  <c r="D31507" i="2"/>
  <c r="D31508" i="2"/>
  <c r="D31509" i="2"/>
  <c r="D31510" i="2"/>
  <c r="D31511" i="2"/>
  <c r="D31512" i="2"/>
  <c r="D31513" i="2"/>
  <c r="D31514" i="2"/>
  <c r="D31515" i="2"/>
  <c r="D31516" i="2"/>
  <c r="D31517" i="2"/>
  <c r="D31518" i="2"/>
  <c r="D31519" i="2"/>
  <c r="D31520" i="2"/>
  <c r="D31521" i="2"/>
  <c r="D31522" i="2"/>
  <c r="D31523" i="2"/>
  <c r="D31524" i="2"/>
  <c r="D31525" i="2"/>
  <c r="D31526" i="2"/>
  <c r="D31527" i="2"/>
  <c r="D31528" i="2"/>
  <c r="D31529" i="2"/>
  <c r="D31530" i="2"/>
  <c r="D31531" i="2"/>
  <c r="D31532" i="2"/>
  <c r="D31533" i="2"/>
  <c r="D31534" i="2"/>
  <c r="D31535" i="2"/>
  <c r="D31536" i="2"/>
  <c r="D31537" i="2"/>
  <c r="D31538" i="2"/>
  <c r="D31539" i="2"/>
  <c r="D31540" i="2"/>
  <c r="D31541" i="2"/>
  <c r="D31542" i="2"/>
  <c r="D31543" i="2"/>
  <c r="D31544" i="2"/>
  <c r="D31545" i="2"/>
  <c r="D31546" i="2"/>
  <c r="D31547" i="2"/>
  <c r="D31548" i="2"/>
  <c r="D31549" i="2"/>
  <c r="D31550" i="2"/>
  <c r="D31551" i="2"/>
  <c r="D31552" i="2"/>
  <c r="D31553" i="2"/>
  <c r="D31554" i="2"/>
  <c r="D31555" i="2"/>
  <c r="D31556" i="2"/>
  <c r="D31557" i="2"/>
  <c r="D31558" i="2"/>
  <c r="D31559" i="2"/>
  <c r="D31560" i="2"/>
  <c r="D31561" i="2"/>
  <c r="D31562" i="2"/>
  <c r="D31563" i="2"/>
  <c r="D31564" i="2"/>
  <c r="D31565" i="2"/>
  <c r="D31566" i="2"/>
  <c r="D31567" i="2"/>
  <c r="D31568" i="2"/>
  <c r="D31569" i="2"/>
  <c r="D31570" i="2"/>
  <c r="D31571" i="2"/>
  <c r="D31572" i="2"/>
  <c r="D31573" i="2"/>
  <c r="D31574" i="2"/>
  <c r="D31575" i="2"/>
  <c r="D31576" i="2"/>
  <c r="D31577" i="2"/>
  <c r="D31578" i="2"/>
  <c r="D31579" i="2"/>
  <c r="D31580" i="2"/>
  <c r="D31581" i="2"/>
  <c r="D31582" i="2"/>
  <c r="D31583" i="2"/>
  <c r="D31584" i="2"/>
  <c r="D31585" i="2"/>
  <c r="D31586" i="2"/>
  <c r="D31587" i="2"/>
  <c r="D31588" i="2"/>
  <c r="D31589" i="2"/>
  <c r="D31590" i="2"/>
  <c r="D31591" i="2"/>
  <c r="D31592" i="2"/>
  <c r="D31593" i="2"/>
  <c r="D31594" i="2"/>
  <c r="D31595" i="2"/>
  <c r="D31596" i="2"/>
  <c r="D31597" i="2"/>
  <c r="D31598" i="2"/>
  <c r="D31599" i="2"/>
  <c r="D31600" i="2"/>
  <c r="D31601" i="2"/>
  <c r="D31602" i="2"/>
  <c r="D31603" i="2"/>
  <c r="D31604" i="2"/>
  <c r="D31605" i="2"/>
  <c r="D31606" i="2"/>
  <c r="D31607" i="2"/>
  <c r="D31608" i="2"/>
  <c r="D31609" i="2"/>
  <c r="D31610" i="2"/>
  <c r="D31611" i="2"/>
  <c r="D31612" i="2"/>
  <c r="D31613" i="2"/>
  <c r="D31614" i="2"/>
  <c r="D31615" i="2"/>
  <c r="D31616" i="2"/>
  <c r="D31617" i="2"/>
  <c r="D31618" i="2"/>
  <c r="D31619" i="2"/>
  <c r="D31620" i="2"/>
  <c r="D31621" i="2"/>
  <c r="D31622" i="2"/>
  <c r="D31623" i="2"/>
  <c r="D31624" i="2"/>
  <c r="D31625" i="2"/>
  <c r="D31626" i="2"/>
  <c r="D31627" i="2"/>
  <c r="D31628" i="2"/>
  <c r="D31629" i="2"/>
  <c r="D31630" i="2"/>
  <c r="D31631" i="2"/>
  <c r="D31632" i="2"/>
  <c r="D31633" i="2"/>
  <c r="D31634" i="2"/>
  <c r="D31635" i="2"/>
  <c r="D31636" i="2"/>
  <c r="D31637" i="2"/>
  <c r="D31638" i="2"/>
  <c r="D31639" i="2"/>
  <c r="D31640" i="2"/>
  <c r="D31641" i="2"/>
  <c r="D31642" i="2"/>
  <c r="D31643" i="2"/>
  <c r="D31644" i="2"/>
  <c r="D31645" i="2"/>
  <c r="D31646" i="2"/>
  <c r="D31647" i="2"/>
  <c r="D31648" i="2"/>
  <c r="D31649" i="2"/>
  <c r="D31650" i="2"/>
  <c r="D31651" i="2"/>
  <c r="D31652" i="2"/>
  <c r="D31653" i="2"/>
  <c r="D31654" i="2"/>
  <c r="D31655" i="2"/>
  <c r="D31656" i="2"/>
  <c r="D31657" i="2"/>
  <c r="D31658" i="2"/>
  <c r="D31659" i="2"/>
  <c r="D31660" i="2"/>
  <c r="D31661" i="2"/>
  <c r="D31662" i="2"/>
  <c r="D31663" i="2"/>
  <c r="D31664" i="2"/>
  <c r="D31665" i="2"/>
  <c r="D31666" i="2"/>
  <c r="D31667" i="2"/>
  <c r="D31668" i="2"/>
  <c r="D31669" i="2"/>
  <c r="D31670" i="2"/>
  <c r="D31671" i="2"/>
  <c r="D31672" i="2"/>
  <c r="D31673" i="2"/>
  <c r="D31674" i="2"/>
  <c r="D31675" i="2"/>
  <c r="D31676" i="2"/>
  <c r="D31677" i="2"/>
  <c r="D31678" i="2"/>
  <c r="D31679" i="2"/>
  <c r="D31680" i="2"/>
  <c r="D31681" i="2"/>
  <c r="D31682" i="2"/>
  <c r="D31683" i="2"/>
  <c r="D31684" i="2"/>
  <c r="D31685" i="2"/>
  <c r="D31686" i="2"/>
  <c r="D31687" i="2"/>
  <c r="D31688" i="2"/>
  <c r="D31689" i="2"/>
  <c r="D31690" i="2"/>
  <c r="D31691" i="2"/>
  <c r="D31692" i="2"/>
  <c r="D31693" i="2"/>
  <c r="D31694" i="2"/>
  <c r="D31695" i="2"/>
  <c r="D31696" i="2"/>
  <c r="D31697" i="2"/>
  <c r="D31698" i="2"/>
  <c r="D31699" i="2"/>
  <c r="D31700" i="2"/>
  <c r="D31701" i="2"/>
  <c r="D31702" i="2"/>
  <c r="D31703" i="2"/>
  <c r="D31704" i="2"/>
  <c r="D31705" i="2"/>
  <c r="D31706" i="2"/>
  <c r="D31707" i="2"/>
  <c r="D31708" i="2"/>
  <c r="D31709" i="2"/>
  <c r="D31710" i="2"/>
  <c r="D31711" i="2"/>
  <c r="D31712" i="2"/>
  <c r="D31713" i="2"/>
  <c r="D31714" i="2"/>
  <c r="D31715" i="2"/>
  <c r="D31716" i="2"/>
  <c r="D31717" i="2"/>
  <c r="D31718" i="2"/>
  <c r="D31719" i="2"/>
  <c r="D31720" i="2"/>
  <c r="D31721" i="2"/>
  <c r="D31722" i="2"/>
  <c r="D31723" i="2"/>
  <c r="D31724" i="2"/>
  <c r="D31725" i="2"/>
  <c r="D31726" i="2"/>
  <c r="D31727" i="2"/>
  <c r="D31728" i="2"/>
  <c r="D31729" i="2"/>
  <c r="D31730" i="2"/>
  <c r="D31731" i="2"/>
  <c r="D31732" i="2"/>
  <c r="D31733" i="2"/>
  <c r="D31734" i="2"/>
  <c r="D31735" i="2"/>
  <c r="D31736" i="2"/>
  <c r="D31737" i="2"/>
  <c r="D31738" i="2"/>
  <c r="D31739" i="2"/>
  <c r="D31740" i="2"/>
  <c r="D31741" i="2"/>
  <c r="D31742" i="2"/>
  <c r="D31743" i="2"/>
  <c r="D31744" i="2"/>
  <c r="D31745" i="2"/>
  <c r="D31746" i="2"/>
  <c r="D31747" i="2"/>
  <c r="D31748" i="2"/>
  <c r="D31749" i="2"/>
  <c r="D31750" i="2"/>
  <c r="D31751" i="2"/>
  <c r="D31752" i="2"/>
  <c r="D31753" i="2"/>
  <c r="D31754" i="2"/>
  <c r="D31755" i="2"/>
  <c r="D31756" i="2"/>
  <c r="D31757" i="2"/>
  <c r="D31758" i="2"/>
  <c r="D31759" i="2"/>
  <c r="D31760" i="2"/>
  <c r="D31761" i="2"/>
  <c r="D31762" i="2"/>
  <c r="D31763" i="2"/>
  <c r="D31764" i="2"/>
  <c r="D31765" i="2"/>
  <c r="D31766" i="2"/>
  <c r="D31767" i="2"/>
  <c r="D31768" i="2"/>
  <c r="D31769" i="2"/>
  <c r="D31770" i="2"/>
  <c r="D31771" i="2"/>
  <c r="D31772" i="2"/>
  <c r="D31773" i="2"/>
  <c r="D31774" i="2"/>
  <c r="D31775" i="2"/>
  <c r="D31776" i="2"/>
  <c r="D31777" i="2"/>
  <c r="D31778" i="2"/>
  <c r="D31779" i="2"/>
  <c r="D31780" i="2"/>
  <c r="D31781" i="2"/>
  <c r="D31782" i="2"/>
  <c r="D31783" i="2"/>
  <c r="D31784" i="2"/>
  <c r="D31785" i="2"/>
  <c r="D31786" i="2"/>
  <c r="D31787" i="2"/>
  <c r="D31788" i="2"/>
  <c r="D31789" i="2"/>
  <c r="D31790" i="2"/>
  <c r="D31791" i="2"/>
  <c r="D31792" i="2"/>
  <c r="D31793" i="2"/>
  <c r="D31794" i="2"/>
  <c r="D31795" i="2"/>
  <c r="D31796" i="2"/>
  <c r="D31797" i="2"/>
  <c r="D31798" i="2"/>
  <c r="D31799" i="2"/>
  <c r="D31800" i="2"/>
  <c r="D31801" i="2"/>
  <c r="D31802" i="2"/>
  <c r="D31803" i="2"/>
  <c r="D31804" i="2"/>
  <c r="D31805" i="2"/>
  <c r="D31806" i="2"/>
  <c r="D31807" i="2"/>
  <c r="D31808" i="2"/>
  <c r="D31809" i="2"/>
  <c r="D31810" i="2"/>
  <c r="D31811" i="2"/>
  <c r="D31812" i="2"/>
  <c r="D31813" i="2"/>
  <c r="D31814" i="2"/>
  <c r="D31815" i="2"/>
  <c r="D31816" i="2"/>
  <c r="D31817" i="2"/>
  <c r="D31818" i="2"/>
  <c r="D31819" i="2"/>
  <c r="D31820" i="2"/>
  <c r="D31821" i="2"/>
  <c r="D31822" i="2"/>
  <c r="D31823" i="2"/>
  <c r="D31824" i="2"/>
  <c r="D31825" i="2"/>
  <c r="D31826" i="2"/>
  <c r="D31827" i="2"/>
  <c r="D31828" i="2"/>
  <c r="D31829" i="2"/>
  <c r="D31830" i="2"/>
  <c r="D31831" i="2"/>
  <c r="D31832" i="2"/>
  <c r="D31833" i="2"/>
  <c r="D31834" i="2"/>
  <c r="D31835" i="2"/>
  <c r="D31836" i="2"/>
  <c r="D31837" i="2"/>
  <c r="D31838" i="2"/>
  <c r="D31839" i="2"/>
  <c r="D31840" i="2"/>
  <c r="D31841" i="2"/>
  <c r="D31842" i="2"/>
  <c r="D31843" i="2"/>
  <c r="D31844" i="2"/>
  <c r="D31845" i="2"/>
  <c r="D31846" i="2"/>
  <c r="D31847" i="2"/>
  <c r="D31848" i="2"/>
  <c r="D31849" i="2"/>
  <c r="D31850" i="2"/>
  <c r="D31851" i="2"/>
  <c r="D31852" i="2"/>
  <c r="D31853" i="2"/>
  <c r="D31854" i="2"/>
  <c r="D31855" i="2"/>
  <c r="D31856" i="2"/>
  <c r="D31857" i="2"/>
  <c r="D31858" i="2"/>
  <c r="D31859" i="2"/>
  <c r="D31860" i="2"/>
  <c r="D31861" i="2"/>
  <c r="D31862" i="2"/>
  <c r="D31863" i="2"/>
  <c r="D31864" i="2"/>
  <c r="D31865" i="2"/>
  <c r="D31866" i="2"/>
  <c r="D31867" i="2"/>
  <c r="D31868" i="2"/>
  <c r="D31869" i="2"/>
  <c r="D31870" i="2"/>
  <c r="D31871" i="2"/>
  <c r="D31872" i="2"/>
  <c r="D31873" i="2"/>
  <c r="D31874" i="2"/>
  <c r="D31875" i="2"/>
  <c r="D31876" i="2"/>
  <c r="D31877" i="2"/>
  <c r="D31878" i="2"/>
  <c r="D31879" i="2"/>
  <c r="D31880" i="2"/>
  <c r="D31881" i="2"/>
  <c r="D31882" i="2"/>
  <c r="D31883" i="2"/>
  <c r="D31884" i="2"/>
  <c r="D31885" i="2"/>
  <c r="D31886" i="2"/>
  <c r="D31887" i="2"/>
  <c r="D31888" i="2"/>
  <c r="D31889" i="2"/>
  <c r="D31890" i="2"/>
  <c r="D31891" i="2"/>
  <c r="D31892" i="2"/>
  <c r="D31893" i="2"/>
  <c r="D31894" i="2"/>
  <c r="D31895" i="2"/>
  <c r="D31896" i="2"/>
  <c r="D31897" i="2"/>
  <c r="D31898" i="2"/>
  <c r="D31899" i="2"/>
  <c r="D31900" i="2"/>
  <c r="D31901" i="2"/>
  <c r="D31902" i="2"/>
  <c r="D31903" i="2"/>
  <c r="D31904" i="2"/>
  <c r="D31905" i="2"/>
  <c r="D31906" i="2"/>
  <c r="D31907" i="2"/>
  <c r="D31908" i="2"/>
  <c r="D31909" i="2"/>
  <c r="D31910" i="2"/>
  <c r="D31911" i="2"/>
  <c r="D31912" i="2"/>
  <c r="D31913" i="2"/>
  <c r="D31914" i="2"/>
  <c r="D31915" i="2"/>
  <c r="D31916" i="2"/>
  <c r="D31917" i="2"/>
  <c r="D31918" i="2"/>
  <c r="D31919" i="2"/>
  <c r="D31920" i="2"/>
  <c r="D31921" i="2"/>
  <c r="D31922" i="2"/>
  <c r="D31923" i="2"/>
  <c r="D31924" i="2"/>
  <c r="D31925" i="2"/>
  <c r="D31926" i="2"/>
  <c r="D31927" i="2"/>
  <c r="D31928" i="2"/>
  <c r="D31929" i="2"/>
  <c r="D31930" i="2"/>
  <c r="D31931" i="2"/>
  <c r="D31932" i="2"/>
  <c r="D31933" i="2"/>
  <c r="D31934" i="2"/>
  <c r="D31935" i="2"/>
  <c r="D31936" i="2"/>
  <c r="D31937" i="2"/>
  <c r="D31938" i="2"/>
  <c r="D31939" i="2"/>
  <c r="D31940" i="2"/>
  <c r="D31941" i="2"/>
  <c r="D31942" i="2"/>
  <c r="D31943" i="2"/>
  <c r="D31944" i="2"/>
  <c r="D31945" i="2"/>
  <c r="D31946" i="2"/>
  <c r="D31947" i="2"/>
  <c r="D31948" i="2"/>
  <c r="D31949" i="2"/>
  <c r="D31950" i="2"/>
  <c r="D31951" i="2"/>
  <c r="D31952" i="2"/>
  <c r="D31953" i="2"/>
  <c r="D31954" i="2"/>
  <c r="D31955" i="2"/>
  <c r="D31956" i="2"/>
  <c r="D31957" i="2"/>
  <c r="D31958" i="2"/>
  <c r="D31959" i="2"/>
  <c r="D31960" i="2"/>
  <c r="D31961" i="2"/>
  <c r="D31962" i="2"/>
  <c r="D31963" i="2"/>
  <c r="D31964" i="2"/>
  <c r="D31965" i="2"/>
  <c r="D31966" i="2"/>
  <c r="D31967" i="2"/>
  <c r="D31968" i="2"/>
  <c r="D31969" i="2"/>
  <c r="D31970" i="2"/>
  <c r="D31971" i="2"/>
  <c r="D31972" i="2"/>
  <c r="D31973" i="2"/>
  <c r="D31974" i="2"/>
  <c r="D31975" i="2"/>
  <c r="D31976" i="2"/>
  <c r="D31977" i="2"/>
  <c r="D31978" i="2"/>
  <c r="D31979" i="2"/>
  <c r="D31980" i="2"/>
  <c r="D31981" i="2"/>
  <c r="D31982" i="2"/>
  <c r="D31983" i="2"/>
  <c r="D31984" i="2"/>
  <c r="D31985" i="2"/>
  <c r="D31986" i="2"/>
  <c r="D31987" i="2"/>
  <c r="D31988" i="2"/>
  <c r="D31989" i="2"/>
  <c r="D31990" i="2"/>
  <c r="D31991" i="2"/>
  <c r="D31992" i="2"/>
  <c r="D31993" i="2"/>
  <c r="D31994" i="2"/>
  <c r="D31995" i="2"/>
  <c r="D31996" i="2"/>
  <c r="D31997" i="2"/>
  <c r="D31998" i="2"/>
  <c r="D31999" i="2"/>
  <c r="D32000" i="2"/>
  <c r="D32001" i="2"/>
  <c r="D32002" i="2"/>
  <c r="D32003" i="2"/>
  <c r="D32004" i="2"/>
  <c r="D32005" i="2"/>
  <c r="D32006" i="2"/>
  <c r="D32007" i="2"/>
  <c r="D32008" i="2"/>
  <c r="D32009" i="2"/>
  <c r="D32010" i="2"/>
  <c r="D32011" i="2"/>
  <c r="D32012" i="2"/>
  <c r="D32013" i="2"/>
  <c r="D32014" i="2"/>
  <c r="D32015" i="2"/>
  <c r="D32016" i="2"/>
  <c r="D32017" i="2"/>
  <c r="D32018" i="2"/>
  <c r="D32019" i="2"/>
  <c r="D32020" i="2"/>
  <c r="D32021" i="2"/>
  <c r="D32022" i="2"/>
  <c r="D32023" i="2"/>
  <c r="D32024" i="2"/>
  <c r="D32025" i="2"/>
  <c r="D32026" i="2"/>
  <c r="D32027" i="2"/>
  <c r="D32028" i="2"/>
  <c r="D32029" i="2"/>
  <c r="D32030" i="2"/>
  <c r="D32031" i="2"/>
  <c r="D32032" i="2"/>
  <c r="D32033" i="2"/>
  <c r="D32034" i="2"/>
  <c r="D32035" i="2"/>
  <c r="D32036" i="2"/>
  <c r="D32037" i="2"/>
  <c r="D32038" i="2"/>
  <c r="D32039" i="2"/>
  <c r="D32040" i="2"/>
  <c r="D32041" i="2"/>
  <c r="D32042" i="2"/>
  <c r="D32043" i="2"/>
  <c r="D32044" i="2"/>
  <c r="D32045" i="2"/>
  <c r="D32046" i="2"/>
  <c r="D32047" i="2"/>
  <c r="D32048" i="2"/>
  <c r="D32049" i="2"/>
  <c r="D32050" i="2"/>
  <c r="D32051" i="2"/>
  <c r="D32052" i="2"/>
  <c r="D32053" i="2"/>
  <c r="D32054" i="2"/>
  <c r="D32055" i="2"/>
  <c r="D32056" i="2"/>
  <c r="D32057" i="2"/>
  <c r="D32058" i="2"/>
  <c r="D32059" i="2"/>
  <c r="D32060" i="2"/>
  <c r="D32061" i="2"/>
  <c r="D32062" i="2"/>
  <c r="D32063" i="2"/>
  <c r="D32064" i="2"/>
  <c r="D32065" i="2"/>
  <c r="D32066" i="2"/>
  <c r="D32067" i="2"/>
  <c r="D32068" i="2"/>
  <c r="D32069" i="2"/>
  <c r="D32070" i="2"/>
  <c r="D32071" i="2"/>
  <c r="D32072" i="2"/>
  <c r="D32073" i="2"/>
  <c r="D32074" i="2"/>
  <c r="D32075" i="2"/>
  <c r="D32076" i="2"/>
  <c r="D32077" i="2"/>
  <c r="D32078" i="2"/>
  <c r="D32079" i="2"/>
  <c r="D32080" i="2"/>
  <c r="D32081" i="2"/>
  <c r="D32082" i="2"/>
  <c r="D32083" i="2"/>
  <c r="D32084" i="2"/>
  <c r="D32085" i="2"/>
  <c r="D32086" i="2"/>
  <c r="D32087" i="2"/>
  <c r="D32088" i="2"/>
  <c r="D32089" i="2"/>
  <c r="D32090" i="2"/>
  <c r="D32091" i="2"/>
  <c r="D32092" i="2"/>
  <c r="D32093" i="2"/>
  <c r="D32094" i="2"/>
  <c r="D32095" i="2"/>
  <c r="D32096" i="2"/>
  <c r="D32097" i="2"/>
  <c r="D32098" i="2"/>
  <c r="D32099" i="2"/>
  <c r="D32100" i="2"/>
  <c r="D32101" i="2"/>
  <c r="D32102" i="2"/>
  <c r="D32103" i="2"/>
  <c r="D32104" i="2"/>
  <c r="D32105" i="2"/>
  <c r="D32106" i="2"/>
  <c r="D32107" i="2"/>
  <c r="D32108" i="2"/>
  <c r="D32109" i="2"/>
  <c r="D32110" i="2"/>
  <c r="D32111" i="2"/>
  <c r="D32112" i="2"/>
  <c r="D32113" i="2"/>
  <c r="D32114" i="2"/>
  <c r="D32115" i="2"/>
  <c r="D32116" i="2"/>
  <c r="D32117" i="2"/>
  <c r="D32118" i="2"/>
  <c r="D32119" i="2"/>
  <c r="D32120" i="2"/>
  <c r="D32121" i="2"/>
  <c r="D32122" i="2"/>
  <c r="D32123" i="2"/>
  <c r="D32124" i="2"/>
  <c r="D32125" i="2"/>
  <c r="D32126" i="2"/>
  <c r="D32127" i="2"/>
  <c r="D32128" i="2"/>
  <c r="D32129" i="2"/>
  <c r="D32130" i="2"/>
  <c r="D32131" i="2"/>
  <c r="D32132" i="2"/>
  <c r="D32133" i="2"/>
  <c r="C630" i="4"/>
  <c r="C629" i="4"/>
  <c r="C628" i="4"/>
  <c r="C627" i="4"/>
  <c r="C626" i="4"/>
  <c r="C625" i="4"/>
  <c r="C624" i="4"/>
  <c r="C623" i="4"/>
  <c r="C622" i="4"/>
  <c r="C621" i="4"/>
  <c r="C620" i="4"/>
  <c r="C619" i="4"/>
  <c r="C618" i="4"/>
  <c r="C617" i="4"/>
  <c r="C616" i="4"/>
  <c r="C615" i="4"/>
  <c r="C614" i="4"/>
  <c r="C613" i="4"/>
  <c r="C612" i="4"/>
  <c r="C611" i="4"/>
  <c r="C610" i="4"/>
  <c r="C609" i="4"/>
  <c r="C608" i="4"/>
  <c r="C607" i="4"/>
  <c r="C606" i="4"/>
  <c r="C605" i="4"/>
  <c r="C604" i="4"/>
  <c r="C603" i="4"/>
  <c r="C602" i="4"/>
  <c r="C601" i="4"/>
  <c r="C600" i="4"/>
  <c r="C599" i="4"/>
  <c r="C598" i="4"/>
  <c r="C597" i="4"/>
  <c r="C596" i="4"/>
  <c r="C595" i="4"/>
  <c r="C594" i="4"/>
  <c r="C593" i="4"/>
  <c r="C592" i="4"/>
  <c r="C591" i="4"/>
  <c r="C590" i="4"/>
  <c r="C589" i="4"/>
  <c r="C588" i="4"/>
  <c r="C587" i="4"/>
  <c r="C586" i="4"/>
  <c r="C585" i="4"/>
  <c r="C584" i="4"/>
  <c r="C583" i="4"/>
  <c r="C582" i="4"/>
  <c r="C581" i="4"/>
  <c r="C580" i="4"/>
  <c r="C579" i="4"/>
  <c r="C578" i="4"/>
  <c r="C577" i="4"/>
  <c r="C576" i="4"/>
  <c r="C575" i="4"/>
  <c r="C574" i="4"/>
  <c r="C573" i="4"/>
  <c r="C572" i="4"/>
  <c r="C571" i="4"/>
  <c r="C570" i="4"/>
  <c r="C569" i="4"/>
  <c r="C568" i="4"/>
  <c r="C567" i="4"/>
  <c r="C566" i="4"/>
  <c r="C565" i="4"/>
  <c r="C564" i="4"/>
  <c r="C563" i="4"/>
  <c r="C562" i="4"/>
  <c r="C561" i="4"/>
  <c r="C560" i="4"/>
  <c r="C559" i="4"/>
  <c r="C558" i="4"/>
  <c r="C557" i="4"/>
  <c r="C556" i="4"/>
  <c r="C555" i="4"/>
  <c r="C554" i="4"/>
  <c r="C553" i="4"/>
  <c r="C552" i="4"/>
  <c r="C551" i="4"/>
  <c r="C550" i="4"/>
  <c r="C549" i="4"/>
  <c r="C548" i="4"/>
  <c r="C547" i="4"/>
  <c r="C546" i="4"/>
  <c r="C545" i="4"/>
  <c r="C544" i="4"/>
  <c r="C543" i="4"/>
  <c r="C542" i="4"/>
  <c r="C541" i="4"/>
  <c r="C540" i="4"/>
  <c r="C539" i="4"/>
  <c r="C538" i="4"/>
  <c r="C537" i="4"/>
  <c r="C536" i="4"/>
  <c r="C535" i="4"/>
  <c r="C534" i="4"/>
  <c r="C533" i="4"/>
  <c r="C532" i="4"/>
  <c r="C531" i="4"/>
  <c r="C530" i="4"/>
  <c r="C529" i="4"/>
  <c r="C528" i="4"/>
  <c r="C527" i="4"/>
  <c r="C526" i="4"/>
  <c r="C525" i="4"/>
  <c r="C524" i="4"/>
  <c r="C523" i="4"/>
  <c r="C522" i="4"/>
  <c r="C521" i="4"/>
  <c r="C520" i="4"/>
  <c r="C519" i="4"/>
  <c r="C518" i="4"/>
  <c r="C517" i="4"/>
  <c r="C516" i="4"/>
  <c r="C515" i="4"/>
  <c r="C514" i="4"/>
  <c r="C513" i="4"/>
  <c r="C512" i="4"/>
  <c r="C511" i="4"/>
  <c r="C510" i="4"/>
  <c r="C509" i="4"/>
  <c r="C508" i="4"/>
  <c r="C507" i="4"/>
  <c r="C506" i="4"/>
  <c r="C505" i="4"/>
  <c r="C504" i="4"/>
  <c r="C503" i="4"/>
  <c r="C502" i="4"/>
  <c r="C501" i="4"/>
  <c r="C500" i="4"/>
  <c r="C499" i="4"/>
  <c r="C498" i="4"/>
  <c r="C497" i="4"/>
  <c r="C496" i="4"/>
  <c r="C495" i="4"/>
  <c r="C494" i="4"/>
  <c r="C493" i="4"/>
  <c r="C492" i="4"/>
  <c r="C491" i="4"/>
  <c r="C490" i="4"/>
  <c r="C489" i="4"/>
  <c r="C488" i="4"/>
  <c r="C487" i="4"/>
  <c r="C486" i="4"/>
  <c r="C485" i="4"/>
  <c r="C484" i="4"/>
  <c r="C483" i="4"/>
  <c r="C482" i="4"/>
  <c r="C481" i="4"/>
  <c r="C480" i="4"/>
  <c r="C479" i="4"/>
  <c r="C478" i="4"/>
  <c r="C477" i="4"/>
  <c r="C476" i="4"/>
  <c r="C475" i="4"/>
  <c r="C474" i="4"/>
  <c r="C473" i="4"/>
  <c r="C472" i="4"/>
  <c r="C471" i="4"/>
  <c r="C470" i="4"/>
  <c r="C469" i="4"/>
  <c r="C468" i="4"/>
  <c r="C467" i="4"/>
  <c r="C466" i="4"/>
  <c r="C465" i="4"/>
  <c r="C464" i="4"/>
  <c r="C463" i="4"/>
  <c r="C462" i="4"/>
  <c r="C461" i="4"/>
  <c r="C460" i="4"/>
  <c r="C459" i="4"/>
  <c r="C458" i="4"/>
  <c r="C457" i="4"/>
  <c r="C456" i="4"/>
  <c r="C455" i="4"/>
  <c r="C454" i="4"/>
  <c r="C453" i="4"/>
  <c r="C452" i="4"/>
  <c r="C451" i="4"/>
  <c r="C450" i="4"/>
  <c r="C449" i="4"/>
  <c r="C448" i="4"/>
  <c r="C447" i="4"/>
  <c r="C446" i="4"/>
  <c r="C445" i="4"/>
  <c r="C444" i="4"/>
  <c r="C443" i="4"/>
  <c r="C442" i="4"/>
  <c r="C441" i="4"/>
  <c r="C440" i="4"/>
  <c r="C439" i="4"/>
  <c r="C438" i="4"/>
  <c r="C437" i="4"/>
  <c r="C436" i="4"/>
  <c r="C435" i="4"/>
  <c r="C434" i="4"/>
  <c r="C433" i="4"/>
  <c r="C432" i="4"/>
  <c r="C431" i="4"/>
  <c r="C430" i="4"/>
  <c r="C429" i="4"/>
  <c r="C428" i="4"/>
  <c r="C427" i="4"/>
  <c r="C426" i="4"/>
  <c r="C425" i="4"/>
  <c r="C424" i="4"/>
  <c r="C423" i="4"/>
  <c r="C422" i="4"/>
  <c r="C421" i="4"/>
  <c r="C420" i="4"/>
  <c r="C419" i="4"/>
  <c r="C418" i="4"/>
  <c r="C417" i="4"/>
  <c r="C416" i="4"/>
  <c r="C415" i="4"/>
  <c r="C414" i="4"/>
  <c r="C413" i="4"/>
  <c r="C412" i="4"/>
  <c r="C411" i="4"/>
  <c r="C410" i="4"/>
  <c r="C409" i="4"/>
  <c r="C408" i="4"/>
  <c r="C407" i="4"/>
  <c r="C406" i="4"/>
  <c r="C405" i="4"/>
  <c r="C404" i="4"/>
  <c r="C403" i="4"/>
  <c r="C402" i="4"/>
  <c r="C401" i="4"/>
  <c r="C400" i="4"/>
  <c r="C399" i="4"/>
  <c r="C398" i="4"/>
  <c r="C397" i="4"/>
  <c r="C396" i="4"/>
  <c r="C395" i="4"/>
  <c r="C394" i="4"/>
  <c r="C393" i="4"/>
  <c r="C392" i="4"/>
  <c r="C391" i="4"/>
  <c r="C390" i="4"/>
  <c r="C389" i="4"/>
  <c r="C388" i="4"/>
  <c r="C387" i="4"/>
  <c r="C386" i="4"/>
  <c r="C385" i="4"/>
  <c r="C384" i="4"/>
  <c r="C383" i="4"/>
  <c r="C382" i="4"/>
  <c r="C381" i="4"/>
  <c r="C380" i="4"/>
  <c r="C379" i="4"/>
  <c r="C378" i="4"/>
  <c r="C377" i="4"/>
  <c r="C376" i="4"/>
  <c r="C375" i="4"/>
  <c r="C374" i="4"/>
  <c r="C373" i="4"/>
  <c r="C372" i="4"/>
  <c r="C371" i="4"/>
  <c r="C370" i="4"/>
  <c r="C369" i="4"/>
  <c r="C368" i="4"/>
  <c r="C367" i="4"/>
  <c r="C366" i="4"/>
  <c r="C365" i="4"/>
  <c r="C364" i="4"/>
  <c r="C363" i="4"/>
  <c r="C362" i="4"/>
  <c r="C361" i="4"/>
  <c r="C360" i="4"/>
  <c r="C359" i="4"/>
  <c r="C358" i="4"/>
  <c r="C357" i="4"/>
  <c r="C356" i="4"/>
  <c r="C355" i="4"/>
  <c r="C354" i="4"/>
  <c r="C353" i="4"/>
  <c r="C352" i="4"/>
  <c r="C351" i="4"/>
  <c r="C350" i="4"/>
  <c r="C349" i="4"/>
  <c r="C348" i="4"/>
  <c r="C347" i="4"/>
  <c r="C346" i="4"/>
  <c r="C345" i="4"/>
  <c r="C344" i="4"/>
  <c r="C343" i="4"/>
  <c r="C342" i="4"/>
  <c r="C341" i="4"/>
  <c r="C340" i="4"/>
  <c r="C339" i="4"/>
  <c r="C338" i="4"/>
  <c r="C337" i="4"/>
  <c r="C336" i="4"/>
  <c r="C335" i="4"/>
  <c r="C334" i="4"/>
  <c r="C333" i="4"/>
  <c r="C332" i="4"/>
  <c r="C331" i="4"/>
  <c r="C330" i="4"/>
  <c r="C329" i="4"/>
  <c r="C328" i="4"/>
  <c r="C327" i="4"/>
  <c r="C326" i="4"/>
  <c r="C325" i="4"/>
  <c r="C324" i="4"/>
  <c r="C323" i="4"/>
  <c r="C322" i="4"/>
  <c r="C321" i="4"/>
  <c r="C320" i="4"/>
  <c r="C319" i="4"/>
  <c r="C318" i="4"/>
  <c r="C317" i="4"/>
  <c r="C316" i="4"/>
  <c r="C315" i="4"/>
  <c r="C314" i="4"/>
  <c r="C313" i="4"/>
  <c r="C312" i="4"/>
  <c r="C311" i="4"/>
  <c r="C310" i="4"/>
  <c r="C309" i="4"/>
  <c r="C308" i="4"/>
  <c r="C307" i="4"/>
  <c r="C306" i="4"/>
  <c r="C305" i="4"/>
  <c r="C304" i="4"/>
  <c r="C303" i="4"/>
  <c r="C302" i="4"/>
  <c r="C301" i="4"/>
  <c r="C300" i="4"/>
  <c r="C299" i="4"/>
  <c r="C298" i="4"/>
  <c r="C297" i="4"/>
  <c r="C296" i="4"/>
  <c r="C295" i="4"/>
  <c r="C294" i="4"/>
  <c r="C293" i="4"/>
  <c r="C292" i="4"/>
  <c r="C291" i="4"/>
  <c r="C290" i="4"/>
  <c r="C289" i="4"/>
  <c r="C288" i="4"/>
  <c r="C287" i="4"/>
  <c r="C286" i="4"/>
  <c r="C285" i="4"/>
  <c r="C284" i="4"/>
  <c r="C283" i="4"/>
  <c r="C282" i="4"/>
  <c r="C281" i="4"/>
  <c r="C280" i="4"/>
  <c r="C279" i="4"/>
  <c r="C278" i="4"/>
  <c r="C277" i="4"/>
  <c r="C276" i="4"/>
  <c r="C275" i="4"/>
  <c r="C274" i="4"/>
  <c r="C273" i="4"/>
  <c r="C272" i="4"/>
  <c r="C271" i="4"/>
  <c r="C270" i="4"/>
  <c r="C269" i="4"/>
  <c r="C268" i="4"/>
  <c r="C267" i="4"/>
  <c r="C266" i="4"/>
  <c r="C265" i="4"/>
  <c r="C264" i="4"/>
  <c r="C263" i="4"/>
  <c r="C262" i="4"/>
  <c r="C261" i="4"/>
  <c r="C260" i="4"/>
  <c r="C259" i="4"/>
  <c r="C258" i="4"/>
  <c r="C257" i="4"/>
  <c r="C256" i="4"/>
  <c r="C255" i="4"/>
  <c r="C254" i="4"/>
  <c r="C253" i="4"/>
  <c r="C252" i="4"/>
  <c r="C251" i="4"/>
  <c r="C250" i="4"/>
  <c r="C249" i="4"/>
  <c r="C248" i="4"/>
  <c r="C247" i="4"/>
  <c r="C246" i="4"/>
  <c r="C245" i="4"/>
  <c r="C244" i="4"/>
  <c r="C243" i="4"/>
  <c r="C242" i="4"/>
  <c r="C241" i="4"/>
  <c r="C240" i="4"/>
  <c r="C239" i="4"/>
  <c r="C238" i="4"/>
  <c r="C237" i="4"/>
  <c r="C236" i="4"/>
  <c r="C235" i="4"/>
  <c r="C234" i="4"/>
  <c r="C233" i="4"/>
  <c r="C232" i="4"/>
  <c r="C231" i="4"/>
  <c r="C230" i="4"/>
  <c r="C229" i="4"/>
  <c r="C228" i="4"/>
  <c r="C227" i="4"/>
  <c r="C226" i="4"/>
  <c r="C225" i="4"/>
  <c r="C224" i="4"/>
  <c r="C223" i="4"/>
  <c r="C222" i="4"/>
  <c r="C221" i="4"/>
  <c r="C220" i="4"/>
  <c r="C219" i="4"/>
  <c r="C218" i="4"/>
  <c r="C217" i="4"/>
  <c r="C216" i="4"/>
  <c r="C215" i="4"/>
  <c r="C214" i="4"/>
  <c r="C213" i="4"/>
  <c r="C212" i="4"/>
  <c r="C211" i="4"/>
  <c r="C210" i="4"/>
  <c r="C209" i="4"/>
  <c r="C208" i="4"/>
  <c r="C207" i="4"/>
  <c r="C206" i="4"/>
  <c r="C205" i="4"/>
  <c r="C204" i="4"/>
  <c r="C203" i="4"/>
  <c r="C202" i="4"/>
  <c r="C201" i="4"/>
  <c r="C200" i="4"/>
  <c r="C199" i="4"/>
  <c r="C198" i="4"/>
  <c r="C197" i="4"/>
  <c r="C196" i="4"/>
  <c r="C195" i="4"/>
  <c r="C194" i="4"/>
  <c r="C193" i="4"/>
  <c r="C192" i="4"/>
  <c r="C191" i="4"/>
  <c r="C190" i="4"/>
  <c r="C189" i="4"/>
  <c r="C188" i="4"/>
  <c r="C187" i="4"/>
  <c r="C186" i="4"/>
  <c r="C185" i="4"/>
  <c r="C184" i="4"/>
  <c r="C183" i="4"/>
  <c r="C182" i="4"/>
  <c r="C181" i="4"/>
  <c r="C180" i="4"/>
  <c r="C179" i="4"/>
  <c r="C178" i="4"/>
  <c r="C177" i="4"/>
  <c r="C176" i="4"/>
  <c r="C175" i="4"/>
  <c r="C174" i="4"/>
  <c r="C173" i="4"/>
  <c r="C172" i="4"/>
  <c r="C171" i="4"/>
  <c r="C170" i="4"/>
  <c r="C169" i="4"/>
  <c r="C168" i="4"/>
  <c r="C167" i="4"/>
  <c r="C166" i="4"/>
  <c r="C165" i="4"/>
  <c r="C164" i="4"/>
  <c r="C163" i="4"/>
  <c r="C162" i="4"/>
  <c r="C161" i="4"/>
  <c r="C160" i="4"/>
  <c r="C159" i="4"/>
  <c r="C158" i="4"/>
  <c r="C157" i="4"/>
  <c r="C156" i="4"/>
  <c r="C155" i="4"/>
  <c r="C154" i="4"/>
  <c r="C153" i="4"/>
  <c r="C152" i="4"/>
  <c r="C151" i="4"/>
  <c r="C150" i="4"/>
  <c r="C149" i="4"/>
  <c r="C148" i="4"/>
  <c r="C147" i="4"/>
  <c r="C146" i="4"/>
  <c r="C145" i="4"/>
  <c r="C144" i="4"/>
  <c r="C143" i="4"/>
  <c r="C142" i="4"/>
  <c r="C141" i="4"/>
  <c r="C140" i="4"/>
  <c r="C139" i="4"/>
  <c r="C138" i="4"/>
  <c r="C137" i="4"/>
  <c r="C136" i="4"/>
  <c r="C135" i="4"/>
  <c r="C134" i="4"/>
  <c r="C133" i="4"/>
  <c r="C132" i="4"/>
  <c r="C131" i="4"/>
  <c r="C130" i="4"/>
  <c r="C129" i="4"/>
  <c r="C128" i="4"/>
  <c r="C127" i="4"/>
  <c r="C126" i="4"/>
  <c r="C125" i="4"/>
  <c r="C124" i="4"/>
  <c r="C123" i="4"/>
  <c r="C122" i="4"/>
  <c r="C121" i="4"/>
  <c r="C120" i="4"/>
  <c r="C119" i="4"/>
  <c r="C118" i="4"/>
  <c r="C117" i="4"/>
  <c r="C116" i="4"/>
  <c r="C115" i="4"/>
  <c r="C114" i="4"/>
  <c r="C113" i="4"/>
  <c r="C112" i="4"/>
  <c r="C111" i="4"/>
  <c r="C110" i="4"/>
  <c r="C109" i="4"/>
  <c r="C108" i="4"/>
  <c r="C107" i="4"/>
  <c r="C106" i="4"/>
  <c r="C105" i="4"/>
  <c r="C104" i="4"/>
  <c r="C103" i="4"/>
  <c r="C102" i="4"/>
  <c r="C101" i="4"/>
  <c r="C100" i="4"/>
  <c r="C99" i="4"/>
  <c r="C98" i="4"/>
  <c r="C97" i="4"/>
  <c r="C96" i="4"/>
  <c r="C95" i="4"/>
  <c r="C94" i="4"/>
  <c r="C93" i="4"/>
  <c r="C92" i="4"/>
  <c r="C91" i="4"/>
  <c r="C90" i="4"/>
  <c r="C89" i="4"/>
  <c r="C88" i="4"/>
  <c r="C87" i="4"/>
  <c r="C86" i="4"/>
  <c r="C85" i="4"/>
  <c r="C84" i="4"/>
  <c r="C83" i="4"/>
  <c r="C82" i="4"/>
  <c r="C81" i="4"/>
  <c r="C80" i="4"/>
  <c r="C79" i="4"/>
  <c r="C78" i="4"/>
  <c r="C77" i="4"/>
  <c r="C76" i="4"/>
  <c r="C75" i="4"/>
  <c r="C74" i="4"/>
  <c r="C73" i="4"/>
  <c r="C72" i="4"/>
  <c r="C71" i="4"/>
  <c r="C70" i="4"/>
  <c r="C69" i="4"/>
  <c r="C68" i="4"/>
  <c r="C67" i="4"/>
  <c r="C66" i="4"/>
  <c r="C65" i="4"/>
  <c r="C64" i="4"/>
  <c r="C63" i="4"/>
  <c r="C62" i="4"/>
  <c r="C61" i="4"/>
  <c r="C60" i="4"/>
  <c r="C59" i="4"/>
  <c r="C58" i="4"/>
  <c r="C57" i="4"/>
  <c r="C56" i="4"/>
  <c r="C55" i="4"/>
  <c r="C54" i="4"/>
  <c r="C53" i="4"/>
  <c r="C52" i="4"/>
  <c r="C51" i="4"/>
  <c r="C50" i="4"/>
  <c r="C49" i="4"/>
  <c r="C48" i="4"/>
  <c r="C47" i="4"/>
  <c r="C46" i="4"/>
  <c r="C45" i="4"/>
  <c r="C44" i="4"/>
  <c r="C43" i="4"/>
  <c r="C42" i="4"/>
  <c r="C41" i="4"/>
  <c r="C40" i="4"/>
  <c r="C39" i="4"/>
  <c r="C38" i="4"/>
  <c r="C37" i="4"/>
  <c r="C36" i="4"/>
  <c r="C35" i="4"/>
  <c r="C34" i="4"/>
  <c r="C33" i="4"/>
  <c r="C32" i="4"/>
  <c r="C31" i="4"/>
  <c r="C30" i="4"/>
  <c r="C29" i="4"/>
  <c r="C28" i="4"/>
  <c r="C27" i="4"/>
  <c r="C26" i="4"/>
  <c r="C25" i="4"/>
  <c r="C24" i="4"/>
  <c r="C23" i="4"/>
  <c r="C22" i="4"/>
  <c r="C21" i="4"/>
  <c r="C20" i="4"/>
  <c r="C19" i="4"/>
  <c r="C18" i="4"/>
  <c r="C17" i="4"/>
  <c r="C16" i="4"/>
  <c r="C15" i="4"/>
  <c r="C14" i="4"/>
  <c r="C13" i="4"/>
  <c r="C12" i="4"/>
  <c r="C11" i="4"/>
  <c r="C10" i="4"/>
  <c r="C9" i="4"/>
  <c r="C8" i="4"/>
  <c r="C7" i="4"/>
  <c r="C6" i="4"/>
  <c r="C5" i="4"/>
  <c r="C4" i="4"/>
  <c r="C3" i="4"/>
</calcChain>
</file>

<file path=xl/sharedStrings.xml><?xml version="1.0" encoding="utf-8"?>
<sst xmlns="http://schemas.openxmlformats.org/spreadsheetml/2006/main" count="134204" uniqueCount="23491">
  <si>
    <t>NPI</t>
  </si>
  <si>
    <t>C010</t>
  </si>
  <si>
    <t>C020</t>
  </si>
  <si>
    <t>C030</t>
  </si>
  <si>
    <t>C040</t>
  </si>
  <si>
    <t>C050</t>
  </si>
  <si>
    <t>C060</t>
  </si>
  <si>
    <t>C070</t>
  </si>
  <si>
    <t>C080</t>
  </si>
  <si>
    <t>C090</t>
  </si>
  <si>
    <t>C100</t>
  </si>
  <si>
    <t>C110</t>
  </si>
  <si>
    <t>C160</t>
  </si>
  <si>
    <t>C180</t>
  </si>
  <si>
    <t>C200</t>
  </si>
  <si>
    <t>C220</t>
  </si>
  <si>
    <t>C230</t>
  </si>
  <si>
    <t>C240</t>
  </si>
  <si>
    <t>Description</t>
  </si>
  <si>
    <t>Access to Adult/Geriatric Primary Care Providers</t>
  </si>
  <si>
    <t>REED, YOLONDA</t>
  </si>
  <si>
    <t>GOLDEN, KIMBERLY</t>
  </si>
  <si>
    <t>MAY, WALKER</t>
  </si>
  <si>
    <t>VAUGHN, RENATA</t>
  </si>
  <si>
    <t>BARR, LESLIE</t>
  </si>
  <si>
    <t>FENDLEY, JOSEPH</t>
  </si>
  <si>
    <t>HEATH, CHASTITY</t>
  </si>
  <si>
    <t>BRADFORD, MARCIA</t>
  </si>
  <si>
    <t>CONOVER, RANDY</t>
  </si>
  <si>
    <t>TURNER, KENNETH</t>
  </si>
  <si>
    <t>KENNON, LARRY</t>
  </si>
  <si>
    <t>RUSHING, PAUL</t>
  </si>
  <si>
    <t>BANAJI, SUDESH</t>
  </si>
  <si>
    <t>RUTLEDGE, WILLIAM</t>
  </si>
  <si>
    <t>CASH, JAMES</t>
  </si>
  <si>
    <t>MCKENZIE, ALLAN</t>
  </si>
  <si>
    <t>BUCKNER, IRENE</t>
  </si>
  <si>
    <t>MCCRAE, IDA</t>
  </si>
  <si>
    <t>SCHNEIDER, THOMAS</t>
  </si>
  <si>
    <t>MURAD, SIKANDAR</t>
  </si>
  <si>
    <t>GREENE, JAMES</t>
  </si>
  <si>
    <t>YOUNG, TIMOTHY</t>
  </si>
  <si>
    <t>DIPONIO, RUSSELL</t>
  </si>
  <si>
    <t>WATKINS-BROWN, FELICIA</t>
  </si>
  <si>
    <t>HARTNESS, BIRTHA</t>
  </si>
  <si>
    <t>GUYER, JANET</t>
  </si>
  <si>
    <t>SPURGIN, RANDAL</t>
  </si>
  <si>
    <t>MCLAUGHLIN, SHANNON</t>
  </si>
  <si>
    <t>FOX, PATRICK</t>
  </si>
  <si>
    <t>HANEY, GLENNETTE</t>
  </si>
  <si>
    <t>GREEN, DANIEL</t>
  </si>
  <si>
    <t>REED, MARK</t>
  </si>
  <si>
    <t>TARIQ, SARA</t>
  </si>
  <si>
    <t>RAWLINSON, WILLIAM</t>
  </si>
  <si>
    <t>DOUGAN, ANGELA</t>
  </si>
  <si>
    <t>NAGALLA, RATNAM</t>
  </si>
  <si>
    <t>BROWN, JOHN</t>
  </si>
  <si>
    <t>BEECH, DAPHNE</t>
  </si>
  <si>
    <t>PRASAD, SUDHA</t>
  </si>
  <si>
    <t>GORDON, KENYETTA</t>
  </si>
  <si>
    <t>PATRICK, JOSEPH</t>
  </si>
  <si>
    <t>LOKITZ, KYLA</t>
  </si>
  <si>
    <t>THORPE, WILLIAM</t>
  </si>
  <si>
    <t>LINN, MARY</t>
  </si>
  <si>
    <t>LONG, JENNIFER</t>
  </si>
  <si>
    <t>BRANCH, KAREN</t>
  </si>
  <si>
    <t>GOTES, LOIS</t>
  </si>
  <si>
    <t>MORSE, JAMIE</t>
  </si>
  <si>
    <t>SHAW, SHUNDONNA</t>
  </si>
  <si>
    <t>WILLIAMS, JANICE</t>
  </si>
  <si>
    <t>KINGSTON, MEAGHAN</t>
  </si>
  <si>
    <t>TURNER, EMILY</t>
  </si>
  <si>
    <t>GRIFFITH, CHELSEA</t>
  </si>
  <si>
    <t>BEDWELL, VALERIE</t>
  </si>
  <si>
    <t>MORAFA, OLAWALE</t>
  </si>
  <si>
    <t>HODGES, VERYL</t>
  </si>
  <si>
    <t>STILES, ALLISON</t>
  </si>
  <si>
    <t>BOLGER, JOSEPH</t>
  </si>
  <si>
    <t>REEP, WILMER</t>
  </si>
  <si>
    <t>PARISH, BARTON</t>
  </si>
  <si>
    <t>CRAFT, CHARLES</t>
  </si>
  <si>
    <t>BARNETT, MATTHEW</t>
  </si>
  <si>
    <t>BRUNO, TERRY</t>
  </si>
  <si>
    <t>JUNG, SHIRLEY</t>
  </si>
  <si>
    <t>ESTES, DAVID</t>
  </si>
  <si>
    <t>HASHMI, SHAKEB</t>
  </si>
  <si>
    <t>PENNINGTON, KERRY</t>
  </si>
  <si>
    <t>COLQUITT, LETHA</t>
  </si>
  <si>
    <t>MCVICKER, MICHAEL</t>
  </si>
  <si>
    <t>FLENNIKEN, ROAN</t>
  </si>
  <si>
    <t>GRIFFIN, RODNEY</t>
  </si>
  <si>
    <t>SELF, SUSAN</t>
  </si>
  <si>
    <t>LIM, DIANA</t>
  </si>
  <si>
    <t>GILLISPIE, ROY</t>
  </si>
  <si>
    <t>RODRIGUEZ, LINDA</t>
  </si>
  <si>
    <t>GIBBS, HETTIE</t>
  </si>
  <si>
    <t>JOHNSON, TIMOTHY</t>
  </si>
  <si>
    <t>CONNELLY, STEPHANIE</t>
  </si>
  <si>
    <t>TUCKER, DAVID</t>
  </si>
  <si>
    <t>STAMP, JEFFREY</t>
  </si>
  <si>
    <t>ROTHROCK, PERRY</t>
  </si>
  <si>
    <t>BELAND, SUSAN</t>
  </si>
  <si>
    <t>BRISCOE, KATINA</t>
  </si>
  <si>
    <t>SIMPSON, MARY</t>
  </si>
  <si>
    <t>KACHOWSKI, LARISA</t>
  </si>
  <si>
    <t>GRANTHAM, KIRK</t>
  </si>
  <si>
    <t>PATTON, SUSAN</t>
  </si>
  <si>
    <t>NAWAR, FIORELLA</t>
  </si>
  <si>
    <t>GATHRIGHT, STACI</t>
  </si>
  <si>
    <t>FISHER, TRACY</t>
  </si>
  <si>
    <t>NGUYEN, THINH</t>
  </si>
  <si>
    <t>LEMDJA, MIMO</t>
  </si>
  <si>
    <t>BARNETT, MARILYN</t>
  </si>
  <si>
    <t>HEARD, CORAL</t>
  </si>
  <si>
    <t>SIMPSON, SAM</t>
  </si>
  <si>
    <t>RANEY, SAMUEL</t>
  </si>
  <si>
    <t>CAMP, KELSEY</t>
  </si>
  <si>
    <t>PORTER, REBECCA</t>
  </si>
  <si>
    <t>DICUS, GEORGE</t>
  </si>
  <si>
    <t>ARMSTRONG, SIMMIE</t>
  </si>
  <si>
    <t>BEARD, CHARLES</t>
  </si>
  <si>
    <t>BRUTON, RONALD</t>
  </si>
  <si>
    <t>MORSE, MIRIAM</t>
  </si>
  <si>
    <t>JONES, THOMAS</t>
  </si>
  <si>
    <t>COX, ALLEN</t>
  </si>
  <si>
    <t>SWINDELL, WILLIAM</t>
  </si>
  <si>
    <t>ATKINS, LISA</t>
  </si>
  <si>
    <t>WILSON, STEPHANIE</t>
  </si>
  <si>
    <t>CAUSEY, ROBERT</t>
  </si>
  <si>
    <t>FINN, CARY</t>
  </si>
  <si>
    <t>JAIN, NIDHI</t>
  </si>
  <si>
    <t>ASKARI, RAZA</t>
  </si>
  <si>
    <t>THUROW, BRANDON</t>
  </si>
  <si>
    <t>SCOTT, ROBERT</t>
  </si>
  <si>
    <t>PILGRIM, TRACY</t>
  </si>
  <si>
    <t>TUBERVILLE, DEBORAH</t>
  </si>
  <si>
    <t>CHILDERS, JENNIFER</t>
  </si>
  <si>
    <t>TANNER, KIMBERLY</t>
  </si>
  <si>
    <t>GRAY, WILLIAM</t>
  </si>
  <si>
    <t>BRYANT, JENNA</t>
  </si>
  <si>
    <t>BROWN, TALEA</t>
  </si>
  <si>
    <t>JYNES, LILLIAN</t>
  </si>
  <si>
    <t>HENRY, DAVID</t>
  </si>
  <si>
    <t>ABDIN, JAMAL</t>
  </si>
  <si>
    <t>TERRELL, MERVIN</t>
  </si>
  <si>
    <t>FRISBIE, STEPHANIE</t>
  </si>
  <si>
    <t>CABE, LORENZO</t>
  </si>
  <si>
    <t>ACREE, MARTIN</t>
  </si>
  <si>
    <t>MINTZ, PHILIP</t>
  </si>
  <si>
    <t>SHERMER, SUSANNA</t>
  </si>
  <si>
    <t>STEWART, THERESA</t>
  </si>
  <si>
    <t>ASLAM, TANVEER</t>
  </si>
  <si>
    <t>HERNANDEZ, ROBERT</t>
  </si>
  <si>
    <t>MEHAL, WAQAR</t>
  </si>
  <si>
    <t>PITTMAN, WILLIAM</t>
  </si>
  <si>
    <t>WATT, SYLVIA</t>
  </si>
  <si>
    <t>FINCK, JOHN</t>
  </si>
  <si>
    <t>BALLARD, ELIZABETH</t>
  </si>
  <si>
    <t>PORCHIA, DEBORAH</t>
  </si>
  <si>
    <t>BROWN, TERRY</t>
  </si>
  <si>
    <t>KASS, DEBORAH</t>
  </si>
  <si>
    <t>ALBEY, MARK</t>
  </si>
  <si>
    <t>KENSLOW, SUSAN</t>
  </si>
  <si>
    <t>CHEATHAM CARPENTER, TERRELL</t>
  </si>
  <si>
    <t>GONZALEZ GONZALEZ, HUMBERTO</t>
  </si>
  <si>
    <t>BARANYK, CHRISTOPHER</t>
  </si>
  <si>
    <t>SATAPATHY, ASMITA</t>
  </si>
  <si>
    <t>COKER, LARRY</t>
  </si>
  <si>
    <t>MERRITT, EDWARD</t>
  </si>
  <si>
    <t>CANTRELL, MARY</t>
  </si>
  <si>
    <t>PHILLIPS, TEDDY</t>
  </si>
  <si>
    <t>ENGLAND, TRACY</t>
  </si>
  <si>
    <t>RAGSDALE, EIEL</t>
  </si>
  <si>
    <t>NEWELL, HILDA</t>
  </si>
  <si>
    <t>DYER, WALKER</t>
  </si>
  <si>
    <t>SANDERS, JENNIFER</t>
  </si>
  <si>
    <t>RIGSBY, ELIZABETH</t>
  </si>
  <si>
    <t>JOHNSON, KRISTYN</t>
  </si>
  <si>
    <t>BAGBY, MICHELLE</t>
  </si>
  <si>
    <t>KWYZLA, ERIN</t>
  </si>
  <si>
    <t>HOLT, BRENT</t>
  </si>
  <si>
    <t>HARDIN, LAURA</t>
  </si>
  <si>
    <t>MCCALLUM, LEE</t>
  </si>
  <si>
    <t>KALE, DEEPALI</t>
  </si>
  <si>
    <t>NUNN, GARY</t>
  </si>
  <si>
    <t>HAMILTON, LANCE</t>
  </si>
  <si>
    <t>BOWMAN, VERNON</t>
  </si>
  <si>
    <t>UNGAB, RAMON</t>
  </si>
  <si>
    <t>HOEFLICKER, CODY</t>
  </si>
  <si>
    <t>HAMID, SYED</t>
  </si>
  <si>
    <t>FOSSEY, CAROL</t>
  </si>
  <si>
    <t>SNYDER, STEPHEN</t>
  </si>
  <si>
    <t>HARGETT, WALTER</t>
  </si>
  <si>
    <t>MABE, JEREMY</t>
  </si>
  <si>
    <t>PRUIKSMA, RICHARD</t>
  </si>
  <si>
    <t>BUTTROSS, JOHN</t>
  </si>
  <si>
    <t>SMITH, JAMES</t>
  </si>
  <si>
    <t>HILLIS, THOMAS</t>
  </si>
  <si>
    <t>SMITH, WILLIAM</t>
  </si>
  <si>
    <t>WRIGHT, JAMES</t>
  </si>
  <si>
    <t>PELZ, FREDERICK</t>
  </si>
  <si>
    <t>KAJKENOVA, OUMITANA</t>
  </si>
  <si>
    <t>RAHMAN, MAHFUZUR</t>
  </si>
  <si>
    <t>KREULEN, EDWARD</t>
  </si>
  <si>
    <t>CLARK, STEVEN</t>
  </si>
  <si>
    <t>BURNS, STANLEY</t>
  </si>
  <si>
    <t>CALDWELL, FELIX</t>
  </si>
  <si>
    <t>FAMILY FIRST HEALTHCENTER, INC.</t>
  </si>
  <si>
    <t>STREFF, JAMES</t>
  </si>
  <si>
    <t>CAMACHO, RODRIGO</t>
  </si>
  <si>
    <t>BOOKER, LISA</t>
  </si>
  <si>
    <t>WILLIAMS, PENNEY</t>
  </si>
  <si>
    <t>BELL, CHRISTOPHER</t>
  </si>
  <si>
    <t>WHITEHEAD, JAIME</t>
  </si>
  <si>
    <t>BOWLING, WILLIAM</t>
  </si>
  <si>
    <t>CHISM, VALERIE</t>
  </si>
  <si>
    <t>RAJAGOPAL, MANIKANDAN</t>
  </si>
  <si>
    <t>ARANT, AUDRA</t>
  </si>
  <si>
    <t>PATOKA, MATTHEW</t>
  </si>
  <si>
    <t>SIMMS, MONA</t>
  </si>
  <si>
    <t>PATEL, ANERI</t>
  </si>
  <si>
    <t>SULLIVAN, AMY</t>
  </si>
  <si>
    <t>THOMASON, ELIZABETH</t>
  </si>
  <si>
    <t>COMBS, AMANDA</t>
  </si>
  <si>
    <t>GOINS, DALE</t>
  </si>
  <si>
    <t>COOK, BUFFY</t>
  </si>
  <si>
    <t>PHAM, DAC</t>
  </si>
  <si>
    <t>SILLS, DAVID</t>
  </si>
  <si>
    <t>ALSTON, THOMAS</t>
  </si>
  <si>
    <t>GORDON, ALFRED</t>
  </si>
  <si>
    <t>CONNER, GEORGE</t>
  </si>
  <si>
    <t>PEAN, CARL</t>
  </si>
  <si>
    <t>ALLEN, HENRY</t>
  </si>
  <si>
    <t>PATTERSON, JOSEPH</t>
  </si>
  <si>
    <t>PATTON, CHARLES</t>
  </si>
  <si>
    <t>LOHANI, GOVINDA</t>
  </si>
  <si>
    <t>CUMMINS, JOE</t>
  </si>
  <si>
    <t>POPE, DUSTIN</t>
  </si>
  <si>
    <t>PUCHAEV, MICHAEL</t>
  </si>
  <si>
    <t>TOWNSEND, WANDA</t>
  </si>
  <si>
    <t>DIAZ, KYLE</t>
  </si>
  <si>
    <t>MOUGHRABIEH, MOHAMAD</t>
  </si>
  <si>
    <t>LAMBERT, KENNETH</t>
  </si>
  <si>
    <t>REYNOLDS, KAREN</t>
  </si>
  <si>
    <t>HUDDLESTON, FELICIA</t>
  </si>
  <si>
    <t>EZELL, SHARON</t>
  </si>
  <si>
    <t>METCALF, CHRISTINA</t>
  </si>
  <si>
    <t>SMART, GREG</t>
  </si>
  <si>
    <t>ARNOLD, GRIFFIN</t>
  </si>
  <si>
    <t>MOHAN, KAMAL</t>
  </si>
  <si>
    <t>ALLMON, JOAN</t>
  </si>
  <si>
    <t>LAWRENCE, LARRY</t>
  </si>
  <si>
    <t>ADAMS, BARBARA</t>
  </si>
  <si>
    <t>LEWIS, JOHN</t>
  </si>
  <si>
    <t>ISELY, WILLIAM</t>
  </si>
  <si>
    <t>PAYNE, DANIEL</t>
  </si>
  <si>
    <t>NICHOLS, CYNTHIA</t>
  </si>
  <si>
    <t>PHILLIPS, JAMES</t>
  </si>
  <si>
    <t>MASSEY, CECIL</t>
  </si>
  <si>
    <t>BRADLEY, STANLEY</t>
  </si>
  <si>
    <t>GEORGE, LADONNA</t>
  </si>
  <si>
    <t>SHARP, JAN</t>
  </si>
  <si>
    <t>TEACH, GUY</t>
  </si>
  <si>
    <t>CARFAGNO, JEFFREY</t>
  </si>
  <si>
    <t>AVILA, REUBEN</t>
  </si>
  <si>
    <t>DIAMOND, KEVIN</t>
  </si>
  <si>
    <t>GUTHREY, BRANDI</t>
  </si>
  <si>
    <t>COOMBS, EMILY</t>
  </si>
  <si>
    <t>DIRST-ROBERTS, MELISSA</t>
  </si>
  <si>
    <t>AGESILAS, MARIELIE</t>
  </si>
  <si>
    <t>DANIEL, MARY</t>
  </si>
  <si>
    <t>GLIDEWELL, LEANNE</t>
  </si>
  <si>
    <t>FARRIS, QUANESHIA</t>
  </si>
  <si>
    <t>OGLE, JENNIFER</t>
  </si>
  <si>
    <t>JACKSON, CYNTHIA</t>
  </si>
  <si>
    <t>HILL, LASHOND</t>
  </si>
  <si>
    <t>SMITH, JENNIFER</t>
  </si>
  <si>
    <t>WILCOX, SARA</t>
  </si>
  <si>
    <t>CARVER, KAREN</t>
  </si>
  <si>
    <t>ROBINS, JENNIFER</t>
  </si>
  <si>
    <t>ODOR, LANISSA</t>
  </si>
  <si>
    <t>JENNINGS, HOLLY</t>
  </si>
  <si>
    <t>SCHEMEL, LAWRENCE</t>
  </si>
  <si>
    <t>ANDERSON, MARY</t>
  </si>
  <si>
    <t>MOGBO, SOLOMON</t>
  </si>
  <si>
    <t>SMITH, PAUL</t>
  </si>
  <si>
    <t>NASH, CLAYTON</t>
  </si>
  <si>
    <t>RINDERLE, THERESA</t>
  </si>
  <si>
    <t>DUBOIS, TONYA</t>
  </si>
  <si>
    <t>PIERCE, TRENT</t>
  </si>
  <si>
    <t>DUNN, JAMES</t>
  </si>
  <si>
    <t>GOEWEY, STEPHEN</t>
  </si>
  <si>
    <t>SEWELL, LESLIE</t>
  </si>
  <si>
    <t>SIEGEL, JEROME</t>
  </si>
  <si>
    <t>SPRINGER, DAN</t>
  </si>
  <si>
    <t>VILLANUEVA, RANDY</t>
  </si>
  <si>
    <t>MILLER, SHAWN</t>
  </si>
  <si>
    <t>KELLEY, MANUEL</t>
  </si>
  <si>
    <t>HENRIKSEN, JOHN</t>
  </si>
  <si>
    <t>WILLIAMS, ROBIN</t>
  </si>
  <si>
    <t>SHERRELL, FERN</t>
  </si>
  <si>
    <t>JACKSON, MATTHEW</t>
  </si>
  <si>
    <t>SIDDIQUI, NAVID</t>
  </si>
  <si>
    <t>WHITE, JONATHAN</t>
  </si>
  <si>
    <t>QAYYUM, TAHIR</t>
  </si>
  <si>
    <t>HERBERT, LILY</t>
  </si>
  <si>
    <t>MILLER, NAOMI</t>
  </si>
  <si>
    <t>FLOYD, JERRY</t>
  </si>
  <si>
    <t>PIERCE, PATRICIA</t>
  </si>
  <si>
    <t>MADGULA, SRIDHAR REDDY</t>
  </si>
  <si>
    <t>MORTON, AMY</t>
  </si>
  <si>
    <t>BIERMAN, HAYLEY</t>
  </si>
  <si>
    <t>JAMAL, NAZNIN</t>
  </si>
  <si>
    <t>AUNG, THAN</t>
  </si>
  <si>
    <t>ELLIS, APRIL</t>
  </si>
  <si>
    <t>CHAFFIN, RAINES</t>
  </si>
  <si>
    <t>KERR, ROBIN</t>
  </si>
  <si>
    <t>GOWEN, NICHOLAS</t>
  </si>
  <si>
    <t>WILKERSON, JAMES</t>
  </si>
  <si>
    <t>THORNTON, KIMBERLY</t>
  </si>
  <si>
    <t>DAVIS, CHRISTOPHER</t>
  </si>
  <si>
    <t>LE, KENNY</t>
  </si>
  <si>
    <t>PRUITT, BROOKE</t>
  </si>
  <si>
    <t>LITTLETON, ANNA</t>
  </si>
  <si>
    <t>FULMER, JAMES</t>
  </si>
  <si>
    <t>THRIFT, KAREN</t>
  </si>
  <si>
    <t>THURMAN, AMY</t>
  </si>
  <si>
    <t>STEVENS, JOHNNY</t>
  </si>
  <si>
    <t>JACKSON, AMELIA</t>
  </si>
  <si>
    <t>SWEARENGEN, KORI</t>
  </si>
  <si>
    <t>STEPHENS, RYAN</t>
  </si>
  <si>
    <t>TETIRICK, JENNIFER</t>
  </si>
  <si>
    <t>SWIFT, ELIZABETH</t>
  </si>
  <si>
    <t>RICHTER, JON</t>
  </si>
  <si>
    <t>SMITH, PATRICK</t>
  </si>
  <si>
    <t>PIERCE, ANDREW</t>
  </si>
  <si>
    <t>SHARMA, ACHIN</t>
  </si>
  <si>
    <t>CRANFILL, GENERAL</t>
  </si>
  <si>
    <t>CLARK, JULIE</t>
  </si>
  <si>
    <t>CLAY, DAVID</t>
  </si>
  <si>
    <t>LOCOCO, VINCENT</t>
  </si>
  <si>
    <t>WILLIAMS, GARY</t>
  </si>
  <si>
    <t>MIDDLETON, TONI</t>
  </si>
  <si>
    <t>GILLESPIE, J</t>
  </si>
  <si>
    <t>JACKSON, ANNA</t>
  </si>
  <si>
    <t>WARNER, PETER</t>
  </si>
  <si>
    <t>REKUS, BRIAN</t>
  </si>
  <si>
    <t>MIGHELL, SCOTT</t>
  </si>
  <si>
    <t>MORGAN, MEGAN</t>
  </si>
  <si>
    <t>TREJO, DANIEL</t>
  </si>
  <si>
    <t>WILSON, JAMES</t>
  </si>
  <si>
    <t>KOSINSKI, TERRY</t>
  </si>
  <si>
    <t>GOLDEN, STEPHEN</t>
  </si>
  <si>
    <t>WILSON, MICHAEL</t>
  </si>
  <si>
    <t>WRIGHT, NATHAN</t>
  </si>
  <si>
    <t>PETURSSON, LISA</t>
  </si>
  <si>
    <t>DIAZ-THOMAS, ALICIA</t>
  </si>
  <si>
    <t>BERRY, MICHAEL</t>
  </si>
  <si>
    <t>JACKSON, AUDRA</t>
  </si>
  <si>
    <t>VILLIGER, MICHEL</t>
  </si>
  <si>
    <t>ZENGOTITA, JAIME</t>
  </si>
  <si>
    <t>HUMBARD, STEPHEN</t>
  </si>
  <si>
    <t>PEDDI, PRAKASH</t>
  </si>
  <si>
    <t>HAROON, FARAHNAZ</t>
  </si>
  <si>
    <t>TOWNSEND, MONICA</t>
  </si>
  <si>
    <t>WELCHER, CANDACE</t>
  </si>
  <si>
    <t>MCCOY, ELISHA</t>
  </si>
  <si>
    <t>JOHNSON, STEVEN</t>
  </si>
  <si>
    <t>GILLUM, LINDSEY</t>
  </si>
  <si>
    <t>MOORE, JEFFERSON</t>
  </si>
  <si>
    <t>KITSON, MICHELLE</t>
  </si>
  <si>
    <t>HARDIN, KELLY</t>
  </si>
  <si>
    <t>WELLS, CARIE</t>
  </si>
  <si>
    <t>SIMON, KINDLE</t>
  </si>
  <si>
    <t>MCKEE, WILLIAM</t>
  </si>
  <si>
    <t>WIJEWARDANE, PRIYANTHA</t>
  </si>
  <si>
    <t>SHELTON, VIRGINIA</t>
  </si>
  <si>
    <t>ROBERTS, FRANKLIN</t>
  </si>
  <si>
    <t>HAGAMAN, MICHAEL</t>
  </si>
  <si>
    <t>ADAMS, CECILIA</t>
  </si>
  <si>
    <t>DAVIS, R</t>
  </si>
  <si>
    <t>PALMER, APRIL</t>
  </si>
  <si>
    <t>AKIN, GORDON</t>
  </si>
  <si>
    <t>CARTER, INGE</t>
  </si>
  <si>
    <t>BEACHY, ALLEN</t>
  </si>
  <si>
    <t>SAIN, MARY</t>
  </si>
  <si>
    <t>BECK, DAVID</t>
  </si>
  <si>
    <t>MAGLOTHIN, DOUGLAS</t>
  </si>
  <si>
    <t>BLANCHARD, PIERRE</t>
  </si>
  <si>
    <t>WEI, JEANNE</t>
  </si>
  <si>
    <t>BROOKS, LAI</t>
  </si>
  <si>
    <t>VALLURUPALLI, SRIKANTH</t>
  </si>
  <si>
    <t>IRIZARRY, CARLOS</t>
  </si>
  <si>
    <t>SMITH, JOHNNY</t>
  </si>
  <si>
    <t>WHITING, TOM</t>
  </si>
  <si>
    <t>DYER, MARK</t>
  </si>
  <si>
    <t>MILLIGAN, JASON</t>
  </si>
  <si>
    <t>BOWMAN, JOHN</t>
  </si>
  <si>
    <t>SHEGOG, MIRANDA</t>
  </si>
  <si>
    <t>CROW, MARY</t>
  </si>
  <si>
    <t>COOKE, SAMUEL</t>
  </si>
  <si>
    <t>CAZANO, CALIXTO</t>
  </si>
  <si>
    <t>TOLLESON, SARAH</t>
  </si>
  <si>
    <t>SNYDER, KATE</t>
  </si>
  <si>
    <t>COTTON, KYLE</t>
  </si>
  <si>
    <t>HOLTE, DIANA</t>
  </si>
  <si>
    <t>WALLING, TRAVIS</t>
  </si>
  <si>
    <t>LARSON, BROOKE</t>
  </si>
  <si>
    <t>DENZIN, TESSA</t>
  </si>
  <si>
    <t>STANLEY, ROBERT</t>
  </si>
  <si>
    <t>SULLIVAN, ANNE</t>
  </si>
  <si>
    <t>WYRICK, SCOTT</t>
  </si>
  <si>
    <t>CASTELLAW, MARK</t>
  </si>
  <si>
    <t>DONLEY, DEANNA</t>
  </si>
  <si>
    <t>FORTENBERRY, DEWITT</t>
  </si>
  <si>
    <t>WENER, STEVEN</t>
  </si>
  <si>
    <t>SHERWOOD, CHAD</t>
  </si>
  <si>
    <t>HORAN, MARK</t>
  </si>
  <si>
    <t>LAWSON, NICOLE</t>
  </si>
  <si>
    <t>ALLEN, KRISTI</t>
  </si>
  <si>
    <t>GRAVES, BLANE</t>
  </si>
  <si>
    <t>MULLINS, CALVIN</t>
  </si>
  <si>
    <t>BALKE, SUSAN</t>
  </si>
  <si>
    <t>MARANTO, WILLIAM</t>
  </si>
  <si>
    <t>YOUNG, MICHAEL</t>
  </si>
  <si>
    <t>STEWART, WILLIAM</t>
  </si>
  <si>
    <t>HANNON, MARTIN</t>
  </si>
  <si>
    <t>STRASBERG, GARY</t>
  </si>
  <si>
    <t>JONES, CHARLES</t>
  </si>
  <si>
    <t>SHELTON, MICHELLE</t>
  </si>
  <si>
    <t>DAUGHERTY, JOHN</t>
  </si>
  <si>
    <t>SMITH, DANIEL</t>
  </si>
  <si>
    <t>VINES, TROY</t>
  </si>
  <si>
    <t>BECHTOL, ZACHARY</t>
  </si>
  <si>
    <t>VERSER, MICHAEL</t>
  </si>
  <si>
    <t>BURCHFIELD, SAMUEL</t>
  </si>
  <si>
    <t>RIGGS, ANN</t>
  </si>
  <si>
    <t>KRAVITZ, KIRSTEN</t>
  </si>
  <si>
    <t>RODA, FERDINAND</t>
  </si>
  <si>
    <t>COBB, JOEL</t>
  </si>
  <si>
    <t>TAYLOR, NIKKI</t>
  </si>
  <si>
    <t>PEYTON, SHAWN</t>
  </si>
  <si>
    <t>SMITH, CHARLES</t>
  </si>
  <si>
    <t>URBAN, JOHN</t>
  </si>
  <si>
    <t>RAMSAY, LAWRENCE</t>
  </si>
  <si>
    <t>REEVES, CAROLYN</t>
  </si>
  <si>
    <t>SHARMA, SMRITI</t>
  </si>
  <si>
    <t>VAUGHN, MARK</t>
  </si>
  <si>
    <t>KORNEGAY, SHELLIA</t>
  </si>
  <si>
    <t>ZHENG, BEI</t>
  </si>
  <si>
    <t>RUSSELL, CAROL</t>
  </si>
  <si>
    <t>BAIG, RUBINA</t>
  </si>
  <si>
    <t>SAMANT, ROOPA</t>
  </si>
  <si>
    <t>SITTNICK, STEPHEN</t>
  </si>
  <si>
    <t>HOWARD, SCOTT</t>
  </si>
  <si>
    <t>BEUMELER, BRITNEY</t>
  </si>
  <si>
    <t>JACOBY, VICTORIA</t>
  </si>
  <si>
    <t>RANEY, LAUREN</t>
  </si>
  <si>
    <t>ANDERSON, SARAH</t>
  </si>
  <si>
    <t>WOOD, JESSICA</t>
  </si>
  <si>
    <t>ALUMBAUGH, MELISSA</t>
  </si>
  <si>
    <t>TON, ARIEL</t>
  </si>
  <si>
    <t>WELLS, TINA</t>
  </si>
  <si>
    <t>WILSON, KRISTY</t>
  </si>
  <si>
    <t>WOODS, CAROLYN</t>
  </si>
  <si>
    <t>STELL, GERALD</t>
  </si>
  <si>
    <t>FOLTZ, STEVEN</t>
  </si>
  <si>
    <t>LEWIS, ALLEN</t>
  </si>
  <si>
    <t>COVAS, EVE</t>
  </si>
  <si>
    <t>JUSTUS, MICHAEL</t>
  </si>
  <si>
    <t>POTTS, JANELLE</t>
  </si>
  <si>
    <t>VICE, MARK</t>
  </si>
  <si>
    <t>HAMID, ZULEKHA</t>
  </si>
  <si>
    <t>REEP, HEATH</t>
  </si>
  <si>
    <t>FINKE, CARRIE</t>
  </si>
  <si>
    <t>SIMMONS, TIMOTHY</t>
  </si>
  <si>
    <t>SAMUEL, SANGEETH</t>
  </si>
  <si>
    <t>PIERCE, JENNIE</t>
  </si>
  <si>
    <t>EARLY, JACQUOLYN</t>
  </si>
  <si>
    <t>CAGLE, ROGER</t>
  </si>
  <si>
    <t>SIMON, REBECCA</t>
  </si>
  <si>
    <t>COBB, KIMBERLY</t>
  </si>
  <si>
    <t>CRUMP, BRANDY</t>
  </si>
  <si>
    <t>ALFORD, TERRI</t>
  </si>
  <si>
    <t>SCHOLZE, POLLY</t>
  </si>
  <si>
    <t>MEANS, NAN</t>
  </si>
  <si>
    <t>LANGEL, DOROTHY</t>
  </si>
  <si>
    <t>MERRIGAN, MEGAN</t>
  </si>
  <si>
    <t>HILTON, MARY</t>
  </si>
  <si>
    <t>HENDERSON, JENNIFER</t>
  </si>
  <si>
    <t>DRAGGS, RITA</t>
  </si>
  <si>
    <t>STRODE, MANDI</t>
  </si>
  <si>
    <t>PIGHEE, DEMETRIUS</t>
  </si>
  <si>
    <t>SHEPHERD, JESSICA</t>
  </si>
  <si>
    <t>FOWLER, MARK</t>
  </si>
  <si>
    <t>TURNER, WILLIAM</t>
  </si>
  <si>
    <t>LAMB, TRENT</t>
  </si>
  <si>
    <t>VALENTIN-STONE, PAUL</t>
  </si>
  <si>
    <t>MARTIN, DEBORAH</t>
  </si>
  <si>
    <t>NACCARATO, FREDRICK</t>
  </si>
  <si>
    <t>KABRA, RAJESH</t>
  </si>
  <si>
    <t>WADDELL, DAVID</t>
  </si>
  <si>
    <t>KANNOUT, FAREED</t>
  </si>
  <si>
    <t>COLLINS, RITA</t>
  </si>
  <si>
    <t>ADEBANJO, OLUGBENGA</t>
  </si>
  <si>
    <t>WEEDEN, DANIEL</t>
  </si>
  <si>
    <t>ARMSTRONG, STACY</t>
  </si>
  <si>
    <t>JACKSON, KEVIN</t>
  </si>
  <si>
    <t>DEYOUNG, BRUCE</t>
  </si>
  <si>
    <t>CAMPBELL, GERALDINE</t>
  </si>
  <si>
    <t>WHITE, EDWARD</t>
  </si>
  <si>
    <t>PRICE, ALBERT</t>
  </si>
  <si>
    <t>SHEPHERD, SAMANTHA</t>
  </si>
  <si>
    <t>GAMBILL, MARIBETH</t>
  </si>
  <si>
    <t>ROBINSON, JANA</t>
  </si>
  <si>
    <t>KYLES, TRACYE</t>
  </si>
  <si>
    <t>KITCHINGS, STEVEN</t>
  </si>
  <si>
    <t>BRAND, JOHN</t>
  </si>
  <si>
    <t>SHABNAM, SABERA</t>
  </si>
  <si>
    <t>MAHARJAN, NAJINDRA</t>
  </si>
  <si>
    <t>AVENT, BARRY</t>
  </si>
  <si>
    <t>HAILEY, PATRICIA</t>
  </si>
  <si>
    <t>SMITH, HEATHER</t>
  </si>
  <si>
    <t>PAULS, RHONDA</t>
  </si>
  <si>
    <t>HILBUN, JEFFREY</t>
  </si>
  <si>
    <t>GANGA, VYJAYANTHI</t>
  </si>
  <si>
    <t>JOHNSON, LEE</t>
  </si>
  <si>
    <t>ROBINSON, DIXIE</t>
  </si>
  <si>
    <t>GURLEY, KATHERINE</t>
  </si>
  <si>
    <t>O'GUINN-CHARLES, JO</t>
  </si>
  <si>
    <t>DODD, ANGELA</t>
  </si>
  <si>
    <t>JOHNSON, JENNIFER</t>
  </si>
  <si>
    <t>BOHLEN, MANDI</t>
  </si>
  <si>
    <t>ENGLISH, PAUL</t>
  </si>
  <si>
    <t>STILLS, DAVID</t>
  </si>
  <si>
    <t>NEAL, MICHELE</t>
  </si>
  <si>
    <t>RANGASWAMI, BHARATHI</t>
  </si>
  <si>
    <t>RITCHIE, ROBERT</t>
  </si>
  <si>
    <t>EWING, DONALD</t>
  </si>
  <si>
    <t>SHERIDAN, JAMES</t>
  </si>
  <si>
    <t>LAWRENCE, BILL</t>
  </si>
  <si>
    <t>CRESS, FAWN</t>
  </si>
  <si>
    <t>JONES, BRADLEY</t>
  </si>
  <si>
    <t>RANKIN, JOSHUA</t>
  </si>
  <si>
    <t>HEREDIA, MANUEL</t>
  </si>
  <si>
    <t>SPENCER, STEVEN</t>
  </si>
  <si>
    <t>SMITH, DAVID</t>
  </si>
  <si>
    <t>PANIAGUA TORRES, CARMEN</t>
  </si>
  <si>
    <t>MORRISON, ROBERT</t>
  </si>
  <si>
    <t>KULPEKSA, JOSEPH</t>
  </si>
  <si>
    <t>ABISEID, JOSE</t>
  </si>
  <si>
    <t>BROOKS, HOMER</t>
  </si>
  <si>
    <t>BRAVO, ERIC</t>
  </si>
  <si>
    <t>RHODES, MICHELE</t>
  </si>
  <si>
    <t>JACKSON, CHAROLETTE</t>
  </si>
  <si>
    <t>VELEZ, DEBRA</t>
  </si>
  <si>
    <t>XU, YANG</t>
  </si>
  <si>
    <t>GRABER, STACI</t>
  </si>
  <si>
    <t>LOUVRING, SOREN</t>
  </si>
  <si>
    <t>BHATTARAI, JUNU</t>
  </si>
  <si>
    <t>PERAM, INDEEVAR</t>
  </si>
  <si>
    <t>HITES, BETH</t>
  </si>
  <si>
    <t>ALLEN, JON</t>
  </si>
  <si>
    <t>JOWERS, ALLISON</t>
  </si>
  <si>
    <t>TACKETT, JOAN</t>
  </si>
  <si>
    <t>NEWCOMB, BRIANA</t>
  </si>
  <si>
    <t>DUTCHOVER, MARY</t>
  </si>
  <si>
    <t>DOUGLAS, MONTE</t>
  </si>
  <si>
    <t>SHEEHAN, DEBORAH</t>
  </si>
  <si>
    <t>SARGENT, PAULA</t>
  </si>
  <si>
    <t>TOMPKINS, GEORGE</t>
  </si>
  <si>
    <t>GRAY, IROL</t>
  </si>
  <si>
    <t>HENDERSON, KRISTI</t>
  </si>
  <si>
    <t>MUELLER, CRAIG</t>
  </si>
  <si>
    <t>BRASWELL, THOMAS</t>
  </si>
  <si>
    <t>THOMPSON, JAMES</t>
  </si>
  <si>
    <t>BRANCH, HAROLD</t>
  </si>
  <si>
    <t>HOOVER, ROBERT</t>
  </si>
  <si>
    <t>ADKINS, JOHNNY</t>
  </si>
  <si>
    <t>COTNER, JAMES</t>
  </si>
  <si>
    <t>NAYLES, LEE</t>
  </si>
  <si>
    <t>HARPER, DONNA</t>
  </si>
  <si>
    <t>HENDERSON, REINO</t>
  </si>
  <si>
    <t>GASTON, CALEB</t>
  </si>
  <si>
    <t>BOZEMAN, JIMMY</t>
  </si>
  <si>
    <t>AKINS, DERENE</t>
  </si>
  <si>
    <t>WALKER, KRISTY</t>
  </si>
  <si>
    <t>CARLSON, CHESTER</t>
  </si>
  <si>
    <t>JOSHUA, JABBAR</t>
  </si>
  <si>
    <t>CHOWDHARY, YASHWANT</t>
  </si>
  <si>
    <t>ANDREWS, BENJAMIN</t>
  </si>
  <si>
    <t>NIX, CARLA</t>
  </si>
  <si>
    <t>EMEREUWAONU, IKECHUKWU</t>
  </si>
  <si>
    <t>MAYFIELD, LAURA</t>
  </si>
  <si>
    <t>SIMMONS, JENNY</t>
  </si>
  <si>
    <t>THOMAS, ERIC</t>
  </si>
  <si>
    <t>BORGMAN, GENA</t>
  </si>
  <si>
    <t>BRYANT, BLAKE</t>
  </si>
  <si>
    <t>NALE, DEBORAH</t>
  </si>
  <si>
    <t>STRICKLIN, JEFFREY</t>
  </si>
  <si>
    <t>KAZERY, MINDY</t>
  </si>
  <si>
    <t>CARNAHAN, WALTER</t>
  </si>
  <si>
    <t>MASSEY, LAURA</t>
  </si>
  <si>
    <t>THOMAS, JEFFORY</t>
  </si>
  <si>
    <t>ELETHORP, PATRICIA</t>
  </si>
  <si>
    <t>DIXON, RODNEY</t>
  </si>
  <si>
    <t>JONES, AIDA</t>
  </si>
  <si>
    <t>FELTON, DANIEL</t>
  </si>
  <si>
    <t>MCGOWAN, BLAKE</t>
  </si>
  <si>
    <t>ELDERS, JOHN</t>
  </si>
  <si>
    <t>HEARYMAN, MARTY</t>
  </si>
  <si>
    <t>WILLIAMS, DAVID</t>
  </si>
  <si>
    <t>MELIN, RICHARD</t>
  </si>
  <si>
    <t>SMITH, MARK</t>
  </si>
  <si>
    <t>MILLS, GLENN</t>
  </si>
  <si>
    <t>LU, JAMES</t>
  </si>
  <si>
    <t>HASTINGS, MARGARET</t>
  </si>
  <si>
    <t>PALCZYNSKI, KAROL</t>
  </si>
  <si>
    <t>WADE, DEBBIE</t>
  </si>
  <si>
    <t>PARKER, L</t>
  </si>
  <si>
    <t>PIEDISCALZI, NICHOLAS</t>
  </si>
  <si>
    <t>BAILEY, LAMAR</t>
  </si>
  <si>
    <t>LEWIS, REBECCA</t>
  </si>
  <si>
    <t>KAHN, NANCY</t>
  </si>
  <si>
    <t>MILLER, CRAIG</t>
  </si>
  <si>
    <t>BURCH, MARY</t>
  </si>
  <si>
    <t>SESSIONS, JERRY</t>
  </si>
  <si>
    <t>DAVIS, CYNTHIA</t>
  </si>
  <si>
    <t>MILLER, LOGAN</t>
  </si>
  <si>
    <t>MALIK, MOHAMMAD</t>
  </si>
  <si>
    <t>GUERRANT, RICHARD</t>
  </si>
  <si>
    <t>NAVARRO, JENNY</t>
  </si>
  <si>
    <t>ALAM, MANSOOR</t>
  </si>
  <si>
    <t>SCHAFER, LISA</t>
  </si>
  <si>
    <t>TROTTER, LAKIEVA</t>
  </si>
  <si>
    <t>READ, ANDREA</t>
  </si>
  <si>
    <t>FOSTER, ANGELA</t>
  </si>
  <si>
    <t>BROWN, MICHAEL</t>
  </si>
  <si>
    <t>PRICE, CAMMIE</t>
  </si>
  <si>
    <t>MARSHALL, TAYLOR</t>
  </si>
  <si>
    <t>TURNER, JAIME</t>
  </si>
  <si>
    <t>HUDDLESTON, ABIGAIL</t>
  </si>
  <si>
    <t>SANDEFUR, ERIN</t>
  </si>
  <si>
    <t>WASHINGTON, SECONDRIA</t>
  </si>
  <si>
    <t>PEOPLES, ARIANNE</t>
  </si>
  <si>
    <t>WEBB, MARCUS</t>
  </si>
  <si>
    <t>ANDERSON, TODD</t>
  </si>
  <si>
    <t>REED, WHITNEY</t>
  </si>
  <si>
    <t>COLPOYS, CAITLYNN</t>
  </si>
  <si>
    <t>SINGH, BALBIR</t>
  </si>
  <si>
    <t>FARO, TED</t>
  </si>
  <si>
    <t>OKELLEY, EDWARD</t>
  </si>
  <si>
    <t>ROGERSON, SUSAN</t>
  </si>
  <si>
    <t>SCHONEFELD, PAMELA</t>
  </si>
  <si>
    <t>BARDELL, CRAIG</t>
  </si>
  <si>
    <t>SLAY, LARRY</t>
  </si>
  <si>
    <t>EDWARDS, MARK</t>
  </si>
  <si>
    <t>BUCKLEY, DOUGLAS</t>
  </si>
  <si>
    <t>VO, THANH</t>
  </si>
  <si>
    <t>MCDONALD, JOAN</t>
  </si>
  <si>
    <t>MOTLEY, TODD</t>
  </si>
  <si>
    <t>MILLER, MARK</t>
  </si>
  <si>
    <t>NIX, MATTHEW</t>
  </si>
  <si>
    <t>CLARK, JONATHAN</t>
  </si>
  <si>
    <t>LE, HUAN</t>
  </si>
  <si>
    <t>ALLEN, DAVID</t>
  </si>
  <si>
    <t>WINSTON, SCOTT</t>
  </si>
  <si>
    <t>MAYFIELD, JEFFREY</t>
  </si>
  <si>
    <t>HARRIS, KENNETH</t>
  </si>
  <si>
    <t>SHAW, ROBERT</t>
  </si>
  <si>
    <t>BROWN, NATE</t>
  </si>
  <si>
    <t>HAYNES, WILLIAM</t>
  </si>
  <si>
    <t>BRIDGES, JANIECE</t>
  </si>
  <si>
    <t>STUCKEY, KIMBERLY</t>
  </si>
  <si>
    <t>VANCIL, TOBIAS</t>
  </si>
  <si>
    <t>MORGAN-DILDINE, COURTNEY</t>
  </si>
  <si>
    <t>GEORGE, LEKHA</t>
  </si>
  <si>
    <t>MCDONALD, STEVEN</t>
  </si>
  <si>
    <t>FLETCHER, KELLY</t>
  </si>
  <si>
    <t>HEFLIN, ANDREA</t>
  </si>
  <si>
    <t>STROUD, RUSSELL</t>
  </si>
  <si>
    <t>MCDONALD, BENJAMIN</t>
  </si>
  <si>
    <t>WILSON, TERENCE</t>
  </si>
  <si>
    <t>NASH, VUNKISHA</t>
  </si>
  <si>
    <t>KERR, KATIE</t>
  </si>
  <si>
    <t>ORTIZ, ERIN</t>
  </si>
  <si>
    <t>DONDETI, RAJA SEKHAR REDDY</t>
  </si>
  <si>
    <t>SCOTT, MARK</t>
  </si>
  <si>
    <t>DAVIS, JAMA</t>
  </si>
  <si>
    <t>BRANDON, MATTHEW</t>
  </si>
  <si>
    <t>BENDER, REBECCA</t>
  </si>
  <si>
    <t>KELLNER, NOMA</t>
  </si>
  <si>
    <t>DOSS, ALLISON</t>
  </si>
  <si>
    <t>POSEY, MICHAEL</t>
  </si>
  <si>
    <t>MALONE, PATRICK</t>
  </si>
  <si>
    <t>LONDON, CARLA</t>
  </si>
  <si>
    <t>OSBORNE, REBECCA</t>
  </si>
  <si>
    <t>MATTHEWS, JOSHUA</t>
  </si>
  <si>
    <t>OVERLOCK, TIMOTHY</t>
  </si>
  <si>
    <t>OVERBY, STEVEN</t>
  </si>
  <si>
    <t>NELSON, DAVID</t>
  </si>
  <si>
    <t>WADSWORTH, WILLIAM</t>
  </si>
  <si>
    <t>BROUILLETTE, BRUCE</t>
  </si>
  <si>
    <t>QUERBES, KARLA</t>
  </si>
  <si>
    <t>HODGES, JERRY</t>
  </si>
  <si>
    <t>SAUNDERS, JAMES</t>
  </si>
  <si>
    <t>AMISON, GAIL</t>
  </si>
  <si>
    <t>SUBRAMANIUM, ANANDARAJ</t>
  </si>
  <si>
    <t>HAWS, KARL</t>
  </si>
  <si>
    <t>NORTHWEST PHYSICIANS LLC</t>
  </si>
  <si>
    <t>EASTMAN, MICHAEL</t>
  </si>
  <si>
    <t>SHOTTS, JOSEPH</t>
  </si>
  <si>
    <t>HART, GWENDOLYN</t>
  </si>
  <si>
    <t>COVEY, JANET</t>
  </si>
  <si>
    <t>ALI, AHMED</t>
  </si>
  <si>
    <t>FORREST, STEVEN</t>
  </si>
  <si>
    <t>CARTER, KRISTEN</t>
  </si>
  <si>
    <t>HUETER, RYAN</t>
  </si>
  <si>
    <t>RADER, JANET</t>
  </si>
  <si>
    <t>MANTHE, MICHELLE</t>
  </si>
  <si>
    <t>BROWN, SARAH</t>
  </si>
  <si>
    <t>WOODS, KATHY</t>
  </si>
  <si>
    <t>SIDDAMREDDY, SUMAN</t>
  </si>
  <si>
    <t>BRANSON, SANDY</t>
  </si>
  <si>
    <t>SCROGGINS, BRENT</t>
  </si>
  <si>
    <t>DECLERK, GEORGE</t>
  </si>
  <si>
    <t>AL-DADAH, HALAH</t>
  </si>
  <si>
    <t>MEHR, SONAL</t>
  </si>
  <si>
    <t>BALTZ, BRIAN</t>
  </si>
  <si>
    <t>POE, LACEY</t>
  </si>
  <si>
    <t>MILLER, SUSAN</t>
  </si>
  <si>
    <t>RAJU, SAILAJA</t>
  </si>
  <si>
    <t>PIKE, DANIEL</t>
  </si>
  <si>
    <t>ALEXANDER, HARRIET</t>
  </si>
  <si>
    <t>YOUNG, JASON</t>
  </si>
  <si>
    <t>WILSON, JESALYN</t>
  </si>
  <si>
    <t>ENSOR, JAMES</t>
  </si>
  <si>
    <t>PINLAC, RENEE</t>
  </si>
  <si>
    <t>VU, TOLAN</t>
  </si>
  <si>
    <t>SHERWOOD, DANIEL</t>
  </si>
  <si>
    <t>TUCKER, ROBERT</t>
  </si>
  <si>
    <t>FULTON, CHERYL</t>
  </si>
  <si>
    <t>SIMS, JAN</t>
  </si>
  <si>
    <t>TILLEY, STEPHEN</t>
  </si>
  <si>
    <t>SULLIVAN, ARLENE</t>
  </si>
  <si>
    <t>JOHNSON, STEPHEN</t>
  </si>
  <si>
    <t>PALMER, WILLIAM</t>
  </si>
  <si>
    <t>WILLIS, WILLIAM</t>
  </si>
  <si>
    <t>GOODFRED, JENNIFER</t>
  </si>
  <si>
    <t>RATCLIFF, DAVID</t>
  </si>
  <si>
    <t>GRUBBS, DANNY</t>
  </si>
  <si>
    <t>SARKAR, PURNIMA</t>
  </si>
  <si>
    <t>MARTINDALE, MARK</t>
  </si>
  <si>
    <t>MILLIGAN, LYNDA</t>
  </si>
  <si>
    <t>WARD, TAMRA</t>
  </si>
  <si>
    <t>ROUSE, JOE</t>
  </si>
  <si>
    <t>BROWN, KIMBERLY</t>
  </si>
  <si>
    <t>SHIPLEY, DONNA</t>
  </si>
  <si>
    <t>JOHNSON, LARRY</t>
  </si>
  <si>
    <t>BEAVER, TERINELL</t>
  </si>
  <si>
    <t>BAKER, MICHAEL</t>
  </si>
  <si>
    <t>GRIFFIN, MONICA</t>
  </si>
  <si>
    <t>LAWLESS, KATHY</t>
  </si>
  <si>
    <t>CAMPBELL, PATRICK</t>
  </si>
  <si>
    <t>WYMAN, SHEILA</t>
  </si>
  <si>
    <t>SAPORITO, JACQUELINE</t>
  </si>
  <si>
    <t>COBB, JASON</t>
  </si>
  <si>
    <t>BROWN, CHRISTOPHER</t>
  </si>
  <si>
    <t>OAKES, LUTHER</t>
  </si>
  <si>
    <t>TRIMM-SCARBROUGH, RACHEL</t>
  </si>
  <si>
    <t>WILSON, BRANDYE</t>
  </si>
  <si>
    <t>HAWKINS, TAMMY</t>
  </si>
  <si>
    <t>KWO, AGNES</t>
  </si>
  <si>
    <t>CLOUSE, STACI</t>
  </si>
  <si>
    <t>IFEDIORA, NNAMDI</t>
  </si>
  <si>
    <t>MAX, ANITA</t>
  </si>
  <si>
    <t>EMERY, STARLA</t>
  </si>
  <si>
    <t>HAMPTON, TEMEKIS</t>
  </si>
  <si>
    <t>GREEN, EBONYE</t>
  </si>
  <si>
    <t>POUNDS, TONILE</t>
  </si>
  <si>
    <t>COX, KIRSTEN</t>
  </si>
  <si>
    <t>HILL, RHONDA</t>
  </si>
  <si>
    <t>SKELLEY, CHRISTOPHER</t>
  </si>
  <si>
    <t>HILL, HAROLD</t>
  </si>
  <si>
    <t>KEMP, MICHAEL</t>
  </si>
  <si>
    <t>SHIFFMAN, STEPHEN</t>
  </si>
  <si>
    <t>MAYS, OWITA</t>
  </si>
  <si>
    <t>HARTON, TIMOTHY</t>
  </si>
  <si>
    <t>STUBBLEFIELD, SANDRA</t>
  </si>
  <si>
    <t>HARTMAN, ANTOINETTE</t>
  </si>
  <si>
    <t>ROUDACHEVSKI, EVGUENI</t>
  </si>
  <si>
    <t>BIRD, MIRFAT</t>
  </si>
  <si>
    <t>MAY, JEFFERY</t>
  </si>
  <si>
    <t>DUNAWAY, JOSEPH</t>
  </si>
  <si>
    <t>JENKINS, GREGORY</t>
  </si>
  <si>
    <t>WARREN, JEFFERY</t>
  </si>
  <si>
    <t>SLADE, WHITNEY</t>
  </si>
  <si>
    <t>SUNEELA, GOTTUMUKKALA</t>
  </si>
  <si>
    <t>WHARTON, JOE</t>
  </si>
  <si>
    <t>BAKER, JAMES</t>
  </si>
  <si>
    <t>CARTAYA, DANIEL</t>
  </si>
  <si>
    <t>SAUER, KENNETH</t>
  </si>
  <si>
    <t>FAKOURI, JOSEPH</t>
  </si>
  <si>
    <t>BRIDGES, LEONARD</t>
  </si>
  <si>
    <t>WILKIN, TIMOTHEE</t>
  </si>
  <si>
    <t>WAGNER, DONNELLE</t>
  </si>
  <si>
    <t>HAMAUEI, SARAH</t>
  </si>
  <si>
    <t>MADDOX, BILL</t>
  </si>
  <si>
    <t>FALCK, AMY</t>
  </si>
  <si>
    <t>BRAZIEL, DIANA</t>
  </si>
  <si>
    <t>SCHER, BRETT</t>
  </si>
  <si>
    <t>PRIDDLE, AMY</t>
  </si>
  <si>
    <t>SMITH, ZECHARY</t>
  </si>
  <si>
    <t>HALL, LATRISHA</t>
  </si>
  <si>
    <t>SCOTT, JENNIFER</t>
  </si>
  <si>
    <t>VEACH, RACHEL</t>
  </si>
  <si>
    <t>MCGUINNESS, JOSEPH</t>
  </si>
  <si>
    <t>TROTTER, ANN</t>
  </si>
  <si>
    <t>PINKERTON, KAREN</t>
  </si>
  <si>
    <t>PONDER, JACOB</t>
  </si>
  <si>
    <t>PUCKETT, MELISSA</t>
  </si>
  <si>
    <t>RAHAL, NIDAL</t>
  </si>
  <si>
    <t>HIEGEL, KEVIN</t>
  </si>
  <si>
    <t>NETHERLAND, CLINTON</t>
  </si>
  <si>
    <t>MALLARD, GREGORY</t>
  </si>
  <si>
    <t>PURNELL, DENISE</t>
  </si>
  <si>
    <t>KENNEDY, CHARLOTTE</t>
  </si>
  <si>
    <t>KIRK, ELIZABETH</t>
  </si>
  <si>
    <t>HOLLAND, JAY</t>
  </si>
  <si>
    <t>HULETT, MELINDA</t>
  </si>
  <si>
    <t>WRIGHT, KENNETH</t>
  </si>
  <si>
    <t>SALMON, JAMES</t>
  </si>
  <si>
    <t>CARLOTA, LUPO</t>
  </si>
  <si>
    <t>PATTON, GEORGE</t>
  </si>
  <si>
    <t>KHAN, MOHAMMED</t>
  </si>
  <si>
    <t>HORD, MARION</t>
  </si>
  <si>
    <t>COSTELLO, TIMOTHY</t>
  </si>
  <si>
    <t>KRESSE, CYNTHIA</t>
  </si>
  <si>
    <t>BARKER, LISA</t>
  </si>
  <si>
    <t>GUNN-HILL, ERICKA</t>
  </si>
  <si>
    <t>CATHEY, JAMES</t>
  </si>
  <si>
    <t>SMITH, CHERYL</t>
  </si>
  <si>
    <t>NGUYEN, TRI</t>
  </si>
  <si>
    <t>ZAMAN, KAZI</t>
  </si>
  <si>
    <t>BEAL, LAUREN</t>
  </si>
  <si>
    <t>GARZA, EMILY</t>
  </si>
  <si>
    <t>WEAVER, MICHAEL</t>
  </si>
  <si>
    <t>QUINTANAR SMITH, IVAN</t>
  </si>
  <si>
    <t>HAZIN, HESHAM</t>
  </si>
  <si>
    <t>DYER, JONNA</t>
  </si>
  <si>
    <t>REESE, JERRAD</t>
  </si>
  <si>
    <t>SIFFORD, CAMMIE</t>
  </si>
  <si>
    <t>GEER, MARY</t>
  </si>
  <si>
    <t>WHITE, CHASE</t>
  </si>
  <si>
    <t>RAMBIN, BRANDY</t>
  </si>
  <si>
    <t>DELANEY, NICOLE</t>
  </si>
  <si>
    <t>GIBBONS, AMANDA</t>
  </si>
  <si>
    <t>MILES, DEBORAH</t>
  </si>
  <si>
    <t>GRAY, ADAM</t>
  </si>
  <si>
    <t>CARR, RUSSELL</t>
  </si>
  <si>
    <t>HEBBAR, PRABHAT</t>
  </si>
  <si>
    <t>JOSEPH, WILLIAM</t>
  </si>
  <si>
    <t>BROWN, ANN</t>
  </si>
  <si>
    <t>WOODALL, CHARLES</t>
  </si>
  <si>
    <t>JOHNSTON, KENNETH</t>
  </si>
  <si>
    <t>PARHAM, GORDON</t>
  </si>
  <si>
    <t>MARTIN, SUSAN</t>
  </si>
  <si>
    <t>WILLIAMS, NANCY</t>
  </si>
  <si>
    <t>LAWRENCE, GEORGE</t>
  </si>
  <si>
    <t>HICKS, YVETTE</t>
  </si>
  <si>
    <t>SESSIONS, LESLIE</t>
  </si>
  <si>
    <t>MCPHERSON, TIMOTHY</t>
  </si>
  <si>
    <t>SERENSON-UNGAR, DIANE</t>
  </si>
  <si>
    <t>CHAMBERS, FRANKLIN</t>
  </si>
  <si>
    <t>RUSSELL, RENEE</t>
  </si>
  <si>
    <t>WOLFE, ELVA</t>
  </si>
  <si>
    <t>AGAPOS, EMMANUEL</t>
  </si>
  <si>
    <t>MAPLES, KATHLEEN</t>
  </si>
  <si>
    <t>CUNNINGHAM, JERRY</t>
  </si>
  <si>
    <t>WILKERSON, ROBERT</t>
  </si>
  <si>
    <t>REYNOLDS, DEBORAH</t>
  </si>
  <si>
    <t>MATHUR, ASHISH</t>
  </si>
  <si>
    <t>SCHALCHLIN, CURTIS</t>
  </si>
  <si>
    <t>HA, QUYEN</t>
  </si>
  <si>
    <t>WILLS, CORINNE</t>
  </si>
  <si>
    <t>EMERSON, KIMBERLY</t>
  </si>
  <si>
    <t>GOODWIN, DANIEL</t>
  </si>
  <si>
    <t>HAMIC, CLIFTON</t>
  </si>
  <si>
    <t>YANS, SARAH</t>
  </si>
  <si>
    <t>SAMUEL, REBEKAH</t>
  </si>
  <si>
    <t>DOUANGKESONE, SILAKHONE</t>
  </si>
  <si>
    <t>GHANEFAR, SEYED MOHSEN</t>
  </si>
  <si>
    <t>ABUABDOU, AHMED</t>
  </si>
  <si>
    <t>CHURCHILL, JEANNE</t>
  </si>
  <si>
    <t>SPELLMANN, ALISA</t>
  </si>
  <si>
    <t>MUNN, CATHERINE</t>
  </si>
  <si>
    <t>SCHRINER, ELIZABETH</t>
  </si>
  <si>
    <t>ZIEHR, REBECCA</t>
  </si>
  <si>
    <t>HAERTLING, ERIC</t>
  </si>
  <si>
    <t>JUDKINS, HUNTER</t>
  </si>
  <si>
    <t>LEFLER, MARK</t>
  </si>
  <si>
    <t>ANDREWS-PIRTLE, VALENCIA</t>
  </si>
  <si>
    <t>MORRIS, JAMES</t>
  </si>
  <si>
    <t>HAYES, RICHARD</t>
  </si>
  <si>
    <t>SPENCE, SHANNA</t>
  </si>
  <si>
    <t>STILES, STEVEN</t>
  </si>
  <si>
    <t>MAY, JAMES</t>
  </si>
  <si>
    <t>LITSTER, PATRICK</t>
  </si>
  <si>
    <t>MCALISTER MANGIONE, ROBIN</t>
  </si>
  <si>
    <t>HILL, EDWARD</t>
  </si>
  <si>
    <t>WRIGHT, LARRY</t>
  </si>
  <si>
    <t>MORGAN, CHRISTOPHER</t>
  </si>
  <si>
    <t>FADDIS, LANCE</t>
  </si>
  <si>
    <t>PAYNE, MICHAEL</t>
  </si>
  <si>
    <t>WHITWELL, BRUCE</t>
  </si>
  <si>
    <t>BUTLER, CONNIE</t>
  </si>
  <si>
    <t>SPENCER, CLAY</t>
  </si>
  <si>
    <t>REAVES, CONNIE</t>
  </si>
  <si>
    <t>WILKINSON, JOSHUA</t>
  </si>
  <si>
    <t>SMITH, TAMMIE</t>
  </si>
  <si>
    <t>MOUNCE, PAMELA</t>
  </si>
  <si>
    <t>HUNT, TREYCE</t>
  </si>
  <si>
    <t>KEMP, JUSTIN</t>
  </si>
  <si>
    <t>STARK, SONYA</t>
  </si>
  <si>
    <t>VORHOFF, ANNETTE</t>
  </si>
  <si>
    <t>CHITSEY, AMANDA</t>
  </si>
  <si>
    <t>ROBERTS, WILLIAM</t>
  </si>
  <si>
    <t>DULOWSKI, WOJCIECH</t>
  </si>
  <si>
    <t>BOWLIN, RANDAL</t>
  </si>
  <si>
    <t>BRASHEARS, CLAY</t>
  </si>
  <si>
    <t>POTTER, TROY</t>
  </si>
  <si>
    <t>DANG, BAO</t>
  </si>
  <si>
    <t>SEILER-SMITH, SUSAN</t>
  </si>
  <si>
    <t>SCHULTZ, MARK</t>
  </si>
  <si>
    <t>GARRETT, DAVID</t>
  </si>
  <si>
    <t>DASS, SANJAY</t>
  </si>
  <si>
    <t>LYON, JACK</t>
  </si>
  <si>
    <t>WILSON, FRED</t>
  </si>
  <si>
    <t>ROBINSON, LLOYD</t>
  </si>
  <si>
    <t>GATH, ELIZABETH</t>
  </si>
  <si>
    <t>JAIN, DAVE</t>
  </si>
  <si>
    <t>FISH, ALYSON</t>
  </si>
  <si>
    <t>WEAVER, MICHELLE</t>
  </si>
  <si>
    <t>SOULTANOVA, IZOUMROUD</t>
  </si>
  <si>
    <t>CLARK, JOSHUA</t>
  </si>
  <si>
    <t>GRIFFIN, LEANNE</t>
  </si>
  <si>
    <t>SCHAUF, KYLE</t>
  </si>
  <si>
    <t>EDALA, ARPANA</t>
  </si>
  <si>
    <t>FAIR, BROOKE</t>
  </si>
  <si>
    <t>AGBAOSI, OLUWATOYIN</t>
  </si>
  <si>
    <t>HAYWARD, LINDSAY</t>
  </si>
  <si>
    <t>PHILLIPS, DANA</t>
  </si>
  <si>
    <t>KELLY, PEGGY</t>
  </si>
  <si>
    <t>COATS, CANDI</t>
  </si>
  <si>
    <t>GLOVER, HEATHER</t>
  </si>
  <si>
    <t>HUGHES, NECOLE</t>
  </si>
  <si>
    <t>BELL, JAMES</t>
  </si>
  <si>
    <t>HUTCHISON, HEATHER</t>
  </si>
  <si>
    <t>PARKER, JANA</t>
  </si>
  <si>
    <t>ROLLINS, LINDA</t>
  </si>
  <si>
    <t>KUMAR, SUDHIR</t>
  </si>
  <si>
    <t>TAYLOR ODONALD, JACQUELINE</t>
  </si>
  <si>
    <t>JOHNSON, EDDIE</t>
  </si>
  <si>
    <t>GRIFFITH, RICHARD</t>
  </si>
  <si>
    <t>BETTON, HAROLD</t>
  </si>
  <si>
    <t>POMYKALA, LORA</t>
  </si>
  <si>
    <t>GREEN, ROGER</t>
  </si>
  <si>
    <t>JANSEN, MARK</t>
  </si>
  <si>
    <t>FRUGE, LLOYD</t>
  </si>
  <si>
    <t>TATE, CYNTHIA</t>
  </si>
  <si>
    <t>GRAHAM, GLORIA</t>
  </si>
  <si>
    <t>TILLEY, ABSALOM</t>
  </si>
  <si>
    <t>KARIM, PARVEZ</t>
  </si>
  <si>
    <t>POWERS, CHARLES</t>
  </si>
  <si>
    <t>COHEN, SANDRA</t>
  </si>
  <si>
    <t>SMITH, RONALD</t>
  </si>
  <si>
    <t>HULSEY, MATTHEW</t>
  </si>
  <si>
    <t>NICHOLS, SCOTT</t>
  </si>
  <si>
    <t>BELL, DAN</t>
  </si>
  <si>
    <t>COBB, WILLIAM</t>
  </si>
  <si>
    <t>HAYNIE, RICHARD</t>
  </si>
  <si>
    <t>YATES, TERRENCE</t>
  </si>
  <si>
    <t>BREWER, JIM</t>
  </si>
  <si>
    <t>WATSON, ANGELA</t>
  </si>
  <si>
    <t>MILLS, AARON</t>
  </si>
  <si>
    <t>WASSEF, MAGDI</t>
  </si>
  <si>
    <t>SMEDLEY, BERNA</t>
  </si>
  <si>
    <t>MATHEWS, JILL</t>
  </si>
  <si>
    <t>HAMPTON, JEFFREY</t>
  </si>
  <si>
    <t>GRIFFIN, JOHN</t>
  </si>
  <si>
    <t>SUARES, ROBERT</t>
  </si>
  <si>
    <t>BROWN, SHAWN</t>
  </si>
  <si>
    <t>BRONISTE, JONATHAN</t>
  </si>
  <si>
    <t>SADIQ, BILAL</t>
  </si>
  <si>
    <t>SETH, ANKUR</t>
  </si>
  <si>
    <t>SYED, BEENA</t>
  </si>
  <si>
    <t>MITCHELL, AARON</t>
  </si>
  <si>
    <t>HORTON, KAREN</t>
  </si>
  <si>
    <t>ELLIS, HANNAH</t>
  </si>
  <si>
    <t>THAMMAVONG, MONIQUE</t>
  </si>
  <si>
    <t>STEWART, GINGER</t>
  </si>
  <si>
    <t>BAKUNAS, KATELYN</t>
  </si>
  <si>
    <t>ZEIGER, VICTORIA</t>
  </si>
  <si>
    <t>GALLOWAY, LINDSEY</t>
  </si>
  <si>
    <t>JORDAN, JESS</t>
  </si>
  <si>
    <t>GILL, ASHLEE</t>
  </si>
  <si>
    <t>RICHARDSON, KAREN</t>
  </si>
  <si>
    <t>NAQVI, HAIDER</t>
  </si>
  <si>
    <t>WALTON, ROBERT</t>
  </si>
  <si>
    <t>HENDERSON, GEORGE</t>
  </si>
  <si>
    <t>MAGRE, ANN-MARIE</t>
  </si>
  <si>
    <t>EASTEP, KEVIN</t>
  </si>
  <si>
    <t>JACKSON, JAMES</t>
  </si>
  <si>
    <t>DUGGER, JOSEPH</t>
  </si>
  <si>
    <t>JORDAN, JAMIE</t>
  </si>
  <si>
    <t>WAHEED, IMRAN</t>
  </si>
  <si>
    <t>FAIRLESS, DEBRA</t>
  </si>
  <si>
    <t>VER HALEN, ELAINE</t>
  </si>
  <si>
    <t>SPEAK, ELLEN</t>
  </si>
  <si>
    <t>FREGO, JONATHAN</t>
  </si>
  <si>
    <t>KURA, RAGHUVEER</t>
  </si>
  <si>
    <t>CHAMBLISS, JAMES</t>
  </si>
  <si>
    <t>ROBERSON, SARA</t>
  </si>
  <si>
    <t>CHALMERS, LINDSAY</t>
  </si>
  <si>
    <t>ACHANTA, LATHA</t>
  </si>
  <si>
    <t>COOK, DEBORAH</t>
  </si>
  <si>
    <t>NEUPANE, AASHISH</t>
  </si>
  <si>
    <t>WINFREY, AMANDA</t>
  </si>
  <si>
    <t>MCKINNEY, TERESA</t>
  </si>
  <si>
    <t>WATSON, JONATHAN</t>
  </si>
  <si>
    <t>OJELADE, OLUBUNMI</t>
  </si>
  <si>
    <t>COPELAND, NINA</t>
  </si>
  <si>
    <t>TOWNE, GERAL</t>
  </si>
  <si>
    <t>GOULDER, REGINA</t>
  </si>
  <si>
    <t>TURNER, TRENA</t>
  </si>
  <si>
    <t>PAINE, JOHNNY</t>
  </si>
  <si>
    <t>MAXWELL, RALPH</t>
  </si>
  <si>
    <t>ANGELO, MICHAEL</t>
  </si>
  <si>
    <t>SARNA, PAUL</t>
  </si>
  <si>
    <t>OVERTON-MCCOY, AMY</t>
  </si>
  <si>
    <t>HOUGH, KEITH</t>
  </si>
  <si>
    <t>COOPER, KEITH</t>
  </si>
  <si>
    <t>HALL, JAMES</t>
  </si>
  <si>
    <t>KAMO, ALKA</t>
  </si>
  <si>
    <t>HUMPHREYS, ROBERT</t>
  </si>
  <si>
    <t>HERRING, JOHN</t>
  </si>
  <si>
    <t>GERMAN, JEFFREY</t>
  </si>
  <si>
    <t>GEHRKI, GARY</t>
  </si>
  <si>
    <t>JOHNSON, JAMES</t>
  </si>
  <si>
    <t>MARTINDALE, CHRISTAL</t>
  </si>
  <si>
    <t>MATLOCK, DONNA</t>
  </si>
  <si>
    <t>CARLTON, RANDALL</t>
  </si>
  <si>
    <t>WESTBROOK, MICHAEL</t>
  </si>
  <si>
    <t>NARCISO, PHILIPP</t>
  </si>
  <si>
    <t>HECK, RICHARD</t>
  </si>
  <si>
    <t>KAMM, RICHARD</t>
  </si>
  <si>
    <t>BURLESON, STANLEY</t>
  </si>
  <si>
    <t>LAFFOON, SCOTT</t>
  </si>
  <si>
    <t>MARSHALL, DANIEL</t>
  </si>
  <si>
    <t>WEST, MARK</t>
  </si>
  <si>
    <t>COKER, LINDA</t>
  </si>
  <si>
    <t>PETRIDES, TRACEY</t>
  </si>
  <si>
    <t>RUDRAPPA, HARSHA</t>
  </si>
  <si>
    <t>PARDUE, MICHELLE</t>
  </si>
  <si>
    <t>JONES, JOSEPH</t>
  </si>
  <si>
    <t>ELLISON, CLAYTON</t>
  </si>
  <si>
    <t>SHAH, SHAHID</t>
  </si>
  <si>
    <t>HOLDER, KASEY</t>
  </si>
  <si>
    <t>KRALETI, SHASHANK</t>
  </si>
  <si>
    <t>FORD, DIANA</t>
  </si>
  <si>
    <t>EDWARDS, JEMECA</t>
  </si>
  <si>
    <t>MCNEW, GINA</t>
  </si>
  <si>
    <t>LAURENCE, GREGORY</t>
  </si>
  <si>
    <t>LANE, KARYN</t>
  </si>
  <si>
    <t>REEVES, BRENT</t>
  </si>
  <si>
    <t>COOPER, CHRISTOPHER</t>
  </si>
  <si>
    <t>PAGHDAL, DIGANTKUMAR</t>
  </si>
  <si>
    <t>LEE, MARK</t>
  </si>
  <si>
    <t>FOSTER, LETOSHIA</t>
  </si>
  <si>
    <t>HILL, GARY</t>
  </si>
  <si>
    <t>CUNNINGHAM, JESSICA</t>
  </si>
  <si>
    <t>LEVERETTE, ALICIA</t>
  </si>
  <si>
    <t>RADKEY, FRANCES</t>
  </si>
  <si>
    <t>DONNELL, ROBERT</t>
  </si>
  <si>
    <t>PROFFITT, DANNY</t>
  </si>
  <si>
    <t>MORSE, JAMES</t>
  </si>
  <si>
    <t>NEWCITY, MARSHALL</t>
  </si>
  <si>
    <t>FAITH, JENNIFER</t>
  </si>
  <si>
    <t>BERNARD, DOUGLAS</t>
  </si>
  <si>
    <t>NELSON, TYLER</t>
  </si>
  <si>
    <t>CAIN, THOMAS</t>
  </si>
  <si>
    <t>WEBB, DAN</t>
  </si>
  <si>
    <t>PAYNE, SHELLEY</t>
  </si>
  <si>
    <t>IRBY, CHERISE</t>
  </si>
  <si>
    <t>PHOMAKAY, VON</t>
  </si>
  <si>
    <t>SMITH, KATHLEEN</t>
  </si>
  <si>
    <t>HUNT, RANDALL</t>
  </si>
  <si>
    <t>TURNER, SAMMY</t>
  </si>
  <si>
    <t>WARRINGTON, JAMES</t>
  </si>
  <si>
    <t>BIRMINGHAM, BARBARA</t>
  </si>
  <si>
    <t>PHILLIPS, SUMER</t>
  </si>
  <si>
    <t>LANDRY, JAMES</t>
  </si>
  <si>
    <t>BUTLER, CLINT</t>
  </si>
  <si>
    <t>WARREN, TED</t>
  </si>
  <si>
    <t>TYNES, JOSEPH</t>
  </si>
  <si>
    <t>BISHOP, ROBERT</t>
  </si>
  <si>
    <t>DREWRY, WILLIAM</t>
  </si>
  <si>
    <t>KRAUS, GORDON</t>
  </si>
  <si>
    <t>RUDE, BRENDA</t>
  </si>
  <si>
    <t>BEINEMAN, TONYA</t>
  </si>
  <si>
    <t>RAWTANI, PALLAVI</t>
  </si>
  <si>
    <t>HENDERSON, DAVID</t>
  </si>
  <si>
    <t>HOLMES, AMELIA</t>
  </si>
  <si>
    <t>BONNETTE, VIRGINIA</t>
  </si>
  <si>
    <t>EDISON, RHONDA</t>
  </si>
  <si>
    <t>SMILEY, JOHN</t>
  </si>
  <si>
    <t>MCNAMARA, TIMOTHY</t>
  </si>
  <si>
    <t>SHAW, SACHA</t>
  </si>
  <si>
    <t>KHAN, MOHAMMAD</t>
  </si>
  <si>
    <t>DUFFEL, STEPHANIE</t>
  </si>
  <si>
    <t>HART, HEATHER</t>
  </si>
  <si>
    <t>FLUITT, GREGORY</t>
  </si>
  <si>
    <t>WALKER, RIKKI</t>
  </si>
  <si>
    <t>MAY, JOE</t>
  </si>
  <si>
    <t>GUILLORY, SARAH</t>
  </si>
  <si>
    <t>RAINEY, COLLINS</t>
  </si>
  <si>
    <t>STAFFORD, JESSE</t>
  </si>
  <si>
    <t>NAEEM, BILAL</t>
  </si>
  <si>
    <t>SAMUEL, GEORGE</t>
  </si>
  <si>
    <t>BICAK, AJDAHAN</t>
  </si>
  <si>
    <t>BLACKWOOD, DON</t>
  </si>
  <si>
    <t>TAYLOR, ROBERT</t>
  </si>
  <si>
    <t>TABB, LESLIE</t>
  </si>
  <si>
    <t>KING, DAVID</t>
  </si>
  <si>
    <t>SADLER, JERRY</t>
  </si>
  <si>
    <t>GIBSON, ROGER</t>
  </si>
  <si>
    <t>SMITH, JAY</t>
  </si>
  <si>
    <t>KUYKENDALL, SCOTT</t>
  </si>
  <si>
    <t>HULING, RANDALL</t>
  </si>
  <si>
    <t>ANDERSON, SCOTT</t>
  </si>
  <si>
    <t>KENT, WILLIAM</t>
  </si>
  <si>
    <t>LUCAS, SHAUNA</t>
  </si>
  <si>
    <t>BEARD, MICHAEL</t>
  </si>
  <si>
    <t>THRONEBERRY, JAMES</t>
  </si>
  <si>
    <t>MARTIN, ROBERT</t>
  </si>
  <si>
    <t>MODI, KALGI</t>
  </si>
  <si>
    <t>TEVEBAUGH, CHARLES</t>
  </si>
  <si>
    <t>DANIEL, AMY</t>
  </si>
  <si>
    <t>O'DEA, DOUGLAS</t>
  </si>
  <si>
    <t>HOSKINS, LULA</t>
  </si>
  <si>
    <t>SAYRE, JOHN</t>
  </si>
  <si>
    <t>WALKER, DEBRA</t>
  </si>
  <si>
    <t>BLANCHARD, STEVEN</t>
  </si>
  <si>
    <t>MARX, DOUGLAS</t>
  </si>
  <si>
    <t>CLARK, DOUGLAS</t>
  </si>
  <si>
    <t>CLARDY, BRYAN</t>
  </si>
  <si>
    <t>MCGANN, KEVIN</t>
  </si>
  <si>
    <t>KELLY, MARYALICE</t>
  </si>
  <si>
    <t>FRANKS, JAMES</t>
  </si>
  <si>
    <t>HARPER, CANDACE</t>
  </si>
  <si>
    <t>COWHERD, KRISTY</t>
  </si>
  <si>
    <t>WAHEED, ATIYA</t>
  </si>
  <si>
    <t>RAY, MARIO</t>
  </si>
  <si>
    <t>MARDIS, MARLAH</t>
  </si>
  <si>
    <t>TRAPHAGAN, CAROL</t>
  </si>
  <si>
    <t>STOEV, T</t>
  </si>
  <si>
    <t>LEE, JOAN</t>
  </si>
  <si>
    <t>ARCHER, GRAEME</t>
  </si>
  <si>
    <t>CORTEZ, LINDSAY</t>
  </si>
  <si>
    <t>MCGRATH, LESLYE</t>
  </si>
  <si>
    <t>HARDIN, THAD</t>
  </si>
  <si>
    <t>WILLIAMS, SARAH</t>
  </si>
  <si>
    <t>SOOD, AKSHAT</t>
  </si>
  <si>
    <t>BOLLINGER-FISHER, TRACY</t>
  </si>
  <si>
    <t>ADAMS, LESLIE</t>
  </si>
  <si>
    <t>RAINOSEK, DAVID</t>
  </si>
  <si>
    <t>MCDANIEL, LAKISHA</t>
  </si>
  <si>
    <t>HUNTSMAN, ASHLEIGH</t>
  </si>
  <si>
    <t>DREVE, AMANDA</t>
  </si>
  <si>
    <t>SPEARS, KATHERINE</t>
  </si>
  <si>
    <t>MILLER, DANE</t>
  </si>
  <si>
    <t>BRADBURY, SAVANNAH</t>
  </si>
  <si>
    <t>CARTER, DENNIS</t>
  </si>
  <si>
    <t>COATS, JOHN</t>
  </si>
  <si>
    <t>WOMACK, CATHERINE</t>
  </si>
  <si>
    <t>SITZES, DAVID</t>
  </si>
  <si>
    <t>HESTER, RICHARD</t>
  </si>
  <si>
    <t>SMITH, TAMRA</t>
  </si>
  <si>
    <t>BRIMBERRY, RONALD</t>
  </si>
  <si>
    <t>ROBERTS, KEVIN</t>
  </si>
  <si>
    <t>SMITH, ROBERT</t>
  </si>
  <si>
    <t>ROULIER, JULIA</t>
  </si>
  <si>
    <t>CHANLER, MICHAEL</t>
  </si>
  <si>
    <t>BAKER, ROBERT</t>
  </si>
  <si>
    <t>FEURTADO, MARGARET</t>
  </si>
  <si>
    <t>WILLIAMS, ROBERT</t>
  </si>
  <si>
    <t>DAVIS, PAMELA</t>
  </si>
  <si>
    <t>MCKENZIE, ANTRONETTE</t>
  </si>
  <si>
    <t>LANDRY, LAUREN</t>
  </si>
  <si>
    <t>JORDAN, CLAUDIA</t>
  </si>
  <si>
    <t>GLENN, STEPHEN</t>
  </si>
  <si>
    <t>KEEGAN, MARY</t>
  </si>
  <si>
    <t>BROWN, CHARLES</t>
  </si>
  <si>
    <t>HAWKINS, STEPHEN</t>
  </si>
  <si>
    <t>PATE, PAM</t>
  </si>
  <si>
    <t>CASWELL, JOHN</t>
  </si>
  <si>
    <t>WILBANKS, STACY</t>
  </si>
  <si>
    <t>PRUETT, KELLY</t>
  </si>
  <si>
    <t>NELSON, SCOTT</t>
  </si>
  <si>
    <t>TURNER, LEON</t>
  </si>
  <si>
    <t>POST, PETER</t>
  </si>
  <si>
    <t>STEELE, JOHNATHAN</t>
  </si>
  <si>
    <t>BRADY, BRIDGET</t>
  </si>
  <si>
    <t>LIU, WEN</t>
  </si>
  <si>
    <t>JOHEIM, JESSICA</t>
  </si>
  <si>
    <t>WILLIAMS, VICTORIA</t>
  </si>
  <si>
    <t>KASSIR, RENEE</t>
  </si>
  <si>
    <t>ZICKLER, SUSAN</t>
  </si>
  <si>
    <t>LOYD, TRACEY</t>
  </si>
  <si>
    <t>COUGHLIN, SHANE</t>
  </si>
  <si>
    <t>BEFELER, CARLEY</t>
  </si>
  <si>
    <t>SHEEN, ANNE</t>
  </si>
  <si>
    <t>JOHNSON, AMANDA</t>
  </si>
  <si>
    <t>BRYANT, KIMBERLY</t>
  </si>
  <si>
    <t>LIN, CHRISTINE</t>
  </si>
  <si>
    <t>BARR, MEREDITH</t>
  </si>
  <si>
    <t>SMITH, CLINTON</t>
  </si>
  <si>
    <t>COVEY, DAVID</t>
  </si>
  <si>
    <t>TURNEY, NATHAN</t>
  </si>
  <si>
    <t>JONES, NANCY</t>
  </si>
  <si>
    <t>ZINI, JAMES</t>
  </si>
  <si>
    <t>GRESHAM, EDWARD</t>
  </si>
  <si>
    <t>HAQUE, NASIR</t>
  </si>
  <si>
    <t>COLE, WILLIAM</t>
  </si>
  <si>
    <t>WOODALL, MELANIE</t>
  </si>
  <si>
    <t>HINKLE, RICHARD</t>
  </si>
  <si>
    <t>GREGORY, JO ANNE</t>
  </si>
  <si>
    <t>HOLDEN, JAMES</t>
  </si>
  <si>
    <t>DRAKE, SABRA</t>
  </si>
  <si>
    <t>HAGOOD, NOLAND</t>
  </si>
  <si>
    <t>KENDRICK, WILLIAM</t>
  </si>
  <si>
    <t>NASH, DANA</t>
  </si>
  <si>
    <t>HORSTMAN, CURTIS</t>
  </si>
  <si>
    <t>HESTER, ALLISON</t>
  </si>
  <si>
    <t>HALE, ARTHUR</t>
  </si>
  <si>
    <t>DIAMOND, RENE</t>
  </si>
  <si>
    <t>BRADSHAW, MARK</t>
  </si>
  <si>
    <t>TROTTA, HOLLY</t>
  </si>
  <si>
    <t>PANT, NICOLE</t>
  </si>
  <si>
    <t>WHITE, VALERIE</t>
  </si>
  <si>
    <t>TACKETT, JESSICA</t>
  </si>
  <si>
    <t>DOERHOFF, SHANNON</t>
  </si>
  <si>
    <t>RODRIGUEZ, VIRGINCITA</t>
  </si>
  <si>
    <t>O'HERN, LAURA</t>
  </si>
  <si>
    <t>NICHOLS, MARANDA</t>
  </si>
  <si>
    <t>BANKS, KATHY</t>
  </si>
  <si>
    <t>BLACK, NATALIE</t>
  </si>
  <si>
    <t>DUKE, JOHN</t>
  </si>
  <si>
    <t>ADKINS, KEVIN</t>
  </si>
  <si>
    <t>REESE, SONDRA</t>
  </si>
  <si>
    <t>NORRIS, WILTON</t>
  </si>
  <si>
    <t>SIMPSON, JOHN</t>
  </si>
  <si>
    <t>KIRKLAND, ALLAN</t>
  </si>
  <si>
    <t>BUFFALO, RYAN</t>
  </si>
  <si>
    <t>CARSON, RICKEY</t>
  </si>
  <si>
    <t>ENGBRETSON, JOHN</t>
  </si>
  <si>
    <t>WYCOFF, ROLLIN</t>
  </si>
  <si>
    <t>VLASAK, MARK</t>
  </si>
  <si>
    <t>ROWE, DANIEL</t>
  </si>
  <si>
    <t>ACKLIN, JIMMY</t>
  </si>
  <si>
    <t>MERRYMAN, DARON</t>
  </si>
  <si>
    <t>HOOD, CLEVELAND</t>
  </si>
  <si>
    <t>HAMPTON, JACQUELINE</t>
  </si>
  <si>
    <t>FALWELL, KEVIN</t>
  </si>
  <si>
    <t>AFSHAR, DAVID</t>
  </si>
  <si>
    <t>ZELLER, WILLIAM</t>
  </si>
  <si>
    <t>EVANS, RHONDA</t>
  </si>
  <si>
    <t>PHAM, THUYLINH</t>
  </si>
  <si>
    <t>WHITLOCK, PAMELA</t>
  </si>
  <si>
    <t>BAXTER, B.</t>
  </si>
  <si>
    <t>KOONE, MICHAEL</t>
  </si>
  <si>
    <t>ZHOU, FANG</t>
  </si>
  <si>
    <t>JOHNSON, GIL</t>
  </si>
  <si>
    <t>VORIS, JUSTIN</t>
  </si>
  <si>
    <t>SPITALE, JOY</t>
  </si>
  <si>
    <t>PIERRE, ROSEMAY</t>
  </si>
  <si>
    <t>COWARD, KIRK</t>
  </si>
  <si>
    <t>BICKFORD, AMANDA</t>
  </si>
  <si>
    <t>WILSON, AMANDA</t>
  </si>
  <si>
    <t>BROWN, SCOTT</t>
  </si>
  <si>
    <t>HUMPHREYS, JAMES</t>
  </si>
  <si>
    <t>BICKHAM, BILLY</t>
  </si>
  <si>
    <t>MUSSER, RICHARD</t>
  </si>
  <si>
    <t>FOSCUE, DAVID</t>
  </si>
  <si>
    <t>TRACY, WALLACE</t>
  </si>
  <si>
    <t>BISHOP, MICHELLE</t>
  </si>
  <si>
    <t>SPEIGHTS, SHANE</t>
  </si>
  <si>
    <t>COBB, VICKI</t>
  </si>
  <si>
    <t>LYN-BOSWELL, CARLA</t>
  </si>
  <si>
    <t>FRESCOLN, HILARY</t>
  </si>
  <si>
    <t>SANDBERG, KARL</t>
  </si>
  <si>
    <t>FURLOW, WILLIAM</t>
  </si>
  <si>
    <t>BARNES, SAMMY</t>
  </si>
  <si>
    <t>LANCASTER, TEDDY</t>
  </si>
  <si>
    <t>KAMIN, EHUD</t>
  </si>
  <si>
    <t>MCKENZIE, JOHN</t>
  </si>
  <si>
    <t>CLIFTON, CHARLES</t>
  </si>
  <si>
    <t>MADILL, MARY</t>
  </si>
  <si>
    <t>KRANTZ, KATHY</t>
  </si>
  <si>
    <t>IRBY, ELIZABETH</t>
  </si>
  <si>
    <t>MYNATT, MARY</t>
  </si>
  <si>
    <t>MATHER, STEPHANIE</t>
  </si>
  <si>
    <t>SVEHLA, NANCY</t>
  </si>
  <si>
    <t>AZUERO, MARIO</t>
  </si>
  <si>
    <t>DAVIS, DAREL</t>
  </si>
  <si>
    <t>KELLEY, JENNIFER</t>
  </si>
  <si>
    <t>MUSE, KATOSHA</t>
  </si>
  <si>
    <t>BRINKLEY, SARAH</t>
  </si>
  <si>
    <t>SCHMIDT, KELSEY</t>
  </si>
  <si>
    <t>DAVIS, AMBER</t>
  </si>
  <si>
    <t>WEST, SHEILA</t>
  </si>
  <si>
    <t>TABER, ABBEY</t>
  </si>
  <si>
    <t>ROLSTON, CANDACE</t>
  </si>
  <si>
    <t>MARVIN, CRAIG</t>
  </si>
  <si>
    <t>REID, CHRISTINA</t>
  </si>
  <si>
    <t>PETTWAY, PATTY</t>
  </si>
  <si>
    <t>SENFF, TOM</t>
  </si>
  <si>
    <t>SIMON, TIMOTHY</t>
  </si>
  <si>
    <t>REBTOY, LESLIE</t>
  </si>
  <si>
    <t>PHAM-RUSSELL, MARIE</t>
  </si>
  <si>
    <t>ROPER, RICHARD</t>
  </si>
  <si>
    <t>MARTIN, SONJA</t>
  </si>
  <si>
    <t>VANDERBURG, EDWARD</t>
  </si>
  <si>
    <t>LEE, RON</t>
  </si>
  <si>
    <t>MULLIGAN, THOMAS</t>
  </si>
  <si>
    <t>JACOBSEN, ERIK</t>
  </si>
  <si>
    <t>BLANKERS, CHRISTIAN</t>
  </si>
  <si>
    <t>LOW, LISA</t>
  </si>
  <si>
    <t>NAREN, SARASWATHY</t>
  </si>
  <si>
    <t>WILLIAMS, DEE</t>
  </si>
  <si>
    <t>MIAN, NOSHEEN</t>
  </si>
  <si>
    <t>PARIKH, SONALI</t>
  </si>
  <si>
    <t>KILLOUGH, TIMOTHY</t>
  </si>
  <si>
    <t>MABRY, LARRY</t>
  </si>
  <si>
    <t>OBI, CHIZOBA</t>
  </si>
  <si>
    <t>WOODY, KIMBERLY</t>
  </si>
  <si>
    <t>KAHLON, GUNJAN</t>
  </si>
  <si>
    <t>EARNEST, DALLAS</t>
  </si>
  <si>
    <t>SMITH, TIFFANY</t>
  </si>
  <si>
    <t>BORENGASSER, AARON</t>
  </si>
  <si>
    <t>LEASE, JASMIN</t>
  </si>
  <si>
    <t>CORTER, MENDY</t>
  </si>
  <si>
    <t>MONTGOMERY, BYRON</t>
  </si>
  <si>
    <t>BALLARD, JIMMY</t>
  </si>
  <si>
    <t>KEITH, STEPHEN</t>
  </si>
  <si>
    <t>HITT, SARAH</t>
  </si>
  <si>
    <t>FINDLEY, BRECKENN</t>
  </si>
  <si>
    <t>ENGLISH, AMANDA</t>
  </si>
  <si>
    <t>WEST, LAURA</t>
  </si>
  <si>
    <t>FOSTER, SARA</t>
  </si>
  <si>
    <t>NENON, REBECCA</t>
  </si>
  <si>
    <t>BEASLEY, ANNA</t>
  </si>
  <si>
    <t>MULLENAX, JULIA</t>
  </si>
  <si>
    <t>JOHNSON, COURTNEY</t>
  </si>
  <si>
    <t>FLUITT, MANDY</t>
  </si>
  <si>
    <t>SHEIKH, IFTAKHAR</t>
  </si>
  <si>
    <t>GUINN, JOHN</t>
  </si>
  <si>
    <t>MOLINEROS GONZALES, MARIA</t>
  </si>
  <si>
    <t>THOMPSON, NATASCHA</t>
  </si>
  <si>
    <t>FARMER, MINDY</t>
  </si>
  <si>
    <t>DOW, JOHN</t>
  </si>
  <si>
    <t>ASHLEY, BRENDA</t>
  </si>
  <si>
    <t>GAINES, ORNETTE</t>
  </si>
  <si>
    <t>WORNOCK, JOHN</t>
  </si>
  <si>
    <t>GABBIE, MARK</t>
  </si>
  <si>
    <t>COX, CARTER</t>
  </si>
  <si>
    <t>MEYER, LAWRENCE</t>
  </si>
  <si>
    <t>CHEEK, BENNIE</t>
  </si>
  <si>
    <t>DAVIS, PAUL</t>
  </si>
  <si>
    <t>NGUYEN, MAN</t>
  </si>
  <si>
    <t>ROBERTS, RUSSELL</t>
  </si>
  <si>
    <t>WISEMAN, MERLE</t>
  </si>
  <si>
    <t>FLAKE, LARRY</t>
  </si>
  <si>
    <t>MUSICK, SCOTT</t>
  </si>
  <si>
    <t>MURRAY, EMMA</t>
  </si>
  <si>
    <t>SCHISLER, KIMBERLY</t>
  </si>
  <si>
    <t>ALLEN, WILLIAM</t>
  </si>
  <si>
    <t>WEISS, WILLIAM</t>
  </si>
  <si>
    <t>VELLOZO, PAUL</t>
  </si>
  <si>
    <t>DOUCET, MARLON</t>
  </si>
  <si>
    <t>JARRETT, JENNIFER</t>
  </si>
  <si>
    <t>DAVIS, AMY</t>
  </si>
  <si>
    <t>ROBERTS, CHRISTOPHER</t>
  </si>
  <si>
    <t>PATTON, APRIL</t>
  </si>
  <si>
    <t>MORRIS, KATHRYN</t>
  </si>
  <si>
    <t>TETIRICK, JOSEPH</t>
  </si>
  <si>
    <t>JANIK, JORDAN</t>
  </si>
  <si>
    <t>PATEL, HETAL</t>
  </si>
  <si>
    <t>BILLINGS, ALLISON</t>
  </si>
  <si>
    <t>LAWSON, PAIGE</t>
  </si>
  <si>
    <t>SEYAL, GUZAL</t>
  </si>
  <si>
    <t>BYRUM, JAMES</t>
  </si>
  <si>
    <t>NELSON, CYNTHIA</t>
  </si>
  <si>
    <t>CARLSON, DOUGLAS</t>
  </si>
  <si>
    <t>WARDELL, JASON</t>
  </si>
  <si>
    <t>BASTEL, HEATHER</t>
  </si>
  <si>
    <t>GRANT, JERRY</t>
  </si>
  <si>
    <t>DAVIDSON, ANDY</t>
  </si>
  <si>
    <t>TRENT, JUDY</t>
  </si>
  <si>
    <t>FREEMAN, WILLIAM</t>
  </si>
  <si>
    <t>NEWSOME, CARLTON</t>
  </si>
  <si>
    <t>WATSON, DONYA</t>
  </si>
  <si>
    <t>TUTTLE, LARRY</t>
  </si>
  <si>
    <t>HUFFMAN, THOMAS</t>
  </si>
  <si>
    <t>GERMAN, CARRIE</t>
  </si>
  <si>
    <t>BOONE, JAMES</t>
  </si>
  <si>
    <t>DILLARD, CAROLYN</t>
  </si>
  <si>
    <t>HIGHTOWER, DENISE</t>
  </si>
  <si>
    <t>THURMAN, ROBIN</t>
  </si>
  <si>
    <t>KRAUS, ROBERT</t>
  </si>
  <si>
    <t>TAMEEZ, IFFAT</t>
  </si>
  <si>
    <t>BURSON, GAYLA</t>
  </si>
  <si>
    <t>MACY, CAROL</t>
  </si>
  <si>
    <t>MCCALLUM, KELLY</t>
  </si>
  <si>
    <t>HERNANDEZ, JULIAN</t>
  </si>
  <si>
    <t>BOSOLD, JEFFREY</t>
  </si>
  <si>
    <t>COX, MARGARET</t>
  </si>
  <si>
    <t>IDRIS, MOHAMMAD</t>
  </si>
  <si>
    <t>WALLACE, CESALIE</t>
  </si>
  <si>
    <t>BILLINGS, TAMMY</t>
  </si>
  <si>
    <t>SAMUEL, PEARL</t>
  </si>
  <si>
    <t>JERRY, JARROD</t>
  </si>
  <si>
    <t>SKRAPATES, RUTH</t>
  </si>
  <si>
    <t>FRIEDLY, ADRIENNE</t>
  </si>
  <si>
    <t>BOCK, ALAN</t>
  </si>
  <si>
    <t>MCGHEE, MIRANDA</t>
  </si>
  <si>
    <t>CALERO BAQUERIZO, FERNANDO</t>
  </si>
  <si>
    <t>PERET, CARMEN</t>
  </si>
  <si>
    <t>BEALLIS, RANDALL</t>
  </si>
  <si>
    <t>LEWIS, DEREK</t>
  </si>
  <si>
    <t>PETERSON, MARK</t>
  </si>
  <si>
    <t>DANIEL, NOBLE</t>
  </si>
  <si>
    <t>MARTIN, FREDRICK</t>
  </si>
  <si>
    <t>LI, KENNETH</t>
  </si>
  <si>
    <t>BLAIR, BRIAN</t>
  </si>
  <si>
    <t>FRANKS, JASON</t>
  </si>
  <si>
    <t>HEDGES, HAROLD</t>
  </si>
  <si>
    <t>WHORTON, GREGORY</t>
  </si>
  <si>
    <t>LARRISON, CHARLES</t>
  </si>
  <si>
    <t>JACKSON, WILLIAM</t>
  </si>
  <si>
    <t>PITTMAN, CHRISTOPHER</t>
  </si>
  <si>
    <t>ALEXANDER, EUGENE</t>
  </si>
  <si>
    <t>NELSON, SUSAN</t>
  </si>
  <si>
    <t>LIEBERMAN, JAY</t>
  </si>
  <si>
    <t>ABSHIRE, SAMUEL</t>
  </si>
  <si>
    <t>O'YOUNG, ANDREW</t>
  </si>
  <si>
    <t>DANG, PAUL</t>
  </si>
  <si>
    <t>TAYLOR, RALPH</t>
  </si>
  <si>
    <t>SPADES, SEBASTIAN</t>
  </si>
  <si>
    <t>CHEEK, ELIZABETH</t>
  </si>
  <si>
    <t>QURESHI, SHOAIB</t>
  </si>
  <si>
    <t>WATSON, ROBERT</t>
  </si>
  <si>
    <t>FROST, DEBRA</t>
  </si>
  <si>
    <t>HOUSE, JOHN</t>
  </si>
  <si>
    <t>MALONE, KELLY</t>
  </si>
  <si>
    <t>PEGGINS, KRISTIE</t>
  </si>
  <si>
    <t>SMITH, MELANIE</t>
  </si>
  <si>
    <t>SUMMITT, NATALIE</t>
  </si>
  <si>
    <t>ZAHAROPOULOS, KRISTIN</t>
  </si>
  <si>
    <t>GREEN, EMERY</t>
  </si>
  <si>
    <t>BARNES, BRANDI</t>
  </si>
  <si>
    <t>COTTINGHAM, JONATHAN</t>
  </si>
  <si>
    <t>BRASS, VANESSA</t>
  </si>
  <si>
    <t>JACKSON, TREENA</t>
  </si>
  <si>
    <t>GODFREY, LINCOLN</t>
  </si>
  <si>
    <t>SHAH, BUSHRA</t>
  </si>
  <si>
    <t>SMITH, ERIC</t>
  </si>
  <si>
    <t>GARNER, JULEA</t>
  </si>
  <si>
    <t>CERRATO, DEBORAH</t>
  </si>
  <si>
    <t>LOCHALA, RODDY</t>
  </si>
  <si>
    <t>JENKINS, JEFFERY</t>
  </si>
  <si>
    <t>BARROW, ANGELA</t>
  </si>
  <si>
    <t>ECHOLS, RODERICK</t>
  </si>
  <si>
    <t>BUSHONG, SUZANNE</t>
  </si>
  <si>
    <t>HUNT, JOE</t>
  </si>
  <si>
    <t>STUBBLEFIELD, WILLIAM</t>
  </si>
  <si>
    <t>BARNES, SETH</t>
  </si>
  <si>
    <t>WHITE, JACKIE</t>
  </si>
  <si>
    <t>DELUCA, JOSEPH</t>
  </si>
  <si>
    <t>HUGHES, JUAN</t>
  </si>
  <si>
    <t>MADDEN, MICHAEL</t>
  </si>
  <si>
    <t>MCGOWAN, WILLIAM</t>
  </si>
  <si>
    <t>KUZAS, JANE</t>
  </si>
  <si>
    <t>SHAJAAT, MUHAMMAD</t>
  </si>
  <si>
    <t>DICIRO, SONYA</t>
  </si>
  <si>
    <t>SHOTTS, CULBER</t>
  </si>
  <si>
    <t>THOMAS, REID</t>
  </si>
  <si>
    <t>HOLLAND, MARYLYNN</t>
  </si>
  <si>
    <t>BARDEN, MICHAEL</t>
  </si>
  <si>
    <t>GRANT, GIANNA</t>
  </si>
  <si>
    <t>SLATE, KIMBERLY</t>
  </si>
  <si>
    <t>BIVINS, FRANKLIN</t>
  </si>
  <si>
    <t>DEEL, MICKEY</t>
  </si>
  <si>
    <t>WALDRIP, WILLIAM</t>
  </si>
  <si>
    <t>COBB, JOCK</t>
  </si>
  <si>
    <t>WEBB, SHERILYN</t>
  </si>
  <si>
    <t>STEED, MATTHEW</t>
  </si>
  <si>
    <t>RICHEY, JASON</t>
  </si>
  <si>
    <t>HUGHES, VERNON</t>
  </si>
  <si>
    <t>GOMEZ, JOSE</t>
  </si>
  <si>
    <t>BENNETT, KEITH</t>
  </si>
  <si>
    <t>BARTON, LANCE</t>
  </si>
  <si>
    <t>MAJOR, STEVEN</t>
  </si>
  <si>
    <t>WILKERSON, MARIA</t>
  </si>
  <si>
    <t>FLEENOR, JOHN</t>
  </si>
  <si>
    <t>EMBRY, THOMAS</t>
  </si>
  <si>
    <t>CARTER, STEPHEN</t>
  </si>
  <si>
    <t>WITHERINGTON, BRENT</t>
  </si>
  <si>
    <t>WATTS, SAMUEL</t>
  </si>
  <si>
    <t>HASHMI, SALMAN</t>
  </si>
  <si>
    <t>CESTERO RUIZ, ANGEL</t>
  </si>
  <si>
    <t>WOOD, LAVON</t>
  </si>
  <si>
    <t>LAI, CHRISTINE</t>
  </si>
  <si>
    <t>WILSON, CLINT</t>
  </si>
  <si>
    <t>BEARD, AMY</t>
  </si>
  <si>
    <t>NALLUR, SHREELEKHA</t>
  </si>
  <si>
    <t>AFZAL, YASIR</t>
  </si>
  <si>
    <t>STEWART, JASON</t>
  </si>
  <si>
    <t>BARRON, DONNA</t>
  </si>
  <si>
    <t>DENTON, ROY</t>
  </si>
  <si>
    <t>STANLEY, MARY</t>
  </si>
  <si>
    <t>FLOYD, MARK</t>
  </si>
  <si>
    <t>WALKER, LARRY</t>
  </si>
  <si>
    <t>SIDDIQUI, MUHAMMAD</t>
  </si>
  <si>
    <t>DAVIDSON, DANIEL</t>
  </si>
  <si>
    <t>SOMERS, ANDREW</t>
  </si>
  <si>
    <t>HENSON, GREGORY</t>
  </si>
  <si>
    <t>BURNS, TINA</t>
  </si>
  <si>
    <t>DOW, JULIE</t>
  </si>
  <si>
    <t>BRANTLEY, J</t>
  </si>
  <si>
    <t>KENG, JEREMIAH</t>
  </si>
  <si>
    <t>HIGHSMITH, VIVIAN</t>
  </si>
  <si>
    <t>BONNER, MARK</t>
  </si>
  <si>
    <t>SHAFER- FRANKS, CANDACE</t>
  </si>
  <si>
    <t>MELNYK, OKSANA</t>
  </si>
  <si>
    <t>FOWLKES, SANDRA</t>
  </si>
  <si>
    <t>BRASWELL, CAMILLE</t>
  </si>
  <si>
    <t>HOWELL, MARY</t>
  </si>
  <si>
    <t>DEAN, JANICE</t>
  </si>
  <si>
    <t>NELSEN, DAVID</t>
  </si>
  <si>
    <t>THOMAS, OSWALD</t>
  </si>
  <si>
    <t>HALL, BENJAMIN</t>
  </si>
  <si>
    <t>MCCLURE, TIMOTHY</t>
  </si>
  <si>
    <t>JOHNSON, CARL</t>
  </si>
  <si>
    <t>COOPER, JAMES</t>
  </si>
  <si>
    <t>SAUL, JEREMY</t>
  </si>
  <si>
    <t>GRANTHAM, BRIAN</t>
  </si>
  <si>
    <t>FISCHER, JOSHUA</t>
  </si>
  <si>
    <t>CLEMENTS-FORE, AMBER</t>
  </si>
  <si>
    <t>ROGERS, BRANDICE</t>
  </si>
  <si>
    <t>BARBER, JANE</t>
  </si>
  <si>
    <t>CANFIELD, SONYA</t>
  </si>
  <si>
    <t>EDWARDS, LISA</t>
  </si>
  <si>
    <t>ORENDORFF, DANNA</t>
  </si>
  <si>
    <t>MORRISON, ALLISON</t>
  </si>
  <si>
    <t>KRESSE, GREGORY</t>
  </si>
  <si>
    <t>MAKAPUGAY, FIDEL</t>
  </si>
  <si>
    <t>SCHMIDT, RICHARD</t>
  </si>
  <si>
    <t>DANIEL, ANDREW</t>
  </si>
  <si>
    <t>MITTAL, SHALENDER</t>
  </si>
  <si>
    <t>BRADEN, LAWRENCE</t>
  </si>
  <si>
    <t>MURTI, APARNA</t>
  </si>
  <si>
    <t>NELSON, STEPHEN</t>
  </si>
  <si>
    <t>SUTTERFIELD, VIKKI</t>
  </si>
  <si>
    <t>WILSON, PAMELA</t>
  </si>
  <si>
    <t>MONFEE, ANDREW</t>
  </si>
  <si>
    <t>BIVENS, ELLEN</t>
  </si>
  <si>
    <t>KELLY, RICHARD</t>
  </si>
  <si>
    <t>HOOVER, JEFFERY</t>
  </si>
  <si>
    <t>JAIN, MUKESH</t>
  </si>
  <si>
    <t>SCHMITZ, RALPH</t>
  </si>
  <si>
    <t>ROGERS, KELLY</t>
  </si>
  <si>
    <t>WHIPPLE, PAUL</t>
  </si>
  <si>
    <t>HURLEY, MARY MARGARET</t>
  </si>
  <si>
    <t>MCKINNEY, LINDA</t>
  </si>
  <si>
    <t>BENNETT, DANIEL</t>
  </si>
  <si>
    <t>TOLLESON, CLAUDIA</t>
  </si>
  <si>
    <t>CAUSEY, KARIMA</t>
  </si>
  <si>
    <t>HARRELL, LANCE</t>
  </si>
  <si>
    <t>LEE, JENNIFER</t>
  </si>
  <si>
    <t>SKINNER, CHRISTIE</t>
  </si>
  <si>
    <t>SMALLMON, AMANDA</t>
  </si>
  <si>
    <t>MUZONDI, CHARLES</t>
  </si>
  <si>
    <t>HARRIS, KAY</t>
  </si>
  <si>
    <t>DUNKEL, KATIE</t>
  </si>
  <si>
    <t>BURNS, COURTNEY</t>
  </si>
  <si>
    <t>WINSTON, PAMELA</t>
  </si>
  <si>
    <t>BRYAN, KRIS</t>
  </si>
  <si>
    <t>MACLEOD, ALAINA</t>
  </si>
  <si>
    <t>DORSEY, TERRY</t>
  </si>
  <si>
    <t>RICE, ABBY</t>
  </si>
  <si>
    <t>SCOTT, SUSAN</t>
  </si>
  <si>
    <t>BALLARD, CARA</t>
  </si>
  <si>
    <t>REEVES, MARCUS</t>
  </si>
  <si>
    <t>NICHOLLS, TIMOTHY</t>
  </si>
  <si>
    <t>XU-CAI, YE OLIVIA</t>
  </si>
  <si>
    <t>COKER, RAYMOND</t>
  </si>
  <si>
    <t>RICHARDSON, ALISON</t>
  </si>
  <si>
    <t>KNIGHT, BETHANY</t>
  </si>
  <si>
    <t>MACHRA, RAVINDER</t>
  </si>
  <si>
    <t>DEFLUMERE, CHARLOTTE</t>
  </si>
  <si>
    <t>MONTGOMERY, DIANA</t>
  </si>
  <si>
    <t>HOUGH, JOSEPH</t>
  </si>
  <si>
    <t>MULLINS, MICHAEL</t>
  </si>
  <si>
    <t>HOOD, O KINCANNON</t>
  </si>
  <si>
    <t>DAVIDSON, CHARLES</t>
  </si>
  <si>
    <t>HENRY, ROBERT</t>
  </si>
  <si>
    <t>HARRINGTON, GREGORY</t>
  </si>
  <si>
    <t>SINGH, RAJEEV</t>
  </si>
  <si>
    <t>UHLHORN, ALICE</t>
  </si>
  <si>
    <t>EDWARDS, SHANNON</t>
  </si>
  <si>
    <t>LUSK, TAMMY</t>
  </si>
  <si>
    <t>LUCAS, CHRISTY</t>
  </si>
  <si>
    <t>PIRKEY, TREY</t>
  </si>
  <si>
    <t>WEST, LILLIAN</t>
  </si>
  <si>
    <t>ADAMS, JOHN</t>
  </si>
  <si>
    <t>ZAREPOUR, ROYA</t>
  </si>
  <si>
    <t>PENDERGRASS, MARY</t>
  </si>
  <si>
    <t>SING, RACHEL</t>
  </si>
  <si>
    <t>MARCOTTE, JEFFREY</t>
  </si>
  <si>
    <t>WIGGINS, STEPHANIE</t>
  </si>
  <si>
    <t>SHEARER, SHANNON</t>
  </si>
  <si>
    <t>FAULK, SCARLETT</t>
  </si>
  <si>
    <t>MIERS, SARA</t>
  </si>
  <si>
    <t>AARON, CHRISTINA</t>
  </si>
  <si>
    <t>MCGEHEE, MICHAEL</t>
  </si>
  <si>
    <t>EATON, RAYETTA</t>
  </si>
  <si>
    <t>FRANKLIN, E</t>
  </si>
  <si>
    <t>GARTMAN, KIMBERLY</t>
  </si>
  <si>
    <t>WOODRUFF, STEPHEN</t>
  </si>
  <si>
    <t>KING, KRISTY</t>
  </si>
  <si>
    <t>HAYNIE, WILLIAM</t>
  </si>
  <si>
    <t>WRIGHT, DONALD</t>
  </si>
  <si>
    <t>WAH, JOHN</t>
  </si>
  <si>
    <t>BISHOP, JEFFERY</t>
  </si>
  <si>
    <t>LEA, JARRETT</t>
  </si>
  <si>
    <t>PIRTLE, STEPHEN</t>
  </si>
  <si>
    <t>HOUCHIN, VONDA</t>
  </si>
  <si>
    <t>HUNTER, JOSEPH</t>
  </si>
  <si>
    <t>SIMPSON, RONALD</t>
  </si>
  <si>
    <t>WANG, HAIQIU</t>
  </si>
  <si>
    <t>HOWARD, CHRIS</t>
  </si>
  <si>
    <t>SUMMERS, SAMUEL</t>
  </si>
  <si>
    <t>ZIMMERMAN, STACY</t>
  </si>
  <si>
    <t>MITCHELL, BRUCE</t>
  </si>
  <si>
    <t>RAMIRO, MARK ANTHONY</t>
  </si>
  <si>
    <t>MELTON, JASON</t>
  </si>
  <si>
    <t>CRUPIE, MARC</t>
  </si>
  <si>
    <t>SULLIVAN, KAREN</t>
  </si>
  <si>
    <t>CHU, GEORGE</t>
  </si>
  <si>
    <t>HASHMI, ABEER</t>
  </si>
  <si>
    <t>JAIN, ANGELI</t>
  </si>
  <si>
    <t>HARDIN, DANIEL</t>
  </si>
  <si>
    <t>BOWEN, TRAVIS</t>
  </si>
  <si>
    <t>RYSCAVAGE, JULIA</t>
  </si>
  <si>
    <t>MIRZA, MUHAMMAD</t>
  </si>
  <si>
    <t>LANE, JOHN</t>
  </si>
  <si>
    <t>WELLS, JANICE</t>
  </si>
  <si>
    <t>BENNETT, AMY</t>
  </si>
  <si>
    <t>RAGSDALE, STEPHANIE</t>
  </si>
  <si>
    <t>ASLIN, CATHERINE</t>
  </si>
  <si>
    <t>DEWBERRY, KENDRA</t>
  </si>
  <si>
    <t>BARKER, CONNIE</t>
  </si>
  <si>
    <t>WINFORD, TAESHA</t>
  </si>
  <si>
    <t>LAWRENCE, MIRIAM</t>
  </si>
  <si>
    <t>COWELL, AMANDA</t>
  </si>
  <si>
    <t>HRISTOSKOVA, ROSSITZA</t>
  </si>
  <si>
    <t>NANCE, MELVIN</t>
  </si>
  <si>
    <t>HONDERICH, JEFF</t>
  </si>
  <si>
    <t>PERRY, CHRISTIAN</t>
  </si>
  <si>
    <t>FISHER, LAURIE</t>
  </si>
  <si>
    <t>DEERE, PATRICK</t>
  </si>
  <si>
    <t>BATES, RONALD</t>
  </si>
  <si>
    <t>MCCORMACK, JOHN</t>
  </si>
  <si>
    <t>HOFFMANN, EMILY</t>
  </si>
  <si>
    <t>DILLON, LISA</t>
  </si>
  <si>
    <t>CROWELL, KAREN</t>
  </si>
  <si>
    <t>PUSHPANSHU, PUSHPANSHU</t>
  </si>
  <si>
    <t>CRUZ-LEAL, WILSON</t>
  </si>
  <si>
    <t>ARSHAD, ABDULLAH</t>
  </si>
  <si>
    <t>HARRIS, THOMAS</t>
  </si>
  <si>
    <t>MILES, CAROLINE</t>
  </si>
  <si>
    <t>PHOMAKAY, CHANSAMONE</t>
  </si>
  <si>
    <t>HENSON, LAURA</t>
  </si>
  <si>
    <t>BARNES, STEPHANIE</t>
  </si>
  <si>
    <t>PABBATHI, SABITHA</t>
  </si>
  <si>
    <t>KOSCIUK, MARTIN</t>
  </si>
  <si>
    <t>MORRISON, DEREK</t>
  </si>
  <si>
    <t>CRIM, AMANDA</t>
  </si>
  <si>
    <t>MOORE, MARY</t>
  </si>
  <si>
    <t>BATTERTON, LESLIE</t>
  </si>
  <si>
    <t>BYRD, SHARON</t>
  </si>
  <si>
    <t>HARSSON, JUDY</t>
  </si>
  <si>
    <t>MELTON, WHITNEY</t>
  </si>
  <si>
    <t>CAWIEZELL, STEPHANNIE</t>
  </si>
  <si>
    <t>BURKETT, JENNIFER</t>
  </si>
  <si>
    <t>YUNUS, NAUMAN</t>
  </si>
  <si>
    <t>HARVEY, JERRY</t>
  </si>
  <si>
    <t>PORCH, LAURA</t>
  </si>
  <si>
    <t>BUFFORD, PHILLIP</t>
  </si>
  <si>
    <t>DUNHAM, JOHN</t>
  </si>
  <si>
    <t>MCSPADDEN, GLEN</t>
  </si>
  <si>
    <t>ALEXANDER, CHRISTINE</t>
  </si>
  <si>
    <t>ROYLANCE, JEFFREY</t>
  </si>
  <si>
    <t>SRIVASTAVA, PANKAJ</t>
  </si>
  <si>
    <t>MOSES, WENDY</t>
  </si>
  <si>
    <t>CHRISCO, JULIE</t>
  </si>
  <si>
    <t>XU, YING</t>
  </si>
  <si>
    <t>BURNER, KIMBERLY</t>
  </si>
  <si>
    <t>GARNER, KIMBERLY</t>
  </si>
  <si>
    <t>COOPER, MICHAEL</t>
  </si>
  <si>
    <t>BASSILA, JEAN CLAUDE</t>
  </si>
  <si>
    <t>MURPHY, MICHAEL</t>
  </si>
  <si>
    <t>DULLI, AMMAR</t>
  </si>
  <si>
    <t>WILLIAMS, WILLIAM</t>
  </si>
  <si>
    <t>OSBORN, MATTHEW</t>
  </si>
  <si>
    <t>DUBBAKA, THIRUMAL</t>
  </si>
  <si>
    <t>MELTON, CARRIE</t>
  </si>
  <si>
    <t>PERKINS, AMY</t>
  </si>
  <si>
    <t>HOQUE, MD SHADIQUL</t>
  </si>
  <si>
    <t>WATSON, CRYSTAL</t>
  </si>
  <si>
    <t>SEARCY, JOSHUA</t>
  </si>
  <si>
    <t>MIZE, REBEKAH</t>
  </si>
  <si>
    <t>POUNDERS, JOHN</t>
  </si>
  <si>
    <t>HUNT, AMBER</t>
  </si>
  <si>
    <t>PUTNAM, VERONICA</t>
  </si>
  <si>
    <t>LAMBERT, DAPHNE</t>
  </si>
  <si>
    <t>WALKER, TANYA</t>
  </si>
  <si>
    <t>COLLINS, SARAH</t>
  </si>
  <si>
    <t>SULLIVAN, CARY</t>
  </si>
  <si>
    <t>ISON, KEITH</t>
  </si>
  <si>
    <t>CHENEY, LORI</t>
  </si>
  <si>
    <t>HAYES, BURTON</t>
  </si>
  <si>
    <t>FONTANILLA, JOSE</t>
  </si>
  <si>
    <t>BROWNFIELD, SHANNON</t>
  </si>
  <si>
    <t>RUSSELL, JAMES</t>
  </si>
  <si>
    <t>EVERSON, FREDDIE</t>
  </si>
  <si>
    <t>HANCOCK, CHRISTIE</t>
  </si>
  <si>
    <t>SMITH, TERI</t>
  </si>
  <si>
    <t>WALSH, BENJAMIN</t>
  </si>
  <si>
    <t>PHILLIPS, GREGORY</t>
  </si>
  <si>
    <t>BOGLE, SHAWN</t>
  </si>
  <si>
    <t>THOMPSON, BARRY</t>
  </si>
  <si>
    <t>ALLISON, LYNN</t>
  </si>
  <si>
    <t>KATZ, PAUL</t>
  </si>
  <si>
    <t>HERRON, WILLIAM</t>
  </si>
  <si>
    <t>CARPENTER, JULIE</t>
  </si>
  <si>
    <t>PADILLA, TIFFANY</t>
  </si>
  <si>
    <t>EZELL, GERRY</t>
  </si>
  <si>
    <t>BERKENSTOCK, ORAN</t>
  </si>
  <si>
    <t>LEE, KENT</t>
  </si>
  <si>
    <t>CALLAWAY, MICHAEL</t>
  </si>
  <si>
    <t>JACKSON, GEORGE</t>
  </si>
  <si>
    <t>HENDRIX, LISA</t>
  </si>
  <si>
    <t>JOHNSON, CHRYSTAL</t>
  </si>
  <si>
    <t>DELUCA, AMY</t>
  </si>
  <si>
    <t>HANDLOSER, HOLLY</t>
  </si>
  <si>
    <t>RAULS, AMANDA</t>
  </si>
  <si>
    <t>SINGH, RAVIKUMAR</t>
  </si>
  <si>
    <t>TOOMBS, AMBER</t>
  </si>
  <si>
    <t>RAHMAN, MAMUNUR</t>
  </si>
  <si>
    <t>COOK, KATHLYN</t>
  </si>
  <si>
    <t>BAKER, SEAN</t>
  </si>
  <si>
    <t>FLINN, KEVIN</t>
  </si>
  <si>
    <t>ANTUNA, JOHN</t>
  </si>
  <si>
    <t>COOK, SIDNEY</t>
  </si>
  <si>
    <t>SANDERS, LARA</t>
  </si>
  <si>
    <t>CHAMBERS, JULIA</t>
  </si>
  <si>
    <t>BERBEREIA, JEREMY</t>
  </si>
  <si>
    <t>LACY, BRITTANY</t>
  </si>
  <si>
    <t>AZHAR, GOHAR</t>
  </si>
  <si>
    <t>JONES, LUCY</t>
  </si>
  <si>
    <t>VALDES, RAYMOND</t>
  </si>
  <si>
    <t>MAHAN, LISA</t>
  </si>
  <si>
    <t>JOHNSON, CHRISTOPHER</t>
  </si>
  <si>
    <t>PARROTT, ROBERT</t>
  </si>
  <si>
    <t>BUCY, WILLIAM</t>
  </si>
  <si>
    <t>VANLANDINGHAM, CLINT</t>
  </si>
  <si>
    <t>STUART, ANTHONY</t>
  </si>
  <si>
    <t>GIVENS, PRESTON</t>
  </si>
  <si>
    <t>WEST, TIMBI</t>
  </si>
  <si>
    <t>THOMPSON, ANDREA</t>
  </si>
  <si>
    <t>MARTIN, DAN</t>
  </si>
  <si>
    <t>HUNT, JOHN</t>
  </si>
  <si>
    <t>CRUZ, DANILO</t>
  </si>
  <si>
    <t>ALLEN, JOSEPH</t>
  </si>
  <si>
    <t>PILLOW, GILL</t>
  </si>
  <si>
    <t>PALANIAPPAN, MEYYAPPAN</t>
  </si>
  <si>
    <t>DENTON, BEVERLY</t>
  </si>
  <si>
    <t>BLACK, SHERRY</t>
  </si>
  <si>
    <t>BRYSON, JILL</t>
  </si>
  <si>
    <t>PATEL, SHAILESH</t>
  </si>
  <si>
    <t>KENNEMORE, AMY</t>
  </si>
  <si>
    <t>FINDLEY, RHONDA</t>
  </si>
  <si>
    <t>COMBS, KATIE</t>
  </si>
  <si>
    <t>SEARCY, RHONALD</t>
  </si>
  <si>
    <t>MARAM, SILPA</t>
  </si>
  <si>
    <t>MOORE, DAVID</t>
  </si>
  <si>
    <t>SMITH, CLARK</t>
  </si>
  <si>
    <t>PASLAY, DAVID</t>
  </si>
  <si>
    <t>UPSHUR, MELINDA</t>
  </si>
  <si>
    <t>MCCRARY, SHERRY</t>
  </si>
  <si>
    <t>POTTER, TOMORROW</t>
  </si>
  <si>
    <t>DECLERK, AMY</t>
  </si>
  <si>
    <t>JONES, KRISTI</t>
  </si>
  <si>
    <t>JARAMILLO, ERICA</t>
  </si>
  <si>
    <t>THOMPSON, ALLAN</t>
  </si>
  <si>
    <t>ERWIN, JOHN</t>
  </si>
  <si>
    <t>BYRD, BARBARA</t>
  </si>
  <si>
    <t>ALI, MAHMOOD</t>
  </si>
  <si>
    <t>DIETERLE, BRIAN</t>
  </si>
  <si>
    <t>CARTER, JAMES</t>
  </si>
  <si>
    <t>BRENT, DEBRA</t>
  </si>
  <si>
    <t>CRAWLEY, MICHAEL</t>
  </si>
  <si>
    <t>MAYO, HERSHEL</t>
  </si>
  <si>
    <t>SESSLER, LONNIE</t>
  </si>
  <si>
    <t>CRAIG, MICHAEL</t>
  </si>
  <si>
    <t>PRICE, LAWRENCE</t>
  </si>
  <si>
    <t>ADCOCK, CHRISTINE</t>
  </si>
  <si>
    <t>FERGUSON, CLAY</t>
  </si>
  <si>
    <t>THOMAS, SHEILA</t>
  </si>
  <si>
    <t>RICHTER, GREGORY</t>
  </si>
  <si>
    <t>BARRY, CHARLOTTE</t>
  </si>
  <si>
    <t>FARMER, STEPHANIE</t>
  </si>
  <si>
    <t>KING, WILLIAM</t>
  </si>
  <si>
    <t>JONES, JAMES</t>
  </si>
  <si>
    <t>NAIFEH, JAMES</t>
  </si>
  <si>
    <t>NIBA, SUH</t>
  </si>
  <si>
    <t>MOTLEY, ANN MARIE</t>
  </si>
  <si>
    <t>WARFORD, JEREMY</t>
  </si>
  <si>
    <t>BODEMANN, MICHAEL</t>
  </si>
  <si>
    <t>BARTON, ARLIS</t>
  </si>
  <si>
    <t>BEEMAN, DAVID</t>
  </si>
  <si>
    <t>BURTON, CHARLES</t>
  </si>
  <si>
    <t>CHU, VICTOR</t>
  </si>
  <si>
    <t>GARRETT, GEORGE</t>
  </si>
  <si>
    <t>CROWDER, BETH</t>
  </si>
  <si>
    <t>LIPSMEYER, KEITH</t>
  </si>
  <si>
    <t>SIPES, RICHARD</t>
  </si>
  <si>
    <t>WEAVER, TERRY</t>
  </si>
  <si>
    <t>CLARK, JOHN</t>
  </si>
  <si>
    <t>HAYNES, JOHN</t>
  </si>
  <si>
    <t>THORNTON, DONNYEL</t>
  </si>
  <si>
    <t>SPANN, ERIC</t>
  </si>
  <si>
    <t>BHAKTA, SONAL</t>
  </si>
  <si>
    <t>BABURYAN, NARINA</t>
  </si>
  <si>
    <t>WHITE, ELIZABETH</t>
  </si>
  <si>
    <t>HOLLIS, ROLAND</t>
  </si>
  <si>
    <t>GUYNN, ZACHARY</t>
  </si>
  <si>
    <t>KOYAGURA, SUDHEER</t>
  </si>
  <si>
    <t>GIBSON, JODI</t>
  </si>
  <si>
    <t>WILLIAMS, MATTHEW</t>
  </si>
  <si>
    <t>WARD, GARY</t>
  </si>
  <si>
    <t>WHALEY, ELLA CATHRINE</t>
  </si>
  <si>
    <t>PATEL, SHEETAL</t>
  </si>
  <si>
    <t>GRANTHAM, MYRA</t>
  </si>
  <si>
    <t>HUDSON, FINES</t>
  </si>
  <si>
    <t>KADDOURA, SALAHUDDIN</t>
  </si>
  <si>
    <t>WIPF, SHANNON</t>
  </si>
  <si>
    <t>RANA, JAVED</t>
  </si>
  <si>
    <t>PICKFORD, KISHA</t>
  </si>
  <si>
    <t>KANE, ANITA</t>
  </si>
  <si>
    <t>SHINN, RANDY</t>
  </si>
  <si>
    <t>HURST, WILLIAM</t>
  </si>
  <si>
    <t>BAIG, ABDULLAH</t>
  </si>
  <si>
    <t>NELSON, JOSEPH</t>
  </si>
  <si>
    <t>HARRIS, BROCK</t>
  </si>
  <si>
    <t>FISCHER, MICHAEL</t>
  </si>
  <si>
    <t>WESTWOOD, JOHN</t>
  </si>
  <si>
    <t>NACE, GARY</t>
  </si>
  <si>
    <t>MCCLELLAN, SHANDRA</t>
  </si>
  <si>
    <t>WRIGHT, WILLIAM</t>
  </si>
  <si>
    <t>PRICE, JOHN</t>
  </si>
  <si>
    <t>BEVILL, GARY</t>
  </si>
  <si>
    <t>BOWLING, CHARLES</t>
  </si>
  <si>
    <t>GARDNER, JAMES</t>
  </si>
  <si>
    <t>BEDWELL, SONDRA</t>
  </si>
  <si>
    <t>HILL, ROBERT</t>
  </si>
  <si>
    <t>KRISH, MADHULIKA</t>
  </si>
  <si>
    <t>COUCHENOUR, CORAL</t>
  </si>
  <si>
    <t>KELLER, JON</t>
  </si>
  <si>
    <t>LONG, CELESTE</t>
  </si>
  <si>
    <t>AL-GHUSSAIN, EMAD</t>
  </si>
  <si>
    <t>SIEGEL, BARRY</t>
  </si>
  <si>
    <t>LANDERS, HUBERT</t>
  </si>
  <si>
    <t>SKREI, RICHARD</t>
  </si>
  <si>
    <t>BRUIJN, LUCY</t>
  </si>
  <si>
    <t>O'NEAL, HEATHER</t>
  </si>
  <si>
    <t>HUFFSTATLER, TRACY</t>
  </si>
  <si>
    <t>DEERE, DEBORAH</t>
  </si>
  <si>
    <t>POTTER, TIMOTHY</t>
  </si>
  <si>
    <t>FOSTER, CODY</t>
  </si>
  <si>
    <t>ANDREWS, SHEKINAH</t>
  </si>
  <si>
    <t>MARTIN, ANGELA</t>
  </si>
  <si>
    <t>AHMED, MOHAMMED</t>
  </si>
  <si>
    <t>JENNINGS, JENNIFER</t>
  </si>
  <si>
    <t>BRIGHTWELL, DAVID</t>
  </si>
  <si>
    <t>RICE, JOHN</t>
  </si>
  <si>
    <t>FELICITAS, RICHELLE</t>
  </si>
  <si>
    <t>KUDDES, CANDICE</t>
  </si>
  <si>
    <t>BALLARD, DEVON</t>
  </si>
  <si>
    <t>GASTON, WENDY</t>
  </si>
  <si>
    <t>TUBB, NORMAN</t>
  </si>
  <si>
    <t>STINNETT, SCOTT</t>
  </si>
  <si>
    <t>THOMAS, WESLEY</t>
  </si>
  <si>
    <t>PERRY, BARBARA</t>
  </si>
  <si>
    <t>JACKSON, PHILLIP</t>
  </si>
  <si>
    <t>KOEHN, MARTIN</t>
  </si>
  <si>
    <t>HARPER, JON</t>
  </si>
  <si>
    <t>HURLOW, JENNIFER</t>
  </si>
  <si>
    <t>ABDELAL, AHMED</t>
  </si>
  <si>
    <t>BUSLIG, REMEL</t>
  </si>
  <si>
    <t>HAWKINS, ARVIS</t>
  </si>
  <si>
    <t>MICKAIL, MAMDOUH</t>
  </si>
  <si>
    <t>JUMPER, JERRY</t>
  </si>
  <si>
    <t>HOPSON, DEANNA</t>
  </si>
  <si>
    <t>DILLARD, BONNIE</t>
  </si>
  <si>
    <t>MAGNESS, CARL</t>
  </si>
  <si>
    <t>DORRIS, LINDA</t>
  </si>
  <si>
    <t>SUKMAN, R RANDALL</t>
  </si>
  <si>
    <t>TILLEY, ROGER</t>
  </si>
  <si>
    <t>STAMPS, HENRY</t>
  </si>
  <si>
    <t>WATSON, KIRK</t>
  </si>
  <si>
    <t>HARDEE, MATTHEW</t>
  </si>
  <si>
    <t>SANDUSKY, MARIE</t>
  </si>
  <si>
    <t>CLARK, NICHOLE</t>
  </si>
  <si>
    <t>CORDOVA, FREDY</t>
  </si>
  <si>
    <t>CALLAGHAN, TIMOTHY</t>
  </si>
  <si>
    <t>MOSS, ERICA</t>
  </si>
  <si>
    <t>STICE, NIGER</t>
  </si>
  <si>
    <t>VAUGHN, BRITTANY</t>
  </si>
  <si>
    <t>SANDERSON, ROBERT</t>
  </si>
  <si>
    <t>PRICE, VIRGINIA</t>
  </si>
  <si>
    <t>GEORGE, NICOLE</t>
  </si>
  <si>
    <t>HARHARA, HALEEMA</t>
  </si>
  <si>
    <t>ROWE, CYNTHIA</t>
  </si>
  <si>
    <t>RILEY, W</t>
  </si>
  <si>
    <t>BALOGH, ATTILA</t>
  </si>
  <si>
    <t>BRYAN, JAMES</t>
  </si>
  <si>
    <t>MCGHEE, LINDA</t>
  </si>
  <si>
    <t>JENNINGS, CHARLES</t>
  </si>
  <si>
    <t>REYNOLDS, TIMOTHY</t>
  </si>
  <si>
    <t>SKINNER, ROBERT</t>
  </si>
  <si>
    <t>ELLIS, STEFANIE</t>
  </si>
  <si>
    <t>HUDSON, DAVID</t>
  </si>
  <si>
    <t>TAYLOR, STEPHEN</t>
  </si>
  <si>
    <t>SOLOMON, PAMELA</t>
  </si>
  <si>
    <t>HENDRIX, BARRY</t>
  </si>
  <si>
    <t>BOWMAN, GARY</t>
  </si>
  <si>
    <t>PEARSON, SHANNA</t>
  </si>
  <si>
    <t>PHIPPS, RONNY</t>
  </si>
  <si>
    <t>GUNTHARP, GEORGE</t>
  </si>
  <si>
    <t>MCCLURE, TRAVIS</t>
  </si>
  <si>
    <t>ALEXANDER, JOHN</t>
  </si>
  <si>
    <t>WALKER, AMY</t>
  </si>
  <si>
    <t>SPAHN, AMANDA</t>
  </si>
  <si>
    <t>GUNTHARP, DANNA</t>
  </si>
  <si>
    <t>LEWIS, HERBERT</t>
  </si>
  <si>
    <t>BRADFORD, NATALIE</t>
  </si>
  <si>
    <t>OLABINTAN, TOLULOPE</t>
  </si>
  <si>
    <t>POWERS, REBECCA</t>
  </si>
  <si>
    <t>MCALLISTER, CHASIDY</t>
  </si>
  <si>
    <t>TEAGUE-PRIDDY, ANGELIA</t>
  </si>
  <si>
    <t>GARNER, LAUREN</t>
  </si>
  <si>
    <t>MERRIMAN, JOSHUA</t>
  </si>
  <si>
    <t>CROWDER, RYAN</t>
  </si>
  <si>
    <t>CRAWFORD, JOHN</t>
  </si>
  <si>
    <t>ATTWOOD, HARVIE</t>
  </si>
  <si>
    <t>NORYS, JAMES</t>
  </si>
  <si>
    <t>COVERT, KENT</t>
  </si>
  <si>
    <t>YOUMANS, ROGER</t>
  </si>
  <si>
    <t>BODEMANN, DONALD</t>
  </si>
  <si>
    <t>TINSLEY, AUSTIN</t>
  </si>
  <si>
    <t>EVANS, BENJAMIN</t>
  </si>
  <si>
    <t>BALL, SALLY</t>
  </si>
  <si>
    <t>KIENTZ, JOHN</t>
  </si>
  <si>
    <t>SCHWARTZ, FRANK</t>
  </si>
  <si>
    <t>PARIMORE, LINDA</t>
  </si>
  <si>
    <t>MARTIN, KATHLEEN</t>
  </si>
  <si>
    <t>STONE, TIMOTHY</t>
  </si>
  <si>
    <t>CASPER, ROBERT</t>
  </si>
  <si>
    <t>MAYO, RUSSELL</t>
  </si>
  <si>
    <t>CHOWDHARY, SUSHMA</t>
  </si>
  <si>
    <t>ABDEHOU, DAVID</t>
  </si>
  <si>
    <t>FENDLEY, HERBERT</t>
  </si>
  <si>
    <t>BRYANT, DEREK</t>
  </si>
  <si>
    <t>DONG, CAIPING</t>
  </si>
  <si>
    <t>SCOTT, KELLEY</t>
  </si>
  <si>
    <t>BAXTER, CHARLES</t>
  </si>
  <si>
    <t>BOWMAN, SHARON</t>
  </si>
  <si>
    <t>JENKINS, BRAD</t>
  </si>
  <si>
    <t>JONES, DANIEL</t>
  </si>
  <si>
    <t>MCRIGHT, SCOTT</t>
  </si>
  <si>
    <t>IWUEKE, IZUCHUKWU</t>
  </si>
  <si>
    <t>TADAKAL, SHIVA</t>
  </si>
  <si>
    <t>ADELEKE, ADEGOKE</t>
  </si>
  <si>
    <t>CRABTREE, JO</t>
  </si>
  <si>
    <t>ALLEN, MARY</t>
  </si>
  <si>
    <t>GARRETT, JENNIFER</t>
  </si>
  <si>
    <t>FOGLE, BROOKE</t>
  </si>
  <si>
    <t>MCCORKLE, CHARLES</t>
  </si>
  <si>
    <t>CARTER, JON</t>
  </si>
  <si>
    <t>MAYHEW, KATHY</t>
  </si>
  <si>
    <t>WARD, FORREST</t>
  </si>
  <si>
    <t>LISDELL, LESLIE</t>
  </si>
  <si>
    <t>LASSIEUR ROBERTSON, SUSANNE</t>
  </si>
  <si>
    <t>MARSHALL, ROXANNE</t>
  </si>
  <si>
    <t>MCGRATH, ALBERT</t>
  </si>
  <si>
    <t>MERRICK, JASON</t>
  </si>
  <si>
    <t>WEAVER, KENNETH</t>
  </si>
  <si>
    <t>CRUMP, MARK</t>
  </si>
  <si>
    <t>ROBERTS, KRISTY</t>
  </si>
  <si>
    <t>RILEY, CARA</t>
  </si>
  <si>
    <t>ROURKE, LEO</t>
  </si>
  <si>
    <t>STONE, KENNETH</t>
  </si>
  <si>
    <t>PARCHMAN, ANNA</t>
  </si>
  <si>
    <t>COOK, TIMOTHY</t>
  </si>
  <si>
    <t>BALIS, LUC</t>
  </si>
  <si>
    <t>CUMMINGS, BETSY</t>
  </si>
  <si>
    <t>RICHEY, ROGER</t>
  </si>
  <si>
    <t>LIE, KAM</t>
  </si>
  <si>
    <t>WOODRUFF, SARAH</t>
  </si>
  <si>
    <t>SCOTT DEATON, DANNA</t>
  </si>
  <si>
    <t>CATHCART, EVELYN</t>
  </si>
  <si>
    <t>WASHBURN, JOHN</t>
  </si>
  <si>
    <t>BALTZ, NANCY</t>
  </si>
  <si>
    <t>BOMAR, MONICA</t>
  </si>
  <si>
    <t>ROBINSON, COURTNEY</t>
  </si>
  <si>
    <t>KEY, KENDALL</t>
  </si>
  <si>
    <t>HIGGINS, SUZANNE</t>
  </si>
  <si>
    <t>COMSTOCK, NICOLE</t>
  </si>
  <si>
    <t>GREEN, LATONYA</t>
  </si>
  <si>
    <t>HALSTED, ROSS</t>
  </si>
  <si>
    <t>BYRD, JARON</t>
  </si>
  <si>
    <t>SPEAKE, JOSEPH</t>
  </si>
  <si>
    <t>LONG, DONNA</t>
  </si>
  <si>
    <t>HOGGARD, LUCAS</t>
  </si>
  <si>
    <t>YATES, JAMES</t>
  </si>
  <si>
    <t>SMALLRIDGE, LINDSEY</t>
  </si>
  <si>
    <t>FRY, EMILY</t>
  </si>
  <si>
    <t>MATHUR, PANKAJ</t>
  </si>
  <si>
    <t>ARTH, JESSICA</t>
  </si>
  <si>
    <t>STEVENS-ABPLANALP, SHEILA</t>
  </si>
  <si>
    <t>HARRIS, JENNIFER</t>
  </si>
  <si>
    <t>MILLER, CHRISTINA</t>
  </si>
  <si>
    <t>WILLIAMS, TERESA</t>
  </si>
  <si>
    <t>BRYANT, CHRISTINE</t>
  </si>
  <si>
    <t>MITCHELL, LAUREN</t>
  </si>
  <si>
    <t>BROWN, TABETHA</t>
  </si>
  <si>
    <t>DOWELL, STANLEY</t>
  </si>
  <si>
    <t>FOX, CLINTON</t>
  </si>
  <si>
    <t>LESLIE, THOMAS</t>
  </si>
  <si>
    <t>BECKER, ROYAL</t>
  </si>
  <si>
    <t>COOPER, KARA</t>
  </si>
  <si>
    <t>POPE, JOHN</t>
  </si>
  <si>
    <t>PILLOW, JAMES</t>
  </si>
  <si>
    <t>EDWARDS, GARY</t>
  </si>
  <si>
    <t>WALKER, KAREN</t>
  </si>
  <si>
    <t>BALL, PATRICK</t>
  </si>
  <si>
    <t>GALLAGHER, JOSEPH</t>
  </si>
  <si>
    <t>SCHEFFER, ERICA</t>
  </si>
  <si>
    <t>TREECE, BRANNON</t>
  </si>
  <si>
    <t>VERMA, CHERYL</t>
  </si>
  <si>
    <t>HO, STEPHANIE</t>
  </si>
  <si>
    <t>OST, SHELLEY</t>
  </si>
  <si>
    <t>MUSHAM, CHAITANYA</t>
  </si>
  <si>
    <t>GRIFFITH, MICHAEL</t>
  </si>
  <si>
    <t>SMITH, CODY</t>
  </si>
  <si>
    <t>STRACK, JESSICA</t>
  </si>
  <si>
    <t>GARNER, TONI</t>
  </si>
  <si>
    <t>ALECK, REBECCA</t>
  </si>
  <si>
    <t>DOERING, THOMAS</t>
  </si>
  <si>
    <t>METHENY, LEANN</t>
  </si>
  <si>
    <t>NAZARIO, JANICE</t>
  </si>
  <si>
    <t>BALGURI, SUMANTH</t>
  </si>
  <si>
    <t>HARPER, DREW</t>
  </si>
  <si>
    <t>MAXWELL, LEANN</t>
  </si>
  <si>
    <t>BELL, TAMI</t>
  </si>
  <si>
    <t>CAZANO, JUAN</t>
  </si>
  <si>
    <t>PLUMLEE, ROWENA</t>
  </si>
  <si>
    <t>GREENBERG, STEPHEN</t>
  </si>
  <si>
    <t>FALEYE, OLUGBENGA</t>
  </si>
  <si>
    <t>LOCHALA, RICHARD</t>
  </si>
  <si>
    <t>FIEDLER, FREDERICK</t>
  </si>
  <si>
    <t>HALL, RAY</t>
  </si>
  <si>
    <t>DISCENZA, SALLY</t>
  </si>
  <si>
    <t>WONG, JOSEPH</t>
  </si>
  <si>
    <t>JONES, RICKY</t>
  </si>
  <si>
    <t>DORMAN, ROBERT</t>
  </si>
  <si>
    <t>NEPOMUCENO, ARLENE</t>
  </si>
  <si>
    <t>WRIGHT, STEVEN</t>
  </si>
  <si>
    <t>SUTTON, MATTHEW</t>
  </si>
  <si>
    <t>HARRIS, FRANCES</t>
  </si>
  <si>
    <t>FINLEY, YVONIA</t>
  </si>
  <si>
    <t>NORTH, MICHAEL</t>
  </si>
  <si>
    <t>SHRUM, DIXIE</t>
  </si>
  <si>
    <t>PILLERT, JAMIE</t>
  </si>
  <si>
    <t>SIKES, JAMES</t>
  </si>
  <si>
    <t>SKOWRONSKI, JOHN</t>
  </si>
  <si>
    <t>RAYMUNDO, BRYAN</t>
  </si>
  <si>
    <t>CURTIS, DEANNA</t>
  </si>
  <si>
    <t>WILSON, JARED</t>
  </si>
  <si>
    <t>MOREHEAD, LESTER</t>
  </si>
  <si>
    <t>KIATOUKAYSY, LINDA</t>
  </si>
  <si>
    <t>NEHRING, SARA</t>
  </si>
  <si>
    <t>THAXTON, DYLAN</t>
  </si>
  <si>
    <t>BELVIY, LAURA</t>
  </si>
  <si>
    <t>FAZIO, NICHOLAS</t>
  </si>
  <si>
    <t>GRAY, DERRICK</t>
  </si>
  <si>
    <t>EARNEST, CHRISTI</t>
  </si>
  <si>
    <t>SCHRATZ, BRUCE</t>
  </si>
  <si>
    <t>FIKES, BRENT</t>
  </si>
  <si>
    <t>SWIFT, CHARLES</t>
  </si>
  <si>
    <t>KARNES, LINDSAY</t>
  </si>
  <si>
    <t>KING, BRANDON</t>
  </si>
  <si>
    <t>CHU, MARCUS</t>
  </si>
  <si>
    <t>GUNDERSON, KAREN</t>
  </si>
  <si>
    <t>GALLEGOS, MINDY</t>
  </si>
  <si>
    <t>WHITTINGTON, BRIDGET</t>
  </si>
  <si>
    <t>LAMB, AMANDA</t>
  </si>
  <si>
    <t>MEEKER, JORDAN</t>
  </si>
  <si>
    <t>PAIR, COLBY</t>
  </si>
  <si>
    <t>WATSON, DIA</t>
  </si>
  <si>
    <t>KELLOUGH, KENNETH</t>
  </si>
  <si>
    <t>CARNEY, STEPHEN</t>
  </si>
  <si>
    <t>BINGHAM, JENNIFER</t>
  </si>
  <si>
    <t>LYLES, FRED</t>
  </si>
  <si>
    <t>LUEDERS, ANDREW</t>
  </si>
  <si>
    <t>HAYDEN, SHAWN</t>
  </si>
  <si>
    <t>SORRELS, JOHN</t>
  </si>
  <si>
    <t>FARMER, JOSEPH</t>
  </si>
  <si>
    <t>PICKETT, KAREN</t>
  </si>
  <si>
    <t>GREEN, BENNY</t>
  </si>
  <si>
    <t>CHOUTEAU, CHARLES</t>
  </si>
  <si>
    <t>BEASLEY, THOMAS</t>
  </si>
  <si>
    <t>SEME, MELISSA</t>
  </si>
  <si>
    <t>BALENTINE, ROBERT</t>
  </si>
  <si>
    <t>MILLER, ROSEMARY</t>
  </si>
  <si>
    <t>CURTIS, GLENN</t>
  </si>
  <si>
    <t>KENNEDY, IRIS</t>
  </si>
  <si>
    <t>MOONEY, DARA</t>
  </si>
  <si>
    <t>FERGUSON, SUSAN</t>
  </si>
  <si>
    <t>JIMMERSON, ROBERT</t>
  </si>
  <si>
    <t>DUCH, AMANDA</t>
  </si>
  <si>
    <t>KNIGHT, DANIEL</t>
  </si>
  <si>
    <t>NICHOLS, JOE</t>
  </si>
  <si>
    <t>BURKS, WILLARD</t>
  </si>
  <si>
    <t>HAGGARD, JUDITH</t>
  </si>
  <si>
    <t>MOTES, JOSHUA</t>
  </si>
  <si>
    <t>SMITH, STACIE</t>
  </si>
  <si>
    <t>HOWELL, JOHN</t>
  </si>
  <si>
    <t>BHUSAL, KAMAL</t>
  </si>
  <si>
    <t>ABSTON, DEBRA</t>
  </si>
  <si>
    <t>KEMPER, LANCE</t>
  </si>
  <si>
    <t>CASEY, JENNIFER</t>
  </si>
  <si>
    <t>WAFER, MARTHA</t>
  </si>
  <si>
    <t>THOMPSON, SARA</t>
  </si>
  <si>
    <t>NEYMAN, MICHAEL</t>
  </si>
  <si>
    <t>WILSON, LINDSEY</t>
  </si>
  <si>
    <t>ALLISON, MEREDITH</t>
  </si>
  <si>
    <t>BOUNDS, ANDREA</t>
  </si>
  <si>
    <t>BRANTLEY, BRIDGETT</t>
  </si>
  <si>
    <t>FRAZIER, LYNN</t>
  </si>
  <si>
    <t>WILLIAMS, DWIGHT</t>
  </si>
  <si>
    <t>JOHNSTON, MICHAEL</t>
  </si>
  <si>
    <t>UNDERWOOD, JOHN</t>
  </si>
  <si>
    <t>LANE, ROBERT</t>
  </si>
  <si>
    <t>PATCHEN, JAY</t>
  </si>
  <si>
    <t>MOSLEY, DAVID</t>
  </si>
  <si>
    <t>PERSER, ELWYN</t>
  </si>
  <si>
    <t>ZOLKOWSKI, GREGORY</t>
  </si>
  <si>
    <t>SAVORY, ROBERT</t>
  </si>
  <si>
    <t>KARMEL, DOUGLAS</t>
  </si>
  <si>
    <t>MEKELBURG, KENNETH</t>
  </si>
  <si>
    <t>CRENSHAW, SHREAREST</t>
  </si>
  <si>
    <t>TIDWELL, TRACY</t>
  </si>
  <si>
    <t>SHEIKHA, MOUHAMMED</t>
  </si>
  <si>
    <t>HIGGINBOTHAM, MICHAEL</t>
  </si>
  <si>
    <t>MCMICHEAL, WANDA</t>
  </si>
  <si>
    <t>MARCELLUS, PETER</t>
  </si>
  <si>
    <t>OSWELL, YVETTE</t>
  </si>
  <si>
    <t>DAVIS, BRANDY</t>
  </si>
  <si>
    <t>BENSON, STUART</t>
  </si>
  <si>
    <t>HINES, JOHN</t>
  </si>
  <si>
    <t>MESSINA, JOSEPH</t>
  </si>
  <si>
    <t>SPANOS, WENDY</t>
  </si>
  <si>
    <t>CHANDLER, MICHELLE</t>
  </si>
  <si>
    <t>YERRAPRAGADA, SREEDEVI</t>
  </si>
  <si>
    <t>OVERSTREET, HUGH</t>
  </si>
  <si>
    <t>MCLELLAN, MATTHEW</t>
  </si>
  <si>
    <t>MURPHY, FRED</t>
  </si>
  <si>
    <t>UGWUH-MOSS, NKECHI</t>
  </si>
  <si>
    <t>THAKOR, PRATAPJI</t>
  </si>
  <si>
    <t>RADWAN ABD EL WAHAB, WASSIM</t>
  </si>
  <si>
    <t>TRAUTH, LYDIA</t>
  </si>
  <si>
    <t>TOLLESON, ANGELLA</t>
  </si>
  <si>
    <t>GEORGE, MASIL</t>
  </si>
  <si>
    <t>LACKIE, CATHERINE</t>
  </si>
  <si>
    <t>DEFREITAS-COOK, DEBRA</t>
  </si>
  <si>
    <t>BERGERON, KERA</t>
  </si>
  <si>
    <t>TRAYLOR, KELLY</t>
  </si>
  <si>
    <t>MANCELL, MICHELLE</t>
  </si>
  <si>
    <t>KRAFT, JOEL</t>
  </si>
  <si>
    <t>FRYAR, LEAH</t>
  </si>
  <si>
    <t>CALDWELL, CHARLES</t>
  </si>
  <si>
    <t>MCALISTER, MICHAEL</t>
  </si>
  <si>
    <t>GRAHAM, COURTNEY</t>
  </si>
  <si>
    <t>BENNETT, SHERILYN</t>
  </si>
  <si>
    <t>LEE, DANIELLE</t>
  </si>
  <si>
    <t>BENTON, JANICE</t>
  </si>
  <si>
    <t>BECK, NATAILLE</t>
  </si>
  <si>
    <t>CARRINGTON, LEAH</t>
  </si>
  <si>
    <t>MOORE, TERRI</t>
  </si>
  <si>
    <t>LAFFERTY, WARREN</t>
  </si>
  <si>
    <t>PRICE, AMANDA</t>
  </si>
  <si>
    <t>LARAYA, JOSE</t>
  </si>
  <si>
    <t>MCCANN, JAMES</t>
  </si>
  <si>
    <t>CAVANEAU, JERRY</t>
  </si>
  <si>
    <t>MILLER, ROBERT</t>
  </si>
  <si>
    <t>LAWSON, CHARLES</t>
  </si>
  <si>
    <t>SIMON, SYLVIA</t>
  </si>
  <si>
    <t>GARDIAL, PAUL</t>
  </si>
  <si>
    <t>MEREDITH, JAMES</t>
  </si>
  <si>
    <t>MURPHY, KEVIN</t>
  </si>
  <si>
    <t>CLARY, CATHY</t>
  </si>
  <si>
    <t>DOWNS, MICHAEL</t>
  </si>
  <si>
    <t>FINCH, LINDA</t>
  </si>
  <si>
    <t>OWENS-JOHNSON, PATRICE</t>
  </si>
  <si>
    <t>BURNSIDE, RANA</t>
  </si>
  <si>
    <t>OTTER, LAURA</t>
  </si>
  <si>
    <t>MENDIRATTA, PRIYA</t>
  </si>
  <si>
    <t>COX, KERRY</t>
  </si>
  <si>
    <t>CALVERY-CARMAN, JULIE</t>
  </si>
  <si>
    <t>MAKARIAN, ALEXANDRE</t>
  </si>
  <si>
    <t>KANSAGRA, KAVITA</t>
  </si>
  <si>
    <t>TANCINCO, EMMANUEL</t>
  </si>
  <si>
    <t>SPICKES, KIMBERLY</t>
  </si>
  <si>
    <t>MCCLELLAND, MENDY</t>
  </si>
  <si>
    <t>BUTLER, PHYLLIS</t>
  </si>
  <si>
    <t>GONZALEZ, TERESA</t>
  </si>
  <si>
    <t>LEE, VINCENT</t>
  </si>
  <si>
    <t>GREEN, TAMMY</t>
  </si>
  <si>
    <t>LEACH, JAMES</t>
  </si>
  <si>
    <t>ARNOLD, ANITA</t>
  </si>
  <si>
    <t>PESHEK, RAMONA</t>
  </si>
  <si>
    <t>AGENT, JOHN</t>
  </si>
  <si>
    <t>ABERNATHY, BRYAN</t>
  </si>
  <si>
    <t>BISHOP, JANIS</t>
  </si>
  <si>
    <t>LINCOLN, LANCE</t>
  </si>
  <si>
    <t>ROBERTSON, SARAH</t>
  </si>
  <si>
    <t>CONNELLEY, JAY</t>
  </si>
  <si>
    <t>RUTTER, JAMES</t>
  </si>
  <si>
    <t>DAUSMANN, GARY</t>
  </si>
  <si>
    <t>FOSTER, GILBERT</t>
  </si>
  <si>
    <t>MATRIANO LIM, ALLAN</t>
  </si>
  <si>
    <t>SHORT, WALTER</t>
  </si>
  <si>
    <t>KHANDEKAR, SOFIA</t>
  </si>
  <si>
    <t>ELLIS, MARGARET</t>
  </si>
  <si>
    <t>CHANG, KI</t>
  </si>
  <si>
    <t>SELLMAN, JENNIFER</t>
  </si>
  <si>
    <t>WHITE, GREGORY</t>
  </si>
  <si>
    <t>HATFIELD, SAMANTHA</t>
  </si>
  <si>
    <t>ELLIOTT, ELIZABETH</t>
  </si>
  <si>
    <t>ASHLEY, CASSANDRA</t>
  </si>
  <si>
    <t>SHOWALTER, HEATH</t>
  </si>
  <si>
    <t>CARTER, KEVIN</t>
  </si>
  <si>
    <t>ZYSK, SHERYL</t>
  </si>
  <si>
    <t>CARILLON, KATIE</t>
  </si>
  <si>
    <t>BERRY, CHRISTY</t>
  </si>
  <si>
    <t>CLIFTON-JONES, DENISE</t>
  </si>
  <si>
    <t>CLARK, RODNEY</t>
  </si>
  <si>
    <t>ADAMS, CRYSTAL</t>
  </si>
  <si>
    <t>WOODARD, TIFFANY</t>
  </si>
  <si>
    <t>WRIGHT, DENISE</t>
  </si>
  <si>
    <t>TEAGLE, CLARENCE</t>
  </si>
  <si>
    <t>PASHKEVICH, MICHELE</t>
  </si>
  <si>
    <t>RAGOTERO, SOLOMON</t>
  </si>
  <si>
    <t>TOTTEN, MATTHEW</t>
  </si>
  <si>
    <t>ALGEE, WYATT</t>
  </si>
  <si>
    <t>MEADOR, ANN</t>
  </si>
  <si>
    <t>BRAME, SUSAN</t>
  </si>
  <si>
    <t>BAILEY, JAMES</t>
  </si>
  <si>
    <t>KINSTREY, THOMAS</t>
  </si>
  <si>
    <t>MCBAY, BILLY</t>
  </si>
  <si>
    <t>VENEGAS, JULIAN</t>
  </si>
  <si>
    <t>SAUCIER, ROBERT</t>
  </si>
  <si>
    <t>WHITE, PATRICIA</t>
  </si>
  <si>
    <t>HANNA MERCER, SHERIN</t>
  </si>
  <si>
    <t>TUKIVAKALA, PRABHAKARA</t>
  </si>
  <si>
    <t>TALBERT, LOUIS</t>
  </si>
  <si>
    <t>THORAT, SAVITA</t>
  </si>
  <si>
    <t>KITTELL, MICHAEL</t>
  </si>
  <si>
    <t>PEDEN, ANGELA</t>
  </si>
  <si>
    <t>GIRTMAN, KEVIN</t>
  </si>
  <si>
    <t>KINNEY, DANA</t>
  </si>
  <si>
    <t>ROGERS, ELIZABETH</t>
  </si>
  <si>
    <t>GRANDY, REBECCA</t>
  </si>
  <si>
    <t>BENNETT, WILLIAM</t>
  </si>
  <si>
    <t>GARDNER, JESSICA</t>
  </si>
  <si>
    <t>BLACKBURN, SUZANNA</t>
  </si>
  <si>
    <t>WATSON, LASHUNDRA</t>
  </si>
  <si>
    <t>TROUTT, MICHAEL</t>
  </si>
  <si>
    <t>GOLDEN, CLAIRE</t>
  </si>
  <si>
    <t>SCOTT, KELLY</t>
  </si>
  <si>
    <t>KENT, KLARK</t>
  </si>
  <si>
    <t>BLANEY, JENNIFER</t>
  </si>
  <si>
    <t>BRADY, JOHN</t>
  </si>
  <si>
    <t>BEALLIS, DONNA</t>
  </si>
  <si>
    <t>SUMMERFORD, PATRICIA</t>
  </si>
  <si>
    <t>FLOWERS, MARTHA</t>
  </si>
  <si>
    <t>BLAIR, RUTH</t>
  </si>
  <si>
    <t>ELKIN, DARRELL</t>
  </si>
  <si>
    <t>CAMPBELL, TOMMY</t>
  </si>
  <si>
    <t>LITTLE, NITA</t>
  </si>
  <si>
    <t>SARRETT, JAMES</t>
  </si>
  <si>
    <t>BURNS, ROBERT</t>
  </si>
  <si>
    <t>CARROLL, BARRY</t>
  </si>
  <si>
    <t>ZAIDI, SYED</t>
  </si>
  <si>
    <t>SAMMS, DONALD</t>
  </si>
  <si>
    <t>SCHEIDLER, STEFAN</t>
  </si>
  <si>
    <t>LAVENDER, ROB</t>
  </si>
  <si>
    <t>TROXEL, ROGER</t>
  </si>
  <si>
    <t>FOLSE, TIMOTHY</t>
  </si>
  <si>
    <t>CIRILLI, MICHAEL</t>
  </si>
  <si>
    <t>CLARK, CHRISTOPHER</t>
  </si>
  <si>
    <t>HENSLEY, CRYSTAL</t>
  </si>
  <si>
    <t>PRIVETT, LEAH</t>
  </si>
  <si>
    <t>RALSTON, ALISSA</t>
  </si>
  <si>
    <t>MITCHELL, SHANNON</t>
  </si>
  <si>
    <t>PINION, DONNA</t>
  </si>
  <si>
    <t>SLAYTON, SHARON</t>
  </si>
  <si>
    <t>VO, HALEY</t>
  </si>
  <si>
    <t>NELSON, LILLIAN</t>
  </si>
  <si>
    <t>ALLEN, LARRY</t>
  </si>
  <si>
    <t>SMITH, KIMBERLY</t>
  </si>
  <si>
    <t>CHARLTON, MICHEAL</t>
  </si>
  <si>
    <t>ATIQUE, NAZIA</t>
  </si>
  <si>
    <t>KRAMP, LYNDSEY</t>
  </si>
  <si>
    <t>WRIGHT, ASHLEY</t>
  </si>
  <si>
    <t>MEWBORN, EMILY</t>
  </si>
  <si>
    <t>BRADSHAW, JACLYNN</t>
  </si>
  <si>
    <t>PEERCE, ABIGAIL</t>
  </si>
  <si>
    <t>SHARIFI, ALAM</t>
  </si>
  <si>
    <t>SHADWICK, ELLEN</t>
  </si>
  <si>
    <t>JACKSON-KING, SHENIKA</t>
  </si>
  <si>
    <t>KARAS, ROBERT</t>
  </si>
  <si>
    <t>EZELL, LARRY</t>
  </si>
  <si>
    <t>GILLIAM, ARNOLD</t>
  </si>
  <si>
    <t>HORAN, MICHELLE</t>
  </si>
  <si>
    <t>KHATTAK, TASLIM</t>
  </si>
  <si>
    <t>MCADAMS, LISA</t>
  </si>
  <si>
    <t>CHITSEY, RICHARD</t>
  </si>
  <si>
    <t>HODGES, MICHAEL</t>
  </si>
  <si>
    <t>MAY, MARTHA</t>
  </si>
  <si>
    <t>DAVIS, JONATHAN</t>
  </si>
  <si>
    <t>OWENS, BEN</t>
  </si>
  <si>
    <t>CAGLE, JAMES</t>
  </si>
  <si>
    <t>COLLINS, KENNETH</t>
  </si>
  <si>
    <t>DIFFINE, DAVID</t>
  </si>
  <si>
    <t>IRISH-CLARDY, KATHERINE</t>
  </si>
  <si>
    <t>REDMAN, ANNA</t>
  </si>
  <si>
    <t>KNOWLES, GLEN</t>
  </si>
  <si>
    <t>JOHNSTON, ALAN</t>
  </si>
  <si>
    <t>DUDDING, WILLIAM</t>
  </si>
  <si>
    <t>MIRZA, IMRAN</t>
  </si>
  <si>
    <t>SPEIGHT, DEANNA</t>
  </si>
  <si>
    <t>BONDHUS, JOHN</t>
  </si>
  <si>
    <t>MUNN, CHARLES</t>
  </si>
  <si>
    <t>ALBERS, MELISSA</t>
  </si>
  <si>
    <t>VESTER, GRACE</t>
  </si>
  <si>
    <t>COLVIN JONES, KRYSTAL</t>
  </si>
  <si>
    <t>KHAN, MUNEEZA</t>
  </si>
  <si>
    <t>SNODGRASS, BRETT</t>
  </si>
  <si>
    <t>AKKINENI, KALYAN</t>
  </si>
  <si>
    <t>BROWN, MARK</t>
  </si>
  <si>
    <t>REECE, TIMMOTHY</t>
  </si>
  <si>
    <t>KAAKO, AHMAD</t>
  </si>
  <si>
    <t>BORDADOR, APOLINAR</t>
  </si>
  <si>
    <t>RODRIGUEZ, CARLOS</t>
  </si>
  <si>
    <t>NORRIS, JULIE</t>
  </si>
  <si>
    <t>HOUSE, ASHLEY</t>
  </si>
  <si>
    <t>PHAN, TU</t>
  </si>
  <si>
    <t>MOBLEY, JESSICA</t>
  </si>
  <si>
    <t>ADEBISI, OMONIYI</t>
  </si>
  <si>
    <t>HALIM, NEIL</t>
  </si>
  <si>
    <t>EBERLEY, BREECE</t>
  </si>
  <si>
    <t>MULLINIX, DEREK</t>
  </si>
  <si>
    <t>FINCHER, STEVEN</t>
  </si>
  <si>
    <t>BANKS-GILES, HOLLI</t>
  </si>
  <si>
    <t>ARMSTRONG, VICTOR</t>
  </si>
  <si>
    <t>MCKENZIE, EUGENE</t>
  </si>
  <si>
    <t>WILLIAMS, CELESTE</t>
  </si>
  <si>
    <t>REDD, DEBBIE</t>
  </si>
  <si>
    <t>HARPER, GARY</t>
  </si>
  <si>
    <t>BABA, RAUF</t>
  </si>
  <si>
    <t>SUTTERFIELD, TERRY</t>
  </si>
  <si>
    <t>LOVE, TOMMY</t>
  </si>
  <si>
    <t>MEDLOCK, JEFFREY</t>
  </si>
  <si>
    <t>O'CAIN, DEBBIE</t>
  </si>
  <si>
    <t>BROCK, CHARLES</t>
  </si>
  <si>
    <t>STEVENS, ROBERT</t>
  </si>
  <si>
    <t>DICKSON, SCOTT</t>
  </si>
  <si>
    <t>SHANSTROM, KARL</t>
  </si>
  <si>
    <t>QUALLS, ELLEN</t>
  </si>
  <si>
    <t>JACKSON, RANDY</t>
  </si>
  <si>
    <t>MURPHY, SANDRA</t>
  </si>
  <si>
    <t>DE MIRANDA, THOMAS</t>
  </si>
  <si>
    <t>ACOSTA, CARLOS</t>
  </si>
  <si>
    <t>YOUNGBLOOD, ELTON</t>
  </si>
  <si>
    <t>NGUYEN, VINH</t>
  </si>
  <si>
    <t>LOWERY, JOANNA</t>
  </si>
  <si>
    <t>PATEL, ARPIT</t>
  </si>
  <si>
    <t>PITTMAN, TANIKA</t>
  </si>
  <si>
    <t>WINDHAM, MANDY</t>
  </si>
  <si>
    <t>BLAKE, KIMBERLY</t>
  </si>
  <si>
    <t>HOFHEINZ, MARIO</t>
  </si>
  <si>
    <t>POLMONARI, HEATHER</t>
  </si>
  <si>
    <t>KANNAM, VIJAY</t>
  </si>
  <si>
    <t>REEVES, JAMES</t>
  </si>
  <si>
    <t>OLENINA, LYUBOV</t>
  </si>
  <si>
    <t>TOLBERT, WHITNEY</t>
  </si>
  <si>
    <t>CARTER, MANDY</t>
  </si>
  <si>
    <t>WILLIAMS, MANICHANH</t>
  </si>
  <si>
    <t>PALMER, THOMAS</t>
  </si>
  <si>
    <t>WAGNER, KENDALL</t>
  </si>
  <si>
    <t>REEVES, DANA</t>
  </si>
  <si>
    <t>STEPHENS, KIMBERLY</t>
  </si>
  <si>
    <t>WALKER, AMANDA</t>
  </si>
  <si>
    <t>METCALF, CRAIG</t>
  </si>
  <si>
    <t>PEREZ, IRMA</t>
  </si>
  <si>
    <t>HOLDER, ROBERT</t>
  </si>
  <si>
    <t>COLLIER, STEVEN</t>
  </si>
  <si>
    <t>ERWIN, STEVEN</t>
  </si>
  <si>
    <t>VANCE, KERRY</t>
  </si>
  <si>
    <t>MIRANDA, MICHAEL</t>
  </si>
  <si>
    <t>LEWIS, JOHNATHAN</t>
  </si>
  <si>
    <t>DAY, CYNTHIA</t>
  </si>
  <si>
    <t>THOMAS, MARK</t>
  </si>
  <si>
    <t>EARNHARDT, CHRISTOPHER</t>
  </si>
  <si>
    <t>MCDONALD, MAXWELL</t>
  </si>
  <si>
    <t>EISENACH, ROBERT</t>
  </si>
  <si>
    <t>FULGHUM, DAVID</t>
  </si>
  <si>
    <t>WYNN, CHESTER</t>
  </si>
  <si>
    <t>MAGBY, MELISSA</t>
  </si>
  <si>
    <t>ELDRED, EDWARD</t>
  </si>
  <si>
    <t>DAVIS, KED</t>
  </si>
  <si>
    <t>ANSCHULTZ, JOYCE</t>
  </si>
  <si>
    <t>SHIVE, STEPHANIE</t>
  </si>
  <si>
    <t>WRIGHT, DONNA</t>
  </si>
  <si>
    <t>DAVISON, CAROL</t>
  </si>
  <si>
    <t>HASHMI, RAZA</t>
  </si>
  <si>
    <t>ANTICI, VALERIE</t>
  </si>
  <si>
    <t>ORJI, CHRISTIAN</t>
  </si>
  <si>
    <t>SHULER, JENNIFER</t>
  </si>
  <si>
    <t>DIXON, RHONDA</t>
  </si>
  <si>
    <t>HOLLAND, ASHLEY</t>
  </si>
  <si>
    <t>HOUSLEY, SHERRY</t>
  </si>
  <si>
    <t>BARBER, ALICIA</t>
  </si>
  <si>
    <t>TRANA, CAROL</t>
  </si>
  <si>
    <t>CHRISTOPHER-HARMON, PAMELA</t>
  </si>
  <si>
    <t>OXFORD, CARMEN</t>
  </si>
  <si>
    <t>ARMOUR, KAREN</t>
  </si>
  <si>
    <t>BIBB, BRADLEY</t>
  </si>
  <si>
    <t>DUNCAN, CARL</t>
  </si>
  <si>
    <t>OVER, DARRELL</t>
  </si>
  <si>
    <t>SPRABERY, LAURA</t>
  </si>
  <si>
    <t>SRA, SURINDER</t>
  </si>
  <si>
    <t>SANDERSON, MARVIN</t>
  </si>
  <si>
    <t>KEMP, CLARENCE</t>
  </si>
  <si>
    <t>MARTIN, DAVID</t>
  </si>
  <si>
    <t>SHEPPARD, JAMES</t>
  </si>
  <si>
    <t>ASEMOTA, OBOMA</t>
  </si>
  <si>
    <t>LAYTON, ANN</t>
  </si>
  <si>
    <t>BORNE, ALAN</t>
  </si>
  <si>
    <t>KULINSKI, ROBERT</t>
  </si>
  <si>
    <t>LOFTON, JASON</t>
  </si>
  <si>
    <t>HIGHSMITH, WILLIAM</t>
  </si>
  <si>
    <t>GREEN, CHRISTOPHER</t>
  </si>
  <si>
    <t>KAHN, RONALD</t>
  </si>
  <si>
    <t>DYCK, NAOMI</t>
  </si>
  <si>
    <t>DANIELS, LARRY</t>
  </si>
  <si>
    <t>HANISSIAN, GINA</t>
  </si>
  <si>
    <t>REEVES, ERIC</t>
  </si>
  <si>
    <t>KIRKPATRICK, CHAUNA</t>
  </si>
  <si>
    <t>JOHNSON, AMY</t>
  </si>
  <si>
    <t>SHAH, FORAM</t>
  </si>
  <si>
    <t>HACKLER, JOSEPH</t>
  </si>
  <si>
    <t>RIVERS, PATRICIA</t>
  </si>
  <si>
    <t>BOYD, SUZETTE</t>
  </si>
  <si>
    <t>GUINN, NICHOLAS</t>
  </si>
  <si>
    <t>GLENDINNING, DIANE</t>
  </si>
  <si>
    <t>FAULKNER, LAUREN</t>
  </si>
  <si>
    <t>KEARSEY, PATRICE</t>
  </si>
  <si>
    <t>GWIN, AMANDA</t>
  </si>
  <si>
    <t>HILL, KIMBERLY</t>
  </si>
  <si>
    <t>THOMPSON, TERA</t>
  </si>
  <si>
    <t>DELANEY MAGITT, ROSELYN</t>
  </si>
  <si>
    <t>HUGHES, ROSALIND</t>
  </si>
  <si>
    <t>RODRIGUEZ, NICHOLAS</t>
  </si>
  <si>
    <t>FAULKNER, BRANDON</t>
  </si>
  <si>
    <t>KHAN, NASIM</t>
  </si>
  <si>
    <t>CESAR, JAMES</t>
  </si>
  <si>
    <t>FULGHAM, KAREN</t>
  </si>
  <si>
    <t>MCAFEE, DEWEY</t>
  </si>
  <si>
    <t>SHEETS, KIM</t>
  </si>
  <si>
    <t>ZELNICK, PAUL</t>
  </si>
  <si>
    <t>HATCHER, MELISSA</t>
  </si>
  <si>
    <t>COLE, MICHAEL</t>
  </si>
  <si>
    <t>WEEMS, DAVE</t>
  </si>
  <si>
    <t>DESAI, HIMANSHU</t>
  </si>
  <si>
    <t>CAMPBELL, ANGELA</t>
  </si>
  <si>
    <t>COWARD, KEITH</t>
  </si>
  <si>
    <t>PASTOR, RANDY</t>
  </si>
  <si>
    <t>CASEY-BOLDEN, MONIQUE</t>
  </si>
  <si>
    <t>FEDOSKY, SCOTT</t>
  </si>
  <si>
    <t>MCDONNELL, BRYAN</t>
  </si>
  <si>
    <t>JACKSON, CHARLES</t>
  </si>
  <si>
    <t>WITHERINGTON, JOHN</t>
  </si>
  <si>
    <t>FURLOW, JOHN</t>
  </si>
  <si>
    <t>PATTERSON, MAURIE</t>
  </si>
  <si>
    <t>THOMPSON, BOBBY</t>
  </si>
  <si>
    <t>BALL, CHARLES</t>
  </si>
  <si>
    <t>OLUMOFIN, OLABODE</t>
  </si>
  <si>
    <t>KAYALI, RANA</t>
  </si>
  <si>
    <t>BODEMANN, KIMBERLY</t>
  </si>
  <si>
    <t>HAWKINS, WILLIAM</t>
  </si>
  <si>
    <t>KENNEDY, STACY</t>
  </si>
  <si>
    <t>BOLLEN, ALTIMUS</t>
  </si>
  <si>
    <t>FREDERICK, MELANIE</t>
  </si>
  <si>
    <t>SHEPHERD, JENNIFER</t>
  </si>
  <si>
    <t>VARMA, PREM</t>
  </si>
  <si>
    <t>FREELAND, LYNDA</t>
  </si>
  <si>
    <t>PERSSON, DAVID</t>
  </si>
  <si>
    <t>LANGSTON, THOMAS</t>
  </si>
  <si>
    <t>BOOKER, WILLIAM</t>
  </si>
  <si>
    <t>SUTHERLAND, JACKIE</t>
  </si>
  <si>
    <t>BLAKE, DENNIS</t>
  </si>
  <si>
    <t>SACHDEVA, BHARAT</t>
  </si>
  <si>
    <t>FRITZ, JILL</t>
  </si>
  <si>
    <t>SUTTON, KRISTI</t>
  </si>
  <si>
    <t>BAILEY, AMANDA</t>
  </si>
  <si>
    <t>KRUSE, CARMEL</t>
  </si>
  <si>
    <t>FOJAS, ROBIN</t>
  </si>
  <si>
    <t>CHADSEY, MALINDA</t>
  </si>
  <si>
    <t>O'DELL, JENNIFER</t>
  </si>
  <si>
    <t>HOLLAND, ENJA</t>
  </si>
  <si>
    <t>STARKS, TASHA</t>
  </si>
  <si>
    <t>BRANNAN, KATHRYN</t>
  </si>
  <si>
    <t>TANTCHOU, PIERRETTE</t>
  </si>
  <si>
    <t>ASH, CONNIE</t>
  </si>
  <si>
    <t>ALLEN, RICHARD</t>
  </si>
  <si>
    <t>BRAMBLETT, MARCELLA</t>
  </si>
  <si>
    <t>KIRBY, CHASSIE</t>
  </si>
  <si>
    <t>PYLE, DAVID</t>
  </si>
  <si>
    <t>LUEDERS, KELLY</t>
  </si>
  <si>
    <t>MAHAN, RAYMOND</t>
  </si>
  <si>
    <t>LIMAYLLA, LUCY</t>
  </si>
  <si>
    <t>TWILLIE, TWYLA</t>
  </si>
  <si>
    <t>ANDRADA, EDWARD</t>
  </si>
  <si>
    <t>WOZNIAK, ADAM</t>
  </si>
  <si>
    <t>FITZGERALD, MARY</t>
  </si>
  <si>
    <t>NAYLOR, DAVID</t>
  </si>
  <si>
    <t>ELLIOTT, WENDELL</t>
  </si>
  <si>
    <t>SIMPSON, STEVE</t>
  </si>
  <si>
    <t>HOLLIS, THOMAS</t>
  </si>
  <si>
    <t>VERZOSA, SAMUEL</t>
  </si>
  <si>
    <t>WALKER, RANDY</t>
  </si>
  <si>
    <t>MATHIS, TIMOTHY</t>
  </si>
  <si>
    <t>WILLIAMS, CHERYL</t>
  </si>
  <si>
    <t>ROSE, JOSEPH</t>
  </si>
  <si>
    <t>PIERCE, ERIC</t>
  </si>
  <si>
    <t>SCHMIDT, CLINTON</t>
  </si>
  <si>
    <t>LINDSEY, LETICIA</t>
  </si>
  <si>
    <t>BUGGS, VERNOIS</t>
  </si>
  <si>
    <t>GIBSON, GAIL</t>
  </si>
  <si>
    <t>WALKER, DONALD</t>
  </si>
  <si>
    <t>EULER, DONALD</t>
  </si>
  <si>
    <t>HERTLEIN, KIMBERLY</t>
  </si>
  <si>
    <t>SPEARS, GREGORY</t>
  </si>
  <si>
    <t>CLEARY, DONNA</t>
  </si>
  <si>
    <t>BRIGANCE, HOLLY</t>
  </si>
  <si>
    <t>HERNANDEZ, SUSAN</t>
  </si>
  <si>
    <t>TAYLOR, NICOLE</t>
  </si>
  <si>
    <t>BURNS, MATTHEW</t>
  </si>
  <si>
    <t>BARNWELL, ELIZABETH</t>
  </si>
  <si>
    <t>BARNETT, RONALD</t>
  </si>
  <si>
    <t>PARTAIN, AUDIE</t>
  </si>
  <si>
    <t>FOSTER, REBECCA</t>
  </si>
  <si>
    <t>MELTON, MIRANDA</t>
  </si>
  <si>
    <t>PATE, BRIANNA</t>
  </si>
  <si>
    <t>MOORE, EMILY</t>
  </si>
  <si>
    <t>KELTON, JACOB</t>
  </si>
  <si>
    <t>HENRY, TAMEKA</t>
  </si>
  <si>
    <t>ELLIFF, TRACI</t>
  </si>
  <si>
    <t>LINDSEY, JAMES</t>
  </si>
  <si>
    <t>CURTNER, BYRON</t>
  </si>
  <si>
    <t>PARKER, JONATHAN</t>
  </si>
  <si>
    <t>SMITH, RACHAEL</t>
  </si>
  <si>
    <t>CLOUSE, LANCE</t>
  </si>
  <si>
    <t>PISTORIUS, MICHAEL</t>
  </si>
  <si>
    <t>WESTWOOD, BONITA</t>
  </si>
  <si>
    <t>HINES, CARL</t>
  </si>
  <si>
    <t>DUNAWAY, GEOFFREY</t>
  </si>
  <si>
    <t>JENNINGS, MATTHEW</t>
  </si>
  <si>
    <t>GARRETT-SHAVER, MARTHA</t>
  </si>
  <si>
    <t>HILMAN, MICHAEL</t>
  </si>
  <si>
    <t>ADAMS, LAURA</t>
  </si>
  <si>
    <t>DAWSON, J</t>
  </si>
  <si>
    <t>JUDIT, MARIA CRISTINA</t>
  </si>
  <si>
    <t>AULER, CANDY</t>
  </si>
  <si>
    <t>WILLIS, SHERITA</t>
  </si>
  <si>
    <t>CRAFTON, JULIE</t>
  </si>
  <si>
    <t>CURRY, GENEVA</t>
  </si>
  <si>
    <t>CHANCE, JODY</t>
  </si>
  <si>
    <t>RICHARDS, KENNETH</t>
  </si>
  <si>
    <t>HOWARD, CHARLES</t>
  </si>
  <si>
    <t>GOUGH-DAVIS, NORA</t>
  </si>
  <si>
    <t>NICHOLSON, JULIA</t>
  </si>
  <si>
    <t>FREEMAN, DARREN</t>
  </si>
  <si>
    <t>WALTERS, JOSEPH</t>
  </si>
  <si>
    <t>LITTERER, RACHEL</t>
  </si>
  <si>
    <t>WALLIS, ELIZABETH</t>
  </si>
  <si>
    <t>WILLIAMS, KRISTI</t>
  </si>
  <si>
    <t>BREEN, HEATHER</t>
  </si>
  <si>
    <t>LYERLY, MEGHAN</t>
  </si>
  <si>
    <t>SMITH, DERAINEY</t>
  </si>
  <si>
    <t>KING, KATHRYN</t>
  </si>
  <si>
    <t>REYNOLDS, HALLE</t>
  </si>
  <si>
    <t>KING, GLENDA</t>
  </si>
  <si>
    <t>TAYLOR, SHANNON</t>
  </si>
  <si>
    <t>EREMIEVA, ANNA</t>
  </si>
  <si>
    <t>SCOTT, ALLISON</t>
  </si>
  <si>
    <t>JORDAN, OAKLEY</t>
  </si>
  <si>
    <t>MOORE, JESSE</t>
  </si>
  <si>
    <t>DEDMAN, WILLIAM</t>
  </si>
  <si>
    <t>WOODCOCK, LISA</t>
  </si>
  <si>
    <t>WARR, SHELLEY</t>
  </si>
  <si>
    <t>HIMMLER, CHARLES</t>
  </si>
  <si>
    <t>MARTIN, LISA</t>
  </si>
  <si>
    <t>RODNEY, WILLIAM</t>
  </si>
  <si>
    <t>GUTHRIE, DAVID</t>
  </si>
  <si>
    <t>GANDHI, RAJENDRA</t>
  </si>
  <si>
    <t>JENNINGS, LARRY</t>
  </si>
  <si>
    <t>EMBRY, TRAVIS</t>
  </si>
  <si>
    <t>MCGEE, IVY</t>
  </si>
  <si>
    <t>WILSON, ROBERT</t>
  </si>
  <si>
    <t>WISE, RONETTE</t>
  </si>
  <si>
    <t>CHILDERS, ANGIE</t>
  </si>
  <si>
    <t>KEOUGH, TAMMY</t>
  </si>
  <si>
    <t>MANER, JAMIE</t>
  </si>
  <si>
    <t>ROUSH, SCOTT</t>
  </si>
  <si>
    <t>HOPKINS, ROBERT</t>
  </si>
  <si>
    <t>ROUSSEAU, JEAN</t>
  </si>
  <si>
    <t>PENDLEY, BRADFORD</t>
  </si>
  <si>
    <t>WHICKER, KIMBERLY</t>
  </si>
  <si>
    <t>WOLF, LINDSAY</t>
  </si>
  <si>
    <t>JAMES, MICHELLE</t>
  </si>
  <si>
    <t>SMITH, CAROLYN</t>
  </si>
  <si>
    <t>MULLINS, KATHERINE</t>
  </si>
  <si>
    <t>MCCOMMON, NICOLE</t>
  </si>
  <si>
    <t>TAYLOR, HEATHER</t>
  </si>
  <si>
    <t>WARD, AMANDA</t>
  </si>
  <si>
    <t>SMITH, TERESA</t>
  </si>
  <si>
    <t>MILLER, JENNIFER</t>
  </si>
  <si>
    <t>HALL, ARTHUR</t>
  </si>
  <si>
    <t>SWIFT, RICHARD</t>
  </si>
  <si>
    <t>VESTER, LINDSAY</t>
  </si>
  <si>
    <t>BIRCH, SCOTT</t>
  </si>
  <si>
    <t>MEEHAN, RALPH</t>
  </si>
  <si>
    <t>LESLIE, JOHN</t>
  </si>
  <si>
    <t>MOLLER, DANIEL</t>
  </si>
  <si>
    <t>WALKER, JAMES</t>
  </si>
  <si>
    <t>HUFFMAN, JAMES</t>
  </si>
  <si>
    <t>ALSUP, RONALD</t>
  </si>
  <si>
    <t>DUKE, FRANCES</t>
  </si>
  <si>
    <t>HUNT, TERRY</t>
  </si>
  <si>
    <t>MCGATH, RICKEY</t>
  </si>
  <si>
    <t>BERNER, DENNIS</t>
  </si>
  <si>
    <t>TIPPIN, PHILIP</t>
  </si>
  <si>
    <t>HISER, SAMUEL</t>
  </si>
  <si>
    <t>SHARMA, RUCHIKA</t>
  </si>
  <si>
    <t>SHOPE, SHEILA</t>
  </si>
  <si>
    <t>WEBBER, DAVID</t>
  </si>
  <si>
    <t>PORTER, JOLIE</t>
  </si>
  <si>
    <t>WOOD, MARK</t>
  </si>
  <si>
    <t>DEWITT, JT</t>
  </si>
  <si>
    <t>SCALLY, NICOLE</t>
  </si>
  <si>
    <t>COLLINS, SHERRI</t>
  </si>
  <si>
    <t>MANATT, COURTNEY</t>
  </si>
  <si>
    <t>NWORA, JOHN</t>
  </si>
  <si>
    <t>SIMMONS, ANGELA</t>
  </si>
  <si>
    <t>BORENGASSER, CARRIE</t>
  </si>
  <si>
    <t>FAWBUSH, LORI</t>
  </si>
  <si>
    <t>SHAFI, NAHID</t>
  </si>
  <si>
    <t>DIXON, NAOMI</t>
  </si>
  <si>
    <t>FLETCHER, CALLIE</t>
  </si>
  <si>
    <t>WADE, MODEANNA</t>
  </si>
  <si>
    <t>AMYETT, KYMBERLY</t>
  </si>
  <si>
    <t>NTUI-AYUK, GEORGE</t>
  </si>
  <si>
    <t>BENTON, STEFFANY</t>
  </si>
  <si>
    <t>RANKIN, HEATHER</t>
  </si>
  <si>
    <t>DEDMAN, JOHN</t>
  </si>
  <si>
    <t>FLIPPIN, DANE</t>
  </si>
  <si>
    <t>SANSON, JODI</t>
  </si>
  <si>
    <t>DONNELL, HUGH</t>
  </si>
  <si>
    <t>UNKEL, STEVEN</t>
  </si>
  <si>
    <t>GUSTAVUS, JOHN</t>
  </si>
  <si>
    <t>STOUT, MICHAEL</t>
  </si>
  <si>
    <t>BOWEN, BRYAN</t>
  </si>
  <si>
    <t>CALLAWAY, MATTHEW</t>
  </si>
  <si>
    <t>SLABBERT, CHRISTIAAN</t>
  </si>
  <si>
    <t>KHANNA, RAJAN</t>
  </si>
  <si>
    <t>SASSER, LOUIS</t>
  </si>
  <si>
    <t>FOX, THOMAS</t>
  </si>
  <si>
    <t>WEISS, MARTIN</t>
  </si>
  <si>
    <t>WARR, JAMES</t>
  </si>
  <si>
    <t>SPURLING, JASON</t>
  </si>
  <si>
    <t>ALLEN, H.</t>
  </si>
  <si>
    <t>JOHNSON, ALLISON</t>
  </si>
  <si>
    <t>POLA, RAJA</t>
  </si>
  <si>
    <t>ASHLOCK-RUDA, DELORIS</t>
  </si>
  <si>
    <t>MEYER, RUTH</t>
  </si>
  <si>
    <t>BRACY, BRIAN</t>
  </si>
  <si>
    <t>SHELTON, DALE</t>
  </si>
  <si>
    <t>JACKSON, LAURA</t>
  </si>
  <si>
    <t>FORTSON, CHRISTOPHER</t>
  </si>
  <si>
    <t>BAKER, JENNIE</t>
  </si>
  <si>
    <t>STEVENS, AMANDA</t>
  </si>
  <si>
    <t>COCHRAN, STEPHANIE</t>
  </si>
  <si>
    <t>HUDSON, ANNA</t>
  </si>
  <si>
    <t>SELLS, STEPHANIE</t>
  </si>
  <si>
    <t>MCGINTY, TANNER</t>
  </si>
  <si>
    <t>BONE, YOLANDA</t>
  </si>
  <si>
    <t>HEMPHILL, PATRICIA</t>
  </si>
  <si>
    <t>LAPER, JACQUELINE</t>
  </si>
  <si>
    <t>RABEN-TAYLOR, SUSAN</t>
  </si>
  <si>
    <t>VENTERS, STEVEN</t>
  </si>
  <si>
    <t>AVGERIS, JOHN</t>
  </si>
  <si>
    <t>JACOBS, JOHN</t>
  </si>
  <si>
    <t>ALLEN, JULIA</t>
  </si>
  <si>
    <t>WHITE, AARON</t>
  </si>
  <si>
    <t>HOLT, DANNY</t>
  </si>
  <si>
    <t>JUSTICE, JAMES</t>
  </si>
  <si>
    <t>MOORE, THOMAS</t>
  </si>
  <si>
    <t>WYATT, DAVID</t>
  </si>
  <si>
    <t>PITTMAN, BEAU</t>
  </si>
  <si>
    <t>JEFFERS PERRY, ROBIN</t>
  </si>
  <si>
    <t>STONE, CINDY</t>
  </si>
  <si>
    <t>JOHNSON, BRAD</t>
  </si>
  <si>
    <t>KENNEDY, ROBERT</t>
  </si>
  <si>
    <t>OZDEMIR, BURCU</t>
  </si>
  <si>
    <t>ELANGWE, PHILIP</t>
  </si>
  <si>
    <t>DIXON, JARED</t>
  </si>
  <si>
    <t>BULLEN, LIESL</t>
  </si>
  <si>
    <t>DILL, KENNETH</t>
  </si>
  <si>
    <t>GREEK, JULIE</t>
  </si>
  <si>
    <t>REED, JESSICA</t>
  </si>
  <si>
    <t>SHIPP, TIMOTHY</t>
  </si>
  <si>
    <t>WALSH, CHERYL</t>
  </si>
  <si>
    <t>HUBBARD, KELLY</t>
  </si>
  <si>
    <t>GANUS, CASSANDRA</t>
  </si>
  <si>
    <t>ERVIN, ERICA</t>
  </si>
  <si>
    <t>CUNNINGHAM, LISA</t>
  </si>
  <si>
    <t>SMITH, JANINE</t>
  </si>
  <si>
    <t>ABBOTT, RANDY</t>
  </si>
  <si>
    <t>SHARPE, JUSTIN</t>
  </si>
  <si>
    <t>YUSUF, MUHAMMAD</t>
  </si>
  <si>
    <t>JONES, ANGELA</t>
  </si>
  <si>
    <t>BEAN, PAUL</t>
  </si>
  <si>
    <t>SHATLEY, MISTY</t>
  </si>
  <si>
    <t>WALDON, GENE</t>
  </si>
  <si>
    <t>SHARLIN, KENNETH</t>
  </si>
  <si>
    <t>SHAW-BULLOCK, ROSE</t>
  </si>
  <si>
    <t>PHILLIPS, REBECCA</t>
  </si>
  <si>
    <t>BANNING, MICHELLE</t>
  </si>
  <si>
    <t>BROOKS, DONALD</t>
  </si>
  <si>
    <t>FLOYD, REBECCA</t>
  </si>
  <si>
    <t>MARTIN, JAMES</t>
  </si>
  <si>
    <t>WOOD, WILLIAM</t>
  </si>
  <si>
    <t>SPOON, HEATHER</t>
  </si>
  <si>
    <t>BROFFITT, SAMUEL</t>
  </si>
  <si>
    <t>JEFFERSON, THOMAS</t>
  </si>
  <si>
    <t>FINNIE, RHONDA</t>
  </si>
  <si>
    <t>DOUTHIT, MISTY</t>
  </si>
  <si>
    <t>HARWOOD, TRACY</t>
  </si>
  <si>
    <t>PARKS, CHRISTY</t>
  </si>
  <si>
    <t>PARKER, WILLIAM</t>
  </si>
  <si>
    <t>VILLALOBOS, ROXANNE</t>
  </si>
  <si>
    <t>GRIFFIN, PAMELA</t>
  </si>
  <si>
    <t>PYE, SHERRY</t>
  </si>
  <si>
    <t>WASHINGTON, LATONYA</t>
  </si>
  <si>
    <t>HOLLEMAN, ERIN</t>
  </si>
  <si>
    <t>FOSTER, STANLEY</t>
  </si>
  <si>
    <t>FLOYD, COURTNEY</t>
  </si>
  <si>
    <t>IMRAN, TABASUM</t>
  </si>
  <si>
    <t>JAMES, ASHLEY</t>
  </si>
  <si>
    <t>VIZCONDE, ROLAND</t>
  </si>
  <si>
    <t>OWENS, THELMA</t>
  </si>
  <si>
    <t>BARKER, JONI</t>
  </si>
  <si>
    <t>BOALS, MICHELLE</t>
  </si>
  <si>
    <t>CONATSER, LAUREN</t>
  </si>
  <si>
    <t>HANCOCK, DEREK</t>
  </si>
  <si>
    <t>GALLEGOS, CHRISTY</t>
  </si>
  <si>
    <t>MILES, CHRISTINE</t>
  </si>
  <si>
    <t>JONES, RYAN</t>
  </si>
  <si>
    <t>CHANDLER, JOHN</t>
  </si>
  <si>
    <t>LIM, KENNEDY</t>
  </si>
  <si>
    <t>YOUNG, REBECCA</t>
  </si>
  <si>
    <t>ILOH, EMMANUEL</t>
  </si>
  <si>
    <t>NAEGER, RANDOLF</t>
  </si>
  <si>
    <t>REARDON, JOSEPH</t>
  </si>
  <si>
    <t>YAWN, TIMOTHY</t>
  </si>
  <si>
    <t>FRANKLIN, PATRICIA</t>
  </si>
  <si>
    <t>KAMPERT, KURT</t>
  </si>
  <si>
    <t>WHITLOCK, LAWRENCE</t>
  </si>
  <si>
    <t>WRIGHT, DANA</t>
  </si>
  <si>
    <t>SLAY, DAVID</t>
  </si>
  <si>
    <t>BURNS, TERRY</t>
  </si>
  <si>
    <t>GIZINSKI, ALISON</t>
  </si>
  <si>
    <t>NEW, NELDA</t>
  </si>
  <si>
    <t>VAUGHN, MARY</t>
  </si>
  <si>
    <t>TREVILLYAN, M</t>
  </si>
  <si>
    <t>GUYER, MICHAEL</t>
  </si>
  <si>
    <t>LEE, JAMES</t>
  </si>
  <si>
    <t>IRWIN, AMY</t>
  </si>
  <si>
    <t>DUNCAN, ANGELA</t>
  </si>
  <si>
    <t>PIRRAGLIA, MARISA</t>
  </si>
  <si>
    <t>MILLS, ALICE</t>
  </si>
  <si>
    <t>PODRAZIK, PAULA</t>
  </si>
  <si>
    <t>CRONE, CYNTHIA</t>
  </si>
  <si>
    <t>NOUANSAVANE, CHANSAMORN</t>
  </si>
  <si>
    <t>MORSE, TIMOTHY</t>
  </si>
  <si>
    <t>GARDNER, THOMAS</t>
  </si>
  <si>
    <t>CARTER, MELISSA</t>
  </si>
  <si>
    <t>VEAZEY, LAUREN</t>
  </si>
  <si>
    <t>HARRELL, SHERRIE</t>
  </si>
  <si>
    <t>BRAZIL, LEAH</t>
  </si>
  <si>
    <t>LANDRUM, VALARI</t>
  </si>
  <si>
    <t>LOVE, MARGARET</t>
  </si>
  <si>
    <t>GULLETTE, DONNA</t>
  </si>
  <si>
    <t>KERBY, MARY</t>
  </si>
  <si>
    <t>WEAVER, DANIELLE</t>
  </si>
  <si>
    <t>GILLENWATER, CHRISTINA</t>
  </si>
  <si>
    <t>DENNISTON, REBECCA</t>
  </si>
  <si>
    <t>HARDIN, CHRISTOPHER</t>
  </si>
  <si>
    <t>MALLOY, MARK</t>
  </si>
  <si>
    <t>SAEZ, ROBERTO</t>
  </si>
  <si>
    <t>BENZ, ALLEN</t>
  </si>
  <si>
    <t>SHOWN, TIM</t>
  </si>
  <si>
    <t>HALL, SCOTT</t>
  </si>
  <si>
    <t>CRANFORD, RUSSELL</t>
  </si>
  <si>
    <t>VANDEVEN, GREGORY</t>
  </si>
  <si>
    <t>HARTMAN, RAYMOND</t>
  </si>
  <si>
    <t>DIAMOND, COREY</t>
  </si>
  <si>
    <t>KISS, CSABA</t>
  </si>
  <si>
    <t>FITZGERALD, KENNETH</t>
  </si>
  <si>
    <t>MCCOURTNEY, BILL</t>
  </si>
  <si>
    <t>SMITH, VALERIE</t>
  </si>
  <si>
    <t>DOWLING, CARRIE</t>
  </si>
  <si>
    <t>HENNIGAN, CHERYL</t>
  </si>
  <si>
    <t>BURKS, JENNIFER</t>
  </si>
  <si>
    <t>BURCHFIELD, DANA</t>
  </si>
  <si>
    <t>NEAVILLE, GARY</t>
  </si>
  <si>
    <t>TURAKHIA, BIPIN</t>
  </si>
  <si>
    <t>FINCH, RICHARD</t>
  </si>
  <si>
    <t>ANDERSON, LESLIE</t>
  </si>
  <si>
    <t>CHAPMAN, KIMBERLY</t>
  </si>
  <si>
    <t>COHN, HEIDI</t>
  </si>
  <si>
    <t>ROBBINS, RICK</t>
  </si>
  <si>
    <t>FENDLEY, JACK</t>
  </si>
  <si>
    <t>SMITH, JOHN</t>
  </si>
  <si>
    <t>LUM, DIANE</t>
  </si>
  <si>
    <t>STUSSY, SHAWN</t>
  </si>
  <si>
    <t>FIELDER, DAVID</t>
  </si>
  <si>
    <t>BURKS, KAREN</t>
  </si>
  <si>
    <t>KENT, VINCENT</t>
  </si>
  <si>
    <t>KING, JOE</t>
  </si>
  <si>
    <t>SORG, JOHN</t>
  </si>
  <si>
    <t>TAYLOR, RICHARD</t>
  </si>
  <si>
    <t>KURTS, JENNY</t>
  </si>
  <si>
    <t>JACKSON, BYRON</t>
  </si>
  <si>
    <t>DANZELL, JOHN</t>
  </si>
  <si>
    <t>HERNANDEZ, SAMNIENG</t>
  </si>
  <si>
    <t>DANKO, RAQUEL</t>
  </si>
  <si>
    <t>ANNE, PRATIBHA</t>
  </si>
  <si>
    <t>COLEMAN, REBECCA</t>
  </si>
  <si>
    <t>MYRIOUNIS, NIKOLAOS</t>
  </si>
  <si>
    <t>AMIN, SUMAIYA</t>
  </si>
  <si>
    <t>BUSCHMAN, PAUL</t>
  </si>
  <si>
    <t>RUSSELL, CLAIRE</t>
  </si>
  <si>
    <t>RAMPEY, BRYAN</t>
  </si>
  <si>
    <t>BRANSCUM, KRISTIE</t>
  </si>
  <si>
    <t>WHITE, CORTNEY</t>
  </si>
  <si>
    <t>REEVES, AMY</t>
  </si>
  <si>
    <t>BEAM, DAVID</t>
  </si>
  <si>
    <t>OLSEN, MARK</t>
  </si>
  <si>
    <t>BRASHEARS, LARRY</t>
  </si>
  <si>
    <t>LAWRINENKO, VICTOR</t>
  </si>
  <si>
    <t>WEAVER, BEVERLY</t>
  </si>
  <si>
    <t>PILAND, DONALD</t>
  </si>
  <si>
    <t>WILSON, JOHN</t>
  </si>
  <si>
    <t>JOHNSON, DAVID</t>
  </si>
  <si>
    <t>IVEY, TRACI</t>
  </si>
  <si>
    <t>TAYLOR, TOMMY</t>
  </si>
  <si>
    <t>RUSHING, GEORGE</t>
  </si>
  <si>
    <t>NORTHCROSS, PHILLIP</t>
  </si>
  <si>
    <t>WARRINGTON, PAUL</t>
  </si>
  <si>
    <t>KINNEBREW, W.</t>
  </si>
  <si>
    <t>GETZ, LEN</t>
  </si>
  <si>
    <t>HAMBY, JEFFREY</t>
  </si>
  <si>
    <t>SMITH, GEORGE</t>
  </si>
  <si>
    <t>FILIPCIC, RAMUNE</t>
  </si>
  <si>
    <t>BYRD, WILLIAM</t>
  </si>
  <si>
    <t>SCHLABACH, RONALD</t>
  </si>
  <si>
    <t>TAYLOR, MICHELLE</t>
  </si>
  <si>
    <t>HAYS, DEBORAH</t>
  </si>
  <si>
    <t>BOWLES, RICHARD</t>
  </si>
  <si>
    <t>TARR, RUSSELL</t>
  </si>
  <si>
    <t>ALLEN, LAURA</t>
  </si>
  <si>
    <t>THOMPSON, CHRISTIANA</t>
  </si>
  <si>
    <t>ROBINSON, TODD</t>
  </si>
  <si>
    <t>PRASAD, BHEERENDRA</t>
  </si>
  <si>
    <t>ONGSINGCO, JOSE GABRIEL</t>
  </si>
  <si>
    <t>PUGH, MARY</t>
  </si>
  <si>
    <t>SUN, GRACE</t>
  </si>
  <si>
    <t>MCCALL, ADAM</t>
  </si>
  <si>
    <t>ROGERS, TARA</t>
  </si>
  <si>
    <t>KNOX, BETH</t>
  </si>
  <si>
    <t>ANAND, DHEERAJ</t>
  </si>
  <si>
    <t>ABU AL HOMMOS, NISREEN</t>
  </si>
  <si>
    <t>SMITH, LORI</t>
  </si>
  <si>
    <t>SMITH, KEISHA</t>
  </si>
  <si>
    <t>JENKINS, LARRAH</t>
  </si>
  <si>
    <t>DABNEY, ROBIN</t>
  </si>
  <si>
    <t>ALLEN, ASHLEY</t>
  </si>
  <si>
    <t>REVIS, APRIL</t>
  </si>
  <si>
    <t>HOOD, JAN</t>
  </si>
  <si>
    <t>BERRY, WILLIAM</t>
  </si>
  <si>
    <t>HARRINGTON, BASIL</t>
  </si>
  <si>
    <t>BOWMAN, CORINE</t>
  </si>
  <si>
    <t>JENKINS, WILLYN</t>
  </si>
  <si>
    <t>HUNTER, CARRIE</t>
  </si>
  <si>
    <t>WATSON, DANIEL</t>
  </si>
  <si>
    <t>BARROW, JIMMY</t>
  </si>
  <si>
    <t>NAVARRO, ALEXANDER</t>
  </si>
  <si>
    <t>PREWITT, DARRION</t>
  </si>
  <si>
    <t>STEWART, GARRY</t>
  </si>
  <si>
    <t>HARPER, MICHAEL</t>
  </si>
  <si>
    <t>PURVIS, KATHLEEN</t>
  </si>
  <si>
    <t>LIPPERT, DONALD</t>
  </si>
  <si>
    <t>GOLDEN, WILLIAM</t>
  </si>
  <si>
    <t>KONERU, KALYANA</t>
  </si>
  <si>
    <t>FLOOD, WILBUR</t>
  </si>
  <si>
    <t>CORDELL, BETSY</t>
  </si>
  <si>
    <t>THYS, SERGE</t>
  </si>
  <si>
    <t>VIEGAS, MARK</t>
  </si>
  <si>
    <t>SPENCER, RACQUEL</t>
  </si>
  <si>
    <t>SEMINGSON, JAMES</t>
  </si>
  <si>
    <t>LAWSON, SAMANTHA</t>
  </si>
  <si>
    <t>ASHLEY, THERESA</t>
  </si>
  <si>
    <t>YOUNG, DAVID</t>
  </si>
  <si>
    <t>TYNES, RUSSELL</t>
  </si>
  <si>
    <t>MILLER, JINA</t>
  </si>
  <si>
    <t>PUMMILL, DANIEL</t>
  </si>
  <si>
    <t>WARD-JONES, SUSAN</t>
  </si>
  <si>
    <t>EDWARDS, RAYMOND</t>
  </si>
  <si>
    <t>DOUGLAS, DONALD</t>
  </si>
  <si>
    <t>SCHOCHLER, AMY</t>
  </si>
  <si>
    <t>BAILEY, THOMAS</t>
  </si>
  <si>
    <t>ULMER, SUE</t>
  </si>
  <si>
    <t>WALLEY, LINDSEY</t>
  </si>
  <si>
    <t>DUGGAN, PATRICIA</t>
  </si>
  <si>
    <t>JORDAN, DREXEL</t>
  </si>
  <si>
    <t>BURR, MARY</t>
  </si>
  <si>
    <t>HOLLEY, JERRY</t>
  </si>
  <si>
    <t>HEARNE, ARCHIE</t>
  </si>
  <si>
    <t>TRIPP, DUSTIN</t>
  </si>
  <si>
    <t>NAKKAR, SAMER</t>
  </si>
  <si>
    <t>GABLE, KRISTINE</t>
  </si>
  <si>
    <t>MACCONAUGHA, KIMBERLY</t>
  </si>
  <si>
    <t>LYERLY, MICHAEL</t>
  </si>
  <si>
    <t>MACLIN, KAROL</t>
  </si>
  <si>
    <t>COOPER, JACLYN</t>
  </si>
  <si>
    <t>SMITH, THURMAN</t>
  </si>
  <si>
    <t>WILLIAMS, STEVEN</t>
  </si>
  <si>
    <t>ENNIS, ERNEST</t>
  </si>
  <si>
    <t>HOLT, JEFFREY</t>
  </si>
  <si>
    <t>BRADLEY, FARAH</t>
  </si>
  <si>
    <t>ADESOJI, GAFAR</t>
  </si>
  <si>
    <t>BALDERAMA, HERMINIO</t>
  </si>
  <si>
    <t>ATKINSON, THOMAS</t>
  </si>
  <si>
    <t>ROBINSON, MARK</t>
  </si>
  <si>
    <t>DAVIS, RYAN</t>
  </si>
  <si>
    <t>SMITH, RICHARD</t>
  </si>
  <si>
    <t>HOWARD, KIEFFER</t>
  </si>
  <si>
    <t>PURIFOY, SHAWN</t>
  </si>
  <si>
    <t>LEDBETTER, STEVEN</t>
  </si>
  <si>
    <t>ARRINGTON, JAMES</t>
  </si>
  <si>
    <t>PACE, ROSE</t>
  </si>
  <si>
    <t>SMITH, LANDER</t>
  </si>
  <si>
    <t>HALL, KELLY</t>
  </si>
  <si>
    <t>HUGHES, LYNDA</t>
  </si>
  <si>
    <t>TATE, RICKY</t>
  </si>
  <si>
    <t>PORTER, REVEL</t>
  </si>
  <si>
    <t>LUKAVSKY, JAMES</t>
  </si>
  <si>
    <t>MICHAEL, RICHARD</t>
  </si>
  <si>
    <t>CHAMBELLAN, KEN</t>
  </si>
  <si>
    <t>OZOIGBO, VALENTINE</t>
  </si>
  <si>
    <t>REDAM, MEGAN</t>
  </si>
  <si>
    <t>PLATT, KEVIN</t>
  </si>
  <si>
    <t>GOSS, ERIN</t>
  </si>
  <si>
    <t>WHERRY, HOLLY</t>
  </si>
  <si>
    <t>CARD, SHANNON</t>
  </si>
  <si>
    <t>WERNER, CHARLES</t>
  </si>
  <si>
    <t>SULLIVAN, MEGHAN</t>
  </si>
  <si>
    <t>DEWEY, JENNIFER</t>
  </si>
  <si>
    <t>FRANK, MATTHEW</t>
  </si>
  <si>
    <t>WARD, LESLIE</t>
  </si>
  <si>
    <t>MCCORD, SARA</t>
  </si>
  <si>
    <t>LOUDERMILK, JON</t>
  </si>
  <si>
    <t>RANZ, JENNIFER</t>
  </si>
  <si>
    <t>MESLEH SHAYEB, AKRAM</t>
  </si>
  <si>
    <t>MORGAN, JOSEPH</t>
  </si>
  <si>
    <t>CARTWRIGHT, CANDICE</t>
  </si>
  <si>
    <t>FORD, MICHAEL</t>
  </si>
  <si>
    <t>PRUETT, MICHAEL</t>
  </si>
  <si>
    <t>VEERAREDDY, SRIKAR</t>
  </si>
  <si>
    <t>IRVIN, JOHN</t>
  </si>
  <si>
    <t>EUBANK, SANDRA</t>
  </si>
  <si>
    <t>WILSON, RICHARD</t>
  </si>
  <si>
    <t>MULLINAX, CLARICE</t>
  </si>
  <si>
    <t>WILLIAMS, ANTHONY</t>
  </si>
  <si>
    <t>WILBER, STEPHEN</t>
  </si>
  <si>
    <t>GARNER, SETH</t>
  </si>
  <si>
    <t>BODEMANN, DIANE</t>
  </si>
  <si>
    <t>MITCHELL, KATHERINE</t>
  </si>
  <si>
    <t>PATTERSON, JAMES</t>
  </si>
  <si>
    <t>ATILES, JOSE</t>
  </si>
  <si>
    <t>BALTZ, ALEXANDER</t>
  </si>
  <si>
    <t>KNOX, CHRISTOPHER</t>
  </si>
  <si>
    <t>NOLLNER, ROBERT</t>
  </si>
  <si>
    <t>BELL, L.J.</t>
  </si>
  <si>
    <t>ZINKE, BELINDA</t>
  </si>
  <si>
    <t>MCCLATCHY, WILLIAM</t>
  </si>
  <si>
    <t>JORDAN, RICHARD</t>
  </si>
  <si>
    <t>SULLIVAN, SARAH</t>
  </si>
  <si>
    <t>PATEL, CHANDRAKANT</t>
  </si>
  <si>
    <t>POLLOCK, SOLANGEL</t>
  </si>
  <si>
    <t>CO, JENNIFER</t>
  </si>
  <si>
    <t>LOVELAND, RICHARD</t>
  </si>
  <si>
    <t>GADDY, MICHAEL</t>
  </si>
  <si>
    <t>OLTMANN, MICHAEL</t>
  </si>
  <si>
    <t>SALMON, JOHN</t>
  </si>
  <si>
    <t>EVANGELISTI, BARBARA</t>
  </si>
  <si>
    <t>UMER, SARWAT</t>
  </si>
  <si>
    <t>BOLDING, MICHAEL</t>
  </si>
  <si>
    <t>SULAIMAN, KARINA</t>
  </si>
  <si>
    <t>LANKFORD, LADARYL</t>
  </si>
  <si>
    <t>WALSH, BRADLEY</t>
  </si>
  <si>
    <t>GEIDL, DAVID</t>
  </si>
  <si>
    <t>TREAT, DANA</t>
  </si>
  <si>
    <t>SAVAGE, AMANDA</t>
  </si>
  <si>
    <t>CHITTICK, AMBER</t>
  </si>
  <si>
    <t>CROOK, SARAH</t>
  </si>
  <si>
    <t>TIPTON, CHRISTY</t>
  </si>
  <si>
    <t>SCURFIELD, HOLLY</t>
  </si>
  <si>
    <t>COMPAS, DARREN</t>
  </si>
  <si>
    <t>HOLLOWAY, BARRY</t>
  </si>
  <si>
    <t>SCHULTE, DEBRA</t>
  </si>
  <si>
    <t>TRAVIS, WENDY</t>
  </si>
  <si>
    <t>GRIGSBY, HEATHER</t>
  </si>
  <si>
    <t>GILL, LINDSAY</t>
  </si>
  <si>
    <t>OLIVER, NYCOLE</t>
  </si>
  <si>
    <t>DIXON, TYMWA</t>
  </si>
  <si>
    <t>MURPHY, BRANDON</t>
  </si>
  <si>
    <t>THORN, GARLAND</t>
  </si>
  <si>
    <t>ZANDO, IRAM</t>
  </si>
  <si>
    <t>YOUSUF, MOHAMMAD</t>
  </si>
  <si>
    <t>LIGHT, WILLIAM</t>
  </si>
  <si>
    <t>POEMOCEAH, KENNETH</t>
  </si>
  <si>
    <t>HOLSTON, JOHN</t>
  </si>
  <si>
    <t>WHITE, BRUCE</t>
  </si>
  <si>
    <t>BALDRIDGE, JOHN</t>
  </si>
  <si>
    <t>CABALLERO, HUGO</t>
  </si>
  <si>
    <t>THOMAS, ROBERT</t>
  </si>
  <si>
    <t>SMITH, CLYDE</t>
  </si>
  <si>
    <t>SCHMITZ, JAMES</t>
  </si>
  <si>
    <t>JOSEPH, RALPH</t>
  </si>
  <si>
    <t>STOREYGARD, ALAN</t>
  </si>
  <si>
    <t>CASH, MARION</t>
  </si>
  <si>
    <t>SPURLING, MARIA</t>
  </si>
  <si>
    <t>RIPPY, KELLI</t>
  </si>
  <si>
    <t>SANTA CRUZ, SUSAN</t>
  </si>
  <si>
    <t>RANA, IRFAN</t>
  </si>
  <si>
    <t>DONNER, KIMBERLEY</t>
  </si>
  <si>
    <t>HUMPHREY, CHARLES</t>
  </si>
  <si>
    <t>GRAHAM, MARIE</t>
  </si>
  <si>
    <t>SEWERIN, BARBARA</t>
  </si>
  <si>
    <t>MCCLAIN, ELIZABETH</t>
  </si>
  <si>
    <t>BOZEMAN, DENICE</t>
  </si>
  <si>
    <t>NAST, DEANNA</t>
  </si>
  <si>
    <t>WATKINS, CHARLA</t>
  </si>
  <si>
    <t>WILKERSON, ROBYN</t>
  </si>
  <si>
    <t>BLANCHARD, JULIA</t>
  </si>
  <si>
    <t>ROBERTS, CHERRI</t>
  </si>
  <si>
    <t>HTIKE, NAING</t>
  </si>
  <si>
    <t>TETLETON, JAMES</t>
  </si>
  <si>
    <t>LUNSFORD, HOLLY</t>
  </si>
  <si>
    <t>ROTENBERRY, AMANDA</t>
  </si>
  <si>
    <t>ENDACOTT, HALEY</t>
  </si>
  <si>
    <t>GRIFFIN, BRADLEY</t>
  </si>
  <si>
    <t>MCDONALD, MORGAN</t>
  </si>
  <si>
    <t>MAZERAC, CORRY</t>
  </si>
  <si>
    <t>HAYES, WILLIAM</t>
  </si>
  <si>
    <t>MAKHATADZE, YELIZAVETA</t>
  </si>
  <si>
    <t>GEIGER, PAUL</t>
  </si>
  <si>
    <t>GARCIAGAYOSO, AILEEN</t>
  </si>
  <si>
    <t>HYATT, TERRI</t>
  </si>
  <si>
    <t>HOLLADAY, SAMUEL</t>
  </si>
  <si>
    <t>MORRIS, TROY</t>
  </si>
  <si>
    <t>CARTER, SYBLE</t>
  </si>
  <si>
    <t>ANDERSON, GREGORY</t>
  </si>
  <si>
    <t>MCGARRY, PATRICIA</t>
  </si>
  <si>
    <t>LEE, LE</t>
  </si>
  <si>
    <t>RASMUSSEN, CHARLES</t>
  </si>
  <si>
    <t>KAUFFMAN, PAUL</t>
  </si>
  <si>
    <t>HOWARD, JAMIE</t>
  </si>
  <si>
    <t>TESFAU, SIMON</t>
  </si>
  <si>
    <t>JONES, MAURICE</t>
  </si>
  <si>
    <t>BRUNT, AMY</t>
  </si>
  <si>
    <t>RODNEY, JOHN ROCCO</t>
  </si>
  <si>
    <t>HICKS, K</t>
  </si>
  <si>
    <t>JOHNSON, ERIC</t>
  </si>
  <si>
    <t>EDWARDS, MARJORIE</t>
  </si>
  <si>
    <t>ANDERSON, BRANDI</t>
  </si>
  <si>
    <t>HEASER, AMITA</t>
  </si>
  <si>
    <t>TOWNSEND, JAMES</t>
  </si>
  <si>
    <t>JAMES, ERIN</t>
  </si>
  <si>
    <t>SCROGGIN, ERIC</t>
  </si>
  <si>
    <t>POSEY, LORI</t>
  </si>
  <si>
    <t>LOWDERMILK, CHARITY</t>
  </si>
  <si>
    <t>HODGES, J . TIMOTHY</t>
  </si>
  <si>
    <t>CHURCH, MICHAEL</t>
  </si>
  <si>
    <t>BRAY, SHELLY</t>
  </si>
  <si>
    <t>WILSON, PAUL</t>
  </si>
  <si>
    <t>NOONAN, ROBERT</t>
  </si>
  <si>
    <t>KONIS, GEORGE</t>
  </si>
  <si>
    <t>CULLOM, SUMNER</t>
  </si>
  <si>
    <t>HARRIS, JOHN</t>
  </si>
  <si>
    <t>PURVIS, KENNETH</t>
  </si>
  <si>
    <t>SHARAF, HUDA</t>
  </si>
  <si>
    <t>SMITH, VINCENT</t>
  </si>
  <si>
    <t>TRAN, HOA</t>
  </si>
  <si>
    <t>RAGHAVAN, SENTHIL</t>
  </si>
  <si>
    <t>THAKOR, SEJAL</t>
  </si>
  <si>
    <t>MOE, TINA</t>
  </si>
  <si>
    <t>ADKINS, MICHAEL</t>
  </si>
  <si>
    <t>HATHAWAY, SYLVIA</t>
  </si>
  <si>
    <t>CHAUDHARY, JYOTI</t>
  </si>
  <si>
    <t>VISTA, RAMON</t>
  </si>
  <si>
    <t>MCCOY, CHRISTINA</t>
  </si>
  <si>
    <t>HILL, NATALIE</t>
  </si>
  <si>
    <t>NEWSOM, SANDRA</t>
  </si>
  <si>
    <t>COOK, LEISA</t>
  </si>
  <si>
    <t>VERMONT, CHARLES</t>
  </si>
  <si>
    <t>TAYLOR, MARTHA</t>
  </si>
  <si>
    <t>YARBOROUGH, BECKY</t>
  </si>
  <si>
    <t>WILLIAMS, JAMES</t>
  </si>
  <si>
    <t>EDATTUKAREN, VARGHESE</t>
  </si>
  <si>
    <t>COWHERD, ROBERT</t>
  </si>
  <si>
    <t>SHINN, MARY</t>
  </si>
  <si>
    <t>RAGLAND, DARRELL</t>
  </si>
  <si>
    <t>MCDANIEL, CRAIG</t>
  </si>
  <si>
    <t>KLEINBECK, SETH</t>
  </si>
  <si>
    <t>DAUGHERTY, JOE</t>
  </si>
  <si>
    <t>THOMPSON, JOSEPH</t>
  </si>
  <si>
    <t>WONG, PUI-SUM</t>
  </si>
  <si>
    <t>ROBERTS, LILLY</t>
  </si>
  <si>
    <t>MUNCH, DOROTHY</t>
  </si>
  <si>
    <t>BRASFIELD, JOYCE</t>
  </si>
  <si>
    <t>ROACH, M CAREY</t>
  </si>
  <si>
    <t>FELDHOUSE, DOREEN</t>
  </si>
  <si>
    <t>BUFFINGTON, MICHAEL</t>
  </si>
  <si>
    <t>NAGEL, FRED</t>
  </si>
  <si>
    <t>WOODS, SEBORN</t>
  </si>
  <si>
    <t>DAVENPORT, MARY</t>
  </si>
  <si>
    <t>DUDLEY, GUILFORD</t>
  </si>
  <si>
    <t>SUNDARAM, BALASASIKUMAR</t>
  </si>
  <si>
    <t>HOWERTON, SHELIA</t>
  </si>
  <si>
    <t>FONTICIELLA, ADALBERTO</t>
  </si>
  <si>
    <t>COVERT, GEORGE</t>
  </si>
  <si>
    <t>HALE, KEVIN</t>
  </si>
  <si>
    <t>OXNER, TROY</t>
  </si>
  <si>
    <t>BERKSTRESSER, STEPHEN</t>
  </si>
  <si>
    <t>DUNCAN, ROLIN</t>
  </si>
  <si>
    <t>BURTON, AMY</t>
  </si>
  <si>
    <t>GILL, LISA</t>
  </si>
  <si>
    <t>CRAIG, JENNIFER</t>
  </si>
  <si>
    <t>SMITHWICK, SUSAN</t>
  </si>
  <si>
    <t>TILLEY, GINA</t>
  </si>
  <si>
    <t>KIIHNL, CLAYTON</t>
  </si>
  <si>
    <t>ORENDORFF, CHRISTOPHER</t>
  </si>
  <si>
    <t>TRAUTH, KYLE</t>
  </si>
  <si>
    <t>STONE, JENNIFER</t>
  </si>
  <si>
    <t>PETERS, KIMBERLY</t>
  </si>
  <si>
    <t>WILLIS, MICHELLE</t>
  </si>
  <si>
    <t>SMITH, LUKE</t>
  </si>
  <si>
    <t>ROBBERSON, TANYA</t>
  </si>
  <si>
    <t>JOHNSON, JESSICA</t>
  </si>
  <si>
    <t>SALANA, HARI</t>
  </si>
  <si>
    <t>MAEZ, LATRINA</t>
  </si>
  <si>
    <t>REDIX, MERKESSIE</t>
  </si>
  <si>
    <t>DIAMOND, SHERRI</t>
  </si>
  <si>
    <t>HOZDIC, RICHARD</t>
  </si>
  <si>
    <t>GREENWOOD, BLAIR</t>
  </si>
  <si>
    <t>YELVINGTON, DENNIS</t>
  </si>
  <si>
    <t>CABINE, LINDA</t>
  </si>
  <si>
    <t>YATES, JEFFREY</t>
  </si>
  <si>
    <t>LOYD, GREGORY</t>
  </si>
  <si>
    <t>TILLEY, JAMES</t>
  </si>
  <si>
    <t>HOUT, JUDSON</t>
  </si>
  <si>
    <t>SANDERS, ROBERT</t>
  </si>
  <si>
    <t>WALLACE, MICHAEL</t>
  </si>
  <si>
    <t>ROBBINS, BILLY</t>
  </si>
  <si>
    <t>KNIGHTON, TERRY</t>
  </si>
  <si>
    <t>HATLEY, RUSSELL</t>
  </si>
  <si>
    <t>MERLE, KAREN</t>
  </si>
  <si>
    <t>KOMPELLI, ASHOK</t>
  </si>
  <si>
    <t>LOSKOVITZ, LEWIS</t>
  </si>
  <si>
    <t>AGLORIA, MALIHA</t>
  </si>
  <si>
    <t>SPEED, PAMELA</t>
  </si>
  <si>
    <t>WOODARD, ERIC</t>
  </si>
  <si>
    <t>TUTT, RICHARD</t>
  </si>
  <si>
    <t>SHAH, AMBER</t>
  </si>
  <si>
    <t>HUISMAN, STEVEN</t>
  </si>
  <si>
    <t>CHEEK, ROBERT</t>
  </si>
  <si>
    <t>ASHLEY, CHIMERE</t>
  </si>
  <si>
    <t>FIGURES, KOYIA</t>
  </si>
  <si>
    <t>CLIFTON, AMY</t>
  </si>
  <si>
    <t>APPLEWHITE, ELIZABETH</t>
  </si>
  <si>
    <t>TEETER, STANLEY</t>
  </si>
  <si>
    <t>BROWN, CRYSTAL</t>
  </si>
  <si>
    <t>MARTIN, HERON</t>
  </si>
  <si>
    <t>CLEVENGER, CHERYL</t>
  </si>
  <si>
    <t>MOHAN, VEENA</t>
  </si>
  <si>
    <t>BARRON, WILLIAM</t>
  </si>
  <si>
    <t>MITCHELL, JAMES</t>
  </si>
  <si>
    <t>ABOU-FAYCAL, HALIM</t>
  </si>
  <si>
    <t>DAVIDSON, RICKY</t>
  </si>
  <si>
    <t>RAMASWAMY, SRINIVASAN</t>
  </si>
  <si>
    <t>NATARAJAN, MONIKA</t>
  </si>
  <si>
    <t>MISHRA, ASHUTOSH</t>
  </si>
  <si>
    <t>BARBER, JEFFERY</t>
  </si>
  <si>
    <t>KAZAKEVICIUS, RIMANTAS</t>
  </si>
  <si>
    <t>NIDA, JOSEPH</t>
  </si>
  <si>
    <t>WILLIS, DENISE</t>
  </si>
  <si>
    <t>LEDET, DAVONNA</t>
  </si>
  <si>
    <t>COLLINS, VERA</t>
  </si>
  <si>
    <t>SIMPSON, LATANYA</t>
  </si>
  <si>
    <t>SHERRILL, LISA</t>
  </si>
  <si>
    <t>ARBUCKLE, SUJEN</t>
  </si>
  <si>
    <t>BRANDON, KRISTEN</t>
  </si>
  <si>
    <t>BINNS, TASHA</t>
  </si>
  <si>
    <t>HOLLIS, BRENDA</t>
  </si>
  <si>
    <t>ANOWER, MOHAMMAD</t>
  </si>
  <si>
    <t>PRATHER, SUSAN</t>
  </si>
  <si>
    <t>DILES, AMANDA</t>
  </si>
  <si>
    <t>DARWIN, WILLIAM</t>
  </si>
  <si>
    <t>EMERSON, STACY</t>
  </si>
  <si>
    <t>BALDWIN, CRYSTAL</t>
  </si>
  <si>
    <t>HENRY, ASHLEY</t>
  </si>
  <si>
    <t>TRAVIS, AMANDA</t>
  </si>
  <si>
    <t>STARK, JARRETT</t>
  </si>
  <si>
    <t>ROBERTSON, DANYA</t>
  </si>
  <si>
    <t>ALLEN, JULIE</t>
  </si>
  <si>
    <t>KAHOUN, RENDI</t>
  </si>
  <si>
    <t>PULLIG, THOMAS</t>
  </si>
  <si>
    <t>SHORT, HAROLD</t>
  </si>
  <si>
    <t>GALLAGHER, JAMIE</t>
  </si>
  <si>
    <t>ALBERTY, BERNADETTE</t>
  </si>
  <si>
    <t>GILLS, EDWARD</t>
  </si>
  <si>
    <t>ATHOTA, PRASAD</t>
  </si>
  <si>
    <t>GLOVER, DAVID</t>
  </si>
  <si>
    <t>EVERTON, VICTORIA</t>
  </si>
  <si>
    <t>GARVIN, JANET</t>
  </si>
  <si>
    <t>BURT, WILLIAM</t>
  </si>
  <si>
    <t>ALTABBAA, AHMAD</t>
  </si>
  <si>
    <t>NTENDE, HENRY</t>
  </si>
  <si>
    <t>WALI, GHASSAN</t>
  </si>
  <si>
    <t>MURREY, JAMES</t>
  </si>
  <si>
    <t>MEASE, DARRELL</t>
  </si>
  <si>
    <t>WAGNER, TOMMY</t>
  </si>
  <si>
    <t>GREEN, REGINIQUE</t>
  </si>
  <si>
    <t>BEATON, JAMES</t>
  </si>
  <si>
    <t>SUAREZ, CARLOS</t>
  </si>
  <si>
    <t>TAYLOR, JANICE</t>
  </si>
  <si>
    <t>BURTON, BRUCE</t>
  </si>
  <si>
    <t>WOODEN, SUZANNA</t>
  </si>
  <si>
    <t>MAIER, JOSHUA</t>
  </si>
  <si>
    <t>CROCKETT, BRIDGET</t>
  </si>
  <si>
    <t>GIST, GAVIN</t>
  </si>
  <si>
    <t>MEREDITH, NICOLE</t>
  </si>
  <si>
    <t>BAKER, CYNTHIA</t>
  </si>
  <si>
    <t>HAY, BRIDGET</t>
  </si>
  <si>
    <t>HARRIS, LASHELLE</t>
  </si>
  <si>
    <t>REXILIUS, STEPHANIE</t>
  </si>
  <si>
    <t>GARRIOTT, JESSICA</t>
  </si>
  <si>
    <t>DEMENT, TONNA</t>
  </si>
  <si>
    <t>LANGDON, BRANDI</t>
  </si>
  <si>
    <t>BERNARD, THOMAS</t>
  </si>
  <si>
    <t>ROBINSON, LONNIE</t>
  </si>
  <si>
    <t>HARVEY, LISA</t>
  </si>
  <si>
    <t>HOGAN, MATTHEW</t>
  </si>
  <si>
    <t>BROWNING, JERRY</t>
  </si>
  <si>
    <t>HART, HAMILTON</t>
  </si>
  <si>
    <t>GLENN, JASON</t>
  </si>
  <si>
    <t>HUTCHISON, DARRELL</t>
  </si>
  <si>
    <t>KATHAWALA, AHSAN</t>
  </si>
  <si>
    <t>DONCER, RICHARD</t>
  </si>
  <si>
    <t>HUSKINS, JOHN</t>
  </si>
  <si>
    <t>TEDDER, MICHAEL</t>
  </si>
  <si>
    <t>WATSON, MICHAEL</t>
  </si>
  <si>
    <t>MISSAK, MARY</t>
  </si>
  <si>
    <t>CARROUTH, DAVID</t>
  </si>
  <si>
    <t>ELLINGTON, BARBARA</t>
  </si>
  <si>
    <t>MANGLER, VICTOR</t>
  </si>
  <si>
    <t>LOWRY, STEPHANIE</t>
  </si>
  <si>
    <t>RUEDA, MARTHA</t>
  </si>
  <si>
    <t>MCGRATH, CHRISTOPHER</t>
  </si>
  <si>
    <t>PARHAM, REBECCA</t>
  </si>
  <si>
    <t>BAKER, ERICA</t>
  </si>
  <si>
    <t>CARNATHAN, JESSICA</t>
  </si>
  <si>
    <t>CARTER, CHRISTOPHER</t>
  </si>
  <si>
    <t>MACHEN, HEIDI</t>
  </si>
  <si>
    <t>HALLIBURTON, JENNIFER</t>
  </si>
  <si>
    <t>ALLEN, LAURIE</t>
  </si>
  <si>
    <t>SMITH, CARLA</t>
  </si>
  <si>
    <t>WILSON, GARY</t>
  </si>
  <si>
    <t>SHAFII, LATIFEH</t>
  </si>
  <si>
    <t>TERRELL, ROBERT</t>
  </si>
  <si>
    <t>KEMPSON, STEVEN</t>
  </si>
  <si>
    <t>PRESTON, BRUCE</t>
  </si>
  <si>
    <t>OGE, BRIAN</t>
  </si>
  <si>
    <t>SHURLEY, FLOYD</t>
  </si>
  <si>
    <t>SWANSON, ALLISON</t>
  </si>
  <si>
    <t>HEARD, FREDERICK</t>
  </si>
  <si>
    <t>ASBURY, DALE</t>
  </si>
  <si>
    <t>REESE, RONALD</t>
  </si>
  <si>
    <t>MULLINAX, WILLIAM</t>
  </si>
  <si>
    <t>MCGRAW, LISA</t>
  </si>
  <si>
    <t>LAREY, MARK</t>
  </si>
  <si>
    <t>MCCORD, KIMYON</t>
  </si>
  <si>
    <t>PACE, DANIEL</t>
  </si>
  <si>
    <t>WEDDLE, JOHN</t>
  </si>
  <si>
    <t>VAUGHAN, GRANVILLE</t>
  </si>
  <si>
    <t>KEMP, SUSAN</t>
  </si>
  <si>
    <t>SHARFMAN, DAVID</t>
  </si>
  <si>
    <t>SINGH, MICHAEL</t>
  </si>
  <si>
    <t>NIX, JOHN</t>
  </si>
  <si>
    <t>BURNETT, STACEY</t>
  </si>
  <si>
    <t>SANDERS, KELLI</t>
  </si>
  <si>
    <t>SCARBROUGH, DEWEY</t>
  </si>
  <si>
    <t>JACOBS, JAMES</t>
  </si>
  <si>
    <t>SHAH, WASEEM</t>
  </si>
  <si>
    <t>SHIELDS, TED</t>
  </si>
  <si>
    <t>SCRIBNER, JOHN</t>
  </si>
  <si>
    <t>SPIRES, ALLEN</t>
  </si>
  <si>
    <t>ZAREEN, NASIR</t>
  </si>
  <si>
    <t>MOSES, TRICIA</t>
  </si>
  <si>
    <t>ALEX, SHENY</t>
  </si>
  <si>
    <t>EVERETT, KAREN</t>
  </si>
  <si>
    <t>BEAMON, KRISTY</t>
  </si>
  <si>
    <t>LANSDELL, TAWNYA</t>
  </si>
  <si>
    <t>DRAPER, HEATHER</t>
  </si>
  <si>
    <t>BLANCHARD, COLLEEN</t>
  </si>
  <si>
    <t>GOUVEIA, NURLELA</t>
  </si>
  <si>
    <t>TARPLEY, JON</t>
  </si>
  <si>
    <t>STEWART, ROWLAND</t>
  </si>
  <si>
    <t>QADIR, FAUZIA</t>
  </si>
  <si>
    <t>WALL, CHRIS</t>
  </si>
  <si>
    <t>DEL MUNDO, VENERANDO</t>
  </si>
  <si>
    <t>JUSTISS, RICHARD</t>
  </si>
  <si>
    <t>SUAREZ, VIVIANA</t>
  </si>
  <si>
    <t>CLARK, KAREN</t>
  </si>
  <si>
    <t>FOWLER, JOHN</t>
  </si>
  <si>
    <t>BEAVERS, HOMER</t>
  </si>
  <si>
    <t>GOSS, STEPHEN</t>
  </si>
  <si>
    <t>COUTTS, WILLIAM</t>
  </si>
  <si>
    <t>FORD, BARRY</t>
  </si>
  <si>
    <t>TODD, BONNIE</t>
  </si>
  <si>
    <t>BOYD, CARTER</t>
  </si>
  <si>
    <t>SINGH, KRISHNA</t>
  </si>
  <si>
    <t>WEST, LINDA</t>
  </si>
  <si>
    <t>SUBLETTE, NINA</t>
  </si>
  <si>
    <t>MACECHKO, MICHAEL</t>
  </si>
  <si>
    <t>ELLIS, ELIZABETH</t>
  </si>
  <si>
    <t>THANGALI VARADARAJU, BHARGAV</t>
  </si>
  <si>
    <t>TRAN, ANDY</t>
  </si>
  <si>
    <t>SEXTON, BENJAMIN</t>
  </si>
  <si>
    <t>HARRISON, ASHLEY</t>
  </si>
  <si>
    <t>VANWYLEN, AUDREY</t>
  </si>
  <si>
    <t>KELLER, ALFRED</t>
  </si>
  <si>
    <t>GARNER, TRACE</t>
  </si>
  <si>
    <t>WARD, JOSHUA</t>
  </si>
  <si>
    <t>HOFFMAN, LINDA</t>
  </si>
  <si>
    <t>HULVEY, TONYA</t>
  </si>
  <si>
    <t>EDDY, DOUGLAS</t>
  </si>
  <si>
    <t>PUCCI, ERICA</t>
  </si>
  <si>
    <t>FORTNER, LORI</t>
  </si>
  <si>
    <t>GOSS, ASHLEY</t>
  </si>
  <si>
    <t>SPURLOCK, MEGAN</t>
  </si>
  <si>
    <t>LADIN, DAVID</t>
  </si>
  <si>
    <t>CARRINGTON, HUNTER</t>
  </si>
  <si>
    <t>AZAMI, SARAH</t>
  </si>
  <si>
    <t>TUCKER, TRACY</t>
  </si>
  <si>
    <t>MAGRO, DANIEL</t>
  </si>
  <si>
    <t>DALLAS, MICHELLE</t>
  </si>
  <si>
    <t>MCELYEA, VIVIAN</t>
  </si>
  <si>
    <t>KEITH, SARAH</t>
  </si>
  <si>
    <t>BATES, RACHEL</t>
  </si>
  <si>
    <t>ROSCA-SICHITIU, RALUCA</t>
  </si>
  <si>
    <t>DAVIDSON, NITA</t>
  </si>
  <si>
    <t>PARNELL, KATHY</t>
  </si>
  <si>
    <t>CLONTS, BRIAN</t>
  </si>
  <si>
    <t>O'CONNELL, JOSEPH</t>
  </si>
  <si>
    <t>BLEDSOE, BURTON</t>
  </si>
  <si>
    <t>CLEMENS, ROY</t>
  </si>
  <si>
    <t>PILLOW, CHARLES</t>
  </si>
  <si>
    <t>PADEN, TIM</t>
  </si>
  <si>
    <t>FLORY, MARR-LYNN</t>
  </si>
  <si>
    <t>MORGAN, MARTHA</t>
  </si>
  <si>
    <t>CLICK, ROBERT</t>
  </si>
  <si>
    <t>WILLIAMS, CHRYSTI</t>
  </si>
  <si>
    <t>GERSON, DAVID</t>
  </si>
  <si>
    <t>TUETKEN, LANCE</t>
  </si>
  <si>
    <t>BEARDEN, JEFFREY</t>
  </si>
  <si>
    <t>GROSE, ANDREW</t>
  </si>
  <si>
    <t>KILE, HERMAN</t>
  </si>
  <si>
    <t>WILHITE, DEBRA</t>
  </si>
  <si>
    <t>NOEL, STACEY</t>
  </si>
  <si>
    <t>DEEL, AMANDA</t>
  </si>
  <si>
    <t>POCK, RYAN</t>
  </si>
  <si>
    <t>DOCKERY, VERONICA</t>
  </si>
  <si>
    <t>SHUMAKE, CARMA</t>
  </si>
  <si>
    <t>MERRITT, NANCY</t>
  </si>
  <si>
    <t>JACKSON, JOHN</t>
  </si>
  <si>
    <t>FEATHERSTON, JOHN</t>
  </si>
  <si>
    <t>EVANS, MARTHA</t>
  </si>
  <si>
    <t>Access to Pediatric Primary Care Providers</t>
  </si>
  <si>
    <t>HARSONO, MIMILY</t>
  </si>
  <si>
    <t>WATSON, VYE</t>
  </si>
  <si>
    <t>HARVEY, BRYAN</t>
  </si>
  <si>
    <t>SAVAGE, JEFFREY</t>
  </si>
  <si>
    <t>HALPAIN, ASHLEY</t>
  </si>
  <si>
    <t>CROSS, AMY</t>
  </si>
  <si>
    <t>ASAFO-BOAKYE, BENJAMIN</t>
  </si>
  <si>
    <t>KIRBY, ROBIN</t>
  </si>
  <si>
    <t>MCLAREN, RHETT</t>
  </si>
  <si>
    <t>THOMPSON, JEFFREY</t>
  </si>
  <si>
    <t>BENAFIELD, LAUREEN</t>
  </si>
  <si>
    <t>MOORE, DONALD</t>
  </si>
  <si>
    <t>MANCHANDIA, MANDHAR</t>
  </si>
  <si>
    <t>KRONENBERG, JOEL</t>
  </si>
  <si>
    <t>HENSON, STEPHANIE</t>
  </si>
  <si>
    <t>FLOYD, JANELLE</t>
  </si>
  <si>
    <t>DURHAM, ANNA</t>
  </si>
  <si>
    <t>RHODES, ROBBIE</t>
  </si>
  <si>
    <t>EL-HASSAN, NAHED</t>
  </si>
  <si>
    <t>HORTON, CHERRY</t>
  </si>
  <si>
    <t>REPP, MEGHAN</t>
  </si>
  <si>
    <t>ADESOJI, REMILEKUN</t>
  </si>
  <si>
    <t>WILKINS, BENJAMAN</t>
  </si>
  <si>
    <t>HESTER, KAREN</t>
  </si>
  <si>
    <t>IRWIN, JAMIE</t>
  </si>
  <si>
    <t>BIRDWELL, MISTY</t>
  </si>
  <si>
    <t>MOTAGHIAN, FARANAK</t>
  </si>
  <si>
    <t>OLSON, JENNIFER</t>
  </si>
  <si>
    <t>LIVINGSTON, SEAN</t>
  </si>
  <si>
    <t>HOLLADAY, LYNNE</t>
  </si>
  <si>
    <t>METIN, NURAY</t>
  </si>
  <si>
    <t>JOHNSON, NICOLE</t>
  </si>
  <si>
    <t>BERGER, JENNIFER</t>
  </si>
  <si>
    <t>NEWMAN, GRANT</t>
  </si>
  <si>
    <t>STEWART, CASEY</t>
  </si>
  <si>
    <t>HOPP, PHILIP</t>
  </si>
  <si>
    <t>DENTON, MEREDITH</t>
  </si>
  <si>
    <t>COWAN, JAMES</t>
  </si>
  <si>
    <t>BAKER, ANN MARIE</t>
  </si>
  <si>
    <t>PISHKO, STEPHEN</t>
  </si>
  <si>
    <t>NELSON, KRISTEN</t>
  </si>
  <si>
    <t>EMISON, JESSICA</t>
  </si>
  <si>
    <t>MALIK, SHAHZAD</t>
  </si>
  <si>
    <t>CHEADLE, MATTHEW</t>
  </si>
  <si>
    <t>DAVIS, ORRIN</t>
  </si>
  <si>
    <t>BIRDSELL, KATHERINE</t>
  </si>
  <si>
    <t>MUTRIE, LAUREN</t>
  </si>
  <si>
    <t>SHELLEY, LATINA</t>
  </si>
  <si>
    <t>NOFAL, ASHRAF</t>
  </si>
  <si>
    <t>DESALU, OLABODE</t>
  </si>
  <si>
    <t>IBRAHIM, HASSAN</t>
  </si>
  <si>
    <t>SIMMONS, ANDREA</t>
  </si>
  <si>
    <t>WESTBROOK, SEPTEMBER</t>
  </si>
  <si>
    <t>WHITE, LAURA</t>
  </si>
  <si>
    <t>SHARKEY, MARTHA ANN</t>
  </si>
  <si>
    <t>MATHIS, CHRISTOPHER</t>
  </si>
  <si>
    <t>ZUERLEIN, TERRANCE</t>
  </si>
  <si>
    <t>JOHNSON, RHONDA</t>
  </si>
  <si>
    <t>DARLING, BRYAN</t>
  </si>
  <si>
    <t>WASHINGTON, MITZI</t>
  </si>
  <si>
    <t>BENAIM, ELISA</t>
  </si>
  <si>
    <t>DAVIS, ASHLEY</t>
  </si>
  <si>
    <t>SCHERER, JAMES</t>
  </si>
  <si>
    <t>NEAVILLE, VIRGINIA</t>
  </si>
  <si>
    <t>HAWKINS, KRISTI</t>
  </si>
  <si>
    <t>JAEGER, MATTHEW</t>
  </si>
  <si>
    <t>KUDLUR CHANDRAPPA, VANI</t>
  </si>
  <si>
    <t>WATSON, DEBORAH</t>
  </si>
  <si>
    <t>MARGREITER, MARTHA</t>
  </si>
  <si>
    <t>CHHABRA, NEERA</t>
  </si>
  <si>
    <t>MAYS, JOANN</t>
  </si>
  <si>
    <t>SMITH, LYNETTE</t>
  </si>
  <si>
    <t>JEWELL, SHANNON</t>
  </si>
  <si>
    <t>GEIGER, JANET</t>
  </si>
  <si>
    <t>HOBBS, CHARLOTTE</t>
  </si>
  <si>
    <t>HILLEBERT, SUSAN</t>
  </si>
  <si>
    <t>YOWELL, BARBARA</t>
  </si>
  <si>
    <t>BROUSSARD, MARLENE</t>
  </si>
  <si>
    <t>DHANIREDDY, RAMASUBBAREDDY</t>
  </si>
  <si>
    <t>FAKNER, REGINA</t>
  </si>
  <si>
    <t>OCHOA, EDUARDO</t>
  </si>
  <si>
    <t>SAINO, JAMES</t>
  </si>
  <si>
    <t>KRASIN, AUDREY</t>
  </si>
  <si>
    <t>TSIU, WILLIE</t>
  </si>
  <si>
    <t>WOOD, SHAYNA</t>
  </si>
  <si>
    <t>MAGDOVITZ, NOUTH</t>
  </si>
  <si>
    <t>GILLESPIE, TIMOTHY</t>
  </si>
  <si>
    <t>PAYNE, CHRISTINA</t>
  </si>
  <si>
    <t>LAKIN, KAREN</t>
  </si>
  <si>
    <t>BECTON, DEBRA</t>
  </si>
  <si>
    <t>MACK, DONALD</t>
  </si>
  <si>
    <t>BURGHEN, ELIZABETH</t>
  </si>
  <si>
    <t>REAGAN, KIMBERLY</t>
  </si>
  <si>
    <t>BIENVENU, STEVEN</t>
  </si>
  <si>
    <t>YANISHEVSKI, SVETLANA</t>
  </si>
  <si>
    <t>COCKRELL, JENNIFER</t>
  </si>
  <si>
    <t>EISEMAN, ROBERT</t>
  </si>
  <si>
    <t>CRAIG, SHERRYE</t>
  </si>
  <si>
    <t>IBRAHIM, MANAR</t>
  </si>
  <si>
    <t>HAYNIE, ROBERT</t>
  </si>
  <si>
    <t>PEEPLES, SARA</t>
  </si>
  <si>
    <t>PETTERWAY, GRETCHEN</t>
  </si>
  <si>
    <t>ROBINSON, DONNA</t>
  </si>
  <si>
    <t>RICKS, BARBARA</t>
  </si>
  <si>
    <t>FOSTER, JASON</t>
  </si>
  <si>
    <t>GANDHI, MANHAR</t>
  </si>
  <si>
    <t>HAKIM, HANA</t>
  </si>
  <si>
    <t>HOFFMAN, JOYCE</t>
  </si>
  <si>
    <t>WEST, MARGARET</t>
  </si>
  <si>
    <t>UPADHYAY, KIRTIKUMAR</t>
  </si>
  <si>
    <t>BETTIN, KRISTEN</t>
  </si>
  <si>
    <t>FESMIRE, WILLIAM</t>
  </si>
  <si>
    <t>YOUNGBLOOD, THOMAS</t>
  </si>
  <si>
    <t>GEORGE, BEENA</t>
  </si>
  <si>
    <t>BYRUM, JERRY</t>
  </si>
  <si>
    <t>JULIAN, AMY</t>
  </si>
  <si>
    <t>TANK, SURINDER</t>
  </si>
  <si>
    <t>ELIAS, ANTHONY</t>
  </si>
  <si>
    <t>CASAMA, DOROTHY</t>
  </si>
  <si>
    <t>BARNETT, DARRELL</t>
  </si>
  <si>
    <t>JONES, BRINDERS</t>
  </si>
  <si>
    <t>DAVIS, JOHN</t>
  </si>
  <si>
    <t>WILKINS, JAMES</t>
  </si>
  <si>
    <t>RANDOLPH, PATRICK</t>
  </si>
  <si>
    <t>THOMAS, BILLY</t>
  </si>
  <si>
    <t>UTTERSON, ELIZABETH</t>
  </si>
  <si>
    <t>ARRINGTON, ROBERT</t>
  </si>
  <si>
    <t>SANDERS, WHITNEY</t>
  </si>
  <si>
    <t>FIELDS, LISA</t>
  </si>
  <si>
    <t>CRAIG, JEFFREY</t>
  </si>
  <si>
    <t>O'BRIEN, MARCUS</t>
  </si>
  <si>
    <t>SWINDLE, JAMES</t>
  </si>
  <si>
    <t>SANDERS, LAURA</t>
  </si>
  <si>
    <t>SHAH, AYESHA</t>
  </si>
  <si>
    <t>HARE, MARION</t>
  </si>
  <si>
    <t>SHERAR, KARYN</t>
  </si>
  <si>
    <t>DUKE, ANTON</t>
  </si>
  <si>
    <t>CRITTELL, MARGARET</t>
  </si>
  <si>
    <t>CANTWELL, JANET</t>
  </si>
  <si>
    <t>HILL, JOY</t>
  </si>
  <si>
    <t>CLEVELAND, ELTON</t>
  </si>
  <si>
    <t>MCLEANE, LAURA</t>
  </si>
  <si>
    <t>MONTGOMERY, JAMES</t>
  </si>
  <si>
    <t>BRADSHAW, ELIZABETH</t>
  </si>
  <si>
    <t>HUGHES, JAMES</t>
  </si>
  <si>
    <t>WARR, ALSTON</t>
  </si>
  <si>
    <t>WEED, DAVID</t>
  </si>
  <si>
    <t>BALDWIN, SHELLY</t>
  </si>
  <si>
    <t>OTU-NYARKO, CHARLES</t>
  </si>
  <si>
    <t>YANCEY, JAMES</t>
  </si>
  <si>
    <t>RANGASWAMI, NARAYANASWAMI</t>
  </si>
  <si>
    <t>GILL, HOLLY</t>
  </si>
  <si>
    <t>ZIEBARTH, DAVID</t>
  </si>
  <si>
    <t>PABBATHI, MADHUSUDHAN</t>
  </si>
  <si>
    <t>OSTROM, ANNA</t>
  </si>
  <si>
    <t>VAUGHAN, ASHLEY</t>
  </si>
  <si>
    <t>COOPER, ANDREA</t>
  </si>
  <si>
    <t>SHEFFIELD, NICOLE</t>
  </si>
  <si>
    <t>HUSSAIN, SHAZIA</t>
  </si>
  <si>
    <t>LYP, ANN</t>
  </si>
  <si>
    <t>LAWHON, MELISSA</t>
  </si>
  <si>
    <t>ALGEA, JANICE</t>
  </si>
  <si>
    <t>HUGGINS, MARYBETH</t>
  </si>
  <si>
    <t>EDWARDS, CHRISTOPHER</t>
  </si>
  <si>
    <t>CHAMPLIN, TERENCE</t>
  </si>
  <si>
    <t>PRAMANIK, ARUN</t>
  </si>
  <si>
    <t>DOUGLAS, WILLIAM</t>
  </si>
  <si>
    <t>WILSON, CHRISTOPHER</t>
  </si>
  <si>
    <t>WHITTON, GERALD</t>
  </si>
  <si>
    <t>NARAYANAN, MANOJ</t>
  </si>
  <si>
    <t>DONLON, RICHARD</t>
  </si>
  <si>
    <t>KOEHLER, ANDREW</t>
  </si>
  <si>
    <t>KING, ZACHARIAH</t>
  </si>
  <si>
    <t>SIMMONS, ELIZABETH</t>
  </si>
  <si>
    <t>SPEAKE, CHERYL</t>
  </si>
  <si>
    <t>ESHUN, DORCAS</t>
  </si>
  <si>
    <t>FRIZZELL, NOEL</t>
  </si>
  <si>
    <t>COURTNEY, SHERRY</t>
  </si>
  <si>
    <t>ROGERS, ANDREA</t>
  </si>
  <si>
    <t>LANKFORD, ANN</t>
  </si>
  <si>
    <t>NEWELL, HEATHER</t>
  </si>
  <si>
    <t>MINNIEAR, TIMOTHY</t>
  </si>
  <si>
    <t>DYER, CASSIE</t>
  </si>
  <si>
    <t>CARTER, CASSAUNDRA</t>
  </si>
  <si>
    <t>SANDERS, SCOTT</t>
  </si>
  <si>
    <t>GIGER, JERRI</t>
  </si>
  <si>
    <t>ROSS, KELLY</t>
  </si>
  <si>
    <t>DANG, QUYNH</t>
  </si>
  <si>
    <t>STECKER, ELLEN</t>
  </si>
  <si>
    <t>STEELE, ROBERT</t>
  </si>
  <si>
    <t>YOUNGBLOOD, LEAH</t>
  </si>
  <si>
    <t>HUETTER, SUZANNE</t>
  </si>
  <si>
    <t>HARRISON, RICK</t>
  </si>
  <si>
    <t>HARRIS, ROBERT</t>
  </si>
  <si>
    <t>SUTHERLAND, DAWN</t>
  </si>
  <si>
    <t>SANDS, CYNTHIA</t>
  </si>
  <si>
    <t>ASHODIAN, STEPHEN</t>
  </si>
  <si>
    <t>WELCH, SUSAN</t>
  </si>
  <si>
    <t>SILVEY, BRENTLEY</t>
  </si>
  <si>
    <t>SIMMONS, JOHN</t>
  </si>
  <si>
    <t>JOHNSON, ANTHONY</t>
  </si>
  <si>
    <t>SENTER, ANTHONY</t>
  </si>
  <si>
    <t>BIENVENU, DIANA</t>
  </si>
  <si>
    <t>YOUNG, MARTIN</t>
  </si>
  <si>
    <t>BARGER, KATHERINE</t>
  </si>
  <si>
    <t>MASTERS, CHADWICK</t>
  </si>
  <si>
    <t>SOOMAN, SANDRA ANN</t>
  </si>
  <si>
    <t>ROBERT, JON</t>
  </si>
  <si>
    <t>CLARK, LAURA</t>
  </si>
  <si>
    <t>DICK, CHARLOTTE</t>
  </si>
  <si>
    <t>BALDWIN, RONALD</t>
  </si>
  <si>
    <t>SMITH, EMILY</t>
  </si>
  <si>
    <t>RIVERS, HOLLY</t>
  </si>
  <si>
    <t>NELSON, DEBORAH</t>
  </si>
  <si>
    <t>CARROLL, ABBEY</t>
  </si>
  <si>
    <t>ELABIAD, MOHAMAD</t>
  </si>
  <si>
    <t>AVERITT, SUSAN</t>
  </si>
  <si>
    <t>BUTLER, RICHARD</t>
  </si>
  <si>
    <t>DACOSTA, ANNA-MARIA</t>
  </si>
  <si>
    <t>CLARK, JO</t>
  </si>
  <si>
    <t>BUXTON, GREG</t>
  </si>
  <si>
    <t>WILLIAMS-NEAL, ETHELYN</t>
  </si>
  <si>
    <t>CHAPMAN, LINDSAY</t>
  </si>
  <si>
    <t>GEORGE, ROSHAN</t>
  </si>
  <si>
    <t>CHATHAM, DANIEL</t>
  </si>
  <si>
    <t>BEYERS, REBEKAH</t>
  </si>
  <si>
    <t>WHITE, RACHEL</t>
  </si>
  <si>
    <t>MIERS, JANE</t>
  </si>
  <si>
    <t>LIGHTBURN, MARLA</t>
  </si>
  <si>
    <t>ISRAEL, MICHAEL</t>
  </si>
  <si>
    <t>BALDRIDGE, ALISON</t>
  </si>
  <si>
    <t>DAVIS, EDWARD</t>
  </si>
  <si>
    <t>CARMACK-CRAWFORD, JANET</t>
  </si>
  <si>
    <t>VARGO, JACOB</t>
  </si>
  <si>
    <t>HARRELL, ADAM</t>
  </si>
  <si>
    <t>ORSBURN, HOWARD</t>
  </si>
  <si>
    <t>POURCYROUS, MASSROOR</t>
  </si>
  <si>
    <t>HIGGINBOTHAM, ROBERT</t>
  </si>
  <si>
    <t>BEASLEY, JIMMIE</t>
  </si>
  <si>
    <t>ALDRICH, JOSEPH</t>
  </si>
  <si>
    <t>GOLDSTEIN, DAVID</t>
  </si>
  <si>
    <t>TAYLOR, BONNIE</t>
  </si>
  <si>
    <t>KITCHEN, BONNIE</t>
  </si>
  <si>
    <t>HUDSON, ROBIN</t>
  </si>
  <si>
    <t>RASMUSSEN, DANIEL</t>
  </si>
  <si>
    <t>GOODWIN-SAMSON, AUTUMN</t>
  </si>
  <si>
    <t>OLAYEMI, ADEGBENGA</t>
  </si>
  <si>
    <t>KILLINGSWORTH, CHRIS</t>
  </si>
  <si>
    <t>POWERS, GENA</t>
  </si>
  <si>
    <t>EDWARDS, ANGELA</t>
  </si>
  <si>
    <t>NOLEN, MISTY</t>
  </si>
  <si>
    <t>HORNBECK, ROBERT</t>
  </si>
  <si>
    <t>AHART, CHERYL</t>
  </si>
  <si>
    <t>ESQUIVEL, MARIA</t>
  </si>
  <si>
    <t>PURVIS ANDREWS, JENNIFER</t>
  </si>
  <si>
    <t>BURNS, SAMUEL</t>
  </si>
  <si>
    <t>MAZOCH, CAROLINE</t>
  </si>
  <si>
    <t>CROSS, CYNTHIA</t>
  </si>
  <si>
    <t>TURNAGE, PATRICIA</t>
  </si>
  <si>
    <t>BROWN, CARRIE</t>
  </si>
  <si>
    <t>KAEMMERLING, BRAD</t>
  </si>
  <si>
    <t>STALEY, KELLY</t>
  </si>
  <si>
    <t>ROBERTSON, KENNETH</t>
  </si>
  <si>
    <t>KLOEK, SCOTT</t>
  </si>
  <si>
    <t>MEFFORD, AMANDA</t>
  </si>
  <si>
    <t>BERGERON, CHRISTIAN</t>
  </si>
  <si>
    <t>BAILEY, AMY</t>
  </si>
  <si>
    <t>SPARKS, STACEY</t>
  </si>
  <si>
    <t>CROM, MARY</t>
  </si>
  <si>
    <t>WENGER, KRISTINA</t>
  </si>
  <si>
    <t>KAROL, SETH</t>
  </si>
  <si>
    <t>DUDANI, RAJESH</t>
  </si>
  <si>
    <t>HENDRICKSON, JON</t>
  </si>
  <si>
    <t>TALATI, AJAY</t>
  </si>
  <si>
    <t>SIDHU, DESH</t>
  </si>
  <si>
    <t>COUCH, YVONNE</t>
  </si>
  <si>
    <t>BHAKTA, NICKHILL</t>
  </si>
  <si>
    <t>THOMAS, WANDA</t>
  </si>
  <si>
    <t>FURLOW, STACY</t>
  </si>
  <si>
    <t>GRUBER, TANJA</t>
  </si>
  <si>
    <t>WEISS, DAWN</t>
  </si>
  <si>
    <t>HENLEY, ERIC</t>
  </si>
  <si>
    <t>ROUSE, KEVIN</t>
  </si>
  <si>
    <t>FREEMAN, DIANE</t>
  </si>
  <si>
    <t>DIRGHANGI, BANANI</t>
  </si>
  <si>
    <t>WHITAKER, JOHN</t>
  </si>
  <si>
    <t>REISMAN, LEWIS</t>
  </si>
  <si>
    <t>ANTIPOLO, ASHLEY</t>
  </si>
  <si>
    <t>BEAVERS, JESSICA</t>
  </si>
  <si>
    <t>CORDOVA PEDIATRICS PLLC</t>
  </si>
  <si>
    <t>KENNEDY, HUBER</t>
  </si>
  <si>
    <t>RANA, DIVYA</t>
  </si>
  <si>
    <t>WEEMS, MARK</t>
  </si>
  <si>
    <t>DOBISH, EMILEE</t>
  </si>
  <si>
    <t>CADLE, KIMBERLY</t>
  </si>
  <si>
    <t>BECKEL, RONALD</t>
  </si>
  <si>
    <t>ALEXANDER, WHITNEY</t>
  </si>
  <si>
    <t>VENKATARAMAN, JAYA</t>
  </si>
  <si>
    <t>CHILAKALA, SANDEEP</t>
  </si>
  <si>
    <t>STANCIL, STEPHEN</t>
  </si>
  <si>
    <t>PATIL, SOWMYA</t>
  </si>
  <si>
    <t>BRADLEY-LEBOEUF, MARY</t>
  </si>
  <si>
    <t>BURNS, PATRICIA</t>
  </si>
  <si>
    <t>SEGLEM, DOUGLAS</t>
  </si>
  <si>
    <t>PALAKURTHI, PREETI</t>
  </si>
  <si>
    <t>WILSON, JOI</t>
  </si>
  <si>
    <t>MEREDITH, PAUL</t>
  </si>
  <si>
    <t>JAMESON, VALERIE</t>
  </si>
  <si>
    <t>KLUCK, CARL</t>
  </si>
  <si>
    <t>SEPULVEDA, VANESSA</t>
  </si>
  <si>
    <t>AITKEN, MARY</t>
  </si>
  <si>
    <t>MAGEE, JAMES</t>
  </si>
  <si>
    <t>GRANADOS, JAVEL</t>
  </si>
  <si>
    <t>FANKHAUSER, JOEL</t>
  </si>
  <si>
    <t>MAHAN, MEREDITH</t>
  </si>
  <si>
    <t>SKELLEY, KIMBERLY</t>
  </si>
  <si>
    <t>MORRIS, BISHAWN</t>
  </si>
  <si>
    <t>GOMEZ, HENRY</t>
  </si>
  <si>
    <t>LOVELL, MARK</t>
  </si>
  <si>
    <t>BEEMAN, HELEN</t>
  </si>
  <si>
    <t>KUKU, ABIODUN</t>
  </si>
  <si>
    <t>SKAUG, WARREN</t>
  </si>
  <si>
    <t>TOGAMI, JULIA</t>
  </si>
  <si>
    <t>PILLOW, JILL</t>
  </si>
  <si>
    <t>SAX, STACY</t>
  </si>
  <si>
    <t>SEBASTIAN, ANDREA</t>
  </si>
  <si>
    <t>BUHRMAN, CHRISTY</t>
  </si>
  <si>
    <t>OWEN, KEITH</t>
  </si>
  <si>
    <t>ECKES, ANNE</t>
  </si>
  <si>
    <t>PREUSCHOFF, CLAUDIA</t>
  </si>
  <si>
    <t>ESTEPP, JEREMIE</t>
  </si>
  <si>
    <t>CHIPMAN, LAUREN</t>
  </si>
  <si>
    <t>NORMAN, JOHNITA</t>
  </si>
  <si>
    <t>GARDNER, MEGAN</t>
  </si>
  <si>
    <t>UKWE, NDIDIBUIKE</t>
  </si>
  <si>
    <t>ODUM, ERICA</t>
  </si>
  <si>
    <t>KIRBY, CRISTAL</t>
  </si>
  <si>
    <t>KUMPE, MEGAN</t>
  </si>
  <si>
    <t>FRANKLIN, GREGORY</t>
  </si>
  <si>
    <t>GUIDRY, ELIZABETH</t>
  </si>
  <si>
    <t>GABY, CECIL</t>
  </si>
  <si>
    <t>STANFORD, ROYCE</t>
  </si>
  <si>
    <t>HOBSON, EMILY</t>
  </si>
  <si>
    <t>ROSS, ASHLEY</t>
  </si>
  <si>
    <t>TATE, JULIE</t>
  </si>
  <si>
    <t>FINKE, GARRY</t>
  </si>
  <si>
    <t>ANDERSON, LAURIE</t>
  </si>
  <si>
    <t>PHILLIPS, HARRY</t>
  </si>
  <si>
    <t>WHITNEY, CAROLYN</t>
  </si>
  <si>
    <t>PRESBURY, GERALD</t>
  </si>
  <si>
    <t>O'NEILL, JOSHUA</t>
  </si>
  <si>
    <t>RODGERS, CHADWICK</t>
  </si>
  <si>
    <t>SZABO, JOANNE</t>
  </si>
  <si>
    <t>CARTER, VIRGINIA</t>
  </si>
  <si>
    <t>MOORE, JESSICA</t>
  </si>
  <si>
    <t>NWOKEJI, KRIS</t>
  </si>
  <si>
    <t>FOSTER, TIFFANY</t>
  </si>
  <si>
    <t>KEMP, CHARLES</t>
  </si>
  <si>
    <t>REEVES, CHARLES</t>
  </si>
  <si>
    <t>SAUL-SEHY, CHERYL</t>
  </si>
  <si>
    <t>MINK, JENNIFER</t>
  </si>
  <si>
    <t>ARKANSAS CHILDRENS HOSPITAL</t>
  </si>
  <si>
    <t>BURKE, BRYAN</t>
  </si>
  <si>
    <t>UDOUJ, JANET</t>
  </si>
  <si>
    <t>KING, RACHEL</t>
  </si>
  <si>
    <t>HOLLIMAN, JOANNE</t>
  </si>
  <si>
    <t>VANLANINGHAM, JULIANNE</t>
  </si>
  <si>
    <t>PROCTOR, KIMBERLY</t>
  </si>
  <si>
    <t>ROWE, TRACY</t>
  </si>
  <si>
    <t>SCOTT, HUGH</t>
  </si>
  <si>
    <t>HUMPHREY, SALLY</t>
  </si>
  <si>
    <t>SHREVE, MARILOU</t>
  </si>
  <si>
    <t>PORTER, CINDY</t>
  </si>
  <si>
    <t>COOPER, PAUL</t>
  </si>
  <si>
    <t>ULICH, MICHAEL</t>
  </si>
  <si>
    <t>YOUNG, KAREN</t>
  </si>
  <si>
    <t>JONES, TINA</t>
  </si>
  <si>
    <t>DURHAM, APRIL</t>
  </si>
  <si>
    <t>LUCAS, REGINALD</t>
  </si>
  <si>
    <t>SCOTT, DAWN</t>
  </si>
  <si>
    <t>HUTCHESON, BELINDA</t>
  </si>
  <si>
    <t>GHOSH, ASISH</t>
  </si>
  <si>
    <t>MIQUEL VERGES, FRANSCESCA</t>
  </si>
  <si>
    <t>SCHULZ, ANGELA</t>
  </si>
  <si>
    <t>SHAPPLEY, REBEKAH</t>
  </si>
  <si>
    <t>MOYER, ANGELA</t>
  </si>
  <si>
    <t>ASSFOURA, RANA</t>
  </si>
  <si>
    <t>PHILLIPS, ELIZABETH</t>
  </si>
  <si>
    <t>LIN, BO</t>
  </si>
  <si>
    <t>WALTER, DONNAL</t>
  </si>
  <si>
    <t>GRIFFITHS, RICHARD</t>
  </si>
  <si>
    <t>ALGEA, WILLIAM</t>
  </si>
  <si>
    <t>BARTLETT, CHRISTINA</t>
  </si>
  <si>
    <t>HUNEYCUTT, COURTNEY</t>
  </si>
  <si>
    <t>ENGMANN, CARL</t>
  </si>
  <si>
    <t>MONTGOMERY, LORI</t>
  </si>
  <si>
    <t>JONES, JARA</t>
  </si>
  <si>
    <t>PILLOW, EDWARD</t>
  </si>
  <si>
    <t>LYNCH, CYNTHIA</t>
  </si>
  <si>
    <t>HYSMITH, JESSICA</t>
  </si>
  <si>
    <t>HURLBUT, KIMBERLY</t>
  </si>
  <si>
    <t>SHRUM, STEVEN</t>
  </si>
  <si>
    <t>BENTON, MARY</t>
  </si>
  <si>
    <t>DESKIN, ROY</t>
  </si>
  <si>
    <t>KLEINMAN, MICHAEL</t>
  </si>
  <si>
    <t>TIBBS, ROBERT</t>
  </si>
  <si>
    <t>LU, EUGENE</t>
  </si>
  <si>
    <t>MURRAY, STACEY</t>
  </si>
  <si>
    <t>ELLSWORTH, CAROLYN</t>
  </si>
  <si>
    <t>LATIOLAIS, THOMAS</t>
  </si>
  <si>
    <t>HANISSIAN, ARA</t>
  </si>
  <si>
    <t>ROGERS, BECKY</t>
  </si>
  <si>
    <t>NESMITH, CLARE</t>
  </si>
  <si>
    <t>WRIGHT, MONICA</t>
  </si>
  <si>
    <t>RAO, SUDHA</t>
  </si>
  <si>
    <t>MANCHANDIA, BHARTI</t>
  </si>
  <si>
    <t>MOODY, MELODY</t>
  </si>
  <si>
    <t>O'BRYAN, JENNIFER</t>
  </si>
  <si>
    <t>PACE, DAVID</t>
  </si>
  <si>
    <t>GREGORY, JULIA</t>
  </si>
  <si>
    <t>MAROTTI, TONYA</t>
  </si>
  <si>
    <t>KOO, WINSTON</t>
  </si>
  <si>
    <t>KAMPERT, AMANDA</t>
  </si>
  <si>
    <t>HANSON, CHARLES</t>
  </si>
  <si>
    <t>FUSSELL, JILL</t>
  </si>
  <si>
    <t>WALKER, SUSANNAH</t>
  </si>
  <si>
    <t>SHAHBAZ, FATIMA</t>
  </si>
  <si>
    <t>DAMICO, KAREN</t>
  </si>
  <si>
    <t>SCHAEFER, GEORGE</t>
  </si>
  <si>
    <t>REYNOLDS, STACY</t>
  </si>
  <si>
    <t>ATCHISON, SHARYE</t>
  </si>
  <si>
    <t>JONES, RENEE</t>
  </si>
  <si>
    <t>BAUCH, STEPHEN</t>
  </si>
  <si>
    <t>CENAC, JOSEPH</t>
  </si>
  <si>
    <t>WELLS, PEGGY</t>
  </si>
  <si>
    <t>MECUM, GIDEON</t>
  </si>
  <si>
    <t>MILNER, LAUREN</t>
  </si>
  <si>
    <t>DEVLIN, TERRI</t>
  </si>
  <si>
    <t>PENDERGRASS, LANDON</t>
  </si>
  <si>
    <t>ADEDIPE, OLUGBENGA</t>
  </si>
  <si>
    <t>TURMELLE, YUMIRLE</t>
  </si>
  <si>
    <t>WALLS, SCOTT</t>
  </si>
  <si>
    <t>HARWOOD, JEREMY</t>
  </si>
  <si>
    <t>KEEVER, CRAIG</t>
  </si>
  <si>
    <t>CAMPBELL, DOUGLAS</t>
  </si>
  <si>
    <t>CHESHIER, JAMES</t>
  </si>
  <si>
    <t>PALMER, KRISTINE</t>
  </si>
  <si>
    <t>CRARY, KYLER</t>
  </si>
  <si>
    <t>BISHOP, NATALIE</t>
  </si>
  <si>
    <t>PILKINGTON, NEYLON</t>
  </si>
  <si>
    <t>ROSS, SHAUN</t>
  </si>
  <si>
    <t>RIIKOLA, ROBERT</t>
  </si>
  <si>
    <t>EDGAR-ZARATE, COURTNEY</t>
  </si>
  <si>
    <t>BOWLING, REBEKAH</t>
  </si>
  <si>
    <t>BURNS, KIMBERLY</t>
  </si>
  <si>
    <t>WODOWSKI, KAREN</t>
  </si>
  <si>
    <t>HAYNES, MONICA</t>
  </si>
  <si>
    <t>PORTILLA, MARIA</t>
  </si>
  <si>
    <t>RAY, ROBIN</t>
  </si>
  <si>
    <t>CEDOTAL, CHARLOTTE</t>
  </si>
  <si>
    <t>HAMBY, ANDREW</t>
  </si>
  <si>
    <t>PRINCE, AUDRA</t>
  </si>
  <si>
    <t>CRISLER, HERMAN</t>
  </si>
  <si>
    <t>MALAK, VALERIA</t>
  </si>
  <si>
    <t>FERGUSON, JOHN</t>
  </si>
  <si>
    <t>RITCH, SCOTT</t>
  </si>
  <si>
    <t>HUCKABEE, MARY</t>
  </si>
  <si>
    <t>HUBBARD, AMY</t>
  </si>
  <si>
    <t>WOODS, ZAKIYA</t>
  </si>
  <si>
    <t>VAN PARYS, LINDSAY</t>
  </si>
  <si>
    <t>NEWMAN, KIMBERLY</t>
  </si>
  <si>
    <t>WAGLE, SAMEER</t>
  </si>
  <si>
    <t>SISTERHEN, LAURA</t>
  </si>
  <si>
    <t>PATTERSON, REBECCA</t>
  </si>
  <si>
    <t>MICHAELS, CAROLYN</t>
  </si>
  <si>
    <t>CLINTON, KIMBERLY</t>
  </si>
  <si>
    <t>FOLZ, TAMARA</t>
  </si>
  <si>
    <t>TERRELL, WILLIAM</t>
  </si>
  <si>
    <t>HOLLIWAY, BRONDWYN</t>
  </si>
  <si>
    <t>CHANDLER, ANGELA</t>
  </si>
  <si>
    <t>TUCKER, SAMUEL</t>
  </si>
  <si>
    <t>SHAIJU, ANEESHA</t>
  </si>
  <si>
    <t>KEMPH, MONICA</t>
  </si>
  <si>
    <t>WINGFIELD, DEBORAH</t>
  </si>
  <si>
    <t>WILSON, LAURA</t>
  </si>
  <si>
    <t>PINCHOFF, REBECCA</t>
  </si>
  <si>
    <t>IBRAHIM, AZIZ</t>
  </si>
  <si>
    <t>ALLEN, LOREN</t>
  </si>
  <si>
    <t>PARK, JOSEPHINE</t>
  </si>
  <si>
    <t>GESHKE, TERRENCE</t>
  </si>
  <si>
    <t>GREEN, ROBERT</t>
  </si>
  <si>
    <t>FROMAN, ELIZABETH</t>
  </si>
  <si>
    <t>MALLARE, JOHANNA</t>
  </si>
  <si>
    <t>KENDRICK, TERRY</t>
  </si>
  <si>
    <t>WRIGHT, MARK</t>
  </si>
  <si>
    <t>LITTLE, CRYSTAL</t>
  </si>
  <si>
    <t>NICHOLS, KIM</t>
  </si>
  <si>
    <t>COMEAU, JEAN-CLAUDE</t>
  </si>
  <si>
    <t>BEENE, HANNAH</t>
  </si>
  <si>
    <t>DE MIRANDA, FEDERICO</t>
  </si>
  <si>
    <t>MCCRAW, BARRY</t>
  </si>
  <si>
    <t>MAPES, RAELENE</t>
  </si>
  <si>
    <t>PORTER, JEREMY</t>
  </si>
  <si>
    <t>ADAMS, WILLIAM</t>
  </si>
  <si>
    <t>SULLIVAN, FRED</t>
  </si>
  <si>
    <t>HUGHES, JULIA</t>
  </si>
  <si>
    <t>DUPREE, IVELESSE</t>
  </si>
  <si>
    <t>EDWARDS, LELON</t>
  </si>
  <si>
    <t>SIEGEL, JOEL</t>
  </si>
  <si>
    <t>DIOKNO, ROSANA</t>
  </si>
  <si>
    <t>KIMBLE, AMY</t>
  </si>
  <si>
    <t>PISTORIUS, BRUCE</t>
  </si>
  <si>
    <t>COLE, EZRA</t>
  </si>
  <si>
    <t>LUY, ANNIE</t>
  </si>
  <si>
    <t>BENTON, WILLIAM</t>
  </si>
  <si>
    <t>FANGMEIER, ANGELA</t>
  </si>
  <si>
    <t>VAUGHAN, CLIFTON</t>
  </si>
  <si>
    <t>KAHLER, STEPHEN</t>
  </si>
  <si>
    <t>CHRISTIAN, AIMEE</t>
  </si>
  <si>
    <t>DYE, CANDICE</t>
  </si>
  <si>
    <t>BONE, SARAH</t>
  </si>
  <si>
    <t>BECKER, JENNIFER</t>
  </si>
  <si>
    <t>AGUILLARD, SUSAN</t>
  </si>
  <si>
    <t>PATTON, WILLIAM</t>
  </si>
  <si>
    <t>KASSEES, LAILA</t>
  </si>
  <si>
    <t>MARTIN, DAWN</t>
  </si>
  <si>
    <t>SIMMONS, ALVA</t>
  </si>
  <si>
    <t>LYLE, ROBERT</t>
  </si>
  <si>
    <t>POMTREE, MINDY</t>
  </si>
  <si>
    <t>JONES, LAURA</t>
  </si>
  <si>
    <t>ROBINSON, JOE</t>
  </si>
  <si>
    <t>HEINKEL, OLUWASEUN</t>
  </si>
  <si>
    <t>KYLE, JOAN</t>
  </si>
  <si>
    <t>BEATTIE, LISA</t>
  </si>
  <si>
    <t>BOST, ROGER</t>
  </si>
  <si>
    <t>NASSRI, LOUAY</t>
  </si>
  <si>
    <t>RAGLAND, DAVID</t>
  </si>
  <si>
    <t>HUGHES, FRANK</t>
  </si>
  <si>
    <t>SHOTTS, VERN</t>
  </si>
  <si>
    <t>MILLER, ASHLEY</t>
  </si>
  <si>
    <t>SCHLUTERMAN, CHRISTOPHER</t>
  </si>
  <si>
    <t>HELLUMS, SHAWNA</t>
  </si>
  <si>
    <t>BEAVERS, JARED</t>
  </si>
  <si>
    <t>BAKER, KAREN</t>
  </si>
  <si>
    <t>PRITCHARD, MICHELE</t>
  </si>
  <si>
    <t>HATCHER, RANATA</t>
  </si>
  <si>
    <t>HUMPHRIES, NICOLETTE</t>
  </si>
  <si>
    <t>ROBBEN, CATHERINE</t>
  </si>
  <si>
    <t>DOTSON, KELLEY</t>
  </si>
  <si>
    <t>MCNABB, STEVEN</t>
  </si>
  <si>
    <t>GURAV, ARATI</t>
  </si>
  <si>
    <t>HARPER, MARIE</t>
  </si>
  <si>
    <t>FORD, MILLICENT</t>
  </si>
  <si>
    <t>LEDBETTER, JOHNNY</t>
  </si>
  <si>
    <t>CUSH-JOHN, ANGELA</t>
  </si>
  <si>
    <t>ROBINSON, GILES</t>
  </si>
  <si>
    <t>LEVIN, FREDERICK</t>
  </si>
  <si>
    <t>WISE, MERRILL</t>
  </si>
  <si>
    <t>MACGAW, DOUGLAS</t>
  </si>
  <si>
    <t>HAYES, WAYLAND</t>
  </si>
  <si>
    <t>VAGHELA, RACHANA</t>
  </si>
  <si>
    <t>PATTON, RUTH</t>
  </si>
  <si>
    <t>SWEENEY, TERESA</t>
  </si>
  <si>
    <t>HARDIN, BRIAN</t>
  </si>
  <si>
    <t>CARPER, SHEYENNE</t>
  </si>
  <si>
    <t>STOLL, JANIS</t>
  </si>
  <si>
    <t>OBIOZO, ALBERT</t>
  </si>
  <si>
    <t>MORGAN, STACEY</t>
  </si>
  <si>
    <t>HENDRICKS, ASHLEY</t>
  </si>
  <si>
    <t>YUKON, CHARLES</t>
  </si>
  <si>
    <t>SWEETEN, BIANCA</t>
  </si>
  <si>
    <t>HUNTER, HEATHER</t>
  </si>
  <si>
    <t>HALL, R. WHIT</t>
  </si>
  <si>
    <t>ELLIS, JOHN</t>
  </si>
  <si>
    <t>BASS, PAT</t>
  </si>
  <si>
    <t>KNOWLES, FELICIA</t>
  </si>
  <si>
    <t>SKAUG, PHYLLIS</t>
  </si>
  <si>
    <t>THOMPSON, STEVEN</t>
  </si>
  <si>
    <t>REED, PATRICE</t>
  </si>
  <si>
    <t>POLLARD, KATHLEEN</t>
  </si>
  <si>
    <t>COOK, ALICIA</t>
  </si>
  <si>
    <t>TRUCKS, TONYA</t>
  </si>
  <si>
    <t>BATTLES, LOURIE</t>
  </si>
  <si>
    <t>VORA, CHETNA</t>
  </si>
  <si>
    <t>SNEED, JANE</t>
  </si>
  <si>
    <t>DELLINGER, JANET</t>
  </si>
  <si>
    <t>BECK, MARVIN</t>
  </si>
  <si>
    <t>CARVER, LAURA</t>
  </si>
  <si>
    <t>GONZALEZ, FLOYD</t>
  </si>
  <si>
    <t>LIVINGSTON, LEON</t>
  </si>
  <si>
    <t>CALDERON, VINCENT</t>
  </si>
  <si>
    <t>PAYTON, TERRY</t>
  </si>
  <si>
    <t>RUCKER, GARI</t>
  </si>
  <si>
    <t>BASTANINEJAD, BIJAN</t>
  </si>
  <si>
    <t>ELSER, JOSEPH</t>
  </si>
  <si>
    <t>GUSTKE, MARK</t>
  </si>
  <si>
    <t>HARLOW, MARY</t>
  </si>
  <si>
    <t>REINHARD, RICHARD</t>
  </si>
  <si>
    <t>LACY, MICHAEL</t>
  </si>
  <si>
    <t>FOX, JESSICA</t>
  </si>
  <si>
    <t>BRENNAN, RACHEL</t>
  </si>
  <si>
    <t>STRONG, AARON</t>
  </si>
  <si>
    <t>IRWIN, ANDREW</t>
  </si>
  <si>
    <t>HILL, JOHN</t>
  </si>
  <si>
    <t>KRISHNAN, RAMESH</t>
  </si>
  <si>
    <t>RAMICK, REBECCA</t>
  </si>
  <si>
    <t>WALLACE, JENNIFER</t>
  </si>
  <si>
    <t>Access to Mental Health/Behavioral Health/Substance Use Disorder Facility</t>
  </si>
  <si>
    <t>UNITED METHODIST BEHAVIORAL HEALTH SYSTEM, INC</t>
  </si>
  <si>
    <t>KEYSTONE MEMPHIS, LLC</t>
  </si>
  <si>
    <t>UHS OF BENTON, LLC</t>
  </si>
  <si>
    <t>ARVAC, INC.</t>
  </si>
  <si>
    <t>BOONEVILLE COMMUNITY HOSPITAL, INC.</t>
  </si>
  <si>
    <t>KENNETT HMA LLC</t>
  </si>
  <si>
    <t>UHS OF LAKESIDE LLC</t>
  </si>
  <si>
    <t>WHITE COUNTY MEDICAL CENTER</t>
  </si>
  <si>
    <t>UHS OF PARKWOOD INC</t>
  </si>
  <si>
    <t>VALLEY BEHAVIORAL HEALTH SYSTEM, LLC</t>
  </si>
  <si>
    <t>TEXARKANA BEHAVIORAL ASSOCIATES, L.C.</t>
  </si>
  <si>
    <t>LEFLORE COUNTY HOSPITAL AUTHORITY</t>
  </si>
  <si>
    <t>BRADLEY COUNTY MEDICAL CENTER</t>
  </si>
  <si>
    <t>BAPTIST HEALTH</t>
  </si>
  <si>
    <t>JOHNSON REGIONAL MEDICAL CENTER</t>
  </si>
  <si>
    <t>STATE OF ARKANSAS</t>
  </si>
  <si>
    <t>WHITE RIVER HEALTH SYSTEM, INC</t>
  </si>
  <si>
    <t>CITY OF POCAHONTAS AR</t>
  </si>
  <si>
    <t>PHYSICIANS BEHAVIORAL HOSPITAL, LLC</t>
  </si>
  <si>
    <t>PREFERRED FAMILY HEALTHCARE INC</t>
  </si>
  <si>
    <t>BAXTER COUNTY REGIONAL HOSPITAL, INC</t>
  </si>
  <si>
    <t>CONWAY REGIONAL MEDICAL CENTER INC</t>
  </si>
  <si>
    <t>RIVERVIEW BEHAVIORAL HEALTH, LLC</t>
  </si>
  <si>
    <t>BRENTWOOD ACQUISITION-SHREVEPORT INC.</t>
  </si>
  <si>
    <t>PEMISCOT COUNTY MEMORIAL HOSPITAL</t>
  </si>
  <si>
    <t>AMISUB (SFH), INC.</t>
  </si>
  <si>
    <t>MERCY HOSPITAL NORTHWEST ARKANSAS</t>
  </si>
  <si>
    <t>OUACHITA COUNTY MEDICAL CENTER</t>
  </si>
  <si>
    <t>AMERIS OF ARKANSAS, LLC</t>
  </si>
  <si>
    <t>CHI ST VINCENT HOSPITAL HOT SPRINGS</t>
  </si>
  <si>
    <t>POPLAR BLUFF REGIONAL MEDICAL CENTER LLC</t>
  </si>
  <si>
    <t>PARTIAL HOSPITAL SYSTEMS</t>
  </si>
  <si>
    <t>OASIS RENEWAL CENTER</t>
  </si>
  <si>
    <t>UHS OF SPRINGWOODS LLC</t>
  </si>
  <si>
    <t>DARDANELLE COMMUNITY HOSPITAL LLC</t>
  </si>
  <si>
    <t>FORT SMITH HMA, LLC</t>
  </si>
  <si>
    <t>THE UNITED METHODIST CHILDREN'S HOME</t>
  </si>
  <si>
    <t>RED RIVER BEHAVIORAL CENTER LLC</t>
  </si>
  <si>
    <t>WILLIS KNIGHTON MEDICAL CENTER, INC.</t>
  </si>
  <si>
    <t>CROSSETT HEALTH FOUNDATION</t>
  </si>
  <si>
    <t>MENTAL HEALTH RESOURCES, PLLC</t>
  </si>
  <si>
    <t>SALINE COUNTY MEDICAL CENTER</t>
  </si>
  <si>
    <t>THE BRIDGEWAY, LLC</t>
  </si>
  <si>
    <t>VALLEY BEHAVIORAL HEALTH SYSTEM LLC</t>
  </si>
  <si>
    <t>Access to Mental Health/Behavioral Health Providers</t>
  </si>
  <si>
    <t>KURYLO, PAWEL</t>
  </si>
  <si>
    <t>VISER, WILLIAM</t>
  </si>
  <si>
    <t>GOODRUM, COURTNEY</t>
  </si>
  <si>
    <t>COMBS, VERONICA</t>
  </si>
  <si>
    <t>SIMPSON, CHARLIE</t>
  </si>
  <si>
    <t>KAY, NANCY</t>
  </si>
  <si>
    <t>CLARK, STEPHEN</t>
  </si>
  <si>
    <t>PURSIFULL, JOSHUA</t>
  </si>
  <si>
    <t>MCCUIN, JOHN</t>
  </si>
  <si>
    <t>ILIE-STOUT, DANA</t>
  </si>
  <si>
    <t>ALMOND, PENNY</t>
  </si>
  <si>
    <t>HAUGH, ZACHARY</t>
  </si>
  <si>
    <t>MARTIN, BRANDON</t>
  </si>
  <si>
    <t>REEVES, ADRIENNE</t>
  </si>
  <si>
    <t>LOOP, PAUL</t>
  </si>
  <si>
    <t>GENTRY, WILLIAM</t>
  </si>
  <si>
    <t>CLAY, JO ANN</t>
  </si>
  <si>
    <t>DEACON, DEBORAH</t>
  </si>
  <si>
    <t>KENDRICK, CAROL</t>
  </si>
  <si>
    <t>ECKELHOFF, KRISTEN</t>
  </si>
  <si>
    <t>BLEVINS, SABRINA</t>
  </si>
  <si>
    <t>STRAIN, MARY</t>
  </si>
  <si>
    <t>PRESLEY, SHERRY</t>
  </si>
  <si>
    <t>REYES, DINORA</t>
  </si>
  <si>
    <t>EKDAHL, MICHAEL</t>
  </si>
  <si>
    <t>GONZALES, AMBER</t>
  </si>
  <si>
    <t>CONKLIN, HEATHER</t>
  </si>
  <si>
    <t>GRAVES, NANCY</t>
  </si>
  <si>
    <t>TAYLOR, TOBI</t>
  </si>
  <si>
    <t>SMITH, DIANA</t>
  </si>
  <si>
    <t>LAWLIS, CHRISTOPHER</t>
  </si>
  <si>
    <t>CHU, HUONG</t>
  </si>
  <si>
    <t>ALMASY, CASSANDRA</t>
  </si>
  <si>
    <t>RUBENOW, JON</t>
  </si>
  <si>
    <t>HARTSFIELD, LINDA</t>
  </si>
  <si>
    <t>ALEX, LISA</t>
  </si>
  <si>
    <t>WEGNER, MARY</t>
  </si>
  <si>
    <t>HUFFMAN, LARA</t>
  </si>
  <si>
    <t>PHIPPS, SEAN</t>
  </si>
  <si>
    <t>TSUI, LORRAINE</t>
  </si>
  <si>
    <t>COHEN, SHEILA</t>
  </si>
  <si>
    <t>WRIGHT, PATRICIA</t>
  </si>
  <si>
    <t>WILLIAMS, LISA</t>
  </si>
  <si>
    <t>HOLMES, DAN</t>
  </si>
  <si>
    <t>STELL, SANDRA</t>
  </si>
  <si>
    <t>STRAYHAN, ROBERT</t>
  </si>
  <si>
    <t>NASH, RALPH</t>
  </si>
  <si>
    <t>PAGE-BOHANNAN, THERESA</t>
  </si>
  <si>
    <t>JORDAN, NATALIE</t>
  </si>
  <si>
    <t>RAY, DAVID</t>
  </si>
  <si>
    <t>BEJARANO, BEVERLY</t>
  </si>
  <si>
    <t>WARD, WENDY</t>
  </si>
  <si>
    <t>STATLER, KELLI</t>
  </si>
  <si>
    <t>KILLMAN, KATERI</t>
  </si>
  <si>
    <t>HOFFMAN PARRISH, MAKESHA</t>
  </si>
  <si>
    <t>BALDWIN GRACEY, BRITTANI</t>
  </si>
  <si>
    <t>PARHAM, PENNY</t>
  </si>
  <si>
    <t>BARNES, ROBIN</t>
  </si>
  <si>
    <t>KNOTT, JOHN</t>
  </si>
  <si>
    <t>DOAN, LESA</t>
  </si>
  <si>
    <t>BOATWRIGHT, JOSEPH</t>
  </si>
  <si>
    <t>ODOM, SHARON</t>
  </si>
  <si>
    <t>POWELL, ANDREW</t>
  </si>
  <si>
    <t>AUGUSTUS, VALERIE</t>
  </si>
  <si>
    <t>BROWN, DONNA</t>
  </si>
  <si>
    <t>CARPENTER, RUTH ANN</t>
  </si>
  <si>
    <t>SMITH, MARTHA</t>
  </si>
  <si>
    <t>STREET, JEANNE</t>
  </si>
  <si>
    <t>WAGNER, JOHN</t>
  </si>
  <si>
    <t>CRISP, AMANDA</t>
  </si>
  <si>
    <t>SUTTON, ASHLI</t>
  </si>
  <si>
    <t>REED, SUSAN</t>
  </si>
  <si>
    <t>JOHNSON, LIZBETH</t>
  </si>
  <si>
    <t>HEATH, PENNIE</t>
  </si>
  <si>
    <t>HORTON, RITA</t>
  </si>
  <si>
    <t>DAVIES, COLLIN</t>
  </si>
  <si>
    <t>ELLIOTT, WENDI</t>
  </si>
  <si>
    <t>WILLIAMS, CARLA</t>
  </si>
  <si>
    <t>HODNETT, MICHAEL</t>
  </si>
  <si>
    <t>FALLS, SABINE</t>
  </si>
  <si>
    <t>PRICE, KEVIN</t>
  </si>
  <si>
    <t>DOYLE, ROBERT</t>
  </si>
  <si>
    <t>MCCULLOUGH, SANDRA</t>
  </si>
  <si>
    <t>LYLE, CARLENE</t>
  </si>
  <si>
    <t>TRICKEY, BEVERLY</t>
  </si>
  <si>
    <t>GREENBERG, ROY</t>
  </si>
  <si>
    <t>KETZ, FRANCES</t>
  </si>
  <si>
    <t>REINERTSEN, KAREN</t>
  </si>
  <si>
    <t>COOK, MARY</t>
  </si>
  <si>
    <t>RIFFELL, TESSA</t>
  </si>
  <si>
    <t>CORJAY, TIFFANY</t>
  </si>
  <si>
    <t>LEMASTER, ROBERT</t>
  </si>
  <si>
    <t>JACKSON, JANISSA</t>
  </si>
  <si>
    <t>DILLON, BARBARA</t>
  </si>
  <si>
    <t>BEARDEN, JACQUELYN</t>
  </si>
  <si>
    <t>CROW, TRUDY</t>
  </si>
  <si>
    <t>TURNER, CAROLYN</t>
  </si>
  <si>
    <t>LEVART, JENNIFER</t>
  </si>
  <si>
    <t>BARNHILL, ROGER</t>
  </si>
  <si>
    <t>RAMSER, GEORGE</t>
  </si>
  <si>
    <t>JONES, SARA</t>
  </si>
  <si>
    <t>MILES, MARK</t>
  </si>
  <si>
    <t>POWELL, MICHAEL</t>
  </si>
  <si>
    <t>ENNES, KATHY</t>
  </si>
  <si>
    <t>FISSEL, RUTH</t>
  </si>
  <si>
    <t>CRAWFORD, BILLY</t>
  </si>
  <si>
    <t>KILCREASE, LISA</t>
  </si>
  <si>
    <t>SAWYER, CAROLINE</t>
  </si>
  <si>
    <t>D AREZZO, ALFRED</t>
  </si>
  <si>
    <t>MOXLEY, LISA</t>
  </si>
  <si>
    <t>COMPTON, MARY DENISE</t>
  </si>
  <si>
    <t>HARNESS, PAMELA</t>
  </si>
  <si>
    <t>WILKINSON, JENNIE</t>
  </si>
  <si>
    <t>HOWARD, LINDA</t>
  </si>
  <si>
    <t>WARD, NICHOLAS</t>
  </si>
  <si>
    <t>ABSHERE, KATRINA</t>
  </si>
  <si>
    <t>STANFILL, ABBY</t>
  </si>
  <si>
    <t>GRAHAM, LORI</t>
  </si>
  <si>
    <t>DEGROAT, RUSSELL</t>
  </si>
  <si>
    <t>LUTTRELL, DANIEL</t>
  </si>
  <si>
    <t>BAILEY, MELANIE</t>
  </si>
  <si>
    <t>GREEN, SUE</t>
  </si>
  <si>
    <t>HEATH, WILLIAM</t>
  </si>
  <si>
    <t>MCNEIR, LISA</t>
  </si>
  <si>
    <t>MOORE, GERALDENE</t>
  </si>
  <si>
    <t>MARTAUS, DIANNE</t>
  </si>
  <si>
    <t>LEBAHN, LORI</t>
  </si>
  <si>
    <t>GHORMLEY, COURTNEY</t>
  </si>
  <si>
    <t>SCOTT, CHRISTINA</t>
  </si>
  <si>
    <t>COLEMAN, CYNDI</t>
  </si>
  <si>
    <t>FLANIGIN, RICHARD</t>
  </si>
  <si>
    <t>ANDERSON, JENNIFER</t>
  </si>
  <si>
    <t>SULLIVAN, JOSEPH</t>
  </si>
  <si>
    <t>BENTLEY, JAMES</t>
  </si>
  <si>
    <t>WINSLOW, CHRISTOPHER</t>
  </si>
  <si>
    <t>WAHBI, ALLISON</t>
  </si>
  <si>
    <t>DUNCAN, PETER</t>
  </si>
  <si>
    <t>WEAVER, AMBER</t>
  </si>
  <si>
    <t>BRYANT, SUSAN</t>
  </si>
  <si>
    <t>BELL, IVERSON</t>
  </si>
  <si>
    <t>STILES, ANDREA</t>
  </si>
  <si>
    <t>WARD, REBECCA</t>
  </si>
  <si>
    <t>BOLYARD, RUSSELL</t>
  </si>
  <si>
    <t>WHITE, J.</t>
  </si>
  <si>
    <t>SHULER, JOHN</t>
  </si>
  <si>
    <t>ALLEN, CLAYTON</t>
  </si>
  <si>
    <t>HARRIS, POLLY</t>
  </si>
  <si>
    <t>MAYS, KAMRA</t>
  </si>
  <si>
    <t>FOSTER, THOMAS</t>
  </si>
  <si>
    <t>FETTING, ROSE</t>
  </si>
  <si>
    <t>WILLIFORD, ROBIN</t>
  </si>
  <si>
    <t>JOHNSON, MERIDETH</t>
  </si>
  <si>
    <t>KELLEY, ROSS</t>
  </si>
  <si>
    <t>ROWE, TERRI</t>
  </si>
  <si>
    <t>WHITE, JACOB</t>
  </si>
  <si>
    <t>DAMRON, DOUG</t>
  </si>
  <si>
    <t>COMEAUX, ANDREW</t>
  </si>
  <si>
    <t>JOHNSON, TUCKER</t>
  </si>
  <si>
    <t>HILLMAN, JANIS</t>
  </si>
  <si>
    <t>LAWSON, THOMAS</t>
  </si>
  <si>
    <t>THARP, JOHN</t>
  </si>
  <si>
    <t>MARIS, ROBERT</t>
  </si>
  <si>
    <t>WILLCUTT, ERIN</t>
  </si>
  <si>
    <t>SHADE, DAVID</t>
  </si>
  <si>
    <t>GRIFFEN, PATRICIA</t>
  </si>
  <si>
    <t>SMITH, GREGORY</t>
  </si>
  <si>
    <t>WILSON, EDWINA</t>
  </si>
  <si>
    <t>KINDRICK, WILLIAM</t>
  </si>
  <si>
    <t>FINSTROM, LAURIE</t>
  </si>
  <si>
    <t>NICKLES, CARRIE</t>
  </si>
  <si>
    <t>FIORI, RACHEL</t>
  </si>
  <si>
    <t>SPEER, KRISTEN</t>
  </si>
  <si>
    <t>DYER, CONNIE</t>
  </si>
  <si>
    <t>SURDOCK, AMANDA</t>
  </si>
  <si>
    <t>HUDSON, LEIGH</t>
  </si>
  <si>
    <t>COON, CATHERINE</t>
  </si>
  <si>
    <t>CATES, KENNETH</t>
  </si>
  <si>
    <t>HENLEY, VICKI</t>
  </si>
  <si>
    <t>ODISHO, AMIRA</t>
  </si>
  <si>
    <t>BOSWELL, LINDA</t>
  </si>
  <si>
    <t>DUNAWAY, SHARON</t>
  </si>
  <si>
    <t>HOGAN, SCOTT</t>
  </si>
  <si>
    <t>JOHNSON, ROCHELLE</t>
  </si>
  <si>
    <t>VONALLMEN, TRACY</t>
  </si>
  <si>
    <t>ALLEN, VANESSA</t>
  </si>
  <si>
    <t>LOCKWOOD, RICKIE</t>
  </si>
  <si>
    <t>IVY, TAMMI</t>
  </si>
  <si>
    <t>CABLE, HEATHER</t>
  </si>
  <si>
    <t>FOWLER, JESSICA</t>
  </si>
  <si>
    <t>KELLEY, SHIRLEY</t>
  </si>
  <si>
    <t>MEGGERS, NICOLE</t>
  </si>
  <si>
    <t>SHAW, BRADLEY</t>
  </si>
  <si>
    <t>ADEBOGUN, OLADELE</t>
  </si>
  <si>
    <t>MONSON, DOUGLAS</t>
  </si>
  <si>
    <t>KEMP, ELAINE</t>
  </si>
  <si>
    <t>YOUNG, FLOYD</t>
  </si>
  <si>
    <t>SANTULLI, KEVIN</t>
  </si>
  <si>
    <t>GOTTSPONER, LAURA</t>
  </si>
  <si>
    <t>GHOLSON, PRICE</t>
  </si>
  <si>
    <t>FREEMAN, CHARLOTTE</t>
  </si>
  <si>
    <t>HENKING, BARBARA</t>
  </si>
  <si>
    <t>GONNER, GRACIE</t>
  </si>
  <si>
    <t>RANA, RYAN</t>
  </si>
  <si>
    <t>GRAVES, JUDY</t>
  </si>
  <si>
    <t>GREEN, GARY</t>
  </si>
  <si>
    <t>SHIELDS, CHARLES</t>
  </si>
  <si>
    <t>PARKS, BAMBI</t>
  </si>
  <si>
    <t>WEST, NICOLE</t>
  </si>
  <si>
    <t>ALEXANDER, ELIZABETH</t>
  </si>
  <si>
    <t>ELLIS, LEE</t>
  </si>
  <si>
    <t>PRICE, DEBRA</t>
  </si>
  <si>
    <t>FOWLER, JOYCE</t>
  </si>
  <si>
    <t>HENDERSON, JOHN</t>
  </si>
  <si>
    <t>STRAWN, HENRY</t>
  </si>
  <si>
    <t>CONLEY, ALTHEA</t>
  </si>
  <si>
    <t>SMITH, LESLIE</t>
  </si>
  <si>
    <t>WARD, DAWNN</t>
  </si>
  <si>
    <t>PORTER, MARILYN</t>
  </si>
  <si>
    <t>COTTRELL, EUGENIA</t>
  </si>
  <si>
    <t>TULLOS, TRACY</t>
  </si>
  <si>
    <t>EASH, BETTY</t>
  </si>
  <si>
    <t>MARTIN, RYAN</t>
  </si>
  <si>
    <t>ABBEY, RUTH</t>
  </si>
  <si>
    <t>FU, LIUSONG</t>
  </si>
  <si>
    <t>CUCCIARE, MICHAEL</t>
  </si>
  <si>
    <t>MANN, LESLIE</t>
  </si>
  <si>
    <t>MECUM, DOROTHEE</t>
  </si>
  <si>
    <t>HUDSON, ERIC</t>
  </si>
  <si>
    <t>RAHMAN, SHEFA</t>
  </si>
  <si>
    <t>PARENT, SARAH</t>
  </si>
  <si>
    <t>COVEY, FLOYD</t>
  </si>
  <si>
    <t>GARROTT, ALLISON</t>
  </si>
  <si>
    <t>SAKAUYE, KENNETH</t>
  </si>
  <si>
    <t>BOSWELL, BRITT</t>
  </si>
  <si>
    <t>THOMPSON, JEREMY</t>
  </si>
  <si>
    <t>HORNER, REBECCA</t>
  </si>
  <si>
    <t>BATTAILE, NAJIBA</t>
  </si>
  <si>
    <t>WHITE, VICKI</t>
  </si>
  <si>
    <t>PEPPERS, RHONDA</t>
  </si>
  <si>
    <t>MCFADIN, CHERIE</t>
  </si>
  <si>
    <t>HENSON, REBECCA</t>
  </si>
  <si>
    <t>MURPHY, RYAN</t>
  </si>
  <si>
    <t>MENDENHALL, LAURA</t>
  </si>
  <si>
    <t>SUBBA, SARITA</t>
  </si>
  <si>
    <t>HICKERSON, PAUL</t>
  </si>
  <si>
    <t>PINKSTON, DEBORAH</t>
  </si>
  <si>
    <t>FARMER, ALICIA</t>
  </si>
  <si>
    <t>DOMSCH, LAURIE</t>
  </si>
  <si>
    <t>ROBINSON, MICHELLE</t>
  </si>
  <si>
    <t>COOK, KIMRA</t>
  </si>
  <si>
    <t>TURNER, ANGIE</t>
  </si>
  <si>
    <t>CHAMBERS, DONALD</t>
  </si>
  <si>
    <t>STRIKE, CHAD</t>
  </si>
  <si>
    <t>WHITE, FRANK</t>
  </si>
  <si>
    <t>GEORGE, CATHY</t>
  </si>
  <si>
    <t>SIBLEY, ANDY</t>
  </si>
  <si>
    <t>HINTON, PATRICIA</t>
  </si>
  <si>
    <t>PALMER, KIMBERLY</t>
  </si>
  <si>
    <t>HUFFSTUTTER, M ELIZABETH</t>
  </si>
  <si>
    <t>KORNBLUM, SHEILA</t>
  </si>
  <si>
    <t>MAISEN, ADAM</t>
  </si>
  <si>
    <t>GRAHAM, PAULA</t>
  </si>
  <si>
    <t>WILLIS, DEBRA</t>
  </si>
  <si>
    <t>CRAWFORD, KARI</t>
  </si>
  <si>
    <t>RAY-GRIFFITH, SHONA</t>
  </si>
  <si>
    <t>SHORT, SAMANTHA</t>
  </si>
  <si>
    <t>OTWELL, GOLDIE</t>
  </si>
  <si>
    <t>CATE, ABBY</t>
  </si>
  <si>
    <t>MYERS, LINDSEY</t>
  </si>
  <si>
    <t>WARREN, MATTIE</t>
  </si>
  <si>
    <t>RICHIE, SARAH</t>
  </si>
  <si>
    <t>AHMED, ESRA</t>
  </si>
  <si>
    <t>WHITAKER, ROBERT</t>
  </si>
  <si>
    <t>MONEYPENNY, JAMES</t>
  </si>
  <si>
    <t>DAVIS, MARY</t>
  </si>
  <si>
    <t>DANZELL, JACQUELINE</t>
  </si>
  <si>
    <t>SHAH, ZARINA</t>
  </si>
  <si>
    <t>EDWARDS, CHERYL</t>
  </si>
  <si>
    <t>MARTINDALE-ORITE, EVA</t>
  </si>
  <si>
    <t>EADS, LOU</t>
  </si>
  <si>
    <t>MATTOX, RHONDA</t>
  </si>
  <si>
    <t>MESSINA, TERESA</t>
  </si>
  <si>
    <t>RAZA, ASIM</t>
  </si>
  <si>
    <t>GALBREATH, MURFF</t>
  </si>
  <si>
    <t>COOMBE-MOORE, JACKIE</t>
  </si>
  <si>
    <t>ERICKSON, LENORA</t>
  </si>
  <si>
    <t>LEVINE, LAUREN</t>
  </si>
  <si>
    <t>MUNIR, SYEDA</t>
  </si>
  <si>
    <t>BLANCHARD, LESLIE</t>
  </si>
  <si>
    <t>CANNON, CARRIE</t>
  </si>
  <si>
    <t>BERRYMAN, APRIL</t>
  </si>
  <si>
    <t>WEATHERS, DARIA</t>
  </si>
  <si>
    <t>BABER, COREY</t>
  </si>
  <si>
    <t>LOVE, RHONDA</t>
  </si>
  <si>
    <t>TOOMEY, ANGELA</t>
  </si>
  <si>
    <t>PARKER, LINDA</t>
  </si>
  <si>
    <t>HARRINGTON, STEPHANIE</t>
  </si>
  <si>
    <t>HESSELRODE, MARK</t>
  </si>
  <si>
    <t>COX, JANE</t>
  </si>
  <si>
    <t>NIERMAN, RONALD</t>
  </si>
  <si>
    <t>MAGIERA-PLANEY, RENEE</t>
  </si>
  <si>
    <t>CRUSETURNER, DIANE</t>
  </si>
  <si>
    <t>SCOTT, BETTY</t>
  </si>
  <si>
    <t>SEEL, KENDRA</t>
  </si>
  <si>
    <t>KING, MICHAEL</t>
  </si>
  <si>
    <t>STINNETT, THOMAS</t>
  </si>
  <si>
    <t>JONES, MICHAEL</t>
  </si>
  <si>
    <t>BURNS, JANIS</t>
  </si>
  <si>
    <t>RAY, BRENDA</t>
  </si>
  <si>
    <t>STEWART, MARK</t>
  </si>
  <si>
    <t>WHEELER, DANIELLE</t>
  </si>
  <si>
    <t>YIELDING, WINTER</t>
  </si>
  <si>
    <t>HUDSON, CAROLYN</t>
  </si>
  <si>
    <t>GREENFIELD, SHANNON</t>
  </si>
  <si>
    <t>MATTHEWS, STEPHANIE</t>
  </si>
  <si>
    <t>CONERLY, KERLESKA</t>
  </si>
  <si>
    <t>LUNSFORD, ELISE</t>
  </si>
  <si>
    <t>BOWEN, ANGELA</t>
  </si>
  <si>
    <t>HIGHTOWER, JAMES</t>
  </si>
  <si>
    <t>MIZELL, PHILIP</t>
  </si>
  <si>
    <t>PARRISH, J</t>
  </si>
  <si>
    <t>MILLER, TERRI</t>
  </si>
  <si>
    <t>ROSS, ANDREA</t>
  </si>
  <si>
    <t>MATLOCK, TRACY</t>
  </si>
  <si>
    <t>NEEDHAM-PUCKETT, LAURA</t>
  </si>
  <si>
    <t>DELGADO, PEDRO</t>
  </si>
  <si>
    <t>INSAF, SHAHID</t>
  </si>
  <si>
    <t>WEST, VICKIE</t>
  </si>
  <si>
    <t>STERLING, MELANIE</t>
  </si>
  <si>
    <t>BRUSH-STRODE, NATALIE</t>
  </si>
  <si>
    <t>MCNERNEY, VICTOR</t>
  </si>
  <si>
    <t>MOORE, HUGH</t>
  </si>
  <si>
    <t>MAUPIN, FONDA</t>
  </si>
  <si>
    <t>BELL, DANIELLE</t>
  </si>
  <si>
    <t>CARTER, LISA</t>
  </si>
  <si>
    <t>WILLIS, VIRGINIA</t>
  </si>
  <si>
    <t>PORTER, HOLLIE</t>
  </si>
  <si>
    <t>FREDERICK, MATTHEW</t>
  </si>
  <si>
    <t>REID, DEBRA</t>
  </si>
  <si>
    <t>XAIYASANG, PAHULEESEE</t>
  </si>
  <si>
    <t>BEARDEN, CARL</t>
  </si>
  <si>
    <t>BARLING, PHILLIP</t>
  </si>
  <si>
    <t>GILBERT, TRUDY</t>
  </si>
  <si>
    <t>PARKER, JOHN</t>
  </si>
  <si>
    <t>BUECHELE, JAMES</t>
  </si>
  <si>
    <t>DOSS, JEAN</t>
  </si>
  <si>
    <t>SIDHU, SAVIRA</t>
  </si>
  <si>
    <t>HAYES, MISTY</t>
  </si>
  <si>
    <t>DICKINSON, MELANIE</t>
  </si>
  <si>
    <t>BUCHMAN, ELIZABETH</t>
  </si>
  <si>
    <t>ALDERMAN, LAURA</t>
  </si>
  <si>
    <t>HENRY, JOANIE</t>
  </si>
  <si>
    <t>BADER, SUMMER</t>
  </si>
  <si>
    <t>NEWCOMB, ZACHARY</t>
  </si>
  <si>
    <t>NEWSAM, WENDY</t>
  </si>
  <si>
    <t>DYGERT, LEAH</t>
  </si>
  <si>
    <t>DOWDY, ROBERT</t>
  </si>
  <si>
    <t>KOZLOWSKI, NANCY</t>
  </si>
  <si>
    <t>RICE, ROBERT</t>
  </si>
  <si>
    <t>BALTZ, MARK</t>
  </si>
  <si>
    <t>HARRIS, TAMMI</t>
  </si>
  <si>
    <t>LANCELIN, BESSIE</t>
  </si>
  <si>
    <t>RULE, JAMES</t>
  </si>
  <si>
    <t>DINER, BRADLEY</t>
  </si>
  <si>
    <t>TAYLOR, ANGELA</t>
  </si>
  <si>
    <t>ZELENY, REBECCA</t>
  </si>
  <si>
    <t>WESTERBERG, SUMMER</t>
  </si>
  <si>
    <t>DODSON, BRUCE</t>
  </si>
  <si>
    <t>WASHINGTON, ABEER</t>
  </si>
  <si>
    <t>GARRISON, KERRI</t>
  </si>
  <si>
    <t>POLOVTSEV, JESSICA</t>
  </si>
  <si>
    <t>PHILLIPS, JOHN</t>
  </si>
  <si>
    <t>KINDRICK, KRISTI</t>
  </si>
  <si>
    <t>HARDIN, GREG</t>
  </si>
  <si>
    <t>INGRAM, DANA</t>
  </si>
  <si>
    <t>WILSON, GEORGE</t>
  </si>
  <si>
    <t>STUNTZ-CHRISTIAN, JEREMY</t>
  </si>
  <si>
    <t>SONNTAG, MARY</t>
  </si>
  <si>
    <t>LISK, DEANNA</t>
  </si>
  <si>
    <t>WARWICK, DAN</t>
  </si>
  <si>
    <t>HARDEE, AMY</t>
  </si>
  <si>
    <t>PULLIAM, ALLISON</t>
  </si>
  <si>
    <t>JONES, BRYAN</t>
  </si>
  <si>
    <t>SALYARDS, JENNIFER</t>
  </si>
  <si>
    <t>SWEETWOOD, WILLIAM</t>
  </si>
  <si>
    <t>DUVALL, STACI</t>
  </si>
  <si>
    <t>SUMMERS, ANNE</t>
  </si>
  <si>
    <t>EVANS, SARAH</t>
  </si>
  <si>
    <t>MCFERRIN, LAURA</t>
  </si>
  <si>
    <t>HARROD, RACHEL</t>
  </si>
  <si>
    <t>NORVELL, ROXANNE</t>
  </si>
  <si>
    <t>COFFMAN, DEANN</t>
  </si>
  <si>
    <t>PENN, NICOLA</t>
  </si>
  <si>
    <t>LOWMAN, LEN</t>
  </si>
  <si>
    <t>HOWARD, JORDAN</t>
  </si>
  <si>
    <t>FLAHERTY, AMY</t>
  </si>
  <si>
    <t>SMITH, WENDELL</t>
  </si>
  <si>
    <t>STUDER, PATRICIA</t>
  </si>
  <si>
    <t>CASCIO, EMILY</t>
  </si>
  <si>
    <t>HOLLAND, JAMES</t>
  </si>
  <si>
    <t>HOLMES, KHIELA</t>
  </si>
  <si>
    <t>HARVEY, JAIME</t>
  </si>
  <si>
    <t>RAGO, DEBORAH</t>
  </si>
  <si>
    <t>COLE, TARA</t>
  </si>
  <si>
    <t>SKINNER, MAUREEN</t>
  </si>
  <si>
    <t>JACKSON, ROSALYN</t>
  </si>
  <si>
    <t>WOOD, ANTHONY</t>
  </si>
  <si>
    <t>YORK, CANDACE</t>
  </si>
  <si>
    <t>PAULSON, TRACEE</t>
  </si>
  <si>
    <t>ROWELL, ROBERT</t>
  </si>
  <si>
    <t>CAMP, CHARISSA</t>
  </si>
  <si>
    <t>KELLAR, DENNIS</t>
  </si>
  <si>
    <t>GALLOWAY, LESLIE</t>
  </si>
  <si>
    <t>MORGAN, JACK</t>
  </si>
  <si>
    <t>MIESNER, GINA</t>
  </si>
  <si>
    <t>NICHOLS, WILLIAM</t>
  </si>
  <si>
    <t>PEREGOY, LEIGH</t>
  </si>
  <si>
    <t>LIERLY, JOHN</t>
  </si>
  <si>
    <t>SPAINE, WILLIAM</t>
  </si>
  <si>
    <t>MATTHEWS, PAULA</t>
  </si>
  <si>
    <t>SALVADOR, ESTER</t>
  </si>
  <si>
    <t>DENNIE, DEBORAH</t>
  </si>
  <si>
    <t>BAGLEY, DAVID</t>
  </si>
  <si>
    <t>HEMPHILL, FREETTA</t>
  </si>
  <si>
    <t>PFEIFFER, KEELI</t>
  </si>
  <si>
    <t>ROSARIO, OLIMPIA</t>
  </si>
  <si>
    <t>TRUSTY, DESTINI</t>
  </si>
  <si>
    <t>BOYD, DIANE</t>
  </si>
  <si>
    <t>ROBERTS, AMY</t>
  </si>
  <si>
    <t>HAGANS, CASIE</t>
  </si>
  <si>
    <t>HENLEY, WILLIAM</t>
  </si>
  <si>
    <t>WAKEFIELD, ALLIE</t>
  </si>
  <si>
    <t>BARNES, SHEILA</t>
  </si>
  <si>
    <t>MARSDEN, TROYMICHAEL</t>
  </si>
  <si>
    <t>ENGLES, BILLY</t>
  </si>
  <si>
    <t>LITTLE, LISA</t>
  </si>
  <si>
    <t>VAN KIRK, DONNA</t>
  </si>
  <si>
    <t>WALKER, JOYCE</t>
  </si>
  <si>
    <t>SWAMY, USHA</t>
  </si>
  <si>
    <t>KEELING, SANDRA</t>
  </si>
  <si>
    <t>KING, TERRY</t>
  </si>
  <si>
    <t>BROWN, CHARLENE</t>
  </si>
  <si>
    <t>REED, DAWN</t>
  </si>
  <si>
    <t>BURNETT, JOHN</t>
  </si>
  <si>
    <t>SEMON, RUSSELL</t>
  </si>
  <si>
    <t>WILSON, JACRALL</t>
  </si>
  <si>
    <t>WALLS, JENNIFER</t>
  </si>
  <si>
    <t>GANSZ, SHERRI</t>
  </si>
  <si>
    <t>GOODIN, MARCHETA</t>
  </si>
  <si>
    <t>POWELL, MELISSA</t>
  </si>
  <si>
    <t>HITE, JESSE</t>
  </si>
  <si>
    <t>REID, ELIZABETH</t>
  </si>
  <si>
    <t>WELLS, RANDALL</t>
  </si>
  <si>
    <t>BANKS, KRAMEELAH</t>
  </si>
  <si>
    <t>GRISHAM, WILLIAM</t>
  </si>
  <si>
    <t>JONES, KIM</t>
  </si>
  <si>
    <t>PEARSON, JODI</t>
  </si>
  <si>
    <t>BARGER, BOYCE</t>
  </si>
  <si>
    <t>ROBERTS, HALEE</t>
  </si>
  <si>
    <t>RICHARDSON, JESSICA</t>
  </si>
  <si>
    <t>SCOTT, RICHARD</t>
  </si>
  <si>
    <t>ARMSTRONG, STACIE</t>
  </si>
  <si>
    <t>CRISP, CONSTANCE</t>
  </si>
  <si>
    <t>PORTER, BECKY</t>
  </si>
  <si>
    <t>FRANKLIN, L</t>
  </si>
  <si>
    <t>LAWHEAD, CATHERINE</t>
  </si>
  <si>
    <t>PORTER, BETH</t>
  </si>
  <si>
    <t>MUSSER, MARY</t>
  </si>
  <si>
    <t>COUNCIL, JULIE</t>
  </si>
  <si>
    <t>STEPHENS, MARY</t>
  </si>
  <si>
    <t>CLIFFORD, TARA</t>
  </si>
  <si>
    <t>LEADER, MERVIN</t>
  </si>
  <si>
    <t>MOFFETT PLACE, KELLY</t>
  </si>
  <si>
    <t>RHOADS, JESSE</t>
  </si>
  <si>
    <t>BROADWAY, BARBARA</t>
  </si>
  <si>
    <t>SPILLMAN, SAMANTHA</t>
  </si>
  <si>
    <t>BAKER, ANN</t>
  </si>
  <si>
    <t>ROWE, MICHELE</t>
  </si>
  <si>
    <t>TIMMONS, KERI</t>
  </si>
  <si>
    <t>NEAL, PAUL</t>
  </si>
  <si>
    <t>TURNEY, HOWARD</t>
  </si>
  <si>
    <t>MILLERD, SUSAN</t>
  </si>
  <si>
    <t>NICHOLS, WYATT</t>
  </si>
  <si>
    <t>SINGH, JASJIT</t>
  </si>
  <si>
    <t>KEETER, NICK</t>
  </si>
  <si>
    <t>SPARKS, JARED</t>
  </si>
  <si>
    <t>GENTRY, CHESTER</t>
  </si>
  <si>
    <t>MANNA, MARCI</t>
  </si>
  <si>
    <t>GRANT, LARRY</t>
  </si>
  <si>
    <t>EDWARDS, THOMAS</t>
  </si>
  <si>
    <t>KRIEHN, EMILY</t>
  </si>
  <si>
    <t>MICKENS, MARY</t>
  </si>
  <si>
    <t>HYKES, ELIZABETH</t>
  </si>
  <si>
    <t>JONES, CRAIG</t>
  </si>
  <si>
    <t>ALEXANDER, JAN</t>
  </si>
  <si>
    <t>RUTHVEN, LAUREN</t>
  </si>
  <si>
    <t>KEHN, CHRISTINA</t>
  </si>
  <si>
    <t>RICHARDSON, AMBER</t>
  </si>
  <si>
    <t>WHITAKER, JENNIFER</t>
  </si>
  <si>
    <t>EDWARDS, JONATHAN</t>
  </si>
  <si>
    <t>GIBSON, TAMEKA</t>
  </si>
  <si>
    <t>DAVIS, KRISTINE</t>
  </si>
  <si>
    <t>GRAY, JOEL</t>
  </si>
  <si>
    <t>MURPHY, RICHARD</t>
  </si>
  <si>
    <t>BENNETT, LEIGH</t>
  </si>
  <si>
    <t>CUNNINGHAM, GLORIA</t>
  </si>
  <si>
    <t>BELLANDO, JAYNE</t>
  </si>
  <si>
    <t>WATERMAN, MARY</t>
  </si>
  <si>
    <t>NALLY, YOLANDA</t>
  </si>
  <si>
    <t>DEWEESE, CRYSTAL</t>
  </si>
  <si>
    <t>HOUSLEY, KATHLEEN</t>
  </si>
  <si>
    <t>HUNT, LISA</t>
  </si>
  <si>
    <t>CLINGMON JENNINGS, TONI</t>
  </si>
  <si>
    <t>BARTON, TERRIE</t>
  </si>
  <si>
    <t>GONGOLA, KAREN</t>
  </si>
  <si>
    <t>MYLER, KAREN</t>
  </si>
  <si>
    <t>WHEELER, MELANI</t>
  </si>
  <si>
    <t>MCDONALD, SEAN</t>
  </si>
  <si>
    <t>FOSTER, MARK</t>
  </si>
  <si>
    <t>DEASON, DAVID</t>
  </si>
  <si>
    <t>PAUL, CONNIE</t>
  </si>
  <si>
    <t>RYAN, JOHN</t>
  </si>
  <si>
    <t>NELSON, MIKE</t>
  </si>
  <si>
    <t>LAMBE, SHERIDAN</t>
  </si>
  <si>
    <t>SAFARIK-GRIMMIG, JANA</t>
  </si>
  <si>
    <t>NAEEM, UZMA</t>
  </si>
  <si>
    <t>GRAY, RONDA</t>
  </si>
  <si>
    <t>MCLIN, MARY JO</t>
  </si>
  <si>
    <t>REGISTER, BENJAMIN</t>
  </si>
  <si>
    <t>COLLIE, SARA</t>
  </si>
  <si>
    <t>LATTURE, SETH</t>
  </si>
  <si>
    <t>KITCHENS, JESSICA</t>
  </si>
  <si>
    <t>MATSUYAMA, MEGAN</t>
  </si>
  <si>
    <t>MCKNIGHT, SERENA</t>
  </si>
  <si>
    <t>BETHEA, CHANCY</t>
  </si>
  <si>
    <t>CRAIG, SARA</t>
  </si>
  <si>
    <t>WHITFIELD, ANN</t>
  </si>
  <si>
    <t>HARPER, MEGHAN</t>
  </si>
  <si>
    <t>CARTER, CARY</t>
  </si>
  <si>
    <t>STACEY, ADRIANA</t>
  </si>
  <si>
    <t>MCKNIGHT, TERRENCE</t>
  </si>
  <si>
    <t>TOBIN, MARIE</t>
  </si>
  <si>
    <t>SHOTT, DIANE</t>
  </si>
  <si>
    <t>CHURCH, JANICE</t>
  </si>
  <si>
    <t>WORLEY, KAREN</t>
  </si>
  <si>
    <t>SLATER, ANNETTE</t>
  </si>
  <si>
    <t>WILLIAMS, LEAH</t>
  </si>
  <si>
    <t>WOODSON, PAMELA</t>
  </si>
  <si>
    <t>EZELL, JAMES</t>
  </si>
  <si>
    <t>WHITE, TREASA</t>
  </si>
  <si>
    <t>CRUTCHFIELD, HOLLY</t>
  </si>
  <si>
    <t>RISHER, CAROL</t>
  </si>
  <si>
    <t>PRIEST, KENNETH</t>
  </si>
  <si>
    <t>STALEY, RANDALL</t>
  </si>
  <si>
    <t>HOPPER, PATRICK</t>
  </si>
  <si>
    <t>WOODS, NATASHA</t>
  </si>
  <si>
    <t>GOODWIN, ERIN</t>
  </si>
  <si>
    <t>FRANGENBERG, SAMUEL</t>
  </si>
  <si>
    <t>BURRIS, LYDIA</t>
  </si>
  <si>
    <t>SPARKS, SHANE</t>
  </si>
  <si>
    <t>ADES, TANIA</t>
  </si>
  <si>
    <t>CASTLEBERRY, CHERYL</t>
  </si>
  <si>
    <t>GIBSON, ELIZABETH</t>
  </si>
  <si>
    <t>SCOTT, ADRIENNE</t>
  </si>
  <si>
    <t>TOMPKINS, VINCENT</t>
  </si>
  <si>
    <t>PARKE, ROBERT</t>
  </si>
  <si>
    <t>JAIN, NEELAM</t>
  </si>
  <si>
    <t>HALL, JENNIFER</t>
  </si>
  <si>
    <t>DAVIS, MICHAEL</t>
  </si>
  <si>
    <t>REECE, DANIELLE</t>
  </si>
  <si>
    <t>SMITH, BRYAN</t>
  </si>
  <si>
    <t>TOBEY, EDWARD</t>
  </si>
  <si>
    <t>GUILE, ROBIN</t>
  </si>
  <si>
    <t>ANGLIN, SCOTT</t>
  </si>
  <si>
    <t>BARRETT, RICHARD</t>
  </si>
  <si>
    <t>BAUER, KATHLEEN</t>
  </si>
  <si>
    <t>CLARK, MARK</t>
  </si>
  <si>
    <t>PATE, SANDRA</t>
  </si>
  <si>
    <t>THOMAS, REGINA</t>
  </si>
  <si>
    <t>IKERD, HEALEY</t>
  </si>
  <si>
    <t>PRUETT, FLORENCE</t>
  </si>
  <si>
    <t>WINBORN, MARK</t>
  </si>
  <si>
    <t>MCCAULEY, ANNE</t>
  </si>
  <si>
    <t>HESTON, JERRY</t>
  </si>
  <si>
    <t>INDIRADEVI, AYYAGARI</t>
  </si>
  <si>
    <t>STEWART SMITH, BRITTANY</t>
  </si>
  <si>
    <t>BAER, MARSHA</t>
  </si>
  <si>
    <t>GRANBERRY, DEBORAH</t>
  </si>
  <si>
    <t>CARTER KAMINSKY, JO</t>
  </si>
  <si>
    <t>FIELD MILLER, JEANNE</t>
  </si>
  <si>
    <t>DRIVER, THERESA</t>
  </si>
  <si>
    <t>SUN, ZHIQIANG</t>
  </si>
  <si>
    <t>GALLOWAY, RITA</t>
  </si>
  <si>
    <t>OWENS, TWILA</t>
  </si>
  <si>
    <t>FRESH, ANDREA</t>
  </si>
  <si>
    <t>GALYAN, JAMES</t>
  </si>
  <si>
    <t>SAILOR, SHELLEY</t>
  </si>
  <si>
    <t>LEWIS, KELSEY</t>
  </si>
  <si>
    <t>PLANJE, CHRISTINA</t>
  </si>
  <si>
    <t>WILSON, SANDRA</t>
  </si>
  <si>
    <t>PHILLIPS, HANNAH</t>
  </si>
  <si>
    <t>PETTY, TERRI</t>
  </si>
  <si>
    <t>MCKENNA, SUZANNE</t>
  </si>
  <si>
    <t>HUBBARD, CALLIE</t>
  </si>
  <si>
    <t>CHIOVOLONI, STEPHEN</t>
  </si>
  <si>
    <t>BROWDER, SALLY</t>
  </si>
  <si>
    <t>GILCHRIST, DANIEL</t>
  </si>
  <si>
    <t>SNIPES, ERIC</t>
  </si>
  <si>
    <t>BISHOP, TERRELL</t>
  </si>
  <si>
    <t>HAMMOND, ANGELA</t>
  </si>
  <si>
    <t>ARMSTRONG, DAVID</t>
  </si>
  <si>
    <t>BEST, SANDRA</t>
  </si>
  <si>
    <t>CAVELL, TIMOTHY</t>
  </si>
  <si>
    <t>SLAUGHTER, CYNTHIA</t>
  </si>
  <si>
    <t>HUNT, JUSTIN</t>
  </si>
  <si>
    <t>MILTON, ALICIA</t>
  </si>
  <si>
    <t>MCMILLIAN, KATHRYN</t>
  </si>
  <si>
    <t>WEATHERFORD, CARLA</t>
  </si>
  <si>
    <t>FAIRRIS, KELLI</t>
  </si>
  <si>
    <t>MILLER, KRISTI</t>
  </si>
  <si>
    <t>KELLIM, ANDREA</t>
  </si>
  <si>
    <t>THURMAN, ROBYN</t>
  </si>
  <si>
    <t>LAUGHINGHOUSE, SARA</t>
  </si>
  <si>
    <t>CRAIG, PHYLLIS</t>
  </si>
  <si>
    <t>LOVELACE, LANEEL</t>
  </si>
  <si>
    <t>JOHNSTON, ROSE</t>
  </si>
  <si>
    <t>CASSIUS, ERIC</t>
  </si>
  <si>
    <t>WHALEN, JULIE</t>
  </si>
  <si>
    <t>LEVENBACH, KEREN</t>
  </si>
  <si>
    <t>MORGAN, ROGER</t>
  </si>
  <si>
    <t>WOODWORTH, KATHERINE</t>
  </si>
  <si>
    <t>BASKINS, ERIC</t>
  </si>
  <si>
    <t>MORGAN, YASMIN</t>
  </si>
  <si>
    <t>BERNER, KEITH</t>
  </si>
  <si>
    <t>DOW, CHRISTOPHER</t>
  </si>
  <si>
    <t>CAMDEN, CHANDA</t>
  </si>
  <si>
    <t>HANAUER, ALLISON</t>
  </si>
  <si>
    <t>DAVIS, GLENDA</t>
  </si>
  <si>
    <t>HAYNES, BRADLEY</t>
  </si>
  <si>
    <t>STEIN, GERALD</t>
  </si>
  <si>
    <t>JONES, ANDRE'</t>
  </si>
  <si>
    <t>LETBETTER, KELLIE</t>
  </si>
  <si>
    <t>GREEN, SARAH</t>
  </si>
  <si>
    <t>HATFIELD, RACHEL</t>
  </si>
  <si>
    <t>JONES, CASEY</t>
  </si>
  <si>
    <t>RAMSAY, HEATHER</t>
  </si>
  <si>
    <t>SANDERS, KAREN</t>
  </si>
  <si>
    <t>MEEK, JODY</t>
  </si>
  <si>
    <t>ADKISSON, JARROD</t>
  </si>
  <si>
    <t>TERWILLIGER, TRACY</t>
  </si>
  <si>
    <t>CHRISTIE, CHRISTINA</t>
  </si>
  <si>
    <t>POE, ALLISON</t>
  </si>
  <si>
    <t>JONES, MARY</t>
  </si>
  <si>
    <t>HUGHES, THOMAS</t>
  </si>
  <si>
    <t>TILLEMANS, TAD</t>
  </si>
  <si>
    <t>MIDDLETON, SONJA</t>
  </si>
  <si>
    <t>GRAY, KELLY</t>
  </si>
  <si>
    <t>HUTCHISON, ERICA</t>
  </si>
  <si>
    <t>THOMPSON, ROSE</t>
  </si>
  <si>
    <t>ROBBINS, EMILY</t>
  </si>
  <si>
    <t>FOSTER, SCOTT</t>
  </si>
  <si>
    <t>LITCHFORD, DANIELLE</t>
  </si>
  <si>
    <t>ARMSTRONG, BOBBY</t>
  </si>
  <si>
    <t>MEARS, KELLY</t>
  </si>
  <si>
    <t>MILBOURN, NANCY</t>
  </si>
  <si>
    <t>GOODWIN, RODNEY</t>
  </si>
  <si>
    <t>KAUFFMAN, ALAN</t>
  </si>
  <si>
    <t>MOFFITT-REAVES, CARRIE</t>
  </si>
  <si>
    <t>SAWYER, XOCHITL</t>
  </si>
  <si>
    <t>PARRY, K</t>
  </si>
  <si>
    <t>MCDANIEL, BRANDY</t>
  </si>
  <si>
    <t>MCCARTHER, PAULA</t>
  </si>
  <si>
    <t>SMITH, MATTHEW</t>
  </si>
  <si>
    <t>ACKERET-SMITH, BARBARA</t>
  </si>
  <si>
    <t>SEIDEL, MARIANNE</t>
  </si>
  <si>
    <t>ALDEA, IVAN</t>
  </si>
  <si>
    <t>BEASLEY, SANDRA</t>
  </si>
  <si>
    <t>MOSS, JUDITH</t>
  </si>
  <si>
    <t>FROTHINGHAM, SUE</t>
  </si>
  <si>
    <t>MEANS, CHRISTA</t>
  </si>
  <si>
    <t>SCARBOROUGH, GARY</t>
  </si>
  <si>
    <t>ADAY, JERI</t>
  </si>
  <si>
    <t>TRACY, NANCY</t>
  </si>
  <si>
    <t>PIPKIN, STEPHEN</t>
  </si>
  <si>
    <t>COOK, KELLI</t>
  </si>
  <si>
    <t>PRATHER, ANN</t>
  </si>
  <si>
    <t>MCNELLIS, LINDA</t>
  </si>
  <si>
    <t>CLEMENT, JANE</t>
  </si>
  <si>
    <t>JENNINGS-HUGHES, DAYNA</t>
  </si>
  <si>
    <t>HOUGH, TANYA</t>
  </si>
  <si>
    <t>LEECH, SHIRLEY</t>
  </si>
  <si>
    <t>SMITH, JUDY</t>
  </si>
  <si>
    <t>WEEKS, ELOISE</t>
  </si>
  <si>
    <t>KALEY, SEAN</t>
  </si>
  <si>
    <t>EASTON, MANDALYN</t>
  </si>
  <si>
    <t>ELDER, THADDEUS</t>
  </si>
  <si>
    <t>MATTHEWS, COLEMAN</t>
  </si>
  <si>
    <t>RODGERS, BRANDI</t>
  </si>
  <si>
    <t>STOKES, PENNY</t>
  </si>
  <si>
    <t>BROWNFIELD, HANNAH</t>
  </si>
  <si>
    <t>KERN, JENNIFER</t>
  </si>
  <si>
    <t>MCCULLOUGH, J ANDREW</t>
  </si>
  <si>
    <t>BROOKS, ASHLEY</t>
  </si>
  <si>
    <t>WILLIAMS, MARY</t>
  </si>
  <si>
    <t>FLAHERTY, ROLLIE</t>
  </si>
  <si>
    <t>ROBERTS, MONICA</t>
  </si>
  <si>
    <t>TAYLOR, DAVID</t>
  </si>
  <si>
    <t>AKHTAR, ATIF</t>
  </si>
  <si>
    <t>LEWIS, CHARLES</t>
  </si>
  <si>
    <t>LEAL, JORGE</t>
  </si>
  <si>
    <t>FITZ-GERALD, MARY</t>
  </si>
  <si>
    <t>MCDONALD, DONALD</t>
  </si>
  <si>
    <t>PIERCY, CATHERINE</t>
  </si>
  <si>
    <t>PATTON, CYNTHIA</t>
  </si>
  <si>
    <t>CRAWFORD, WALTER</t>
  </si>
  <si>
    <t>SEMRAU, LAWRENCE</t>
  </si>
  <si>
    <t>WOLTERS, WILLIAM</t>
  </si>
  <si>
    <t>SMART, AMANDA</t>
  </si>
  <si>
    <t>MARTIN, LOU</t>
  </si>
  <si>
    <t>BROUSSARD, JASON</t>
  </si>
  <si>
    <t>JACKSON, ANTIMOORE</t>
  </si>
  <si>
    <t>JOHNSON, KIMBERLY</t>
  </si>
  <si>
    <t>BREWER, LINDA</t>
  </si>
  <si>
    <t>GOGGANS, DEANNA</t>
  </si>
  <si>
    <t>JOHNSON, YVONNE</t>
  </si>
  <si>
    <t>CRUTCHFIELD, COURTNEY</t>
  </si>
  <si>
    <t>TOLAND, ASHLEY</t>
  </si>
  <si>
    <t>SMITH, D'JUANA</t>
  </si>
  <si>
    <t>HAND, BETH</t>
  </si>
  <si>
    <t>SCHNEIDER, HAVAH</t>
  </si>
  <si>
    <t>WALDEMAYER, KRISTEN</t>
  </si>
  <si>
    <t>GOEBEL, RONALD</t>
  </si>
  <si>
    <t>FLEMING, JAMES</t>
  </si>
  <si>
    <t>HURLEY, JAMES</t>
  </si>
  <si>
    <t>ADAMS, AMY</t>
  </si>
  <si>
    <t>ROBERTS, SHERI</t>
  </si>
  <si>
    <t>AGOSTIN, TRACY</t>
  </si>
  <si>
    <t>BOUGHFMAN, ERICA</t>
  </si>
  <si>
    <t>MCCAIN, SAVANNA</t>
  </si>
  <si>
    <t>WINANS, THOMAS</t>
  </si>
  <si>
    <t>WATSON, JANINE</t>
  </si>
  <si>
    <t>HOEHLING, KAETHE</t>
  </si>
  <si>
    <t>PENNINGTON, MARILYN</t>
  </si>
  <si>
    <t>MORSE, PAULA</t>
  </si>
  <si>
    <t>GIBSON, JAMIE</t>
  </si>
  <si>
    <t>WELLS, NANCY</t>
  </si>
  <si>
    <t>KASI, IRYNA</t>
  </si>
  <si>
    <t>ASZOD, LUDWIG</t>
  </si>
  <si>
    <t>RICHARDSON, FLORENCE</t>
  </si>
  <si>
    <t>LONG, TONIA</t>
  </si>
  <si>
    <t>HOEHN, ROBERT</t>
  </si>
  <si>
    <t>DEVINE, PATRICIA</t>
  </si>
  <si>
    <t>ROACH, ANDREW</t>
  </si>
  <si>
    <t>TIPTON, CAROLYN</t>
  </si>
  <si>
    <t>RHODES, KATHLEEN</t>
  </si>
  <si>
    <t>MCCOLLUM, WILLIAM</t>
  </si>
  <si>
    <t>THIGPEN, CHARLES</t>
  </si>
  <si>
    <t>ROSE, SHEENA</t>
  </si>
  <si>
    <t>DE ROECK, GEORGE</t>
  </si>
  <si>
    <t>EDWARDS, DONNA</t>
  </si>
  <si>
    <t>ESTES, TIFFANY</t>
  </si>
  <si>
    <t>SHAW, BRIAN</t>
  </si>
  <si>
    <t>WILLIAMS, C. LAVONICE</t>
  </si>
  <si>
    <t>EMBRY, JENNIFER</t>
  </si>
  <si>
    <t>HUNT, HILLARY</t>
  </si>
  <si>
    <t>FORWARD-WISE, ROBIN</t>
  </si>
  <si>
    <t>HARGETT, THOMAS</t>
  </si>
  <si>
    <t>RINEHEART, KAREN</t>
  </si>
  <si>
    <t>GORDON, CHRISTOPHER</t>
  </si>
  <si>
    <t>PAYNE, LEAH</t>
  </si>
  <si>
    <t>RUSSELL, ALLISON</t>
  </si>
  <si>
    <t>CONWAY, TRACY</t>
  </si>
  <si>
    <t>CLUTS, MICHAEL</t>
  </si>
  <si>
    <t>SIMON, CHERYL</t>
  </si>
  <si>
    <t>TANNER, VICKI</t>
  </si>
  <si>
    <t>ELDRIDGE, KELLY</t>
  </si>
  <si>
    <t>GATTIS, JAMES</t>
  </si>
  <si>
    <t>DOWNES, JOHN</t>
  </si>
  <si>
    <t>SWOPES, HEATHER</t>
  </si>
  <si>
    <t>GIBBARD, SUZANNE</t>
  </si>
  <si>
    <t>STEARMAN, JERRY</t>
  </si>
  <si>
    <t>MARCY, DOROTHY</t>
  </si>
  <si>
    <t>KARA, ASHOK</t>
  </si>
  <si>
    <t>SALGUEIRO, CARLOS</t>
  </si>
  <si>
    <t>STORM, BETH</t>
  </si>
  <si>
    <t>GILCHRIST, HOPE</t>
  </si>
  <si>
    <t>BANKEN, JOSEPH</t>
  </si>
  <si>
    <t>MURRAY, KIMBERLY</t>
  </si>
  <si>
    <t>SITTER, LEESA</t>
  </si>
  <si>
    <t>COX, LISA</t>
  </si>
  <si>
    <t>ORNDUFF, SIDNEY</t>
  </si>
  <si>
    <t>DURBIN, CONSTANCE</t>
  </si>
  <si>
    <t>FARGERSON, SANDRA</t>
  </si>
  <si>
    <t>MCCLARD, SHANNON</t>
  </si>
  <si>
    <t>CHAPMAN, JOEL</t>
  </si>
  <si>
    <t>ADAMS, AUDREY</t>
  </si>
  <si>
    <t>WILSON, JULIE</t>
  </si>
  <si>
    <t>CLINE, JEFF</t>
  </si>
  <si>
    <t>MYERS, MONIQUE</t>
  </si>
  <si>
    <t>ORELLANA, CLAUDIA</t>
  </si>
  <si>
    <t>JUOLA, MISTY</t>
  </si>
  <si>
    <t>ANELLO TOM, MARGARET</t>
  </si>
  <si>
    <t>VANDERZEE, KARIN</t>
  </si>
  <si>
    <t>JACKSON, CHRISTY</t>
  </si>
  <si>
    <t>JENKINS, TRAVIS</t>
  </si>
  <si>
    <t>KHAN, MUHAMMAD</t>
  </si>
  <si>
    <t>VEST, KENNETH</t>
  </si>
  <si>
    <t>ADAMS, GAIL</t>
  </si>
  <si>
    <t>STREETT, DAVID</t>
  </si>
  <si>
    <t>TANNEHILL, PAMELA</t>
  </si>
  <si>
    <t>CLEMENTS, HERMAN</t>
  </si>
  <si>
    <t>CONE, CHARLOTTE</t>
  </si>
  <si>
    <t>LAW, KIMBERLY</t>
  </si>
  <si>
    <t>FRANZEN, BARBARA</t>
  </si>
  <si>
    <t>PARKS, SHERRI</t>
  </si>
  <si>
    <t>LANE, CHARLES</t>
  </si>
  <si>
    <t>STENBERG, BRENT</t>
  </si>
  <si>
    <t>WONG, KATHLEEN</t>
  </si>
  <si>
    <t>SHACKELFORD, SUSAN</t>
  </si>
  <si>
    <t>STEINBECK, MICHAEL</t>
  </si>
  <si>
    <t>MORGAN, WESLEY</t>
  </si>
  <si>
    <t>WADE, RASHELE</t>
  </si>
  <si>
    <t>HELMS, SUSAN</t>
  </si>
  <si>
    <t>BUCKLEY, AMY</t>
  </si>
  <si>
    <t>KELLY, TERESA</t>
  </si>
  <si>
    <t>MARTIN, ANITA</t>
  </si>
  <si>
    <t>VIRK, EJAZ</t>
  </si>
  <si>
    <t>PEMBERTON, JOY</t>
  </si>
  <si>
    <t>ZAMANI, VAHIDEH</t>
  </si>
  <si>
    <t>DAMET-POWELL, MAYA</t>
  </si>
  <si>
    <t>STANFORD, BERNADETTE</t>
  </si>
  <si>
    <t>HIGGINS, MELANIE</t>
  </si>
  <si>
    <t>MORRIS, PAMELA</t>
  </si>
  <si>
    <t>STOREY, ELIZABETH</t>
  </si>
  <si>
    <t>GREEN, ASHLEY</t>
  </si>
  <si>
    <t>LARRY, BARBARA</t>
  </si>
  <si>
    <t>DONELSON, EARLE</t>
  </si>
  <si>
    <t>STANLEY, JAMES</t>
  </si>
  <si>
    <t>NICHOLS, JODY</t>
  </si>
  <si>
    <t>BURNS, ROSEMARY</t>
  </si>
  <si>
    <t>FLAMING, KELLEY</t>
  </si>
  <si>
    <t>GRAUPNER, REBA</t>
  </si>
  <si>
    <t>LEWALLEN, LARRY</t>
  </si>
  <si>
    <t>GORDIANI, MEGGAN</t>
  </si>
  <si>
    <t>COLLETT, TERESA</t>
  </si>
  <si>
    <t>CAMPBELL, CATHY</t>
  </si>
  <si>
    <t>TYLER, SUSAN</t>
  </si>
  <si>
    <t>SHELTON, HOLLI</t>
  </si>
  <si>
    <t>ROWLAND, MICAH</t>
  </si>
  <si>
    <t>PEPPER, SHANTI</t>
  </si>
  <si>
    <t>FRIER, TRACEY</t>
  </si>
  <si>
    <t>EZELL, JOHN</t>
  </si>
  <si>
    <t>SCROGGIN, MEREDITH</t>
  </si>
  <si>
    <t>PERRY, AMY</t>
  </si>
  <si>
    <t>HORTON, LAURA</t>
  </si>
  <si>
    <t>HASKINS, TERI</t>
  </si>
  <si>
    <t>LANZILLOTTI, DAVID</t>
  </si>
  <si>
    <t>MANCINO, MICHAEL</t>
  </si>
  <si>
    <t>GENTRY, JAMES</t>
  </si>
  <si>
    <t>CLAY, DONALD</t>
  </si>
  <si>
    <t>GARRINGER, TRACI</t>
  </si>
  <si>
    <t>WILLIAMS, CAROLYN</t>
  </si>
  <si>
    <t>SPANN, NITA</t>
  </si>
  <si>
    <t>AKHTAR, TANIA</t>
  </si>
  <si>
    <t>WEINER, MARIA</t>
  </si>
  <si>
    <t>BERKE, TAMMY</t>
  </si>
  <si>
    <t>POWER, SHAYNE</t>
  </si>
  <si>
    <t>NEWTON, KIMBERLY</t>
  </si>
  <si>
    <t>HUCKABEE, HADYN</t>
  </si>
  <si>
    <t>HARRIS, NANCY</t>
  </si>
  <si>
    <t>WALZ, PATRICIA</t>
  </si>
  <si>
    <t>BOLING, TIMOTHY</t>
  </si>
  <si>
    <t>LEHMANN, LEIGH</t>
  </si>
  <si>
    <t>MARINUS, GENE</t>
  </si>
  <si>
    <t>ABBOTT, ELIZABETH</t>
  </si>
  <si>
    <t>GRIFFIN, NARISSA</t>
  </si>
  <si>
    <t>ASHLEY, ROSIE</t>
  </si>
  <si>
    <t>SINCLAIR, CHRISTINE</t>
  </si>
  <si>
    <t>HENRY-MACK, MELISSA</t>
  </si>
  <si>
    <t>WINTER, BETTY</t>
  </si>
  <si>
    <t>WILLIAMS, TAJUANA</t>
  </si>
  <si>
    <t>MCCLELLAN, KELSEY</t>
  </si>
  <si>
    <t>BALK, LAURIANN</t>
  </si>
  <si>
    <t>WEST, MICHAEL</t>
  </si>
  <si>
    <t>PENNER, ANDREA</t>
  </si>
  <si>
    <t>KINSEY, SHERYL</t>
  </si>
  <si>
    <t>HYATT, BRIAN</t>
  </si>
  <si>
    <t>AYERS, KELLY</t>
  </si>
  <si>
    <t>NUSSBAUM, LAURIE</t>
  </si>
  <si>
    <t>SCHULDT, DORIS</t>
  </si>
  <si>
    <t>BRABOY, DEBORAH</t>
  </si>
  <si>
    <t>SHULER, KIMBERLY</t>
  </si>
  <si>
    <t>ELROD, JONI</t>
  </si>
  <si>
    <t>SULLIVAN, VICRORIA</t>
  </si>
  <si>
    <t>YOUNG, JOE</t>
  </si>
  <si>
    <t>BROWN, C.</t>
  </si>
  <si>
    <t>MCDANIEL, KIMBERLY</t>
  </si>
  <si>
    <t>RONNAU, JOANNA</t>
  </si>
  <si>
    <t>NEAL, KATHERINE</t>
  </si>
  <si>
    <t>SPENCER, RODNEY</t>
  </si>
  <si>
    <t>COLLINS, SHAWN</t>
  </si>
  <si>
    <t>OWENS, AMANDA</t>
  </si>
  <si>
    <t>FRANKLIN, SARAH</t>
  </si>
  <si>
    <t>MCGEE, JENNIE</t>
  </si>
  <si>
    <t>HENRY, JENNIFER</t>
  </si>
  <si>
    <t>MORTENSON, MELODY</t>
  </si>
  <si>
    <t>NASH, JENNIFER</t>
  </si>
  <si>
    <t>BENNETT, ROBERT</t>
  </si>
  <si>
    <t>ROMERO, KARA</t>
  </si>
  <si>
    <t>BOWMAN, KATHRYN</t>
  </si>
  <si>
    <t>MCGANN, MARY</t>
  </si>
  <si>
    <t>HECK, PATRICIA</t>
  </si>
  <si>
    <t>MOLDEN, RAYMOND</t>
  </si>
  <si>
    <t>STRAWN, SHARON</t>
  </si>
  <si>
    <t>JONES, ANNA</t>
  </si>
  <si>
    <t>MCMILLIAN, DAVID</t>
  </si>
  <si>
    <t>BYRD, DONNA</t>
  </si>
  <si>
    <t>CANTRELL, LARRY</t>
  </si>
  <si>
    <t>MORROW, HEATHER</t>
  </si>
  <si>
    <t>BURLESON, ELLEN</t>
  </si>
  <si>
    <t>CARTER, CHANTAL</t>
  </si>
  <si>
    <t>FELTY, TIFFANY</t>
  </si>
  <si>
    <t>BROWN-BOYD, ASHLEY</t>
  </si>
  <si>
    <t>TEDFORD, DEBORAH</t>
  </si>
  <si>
    <t>MCMURRAY, SHIRLEY</t>
  </si>
  <si>
    <t>BARTLETT, CRISTY</t>
  </si>
  <si>
    <t>MESMAN, GLENN</t>
  </si>
  <si>
    <t>POWELL, JUSTIN</t>
  </si>
  <si>
    <t>WEBB, KELLY</t>
  </si>
  <si>
    <t>HOLT, LAURA</t>
  </si>
  <si>
    <t>PATE, LINDSAY</t>
  </si>
  <si>
    <t>TEER, LISA</t>
  </si>
  <si>
    <t>GROVES, LA RISA</t>
  </si>
  <si>
    <t>WILLIAMS, VERONICA</t>
  </si>
  <si>
    <t>SIMS, JAMES</t>
  </si>
  <si>
    <t>SEWARD, STEVEN</t>
  </si>
  <si>
    <t>KRAUFT, VIRGINIA</t>
  </si>
  <si>
    <t>PARKER, DONNA</t>
  </si>
  <si>
    <t>HENNIS, ALICYN</t>
  </si>
  <si>
    <t>YOUNG, MYRNA</t>
  </si>
  <si>
    <t>PARKER, BECKY</t>
  </si>
  <si>
    <t>STREETE, MARY</t>
  </si>
  <si>
    <t>MCDONALD, BARRY</t>
  </si>
  <si>
    <t>SAINI, TEJINDER</t>
  </si>
  <si>
    <t>GATHRIGHT, MOLLY</t>
  </si>
  <si>
    <t>JOHNSON, NANCY</t>
  </si>
  <si>
    <t>HUMPHREY, STACY</t>
  </si>
  <si>
    <t>CRANE, LINDSAY</t>
  </si>
  <si>
    <t>BAKER, CRYSTAL</t>
  </si>
  <si>
    <t>MCCLURE, MATTHEW</t>
  </si>
  <si>
    <t>DILLON, JUSTIN</t>
  </si>
  <si>
    <t>FULCHER, ARETHA</t>
  </si>
  <si>
    <t>LEONARD, MARANDA</t>
  </si>
  <si>
    <t>COVINGTON, VICKIE</t>
  </si>
  <si>
    <t>LOWE, LESLEE</t>
  </si>
  <si>
    <t>ROBBINS, DAVID</t>
  </si>
  <si>
    <t>LIDDELL, KENYA</t>
  </si>
  <si>
    <t>HARRIS, SCARLETT</t>
  </si>
  <si>
    <t>MEALER, CYNTHIA</t>
  </si>
  <si>
    <t>BALDICK, THEODORE</t>
  </si>
  <si>
    <t>COLON, MARC</t>
  </si>
  <si>
    <t>OTERO, RAFAEL</t>
  </si>
  <si>
    <t>KUNS, JASON</t>
  </si>
  <si>
    <t>JOSEF, LINDA</t>
  </si>
  <si>
    <t>LEEKER, JODI</t>
  </si>
  <si>
    <t>HUGHES, GREGORY</t>
  </si>
  <si>
    <t>MEADOWS, RUSSELL</t>
  </si>
  <si>
    <t>JURBERGS, ANDREA</t>
  </si>
  <si>
    <t>MUKATIRA, SHUBI</t>
  </si>
  <si>
    <t>PENNE, JENNIFER</t>
  </si>
  <si>
    <t>RHYNE, TAMMY</t>
  </si>
  <si>
    <t>ASH, STEPHEN</t>
  </si>
  <si>
    <t>BILLIE, SANDRA</t>
  </si>
  <si>
    <t>ANDERSON, RANDALL</t>
  </si>
  <si>
    <t>FLORES, VICTOR</t>
  </si>
  <si>
    <t>LIPINSKI, DAMON</t>
  </si>
  <si>
    <t>WALLACE, KATHLEEN</t>
  </si>
  <si>
    <t>SCARBOROUGH, JACKIE</t>
  </si>
  <si>
    <t>GEMMELL, STEPHEN</t>
  </si>
  <si>
    <t>ATKINS, LOY</t>
  </si>
  <si>
    <t>SKELLY, JOHN</t>
  </si>
  <si>
    <t>WALDEN, THOMAS</t>
  </si>
  <si>
    <t>RAINS, JEFFREY</t>
  </si>
  <si>
    <t>MILLER, RICHARD</t>
  </si>
  <si>
    <t>WEINER, CHARLES</t>
  </si>
  <si>
    <t>DUNN, MONICA</t>
  </si>
  <si>
    <t>WINBERY, KIM</t>
  </si>
  <si>
    <t>BOYD, AMBER</t>
  </si>
  <si>
    <t>STRAYHORN, ELISHA</t>
  </si>
  <si>
    <t>GIRON, SUSAN</t>
  </si>
  <si>
    <t>HAMMAN, KELLY</t>
  </si>
  <si>
    <t>BRADLEY, MELISSA</t>
  </si>
  <si>
    <t>MOORE, PAUL</t>
  </si>
  <si>
    <t>DAVIS, CARRIE</t>
  </si>
  <si>
    <t>MCKEE, LUANN</t>
  </si>
  <si>
    <t>RICHARDSON, LETHA</t>
  </si>
  <si>
    <t>SPRADLIN, CARRIE</t>
  </si>
  <si>
    <t>LYON, CYNDIE</t>
  </si>
  <si>
    <t>MALIK, SHAMIM</t>
  </si>
  <si>
    <t>HAAS, DAVID</t>
  </si>
  <si>
    <t>IRWIN CLAY, MARY</t>
  </si>
  <si>
    <t>FORREST, MICHAEL</t>
  </si>
  <si>
    <t>LAFLEUR, ROGER</t>
  </si>
  <si>
    <t>CLOTHIER, JEFFREY</t>
  </si>
  <si>
    <t>WANAT, MARY</t>
  </si>
  <si>
    <t>BOKKER, LON</t>
  </si>
  <si>
    <t>WALKER, SUSAN</t>
  </si>
  <si>
    <t>GRAY, STANFORD</t>
  </si>
  <si>
    <t>CARROLL, WILLIAM</t>
  </si>
  <si>
    <t>CONWAY, MELANIE</t>
  </si>
  <si>
    <t>BACK, RICHARD</t>
  </si>
  <si>
    <t>TAYLOR, MELINDA</t>
  </si>
  <si>
    <t>CROUCH, MATTHEW</t>
  </si>
  <si>
    <t>BALL, DARRICK</t>
  </si>
  <si>
    <t>HELM, RYAN</t>
  </si>
  <si>
    <t>BREEN, JANET</t>
  </si>
  <si>
    <t>THORNTON, WILLIAM</t>
  </si>
  <si>
    <t>MCGLONE, MARCIA</t>
  </si>
  <si>
    <t>HOLLIS, JENNIFER</t>
  </si>
  <si>
    <t>COLLINS, MARIA HELENA</t>
  </si>
  <si>
    <t>DUCK, HOLLY</t>
  </si>
  <si>
    <t>REAVES, SHELLY</t>
  </si>
  <si>
    <t>HAMPTON, LENA</t>
  </si>
  <si>
    <t>HEDGES, JANET</t>
  </si>
  <si>
    <t>SISSON, ANTHONY</t>
  </si>
  <si>
    <t>GASPARD, ANNA</t>
  </si>
  <si>
    <t>FREIDEN, JEFFREY</t>
  </si>
  <si>
    <t>PELZ, RONALD</t>
  </si>
  <si>
    <t>SHERMAN, ALLEN</t>
  </si>
  <si>
    <t>HOPKINS, JAYMIE</t>
  </si>
  <si>
    <t>HOLMES, KANDI</t>
  </si>
  <si>
    <t>BERGERON, DANIEL</t>
  </si>
  <si>
    <t>MARTIN, VICKI</t>
  </si>
  <si>
    <t>PENNINGTON, TERESA</t>
  </si>
  <si>
    <t>SMITH, ERICA</t>
  </si>
  <si>
    <t>GRUBBS, KRISTEN</t>
  </si>
  <si>
    <t>DIELMANN, KIM</t>
  </si>
  <si>
    <t>GRAVES, ROY</t>
  </si>
  <si>
    <t>CHAVEZ, MELISSA</t>
  </si>
  <si>
    <t>PENNINGTON, DAVID</t>
  </si>
  <si>
    <t>WALLACE, DAN</t>
  </si>
  <si>
    <t>LONG, JODY</t>
  </si>
  <si>
    <t>REID, GRAHAM</t>
  </si>
  <si>
    <t>HAYKAL, RADWAN</t>
  </si>
  <si>
    <t>PEPPERS, DAVID</t>
  </si>
  <si>
    <t>WHITE, ROWENA</t>
  </si>
  <si>
    <t>GIPSON, KATHY</t>
  </si>
  <si>
    <t>STRONG, SHEILA</t>
  </si>
  <si>
    <t>CURTIS, LAURA</t>
  </si>
  <si>
    <t>GUISE, JOSEPH</t>
  </si>
  <si>
    <t>FLYNN, MELLANY</t>
  </si>
  <si>
    <t>CARROLL, JUDITH</t>
  </si>
  <si>
    <t>STANNARD, JANET</t>
  </si>
  <si>
    <t>COOK, DAVID</t>
  </si>
  <si>
    <t>PANEK, KATHRYN</t>
  </si>
  <si>
    <t>PALMER, SHONA</t>
  </si>
  <si>
    <t>HENRY - BALDWIN, CARRIE</t>
  </si>
  <si>
    <t>MAUNEY, LEE</t>
  </si>
  <si>
    <t>POLLARD, HERSCHEL</t>
  </si>
  <si>
    <t>CAREY, REBECCA</t>
  </si>
  <si>
    <t>CHAMBERS, HELEN</t>
  </si>
  <si>
    <t>BLACK, TIFFANY</t>
  </si>
  <si>
    <t>KING, PAUL</t>
  </si>
  <si>
    <t>HAVERFIELD, SARAH</t>
  </si>
  <si>
    <t>PRIDMORE, JAMES</t>
  </si>
  <si>
    <t>TAYMORE, KAREN</t>
  </si>
  <si>
    <t>VON STORCH, JANELLE</t>
  </si>
  <si>
    <t>DUCKER, JEREMY</t>
  </si>
  <si>
    <t>HOLDEN, BART</t>
  </si>
  <si>
    <t>HANKINS, KEISHA</t>
  </si>
  <si>
    <t>DACUS, DEBORAH</t>
  </si>
  <si>
    <t>NELSON, INGER</t>
  </si>
  <si>
    <t>CAHANIN, SUZAN</t>
  </si>
  <si>
    <t>ELIZANDRO, ANGIE</t>
  </si>
  <si>
    <t>ALLEN, RACHEL</t>
  </si>
  <si>
    <t>REUTER, DAVID</t>
  </si>
  <si>
    <t>DELCONTE, GARRY</t>
  </si>
  <si>
    <t>HUNTER, DONNA</t>
  </si>
  <si>
    <t>MEALER, WILLIAM</t>
  </si>
  <si>
    <t>KIRCHNER, JOANN</t>
  </si>
  <si>
    <t>PAZAR, JANICE</t>
  </si>
  <si>
    <t>BEASLEY, PHILLIP</t>
  </si>
  <si>
    <t>MERRITT, DWIGHT</t>
  </si>
  <si>
    <t>BARZEL, LISA</t>
  </si>
  <si>
    <t>SMITH, DIANNA</t>
  </si>
  <si>
    <t>PEARCE, SHANNON</t>
  </si>
  <si>
    <t>GOODSON, BRADLEY</t>
  </si>
  <si>
    <t>SCHOLMA, RANDAL</t>
  </si>
  <si>
    <t>LANCASTER, TAMEKA</t>
  </si>
  <si>
    <t>HAYS, BRADLEY</t>
  </si>
  <si>
    <t>SHRADER, KRISTINA</t>
  </si>
  <si>
    <t>SRYGLEY, MARGARET</t>
  </si>
  <si>
    <t>BISHOP, HARRY</t>
  </si>
  <si>
    <t>ALLEN, BRUCE</t>
  </si>
  <si>
    <t>SWAIN, LAURIE</t>
  </si>
  <si>
    <t>CROUSE, RUSSELL</t>
  </si>
  <si>
    <t>TODD, LEILA</t>
  </si>
  <si>
    <t>FOSTER, DALE</t>
  </si>
  <si>
    <t>THOMAS, DELBERT</t>
  </si>
  <si>
    <t>WATTS, LINDA</t>
  </si>
  <si>
    <t>COPPS, KIM</t>
  </si>
  <si>
    <t>RUTHERFORD, MARGARET</t>
  </si>
  <si>
    <t>SNOW, JEFFREY</t>
  </si>
  <si>
    <t>BUTLER, BETH</t>
  </si>
  <si>
    <t>LAWSON, STEFANIE</t>
  </si>
  <si>
    <t>SINGLETON, DERRICK</t>
  </si>
  <si>
    <t>HOWARD, SARAH</t>
  </si>
  <si>
    <t>PEARSON, TAMMY</t>
  </si>
  <si>
    <t>KNIGHT, ANNE</t>
  </si>
  <si>
    <t>CRABTREE, VALERIE</t>
  </si>
  <si>
    <t>BURNS, SHAWNA</t>
  </si>
  <si>
    <t>CAMPBELL, CAROL</t>
  </si>
  <si>
    <t>METHENY, SHIANN</t>
  </si>
  <si>
    <t>BELTRAN, CESAR</t>
  </si>
  <si>
    <t>BAUGHMAN, BRANDON</t>
  </si>
  <si>
    <t>EDSTER, REGENA</t>
  </si>
  <si>
    <t>KHURI, RADWAN</t>
  </si>
  <si>
    <t>HALL, JOHN</t>
  </si>
  <si>
    <t>NASH, LYNDA</t>
  </si>
  <si>
    <t>HUBBARD, BLAINE</t>
  </si>
  <si>
    <t>RANGA, JYOTSNA</t>
  </si>
  <si>
    <t>SANDERS, ROBIN</t>
  </si>
  <si>
    <t>BLACK, SARAH</t>
  </si>
  <si>
    <t>BATES, INA</t>
  </si>
  <si>
    <t>MENARD, AJA</t>
  </si>
  <si>
    <t>CUNNINGHAM, THOMAS</t>
  </si>
  <si>
    <t>ATCHLEY, COLLEEN</t>
  </si>
  <si>
    <t>HILBURN, CHRISTIANNE</t>
  </si>
  <si>
    <t>PUCKETT, JUDITH</t>
  </si>
  <si>
    <t>OGLE, NICK</t>
  </si>
  <si>
    <t>FULLITON, WILLIAM</t>
  </si>
  <si>
    <t>REED, CARRIE</t>
  </si>
  <si>
    <t>MORAIS, HUGO</t>
  </si>
  <si>
    <t>RACK, SARAH</t>
  </si>
  <si>
    <t>COOK, CHERIE</t>
  </si>
  <si>
    <t>COLEMAN, MICHELLE</t>
  </si>
  <si>
    <t>FORREST, ROBERT</t>
  </si>
  <si>
    <t>EBERLE, ANDREA</t>
  </si>
  <si>
    <t>EASLEY, DONITA</t>
  </si>
  <si>
    <t>MOORE, RICHARD</t>
  </si>
  <si>
    <t>TELFORD, MOLLY</t>
  </si>
  <si>
    <t>BIBBS, MICHAEL</t>
  </si>
  <si>
    <t>CARR-HARPER, AMY</t>
  </si>
  <si>
    <t>GAUDETTE, SHARI</t>
  </si>
  <si>
    <t>TURNER, MICHAEL</t>
  </si>
  <si>
    <t>MIESNER, JENA</t>
  </si>
  <si>
    <t>NOFSINGER, CRYSTAL</t>
  </si>
  <si>
    <t>CONWAY, REGENIA</t>
  </si>
  <si>
    <t>MASON, VICKIE</t>
  </si>
  <si>
    <t>WILCOX, WILLIAM</t>
  </si>
  <si>
    <t>MCGREW, KRISTEN</t>
  </si>
  <si>
    <t>CARAWAY, BEVERLY</t>
  </si>
  <si>
    <t>SCHIMENTI, JOYCE</t>
  </si>
  <si>
    <t>SERINO, ROBERT</t>
  </si>
  <si>
    <t>ROSS, SUSAN</t>
  </si>
  <si>
    <t>JONES-SHELTON, AMANDA</t>
  </si>
  <si>
    <t>YOUNG, MAE</t>
  </si>
  <si>
    <t>BYRD, ELIZABETH</t>
  </si>
  <si>
    <t>LOGSDON, SHERRY</t>
  </si>
  <si>
    <t>HENRARD, GALE</t>
  </si>
  <si>
    <t>NACHATIGAL, RACHAEL</t>
  </si>
  <si>
    <t>RAINWATER, SHERRY</t>
  </si>
  <si>
    <t>SHIELDS, WILLA</t>
  </si>
  <si>
    <t>EVANS, LISA</t>
  </si>
  <si>
    <t>BONNER, JANICE</t>
  </si>
  <si>
    <t>COOLEY, BELINDA</t>
  </si>
  <si>
    <t>CROWSON, CYNTHIA</t>
  </si>
  <si>
    <t>WARDWELL, CHERRYL</t>
  </si>
  <si>
    <t>ROY, KENNETH</t>
  </si>
  <si>
    <t>KREMER, STEPHANIE</t>
  </si>
  <si>
    <t>PINKSTON, JAMES</t>
  </si>
  <si>
    <t>BEARE, DAVID</t>
  </si>
  <si>
    <t>HUGHES, CAROL</t>
  </si>
  <si>
    <t>ANDERSON, MARTHA</t>
  </si>
  <si>
    <t>DIE, JEROME</t>
  </si>
  <si>
    <t>LAMBERT, MICHAEL</t>
  </si>
  <si>
    <t>WEST, SHANNON</t>
  </si>
  <si>
    <t>MULICK, PATRICK</t>
  </si>
  <si>
    <t>YOUNGDAHL, PATRICIA</t>
  </si>
  <si>
    <t>WALTZ, TRISH</t>
  </si>
  <si>
    <t>CAMPBELL, BENIKA</t>
  </si>
  <si>
    <t>THOMPKINS, GERTRUDE</t>
  </si>
  <si>
    <t>COLLIER, CONSTANCE</t>
  </si>
  <si>
    <t>PEFFERKORN, TRACY</t>
  </si>
  <si>
    <t>DAVIS, DEMARCUS</t>
  </si>
  <si>
    <t>CATES, MARK</t>
  </si>
  <si>
    <t>MIRZA, NAVEED</t>
  </si>
  <si>
    <t>SWEESY, GRETA</t>
  </si>
  <si>
    <t>WILLDING, SHARI</t>
  </si>
  <si>
    <t>REFSHAUGE, AMY</t>
  </si>
  <si>
    <t>KELLY, BARBARA</t>
  </si>
  <si>
    <t>WHITAKER, BRANDI</t>
  </si>
  <si>
    <t>PHILLIPS, JESSICA</t>
  </si>
  <si>
    <t>DUCKWORTH, SAMARA</t>
  </si>
  <si>
    <t>FALKI, MARIELLE</t>
  </si>
  <si>
    <t>MALONE, CHRISTINE</t>
  </si>
  <si>
    <t>SIEGENTHALER, KATHLEEN</t>
  </si>
  <si>
    <t>STALLARD, CATHERINE</t>
  </si>
  <si>
    <t>LONG, LEE</t>
  </si>
  <si>
    <t>BALSARA, SILVIA</t>
  </si>
  <si>
    <t>GATHRIGHT, SANDRA</t>
  </si>
  <si>
    <t>DA CUNHA, CARL</t>
  </si>
  <si>
    <t>ROSS, ROBIN</t>
  </si>
  <si>
    <t>WHITMAN, KIMBERLY</t>
  </si>
  <si>
    <t>BELUE, KARA</t>
  </si>
  <si>
    <t>KNIGHT, CHERYL</t>
  </si>
  <si>
    <t>RODGERS, GLORIA</t>
  </si>
  <si>
    <t>JARVIS, ROBERT</t>
  </si>
  <si>
    <t>PHILLIPS, LINDA</t>
  </si>
  <si>
    <t>KUBACAK, BRIAN</t>
  </si>
  <si>
    <t>SHY, ANGELA</t>
  </si>
  <si>
    <t>MORRISON, WINSTON</t>
  </si>
  <si>
    <t>COSTLEY, MATT</t>
  </si>
  <si>
    <t>MORRIS, APRIL</t>
  </si>
  <si>
    <t>STUNTZ-CHRISTIAN, ROBIN</t>
  </si>
  <si>
    <t>MARTINEZ, DEBRA</t>
  </si>
  <si>
    <t>MOORE, ANGELA</t>
  </si>
  <si>
    <t>PARKER, JOYCE</t>
  </si>
  <si>
    <t>PREDL, ANDREA</t>
  </si>
  <si>
    <t>CARTER, JAQUELINE</t>
  </si>
  <si>
    <t>MARLOWE, STEPHANIE</t>
  </si>
  <si>
    <t>WHEELER, TRAVIS</t>
  </si>
  <si>
    <t>LEATHERMAN, EDWARD</t>
  </si>
  <si>
    <t>KESTNER, MAUREEN</t>
  </si>
  <si>
    <t>MCCLELLAND, KIMBERLY</t>
  </si>
  <si>
    <t>NEAL, DON</t>
  </si>
  <si>
    <t>KRALIK, KATHLEEN</t>
  </si>
  <si>
    <t>CHAPMAN, ANGELA</t>
  </si>
  <si>
    <t>ARMSTRONG, SHERRY</t>
  </si>
  <si>
    <t>RHODES, LEEANNE</t>
  </si>
  <si>
    <t>INGRAM, KERRY</t>
  </si>
  <si>
    <t>EVERETT, BETTY</t>
  </si>
  <si>
    <t>NELSON, TERI</t>
  </si>
  <si>
    <t>BLACK, AUDRIA</t>
  </si>
  <si>
    <t>HARDAGE, KATE</t>
  </si>
  <si>
    <t>MORGAN, ERICA</t>
  </si>
  <si>
    <t>HARDING, AMY</t>
  </si>
  <si>
    <t>BENTON, ADAM</t>
  </si>
  <si>
    <t>LOVING, MYRA</t>
  </si>
  <si>
    <t>HOCKMAN, KATHERINE</t>
  </si>
  <si>
    <t>STEVENS, ANNE</t>
  </si>
  <si>
    <t>LILLICH, CARLEEN</t>
  </si>
  <si>
    <t>SYMES, WILLLIAM</t>
  </si>
  <si>
    <t>TERRY, LYNN</t>
  </si>
  <si>
    <t>MCCHESNEY-ATKINS, SUSAN</t>
  </si>
  <si>
    <t>HESTER, SAMUEL</t>
  </si>
  <si>
    <t>CHILDERS, JOHN</t>
  </si>
  <si>
    <t>CARPENTER, MARY</t>
  </si>
  <si>
    <t>BLEVINS, STEVEN</t>
  </si>
  <si>
    <t>PAUL KING MD PC</t>
  </si>
  <si>
    <t>CAMP, DIANE</t>
  </si>
  <si>
    <t>WILSON, MATTHEW</t>
  </si>
  <si>
    <t>SEYMORE, BRITT-MARIE</t>
  </si>
  <si>
    <t>KOCH, DEBBIE</t>
  </si>
  <si>
    <t>GEIER, LAUREN</t>
  </si>
  <si>
    <t>GARCIA, HEATHER</t>
  </si>
  <si>
    <t>HOLDSWORTH, WENDY</t>
  </si>
  <si>
    <t>DAVIS, SARAH</t>
  </si>
  <si>
    <t>HILL, CHAD</t>
  </si>
  <si>
    <t>CONNER, SAVANNAH</t>
  </si>
  <si>
    <t>SCHULZ, BROOKE</t>
  </si>
  <si>
    <t>HAMSLEY, JEFFREY</t>
  </si>
  <si>
    <t>DAVENPORT, MICHAEL</t>
  </si>
  <si>
    <t>HUSSEY, JONNA</t>
  </si>
  <si>
    <t>FAITAK, MARTIN</t>
  </si>
  <si>
    <t>STOWERS, MARION</t>
  </si>
  <si>
    <t>BRUMFIELD, JONATHAN</t>
  </si>
  <si>
    <t>MCKAY, WALTER</t>
  </si>
  <si>
    <t>WINBORN, LISA</t>
  </si>
  <si>
    <t>SCOTT, MARY ANN</t>
  </si>
  <si>
    <t>KIRBY, JOSEPH</t>
  </si>
  <si>
    <t>COOPER, ANDREW</t>
  </si>
  <si>
    <t>COLEMAN, CHRISTASIA</t>
  </si>
  <si>
    <t>WILLIAMS, MARCOVOUS</t>
  </si>
  <si>
    <t>CARSON, TEMPLE</t>
  </si>
  <si>
    <t>ADKISON, BOBBY</t>
  </si>
  <si>
    <t>IMHOFF, CHAD</t>
  </si>
  <si>
    <t>WALKER, LOIS</t>
  </si>
  <si>
    <t>CLENDENEN, KATHLEEN</t>
  </si>
  <si>
    <t>WOOD, CARLA</t>
  </si>
  <si>
    <t>KUMAR, JYOTHSNA</t>
  </si>
  <si>
    <t>STILLWELL, ANDREA</t>
  </si>
  <si>
    <t>FARRELL, ROBERT</t>
  </si>
  <si>
    <t>SNODGRASS, ERIN</t>
  </si>
  <si>
    <t>HUDSON, DORIS</t>
  </si>
  <si>
    <t>HOLMAN, REBECCA</t>
  </si>
  <si>
    <t>MONTGOMERY, PATRICIA</t>
  </si>
  <si>
    <t>PULLIAM, ELIZABETH</t>
  </si>
  <si>
    <t>HAIDERZAD, TALIA</t>
  </si>
  <si>
    <t>LEE, ROLAND</t>
  </si>
  <si>
    <t>DOPSON, CECIL</t>
  </si>
  <si>
    <t>MIRZA, ARIF</t>
  </si>
  <si>
    <t>COPELAND, TAMMERAH</t>
  </si>
  <si>
    <t>GIBSON, EMILY</t>
  </si>
  <si>
    <t>LEHMAN, ANNE</t>
  </si>
  <si>
    <t>MOFFITT, JENNIFER</t>
  </si>
  <si>
    <t>GULLEY, TAMIKA</t>
  </si>
  <si>
    <t>LAMPTON, CHARLES</t>
  </si>
  <si>
    <t>WILKINS, ASHLEY</t>
  </si>
  <si>
    <t>THOMAS, MELISSA</t>
  </si>
  <si>
    <t>THOMPSON, JENNIFER</t>
  </si>
  <si>
    <t>GOLDIN, MELVIN</t>
  </si>
  <si>
    <t>CARPENTER, LISA</t>
  </si>
  <si>
    <t>RACHEOTES, CAROL</t>
  </si>
  <si>
    <t>JOHNSON, JULIA</t>
  </si>
  <si>
    <t>BURGE, CARLTON</t>
  </si>
  <si>
    <t>PHELPS, ERIC</t>
  </si>
  <si>
    <t>TAYLOR, EVELYN</t>
  </si>
  <si>
    <t>FREEMAN, RON</t>
  </si>
  <si>
    <t>CORDELL, LESLEY</t>
  </si>
  <si>
    <t>FENDLEY, DAVID</t>
  </si>
  <si>
    <t>WINGFIELD, MARY</t>
  </si>
  <si>
    <t>LEE, JOSHUA</t>
  </si>
  <si>
    <t>WADE, LEIGH</t>
  </si>
  <si>
    <t>FEATHERSTON, CHARLOTTE</t>
  </si>
  <si>
    <t>DAVISON, KELLIE</t>
  </si>
  <si>
    <t>LAGORY, JASON</t>
  </si>
  <si>
    <t>ROBINSON, DALE</t>
  </si>
  <si>
    <t>TAYLOR, LAURA</t>
  </si>
  <si>
    <t>GENTRY, KARLA</t>
  </si>
  <si>
    <t>MAESTRI, SHARON</t>
  </si>
  <si>
    <t>CREWS, DEBRA</t>
  </si>
  <si>
    <t>COLLINS, WANDA</t>
  </si>
  <si>
    <t>WILLIAMS, MEGAN</t>
  </si>
  <si>
    <t>SNYDER, NORMAN</t>
  </si>
  <si>
    <t>WHITE, RANDY</t>
  </si>
  <si>
    <t>BROWN, JODY</t>
  </si>
  <si>
    <t>BANISTER, SUE</t>
  </si>
  <si>
    <t>SHERRILL, KIMBERLY</t>
  </si>
  <si>
    <t>PARISH, AMY</t>
  </si>
  <si>
    <t>LEBOVITZ, SARAH</t>
  </si>
  <si>
    <t>TULLIS, KENNETH</t>
  </si>
  <si>
    <t>WILLIAMSON, CAROL</t>
  </si>
  <si>
    <t>WILKERSON, TRAVIS</t>
  </si>
  <si>
    <t>GREEN, RANDY</t>
  </si>
  <si>
    <t>BRYAN, HEATHER</t>
  </si>
  <si>
    <t>CRITTENDEN, KRISTIN</t>
  </si>
  <si>
    <t>TURNER, JASON</t>
  </si>
  <si>
    <t>CAMARILLO, MARCELLA</t>
  </si>
  <si>
    <t>STEWART, AMBER</t>
  </si>
  <si>
    <t>DENNIS, SHAWN</t>
  </si>
  <si>
    <t>REMER, MARIA</t>
  </si>
  <si>
    <t>KEENER, ALICE</t>
  </si>
  <si>
    <t>PICKERING, ANTHONY</t>
  </si>
  <si>
    <t>CARTWRIGHT, ANGELA</t>
  </si>
  <si>
    <t>MASSEY, DAVID</t>
  </si>
  <si>
    <t>HILL, WILLIAM</t>
  </si>
  <si>
    <t>TAYLOR, MELANIE</t>
  </si>
  <si>
    <t>HAMILL, PJ</t>
  </si>
  <si>
    <t>LANGE-HALLEY, JACQUELYN</t>
  </si>
  <si>
    <t>BLACKBURN-GRIFFIN, SHARON</t>
  </si>
  <si>
    <t>MANSFIELD, REBECCA</t>
  </si>
  <si>
    <t>PETRAY, ELIZABETH</t>
  </si>
  <si>
    <t>DAWES, DEBORAH</t>
  </si>
  <si>
    <t>WOLCOTT, GEORGE</t>
  </si>
  <si>
    <t>RANSOM, MICHELLE</t>
  </si>
  <si>
    <t>REAGAN, SABRINA</t>
  </si>
  <si>
    <t>WEBB, CYNTHIA</t>
  </si>
  <si>
    <t>DIGAETANO, DOLORES</t>
  </si>
  <si>
    <t>EDLUND, MARK</t>
  </si>
  <si>
    <t>BURCHFIELD, RYAN</t>
  </si>
  <si>
    <t>DAILEY, JODIE</t>
  </si>
  <si>
    <t>RICHARDSON, MATTHEW</t>
  </si>
  <si>
    <t>LAWSON, GLENNDA</t>
  </si>
  <si>
    <t>BUTLER, AMY</t>
  </si>
  <si>
    <t>REGISTER, JENNY</t>
  </si>
  <si>
    <t>HOWARD, PATRICIA</t>
  </si>
  <si>
    <t>DOAN, VIRGINIA</t>
  </si>
  <si>
    <t>GOODE, SONYA</t>
  </si>
  <si>
    <t>RICHARDSON, JANET</t>
  </si>
  <si>
    <t>JAFFE, STEPHEN</t>
  </si>
  <si>
    <t>REDIX, ROSE</t>
  </si>
  <si>
    <t>GUCKER, GALE</t>
  </si>
  <si>
    <t>ROBINSON, ROBERT</t>
  </si>
  <si>
    <t>GINN, MARVIN</t>
  </si>
  <si>
    <t>BASSIN, CHRISTOPHER</t>
  </si>
  <si>
    <t>LEWIS, LISA</t>
  </si>
  <si>
    <t>ROWLAND, MICHAEL</t>
  </si>
  <si>
    <t>PRINCE, SUSAN</t>
  </si>
  <si>
    <t>BUSH, RONALD</t>
  </si>
  <si>
    <t>MADDEN, HERVEY</t>
  </si>
  <si>
    <t>DURAN, LAWRENCE</t>
  </si>
  <si>
    <t>BERRY-HERT, KELLIE</t>
  </si>
  <si>
    <t>CHANNING, ROBERT</t>
  </si>
  <si>
    <t>TANNER, SUZANNE</t>
  </si>
  <si>
    <t>MIDDLEBROOK, AMANDA</t>
  </si>
  <si>
    <t>FLOYD, MARLO</t>
  </si>
  <si>
    <t>WALLACE, DUSTIN</t>
  </si>
  <si>
    <t>HOLLAND, KATIE</t>
  </si>
  <si>
    <t>BURNETTE, NENA</t>
  </si>
  <si>
    <t>ROSE, LISA</t>
  </si>
  <si>
    <t>WESSELL, CHERYL</t>
  </si>
  <si>
    <t>GOLDEN, NANCY</t>
  </si>
  <si>
    <t>OWENS, DENNIS</t>
  </si>
  <si>
    <t>BOLING, STEVEN</t>
  </si>
  <si>
    <t>KUFF, KATE</t>
  </si>
  <si>
    <t>SASSER, SHALUNDA</t>
  </si>
  <si>
    <t>BAROS, ALICIA</t>
  </si>
  <si>
    <t>MARTIN, CAROLYN</t>
  </si>
  <si>
    <t>VITALE, DEANNA</t>
  </si>
  <si>
    <t>STRUBLE, DAVID</t>
  </si>
  <si>
    <t>JONES, EDWIN</t>
  </si>
  <si>
    <t>EKDAHL, MARY</t>
  </si>
  <si>
    <t>MAPLES, TERI</t>
  </si>
  <si>
    <t>GANUS, DEBORAH</t>
  </si>
  <si>
    <t>CZERWINSKI, WITOLD</t>
  </si>
  <si>
    <t>JOHNSON, DAN</t>
  </si>
  <si>
    <t>MCPHAIL, RICKY</t>
  </si>
  <si>
    <t>BRANCH, JOSEPH</t>
  </si>
  <si>
    <t>WILLIAMS, SANDRA</t>
  </si>
  <si>
    <t>STAPLETON, PAULA</t>
  </si>
  <si>
    <t>HASHMI, ALI</t>
  </si>
  <si>
    <t>FOSTER, JESSICA</t>
  </si>
  <si>
    <t>JEPPSEN, MARY</t>
  </si>
  <si>
    <t>LAY, DONNA</t>
  </si>
  <si>
    <t>JONES, CARLA</t>
  </si>
  <si>
    <t>CALLISON, MARY</t>
  </si>
  <si>
    <t>SKAGGS, MEREDITH</t>
  </si>
  <si>
    <t>PERRY, EDWARD</t>
  </si>
  <si>
    <t>DORAY, DAWN</t>
  </si>
  <si>
    <t>PATTERSON, MIKE</t>
  </si>
  <si>
    <t>SUITT, LINDSEY</t>
  </si>
  <si>
    <t>PATTERSON, DANIELLE</t>
  </si>
  <si>
    <t>HENRY, PATRICK</t>
  </si>
  <si>
    <t>GRAHAM, KELLY</t>
  </si>
  <si>
    <t>SHEPHERD, HADEN</t>
  </si>
  <si>
    <t>LEHNER, KRISTIN</t>
  </si>
  <si>
    <t>ZIMMERMAN, GLENDA</t>
  </si>
  <si>
    <t>KNOX, HOLLY</t>
  </si>
  <si>
    <t>PARTAK, AMY</t>
  </si>
  <si>
    <t>VOWELL, DENNIS</t>
  </si>
  <si>
    <t>BLOOM, ROBERT</t>
  </si>
  <si>
    <t>DOUTHIT, GRETCHEN</t>
  </si>
  <si>
    <t>THOMAS, FREDA</t>
  </si>
  <si>
    <t>BAILEY, HORACE</t>
  </si>
  <si>
    <t>RAO, ASHOK</t>
  </si>
  <si>
    <t>CULLUM, MARILYN</t>
  </si>
  <si>
    <t>HARRISON, JAN</t>
  </si>
  <si>
    <t>POOLE, SUE</t>
  </si>
  <si>
    <t>STAFFORD, JOHN</t>
  </si>
  <si>
    <t>CULBERTSON, NANCY</t>
  </si>
  <si>
    <t>SPOLLEN, JOHN</t>
  </si>
  <si>
    <t>NIMMO, BENJAMIN</t>
  </si>
  <si>
    <t>DYSON, CORI</t>
  </si>
  <si>
    <t>JOHNSON, KYLE</t>
  </si>
  <si>
    <t>WOOD, JOSHUA</t>
  </si>
  <si>
    <t>BOWEN, CARLISSA</t>
  </si>
  <si>
    <t>DEEN, TISHA</t>
  </si>
  <si>
    <t>KNIGHT, ELIZABETH</t>
  </si>
  <si>
    <t>BENGTSON, JEANINE</t>
  </si>
  <si>
    <t>HALEY, MELISSA</t>
  </si>
  <si>
    <t>CAMPBELL, BRITTANY</t>
  </si>
  <si>
    <t>RIGSBEE, GRASHA</t>
  </si>
  <si>
    <t>KEPHART, JENNIFER</t>
  </si>
  <si>
    <t>TRUE-JENKINS, JEANNIE</t>
  </si>
  <si>
    <t>GHEEN, SARAH</t>
  </si>
  <si>
    <t>BOSC, KRISTIN</t>
  </si>
  <si>
    <t>PACK, PEGGY</t>
  </si>
  <si>
    <t>DOMON, STEVEN</t>
  </si>
  <si>
    <t>HICKS, NANCY</t>
  </si>
  <si>
    <t>BOOKER, SHELLEY</t>
  </si>
  <si>
    <t>LONG, NICHOLAS</t>
  </si>
  <si>
    <t>HENDERSON, LINDSEY</t>
  </si>
  <si>
    <t>GESS, JENNIFER</t>
  </si>
  <si>
    <t>CONLEY-OLSEN, LAURA</t>
  </si>
  <si>
    <t>DAVIS, JAMES</t>
  </si>
  <si>
    <t>DEBOSE, ILA</t>
  </si>
  <si>
    <t>JYOTI, ANSHUMAN</t>
  </si>
  <si>
    <t>COLE, REBECCA</t>
  </si>
  <si>
    <t>BOLIN, NANCY</t>
  </si>
  <si>
    <t>MORGAN, KRISTIE</t>
  </si>
  <si>
    <t>CURTIS, KEVIN</t>
  </si>
  <si>
    <t>MONCLA, SHARI</t>
  </si>
  <si>
    <t>REIFF, TODD</t>
  </si>
  <si>
    <t>MAHAN, ELIZABETH</t>
  </si>
  <si>
    <t>DONATO, DONNA</t>
  </si>
  <si>
    <t>KHANUJA, RAVDEEP</t>
  </si>
  <si>
    <t>PARKER, CRAIG</t>
  </si>
  <si>
    <t>CRAWFORD, STANLEY</t>
  </si>
  <si>
    <t>POWERS, CHERALYN</t>
  </si>
  <si>
    <t>REEVES, DARREN</t>
  </si>
  <si>
    <t>CLARK, RAYMOND</t>
  </si>
  <si>
    <t>SCHULTZ, EMILY</t>
  </si>
  <si>
    <t>NEUKIRCH, BRIAN</t>
  </si>
  <si>
    <t>SLATTON, ELIZABETH</t>
  </si>
  <si>
    <t>CASEY, ERIN</t>
  </si>
  <si>
    <t>EVERSOLE, GLENDA</t>
  </si>
  <si>
    <t>ELEY, JENNIFER</t>
  </si>
  <si>
    <t>BROWNLEE, KATHY</t>
  </si>
  <si>
    <t>NUGENT, KAITLYN</t>
  </si>
  <si>
    <t>FERGUSON, BETTY</t>
  </si>
  <si>
    <t>CLEIN, PAUL</t>
  </si>
  <si>
    <t>VARMA, ANITA</t>
  </si>
  <si>
    <t>SHIRRON, HELEN</t>
  </si>
  <si>
    <t>LIRA, MISTI</t>
  </si>
  <si>
    <t>STAATS, THOMAS</t>
  </si>
  <si>
    <t>WISE, EDWARD</t>
  </si>
  <si>
    <t>JOHNSON, JOEL</t>
  </si>
  <si>
    <t>PEARSON, MARION</t>
  </si>
  <si>
    <t>JONES, TAISHA</t>
  </si>
  <si>
    <t>DUVALL, JENNIFER</t>
  </si>
  <si>
    <t>DEXTER, BECKY</t>
  </si>
  <si>
    <t>WILSON, KITTY</t>
  </si>
  <si>
    <t>HEAD, SHARON</t>
  </si>
  <si>
    <t>BERRY, KAREN</t>
  </si>
  <si>
    <t>FRANKS, TULLOS</t>
  </si>
  <si>
    <t>ALLRED, SANDRA</t>
  </si>
  <si>
    <t>BAKER, MAX</t>
  </si>
  <si>
    <t>ZOLTEN, AVRAM</t>
  </si>
  <si>
    <t>BELLAH, LLOYD</t>
  </si>
  <si>
    <t>OWEN, ADRIAN</t>
  </si>
  <si>
    <t>THOMAS, AMY</t>
  </si>
  <si>
    <t>TUTTLE, MARK</t>
  </si>
  <si>
    <t>RUTLEDGE, ANITA</t>
  </si>
  <si>
    <t>BRANNEN, VALERIE</t>
  </si>
  <si>
    <t>ANDERSON, MARVIN</t>
  </si>
  <si>
    <t>MCCASKILL, KIMBERLY</t>
  </si>
  <si>
    <t>WALL, BRANDON</t>
  </si>
  <si>
    <t>JAMESON, JOHN</t>
  </si>
  <si>
    <t>KEY, CHRISTOPHER</t>
  </si>
  <si>
    <t>GUSTUS, CHRISTINE</t>
  </si>
  <si>
    <t>PRITCHETT, GLENDA</t>
  </si>
  <si>
    <t>STREIT, DONALD</t>
  </si>
  <si>
    <t>COLE, ANDREA</t>
  </si>
  <si>
    <t>RICCIARDELLI, DAVID</t>
  </si>
  <si>
    <t>COUCH, CHRISTINA</t>
  </si>
  <si>
    <t>JANI, DEVANSHI</t>
  </si>
  <si>
    <t>SMITH, ROSE</t>
  </si>
  <si>
    <t>DESHANE, MARGARET</t>
  </si>
  <si>
    <t>BUFFORD, TIFFANIE</t>
  </si>
  <si>
    <t>JOHN, SUFNA</t>
  </si>
  <si>
    <t>WINELAND, DESTINY</t>
  </si>
  <si>
    <t>SMITH, AMY</t>
  </si>
  <si>
    <t>LINDSEY, DORA</t>
  </si>
  <si>
    <t>EIDSON, JENNIFER</t>
  </si>
  <si>
    <t>MCMAHAN, AHMED</t>
  </si>
  <si>
    <t>GREGORY, RETHA</t>
  </si>
  <si>
    <t>BOSSERMAN, MELISSA</t>
  </si>
  <si>
    <t>GREEN, MARIAN</t>
  </si>
  <si>
    <t>LITTLE, WILLIAM</t>
  </si>
  <si>
    <t>OTT, DON</t>
  </si>
  <si>
    <t>COHEN, JEFFREY</t>
  </si>
  <si>
    <t>COFFMAN, MARK</t>
  </si>
  <si>
    <t>HODGES, LAURA</t>
  </si>
  <si>
    <t>DILLIN, SANDRA</t>
  </si>
  <si>
    <t>ARONOV, NEIL</t>
  </si>
  <si>
    <t>DAVIS, ANNA</t>
  </si>
  <si>
    <t>HANNAM, HOLLY</t>
  </si>
  <si>
    <t>BURNS, MELANIE</t>
  </si>
  <si>
    <t>HEALY, MARGARET</t>
  </si>
  <si>
    <t>DOWNING, SARAH</t>
  </si>
  <si>
    <t>CAMPBELL, JENNA</t>
  </si>
  <si>
    <t>TUBBS, SOMMER</t>
  </si>
  <si>
    <t>OLSON, LETITIA</t>
  </si>
  <si>
    <t>MELDAHL, GLEN</t>
  </si>
  <si>
    <t>PORTER, JERLYM</t>
  </si>
  <si>
    <t>DEERE, BETTY</t>
  </si>
  <si>
    <t>JUOLA, MICHAEL</t>
  </si>
  <si>
    <t>SIMPSON, CARLETTA</t>
  </si>
  <si>
    <t>SHULTZ, LAURA</t>
  </si>
  <si>
    <t>KIM, MYEONG</t>
  </si>
  <si>
    <t>KRONENBERG, MINDY</t>
  </si>
  <si>
    <t>WIER MYERS, STASIA</t>
  </si>
  <si>
    <t>BLASKE, DAVID</t>
  </si>
  <si>
    <t>AUTREY, DEBBIE</t>
  </si>
  <si>
    <t>HART, DOUGLAS</t>
  </si>
  <si>
    <t>HADDOW, LAURIE</t>
  </si>
  <si>
    <t>BILLINGSLEY, ROBERT</t>
  </si>
  <si>
    <t>PRIEST, MARGARET</t>
  </si>
  <si>
    <t>BRASSEUX, STEPHEN</t>
  </si>
  <si>
    <t>JOHNSON, CHARLES</t>
  </si>
  <si>
    <t>WRIGHT, FRANK</t>
  </si>
  <si>
    <t>STEPHENSON, THOMAS</t>
  </si>
  <si>
    <t>S.A.F.E. HAVEN, INC.</t>
  </si>
  <si>
    <t>RICHARDSON, LISA</t>
  </si>
  <si>
    <t>RAINWATER, RANDY</t>
  </si>
  <si>
    <t>EDWARDS, BRAD</t>
  </si>
  <si>
    <t>ROSS, LISA</t>
  </si>
  <si>
    <t>BOLING, CATHERINE</t>
  </si>
  <si>
    <t>DANLEY, LAURA</t>
  </si>
  <si>
    <t>HALL, KAREN</t>
  </si>
  <si>
    <t>CAROTHERS, JESSE</t>
  </si>
  <si>
    <t>REYNOLDS, MICHELE</t>
  </si>
  <si>
    <t>RONE, MONIKA</t>
  </si>
  <si>
    <t>JAGGERS, KATHRYN</t>
  </si>
  <si>
    <t>HATFIELD, TIFFANY</t>
  </si>
  <si>
    <t>AYERS, DORIS</t>
  </si>
  <si>
    <t>LUNA, VERLIN</t>
  </si>
  <si>
    <t>METEER, CATHY</t>
  </si>
  <si>
    <t>SCHARBOR, DEBBIE</t>
  </si>
  <si>
    <t>MORRISON, JOSHUA</t>
  </si>
  <si>
    <t>VINICK, BARRY</t>
  </si>
  <si>
    <t>WAUTERS, RONALD</t>
  </si>
  <si>
    <t>BOYD, ROBERT</t>
  </si>
  <si>
    <t>O'ROURKE, DIANE</t>
  </si>
  <si>
    <t>JONES, JULIE</t>
  </si>
  <si>
    <t>LAU, SARAH</t>
  </si>
  <si>
    <t>CORNWELL, KAREN</t>
  </si>
  <si>
    <t>MEEKS, KAMIE</t>
  </si>
  <si>
    <t>STORIE, BENJAMIN</t>
  </si>
  <si>
    <t>SHAW, AMBERLY</t>
  </si>
  <si>
    <t>POSTON, LORI</t>
  </si>
  <si>
    <t>WALLS, NANETTA</t>
  </si>
  <si>
    <t>FREEMAN, THOMAS</t>
  </si>
  <si>
    <t>LESTER, MINDY</t>
  </si>
  <si>
    <t>PATE, LEANNE</t>
  </si>
  <si>
    <t>RUSHING, JENNIFER</t>
  </si>
  <si>
    <t>PAYNE, RHONDA</t>
  </si>
  <si>
    <t>MERCER, PAULA</t>
  </si>
  <si>
    <t>AUKSTUOLIS, GINTARAS</t>
  </si>
  <si>
    <t>EASON, VASHONDA</t>
  </si>
  <si>
    <t>ANDERSON, KRIS</t>
  </si>
  <si>
    <t>DAVIS, MELISSA</t>
  </si>
  <si>
    <t>SCARBERRY, CHELSIE</t>
  </si>
  <si>
    <t>ROSSETTI, CINDY</t>
  </si>
  <si>
    <t>BEAGLE, LEILANI</t>
  </si>
  <si>
    <t>BEARD, MEGAN</t>
  </si>
  <si>
    <t>WALLACE, SAM</t>
  </si>
  <si>
    <t>ANDERSON, ANNETTE</t>
  </si>
  <si>
    <t>NEEDHAM, VALLERIA</t>
  </si>
  <si>
    <t>NELSON, RACHEL</t>
  </si>
  <si>
    <t>OLIENYK, RACHEL</t>
  </si>
  <si>
    <t>GANNOE, KRISTIN</t>
  </si>
  <si>
    <t>CASTILLO, PAUL</t>
  </si>
  <si>
    <t>MILLER, PEGGY</t>
  </si>
  <si>
    <t>OMALLEY, JOHN</t>
  </si>
  <si>
    <t>FEIR, BETTY</t>
  </si>
  <si>
    <t>HICKS, CARA</t>
  </si>
  <si>
    <t>PARKER, MICHAEL</t>
  </si>
  <si>
    <t>WEBB, BEVERLY</t>
  </si>
  <si>
    <t>BROWN, GREGORY</t>
  </si>
  <si>
    <t>RAY, DANIEL</t>
  </si>
  <si>
    <t>DODD, MICHAEL</t>
  </si>
  <si>
    <t>LUSCOMB, RICHARD</t>
  </si>
  <si>
    <t>PEFFERKORN, FRED</t>
  </si>
  <si>
    <t>GRAMLING VAN SCOY, SARA</t>
  </si>
  <si>
    <t>THOMPSON, HEIDI</t>
  </si>
  <si>
    <t>DARNELL, WALTER</t>
  </si>
  <si>
    <t>UNGLESBY, EMILIE</t>
  </si>
  <si>
    <t>SCOTT, JULIE</t>
  </si>
  <si>
    <t>BALDWIN, BARBARA</t>
  </si>
  <si>
    <t>COHEN, ROBERT</t>
  </si>
  <si>
    <t>COLLINS, CATHERINE</t>
  </si>
  <si>
    <t>TSIRGIOTIS, GEORGE</t>
  </si>
  <si>
    <t>ROUSE, LISA</t>
  </si>
  <si>
    <t>NGUYEN, LEINA</t>
  </si>
  <si>
    <t>DRISCOLL, JEANETTE</t>
  </si>
  <si>
    <t>LONG, YAN</t>
  </si>
  <si>
    <t>SHRYOCK, TEDDY</t>
  </si>
  <si>
    <t>AKINWUMIJU, OLAYINKA</t>
  </si>
  <si>
    <t>BERRY, FAITH</t>
  </si>
  <si>
    <t>NELSON, SHARON</t>
  </si>
  <si>
    <t>TATE, ANGELA</t>
  </si>
  <si>
    <t>SIMPSON, BRIAN</t>
  </si>
  <si>
    <t>MCGAUGH, JANETTE</t>
  </si>
  <si>
    <t>VALLI, JENNIFER</t>
  </si>
  <si>
    <t>JENSEN, PETER</t>
  </si>
  <si>
    <t>POLLYEA, MARY</t>
  </si>
  <si>
    <t>WOOLLUMS, CERENDIA</t>
  </si>
  <si>
    <t>MCCUNE, CAROLYN</t>
  </si>
  <si>
    <t>BILLINGS, DARIN</t>
  </si>
  <si>
    <t>FARRIS, MELANIE</t>
  </si>
  <si>
    <t>PACK, TRESVIL</t>
  </si>
  <si>
    <t>SIGEL, BENJAMIN</t>
  </si>
  <si>
    <t>LASAR, KATHLEEN</t>
  </si>
  <si>
    <t>BRASHER, MAR-LOU</t>
  </si>
  <si>
    <t>BAUER, DEBRA</t>
  </si>
  <si>
    <t>SALLEY, MARGUERITE</t>
  </si>
  <si>
    <t>WHITTEN, RAYMOND</t>
  </si>
  <si>
    <t>LEE, FOSTER</t>
  </si>
  <si>
    <t>BRAZZEL, KERRI</t>
  </si>
  <si>
    <t>ABBEY, CHRISTOPHER</t>
  </si>
  <si>
    <t>LANDAU, DENISE</t>
  </si>
  <si>
    <t>WESTERMAN, KENNA</t>
  </si>
  <si>
    <t>CRUME, MARY</t>
  </si>
  <si>
    <t>BROWN, VIRGINIA</t>
  </si>
  <si>
    <t>CHRISTIAN, LYNLEY</t>
  </si>
  <si>
    <t>DOBBINS, AUDREY</t>
  </si>
  <si>
    <t>FULTON, MELANIE</t>
  </si>
  <si>
    <t>COSTALDI, JESSICA</t>
  </si>
  <si>
    <t>TIMMS, APRIL</t>
  </si>
  <si>
    <t>CLINE, ROBBIE</t>
  </si>
  <si>
    <t>ELROD, WINONA</t>
  </si>
  <si>
    <t>ADDISON-BROWN, KRISTIN</t>
  </si>
  <si>
    <t>CROMER, LINDA</t>
  </si>
  <si>
    <t>ROGERS, MICHAEL</t>
  </si>
  <si>
    <t>WILSON, WILLIAM</t>
  </si>
  <si>
    <t>THOMAS, CHRISTOPHER</t>
  </si>
  <si>
    <t>TODD, JANET</t>
  </si>
  <si>
    <t>WATSON, DANA</t>
  </si>
  <si>
    <t>CARTER, LEAH</t>
  </si>
  <si>
    <t>ARNOLD, VALERIE</t>
  </si>
  <si>
    <t>HICKERSON, ROBIN</t>
  </si>
  <si>
    <t>SMITH, ALEXIS</t>
  </si>
  <si>
    <t>EVANS, MARY BETH</t>
  </si>
  <si>
    <t>ROSS, SANDRA</t>
  </si>
  <si>
    <t>HARRIS, ELIZABETH</t>
  </si>
  <si>
    <t>DE ROECK, CARA</t>
  </si>
  <si>
    <t>BOSTON, BRENDA</t>
  </si>
  <si>
    <t>ANDREWS, GARRETT</t>
  </si>
  <si>
    <t>KVEUM, MICHELLE</t>
  </si>
  <si>
    <t>AUDISS, TERRI</t>
  </si>
  <si>
    <t>BISHOP, GERALDINE</t>
  </si>
  <si>
    <t>SCHLAU, REBECCA</t>
  </si>
  <si>
    <t>KEOUGH, ANDREW</t>
  </si>
  <si>
    <t>MOWREY, MICHAEL</t>
  </si>
  <si>
    <t>MARSHALL, LILLIAN</t>
  </si>
  <si>
    <t>BUTTERFIELD, SAMUEL</t>
  </si>
  <si>
    <t>MOIX, MELISSA</t>
  </si>
  <si>
    <t>JOHNSON, LAUREN</t>
  </si>
  <si>
    <t>BIER, MARY</t>
  </si>
  <si>
    <t>OUTLAW, LYNN</t>
  </si>
  <si>
    <t>TIDWELL, BENJAMIN</t>
  </si>
  <si>
    <t>BROUGHTON, STEPHEN</t>
  </si>
  <si>
    <t>BANKHEAD, MARLA</t>
  </si>
  <si>
    <t>MEEKS, ROBERT</t>
  </si>
  <si>
    <t>POLK, MIA</t>
  </si>
  <si>
    <t>KLEINER, JENNIFER</t>
  </si>
  <si>
    <t>ETHERIDGE, RICKEY</t>
  </si>
  <si>
    <t>LENGEFELD, DAVID</t>
  </si>
  <si>
    <t>KEEFER, PAMELA</t>
  </si>
  <si>
    <t>BROWN, PHILIP</t>
  </si>
  <si>
    <t>WOODS, GILLIAN</t>
  </si>
  <si>
    <t>MILLHOUSE, SEAN</t>
  </si>
  <si>
    <t>MCGUIRE, GISELE</t>
  </si>
  <si>
    <t>OSMENT, AUTUMN</t>
  </si>
  <si>
    <t>KENDRICK, MARLA</t>
  </si>
  <si>
    <t>BAKER, BRENDA</t>
  </si>
  <si>
    <t>LINDHOUT, WILLIAM</t>
  </si>
  <si>
    <t>SHASTEEN, JOHN</t>
  </si>
  <si>
    <t>CHAMBERS, HARVEY</t>
  </si>
  <si>
    <t>BROWN, JASON</t>
  </si>
  <si>
    <t>BELL, LINDA</t>
  </si>
  <si>
    <t>JOHNSTON, MARCELA</t>
  </si>
  <si>
    <t>THAPA, PURNSHOTTAM</t>
  </si>
  <si>
    <t>MITCHELL, DARYL</t>
  </si>
  <si>
    <t>RAZA, SYED</t>
  </si>
  <si>
    <t>JONES, SHERYL</t>
  </si>
  <si>
    <t>KING, BETTY</t>
  </si>
  <si>
    <t>WILSON, SHIRLEY</t>
  </si>
  <si>
    <t>FITZGIBBONS, LISA</t>
  </si>
  <si>
    <t>EVERETT, LEAH</t>
  </si>
  <si>
    <t>DENNIS, HEIDI</t>
  </si>
  <si>
    <t>RUST, PAUL</t>
  </si>
  <si>
    <t>JEPPSEN, MICHAEL</t>
  </si>
  <si>
    <t>QUALLS, MONA</t>
  </si>
  <si>
    <t>GUILLEN, MANUEL</t>
  </si>
  <si>
    <t>HARRIS, BRIANNA</t>
  </si>
  <si>
    <t>BROWN, CINDY</t>
  </si>
  <si>
    <t>BROADAWAY, MALLORY</t>
  </si>
  <si>
    <t>NILES, JENNIFER</t>
  </si>
  <si>
    <t>GREEN, JUSTIN</t>
  </si>
  <si>
    <t>JORDAN, KATHY</t>
  </si>
  <si>
    <t>MESSIAS, ERICK</t>
  </si>
  <si>
    <t>MIXON, CAROLYN</t>
  </si>
  <si>
    <t>WINFIELD, SHELLEY</t>
  </si>
  <si>
    <t>SELF, ANDREA</t>
  </si>
  <si>
    <t>GENTRY, TERESA</t>
  </si>
  <si>
    <t>BYARS, CATHY</t>
  </si>
  <si>
    <t>ATCHLEY, MONTY</t>
  </si>
  <si>
    <t>JEFFERSON, NINA</t>
  </si>
  <si>
    <t>FRIERSON, COURTNEY</t>
  </si>
  <si>
    <t>RIAL, JULIE</t>
  </si>
  <si>
    <t>WILLIAMSON, SHEILA</t>
  </si>
  <si>
    <t>BAER, MARGARET</t>
  </si>
  <si>
    <t>THOMAS, BONNIE</t>
  </si>
  <si>
    <t>NEVIN, STEPHANIE</t>
  </si>
  <si>
    <t>WLEKLINSKI, DONALD</t>
  </si>
  <si>
    <t>FOSTER, LANCE</t>
  </si>
  <si>
    <t>REID, GENE</t>
  </si>
  <si>
    <t>WHITTEN, HARRIET</t>
  </si>
  <si>
    <t>BOYD, DANIEL</t>
  </si>
  <si>
    <t>LABBATE, LAWRENCE</t>
  </si>
  <si>
    <t>SIMS, KATHERINE</t>
  </si>
  <si>
    <t>FLOYD, MARKISHA</t>
  </si>
  <si>
    <t>MASSEY, LASHAUNDA</t>
  </si>
  <si>
    <t>HUMPHREYS, SANDY</t>
  </si>
  <si>
    <t>CLARDY, JAMES</t>
  </si>
  <si>
    <t>HOLDEN, DONNIE</t>
  </si>
  <si>
    <t>OMAN, BRIAN</t>
  </si>
  <si>
    <t>FREILINO, JENNIFER</t>
  </si>
  <si>
    <t>WAITE, AMBER</t>
  </si>
  <si>
    <t>FREDERICK, RYAN</t>
  </si>
  <si>
    <t>SEAY, AMY</t>
  </si>
  <si>
    <t>BAGWELL, SHERI</t>
  </si>
  <si>
    <t>DIXON, CATHERINE</t>
  </si>
  <si>
    <t>JONES, LOCKIE</t>
  </si>
  <si>
    <t>BARATTI, LINDSAY</t>
  </si>
  <si>
    <t>GAINES, LEA</t>
  </si>
  <si>
    <t>VANSCOY, WILLIAM</t>
  </si>
  <si>
    <t>JOHNSON, MARILYN</t>
  </si>
  <si>
    <t>LINKER, GARY</t>
  </si>
  <si>
    <t>ENGERAN, MARTIN</t>
  </si>
  <si>
    <t>TEETER, GARRY</t>
  </si>
  <si>
    <t>VORA, SHAILESH</t>
  </si>
  <si>
    <t>BARLING, WILLIAM</t>
  </si>
  <si>
    <t>CLARK, STUART</t>
  </si>
  <si>
    <t>FURRH, SANDY</t>
  </si>
  <si>
    <t>FANT, JULIE</t>
  </si>
  <si>
    <t>ROWELL, JOSEPH</t>
  </si>
  <si>
    <t>ANDERSEN, MARK</t>
  </si>
  <si>
    <t>SCHUMACHER, CARLA</t>
  </si>
  <si>
    <t>TITSWORTH, BRANDI</t>
  </si>
  <si>
    <t>HEAD, WILLIAM</t>
  </si>
  <si>
    <t>JOHNSON, ACACIA</t>
  </si>
  <si>
    <t>KINLEY, NICKI</t>
  </si>
  <si>
    <t>HOUSTON, NATASHA</t>
  </si>
  <si>
    <t>STROH, MARTHA</t>
  </si>
  <si>
    <t>KISPERT, SHAWN</t>
  </si>
  <si>
    <t>MORRIS, JANET</t>
  </si>
  <si>
    <t>SHOTT, TERRY</t>
  </si>
  <si>
    <t>COOPER, JOHN</t>
  </si>
  <si>
    <t>MORGAN, MARGARET</t>
  </si>
  <si>
    <t>SCHLESINGER, SARAH</t>
  </si>
  <si>
    <t>SMITH, BRENDA</t>
  </si>
  <si>
    <t>JACKSON, AMBER</t>
  </si>
  <si>
    <t>HAUSHEER, MICHELLE</t>
  </si>
  <si>
    <t>HARTFIELD, CARA</t>
  </si>
  <si>
    <t>RICHARDSON, THOMAS</t>
  </si>
  <si>
    <t>HIX, MICHELLE</t>
  </si>
  <si>
    <t>SALAZAR, JUAN</t>
  </si>
  <si>
    <t>WEBBER, JOHN</t>
  </si>
  <si>
    <t>LAMBERT, ROBERT</t>
  </si>
  <si>
    <t>PARSONS, DAWN</t>
  </si>
  <si>
    <t>PHILLIPS, RICKEY</t>
  </si>
  <si>
    <t>HANKINS, BRANDI</t>
  </si>
  <si>
    <t>KLOSKY, JAMES</t>
  </si>
  <si>
    <t>EVANS, LARRY</t>
  </si>
  <si>
    <t>HOPPER, RACHAEL</t>
  </si>
  <si>
    <t>YOUNG, LISA</t>
  </si>
  <si>
    <t>GIANFORTE, JOHN</t>
  </si>
  <si>
    <t>WOOLDRIDGE, JEREMY</t>
  </si>
  <si>
    <t>COHEN, BRUCE</t>
  </si>
  <si>
    <t>BROWN, CARLA</t>
  </si>
  <si>
    <t>GRUBESICH, CONNIE</t>
  </si>
  <si>
    <t>FAULKNER, JOHNNY</t>
  </si>
  <si>
    <t>WALKER, KATIE</t>
  </si>
  <si>
    <t>HANCOCK, LENA</t>
  </si>
  <si>
    <t>KENNEDY, TAMMY</t>
  </si>
  <si>
    <t>BAILEY, DAVID</t>
  </si>
  <si>
    <t>DECKER, DWIGHT</t>
  </si>
  <si>
    <t>CHEWNING, DUDLEY</t>
  </si>
  <si>
    <t>TYC, VIDA</t>
  </si>
  <si>
    <t>SCOTT, PATRICIA</t>
  </si>
  <si>
    <t>DOREY, ANITA</t>
  </si>
  <si>
    <t>STRATTON, SHARI</t>
  </si>
  <si>
    <t>CRECELIUS, BRIDGET</t>
  </si>
  <si>
    <t>HOGAN, MELISSA</t>
  </si>
  <si>
    <t>SHAEFFER, LUZ</t>
  </si>
  <si>
    <t>PENNY, DEBORAH</t>
  </si>
  <si>
    <t>PRIEST, JON</t>
  </si>
  <si>
    <t>PERRY, VALERIE</t>
  </si>
  <si>
    <t>TRUELOVE, SCOTT</t>
  </si>
  <si>
    <t>PIPKIN, JESSICA</t>
  </si>
  <si>
    <t>CROSBY, DOLORES</t>
  </si>
  <si>
    <t>TOMBLEY, KENNETH</t>
  </si>
  <si>
    <t>HOWARD, JULIE</t>
  </si>
  <si>
    <t>GREENWOOD, GARY</t>
  </si>
  <si>
    <t>GORDON, MARTHA</t>
  </si>
  <si>
    <t>PECK, MELISSA</t>
  </si>
  <si>
    <t>WOOD, MARIE</t>
  </si>
  <si>
    <t>CRONE, ELIZABETH</t>
  </si>
  <si>
    <t>O'BRIEN, LEIGH</t>
  </si>
  <si>
    <t>SMITH, SUSAN</t>
  </si>
  <si>
    <t>WILLIAMS, MARTHA</t>
  </si>
  <si>
    <t>WINDLE, RITA</t>
  </si>
  <si>
    <t>LACY, JACQUELINE</t>
  </si>
  <si>
    <t>STEPHENS, KENNETH</t>
  </si>
  <si>
    <t>DICKERSON, JULIE</t>
  </si>
  <si>
    <t>OVERDYKE, JEFFREY</t>
  </si>
  <si>
    <t>TABER, GARY</t>
  </si>
  <si>
    <t>REED, KAREN</t>
  </si>
  <si>
    <t>HABERMAN, DIANA</t>
  </si>
  <si>
    <t>PARKS, JAMES</t>
  </si>
  <si>
    <t>BROOKS, DEBRA</t>
  </si>
  <si>
    <t>STOVER, ANDREW</t>
  </si>
  <si>
    <t>NORRIS, TARA</t>
  </si>
  <si>
    <t>SMITHYMAN, DEBORAH</t>
  </si>
  <si>
    <t>JONES, WILLIAM</t>
  </si>
  <si>
    <t>BAILEY, KIM</t>
  </si>
  <si>
    <t>KING, RHOMIE</t>
  </si>
  <si>
    <t>GLOVER, ERIN</t>
  </si>
  <si>
    <t>WOODING, JIMMIE</t>
  </si>
  <si>
    <t>ORBISON, LAUREN</t>
  </si>
  <si>
    <t>PRUETT, KENNETH</t>
  </si>
  <si>
    <t>APPLEGET, KAREN</t>
  </si>
  <si>
    <t>DAWSON, JAMIE</t>
  </si>
  <si>
    <t>SCHACHTERLE, ASHLEY</t>
  </si>
  <si>
    <t>DALTON, MARTHA</t>
  </si>
  <si>
    <t>JOHNSON, ROGER</t>
  </si>
  <si>
    <t>BIVENS, VAN</t>
  </si>
  <si>
    <t>OKPARA, THEOPHILUS</t>
  </si>
  <si>
    <t>BROWN, MORGANNE</t>
  </si>
  <si>
    <t>WOODY, SHARLYN</t>
  </si>
  <si>
    <t>EVANS, REBEKAH</t>
  </si>
  <si>
    <t>MEIER, BROOKE</t>
  </si>
  <si>
    <t>NOBLES, BRENDA</t>
  </si>
  <si>
    <t>MIDDLETON, TRINA</t>
  </si>
  <si>
    <t>BARNETT, ELIZABETH</t>
  </si>
  <si>
    <t>DURAN, HEATHER</t>
  </si>
  <si>
    <t>FUSSELL, KEITH</t>
  </si>
  <si>
    <t>PRICE, EMILY</t>
  </si>
  <si>
    <t>STEPHENS, KYMBERLY</t>
  </si>
  <si>
    <t>VICCARO, JAMES</t>
  </si>
  <si>
    <t>THORNE, JASON</t>
  </si>
  <si>
    <t>MATHISEN, JORDAN</t>
  </si>
  <si>
    <t>SAYNER, RICHARD</t>
  </si>
  <si>
    <t>PENNINGTON, LAURA</t>
  </si>
  <si>
    <t>LUCAS, ANGEL</t>
  </si>
  <si>
    <t>RAY, MERCEDES</t>
  </si>
  <si>
    <t>WEBB, EVELYN</t>
  </si>
  <si>
    <t>ROSENTHAL, RENATE</t>
  </si>
  <si>
    <t>WOODS, FRANCES</t>
  </si>
  <si>
    <t>DOLLINS, STEPHEN</t>
  </si>
  <si>
    <t>RYE, CARRIE</t>
  </si>
  <si>
    <t>HARBAUGH, SHERYLL</t>
  </si>
  <si>
    <t>MACDONALD, LORNA</t>
  </si>
  <si>
    <t>WATTS, JONATHAN</t>
  </si>
  <si>
    <t>EUDALY, SUZANNE</t>
  </si>
  <si>
    <t>ABNEY, STEVEN</t>
  </si>
  <si>
    <t>BURKE, REBECCA</t>
  </si>
  <si>
    <t>COGGINS, CINDY</t>
  </si>
  <si>
    <t>TRAMONTE, LINDA</t>
  </si>
  <si>
    <t>STEVENS, LEE</t>
  </si>
  <si>
    <t>GRAVES, STEPHANIE</t>
  </si>
  <si>
    <t>JONES, CHAD</t>
  </si>
  <si>
    <t>CLARDY, PENNY</t>
  </si>
  <si>
    <t>GARCIA, MARGARITA</t>
  </si>
  <si>
    <t>FREEMAN, KATIE</t>
  </si>
  <si>
    <t>HEARD, KENNETH</t>
  </si>
  <si>
    <t>STUEART, MARGARET</t>
  </si>
  <si>
    <t>WORLEY, LINDA</t>
  </si>
  <si>
    <t>STOCKMAN, JESSICA</t>
  </si>
  <si>
    <t>KENNEDY, KRISTY</t>
  </si>
  <si>
    <t>CARTER, MARY</t>
  </si>
  <si>
    <t>BAKER, AMBER</t>
  </si>
  <si>
    <t>HARRIS, MEGAN</t>
  </si>
  <si>
    <t>HARPER, JIM</t>
  </si>
  <si>
    <t>OTTEN, LYNAE</t>
  </si>
  <si>
    <t>SOUTHERLAND, LISA</t>
  </si>
  <si>
    <t>JONES, OLIVIA</t>
  </si>
  <si>
    <t>POLSTON, AMANDA</t>
  </si>
  <si>
    <t>TAYLOR, AMANDA</t>
  </si>
  <si>
    <t>OKAI, BENJAMIN</t>
  </si>
  <si>
    <t>BARHAM, JODY</t>
  </si>
  <si>
    <t>PHILLIPS, AMY</t>
  </si>
  <si>
    <t>CHILDRES, STACEY</t>
  </si>
  <si>
    <t>FLOWERS, JAMES</t>
  </si>
  <si>
    <t>JACKSON, BETH</t>
  </si>
  <si>
    <t>BAILEY, STACEY</t>
  </si>
  <si>
    <t>HUDEFI, FAYZ</t>
  </si>
  <si>
    <t>KEPPLER, CHRISTIE</t>
  </si>
  <si>
    <t>HARRIS, CLAUDIA</t>
  </si>
  <si>
    <t>SPOONER, REBECCA</t>
  </si>
  <si>
    <t>PYNE, JEFFREY</t>
  </si>
  <si>
    <t>SPENCE, GAYLA</t>
  </si>
  <si>
    <t>PARKER, JULIA</t>
  </si>
  <si>
    <t>GREBERT, HOLLY</t>
  </si>
  <si>
    <t>WILKINS, MEGAN</t>
  </si>
  <si>
    <t>LONG, THOMAS</t>
  </si>
  <si>
    <t>HARTMAN, JARED</t>
  </si>
  <si>
    <t>Access to Substance Use Disorder Providers</t>
  </si>
  <si>
    <t>DESAI, NITA</t>
  </si>
  <si>
    <t>WARD, BOBBY</t>
  </si>
  <si>
    <t>GERHART, CHRISTOPHER</t>
  </si>
  <si>
    <t>BEIGHTOL, KRISTIN</t>
  </si>
  <si>
    <t>Access to Oncologists</t>
  </si>
  <si>
    <t>JANKOV, ALEKSANDAR</t>
  </si>
  <si>
    <t>BALLO, MATTHEW</t>
  </si>
  <si>
    <t>CHINTAPALLI, NEELIMA</t>
  </si>
  <si>
    <t>METZGER, MONIKA</t>
  </si>
  <si>
    <t>NICKELSON, ROBERT</t>
  </si>
  <si>
    <t>KOERNER, PAUL</t>
  </si>
  <si>
    <t>KHALED, YASSER</t>
  </si>
  <si>
    <t>MILOJKOVIC, NATASA</t>
  </si>
  <si>
    <t>HANKINS, JANE</t>
  </si>
  <si>
    <t>BRADFORD, DANIEL</t>
  </si>
  <si>
    <t>ZORN, KRISTIN</t>
  </si>
  <si>
    <t>SACCENTE, CAROLYN</t>
  </si>
  <si>
    <t>BROADWATER, J.</t>
  </si>
  <si>
    <t>DENEVE, JEREMIAH</t>
  </si>
  <si>
    <t>LAM, CATHERINE</t>
  </si>
  <si>
    <t>MINHAS, SOHAIL</t>
  </si>
  <si>
    <t>JOHNSON, ROBERT</t>
  </si>
  <si>
    <t>SNEED, THOMAS</t>
  </si>
  <si>
    <t>TAUER, KURT</t>
  </si>
  <si>
    <t>WILLIAMS, LAURA</t>
  </si>
  <si>
    <t>NAIR, BALAGOPALAN</t>
  </si>
  <si>
    <t>MROZ, CHRISTINE</t>
  </si>
  <si>
    <t>BURTON, JAMIE</t>
  </si>
  <si>
    <t>DHAWAN, MANISH</t>
  </si>
  <si>
    <t>MARION, JAY</t>
  </si>
  <si>
    <t>PALLERA, ARNEL</t>
  </si>
  <si>
    <t>ROSENFELD, STEPHAN</t>
  </si>
  <si>
    <t>VANDERWALDE, ARI</t>
  </si>
  <si>
    <t>BRANDER, BROOKE</t>
  </si>
  <si>
    <t>TRAVIS, PATRICK</t>
  </si>
  <si>
    <t>BECK, JAMES</t>
  </si>
  <si>
    <t>COGBURN, BOB</t>
  </si>
  <si>
    <t>VELUVOLU, ANIL</t>
  </si>
  <si>
    <t>GOORHA, SALIL</t>
  </si>
  <si>
    <t>OWENS, CURTIS</t>
  </si>
  <si>
    <t>BECTON, DAVID</t>
  </si>
  <si>
    <t>GAJJAR, AMAR</t>
  </si>
  <si>
    <t>SMITH, KIRBY</t>
  </si>
  <si>
    <t>JEROUDI, MAJED</t>
  </si>
  <si>
    <t>WILIMAS, JUDITH</t>
  </si>
  <si>
    <t>MAGEE, MICHAEL</t>
  </si>
  <si>
    <t>BALTZ, BRAD</t>
  </si>
  <si>
    <t>RUBNITZ, JEFFREY</t>
  </si>
  <si>
    <t>WELLS, JOHN</t>
  </si>
  <si>
    <t>MUIR, EDWARD</t>
  </si>
  <si>
    <t>COLLINS, KEVIN</t>
  </si>
  <si>
    <t>HARRINGTON, MARIANN</t>
  </si>
  <si>
    <t>GORUKANTI, NARENDER</t>
  </si>
  <si>
    <t>ALLGOOD, JOHN</t>
  </si>
  <si>
    <t>DURRANI, HUMDUM</t>
  </si>
  <si>
    <t>RICHARDS, WILLIAM</t>
  </si>
  <si>
    <t>LITTLE ROCK HEMATOLOGY ONCOLOGY</t>
  </si>
  <si>
    <t>LEUNG, WING-HANG</t>
  </si>
  <si>
    <t>EMANUEL, PETER</t>
  </si>
  <si>
    <t>FURMAN, WAYNE</t>
  </si>
  <si>
    <t>HENRY-TILLMAN, RONDA</t>
  </si>
  <si>
    <t>KATZ, SANFORD</t>
  </si>
  <si>
    <t>BASKIN, REED</t>
  </si>
  <si>
    <t>ARMSTRONG, GREGORY</t>
  </si>
  <si>
    <t>HIGHTOWER, RANDALL</t>
  </si>
  <si>
    <t>FARRAR, JASON</t>
  </si>
  <si>
    <t>GOMEZ, GILDA</t>
  </si>
  <si>
    <t>QUINNEY, BEN</t>
  </si>
  <si>
    <t>GHANDOUR, OMAR</t>
  </si>
  <si>
    <t>MONTE, MARC</t>
  </si>
  <si>
    <t>CARTER, PETER</t>
  </si>
  <si>
    <t>SPUNT, SHERI</t>
  </si>
  <si>
    <t>DURCI, MICHAEL</t>
  </si>
  <si>
    <t>TSUDA, SUE</t>
  </si>
  <si>
    <t>FEAGIN, JOYCE</t>
  </si>
  <si>
    <t>FINE, RICHARD</t>
  </si>
  <si>
    <t>MENDELSOHN, LAWRENCE</t>
  </si>
  <si>
    <t>CHANDLER, JASON</t>
  </si>
  <si>
    <t>OLSON, CRAIG</t>
  </si>
  <si>
    <t>BLACK, DESTIN</t>
  </si>
  <si>
    <t>SRINIVASAN, ASHOK</t>
  </si>
  <si>
    <t>SCHWARTZBERG, LEE</t>
  </si>
  <si>
    <t>WESTBROOK, KENT</t>
  </si>
  <si>
    <t>WALKER, DONNA</t>
  </si>
  <si>
    <t>JEHA, SIMA</t>
  </si>
  <si>
    <t>PEREZ, CARLOS</t>
  </si>
  <si>
    <t>BURTON, GARY</t>
  </si>
  <si>
    <t>DARRELL L. SPEED, M.D,, INC</t>
  </si>
  <si>
    <t>REED, JARVIS</t>
  </si>
  <si>
    <t>BANDY, LAWRENCE</t>
  </si>
  <si>
    <t>WEEKS, ALBERT</t>
  </si>
  <si>
    <t>ENGSTROM, GARY</t>
  </si>
  <si>
    <t>SMITH, ARNOLD</t>
  </si>
  <si>
    <t>WEBB, ROY</t>
  </si>
  <si>
    <t>OAKHILL, GREGORY</t>
  </si>
  <si>
    <t>INABA, HIROTO</t>
  </si>
  <si>
    <t>NAIR, BIJAY</t>
  </si>
  <si>
    <t>GAO, XIANG</t>
  </si>
  <si>
    <t>KOCH, RYAN</t>
  </si>
  <si>
    <t>NADVI, SAMINA</t>
  </si>
  <si>
    <t>MARLER, KEVIN</t>
  </si>
  <si>
    <t>RAJAN, SANDEEP</t>
  </si>
  <si>
    <t>WORTHAM, ANGELA</t>
  </si>
  <si>
    <t>MACKEY, DANIEL</t>
  </si>
  <si>
    <t>VASIREDDY, SAILENDRA</t>
  </si>
  <si>
    <t>PEDERSEN, JOSEPH</t>
  </si>
  <si>
    <t>IVY, JOSEPH</t>
  </si>
  <si>
    <t>SMILEY, LINDA</t>
  </si>
  <si>
    <t>SANTANA, VICTOR</t>
  </si>
  <si>
    <t>MANSOUR, RICHARD</t>
  </si>
  <si>
    <t>MIAN, AMIR</t>
  </si>
  <si>
    <t>MCCORD, STACIE</t>
  </si>
  <si>
    <t>RIBEIRO, RAUL</t>
  </si>
  <si>
    <t>HIJIYA, NOBUKO</t>
  </si>
  <si>
    <t>KHALIL, OMER</t>
  </si>
  <si>
    <t>HAYWARD, MALCOLM</t>
  </si>
  <si>
    <t>GORE, MARGARET</t>
  </si>
  <si>
    <t>JONES, CLYDE</t>
  </si>
  <si>
    <t>MAKHOUL, ISSAM</t>
  </si>
  <si>
    <t>JOHANN, DONALD</t>
  </si>
  <si>
    <t>DAVIES, FAITH</t>
  </si>
  <si>
    <t>BHARANY, NEERAJ</t>
  </si>
  <si>
    <t>OSWAKS, ROY</t>
  </si>
  <si>
    <t>MYERS, GARY</t>
  </si>
  <si>
    <t>GARNER, HERSHEL</t>
  </si>
  <si>
    <t>VERRIER, CARMEL</t>
  </si>
  <si>
    <t>MERCHANT, THOMAS</t>
  </si>
  <si>
    <t>TIAN, GANG</t>
  </si>
  <si>
    <t>KHATTAK, AMNA</t>
  </si>
  <si>
    <t>KOTICHA, KIRTAN</t>
  </si>
  <si>
    <t>GAST, KRISTIE</t>
  </si>
  <si>
    <t>OBAJI, SUHAIL</t>
  </si>
  <si>
    <t>BRAUTNICK, LYNSAY</t>
  </si>
  <si>
    <t>SCHULZ, THOMAS</t>
  </si>
  <si>
    <t>SCHAEFER, ERIC</t>
  </si>
  <si>
    <t>MULLINS, BRENT</t>
  </si>
  <si>
    <t>BECK, JOSEPH</t>
  </si>
  <si>
    <t>ZANGARI, MAURIZIO</t>
  </si>
  <si>
    <t>CHU, QUYEN</t>
  </si>
  <si>
    <t>WOO, VAN</t>
  </si>
  <si>
    <t>STOREY, MARK</t>
  </si>
  <si>
    <t>FLECK, REBECCA</t>
  </si>
  <si>
    <t>DILL, DREW</t>
  </si>
  <si>
    <t>BONIOL, STEVEN</t>
  </si>
  <si>
    <t>MARTIN, MICHAEL</t>
  </si>
  <si>
    <t>THROCKMORTON, ALYSSA</t>
  </si>
  <si>
    <t>MORGAN, CHARLES</t>
  </si>
  <si>
    <t>PATEL, SUNIL</t>
  </si>
  <si>
    <t>PATEL, KAMAL</t>
  </si>
  <si>
    <t>FLIPPIN, TONY</t>
  </si>
  <si>
    <t>SROUFE, RAMESES</t>
  </si>
  <si>
    <t>DICKSON, PAXTON</t>
  </si>
  <si>
    <t>JAUSS, KEWEN</t>
  </si>
  <si>
    <t>RAZA, MUHAMMAD</t>
  </si>
  <si>
    <t>WILDER, DIANE</t>
  </si>
  <si>
    <t>SANDLUND, JOHN</t>
  </si>
  <si>
    <t>KOTA, MANJUSHA</t>
  </si>
  <si>
    <t>RATLIFF, THOMAS</t>
  </si>
  <si>
    <t>ABDEL-KARIM, ISAM</t>
  </si>
  <si>
    <t>DUGDALE, MARION</t>
  </si>
  <si>
    <t>POPE, CHRISTOPHER</t>
  </si>
  <si>
    <t>JOHNSON, LIZA-MARIE</t>
  </si>
  <si>
    <t>LYNCH, JOHN</t>
  </si>
  <si>
    <t>KHALIL, MAZEN</t>
  </si>
  <si>
    <t>ALLEN, JAMES</t>
  </si>
  <si>
    <t>BESH, STEPHEN</t>
  </si>
  <si>
    <t>HUTCHINS, LAURA</t>
  </si>
  <si>
    <t>PENAGARICANO, JOSE</t>
  </si>
  <si>
    <t>PHOTOPULOS, GUY</t>
  </si>
  <si>
    <t>SPIERS, KATHLEEN</t>
  </si>
  <si>
    <t>SASAPU, APPALANAIDU</t>
  </si>
  <si>
    <t>PARAMANATHAN, KAVITHA</t>
  </si>
  <si>
    <t>WHITE, RICHARD</t>
  </si>
  <si>
    <t>NIXON, DAVID</t>
  </si>
  <si>
    <t>SHIBATA, DAVID</t>
  </si>
  <si>
    <t>HATLEY, MARK</t>
  </si>
  <si>
    <t>CANCER CARE SPECIALISTS P A</t>
  </si>
  <si>
    <t>HAMEED, SHAHID</t>
  </si>
  <si>
    <t>SANTOSO, JOSEPH</t>
  </si>
  <si>
    <t>CHESNEY, CAROLYN</t>
  </si>
  <si>
    <t>TILLMANNS, TODD</t>
  </si>
  <si>
    <t>MARABOYINA, SANJAY</t>
  </si>
  <si>
    <t>VIDAL, GREGORY</t>
  </si>
  <si>
    <t>WANG, JACK</t>
  </si>
  <si>
    <t>ROBERTSON, WILLIAM</t>
  </si>
  <si>
    <t>RICHEY, SYLVIA</t>
  </si>
  <si>
    <t>PETERS, RAY</t>
  </si>
  <si>
    <t>PRUITT, DAVID</t>
  </si>
  <si>
    <t>BAKER, JUSTIN</t>
  </si>
  <si>
    <t>WHEELER, BENTON</t>
  </si>
  <si>
    <t>MASOOD, ASIF</t>
  </si>
  <si>
    <t>DIVERS, STEPHEN</t>
  </si>
  <si>
    <t>ATIQ, OMAR</t>
  </si>
  <si>
    <t>GRAVENOR, DONALD</t>
  </si>
  <si>
    <t>MASSINGILL, ROBERT</t>
  </si>
  <si>
    <t>SNEAD, CHRISTOPHER</t>
  </si>
  <si>
    <t>UNIVERSITY OF ARKANSAS FOR MEDICAL SCIENCES</t>
  </si>
  <si>
    <t>ROSS, JOSEPH</t>
  </si>
  <si>
    <t>ARZOUMANIAN, VARANT</t>
  </si>
  <si>
    <t>BENN, SONIA</t>
  </si>
  <si>
    <t>EICHLER, EDWARD</t>
  </si>
  <si>
    <t>YAN, BENJAMIN</t>
  </si>
  <si>
    <t>SCROGGIN, CARROLL</t>
  </si>
  <si>
    <t>GRIFFITH, KEAN</t>
  </si>
  <si>
    <t>ROSEN, LANE</t>
  </si>
  <si>
    <t>PEACOCK, LOVERD</t>
  </si>
  <si>
    <t>OSAROGIAGBON, RAYMOND</t>
  </si>
  <si>
    <t>GOVINDARAJAN, RANGASWAMY</t>
  </si>
  <si>
    <t>MULDOON, ROBERT</t>
  </si>
  <si>
    <t>REISS, ULRIKE</t>
  </si>
  <si>
    <t>SAMMAN, ZAKI</t>
  </si>
  <si>
    <t>MORRIS, HOWARD</t>
  </si>
  <si>
    <t>SAYLORS, ROBERT</t>
  </si>
  <si>
    <t>SOMER, BRADLEY</t>
  </si>
  <si>
    <t>SULLIVAN, DAVID</t>
  </si>
  <si>
    <t>DRAGOSLJVICH, MITTIE</t>
  </si>
  <si>
    <t>WEIR, ALVA</t>
  </si>
  <si>
    <t>CROSS, MICHAEL</t>
  </si>
  <si>
    <t>HUDSON, MELISSA</t>
  </si>
  <si>
    <t>CLEVELAND, LYNN</t>
  </si>
  <si>
    <t>MEHTA, PAULETTE</t>
  </si>
  <si>
    <t>MARTIN-DUNLAP, TONYA</t>
  </si>
  <si>
    <t>CHAN, ROSCOE</t>
  </si>
  <si>
    <t>WANG, WINFRED</t>
  </si>
  <si>
    <t>GENTRY, RHONDA</t>
  </si>
  <si>
    <t>QADDOUMI, IBRAHIM</t>
  </si>
  <si>
    <t>RODRIGUEZ-GALINDO, CARLOS</t>
  </si>
  <si>
    <t>PAYNE, CHERYL</t>
  </si>
  <si>
    <t>GLASS, JONATHAN</t>
  </si>
  <si>
    <t>HAYEK, MAROUN</t>
  </si>
  <si>
    <t>CROSS, BRUCE</t>
  </si>
  <si>
    <t>AZMI, SYED</t>
  </si>
  <si>
    <t>ROSS, CHRISTOPHER</t>
  </si>
  <si>
    <t>CHEN, LINGYI</t>
  </si>
  <si>
    <t>ROBERGE, DAVID</t>
  </si>
  <si>
    <t>PANDEY, MANJARI</t>
  </si>
  <si>
    <t>BARRETO ANDRADE, JUAN</t>
  </si>
  <si>
    <t>KUMAR, SANJEEV</t>
  </si>
  <si>
    <t>PUI, CHING-HON</t>
  </si>
  <si>
    <t>TRIPLETT, JEFFREY</t>
  </si>
  <si>
    <t>SCHINKE, CAROLINA</t>
  </si>
  <si>
    <t>BECK, J</t>
  </si>
  <si>
    <t>STINE, KIMO</t>
  </si>
  <si>
    <t>KRASIN, MATTHEW</t>
  </si>
  <si>
    <t>SULTANI, MTANIUS</t>
  </si>
  <si>
    <t>VAN RHEE, FRITS</t>
  </si>
  <si>
    <t>WALSH, WILLIAM</t>
  </si>
  <si>
    <t>TRAN, HAI</t>
  </si>
  <si>
    <t>Access to Skilled Nursing Facilities</t>
  </si>
  <si>
    <t>SHILOH NURSING AND REHAB, LLC</t>
  </si>
  <si>
    <t>AMERIS OF OSCEOLA,LLC</t>
  </si>
  <si>
    <t>NORTHPORT HEALTH SERVICES OF ARKANSAS, LLC</t>
  </si>
  <si>
    <t>OAK MANOR NURSING AND REHABILITATION CENTER INC</t>
  </si>
  <si>
    <t>BROOKSIDE HEALTHCARE &amp; REHAB, LLC</t>
  </si>
  <si>
    <t>LEXINGTON PLACE HEALTHCARE AND REHABILITATION,LLC</t>
  </si>
  <si>
    <t>DIVERSICARE LEASING CORP.</t>
  </si>
  <si>
    <t>CRONE HEALTH CARE, INC.</t>
  </si>
  <si>
    <t>HEATHER MANOR CARE CENTER INC</t>
  </si>
  <si>
    <t>COMMUNITY CARE CENTER OF GAINESVILLE, INC</t>
  </si>
  <si>
    <t>INNISFREE HEALTH AND REHAB, LLC</t>
  </si>
  <si>
    <t>SALEM PLACE NURSING AND REHABILITATION CENTER INC</t>
  </si>
  <si>
    <t>WALDRON NURSING CENTER,INC.</t>
  </si>
  <si>
    <t>OLOTOR LLC</t>
  </si>
  <si>
    <t>MALVERN OPERATIONS, LLC</t>
  </si>
  <si>
    <t>MORRILTON HEALTHCARE CENTER, LLC</t>
  </si>
  <si>
    <t>PINNACLE HEALTH FACILITIES XXVII LP</t>
  </si>
  <si>
    <t>MID-DELTA PROPERTIES LLC</t>
  </si>
  <si>
    <t>STELLA MANOR CARE CENTER INC</t>
  </si>
  <si>
    <t>MEMPHIS OPCO, LLC</t>
  </si>
  <si>
    <t>JONESBORO HEALTHCARE CENTER, LLC</t>
  </si>
  <si>
    <t>COVINGTON HEALTH CARE AND REHABILITATION INC</t>
  </si>
  <si>
    <t>WHITE HALL HEALTH &amp; REHAB, LLC</t>
  </si>
  <si>
    <t>JONESBORO HEALTH AND REHAB, LLC</t>
  </si>
  <si>
    <t>N &amp; R OF KIMBERLING CITY LLC</t>
  </si>
  <si>
    <t>CHENAL HEIGHTS HEALTHCARE &amp; REHAB, LLC</t>
  </si>
  <si>
    <t>SHELBY HEALTH SERVICES, LLC</t>
  </si>
  <si>
    <t>PARK HERITAGE NURSING, LLC</t>
  </si>
  <si>
    <t>HIGHLANDS OF MCGEHEE, LLC</t>
  </si>
  <si>
    <t>SENATH NURSING AND REHABILITATION, LLC</t>
  </si>
  <si>
    <t>SOUTHERN HILLS LLC</t>
  </si>
  <si>
    <t>MAGNOLIA REGIONAL MEDICAL CENTER</t>
  </si>
  <si>
    <t>WYNNE HEALTHCARE CENTER, LLC</t>
  </si>
  <si>
    <t>MERCY HOSPITAL BOONEVILLE</t>
  </si>
  <si>
    <t>APH&amp;R NURSING LLC</t>
  </si>
  <si>
    <t>WILLOW HEALTH CARE INC</t>
  </si>
  <si>
    <t>MSHC THE WATERTON AT COWHORN CREEK, LLC</t>
  </si>
  <si>
    <t>MAGNOLIA HEALTH AND REHAB, LLC</t>
  </si>
  <si>
    <t>QUAPAW CARE AND REHABILITATION CENTER LLC</t>
  </si>
  <si>
    <t>TOWN &amp; COUNTRY NURSING CENTER,LLC</t>
  </si>
  <si>
    <t>CRESTPARK HELENA, LLC</t>
  </si>
  <si>
    <t>PRAIRIE OPERATIONS, LLC</t>
  </si>
  <si>
    <t>POLK OPERATIONS, LLC</t>
  </si>
  <si>
    <t>HIGHLANDS OF NORTH LITTLE ROCK JOHN ASHLEY, LLC</t>
  </si>
  <si>
    <t>BATESVILLE HEALTHCARE CENTER, LLC</t>
  </si>
  <si>
    <t>OZARK NURSING HOME, INC.</t>
  </si>
  <si>
    <t>FAULKNER OPERATIONS, LLC</t>
  </si>
  <si>
    <t>NATIONAL HEALTHCARE OF NEWPORT INC</t>
  </si>
  <si>
    <t>NHC HEALTHCARE-WEST PLAINS LLC</t>
  </si>
  <si>
    <t>HUGHES SPRINGS LTC PARTNERS, INC</t>
  </si>
  <si>
    <t>COURTYARD REHABILITATION AND HEALTH</t>
  </si>
  <si>
    <t>CONCORDIA HEALTH AND REHAB, LLC</t>
  </si>
  <si>
    <t>NEXION HEALTH AT VIVIAN, INC.</t>
  </si>
  <si>
    <t>SHERWOOD NURSING &amp; REHABILITATION CENTER INC</t>
  </si>
  <si>
    <t>CLC OF RIPLEY, LLC</t>
  </si>
  <si>
    <t>MADISON HEALTH &amp; REHAB LLC</t>
  </si>
  <si>
    <t>WOODLAND HILLS HC NURSING LLC</t>
  </si>
  <si>
    <t>SHARP OPERATIONS, LLC</t>
  </si>
  <si>
    <t>TWIN RIVERS HEALTH AND REHAB LLC</t>
  </si>
  <si>
    <t>REGIONAL CARE OF JACKSONVILLE, LLC</t>
  </si>
  <si>
    <t>GGNSC ARKADELPHIA LLC</t>
  </si>
  <si>
    <t>SUMMIT HEALTH &amp; REHABILITATION, LLC</t>
  </si>
  <si>
    <t>GREYSTONE NURSING AND REHAB, LLC</t>
  </si>
  <si>
    <t>HOMESTEAD NURSING, LLC</t>
  </si>
  <si>
    <t>PERRY COUNTY CARE CENTER INC</t>
  </si>
  <si>
    <t>GGNSC HOT SPRINGS LLC</t>
  </si>
  <si>
    <t>QUAIL RIDGE LIVING CENTER INC</t>
  </si>
  <si>
    <t>BATESVILLE HEALTH AND REHAB, LLC</t>
  </si>
  <si>
    <t>NEXION HEALTH AT PIERREMONT, INC.</t>
  </si>
  <si>
    <t>BENTON HEALTHCARE CENTER, LLC</t>
  </si>
  <si>
    <t>CRESTPARK FORREST CITY, LLC</t>
  </si>
  <si>
    <t>VANGUARD OF MEMPHIS, LLC</t>
  </si>
  <si>
    <t>ALMA HEALTHCARE AND REHABILITATION CENTER, LLC.</t>
  </si>
  <si>
    <t>GYMAN LLC</t>
  </si>
  <si>
    <t>AMERICAN LEGACY PROPERTIES LLC</t>
  </si>
  <si>
    <t>GOLDEN VILLA HEALTHCARE LLC</t>
  </si>
  <si>
    <t>WHITE RIVER HEALTH SYSTEM, INC.</t>
  </si>
  <si>
    <t>GGNSC MCGEHEE LLC</t>
  </si>
  <si>
    <t>GARDEN COURT HEALTHCARE LLC</t>
  </si>
  <si>
    <t>LITTLE ROCK HC&amp;R NURSING LLC</t>
  </si>
  <si>
    <t>DEERVIEW</t>
  </si>
  <si>
    <t>GGNSC NORTH LITTLE ROCK LLC</t>
  </si>
  <si>
    <t>LONOKE HEALTHCARE &amp; REHAB, LLC</t>
  </si>
  <si>
    <t>HIGHLANDS OF ROGERS, LLC</t>
  </si>
  <si>
    <t>MONTGOMERY COUNTY NURSING HOME</t>
  </si>
  <si>
    <t>MERCY HOSPITAL BERRYVILLE</t>
  </si>
  <si>
    <t>BRADFORD HOUSE NURSING AND REHAB, LLC</t>
  </si>
  <si>
    <t>HSNC INC</t>
  </si>
  <si>
    <t>BAPTIST MEMORIAL HOSPITAL</t>
  </si>
  <si>
    <t>DESOTO HEALTHCARE INC</t>
  </si>
  <si>
    <t>GREENBRIER CARE CENTER INC</t>
  </si>
  <si>
    <t>CRESTPARK STUTTGART, LLC</t>
  </si>
  <si>
    <t>MOUNTAIN VIEW NURSING LLC</t>
  </si>
  <si>
    <t>RANDOLPH OPERATIONS, LLC</t>
  </si>
  <si>
    <t>CAMDEN OPERATIONS, LLC</t>
  </si>
  <si>
    <t>CHENAL HEALTHCARE LLC</t>
  </si>
  <si>
    <t>CLC OF DYERSBURG, LLC</t>
  </si>
  <si>
    <t>CRESTPARK WYNNE, LLC</t>
  </si>
  <si>
    <t>FORSYTH MANOR, INC.</t>
  </si>
  <si>
    <t>CRESTPARK DEWITT, LLC</t>
  </si>
  <si>
    <t>GVNC, INC.</t>
  </si>
  <si>
    <t>RUSSELLVILLE HOLDINGS LLC</t>
  </si>
  <si>
    <t>MERCY HOSPITAL PARIS</t>
  </si>
  <si>
    <t>GGNSC CROSSETT LLC</t>
  </si>
  <si>
    <t>HIGHLANDS OF MEMPHIS, LLC</t>
  </si>
  <si>
    <t>MS GREENBOUGH LLC</t>
  </si>
  <si>
    <t>N &amp; R OF HOLLISTER, LLC</t>
  </si>
  <si>
    <t>TRINITY VILLAGE, INC.</t>
  </si>
  <si>
    <t>NORTHRIDGE HC&amp;R NURSING LLC</t>
  </si>
  <si>
    <t>GLENWOOD HEALTH AND REHABILITATION LLC</t>
  </si>
  <si>
    <t>MALCBNDR581, LLC</t>
  </si>
  <si>
    <t>PLEASANT MANOR NURSING HOME LLC</t>
  </si>
  <si>
    <t>LEGACY HEIGHTS NURSING AND REHAB, LLC</t>
  </si>
  <si>
    <t>VALLEY RIVER NURSING, LLC</t>
  </si>
  <si>
    <t>BENTON NURSING, LLC</t>
  </si>
  <si>
    <t>HIGHLANDS OF LITTLE ROCK WEST MARKHAM, LLC</t>
  </si>
  <si>
    <t>SHREVEPORT SCC LLC</t>
  </si>
  <si>
    <t>NORTHCARE LLC</t>
  </si>
  <si>
    <t>DARDANELLE NURSING AND REHABILITATION CENTER INC</t>
  </si>
  <si>
    <t>BEVERLY ENTERPRISES - ARKANSAS, INC.</t>
  </si>
  <si>
    <t>CORDOVA HEALTHCARE, LLC</t>
  </si>
  <si>
    <t>HOT SPRINGS NATIONAL PARK HOSPITAL HOLDINGS LLC</t>
  </si>
  <si>
    <t>BOSSIER HEALTHCARE LLC</t>
  </si>
  <si>
    <t>LINDLEY HEALTH &amp; REHAB CENTER LLC</t>
  </si>
  <si>
    <t>PINE HILLS HEALTH AND REHABILITATION, LLC</t>
  </si>
  <si>
    <t>HIGHLANDS OF LITTLE ROCK RILEY, LLC</t>
  </si>
  <si>
    <t>COUNTRY CLUB GARDENS, LLC</t>
  </si>
  <si>
    <t>GARLAND OPERATIONS, LLC</t>
  </si>
  <si>
    <t>COLONIAL SCC LLC</t>
  </si>
  <si>
    <t>CRESTPARK RETIREMENT HELENA, LLC</t>
  </si>
  <si>
    <t>MONETT HEALTH CARE LLC</t>
  </si>
  <si>
    <t>HIGHLANDS HEALTH, LLC.</t>
  </si>
  <si>
    <t>BRIARWOOD NURSING AND REHABILITATION CENTER INC</t>
  </si>
  <si>
    <t>ATKINS CARE CENTER INC</t>
  </si>
  <si>
    <t>MONTICELLO HEALTHCARE CENTER, LLC</t>
  </si>
  <si>
    <t>PHBC, LLC</t>
  </si>
  <si>
    <t>JEFFERSON HOSPITAL ASSOCIATION INC</t>
  </si>
  <si>
    <t>PHILLIPS HOSPITAL CORPORATION</t>
  </si>
  <si>
    <t>MERCY HOSPITAL OZARK</t>
  </si>
  <si>
    <t>VIRGINIA HALL NURSING HOME</t>
  </si>
  <si>
    <t>NEXION HEALTH AT CLAIBORNE, INC.</t>
  </si>
  <si>
    <t>NHC HEALTHCARE-KENNETT LLC</t>
  </si>
  <si>
    <t>ARKANSAS ELDER OUTREACH OF LITTLE ROCK, INC.</t>
  </si>
  <si>
    <t>BVNC INC</t>
  </si>
  <si>
    <t>HIGHLANDS OF VAN BUREN, LLC</t>
  </si>
  <si>
    <t>POPLAR BLUFF NO 1 INC</t>
  </si>
  <si>
    <t>ASHLEY HEALTH, LLC</t>
  </si>
  <si>
    <t>LP MEMPHIS V, LLC</t>
  </si>
  <si>
    <t>HERITAGE MANOR WEST LLC</t>
  </si>
  <si>
    <t>MID-SOUTH HEALTH SERVICES, LLC</t>
  </si>
  <si>
    <t>SGOH ACQUISITION INC</t>
  </si>
  <si>
    <t>CHERRY RIDGE SKILLED NURSING FACILITY, LLC</t>
  </si>
  <si>
    <t>MHHNC, INC</t>
  </si>
  <si>
    <t>ASHTON PLACE HEALTH AND REHAB, LLC</t>
  </si>
  <si>
    <t>HIGHLANDS OF STAMPS, LLC</t>
  </si>
  <si>
    <t>NWA NURSING CENTER, LLC</t>
  </si>
  <si>
    <t>AUTUMN HILL, INC.</t>
  </si>
  <si>
    <t>ROBINSON NURSING AND REHABILITATION CENTER LLC</t>
  </si>
  <si>
    <t>CAVE CITY NURSING HOME, INC</t>
  </si>
  <si>
    <t>ACC 1, LLC</t>
  </si>
  <si>
    <t>WHITE HALL NURSING AND REHABILITATION CENTER LLC</t>
  </si>
  <si>
    <t>CHICOT MEMORIAL MEDICAL CENTER</t>
  </si>
  <si>
    <t>DESOTO COMMUNITY CARE CENTER LLC</t>
  </si>
  <si>
    <t>LP MEMPHIS LLC</t>
  </si>
  <si>
    <t>FULTON COUNTY HOSPITAL</t>
  </si>
  <si>
    <t>CLAIBORNE MANOR NURSING HOME, LLC</t>
  </si>
  <si>
    <t>NORTHWEST HEALTH AND REHAB, INC.</t>
  </si>
  <si>
    <t>BOSSIER SCC LLC</t>
  </si>
  <si>
    <t>STONEGATE VILLA HEALTH AND REHABILITATION LLC</t>
  </si>
  <si>
    <t>MCGEHEE HOSPITAL INCORPORATED</t>
  </si>
  <si>
    <t>SPRINGLAKE SCC LLC</t>
  </si>
  <si>
    <t>BOOKER SCC LLC</t>
  </si>
  <si>
    <t>RUSSELLVILLE CARE CENTER INC</t>
  </si>
  <si>
    <t>JAMESTOWN NURSING AND REHAB, LLC</t>
  </si>
  <si>
    <t>HIGHLANDS OF HEBER SPRINGS, LLC</t>
  </si>
  <si>
    <t>LP MEMPHIS II, LLC</t>
  </si>
  <si>
    <t>RIVERVIEW CARE CENTER, LLC</t>
  </si>
  <si>
    <t>HIGHLANDS OF HARRISON ORENDORF, LLC</t>
  </si>
  <si>
    <t>BRADFORD SCC LLC</t>
  </si>
  <si>
    <t>SEARCY HEALTHCARE CENTER, LLC</t>
  </si>
  <si>
    <t>POINTER TRAIL HEALTH AND REHABILITATION, LLC</t>
  </si>
  <si>
    <t>MS SHELBY, LLC</t>
  </si>
  <si>
    <t>IRVING PLACE ASSOCIATES, L.P.</t>
  </si>
  <si>
    <t>MEADOWVIEW HEALTHCARE AND REHAB</t>
  </si>
  <si>
    <t>MERCY HOSPITAL WALDRON</t>
  </si>
  <si>
    <t>VICTORIA HEALTHCARE PROPERTIES LLC</t>
  </si>
  <si>
    <t>DIVERSICARE PINEDALE, LLC</t>
  </si>
  <si>
    <t>STILWELL NURSING HOME LLC</t>
  </si>
  <si>
    <t>MMNC INC</t>
  </si>
  <si>
    <t>HIGHLANDS OF LITTLE ROCK SOUTH CUMBERLAND, LLC</t>
  </si>
  <si>
    <t>CPLACE OF SPRINGHILL SNF, LLC</t>
  </si>
  <si>
    <t>NEXION HEALTH AT NEW BOSTON, INC.</t>
  </si>
  <si>
    <t>CABOT HEALTH AND REHAB, LLC</t>
  </si>
  <si>
    <t>NORMANDIE SCC LLC</t>
  </si>
  <si>
    <t>HIGHLANDS OF MOUNTAIN VIEW SNF, LLC</t>
  </si>
  <si>
    <t>THAYER NO 1 INC</t>
  </si>
  <si>
    <t>HERITAGE GARDENS OF SENATH, LLC</t>
  </si>
  <si>
    <t>NEXION HEALTH AT MINDEN INC</t>
  </si>
  <si>
    <t>STEELE NO 1 INC</t>
  </si>
  <si>
    <t>OZARK HEALTH, INC</t>
  </si>
  <si>
    <t>Access to Cardiologists</t>
  </si>
  <si>
    <t>HARRISON, LONNIE</t>
  </si>
  <si>
    <t>JONES, KEVIN</t>
  </si>
  <si>
    <t>FORNEY, JOSEPH</t>
  </si>
  <si>
    <t>SPIOTTA, LARRY</t>
  </si>
  <si>
    <t>WALLER, BENJAMIN</t>
  </si>
  <si>
    <t>SHUFFIELD, JAMES</t>
  </si>
  <si>
    <t>CHURCHILL, DAVID</t>
  </si>
  <si>
    <t>WETZEL, GLENN</t>
  </si>
  <si>
    <t>BLACK, DOUGLAS</t>
  </si>
  <si>
    <t>WATSON, ANDREW</t>
  </si>
  <si>
    <t>WARR, OTIS</t>
  </si>
  <si>
    <t>HILL, ROGER</t>
  </si>
  <si>
    <t>BALLWEG, JEAN</t>
  </si>
  <si>
    <t>PARRIS, ROBERT</t>
  </si>
  <si>
    <t>NELSON, MICHAEL</t>
  </si>
  <si>
    <t>STEWART, JEFFREY</t>
  </si>
  <si>
    <t>REDDY, HANUMANTH</t>
  </si>
  <si>
    <t>FISH, TED</t>
  </si>
  <si>
    <t>NEUHAUSER, JEFFREY</t>
  </si>
  <si>
    <t>CONLEY, THOMAS</t>
  </si>
  <si>
    <t>WIGGINS, SHERMAN</t>
  </si>
  <si>
    <t>STOUT, JEFFREY</t>
  </si>
  <si>
    <t>DAILY, JOSHUA</t>
  </si>
  <si>
    <t>BLUM, STUART</t>
  </si>
  <si>
    <t>HACIOGLU, YALCIN</t>
  </si>
  <si>
    <t>PAULUS, BASIL</t>
  </si>
  <si>
    <t>MAY, JUSTIN</t>
  </si>
  <si>
    <t>FLETCHER, ANTHONY</t>
  </si>
  <si>
    <t>STAMPER, JAMES</t>
  </si>
  <si>
    <t>BOWEN, TIMOTHY</t>
  </si>
  <si>
    <t>KRAUSE, ALBERT</t>
  </si>
  <si>
    <t>SEIB, PAUL</t>
  </si>
  <si>
    <t>CHAKKA, MANGARAJU</t>
  </si>
  <si>
    <t>IGBOKIDI, OYIDIE</t>
  </si>
  <si>
    <t>BORNEMEIER, RENEE</t>
  </si>
  <si>
    <t>KELLEY, MORRIS</t>
  </si>
  <si>
    <t>WOLFORD, DAVID</t>
  </si>
  <si>
    <t>HATCH, ALLAN</t>
  </si>
  <si>
    <t>VIJITBENJARONK, PRASERT</t>
  </si>
  <si>
    <t>ADJEI, ABDUL-NASSER</t>
  </si>
  <si>
    <t>ST. JOHN, GREGORY</t>
  </si>
  <si>
    <t>CHAPMAN, JAMES</t>
  </si>
  <si>
    <t>BISSETT, JOSEPH</t>
  </si>
  <si>
    <t>RUDORFER, BENNETT</t>
  </si>
  <si>
    <t>KELLEY, MOSES</t>
  </si>
  <si>
    <t>HACKMAN, BELA</t>
  </si>
  <si>
    <t>LOYO-MOLINA, JOSE</t>
  </si>
  <si>
    <t>EVANS, DAVID</t>
  </si>
  <si>
    <t>DAVIS, LEE</t>
  </si>
  <si>
    <t>EL-SHAFEI, AMR</t>
  </si>
  <si>
    <t>REEF, ELLIS</t>
  </si>
  <si>
    <t>REINSVOLD, THOMAS</t>
  </si>
  <si>
    <t>KERLAN, JEFFREY</t>
  </si>
  <si>
    <t>HAUSTEIN, MATTHEW</t>
  </si>
  <si>
    <t>MORTOTI, SAMUEL SELASIE</t>
  </si>
  <si>
    <t>CROWE, KEVIN</t>
  </si>
  <si>
    <t>FILECCIA, RUSSELL</t>
  </si>
  <si>
    <t>SOLIMAN, SOLIMAN</t>
  </si>
  <si>
    <t>PRUITT, JAMON</t>
  </si>
  <si>
    <t>SIMMONS, DAVID</t>
  </si>
  <si>
    <t>GOOSZEN, MICHAEL</t>
  </si>
  <si>
    <t>LINDEMANN, JON</t>
  </si>
  <si>
    <t>PRODHAN, PARTHAK</t>
  </si>
  <si>
    <t>ABDULLAH, JAVED</t>
  </si>
  <si>
    <t>GARDNER, JOHN</t>
  </si>
  <si>
    <t>STRAYHORN, JOHN</t>
  </si>
  <si>
    <t>GARCIA CASAL, XIOMARA</t>
  </si>
  <si>
    <t>FRAZIER, ELIZABETH</t>
  </si>
  <si>
    <t>INFELD, JASON</t>
  </si>
  <si>
    <t>WILLIAMS, CHARLES</t>
  </si>
  <si>
    <t>MARSH, JAMES</t>
  </si>
  <si>
    <t>PAI, BALAKRISHNA</t>
  </si>
  <si>
    <t>CHHABRA, ANIL</t>
  </si>
  <si>
    <t>MASTER, HERBERT</t>
  </si>
  <si>
    <t>KRAUS, DAVID</t>
  </si>
  <si>
    <t>SCOTT, LENSEY</t>
  </si>
  <si>
    <t>MEHTA, JAWAHAR</t>
  </si>
  <si>
    <t>KAMALOV, GERMAN</t>
  </si>
  <si>
    <t>GAMMILL, TODD</t>
  </si>
  <si>
    <t>HICKS, DAVID</t>
  </si>
  <si>
    <t>HUGHES, BRADLEY</t>
  </si>
  <si>
    <t>MEGO, DAVID</t>
  </si>
  <si>
    <t>PANDIT, SUDHIR</t>
  </si>
  <si>
    <t>MAHMOOD, SADEEM</t>
  </si>
  <si>
    <t>WALTON, MICHAEL</t>
  </si>
  <si>
    <t>REDDY, PRATAP</t>
  </si>
  <si>
    <t>MEHL, JOHN</t>
  </si>
  <si>
    <t>KHOUZAM, RAMI</t>
  </si>
  <si>
    <t>ANGTUACO, MICHAEL</t>
  </si>
  <si>
    <t>DANZELL, JEROME</t>
  </si>
  <si>
    <t>KANTOLA, RONALD</t>
  </si>
  <si>
    <t>DAS, DEBASIS</t>
  </si>
  <si>
    <t>RAMACHANDRAN, POONGODHAI</t>
  </si>
  <si>
    <t>COLLERAN, JOHN</t>
  </si>
  <si>
    <t>SHIRWANY, ARSALAN</t>
  </si>
  <si>
    <t>IBEBUOGU, UZOMA</t>
  </si>
  <si>
    <t>RAJA, VIJAY</t>
  </si>
  <si>
    <t>HESS, PAUL</t>
  </si>
  <si>
    <t>DURHAM, KATHERINE</t>
  </si>
  <si>
    <t>HARGROVE, JOE</t>
  </si>
  <si>
    <t>HABASHY, HANY</t>
  </si>
  <si>
    <t>MOSS, MARIE</t>
  </si>
  <si>
    <t>STARNES, HARRISON</t>
  </si>
  <si>
    <t>ALLEN, RAY</t>
  </si>
  <si>
    <t>BAUCUM, RALPH</t>
  </si>
  <si>
    <t>ALSHAMI, AYMAN</t>
  </si>
  <si>
    <t>WALLACE, THOMAS</t>
  </si>
  <si>
    <t>VANGROUW, RICHARD</t>
  </si>
  <si>
    <t>ZOGHBI, GILBERT</t>
  </si>
  <si>
    <t>URETSKY, BARRY</t>
  </si>
  <si>
    <t>SAPORITO, JOSEPH</t>
  </si>
  <si>
    <t>STUPPY, ROBERT</t>
  </si>
  <si>
    <t>LEE, ALLEN</t>
  </si>
  <si>
    <t>HOPKINS, JACK</t>
  </si>
  <si>
    <t>MANSOUR, MICHAEL</t>
  </si>
  <si>
    <t>RAMANATHAN, KODANGUDI</t>
  </si>
  <si>
    <t>BORKOWSKI, BRIAN</t>
  </si>
  <si>
    <t>COHEN, AVRAHM</t>
  </si>
  <si>
    <t>BOLIN, ELIJAH</t>
  </si>
  <si>
    <t>SZATKOWSKI, ARIE</t>
  </si>
  <si>
    <t>HAYES, KEVIN</t>
  </si>
  <si>
    <t>ROLLEFSON, WILLIAM</t>
  </si>
  <si>
    <t>ONUORA, AFAMEFUNA</t>
  </si>
  <si>
    <t>CHISM, BRANDON</t>
  </si>
  <si>
    <t>RYPKEMA, SCOTT</t>
  </si>
  <si>
    <t>ACHARYA, YUBA</t>
  </si>
  <si>
    <t>KEYLANI, ABDUL</t>
  </si>
  <si>
    <t>FONTENOT, EUDICE</t>
  </si>
  <si>
    <t>YOHANNAN, THOMAS</t>
  </si>
  <si>
    <t>COLE, PAUL</t>
  </si>
  <si>
    <t>STAFFORD, PAUL</t>
  </si>
  <si>
    <t>SAMAHA, JOSEPH</t>
  </si>
  <si>
    <t>GEOGHAGAN, JAY</t>
  </si>
  <si>
    <t>KASABALI, BASEL</t>
  </si>
  <si>
    <t>KHAN, SHAHID</t>
  </si>
  <si>
    <t>BORG, CLAYTON</t>
  </si>
  <si>
    <t>STOYIOGLOU, ATHANASIOS</t>
  </si>
  <si>
    <t>CAWICH, IAN</t>
  </si>
  <si>
    <t>FUTRELL, MICHAEL</t>
  </si>
  <si>
    <t>STITES, KIRK</t>
  </si>
  <si>
    <t>TAUTH, JEFFREY</t>
  </si>
  <si>
    <t>PARKHURST, JAMES</t>
  </si>
  <si>
    <t>GREEN, MICHAEL</t>
  </si>
  <si>
    <t>ARROYO, MAXIMILIANO</t>
  </si>
  <si>
    <t>KLEMIS, JAMES</t>
  </si>
  <si>
    <t>CUI, JIANG</t>
  </si>
  <si>
    <t>NOLEWAJKA, ANDRE</t>
  </si>
  <si>
    <t>TEDDER, BARRY</t>
  </si>
  <si>
    <t>NAIK, RONAK</t>
  </si>
  <si>
    <t>VAN WYHE, GALEN</t>
  </si>
  <si>
    <t>SIDDIQUI, SAYYADUL</t>
  </si>
  <si>
    <t>MORROW, JENNIFER</t>
  </si>
  <si>
    <t>TUMMALA, AJAYA</t>
  </si>
  <si>
    <t>HENRY, D</t>
  </si>
  <si>
    <t>RIBEIRO, PAULO</t>
  </si>
  <si>
    <t>PRAYAGA, VENKATA SUBRAHMANYA</t>
  </si>
  <si>
    <t>BEST, THOMAS</t>
  </si>
  <si>
    <t>TAGUPA, EUMAR</t>
  </si>
  <si>
    <t>ESPINA, DARIO</t>
  </si>
  <si>
    <t>GUBIN, STEVEN</t>
  </si>
  <si>
    <t>FORMES, KEVIN</t>
  </si>
  <si>
    <t>OTTEN, DANIEL</t>
  </si>
  <si>
    <t>NORRIS, L.</t>
  </si>
  <si>
    <t>DAVE, RAJ</t>
  </si>
  <si>
    <t>ASHFORD, MARVIN</t>
  </si>
  <si>
    <t>GUERRA, GUERRUMBERTO</t>
  </si>
  <si>
    <t>SHAIKH, AFTAB</t>
  </si>
  <si>
    <t>DAS, PRANAB</t>
  </si>
  <si>
    <t>AKKUS, NURI</t>
  </si>
  <si>
    <t>NAIR, DEVI</t>
  </si>
  <si>
    <t>MINTON, RANDELL</t>
  </si>
  <si>
    <t>WHITE, ANTHONY</t>
  </si>
  <si>
    <t>GLOVER, FORREST</t>
  </si>
  <si>
    <t>COLLINS, GARY</t>
  </si>
  <si>
    <t>CARVER, JOEL</t>
  </si>
  <si>
    <t>EDAVETTAL, JOHN</t>
  </si>
  <si>
    <t>CAMP, MICHAEL</t>
  </si>
  <si>
    <t>GORDON, RICHARD</t>
  </si>
  <si>
    <t>LYONS, MATTHEW</t>
  </si>
  <si>
    <t>SHERBET, DANIEL</t>
  </si>
  <si>
    <t>ROBINSON, BRENT</t>
  </si>
  <si>
    <t>RICHARDSON, BRENDA</t>
  </si>
  <si>
    <t>KURICHETY, KIRAN</t>
  </si>
  <si>
    <t>BLACKWELL, JEFFRY</t>
  </si>
  <si>
    <t>ANGTUACO, SYLVIA</t>
  </si>
  <si>
    <t>SALAZAR, HOLGER</t>
  </si>
  <si>
    <t>LO, MONICA</t>
  </si>
  <si>
    <t>LAN, DAVID</t>
  </si>
  <si>
    <t>SINGH, IQBAL</t>
  </si>
  <si>
    <t>WONG, WILSON</t>
  </si>
  <si>
    <t>GEORGE, ACHENKUNJU</t>
  </si>
  <si>
    <t>COPPESS, MARK</t>
  </si>
  <si>
    <t>RASOOL, SHUJA</t>
  </si>
  <si>
    <t>MCDONALD, MICHAEL</t>
  </si>
  <si>
    <t>ORSINI, ALEX</t>
  </si>
  <si>
    <t>HUBER, MICHAEL</t>
  </si>
  <si>
    <t>STEWART, DAVID</t>
  </si>
  <si>
    <t>LITZOW, JAMES</t>
  </si>
  <si>
    <t>WILLIS, NICHOLAS</t>
  </si>
  <si>
    <t>JHA, SUNIL</t>
  </si>
  <si>
    <t>SINGH, BALKRISHNA</t>
  </si>
  <si>
    <t>EZELDIN, ABDUL</t>
  </si>
  <si>
    <t>WANG, DAI-YUAN</t>
  </si>
  <si>
    <t>GRIFFIN, DAVID</t>
  </si>
  <si>
    <t>EDWARDS, TODD</t>
  </si>
  <si>
    <t>SANFORD, GARRETT</t>
  </si>
  <si>
    <t>CHRISMAN, FREDDY</t>
  </si>
  <si>
    <t>DEL ROSARIO, MARC</t>
  </si>
  <si>
    <t>DIAZ, CLARO</t>
  </si>
  <si>
    <t>INGELMO, CHRISTOPHER</t>
  </si>
  <si>
    <t>HEARNE, SANDERS</t>
  </si>
  <si>
    <t>KUMPURIS, ANDREW</t>
  </si>
  <si>
    <t>STAMPS, JAMES</t>
  </si>
  <si>
    <t>ALEMPARTE, JOSE</t>
  </si>
  <si>
    <t>DAS, SRIKANT</t>
  </si>
  <si>
    <t>SCHRADER, DANIEL</t>
  </si>
  <si>
    <t>PATEL, DHARMESH</t>
  </si>
  <si>
    <t>CHAVEZ, JAIME</t>
  </si>
  <si>
    <t>MALHOTRA, AMIT</t>
  </si>
  <si>
    <t>ROZEMAN, PHILLIP</t>
  </si>
  <si>
    <t>ELESBER, AHMAD</t>
  </si>
  <si>
    <t>HEINEMANN, FREDERICK</t>
  </si>
  <si>
    <t>BOIKE, DAVID</t>
  </si>
  <si>
    <t>KUYKENDALL, MARGARET</t>
  </si>
  <si>
    <t>SCHWARZ, JULIO</t>
  </si>
  <si>
    <t>DOD, HARVINDER</t>
  </si>
  <si>
    <t>THOMAS, JAMES</t>
  </si>
  <si>
    <t>STEELY, DONALD</t>
  </si>
  <si>
    <t>SHOWS, DONALD</t>
  </si>
  <si>
    <t>VENGALA, SRINIVAS</t>
  </si>
  <si>
    <t>TANDON, NEERAJ</t>
  </si>
  <si>
    <t>CILINGIROGLU, MEHMET</t>
  </si>
  <si>
    <t>AWDEH, MAHIR</t>
  </si>
  <si>
    <t>REVARD, RONALD</t>
  </si>
  <si>
    <t>NORRIS, BRIAN</t>
  </si>
  <si>
    <t>DAVIS, SCOTT</t>
  </si>
  <si>
    <t>KANE, JAMES</t>
  </si>
  <si>
    <t>AKINS, STEVEN</t>
  </si>
  <si>
    <t>LENDEL, VASILI</t>
  </si>
  <si>
    <t>MCGEE, JESSE</t>
  </si>
  <si>
    <t>ST.PIERRE, MARK</t>
  </si>
  <si>
    <t>FLAHERTY, PATRICK</t>
  </si>
  <si>
    <t>BASCO, EDUARDO</t>
  </si>
  <si>
    <t>DOSHI, AMIT</t>
  </si>
  <si>
    <t>ANDERSON, KEITH</t>
  </si>
  <si>
    <t>DALAL, AJAY</t>
  </si>
  <si>
    <t>KENNEDY, ELEANOR</t>
  </si>
  <si>
    <t>WEATHERS, LARRY</t>
  </si>
  <si>
    <t>TODMAN, STEVEN</t>
  </si>
  <si>
    <t>SHAW-DEVINE, ALLISON</t>
  </si>
  <si>
    <t>JORDAN, RANDY</t>
  </si>
  <si>
    <t>BOGOMILOV, BORIS</t>
  </si>
  <si>
    <t>ADDINGTON, MILTON</t>
  </si>
  <si>
    <t>KNECHT, KENNETH</t>
  </si>
  <si>
    <t>JONES, DAVID</t>
  </si>
  <si>
    <t>PAIXAO, ANDRE</t>
  </si>
  <si>
    <t>HAJI, SHOWKAT</t>
  </si>
  <si>
    <t>SHEIKH-KHALIL, MAHMOUD</t>
  </si>
  <si>
    <t>EAVES, WILLIAM</t>
  </si>
  <si>
    <t>CARUSO, LOUIS</t>
  </si>
  <si>
    <t>SIMPSON, CHRISTOPHER</t>
  </si>
  <si>
    <t>GREER, GERALD</t>
  </si>
  <si>
    <t>MURPHY, TENA</t>
  </si>
  <si>
    <t>WHITE, FREDERICK</t>
  </si>
  <si>
    <t>JANJUA, MUHAMMAD</t>
  </si>
  <si>
    <t>AHMED, ZUBAIR</t>
  </si>
  <si>
    <t>KARRI, SOMESWARA</t>
  </si>
  <si>
    <t>ARCOT, KISHORE</t>
  </si>
  <si>
    <t>SHALA, MOHAMED BASHAR</t>
  </si>
  <si>
    <t>ZAFARULLAH, HARIS</t>
  </si>
  <si>
    <t>AL-HINDI, AHMAD</t>
  </si>
  <si>
    <t>SMITH, RAY</t>
  </si>
  <si>
    <t>BEAU, SCOTT</t>
  </si>
  <si>
    <t>BAILEY, WILLIAM</t>
  </si>
  <si>
    <t>DE BRUYN, VAN</t>
  </si>
  <si>
    <t>BLUE, LEON</t>
  </si>
  <si>
    <t>PAYDAK, HAKAN</t>
  </si>
  <si>
    <t>MCKEE, JOHN</t>
  </si>
  <si>
    <t>DUPLANTIS, ALLEN</t>
  </si>
  <si>
    <t>SMITH, EUGENE</t>
  </si>
  <si>
    <t>SMITH, STACY</t>
  </si>
  <si>
    <t>ALSAFWAH, SHADWAN</t>
  </si>
  <si>
    <t>WEATHERS, LANCE</t>
  </si>
  <si>
    <t>HOLLOWAY, JAMES</t>
  </si>
  <si>
    <t>HIMMELSTEIN, STEVAN</t>
  </si>
  <si>
    <t>MORROW, WILLIAM</t>
  </si>
  <si>
    <t>ZAKARIA, DALA</t>
  </si>
  <si>
    <t>SHROFF, RAJESH</t>
  </si>
  <si>
    <t>BLAKNEY, ERIC</t>
  </si>
  <si>
    <t>LEDING, CARL</t>
  </si>
  <si>
    <t>WEINSTEIN, JOSEPH</t>
  </si>
  <si>
    <t>MARKHAM, ROY</t>
  </si>
  <si>
    <t>REED, GUY</t>
  </si>
  <si>
    <t>MCGREW, FRANK</t>
  </si>
  <si>
    <t>PATEL, D</t>
  </si>
  <si>
    <t>THOMAS, DEEPAK</t>
  </si>
  <si>
    <t>VARMA, JAI</t>
  </si>
  <si>
    <t>SMITHERS, MAUREEN</t>
  </si>
  <si>
    <t>AL-HALLAK, AMMAR</t>
  </si>
  <si>
    <t>RILEY, PHILIP</t>
  </si>
  <si>
    <t>BUTLER, MICHAEL</t>
  </si>
  <si>
    <t>MELTON, CHARLES</t>
  </si>
  <si>
    <t>CLOGSTON, CHARLES</t>
  </si>
  <si>
    <t>EBLE, BRIAN</t>
  </si>
  <si>
    <t>ROBINSON, ERIC</t>
  </si>
  <si>
    <t>DHARAMSEY, SHABBIR</t>
  </si>
  <si>
    <t>MIRZA, RUBINA</t>
  </si>
  <si>
    <t>ISAACSON, MICHAEL</t>
  </si>
  <si>
    <t>SENTER, SHAUN</t>
  </si>
  <si>
    <t>SAVU, MIHAELA</t>
  </si>
  <si>
    <t>JOHNSON, JASON</t>
  </si>
  <si>
    <t>FRAM, RICKI</t>
  </si>
  <si>
    <t>Access to OB/GYN</t>
  </si>
  <si>
    <t>DONATO, HEATHER</t>
  </si>
  <si>
    <t>MILLER, KRISTIN</t>
  </si>
  <si>
    <t>MESKO, JOHN</t>
  </si>
  <si>
    <t>WILLIAMS, JASON</t>
  </si>
  <si>
    <t>DEVINE, MARY</t>
  </si>
  <si>
    <t>GREENWELL, THOMAS</t>
  </si>
  <si>
    <t>YOUNG, ROBERT</t>
  </si>
  <si>
    <t>HOLLAND, KEITHA</t>
  </si>
  <si>
    <t>BATRES, FRANCISCO</t>
  </si>
  <si>
    <t>HARGUS, KAREN</t>
  </si>
  <si>
    <t>FINAN, EUGENE</t>
  </si>
  <si>
    <t>WISE, RODNEY</t>
  </si>
  <si>
    <t>TAYLOR, FLOYE</t>
  </si>
  <si>
    <t>MOISE, CLAUDIA</t>
  </si>
  <si>
    <t>ORAEDU, KINGSLEY</t>
  </si>
  <si>
    <t>BARROW, JAMES</t>
  </si>
  <si>
    <t>DAJANI, NAFISA</t>
  </si>
  <si>
    <t>PEREZ, NELSON</t>
  </si>
  <si>
    <t>PIZARRO, ANTONIO</t>
  </si>
  <si>
    <t>JACKSON, PAUL</t>
  </si>
  <si>
    <t>CHAUHAN, HEATHER</t>
  </si>
  <si>
    <t>SMITH, BRITTE</t>
  </si>
  <si>
    <t>MCALISTER, MITCHELL</t>
  </si>
  <si>
    <t>SINGLETON, KENNETH</t>
  </si>
  <si>
    <t>LEVI-D'ANCONA, ROBERTO</t>
  </si>
  <si>
    <t>MOORE, DWIGHT</t>
  </si>
  <si>
    <t>HUGHES, DAWN</t>
  </si>
  <si>
    <t>CESARE, CHARLES</t>
  </si>
  <si>
    <t>RATCLIFF, JOHN</t>
  </si>
  <si>
    <t>BIRCH, CANDY</t>
  </si>
  <si>
    <t>AUSTIN, BECCA</t>
  </si>
  <si>
    <t>HOLLAND, MICHAEL</t>
  </si>
  <si>
    <t>BURLISON, RUSSELL</t>
  </si>
  <si>
    <t>LEFLER, STEPHEN</t>
  </si>
  <si>
    <t>RAINWATER, MELISSA</t>
  </si>
  <si>
    <t>HARAWAY, STUART</t>
  </si>
  <si>
    <t>STRIPLING, MARK</t>
  </si>
  <si>
    <t>TEAL, LINDA</t>
  </si>
  <si>
    <t>BAKA, JOHN</t>
  </si>
  <si>
    <t>ROGERS, ERNICE</t>
  </si>
  <si>
    <t>BARBER, JAMES</t>
  </si>
  <si>
    <t>GLYNNE, ROSE</t>
  </si>
  <si>
    <t>CAROZZA, MICHAEL</t>
  </si>
  <si>
    <t>ST. CLAIR, JOHN</t>
  </si>
  <si>
    <t>WOOD, THOMAS</t>
  </si>
  <si>
    <t>DUNCAN-CODY, BARBARA</t>
  </si>
  <si>
    <t>WHITE, HEATHER</t>
  </si>
  <si>
    <t>PIERSON, SERENA</t>
  </si>
  <si>
    <t>SCHMITZ, LAWRENCE</t>
  </si>
  <si>
    <t>RUSHTON, STEWART</t>
  </si>
  <si>
    <t>YOUNG, ROGER</t>
  </si>
  <si>
    <t>COX, SAM</t>
  </si>
  <si>
    <t>SEYMORE, MELVINIE</t>
  </si>
  <si>
    <t>LEWIS, STEVEN</t>
  </si>
  <si>
    <t>LARGE, ERIN</t>
  </si>
  <si>
    <t>HOMSI, RIAD</t>
  </si>
  <si>
    <t>COOPER, DANIELLE</t>
  </si>
  <si>
    <t>SANDIFER, DARRELL</t>
  </si>
  <si>
    <t>GRUMMER, LISA</t>
  </si>
  <si>
    <t>GREENFIELD, WILLIAM</t>
  </si>
  <si>
    <t>RACHER, MARY</t>
  </si>
  <si>
    <t>MARKS, STEPHEN</t>
  </si>
  <si>
    <t>ELKINS, JOHN</t>
  </si>
  <si>
    <t>COLLINS, LAURA</t>
  </si>
  <si>
    <t>GALDAMEZ, AMY</t>
  </si>
  <si>
    <t>TUCKER, MEGAN</t>
  </si>
  <si>
    <t>SANDERS, CURTIS</t>
  </si>
  <si>
    <t>PICKHARDT, MARK</t>
  </si>
  <si>
    <t>POTTS, MICHAEL</t>
  </si>
  <si>
    <t>MAY, CAROLINE</t>
  </si>
  <si>
    <t>BRUNSON, GAYLON</t>
  </si>
  <si>
    <t>TEJWANI, INDURANI</t>
  </si>
  <si>
    <t>CRENSHAW, THOMAS</t>
  </si>
  <si>
    <t>KUMAR, ALOK</t>
  </si>
  <si>
    <t>MARTIN, BRANDIE</t>
  </si>
  <si>
    <t>WATERFALLEN, JOHN</t>
  </si>
  <si>
    <t>MCDONALD, MARY</t>
  </si>
  <si>
    <t>STUDDARD, JAMES</t>
  </si>
  <si>
    <t>BUTCHER, SHARON</t>
  </si>
  <si>
    <t>ALEXANDER, JAMES</t>
  </si>
  <si>
    <t>SALE, CHARLES</t>
  </si>
  <si>
    <t>LONG, DIANE</t>
  </si>
  <si>
    <t>BRADFORD, THOMAS</t>
  </si>
  <si>
    <t>REED, CHESTON</t>
  </si>
  <si>
    <t>LAWRENCE, DEBRA</t>
  </si>
  <si>
    <t>DEGUEURCE, JAMES</t>
  </si>
  <si>
    <t>ULM, MICHAEL</t>
  </si>
  <si>
    <t>MARCUSSEN, CRYSTAL</t>
  </si>
  <si>
    <t>SMITH, MICHAEL</t>
  </si>
  <si>
    <t>WARD, WHITNEY</t>
  </si>
  <si>
    <t>OLIPHANT, SALLIE</t>
  </si>
  <si>
    <t>MCSPADDEN, FARRAH</t>
  </si>
  <si>
    <t>KURIAN ALAPPAT, REAH MARY</t>
  </si>
  <si>
    <t>FIELDS, LEWIS</t>
  </si>
  <si>
    <t>CURRY, ANGELA</t>
  </si>
  <si>
    <t>RICHE, ANDREW</t>
  </si>
  <si>
    <t>GIVENS, VANESSA</t>
  </si>
  <si>
    <t>FAVA, KIMBERLY</t>
  </si>
  <si>
    <t>TAYLOR, CHRIS</t>
  </si>
  <si>
    <t>WEATHERS, TIFFANY</t>
  </si>
  <si>
    <t>DUNN, CHARLES</t>
  </si>
  <si>
    <t>HANSON, FREDERICK</t>
  </si>
  <si>
    <t>WOOD, GREGORY</t>
  </si>
  <si>
    <t>MUYLAERT, MICHEL</t>
  </si>
  <si>
    <t>BURNETT, ALEXANDER</t>
  </si>
  <si>
    <t>GENEUX, BETH</t>
  </si>
  <si>
    <t>CARDENAS, JAIME</t>
  </si>
  <si>
    <t>REITER, DANIEL</t>
  </si>
  <si>
    <t>SOUDER, MARVA</t>
  </si>
  <si>
    <t>HANNAH, JAMES</t>
  </si>
  <si>
    <t>CALLAWAY, JODY</t>
  </si>
  <si>
    <t>GRAY, THOMAS</t>
  </si>
  <si>
    <t>MICHEL, HARRY</t>
  </si>
  <si>
    <t>SIMHA, SAMUEL</t>
  </si>
  <si>
    <t>SEXTON, MARGARET</t>
  </si>
  <si>
    <t>MASON, KENT</t>
  </si>
  <si>
    <t>CARTER, JOHN</t>
  </si>
  <si>
    <t>MICHAEL, KRISTI</t>
  </si>
  <si>
    <t>PAPPAS, JOHN</t>
  </si>
  <si>
    <t>BURTON, BRIAN</t>
  </si>
  <si>
    <t>PODRAZA, MICHAEL</t>
  </si>
  <si>
    <t>SHAFFER, VERNON</t>
  </si>
  <si>
    <t>EDWARDS, CARL</t>
  </si>
  <si>
    <t>ENGBRETSON, LAURA</t>
  </si>
  <si>
    <t>COLETTA, JASON</t>
  </si>
  <si>
    <t>MULLENIX, JASON</t>
  </si>
  <si>
    <t>GULLIC, PHILLIP</t>
  </si>
  <si>
    <t>CHANG, JIMMY</t>
  </si>
  <si>
    <t>GUOTH, JANOS</t>
  </si>
  <si>
    <t>BAUGH, BRADLEY</t>
  </si>
  <si>
    <t>MELTON, CLINTON</t>
  </si>
  <si>
    <t>FERTITTA, NINA</t>
  </si>
  <si>
    <t>SCOTTO, SARAH</t>
  </si>
  <si>
    <t>BENNETT, WENDY</t>
  </si>
  <si>
    <t>ALSTON, PHILLIP</t>
  </si>
  <si>
    <t>JOE, PENN</t>
  </si>
  <si>
    <t>TODD, TANJA</t>
  </si>
  <si>
    <t>WAY, EMILY</t>
  </si>
  <si>
    <t>HICKS, MARGARET</t>
  </si>
  <si>
    <t>PHELPS, DAWN</t>
  </si>
  <si>
    <t>ULMER-PINTER, STACY</t>
  </si>
  <si>
    <t>CITTY, JAMES</t>
  </si>
  <si>
    <t>STACK, MICHAEL</t>
  </si>
  <si>
    <t>SOSEBEE, WILLIAM</t>
  </si>
  <si>
    <t>KINDER, FREDERICK</t>
  </si>
  <si>
    <t>DANIELS, ANTHONY</t>
  </si>
  <si>
    <t>SAMSON, JACQUES</t>
  </si>
  <si>
    <t>WORTHAM, GEORGE</t>
  </si>
  <si>
    <t>PATTY, JOHN</t>
  </si>
  <si>
    <t>RHOADS, SARAH</t>
  </si>
  <si>
    <t>COLE, ANDREW</t>
  </si>
  <si>
    <t>BINGHAM, DANDRA</t>
  </si>
  <si>
    <t>RUNNELS, LAUREN</t>
  </si>
  <si>
    <t>MCCLINTON, PASCALINE</t>
  </si>
  <si>
    <t>BROCK, AMANDA</t>
  </si>
  <si>
    <t>WILKIE, JULIE</t>
  </si>
  <si>
    <t>ROBINSON, ELZA</t>
  </si>
  <si>
    <t>HUTCHINSON, CLINTON</t>
  </si>
  <si>
    <t>SELLERS, MATTHEW</t>
  </si>
  <si>
    <t>CALLAWAY, LYNN</t>
  </si>
  <si>
    <t>KNOTT, JASON</t>
  </si>
  <si>
    <t>BROWN, CASSANDRA</t>
  </si>
  <si>
    <t>MICHAEL, JANNA</t>
  </si>
  <si>
    <t>ADDINGTON, ALFRED</t>
  </si>
  <si>
    <t>MOUTOS, DEAN</t>
  </si>
  <si>
    <t>DEROSSITT, JAMES</t>
  </si>
  <si>
    <t>LIVERS, NATHAN</t>
  </si>
  <si>
    <t>GLASGOW, MERIDEN</t>
  </si>
  <si>
    <t>HARMON, LISA</t>
  </si>
  <si>
    <t>NEWTON, FRED</t>
  </si>
  <si>
    <t>RODGERS, CLYDE</t>
  </si>
  <si>
    <t>ANDERSON, LANETTA</t>
  </si>
  <si>
    <t>BALTHROP, ERICA</t>
  </si>
  <si>
    <t>VANDERMOLEN, DAVID</t>
  </si>
  <si>
    <t>WARRIOR, JENI</t>
  </si>
  <si>
    <t>HINTON, EMILY</t>
  </si>
  <si>
    <t>MILLER, MICHAEL</t>
  </si>
  <si>
    <t>SUMMITT, ROBERT</t>
  </si>
  <si>
    <t>BLACKETT, MELROSE</t>
  </si>
  <si>
    <t>PAGE, AUDREY</t>
  </si>
  <si>
    <t>PAYNE, AMANDA</t>
  </si>
  <si>
    <t>BROUILLETTE, ROSE</t>
  </si>
  <si>
    <t>LI, BO</t>
  </si>
  <si>
    <t>HUBACH, CYNTHIA</t>
  </si>
  <si>
    <t>LEE, HELEN</t>
  </si>
  <si>
    <t>CASE, SHANNON</t>
  </si>
  <si>
    <t>MANNING, NIRVANA</t>
  </si>
  <si>
    <t>IVEY, TESA</t>
  </si>
  <si>
    <t>COCKRUM, HOLLY</t>
  </si>
  <si>
    <t>FLEMING, ANDRENETTE</t>
  </si>
  <si>
    <t>PERKINS, ROSALYN</t>
  </si>
  <si>
    <t>DEFRANCO, JOSEPH</t>
  </si>
  <si>
    <t>BOAST CAHILL, AMY</t>
  </si>
  <si>
    <t>JONES-MICHEL, DOROTHY</t>
  </si>
  <si>
    <t>BUTAWAN-ALI, DOMINIQUE</t>
  </si>
  <si>
    <t>RICHARDSON, LAKEISHA</t>
  </si>
  <si>
    <t>BARKER, BARBARA</t>
  </si>
  <si>
    <t>PULLEN, JESSICA</t>
  </si>
  <si>
    <t>CARNEY, JUDI</t>
  </si>
  <si>
    <t>JONES, JOHNNY</t>
  </si>
  <si>
    <t>MARTINELLI, HEATHER</t>
  </si>
  <si>
    <t>JACKSON, CAROLE</t>
  </si>
  <si>
    <t>SHRUM, KELLY</t>
  </si>
  <si>
    <t>DEAN, KATHERINE</t>
  </si>
  <si>
    <t>LIU, KATHERINE</t>
  </si>
  <si>
    <t>ORANGE, BETTY</t>
  </si>
  <si>
    <t>DUKE, DAVID</t>
  </si>
  <si>
    <t>SICK, COURTNEY</t>
  </si>
  <si>
    <t>DEED, ELIZABETH</t>
  </si>
  <si>
    <t>BRUNSON, MILTON</t>
  </si>
  <si>
    <t>CATHEY, JANET</t>
  </si>
  <si>
    <t>RISSLER, ANITA</t>
  </si>
  <si>
    <t>HINOTE, CANDACE</t>
  </si>
  <si>
    <t>BAILEY, SCOTT</t>
  </si>
  <si>
    <t>COOLEY, KIRA</t>
  </si>
  <si>
    <t>HARDMAN, MARY</t>
  </si>
  <si>
    <t>TAYLOR, KRISTAL</t>
  </si>
  <si>
    <t>GAYLE, CHRISTOPHER</t>
  </si>
  <si>
    <t>FULLER, BRYAN</t>
  </si>
  <si>
    <t>MCFARLAND, CORTEZ</t>
  </si>
  <si>
    <t>LEM, AMANDA</t>
  </si>
  <si>
    <t>RYAN, STEFANIE</t>
  </si>
  <si>
    <t>RANGANATHAN, ANANTH</t>
  </si>
  <si>
    <t>GREATHOUSE, DAVID</t>
  </si>
  <si>
    <t>CLOUATRE, MICHAEL</t>
  </si>
  <si>
    <t>FELDBAUM, VICTOR</t>
  </si>
  <si>
    <t>RIDDELL, CARL</t>
  </si>
  <si>
    <t>MACK, MENDY</t>
  </si>
  <si>
    <t>SANDLIN, ADAM</t>
  </si>
  <si>
    <t>SHANNON, HELENA</t>
  </si>
  <si>
    <t>RICHARD-DAVIS, GLORIA</t>
  </si>
  <si>
    <t>BYRD, EDWIN</t>
  </si>
  <si>
    <t>REMBERT, PAULA</t>
  </si>
  <si>
    <t>WEST, KENNETH</t>
  </si>
  <si>
    <t>HEALY, REGINA</t>
  </si>
  <si>
    <t>DANG, HAI</t>
  </si>
  <si>
    <t>TERRY, JULIAN</t>
  </si>
  <si>
    <t>GARNER, WILLIAM</t>
  </si>
  <si>
    <t>LI, SHERRI</t>
  </si>
  <si>
    <t>MARI, GIANCARLO</t>
  </si>
  <si>
    <t>WEST, WENDY</t>
  </si>
  <si>
    <t>TYNES, KERRY</t>
  </si>
  <si>
    <t>POWELL, BRENDA</t>
  </si>
  <si>
    <t>HARDY, BRENDA</t>
  </si>
  <si>
    <t>MONTGOMERY, SALLY</t>
  </si>
  <si>
    <t>SUMMITT, MARGARET</t>
  </si>
  <si>
    <t>CALDWELL, DAVID</t>
  </si>
  <si>
    <t>LEE, DANIEL</t>
  </si>
  <si>
    <t>GREEN, MICHELLE</t>
  </si>
  <si>
    <t>GRAHAM, SHANNON</t>
  </si>
  <si>
    <t>MOSES, LINDA</t>
  </si>
  <si>
    <t>GRIMES, DAVID</t>
  </si>
  <si>
    <t>HORN, ERICA</t>
  </si>
  <si>
    <t>CUNNINGHAM, DARRIN</t>
  </si>
  <si>
    <t>RYAN, CHARLES</t>
  </si>
  <si>
    <t>PEELER, GEORGE</t>
  </si>
  <si>
    <t>DIRGHANGI, JAYANTA</t>
  </si>
  <si>
    <t>DULANEY, BETTY JO</t>
  </si>
  <si>
    <t>COLGROVE, MICHAEL</t>
  </si>
  <si>
    <t>KENNEDY, ALBERT</t>
  </si>
  <si>
    <t>GAILLARD, THADDEUS</t>
  </si>
  <si>
    <t>BLACKWOOD, MARK</t>
  </si>
  <si>
    <t>GOSCH, KELLI</t>
  </si>
  <si>
    <t>BEARDEN, LISA</t>
  </si>
  <si>
    <t>CALLAHAN, JACLYN</t>
  </si>
  <si>
    <t>LAWS, CASEY</t>
  </si>
  <si>
    <t>PARTRIDGE, PAIGE</t>
  </si>
  <si>
    <t>LEE, WILLIAM</t>
  </si>
  <si>
    <t>EDELSON, MICHAEL</t>
  </si>
  <si>
    <t>SHENKER, DAVID</t>
  </si>
  <si>
    <t>TAYLOR, MARTIN</t>
  </si>
  <si>
    <t>CANZONERI, BERNARD</t>
  </si>
  <si>
    <t>MCCLANAHAN, JOHN</t>
  </si>
  <si>
    <t>DEWANE, JOSEPH</t>
  </si>
  <si>
    <t>PATTERSON, RUSHTON</t>
  </si>
  <si>
    <t>STINSON, WILLIAM</t>
  </si>
  <si>
    <t>UPTON, LATASHIA</t>
  </si>
  <si>
    <t>HASKINS, LAURA</t>
  </si>
  <si>
    <t>CRISLER, CRISTA</t>
  </si>
  <si>
    <t>CORBITT, LAURIE</t>
  </si>
  <si>
    <t>COPE, MICHAEL</t>
  </si>
  <si>
    <t>PHILLIPS, DON</t>
  </si>
  <si>
    <t>ROCHA, CARLOS</t>
  </si>
  <si>
    <t>GRANDBERRY, DEIDREA</t>
  </si>
  <si>
    <t>THROWER, RUFUS</t>
  </si>
  <si>
    <t>OWENS, MAMIE</t>
  </si>
  <si>
    <t>CLARK, CRISTINA</t>
  </si>
  <si>
    <t>THOMPSON, BRUCE</t>
  </si>
  <si>
    <t>COLLINS, NANCY</t>
  </si>
  <si>
    <t>MCADORY, JANE</t>
  </si>
  <si>
    <t>ESTEPP, RYE</t>
  </si>
  <si>
    <t>DITTMEYER, KALE</t>
  </si>
  <si>
    <t>MALLETT, STEPHANIE</t>
  </si>
  <si>
    <t>PLEDGER, KATHRYN</t>
  </si>
  <si>
    <t>SCOW, ROGER</t>
  </si>
  <si>
    <t>HAYDEN, LESLIE</t>
  </si>
  <si>
    <t>FRIEDRICH, MARSHA</t>
  </si>
  <si>
    <t>MCGLOTHAN, COREY</t>
  </si>
  <si>
    <t>DETTI, LAURA</t>
  </si>
  <si>
    <t>HALL, ERIC</t>
  </si>
  <si>
    <t>HARDIN, SARAH</t>
  </si>
  <si>
    <t>GORDON, AMY</t>
  </si>
  <si>
    <t>WEST, WARREN</t>
  </si>
  <si>
    <t>FARRELL, RACHEL</t>
  </si>
  <si>
    <t>LABARRE, JACQUE</t>
  </si>
  <si>
    <t>JAYAPRABHU, SUDHEER</t>
  </si>
  <si>
    <t>WALTMAN, KRISTY</t>
  </si>
  <si>
    <t>RUTLEDGE, ESTELLE</t>
  </si>
  <si>
    <t>BENNETT, AUTUMN</t>
  </si>
  <si>
    <t>ALBRITTON, JOHN</t>
  </si>
  <si>
    <t>LAZARUS, EDWARD</t>
  </si>
  <si>
    <t>BRENIMAN, KEVIN</t>
  </si>
  <si>
    <t>HOUSEHOLDER, JEANMARIE</t>
  </si>
  <si>
    <t>CYRUS, RUSHELLE</t>
  </si>
  <si>
    <t>BAILEY, AMELIA</t>
  </si>
  <si>
    <t>RIEDLEY MALONE, SHANNON</t>
  </si>
  <si>
    <t>GIDDENS, MARY</t>
  </si>
  <si>
    <t>ROBERTSON, JAMES</t>
  </si>
  <si>
    <t>BROOKS, GLENN</t>
  </si>
  <si>
    <t>LAWRENCE, JOSEPH</t>
  </si>
  <si>
    <t>JONES, LETICIA</t>
  </si>
  <si>
    <t>MARKELL, KRISTIN</t>
  </si>
  <si>
    <t>JOHNSON, GLENDA</t>
  </si>
  <si>
    <t>NEBLETT, PAUL</t>
  </si>
  <si>
    <t>BLASINGAME, MARY</t>
  </si>
  <si>
    <t>LOWERY, CURTIS</t>
  </si>
  <si>
    <t>JOHNSON, STACEY</t>
  </si>
  <si>
    <t>MCGRAW, RENEE</t>
  </si>
  <si>
    <t>ROUSELLE, DIONNE</t>
  </si>
  <si>
    <t>VANCE, SERENA</t>
  </si>
  <si>
    <t>SARINOGLU, CEM</t>
  </si>
  <si>
    <t>YARNELL, JONI</t>
  </si>
  <si>
    <t>BINGHAM, DEANNA</t>
  </si>
  <si>
    <t>EHIREMEN, STEPHEN</t>
  </si>
  <si>
    <t>PIERCE, REID</t>
  </si>
  <si>
    <t>MOORE, YVONNE</t>
  </si>
  <si>
    <t>GREGORY, JENNIFER</t>
  </si>
  <si>
    <t>KUTTEH, WILLIAM</t>
  </si>
  <si>
    <t>GREGORY D WOOD, MD OB/GYN</t>
  </si>
  <si>
    <t>SMITH, DORA</t>
  </si>
  <si>
    <t>BREZINA, PAUL</t>
  </si>
  <si>
    <t>COLVIN, BRADLEY</t>
  </si>
  <si>
    <t>BROWN, STEPHEN</t>
  </si>
  <si>
    <t>LACY, SUSAN</t>
  </si>
  <si>
    <t>LING, FRANK</t>
  </si>
  <si>
    <t>BOOKER, JOHN</t>
  </si>
  <si>
    <t>MEYER, NORMAN</t>
  </si>
  <si>
    <t>SEALE, LINDSEY</t>
  </si>
  <si>
    <t>HIX, ROBERT</t>
  </si>
  <si>
    <t>JOHNSON, MARY</t>
  </si>
  <si>
    <t>HORD, DELPHIA</t>
  </si>
  <si>
    <t>MANEJWALA, FAZAL</t>
  </si>
  <si>
    <t>LOFTIS, SHARON</t>
  </si>
  <si>
    <t>BELL, TIMOTHY</t>
  </si>
  <si>
    <t>THORPE, EDWIN</t>
  </si>
  <si>
    <t>ISRAEL, BRIAN</t>
  </si>
  <si>
    <t>GOMEZ, GINA</t>
  </si>
  <si>
    <t>REYNOLDS, KIMBERLY</t>
  </si>
  <si>
    <t>BISHOP, LAURA</t>
  </si>
  <si>
    <t>WIEDOWER EBLE, AMY</t>
  </si>
  <si>
    <t>GORMAN, JAMES</t>
  </si>
  <si>
    <t>SCALES, JAMES</t>
  </si>
  <si>
    <t>GREEN, CATHY</t>
  </si>
  <si>
    <t>MAK, ERNEST</t>
  </si>
  <si>
    <t>TOTH, LISA</t>
  </si>
  <si>
    <t>SCHENONE, MAURO</t>
  </si>
  <si>
    <t>CHAPPELL, BENJAMIN</t>
  </si>
  <si>
    <t>WILSON, THOMAS</t>
  </si>
  <si>
    <t>MCALISTER, DEBORAH</t>
  </si>
  <si>
    <t>THAXTON, MARY</t>
  </si>
  <si>
    <t>SMITH, SCOTT</t>
  </si>
  <si>
    <t>HAMBY, DONALD</t>
  </si>
  <si>
    <t>SHAHRIARI, SIAMAK</t>
  </si>
  <si>
    <t>JERNIGAN, MICHELE</t>
  </si>
  <si>
    <t>SARVER, AMY</t>
  </si>
  <si>
    <t>SILLS, AMBER</t>
  </si>
  <si>
    <t>TWOMBLY, JOANNA</t>
  </si>
  <si>
    <t>SCOTT, AMY</t>
  </si>
  <si>
    <t>HIRSCH, ASHLEY</t>
  </si>
  <si>
    <t>MANN, ELIZABETH</t>
  </si>
  <si>
    <t>CHIN, ROBERT</t>
  </si>
  <si>
    <t>MONTGOMERY, EARL</t>
  </si>
  <si>
    <t>KE, RAYMOND</t>
  </si>
  <si>
    <t>OSLEBER, LINDSAY</t>
  </si>
  <si>
    <t>WALTHALL, EDWINA</t>
  </si>
  <si>
    <t>WIEGEL, MICAH</t>
  </si>
  <si>
    <t>VOGT, VAL</t>
  </si>
  <si>
    <t>JACKSON, JABEZ</t>
  </si>
  <si>
    <t>MURRMANN, SUSAN</t>
  </si>
  <si>
    <t>GARRETT, DEBRA</t>
  </si>
  <si>
    <t>MOORE, PITTMAN</t>
  </si>
  <si>
    <t>MCCOLLUM, ALEXIS</t>
  </si>
  <si>
    <t>THOMPSON, ELAINE</t>
  </si>
  <si>
    <t>CLINE, DEBRA</t>
  </si>
  <si>
    <t>BARROW, JOHN</t>
  </si>
  <si>
    <t>THOMAS, JONATHAN</t>
  </si>
  <si>
    <t>EMERSON, STEVEN</t>
  </si>
  <si>
    <t>CARLTON, CAROLINE</t>
  </si>
  <si>
    <t>MONTGOMERY, FRANCES</t>
  </si>
  <si>
    <t>HENSON, CLINTON</t>
  </si>
  <si>
    <t>FRY, AMY</t>
  </si>
  <si>
    <t>LUNDE, STEPHEN</t>
  </si>
  <si>
    <t>BLANTON, LEONARD</t>
  </si>
  <si>
    <t>NORTHAM, JON</t>
  </si>
  <si>
    <t>HAMNER, DABNEY</t>
  </si>
  <si>
    <t>TALUKDER, SAIMAH</t>
  </si>
  <si>
    <t>PIERCE, RUSTON</t>
  </si>
  <si>
    <t>WILSON, AMY</t>
  </si>
  <si>
    <t>FILETTI, LUSIA</t>
  </si>
  <si>
    <t>MARTIN, KYLE</t>
  </si>
  <si>
    <t>JOYNER, JOHNNY</t>
  </si>
  <si>
    <t>DELACEY, NORBERT</t>
  </si>
  <si>
    <t>MAGANN, EVERETT</t>
  </si>
  <si>
    <t>DAMALLIE, KUSHNA</t>
  </si>
  <si>
    <t>BORS-KOEFOED, ROY</t>
  </si>
  <si>
    <t>ESCUE, MICHAEL</t>
  </si>
  <si>
    <t>GARCIA, CAROLYN</t>
  </si>
  <si>
    <t>BRONSTEIN, MICHAEL</t>
  </si>
  <si>
    <t>MASON, ASHLEY</t>
  </si>
  <si>
    <t>STREET, KATHLEEN</t>
  </si>
  <si>
    <t>PHILLIPS, KEVIN</t>
  </si>
  <si>
    <t>LYNN, CAROL</t>
  </si>
  <si>
    <t>PATTY, CARL</t>
  </si>
  <si>
    <t>LIPSCOMB, GARY</t>
  </si>
  <si>
    <t>HURT, JASON</t>
  </si>
  <si>
    <t>GIDDENS, GUS</t>
  </si>
  <si>
    <t>WATKINS, JULIA</t>
  </si>
  <si>
    <t>CLEMENTS, RONDA</t>
  </si>
  <si>
    <t>POPWELL, BENNY</t>
  </si>
  <si>
    <t>TONKIN, LEAH</t>
  </si>
  <si>
    <t>LEONARD, STACY</t>
  </si>
  <si>
    <t>LARRIMER, MARGARET</t>
  </si>
  <si>
    <t>BARR, SUSAN</t>
  </si>
  <si>
    <t>SWARD, LINDSEY</t>
  </si>
  <si>
    <t>MITCHELL, ASHLEY</t>
  </si>
  <si>
    <t>BELLMANN, MARIA</t>
  </si>
  <si>
    <t>CARTER, BELVIA</t>
  </si>
  <si>
    <t>MYLES, ANGELA</t>
  </si>
  <si>
    <t>WILLIAMS, JUDITH</t>
  </si>
  <si>
    <t>MONEYMAKER, GUSSIE</t>
  </si>
  <si>
    <t>PILGRIM, PAULA</t>
  </si>
  <si>
    <t>STOVALL, THOMAS</t>
  </si>
  <si>
    <t>UNGER, JAMES</t>
  </si>
  <si>
    <t>CRAWFORD, PAUL</t>
  </si>
  <si>
    <t>WYATT, RICHARD</t>
  </si>
  <si>
    <t>SAMS, JOSEPH</t>
  </si>
  <si>
    <t>GROOME, LYNN</t>
  </si>
  <si>
    <t>BANNISTER, LEA</t>
  </si>
  <si>
    <t>TAYLOR, MARY</t>
  </si>
  <si>
    <t>KRADEL, RICHARD</t>
  </si>
  <si>
    <t>CHANDLER, KAY</t>
  </si>
  <si>
    <t>JONES, EDWARD</t>
  </si>
  <si>
    <t>MOIX, THERESA</t>
  </si>
  <si>
    <t>GRAVES, ANGELA</t>
  </si>
  <si>
    <t>WENDEL, PAUL</t>
  </si>
  <si>
    <t>PINEDA, JOSEPH</t>
  </si>
  <si>
    <t>RUSSELL, SARA</t>
  </si>
  <si>
    <t>MERKLEY, HEATH</t>
  </si>
  <si>
    <t>CHATTERJEE, SUZANNA</t>
  </si>
  <si>
    <t>TATE, DANIELLE</t>
  </si>
  <si>
    <t>KELTON, WENDY</t>
  </si>
  <si>
    <t>SOCKRIDER, STEPHANIE</t>
  </si>
  <si>
    <t>MESTEMACHER, CHRISTINE</t>
  </si>
  <si>
    <t>LOCKHART, CLAUDE</t>
  </si>
  <si>
    <t>JAMES, DELIA</t>
  </si>
  <si>
    <t>JONES, KAREN</t>
  </si>
  <si>
    <t>BRACKNEY, KERRI</t>
  </si>
  <si>
    <t>PAULSON, KATHLEEN</t>
  </si>
  <si>
    <t>ARMAND, RODNEY</t>
  </si>
  <si>
    <t>MUSGROVE, CINDY</t>
  </si>
  <si>
    <t>WORLEY, KARA</t>
  </si>
  <si>
    <t>RUFFIN, JESSICA</t>
  </si>
  <si>
    <t>HENDERSON, MARY</t>
  </si>
  <si>
    <t>NORTON, TERESA</t>
  </si>
  <si>
    <t>KEATHLEY, ASHLEY</t>
  </si>
  <si>
    <t>THORNTON, AMANDA</t>
  </si>
  <si>
    <t>CARDA, CARRIE</t>
  </si>
  <si>
    <t>JENNINGS, JILL</t>
  </si>
  <si>
    <t>Access to Pulmonologists</t>
  </si>
  <si>
    <t>AGEE, KIM</t>
  </si>
  <si>
    <t>GIGLIA, ANTHONY</t>
  </si>
  <si>
    <t>MEENA, NIKHIL</t>
  </si>
  <si>
    <t>GREENWOOD, DAVID</t>
  </si>
  <si>
    <t>MABIE, MATTHEW</t>
  </si>
  <si>
    <t>BAILEY, CHRISTOPHER</t>
  </si>
  <si>
    <t>GARDNER, TONIA</t>
  </si>
  <si>
    <t>MILLIGAN, SHAWN</t>
  </si>
  <si>
    <t>CARROLL, JOHN</t>
  </si>
  <si>
    <t>SINHA, SUMAN</t>
  </si>
  <si>
    <t>BARTTER, THADDEUS</t>
  </si>
  <si>
    <t>KYAW, YADANA</t>
  </si>
  <si>
    <t>TAYLOR, EDWIN</t>
  </si>
  <si>
    <t>JACKSON, EDWARD</t>
  </si>
  <si>
    <t>SMITH, MALCOLM</t>
  </si>
  <si>
    <t>OWENS, MICHAEL</t>
  </si>
  <si>
    <t>LANFRANCO MOLINA, JULIO</t>
  </si>
  <si>
    <t>WALTER, ROBERT</t>
  </si>
  <si>
    <t>NAOMAN, SHAHLA</t>
  </si>
  <si>
    <t>LEE, TYRONE</t>
  </si>
  <si>
    <t>DEATON, PAUL</t>
  </si>
  <si>
    <t>JONES, KIMBERLY</t>
  </si>
  <si>
    <t>WRIGHT, JEFFREY</t>
  </si>
  <si>
    <t>SULTAN-ALI, IBRAHIM</t>
  </si>
  <si>
    <t>JAGANA, RAJANI</t>
  </si>
  <si>
    <t>ANDREWS, JAMES</t>
  </si>
  <si>
    <t>CURRY, RAVIS</t>
  </si>
  <si>
    <t>LAW, PETER</t>
  </si>
  <si>
    <t>RAZA, AMER</t>
  </si>
  <si>
    <t>REDDY, RAGHU</t>
  </si>
  <si>
    <t>HUBBARD, WILLIAM</t>
  </si>
  <si>
    <t>ELLIS, GARRETTSON</t>
  </si>
  <si>
    <t>KHASAWNEH, KHALED</t>
  </si>
  <si>
    <t>MUNIR, AMAN</t>
  </si>
  <si>
    <t>SEARCY, ROBERT</t>
  </si>
  <si>
    <t>HOMSI, SAMER</t>
  </si>
  <si>
    <t>ABOCHALE, EYAD</t>
  </si>
  <si>
    <t>KALYAN, MADHU</t>
  </si>
  <si>
    <t>SHAH, SIDDHARTH</t>
  </si>
  <si>
    <t>MADARATY, KAMEL</t>
  </si>
  <si>
    <t>AHRENS, MITCHELL</t>
  </si>
  <si>
    <t>SRINIVASAN, SAUMINI</t>
  </si>
  <si>
    <t>HARDY, KYLE</t>
  </si>
  <si>
    <t>MCCRACKEN, GAIL</t>
  </si>
  <si>
    <t>FREIRE, AMADO</t>
  </si>
  <si>
    <t>NATHAN, RAGHU</t>
  </si>
  <si>
    <t>MARIENCHECK, WILLIAM</t>
  </si>
  <si>
    <t>PATEL, KIRIT</t>
  </si>
  <si>
    <t>TEMPLETON, GARY</t>
  </si>
  <si>
    <t>AHMAD, MUSHTAQ</t>
  </si>
  <si>
    <t>SINCLAIR, SCOTT</t>
  </si>
  <si>
    <t>TUTOR, JAMES</t>
  </si>
  <si>
    <t>SIFFORD, MARK</t>
  </si>
  <si>
    <t>RECTOR, NANCY</t>
  </si>
  <si>
    <t>ECKLES, MICHAEL</t>
  </si>
  <si>
    <t>BURBECK, JOY</t>
  </si>
  <si>
    <t>RATNAKANT, SANJAY</t>
  </si>
  <si>
    <t>JOSHI, MANISH</t>
  </si>
  <si>
    <t>HULETT, CIDNEY</t>
  </si>
  <si>
    <t>BADIREDDI, SRIDHAR</t>
  </si>
  <si>
    <t>ISSA, NIZAR</t>
  </si>
  <si>
    <t>MOHAMMAD, KHALID</t>
  </si>
  <si>
    <t>WOLLAK, ISTVAN</t>
  </si>
  <si>
    <t>SCHOENBERGER, CARL</t>
  </si>
  <si>
    <t>JOHN, CHRISTOPHER</t>
  </si>
  <si>
    <t>KENNEDY, LISA</t>
  </si>
  <si>
    <t>CAMPBELL, JAMES</t>
  </si>
  <si>
    <t>AGARWAL, AMIT</t>
  </si>
  <si>
    <t>MEADE, ARTURO</t>
  </si>
  <si>
    <t>ADAMS, JAMES</t>
  </si>
  <si>
    <t>AGUILLARD, ROBERT</t>
  </si>
  <si>
    <t>SASTRY, INDIRA</t>
  </si>
  <si>
    <t>GOLDEN, EMMEL</t>
  </si>
  <si>
    <t>GUPTA, RAJEEV</t>
  </si>
  <si>
    <t>MALTE, BRIAN</t>
  </si>
  <si>
    <t>MCKINNEY, JASON</t>
  </si>
  <si>
    <t>ABDEEN, YAZAN</t>
  </si>
  <si>
    <t>BLYTHE, JOSEPH</t>
  </si>
  <si>
    <t>SEXTON, JON</t>
  </si>
  <si>
    <t>AL-NASHIF, ALI</t>
  </si>
  <si>
    <t>HAMPTON, JOHN</t>
  </si>
  <si>
    <t>ERBLAND, MARCIA</t>
  </si>
  <si>
    <t>HENDERSON, TODD</t>
  </si>
  <si>
    <t>KAUL, ANUPAMA</t>
  </si>
  <si>
    <t>WILONS, MICHAEL</t>
  </si>
  <si>
    <t>SOSKEL, NORMAN</t>
  </si>
  <si>
    <t>WALKER, MEREDITH</t>
  </si>
  <si>
    <t>MITTADODLA, PENCHALA</t>
  </si>
  <si>
    <t>MOSELEY, MARK</t>
  </si>
  <si>
    <t>IMRAN, ADIL</t>
  </si>
  <si>
    <t>KELLAR, STAN</t>
  </si>
  <si>
    <t>YENDURI, NAGA JAYA SMITHA</t>
  </si>
  <si>
    <t>KENDRICK, LEE</t>
  </si>
  <si>
    <t>ALEXANDER, CALVIN</t>
  </si>
  <si>
    <t>BERLINSKI, ARIEL</t>
  </si>
  <si>
    <t>MACBRUCE, DAPHNE</t>
  </si>
  <si>
    <t>BANKS, DANIEL</t>
  </si>
  <si>
    <t>MENENDEZ, ASTRYD</t>
  </si>
  <si>
    <t>TREW, GARY</t>
  </si>
  <si>
    <t>BENTLEY, STEVEN</t>
  </si>
  <si>
    <t>CRINER, OWEN</t>
  </si>
  <si>
    <t>HOLDER, JASON</t>
  </si>
  <si>
    <t>OKPOR, KENNETH</t>
  </si>
  <si>
    <t>CHINN, ALBERT</t>
  </si>
  <si>
    <t>DAVILA, FIDEL</t>
  </si>
  <si>
    <t>BRYN, RANDY</t>
  </si>
  <si>
    <t>WAGH, AJAY</t>
  </si>
  <si>
    <t>HOFMANN, MARC</t>
  </si>
  <si>
    <t>MARTIN, SARA</t>
  </si>
  <si>
    <t>DIETZEN, RICHARD</t>
  </si>
  <si>
    <t>THOMPSON, JOHN</t>
  </si>
  <si>
    <t>TJANDRA, SARIKUN</t>
  </si>
  <si>
    <t>SCHRINER, ROBERT</t>
  </si>
  <si>
    <t>JOHNSON, CLIFTON</t>
  </si>
  <si>
    <t>KIM, S</t>
  </si>
  <si>
    <t>BHASKAR, NUTAN</t>
  </si>
  <si>
    <t>SCHOUMACHER, ROBERT</t>
  </si>
  <si>
    <t>JAMBHEKAR, SUPRIYA</t>
  </si>
  <si>
    <t>SZWEDO, DOMINIKA</t>
  </si>
  <si>
    <t>ALAM, SHOAIB</t>
  </si>
  <si>
    <t>ABRAHAM, LADLY</t>
  </si>
  <si>
    <t>FOX, ROY</t>
  </si>
  <si>
    <t>TAMAYO, FRANCISCO</t>
  </si>
  <si>
    <t>Access to Endocrinologists</t>
  </si>
  <si>
    <t>AMBROGINI, ELENA</t>
  </si>
  <si>
    <t>VELASQUEZ, PEDRO</t>
  </si>
  <si>
    <t>SINHA, SUNIL</t>
  </si>
  <si>
    <t>CHICO, MICHELLE</t>
  </si>
  <si>
    <t>USDAN, LISA</t>
  </si>
  <si>
    <t>REHMAN, RABIA</t>
  </si>
  <si>
    <t>MATWIJIW, IGOR</t>
  </si>
  <si>
    <t>LEVINE, STEVEN</t>
  </si>
  <si>
    <t>GHAWJI, MAHER</t>
  </si>
  <si>
    <t>MOTWANI, POOJA</t>
  </si>
  <si>
    <t>BURSEY, DEBORAH</t>
  </si>
  <si>
    <t>DAGOGO-JACK, SAMUEL</t>
  </si>
  <si>
    <t>RUSHING, DONNA</t>
  </si>
  <si>
    <t>NIMMO, TERESA</t>
  </si>
  <si>
    <t>COHEN, ALAN</t>
  </si>
  <si>
    <t>STRINGER, JONATHAN</t>
  </si>
  <si>
    <t>ALBRITTON, MARY</t>
  </si>
  <si>
    <t>KHAYAL, SABA</t>
  </si>
  <si>
    <t>JOSHI, PRAJESH</t>
  </si>
  <si>
    <t>SCARBOROUGH, DAVID</t>
  </si>
  <si>
    <t>WEINSTEIN, ROBERT</t>
  </si>
  <si>
    <t>LENDEL, IRINA</t>
  </si>
  <si>
    <t>BODENNER, DONALD</t>
  </si>
  <si>
    <t>RAD POUR, OMID</t>
  </si>
  <si>
    <t>GOULDEN, PETER</t>
  </si>
  <si>
    <t>ODEN, JON</t>
  </si>
  <si>
    <t>STEINBERG, HELMUT</t>
  </si>
  <si>
    <t>JARATHI, ARCHANA</t>
  </si>
  <si>
    <t>PATIL, SADANAND</t>
  </si>
  <si>
    <t>MCVIE, ROBERT</t>
  </si>
  <si>
    <t>BALI, CASTRO</t>
  </si>
  <si>
    <t>IMSEIS, RAED</t>
  </si>
  <si>
    <t>FRINDIK, JOSEPH</t>
  </si>
  <si>
    <t>REDDING, ALLEN</t>
  </si>
  <si>
    <t>BUDHRAJA, MADHU</t>
  </si>
  <si>
    <t>ADAMS-GRAVES, PATRICIA</t>
  </si>
  <si>
    <t>CHILDRESS, RICHARD</t>
  </si>
  <si>
    <t>BAO, SHUNZHONG</t>
  </si>
  <si>
    <t>BURROWS, DARYL</t>
  </si>
  <si>
    <t>BARNES, NICOLE</t>
  </si>
  <si>
    <t>KILPATRICK, CATHERINE</t>
  </si>
  <si>
    <t>KRISHNAMURTHI, LAKSHMI</t>
  </si>
  <si>
    <t>PORTNOY, DAVID</t>
  </si>
  <si>
    <t>GANONG, KEVIN</t>
  </si>
  <si>
    <t>HORINE, LYNDELL</t>
  </si>
  <si>
    <t>NAIR, GANESH</t>
  </si>
  <si>
    <t>HAN, JOAN</t>
  </si>
  <si>
    <t>MANOLAGAS, STAVROS</t>
  </si>
  <si>
    <t>CUNNINGHAM, AMANDA</t>
  </si>
  <si>
    <t>TETZELI, JOHN</t>
  </si>
  <si>
    <t>HARARY, SHIMON</t>
  </si>
  <si>
    <t>HEIMBERG, MURRAY</t>
  </si>
  <si>
    <t>ALESALI, MAHER</t>
  </si>
  <si>
    <t>WANG, YU-CHI</t>
  </si>
  <si>
    <t>STRAUB, KARL</t>
  </si>
  <si>
    <t>JIANG, YUNNA</t>
  </si>
  <si>
    <t>THRASHER, JAMES</t>
  </si>
  <si>
    <t>KIMBALL-RAVARI, LAURA</t>
  </si>
  <si>
    <t>CHEMAITILLY, WASSIM</t>
  </si>
  <si>
    <t>RAPP, RICHARD</t>
  </si>
  <si>
    <t>LATIF, KASHIF</t>
  </si>
  <si>
    <t>BURGHEN, GEORGE</t>
  </si>
  <si>
    <t>KARABELL, ANA</t>
  </si>
  <si>
    <t>LAHOTI, AMIT</t>
  </si>
  <si>
    <t>NYENWE, EBENEZER</t>
  </si>
  <si>
    <t>MYERS, LISA</t>
  </si>
  <si>
    <t>Access to All Hospitals</t>
  </si>
  <si>
    <t>MOREHOUSE GENERAL HOSPITAL</t>
  </si>
  <si>
    <t>SMC REGIONAL MEDICAL CENTER</t>
  </si>
  <si>
    <t>BAPTIST HEALTH MEDICAL CENTER</t>
  </si>
  <si>
    <t>MERCY ST. FRANCIS HOSPITAL</t>
  </si>
  <si>
    <t>CHRISTUS CONTINUING CARE</t>
  </si>
  <si>
    <t>DREW MEMORIAL HOSPITAL, INC.</t>
  </si>
  <si>
    <t>ST JUDE CHILDRENS RESEARCH HOSPITAL INC</t>
  </si>
  <si>
    <t>ASSOCIATED HEALTHCARE SYSTEMS OF RANDOLPH COUNTY</t>
  </si>
  <si>
    <t>DREW COUNTY MEMORIAL HOSPITAL</t>
  </si>
  <si>
    <t>ST. LOUIS JC VAMC</t>
  </si>
  <si>
    <t>WASHINGTON REGIONAL MEDICAL CENTER</t>
  </si>
  <si>
    <t>BRIM HEALTHCARE OF TEXAS LLC</t>
  </si>
  <si>
    <t>LEO N LEVI MEMORIAL HOSPITAL ASSOCIATION</t>
  </si>
  <si>
    <t>ST. VINCENT INFIRMARY MEDICAL CENTER</t>
  </si>
  <si>
    <t>SOUTHEAST HEALTH CENTER OF RIPLEY COUNTY</t>
  </si>
  <si>
    <t>DE QUEEN MEDICAL CENTER INC</t>
  </si>
  <si>
    <t>COX-MONETT HOSPITAL, INC.</t>
  </si>
  <si>
    <t>BAPTIST MEMORIAL HOSPITAL-DESOTO, INC,</t>
  </si>
  <si>
    <t>MCGEHEE DESHA COUNTY HOSPITAL</t>
  </si>
  <si>
    <t>BAPTIST REHABILITATION GERMANTOWN</t>
  </si>
  <si>
    <t>AMERIS OF OSCEOLA LLC</t>
  </si>
  <si>
    <t>PAM SQUARED AT TEXARKANA, LLC</t>
  </si>
  <si>
    <t>BAPTIST MEMORIAL REHABILITATION HOSPITAL, GP</t>
  </si>
  <si>
    <t>MENTOR ABI, LLC</t>
  </si>
  <si>
    <t>SEQUOYAH MEMORIAL HOSPITAL</t>
  </si>
  <si>
    <t>NORTHWEST ARKANSAS HOSPITALS LLC</t>
  </si>
  <si>
    <t>OMC BREAST CARE</t>
  </si>
  <si>
    <t>NORTHWEST ARKANSAS REHABILITATION ASSOCIATES</t>
  </si>
  <si>
    <t>SILOAM SPRINGS MEMORIAL HOSPITAL</t>
  </si>
  <si>
    <t>SPRINGHILL MEDICAL SERVICES, INC.</t>
  </si>
  <si>
    <t>NORTH ARKANSAS REGIONAL MEDICAL CENTER</t>
  </si>
  <si>
    <t>MERCY HOSPITAL CASSVILLE</t>
  </si>
  <si>
    <t>CHRISTUS HEALTH ARK-LA-TEX</t>
  </si>
  <si>
    <t>DELTA MEMORIAL HOSPITAL</t>
  </si>
  <si>
    <t>WILLIS KNIGHTON MEDICAL CENTER INC. CRNA GROUP</t>
  </si>
  <si>
    <t>ADVANCED CARE HOSPITAL OF WHITE COUNTY</t>
  </si>
  <si>
    <t>GRAVETTE MEDICAL CENTER HOSPITAL</t>
  </si>
  <si>
    <t>BOARD OF GOVERNORS OF DALLAS COUNTY MEDICAL CENTER</t>
  </si>
  <si>
    <t>MISSISSIPPI COUNTY HOSPITAL SYSTEM</t>
  </si>
  <si>
    <t>BAPTIST MEMORIAL HOSPITAL-TIPTON</t>
  </si>
  <si>
    <t>MERCY HOSPITAL ROGERS</t>
  </si>
  <si>
    <t>NORTH CADDO HOSPITAL SERVICE DISTRICT</t>
  </si>
  <si>
    <t>ST BERNARDS HOSPITAL INC</t>
  </si>
  <si>
    <t>SELECT SPECIALTY HOSPITAL - FORT SMITH INC</t>
  </si>
  <si>
    <t>ST. BERNARDS MEDICAL CENTER</t>
  </si>
  <si>
    <t>JOHN ED CHAMBERS MEMORIAL HOSPITAL, INC.</t>
  </si>
  <si>
    <t>CHG HOSPITAL LITTLE ROCK, LLC</t>
  </si>
  <si>
    <t>SMC-MISSISSIPPI COUNTY HOSPITAL SYSTEM</t>
  </si>
  <si>
    <t>PROMISE HOSPITAL OF LOUISIANA, INC</t>
  </si>
  <si>
    <t>CLARKSDALE HMA LLC</t>
  </si>
  <si>
    <t>WOMENS CENTER OF NORTHWEST ARKANSAS LLC</t>
  </si>
  <si>
    <t>VAN BUREN HMA LLC</t>
  </si>
  <si>
    <t>BAPTIST MEMORIAL HOSPITAL-JONESBORO INC</t>
  </si>
  <si>
    <t>METHODIST HEALTHCARE - MEMPHIS HOSPITALS</t>
  </si>
  <si>
    <t>ST BERNARDS HOSPITAL INC.</t>
  </si>
  <si>
    <t>CHRISTUS HEALTH NORTHERN LOUISIANA</t>
  </si>
  <si>
    <t>SELECT SPECIALTY HOSPITAL - LITTLE ROCK/BMC INC</t>
  </si>
  <si>
    <t>SALINE MEMORIAL HOSPITAL</t>
  </si>
  <si>
    <t>INTEGRIS GROVE HOSPITAL</t>
  </si>
  <si>
    <t>ALLEGIANCE HOSPITAL OF NORTH LITTLE ROCK, LLC</t>
  </si>
  <si>
    <t>CHICOT MEMORIAL HOSPITAL</t>
  </si>
  <si>
    <t>OUACHITA COUNTY MEDICAL SERVICES</t>
  </si>
  <si>
    <t>FIVE RIVERS MEDICAL CENTER INC.</t>
  </si>
  <si>
    <t>BLACK RIVER COMMUNITY MEDICAL CENTER</t>
  </si>
  <si>
    <t>ARKANSAS HEART HOSPITAL, LLC</t>
  </si>
  <si>
    <t>MERCY HOSPITAL FORT SMITH</t>
  </si>
  <si>
    <t>CHG CORNERSTONE HOSPITAL OF LITTLE ROCK, LLC</t>
  </si>
  <si>
    <t>METHODIST-LEBONHEUR HEALTHCARE</t>
  </si>
  <si>
    <t>EUREKA SPRINGS HOSPITAL LLC</t>
  </si>
  <si>
    <t>DUBUIS HEALTH SYSTEM, INC.</t>
  </si>
  <si>
    <t>HOPE MEDICAL PARK HOSPITAL, LLC</t>
  </si>
  <si>
    <t>CHOCTAW NATION OF OKLAHOMA</t>
  </si>
  <si>
    <t>MCSA LLC</t>
  </si>
  <si>
    <t>REGENCY HOSPITAL OF NORTHWEST ARKANSAS, LLC</t>
  </si>
  <si>
    <t>EUREKA SPRINGS HOSPITAL</t>
  </si>
  <si>
    <t>NORTHWEST ARKANSAS HOSPITALS, LLC</t>
  </si>
  <si>
    <t>CONWAY REGIONAL REHABILITATION HOSPITAL LLC</t>
  </si>
  <si>
    <t>SKAGGS COMMUNITY HOSPITAL ASSOCIATION</t>
  </si>
  <si>
    <t>ST VINCENT INFIRMARY MEDICAL CENTER</t>
  </si>
  <si>
    <t>BAPTIST HEALTH HOSPITALS</t>
  </si>
  <si>
    <t>GREAT RIVER MEDICAL CENTER</t>
  </si>
  <si>
    <t>FORREST CITY ARKANSAS HOSPITAL COMPANY LLC</t>
  </si>
  <si>
    <t>SAINT FRANCIS HOSPITAL - BARTLETT, INC.</t>
  </si>
  <si>
    <t>PHYSICIANS' SPECIALTY HOSPITAL LLC</t>
  </si>
  <si>
    <t>OZARKS MEDICAL CENTER</t>
  </si>
  <si>
    <t>HOMER MEMORIAL HOSPITAL</t>
  </si>
  <si>
    <t>HOWARD MEMORIAL HOSPITAL</t>
  </si>
  <si>
    <t>MENA HOSPITAL COMMISSION</t>
  </si>
  <si>
    <t>PIGGOTT COMMUNITY HOSPITAL</t>
  </si>
  <si>
    <t>UNION GENERAL HOSPITAL</t>
  </si>
  <si>
    <t>SHREVEPORT VAMC</t>
  </si>
  <si>
    <t>ST ANTHONY'S HOSPITAL ASSOCIATION</t>
  </si>
  <si>
    <t>SILOAM SPRINGS ARKANSAS HOSPITAL COMPANY LLC</t>
  </si>
  <si>
    <t>SPECIALISTS HOSPITAL SHREVEPORT, LLC</t>
  </si>
  <si>
    <t>BRFHH SHREVEPORT LLC</t>
  </si>
  <si>
    <t>AMERIS OF ARKANSAS LLC</t>
  </si>
  <si>
    <t>BRIM HOLDING COMPANY, INC.</t>
  </si>
  <si>
    <t>JOHN ED CHAMBERS MEMORIAL HOSPITAL</t>
  </si>
  <si>
    <t>CAH ACQUISITION COMPANY 11 LLC</t>
  </si>
  <si>
    <t>ARKANSAS SURGICAL HOSPITAL, LLC</t>
  </si>
  <si>
    <t>DEWITT HOSPITAL &amp; NURSING HOME, INC.</t>
  </si>
  <si>
    <t>EAST CARROLL PARISH HOSPITAL</t>
  </si>
  <si>
    <t>Access to Hospital by Licensure Type-Acute Care</t>
  </si>
  <si>
    <t>Access to Hospital by Licensure Type-Mental</t>
  </si>
  <si>
    <t>C210</t>
  </si>
  <si>
    <t>Access to Hospital by Licensure Type-Rehabilitation</t>
  </si>
  <si>
    <t>BAPTIST MEMORIAL HOSPITAL-DESOTO, INC.</t>
  </si>
  <si>
    <t>Access to Rheumatologists</t>
  </si>
  <si>
    <t>MCCASLAND, LESLIE</t>
  </si>
  <si>
    <t>JAREK, MARK</t>
  </si>
  <si>
    <t>TOY, WALTON</t>
  </si>
  <si>
    <t>MYERS, LINDA</t>
  </si>
  <si>
    <t>SAKR, SAFWAN</t>
  </si>
  <si>
    <t>FILIP-MAJEWSKI, BEATA</t>
  </si>
  <si>
    <t>KIM, SEUNGHYUN</t>
  </si>
  <si>
    <t>KAUR, RATINDER</t>
  </si>
  <si>
    <t>VOINEA, ALINA</t>
  </si>
  <si>
    <t>DHAWAN, RICHA</t>
  </si>
  <si>
    <t>BERNEY, SETH</t>
  </si>
  <si>
    <t>MALIK, MUBASHER</t>
  </si>
  <si>
    <t>GOODMAN, ROBERT</t>
  </si>
  <si>
    <t>WALTON, MARY</t>
  </si>
  <si>
    <t>REED, MELINDA</t>
  </si>
  <si>
    <t>ARKIN, CHARLES</t>
  </si>
  <si>
    <t>HOLT, HUEY</t>
  </si>
  <si>
    <t>ST. JOHN, MELODY</t>
  </si>
  <si>
    <t>BROADWELL, LARRY</t>
  </si>
  <si>
    <t>HAYAT, SAMINA</t>
  </si>
  <si>
    <t>WINKLER, ANNE</t>
  </si>
  <si>
    <t>LOWERY, LISA</t>
  </si>
  <si>
    <t>MENON, YAMINI</t>
  </si>
  <si>
    <t>SHORT, JESSICA</t>
  </si>
  <si>
    <t>ABRAHAM, JAMES</t>
  </si>
  <si>
    <t>CHI, JASEN</t>
  </si>
  <si>
    <t>AKHIGBE, TITILOLA</t>
  </si>
  <si>
    <t>PATTANAIK, DEBENDRA</t>
  </si>
  <si>
    <t>ROBERTS, RANDY</t>
  </si>
  <si>
    <t>RUBIO, RONALD ANGELO</t>
  </si>
  <si>
    <t>HOUK, RICHARD</t>
  </si>
  <si>
    <t>LUE, CUMMINS</t>
  </si>
  <si>
    <t>CHAPMAN, CATHY</t>
  </si>
  <si>
    <t>ALSEBAI, TAMER</t>
  </si>
  <si>
    <t>BROWN, COLUMBUS</t>
  </si>
  <si>
    <t>SAMPSON, ROY</t>
  </si>
  <si>
    <t>PRESSLY, THOMAS</t>
  </si>
  <si>
    <t>SUKUMARAN, SUKESH</t>
  </si>
  <si>
    <t>KOVALESKI, THOMAS</t>
  </si>
  <si>
    <t>BRANUM, RUSSELL</t>
  </si>
  <si>
    <t>GANGULI, SUDHA</t>
  </si>
  <si>
    <t>MILLS, CHARLES</t>
  </si>
  <si>
    <t>BOATRIGHT, MICHAEL</t>
  </si>
  <si>
    <t>GUPTA, RAMESH</t>
  </si>
  <si>
    <t>SINGH, SHAILENDRA</t>
  </si>
  <si>
    <t>MCCALLUM, JENNIFER</t>
  </si>
  <si>
    <t>WAYNE, RACHEL</t>
  </si>
  <si>
    <t>COTTER, NICOLE</t>
  </si>
  <si>
    <t>KOMATIREDDY, GEETHA</t>
  </si>
  <si>
    <t>SIDDIQUI, ZAINAB</t>
  </si>
  <si>
    <t>DARE, JASON</t>
  </si>
  <si>
    <t>Access to Ophthalmologists</t>
  </si>
  <si>
    <t>RISCH, PATRICK</t>
  </si>
  <si>
    <t>SALLEY, SETH</t>
  </si>
  <si>
    <t>BURROUGHS, DALE</t>
  </si>
  <si>
    <t>MELTON, KAYLA</t>
  </si>
  <si>
    <t>HYMAN, CHARLES</t>
  </si>
  <si>
    <t>SWEARINGEN, JAMES</t>
  </si>
  <si>
    <t>LOWERY, ROBERT</t>
  </si>
  <si>
    <t>COOPER, TOM</t>
  </si>
  <si>
    <t>BYRD, KATHRYN</t>
  </si>
  <si>
    <t>COX, LEIGH</t>
  </si>
  <si>
    <t>FULLER, DANIEL</t>
  </si>
  <si>
    <t>CHRISTENSEN, MICHAEL</t>
  </si>
  <si>
    <t>TEXADA, DONALD</t>
  </si>
  <si>
    <t>LANE, LYDIA</t>
  </si>
  <si>
    <t>HOLT, GRAHAM</t>
  </si>
  <si>
    <t>COOK, LEWIS</t>
  </si>
  <si>
    <t>ROBERTS, JERRY</t>
  </si>
  <si>
    <t>HARPER, JOE</t>
  </si>
  <si>
    <t>GLENN, DAVID</t>
  </si>
  <si>
    <t>SPETH, ESLA</t>
  </si>
  <si>
    <t>WEBB, SAMUEL</t>
  </si>
  <si>
    <t>ROZAS, DAVID</t>
  </si>
  <si>
    <t>BUELL, BRIAN</t>
  </si>
  <si>
    <t>KING, REBECCA</t>
  </si>
  <si>
    <t>BUNDRICK, CLAUDE</t>
  </si>
  <si>
    <t>THARP, LINDA</t>
  </si>
  <si>
    <t>SCHWAB, AIRIELL</t>
  </si>
  <si>
    <t>GATES, JASON</t>
  </si>
  <si>
    <t>LARSON, BRADLY</t>
  </si>
  <si>
    <t>TOMPKINS, AMANDA</t>
  </si>
  <si>
    <t>GEREN, BLAKE</t>
  </si>
  <si>
    <t>HEARD, CYNTHIA</t>
  </si>
  <si>
    <t>REAM, SCOTT</t>
  </si>
  <si>
    <t>FRANKS, JUSTIN</t>
  </si>
  <si>
    <t>SNIDER, ANNE</t>
  </si>
  <si>
    <t>AARON, BRAD</t>
  </si>
  <si>
    <t>STONE, JEAN</t>
  </si>
  <si>
    <t>BRAWNER, KURT</t>
  </si>
  <si>
    <t>HORNE, ANDREA</t>
  </si>
  <si>
    <t>CLAYCOMB, SCOTT</t>
  </si>
  <si>
    <t>PIPER, KNIAL</t>
  </si>
  <si>
    <t>QUINN, CYNTHIA</t>
  </si>
  <si>
    <t>MORRIS, CHRISTOPHER</t>
  </si>
  <si>
    <t>BATTLES, MICHELE</t>
  </si>
  <si>
    <t>CANFIELD, LORI</t>
  </si>
  <si>
    <t>ELLIS, JERRY</t>
  </si>
  <si>
    <t>THOMASON, MICAH</t>
  </si>
  <si>
    <t>MERTINS, ALLYSON</t>
  </si>
  <si>
    <t>FUTRELL, WILLIAM</t>
  </si>
  <si>
    <t>KERR, NATALIE</t>
  </si>
  <si>
    <t>FOWLER, BRIAN</t>
  </si>
  <si>
    <t>VERMA, MONICA</t>
  </si>
  <si>
    <t>MASSEY, JAMES</t>
  </si>
  <si>
    <t>BOWMAN, JOHNNY</t>
  </si>
  <si>
    <t>PLANCHARD, THOMAS</t>
  </si>
  <si>
    <t>YOUNG, JERRY</t>
  </si>
  <si>
    <t>SELLER, SCOTT</t>
  </si>
  <si>
    <t>WOLFE, GREGORY</t>
  </si>
  <si>
    <t>HARRELL, HARRY</t>
  </si>
  <si>
    <t>ELKINS, LINDSAY</t>
  </si>
  <si>
    <t>DORKOWSKI, MICHAEL</t>
  </si>
  <si>
    <t>ZAFFATER, NORMAN</t>
  </si>
  <si>
    <t>ANDERSON, KRISTIN</t>
  </si>
  <si>
    <t>HOLDINGHAUSEN, KARMEN</t>
  </si>
  <si>
    <t>CROSSLIN, CHARLES</t>
  </si>
  <si>
    <t>HERTZOG, JAMES</t>
  </si>
  <si>
    <t>VAUGHAN, SUSAN</t>
  </si>
  <si>
    <t>ENNEN, RANDY</t>
  </si>
  <si>
    <t>PHILLIPS, JEFFREY</t>
  </si>
  <si>
    <t>REDENS, THOMAS</t>
  </si>
  <si>
    <t>LOVE, FRANK</t>
  </si>
  <si>
    <t>HORNE, MARK</t>
  </si>
  <si>
    <t>LYNCH, BENJAMIN</t>
  </si>
  <si>
    <t>CAMPBELL, JOHN</t>
  </si>
  <si>
    <t>WATTS, CECIL</t>
  </si>
  <si>
    <t>HILL, DENISE</t>
  </si>
  <si>
    <t>JONES, MATTHEW</t>
  </si>
  <si>
    <t>CHWE, T</t>
  </si>
  <si>
    <t>MCDOWELL, GAVIN</t>
  </si>
  <si>
    <t>SOWELL, STEVEN</t>
  </si>
  <si>
    <t>GOLLAMUDI, SUBBA</t>
  </si>
  <si>
    <t>MAY, LARA</t>
  </si>
  <si>
    <t>HESTER, CHRISTIAN</t>
  </si>
  <si>
    <t>GRANT, RACHEL</t>
  </si>
  <si>
    <t>ELCYZYN, TIM</t>
  </si>
  <si>
    <t>ROBINSON, BRIAN</t>
  </si>
  <si>
    <t>SMITH, KELLYE</t>
  </si>
  <si>
    <t>JONES, RAYMOND</t>
  </si>
  <si>
    <t>PARENTI, PETE</t>
  </si>
  <si>
    <t>WILSON, HALEY</t>
  </si>
  <si>
    <t>BERG, MARY</t>
  </si>
  <si>
    <t>KRIGER, SIDNEY</t>
  </si>
  <si>
    <t>MCCALL, JOHN</t>
  </si>
  <si>
    <t>HRUBY, PAUL</t>
  </si>
  <si>
    <t>DINWIDDIE, JESSICA</t>
  </si>
  <si>
    <t>ZIERLEIN, STEELE</t>
  </si>
  <si>
    <t>HALSTED, JESSALYN</t>
  </si>
  <si>
    <t>MATHEWS, DENNIS</t>
  </si>
  <si>
    <t>LILES, C.</t>
  </si>
  <si>
    <t>PRIBORSKY, KARI</t>
  </si>
  <si>
    <t>DR PENNY FRESHOUR OD PA</t>
  </si>
  <si>
    <t>ROSE, ANGELA</t>
  </si>
  <si>
    <t>BRIGGS, MARK</t>
  </si>
  <si>
    <t>RAMSHUR, ASHLEY</t>
  </si>
  <si>
    <t>LEPINE, REENA</t>
  </si>
  <si>
    <t>MCMILLIAN, JEFF</t>
  </si>
  <si>
    <t>REAM, ANNE</t>
  </si>
  <si>
    <t>ELAM, JIMMY</t>
  </si>
  <si>
    <t>DEVITT, KYMBERLY</t>
  </si>
  <si>
    <t>KEATING, BILL</t>
  </si>
  <si>
    <t>SQUIER, KAREN</t>
  </si>
  <si>
    <t>BERRY, ROBERT</t>
  </si>
  <si>
    <t>BRADY, JAMES</t>
  </si>
  <si>
    <t>BELL, TROY</t>
  </si>
  <si>
    <t>YOOS, WILLIAM</t>
  </si>
  <si>
    <t>HOOPER, SANFORD</t>
  </si>
  <si>
    <t>GERSTNER, MICHAEL</t>
  </si>
  <si>
    <t>FENTON, ELVIN</t>
  </si>
  <si>
    <t>HARVILLE, BETTY</t>
  </si>
  <si>
    <t>HAUSER, WHITNEY</t>
  </si>
  <si>
    <t>WILLIAMS, DEBRA</t>
  </si>
  <si>
    <t>BALTZ, DANIEL</t>
  </si>
  <si>
    <t>HARRAL, RUSSELL</t>
  </si>
  <si>
    <t>BETTS, CHAD</t>
  </si>
  <si>
    <t>BACIGALUPO, WILLIAM</t>
  </si>
  <si>
    <t>MCQUIRTER, HENRY</t>
  </si>
  <si>
    <t>SCHROEDER, JUSTIN</t>
  </si>
  <si>
    <t>LASTER, SHANE</t>
  </si>
  <si>
    <t>JOHNSON, WARREN</t>
  </si>
  <si>
    <t>BALTZ, KATHERINE</t>
  </si>
  <si>
    <t>DEER, PHILIP</t>
  </si>
  <si>
    <t>COFFEE, WILLIAM</t>
  </si>
  <si>
    <t>BAKER, DAVID</t>
  </si>
  <si>
    <t>DUNCAN, KRISTEN</t>
  </si>
  <si>
    <t>NETZEL, JEFFREY</t>
  </si>
  <si>
    <t>SMITH, ALAN</t>
  </si>
  <si>
    <t>PARK, JERRY</t>
  </si>
  <si>
    <t>BOHN, SHIVA</t>
  </si>
  <si>
    <t>JONES, JENNIFER</t>
  </si>
  <si>
    <t>PRATT, CEDRIC</t>
  </si>
  <si>
    <t>CATE, LEAH</t>
  </si>
  <si>
    <t>VANCE, DUSTIN</t>
  </si>
  <si>
    <t>GUY, ANN</t>
  </si>
  <si>
    <t>TOYOS, MELISSA</t>
  </si>
  <si>
    <t>DEBLACK, SUSAN</t>
  </si>
  <si>
    <t>MEYER, LARRY</t>
  </si>
  <si>
    <t>DECKER, BOBBY</t>
  </si>
  <si>
    <t>THORNTON, CHARLES</t>
  </si>
  <si>
    <t>ALLEN, MARK</t>
  </si>
  <si>
    <t>KIRCHNER, FREDERICK</t>
  </si>
  <si>
    <t>CARNIE, CYNTHIA</t>
  </si>
  <si>
    <t>NEWBOLT, EVAN</t>
  </si>
  <si>
    <t>HINRICHSEN, JOHN</t>
  </si>
  <si>
    <t>HOFFMAN, MATTHEW</t>
  </si>
  <si>
    <t>KING, JOHN</t>
  </si>
  <si>
    <t>ANDERSEN, WESLEY</t>
  </si>
  <si>
    <t>HULL, ROBYN</t>
  </si>
  <si>
    <t>GUICE, WILLIAM</t>
  </si>
  <si>
    <t>SELMAN, FRANKLIN</t>
  </si>
  <si>
    <t>SPARROW, SYLVIA</t>
  </si>
  <si>
    <t>SCOTT-NUTT, ALYSSA</t>
  </si>
  <si>
    <t>MYERS, MARTHA</t>
  </si>
  <si>
    <t>BROGDEN, NEIL</t>
  </si>
  <si>
    <t>MULLINIKS, HAYLIE</t>
  </si>
  <si>
    <t>ROBERTSON, MELIA</t>
  </si>
  <si>
    <t>BRANTON, JON</t>
  </si>
  <si>
    <t>LAULE, ALICE</t>
  </si>
  <si>
    <t>TODD, CHARLES</t>
  </si>
  <si>
    <t>TAUB, MARC</t>
  </si>
  <si>
    <t>SWINK, BRANDON</t>
  </si>
  <si>
    <t>CHUNG, HON</t>
  </si>
  <si>
    <t>CRAINE, BRANDON</t>
  </si>
  <si>
    <t>SUGG, JOSEPH</t>
  </si>
  <si>
    <t>MITCHELL, BILLY</t>
  </si>
  <si>
    <t>CURREY, THOMAS</t>
  </si>
  <si>
    <t>POPE, CHARLES</t>
  </si>
  <si>
    <t>TEMPLETON, JOE</t>
  </si>
  <si>
    <t>WAGGONER, MICHAEL</t>
  </si>
  <si>
    <t>MORSHEDI, RICHARD</t>
  </si>
  <si>
    <t>STUCKEY, JOHN</t>
  </si>
  <si>
    <t>MISISCHIA, PAUL</t>
  </si>
  <si>
    <t>MAGIE, STEPHEN</t>
  </si>
  <si>
    <t>YANEY, JOHN</t>
  </si>
  <si>
    <t>KILLOUGH, MICHAEL</t>
  </si>
  <si>
    <t>DAVIS, DINA</t>
  </si>
  <si>
    <t>SCHLUTERMAN, ADAM</t>
  </si>
  <si>
    <t>ECHOLS, JAMES</t>
  </si>
  <si>
    <t>BREWER, ICEM</t>
  </si>
  <si>
    <t>BRUNK, KIMBERLEY</t>
  </si>
  <si>
    <t>TAYLOR, JIM</t>
  </si>
  <si>
    <t>RODMAN, TASKER</t>
  </si>
  <si>
    <t>CAROZZA, RAYMOND</t>
  </si>
  <si>
    <t>BRYANT, NORMAN</t>
  </si>
  <si>
    <t>HOLLIDAY, JAMES</t>
  </si>
  <si>
    <t>BARTUCCIO VALENTINO, MARY</t>
  </si>
  <si>
    <t>GRIFFITH, ALLISON</t>
  </si>
  <si>
    <t>DAVIS, STEPHEN</t>
  </si>
  <si>
    <t>CLEMONS, MARY</t>
  </si>
  <si>
    <t>LANGSTON, ANDY</t>
  </si>
  <si>
    <t>SPARKS, BERNARD</t>
  </si>
  <si>
    <t>LEWIS, STEPHEN</t>
  </si>
  <si>
    <t>BELL, ALEX</t>
  </si>
  <si>
    <t>ARMSTRONG, JESSICA</t>
  </si>
  <si>
    <t>CULLINS, JAMES</t>
  </si>
  <si>
    <t>VANSCYOC, CAROL</t>
  </si>
  <si>
    <t>FITZHUGH, ROBERT</t>
  </si>
  <si>
    <t>SMITH, JEFFREY</t>
  </si>
  <si>
    <t>PEARSON, HAROLD</t>
  </si>
  <si>
    <t>FLORES, ANA</t>
  </si>
  <si>
    <t>HURST, ROBERT</t>
  </si>
  <si>
    <t>LUNSFORD, SARAH</t>
  </si>
  <si>
    <t>BODACK, MARIE</t>
  </si>
  <si>
    <t>GOSSLEE, JEFFREY</t>
  </si>
  <si>
    <t>GRAHAM, CALVIN</t>
  </si>
  <si>
    <t>ELLISON, EUGENE</t>
  </si>
  <si>
    <t>STUTZMAN FAULKNER, JULIE</t>
  </si>
  <si>
    <t>LAWRENCE, FRANK</t>
  </si>
  <si>
    <t>VAN, THU</t>
  </si>
  <si>
    <t>GILL BUTLER, TERI</t>
  </si>
  <si>
    <t>MEDLOCK, RICKEY</t>
  </si>
  <si>
    <t>FOWLER, PHILLIP</t>
  </si>
  <si>
    <t>ADAMS, SERRHEL</t>
  </si>
  <si>
    <t>GILLESPIE, JOHN</t>
  </si>
  <si>
    <t>EDWARDS, CATHY</t>
  </si>
  <si>
    <t>DANG, KEVIN</t>
  </si>
  <si>
    <t>SPURLOCK, DERRELL</t>
  </si>
  <si>
    <t>WARNER, DAVID</t>
  </si>
  <si>
    <t>SAVOY, RICHARD</t>
  </si>
  <si>
    <t>NEAL, ROGER</t>
  </si>
  <si>
    <t>LAYTON, ERIC</t>
  </si>
  <si>
    <t>CLEM, RICHARD</t>
  </si>
  <si>
    <t>TRICHEL, JESSICA</t>
  </si>
  <si>
    <t>CAPE, RICHARD</t>
  </si>
  <si>
    <t>HENRY, MORRISS</t>
  </si>
  <si>
    <t>BABER, WILSON</t>
  </si>
  <si>
    <t>PHILPOTT, WILLIAM</t>
  </si>
  <si>
    <t>WALKER, PATRICIA</t>
  </si>
  <si>
    <t>JAROS, JAMES</t>
  </si>
  <si>
    <t>HARPER, RICHARD</t>
  </si>
  <si>
    <t>NEVINS, WILLIAM</t>
  </si>
  <si>
    <t>MOLL, MEGAN</t>
  </si>
  <si>
    <t>NAYLOR, ARTHUR</t>
  </si>
  <si>
    <t>PANG, VICTOR</t>
  </si>
  <si>
    <t>CLARK-WELLS, CHRISTY</t>
  </si>
  <si>
    <t>UMBRIGHT, KEVIN</t>
  </si>
  <si>
    <t>HILLIARD, KYLIE</t>
  </si>
  <si>
    <t>LUSK, JEFFREY</t>
  </si>
  <si>
    <t>LITCH, MELVIN</t>
  </si>
  <si>
    <t>HEINEMANN, PHILLIP</t>
  </si>
  <si>
    <t>COOPER, STEPHAN</t>
  </si>
  <si>
    <t>HOOKER, PHILLIP</t>
  </si>
  <si>
    <t>BAILEY, FINIS</t>
  </si>
  <si>
    <t>CALDWELL, JULIE</t>
  </si>
  <si>
    <t>BRANDON, PHILIP</t>
  </si>
  <si>
    <t>NIX, THOMAS</t>
  </si>
  <si>
    <t>NEWMAN, CHRISTINA</t>
  </si>
  <si>
    <t>DITTA, LAUREN</t>
  </si>
  <si>
    <t>WALL, VANESSA</t>
  </si>
  <si>
    <t>PATTERSON, CODY</t>
  </si>
  <si>
    <t>HUBBARD, KENNETH</t>
  </si>
  <si>
    <t>HENNESSEY, DANIEL</t>
  </si>
  <si>
    <t>WHEAT-SIPES, M.</t>
  </si>
  <si>
    <t>WYATT, KENNY</t>
  </si>
  <si>
    <t>BRAVARD, STEVEN</t>
  </si>
  <si>
    <t>LIEBLONG, JUSTIN</t>
  </si>
  <si>
    <t>STARKEY, BELINDA</t>
  </si>
  <si>
    <t>MABREY, WILLIAM</t>
  </si>
  <si>
    <t>TANNEHILL, MIKE</t>
  </si>
  <si>
    <t>MEBRUER, STEPHEN</t>
  </si>
  <si>
    <t>VAUGHN, WANDA</t>
  </si>
  <si>
    <t>WERTHEIMER, MICHAEL</t>
  </si>
  <si>
    <t>ZIERLEIN, JENNIFER</t>
  </si>
  <si>
    <t>O'DONNELL, THOMAS</t>
  </si>
  <si>
    <t>FOWLER, LITTLETON</t>
  </si>
  <si>
    <t>SMALLING, ROBERT</t>
  </si>
  <si>
    <t>TOLLER, KEVIN</t>
  </si>
  <si>
    <t>GREER, CHRISTOPHER</t>
  </si>
  <si>
    <t>HALL, WILLIAM</t>
  </si>
  <si>
    <t>HOOK, TODD</t>
  </si>
  <si>
    <t>KLEIN, NATHAN</t>
  </si>
  <si>
    <t>KNOX, ROBERT</t>
  </si>
  <si>
    <t>OWENS, KIMBERLY</t>
  </si>
  <si>
    <t>SIMMONS, JONATHAN</t>
  </si>
  <si>
    <t>FLINN, CARL</t>
  </si>
  <si>
    <t>BRALEY, RICHARD</t>
  </si>
  <si>
    <t>SCOTT, HENRY</t>
  </si>
  <si>
    <t>VEAL, JAMI</t>
  </si>
  <si>
    <t>MURPHY, DAVID</t>
  </si>
  <si>
    <t>WELLS, CASEY</t>
  </si>
  <si>
    <t>GALDAMEZ, JUAN</t>
  </si>
  <si>
    <t>LIVENGOOD, KEVIN</t>
  </si>
  <si>
    <t>SEELINGER, MASON</t>
  </si>
  <si>
    <t>HOEHN, MARY</t>
  </si>
  <si>
    <t>BRADFORD, JAMES</t>
  </si>
  <si>
    <t>KANNER, ELLIOTT</t>
  </si>
  <si>
    <t>DOAN, KENNAN</t>
  </si>
  <si>
    <t>SCHROEDER, GEORGE</t>
  </si>
  <si>
    <t>PASTILONG, CHRISTINE</t>
  </si>
  <si>
    <t>MORGAN, RACHEL</t>
  </si>
  <si>
    <t>HOLT, TAMATHA</t>
  </si>
  <si>
    <t>PRATT, THOMAS</t>
  </si>
  <si>
    <t>CHACKO, JOSEPH</t>
  </si>
  <si>
    <t>HEIEN, KRISTIN</t>
  </si>
  <si>
    <t>ZARN, MELISSA</t>
  </si>
  <si>
    <t>TOLBERT, AMY</t>
  </si>
  <si>
    <t>BYERS, ALICIA</t>
  </si>
  <si>
    <t>HERNDON, KAMRI</t>
  </si>
  <si>
    <t>FORD, SHANE</t>
  </si>
  <si>
    <t>WALLEY, BRANDON</t>
  </si>
  <si>
    <t>SINES, DANIEL</t>
  </si>
  <si>
    <t>LEBOWITZ, CARRIE</t>
  </si>
  <si>
    <t>BRIGHT, JASON</t>
  </si>
  <si>
    <t>MYERS, JIM</t>
  </si>
  <si>
    <t>CISARIK, PATRICIA</t>
  </si>
  <si>
    <t>SIMMONS, CREIGHTON</t>
  </si>
  <si>
    <t>NEWTON, ROBERT</t>
  </si>
  <si>
    <t>NICKS, ZAKIYA</t>
  </si>
  <si>
    <t>CASCIANO, JONATHAN</t>
  </si>
  <si>
    <t>FLETCHER, CHARLES</t>
  </si>
  <si>
    <t>GAYSO, DON</t>
  </si>
  <si>
    <t>NAWAS, WALLY</t>
  </si>
  <si>
    <t>HIDAJI, FARAMARZ</t>
  </si>
  <si>
    <t>FALUDI, JEFFREY</t>
  </si>
  <si>
    <t>HOFFMAN, COURTNEY</t>
  </si>
  <si>
    <t>PEMBERTON, JOHN</t>
  </si>
  <si>
    <t>JOHNSON, JAMIE</t>
  </si>
  <si>
    <t>MCMINN, JUSTIN</t>
  </si>
  <si>
    <t>CALZADA, JORGE</t>
  </si>
  <si>
    <t>FREEMAN, JOHN</t>
  </si>
  <si>
    <t>GLASS, JAMES</t>
  </si>
  <si>
    <t>HUTCHINS, MALCOLM</t>
  </si>
  <si>
    <t>BRODIE, DARREN</t>
  </si>
  <si>
    <t>BUCK, RICHARD</t>
  </si>
  <si>
    <t>DACUS, ROBERT</t>
  </si>
  <si>
    <t>EAGLE, ANGELA</t>
  </si>
  <si>
    <t>HORNER, MAX</t>
  </si>
  <si>
    <t>LYON, CHARLES</t>
  </si>
  <si>
    <t>LIANG, CHANPING</t>
  </si>
  <si>
    <t>CRUM, AMANDA</t>
  </si>
  <si>
    <t>ROBBINS, ERIC</t>
  </si>
  <si>
    <t>STEELE, GLEN</t>
  </si>
  <si>
    <t>DUNN, VAN</t>
  </si>
  <si>
    <t>JONES, KENNETH</t>
  </si>
  <si>
    <t>DAVIS, ROMONA</t>
  </si>
  <si>
    <t>WHITLEY, STAN</t>
  </si>
  <si>
    <t>JACKSON, JULIA</t>
  </si>
  <si>
    <t>MANNING, THOMAS</t>
  </si>
  <si>
    <t>ANDERSEN, HOLLY</t>
  </si>
  <si>
    <t>AU, YUE KONG</t>
  </si>
  <si>
    <t>PAULUS, PANAGIOTIS</t>
  </si>
  <si>
    <t>WRIGHT, SABRE</t>
  </si>
  <si>
    <t>LINDER, JAMES</t>
  </si>
  <si>
    <t>CANNON, THOMAS</t>
  </si>
  <si>
    <t>FURR, PHILIP</t>
  </si>
  <si>
    <t>FOLLOWELL, JOSEPH</t>
  </si>
  <si>
    <t>BROWN, CALVIN</t>
  </si>
  <si>
    <t>WILLETT, STEPHANIE</t>
  </si>
  <si>
    <t>TEED, FRANK</t>
  </si>
  <si>
    <t>BURKS, RONALD</t>
  </si>
  <si>
    <t>FISHER, HERBERT</t>
  </si>
  <si>
    <t>PETTY, REGAN</t>
  </si>
  <si>
    <t>REID, NELSON</t>
  </si>
  <si>
    <t>LANDIS, DANIEL</t>
  </si>
  <si>
    <t>KESSLER, COURTNEY</t>
  </si>
  <si>
    <t>TEAGUE, KRISTEN</t>
  </si>
  <si>
    <t>PROVENCE-PERRY, MEGAN</t>
  </si>
  <si>
    <t>HINES, BRADLEY</t>
  </si>
  <si>
    <t>HENRY, PAUL</t>
  </si>
  <si>
    <t>STANK, THOMAS</t>
  </si>
  <si>
    <t>IRBY, JARRELL</t>
  </si>
  <si>
    <t>RAY, RICK</t>
  </si>
  <si>
    <t>ORWIG, DAVID</t>
  </si>
  <si>
    <t>KOONTZ, BRYAN</t>
  </si>
  <si>
    <t>CLEMONS, CAROL</t>
  </si>
  <si>
    <t>BROCK, WADE</t>
  </si>
  <si>
    <t>HESTER, JOE</t>
  </si>
  <si>
    <t>DAIBER, AMY</t>
  </si>
  <si>
    <t>MCCALL, LARRY</t>
  </si>
  <si>
    <t>LIVENGOOD, KELSEY</t>
  </si>
  <si>
    <t>CARMODY, JOHN</t>
  </si>
  <si>
    <t>ELFERVIG, JOHN</t>
  </si>
  <si>
    <t>KRAUSS, ANDREW</t>
  </si>
  <si>
    <t>CHIN, LESLIE</t>
  </si>
  <si>
    <t>CHUNG, KATHLEEN</t>
  </si>
  <si>
    <t>MCALISTER, JOSEPH</t>
  </si>
  <si>
    <t>ZOCCHI, KENT</t>
  </si>
  <si>
    <t>HALL, ALLISON</t>
  </si>
  <si>
    <t>NEWMAN, ERIN</t>
  </si>
  <si>
    <t>ERWIN, SAMUEL</t>
  </si>
  <si>
    <t>RUSHING, BRANDON</t>
  </si>
  <si>
    <t>DOLVEN, JULIE</t>
  </si>
  <si>
    <t>PIERSON, STEPHEN</t>
  </si>
  <si>
    <t>SCAIFE, ROBERT</t>
  </si>
  <si>
    <t>WESTFALL, CHRISTOPHER</t>
  </si>
  <si>
    <t>SANDY, MICHAEL</t>
  </si>
  <si>
    <t>FRIEDMAN, RYAN</t>
  </si>
  <si>
    <t>STAFFORD, JENNIFER</t>
  </si>
  <si>
    <t>GORE, MARTHA</t>
  </si>
  <si>
    <t>HUNTRESS, JAMES</t>
  </si>
  <si>
    <t>KILGORE, KENNETH</t>
  </si>
  <si>
    <t>SANDERSON, JENNIFER</t>
  </si>
  <si>
    <t>HUGHES, MARTY</t>
  </si>
  <si>
    <t>WRIGHT, ETHAN</t>
  </si>
  <si>
    <t>VANDERBUSH, JOHN</t>
  </si>
  <si>
    <t>PETERSON, LUKE</t>
  </si>
  <si>
    <t>BOST, R</t>
  </si>
  <si>
    <t>BRADLEY, SAM</t>
  </si>
  <si>
    <t>PATTERSON, WILLIAM</t>
  </si>
  <si>
    <t>DEITRICK, CHRIS</t>
  </si>
  <si>
    <t>BELL, BILL</t>
  </si>
  <si>
    <t>ASSING, DALE</t>
  </si>
  <si>
    <t>BOYETTE, BRITTANY</t>
  </si>
  <si>
    <t>ENSOR, MICHAEL</t>
  </si>
  <si>
    <t>HENRY, RICHARD</t>
  </si>
  <si>
    <t>DUNAWAY, EDWIN</t>
  </si>
  <si>
    <t>VANNORMAN, RUSSELL</t>
  </si>
  <si>
    <t>EDMONDSON, WILLIAM</t>
  </si>
  <si>
    <t>SEMMLER, MICHAEL</t>
  </si>
  <si>
    <t>SUMMERS, SEAN</t>
  </si>
  <si>
    <t>UWAYDAT, SAMI</t>
  </si>
  <si>
    <t>BAKOWSKI, GEORGE</t>
  </si>
  <si>
    <t>JOHNSON, SCOTT</t>
  </si>
  <si>
    <t>KHAMAPIRAD, TAWAN</t>
  </si>
  <si>
    <t>FAULKNER, MARTIN</t>
  </si>
  <si>
    <t>EPPERSON, EDDIE</t>
  </si>
  <si>
    <t>PETROVIC, VELIMIR</t>
  </si>
  <si>
    <t>AUSTIN, LAURA</t>
  </si>
  <si>
    <t>CHUNG, ANH</t>
  </si>
  <si>
    <t>HARRIS, PAUL</t>
  </si>
  <si>
    <t>PASSONS, GARY</t>
  </si>
  <si>
    <t>NORTON, WILBER</t>
  </si>
  <si>
    <t>BOOTH, ALLISON</t>
  </si>
  <si>
    <t>BRYANT, GLEN</t>
  </si>
  <si>
    <t>LONG, DEREK</t>
  </si>
  <si>
    <t>HALL, HOWARD</t>
  </si>
  <si>
    <t>SAWYER, WILLIAM</t>
  </si>
  <si>
    <t>LUSK, BRYAN</t>
  </si>
  <si>
    <t>TILLEY, MARIMEL</t>
  </si>
  <si>
    <t>TOWLE, WALLACE</t>
  </si>
  <si>
    <t>WILKES, BYRON</t>
  </si>
  <si>
    <t>HOANG, KIMMY</t>
  </si>
  <si>
    <t>GARRETT, GEOFFREY</t>
  </si>
  <si>
    <t>SHUM, STEVEN</t>
  </si>
  <si>
    <t>SIMMONS, RUSSELL</t>
  </si>
  <si>
    <t>DUMAS, JANETTE</t>
  </si>
  <si>
    <t>BEALE, HOWARD</t>
  </si>
  <si>
    <t>KINDY, ERIN</t>
  </si>
  <si>
    <t>JONES, TRAVIS</t>
  </si>
  <si>
    <t>STAINTON, JOSEPH</t>
  </si>
  <si>
    <t>SUFFRIDGE, PHILLIP</t>
  </si>
  <si>
    <t>LOWERY, RONALD</t>
  </si>
  <si>
    <t>LORUSSO, FRANK</t>
  </si>
  <si>
    <t>ARMSTRONG, BRYAN</t>
  </si>
  <si>
    <t>MYERS, JEFFERY</t>
  </si>
  <si>
    <t>FOSTER, TERRY</t>
  </si>
  <si>
    <t>JEFFRIES, ROBERT</t>
  </si>
  <si>
    <t>LANGEVIN, MICHAEL</t>
  </si>
  <si>
    <t>LIEBLONG, JIM</t>
  </si>
  <si>
    <t>RAFIEETARY, MOHAMMAD</t>
  </si>
  <si>
    <t>GRAY, J.</t>
  </si>
  <si>
    <t>LAW, MICHAEL</t>
  </si>
  <si>
    <t>SALLAM, AHMED</t>
  </si>
  <si>
    <t>BAUGH, STEPHEN</t>
  </si>
  <si>
    <t>SMITH, CONSTANCE</t>
  </si>
  <si>
    <t>NOSACKA, DOUGLAS</t>
  </si>
  <si>
    <t>GRAHAM CLOVERLEAF OPTICAL INC.</t>
  </si>
  <si>
    <t>SNYDER, JENNIFER</t>
  </si>
  <si>
    <t>ORGAIN, ROBERT</t>
  </si>
  <si>
    <t>MCDONNELL, EDWARD</t>
  </si>
  <si>
    <t>ST PIERRE, LEE</t>
  </si>
  <si>
    <t>RAE, STEVEN</t>
  </si>
  <si>
    <t>GENTRY, CARYLENE</t>
  </si>
  <si>
    <t>WETICK, STEPHEN</t>
  </si>
  <si>
    <t>WIGGINS, JOSHUA</t>
  </si>
  <si>
    <t>SINGLETON, ERNEST</t>
  </si>
  <si>
    <t>KILGORE, ELIZABETH</t>
  </si>
  <si>
    <t>MCLAURIN, EUGENE</t>
  </si>
  <si>
    <t>DELLACROCE, JOHN</t>
  </si>
  <si>
    <t>CATE, STANLEY</t>
  </si>
  <si>
    <t>WENGER BOWLING, STACEY</t>
  </si>
  <si>
    <t>AKEL, ABRAHAM</t>
  </si>
  <si>
    <t>COOKE, SAM</t>
  </si>
  <si>
    <t>HATCHETT-BRIGHT, TIFFANY</t>
  </si>
  <si>
    <t>JAMES, BRENT</t>
  </si>
  <si>
    <t>SHAVER, JONATHAN</t>
  </si>
  <si>
    <t>RAINES, STACEY</t>
  </si>
  <si>
    <t>SOWERS, HAYDEN</t>
  </si>
  <si>
    <t>NELSON MORDEN, LAUREN</t>
  </si>
  <si>
    <t>LANE, MILTON</t>
  </si>
  <si>
    <t>AMERINE HARRIS, DENA</t>
  </si>
  <si>
    <t>MOSS, EDWIN</t>
  </si>
  <si>
    <t>NEYMEYER, GARY</t>
  </si>
  <si>
    <t>PELTAN, HAROLD</t>
  </si>
  <si>
    <t>CAMP, DAVID</t>
  </si>
  <si>
    <t>LAWRENCE, ANNA</t>
  </si>
  <si>
    <t>MCFARLAND, MICHAEL</t>
  </si>
  <si>
    <t>DAVIS, RICK</t>
  </si>
  <si>
    <t>DUNN, GEORGE</t>
  </si>
  <si>
    <t>ERVIN, CHERYL</t>
  </si>
  <si>
    <t>GULLEY, THOMAS</t>
  </si>
  <si>
    <t>JONES, ROBERT</t>
  </si>
  <si>
    <t>WOOD, DOUGLAS</t>
  </si>
  <si>
    <t>SCHANZER, MARY</t>
  </si>
  <si>
    <t>TEAGUE, AUDIE</t>
  </si>
  <si>
    <t>PHILLIPS, PAUL</t>
  </si>
  <si>
    <t>CURTIS, MICHAEL</t>
  </si>
  <si>
    <t>RAMER, GREGORY</t>
  </si>
  <si>
    <t>JUSTUS, THOMAS</t>
  </si>
  <si>
    <t>COX, RANDAL</t>
  </si>
  <si>
    <t>DRUMMOND, JOHN</t>
  </si>
  <si>
    <t>CROOKS, ALICIA</t>
  </si>
  <si>
    <t>HERTZOG, CHARITY</t>
  </si>
  <si>
    <t>AMERINE, PERRY</t>
  </si>
  <si>
    <t>PRICE, CLAIRE</t>
  </si>
  <si>
    <t>HATCHER, AMANDA</t>
  </si>
  <si>
    <t>COLEMAN, WYCHE</t>
  </si>
  <si>
    <t>WARE, GERALD</t>
  </si>
  <si>
    <t>SAVAGE, JAMES</t>
  </si>
  <si>
    <t>MCGRIFF, WILSON</t>
  </si>
  <si>
    <t>SKINNER, HOLLEY</t>
  </si>
  <si>
    <t>MCFALL, WHITNEY</t>
  </si>
  <si>
    <t>SHELBY, CHRISTOPHER</t>
  </si>
  <si>
    <t>BANKS, NICK</t>
  </si>
  <si>
    <t>CHANEY, JOE</t>
  </si>
  <si>
    <t>CHARLES, STEVE</t>
  </si>
  <si>
    <t>RAMOS, OSCAR</t>
  </si>
  <si>
    <t>BORGMAN, CHRISTOPHER</t>
  </si>
  <si>
    <t>CHU, CHARLEY</t>
  </si>
  <si>
    <t>NUTT, JERRY</t>
  </si>
  <si>
    <t>KAVOUSSI, HAROLD</t>
  </si>
  <si>
    <t>MARIS, VANESSA</t>
  </si>
  <si>
    <t>REEVES, LESLIE</t>
  </si>
  <si>
    <t>DOYLE, JENNIFER</t>
  </si>
  <si>
    <t>BINKLEY, ROBERT</t>
  </si>
  <si>
    <t>SULLIVAN, MARY</t>
  </si>
  <si>
    <t>NETZEL, JORDAN</t>
  </si>
  <si>
    <t>MORDEN, JUSTIN</t>
  </si>
  <si>
    <t>DENTON, NORMAN</t>
  </si>
  <si>
    <t>ROSS, JONATHAN</t>
  </si>
  <si>
    <t>BROWN, CRAIG</t>
  </si>
  <si>
    <t>BALTZ, TRACY</t>
  </si>
  <si>
    <t>DUNCAN, JASON</t>
  </si>
  <si>
    <t>PHILLIPS, DAVID</t>
  </si>
  <si>
    <t>CHARTON, JUSTIN</t>
  </si>
  <si>
    <t>BROWN, KATHRYN</t>
  </si>
  <si>
    <t>VOLD, STEVEN</t>
  </si>
  <si>
    <t>ERGLE, CHEVRON</t>
  </si>
  <si>
    <t>VENABLE, JAMES</t>
  </si>
  <si>
    <t>USDAN, DAVID</t>
  </si>
  <si>
    <t>MARCOPULOS, NICHOLAS</t>
  </si>
  <si>
    <t>LANDIS, KATHERINE</t>
  </si>
  <si>
    <t>SCHMUCKER, TRACEY</t>
  </si>
  <si>
    <t>FREEMAN, JAMES</t>
  </si>
  <si>
    <t>CHRISTIAN, KRISTIN</t>
  </si>
  <si>
    <t>LINN, JOHN</t>
  </si>
  <si>
    <t>STROSSNER, JEFFREY</t>
  </si>
  <si>
    <t>PITTS, JENNIFER</t>
  </si>
  <si>
    <t>SCRUGGS, JENNIFER</t>
  </si>
  <si>
    <t>HARRIS, BARRY</t>
  </si>
  <si>
    <t>SCHAEFFER, ALAN</t>
  </si>
  <si>
    <t>GURLEY, R</t>
  </si>
  <si>
    <t>LIEVENS, CHRISTOPHER</t>
  </si>
  <si>
    <t>MORRIS, WILLIAM</t>
  </si>
  <si>
    <t>ROWLAND, JOSEPH</t>
  </si>
  <si>
    <t>GOYAL, SUNALI</t>
  </si>
  <si>
    <t>WRIGHT, HARVEY</t>
  </si>
  <si>
    <t>BRAINARD, JAY</t>
  </si>
  <si>
    <t>HOWELL, ANGELA</t>
  </si>
  <si>
    <t>MILLER, MERRILL</t>
  </si>
  <si>
    <t>HART, JULIE</t>
  </si>
  <si>
    <t>BAUREIS, MEGAN</t>
  </si>
  <si>
    <t>BLAIR, SUSAN</t>
  </si>
  <si>
    <t>MOSER, REBECCA</t>
  </si>
  <si>
    <t>RENNER, MATTHEW</t>
  </si>
  <si>
    <t>MOSELEY, THOMAS</t>
  </si>
  <si>
    <t>REN, DAVID</t>
  </si>
  <si>
    <t>BELL, RANDALL</t>
  </si>
  <si>
    <t>BEAVERS, JUSTIN</t>
  </si>
  <si>
    <t>MOLL, JACOB</t>
  </si>
  <si>
    <t>HUNT, KAMRON</t>
  </si>
  <si>
    <t>BROWN, BARRETT</t>
  </si>
  <si>
    <t>DAUT, PETER</t>
  </si>
  <si>
    <t>YOUNG, MASON</t>
  </si>
  <si>
    <t>BARNES, RICHARD</t>
  </si>
  <si>
    <t>PANDYA-LIPMAN, RASHMI</t>
  </si>
  <si>
    <t>CLIFTON, DEANA</t>
  </si>
  <si>
    <t>CROTHERS, ANDREW</t>
  </si>
  <si>
    <t>SIEVERS, RICHARD</t>
  </si>
  <si>
    <t>PENICK, EDWARD</t>
  </si>
  <si>
    <t>TOYOS, ROLANDO</t>
  </si>
  <si>
    <t>SHOCK, JOHN</t>
  </si>
  <si>
    <t>MOSER, JAMES</t>
  </si>
  <si>
    <t>JONES, BART</t>
  </si>
  <si>
    <t>MANNING, DAVID</t>
  </si>
  <si>
    <t>MEADOR, RICKY</t>
  </si>
  <si>
    <t>MARGOLIS, MATTHEW</t>
  </si>
  <si>
    <t>BILLINGSLEY, JOHN</t>
  </si>
  <si>
    <t>KIIHNL, MICHAEL</t>
  </si>
  <si>
    <t>KINSLOW, IVORY</t>
  </si>
  <si>
    <t>KERR, AARON</t>
  </si>
  <si>
    <t>HENDERSON, KENYA</t>
  </si>
  <si>
    <t>GIBSON, CHARLES</t>
  </si>
  <si>
    <t>GORDON, LAWRENCE</t>
  </si>
  <si>
    <t>WHITTAKER, TERI</t>
  </si>
  <si>
    <t>TURNER, CLIFFORD</t>
  </si>
  <si>
    <t>ROBERSON, MICHAEL</t>
  </si>
  <si>
    <t>TALLEY, DAVID</t>
  </si>
  <si>
    <t>ROBERTS, STEVE</t>
  </si>
  <si>
    <t>DOBBS, WYMAN</t>
  </si>
  <si>
    <t>SEMMLER, SUSAN</t>
  </si>
  <si>
    <t>PIERANGELI, GREGORY</t>
  </si>
  <si>
    <t>SQUIRES, MARIBETH</t>
  </si>
  <si>
    <t>HUDDLESTON, STEPHEN</t>
  </si>
  <si>
    <t>MCSPADDEN, SCOTT</t>
  </si>
  <si>
    <t>RICHARDS, ALAN</t>
  </si>
  <si>
    <t>WILSON, CADE</t>
  </si>
  <si>
    <t>RICE, KEVIN</t>
  </si>
  <si>
    <t>WENGER, ALYSSA</t>
  </si>
  <si>
    <t>HUGHES, ALAN</t>
  </si>
  <si>
    <t>WOODWARD, C.</t>
  </si>
  <si>
    <t>POWELSON, JARED</t>
  </si>
  <si>
    <t>SCHNELL, PAMELA</t>
  </si>
  <si>
    <t>SENG, SOPHEAR</t>
  </si>
  <si>
    <t>PIERCE, DERRICK</t>
  </si>
  <si>
    <t>Access to Urologists</t>
  </si>
  <si>
    <t>DEGRAFF, THOMAS</t>
  </si>
  <si>
    <t>WOMACK, JOSEPH</t>
  </si>
  <si>
    <t>BRIZZOLARA, JOHN</t>
  </si>
  <si>
    <t>JACKS, DENNIS</t>
  </si>
  <si>
    <t>GANCARCZYK, KEVIN</t>
  </si>
  <si>
    <t>MCSWAIN, HAROLD</t>
  </si>
  <si>
    <t>CANON, STEPHEN</t>
  </si>
  <si>
    <t>KUETER, JOSEPH</t>
  </si>
  <si>
    <t>FERGUSON, SCOTT</t>
  </si>
  <si>
    <t>AGUILAR-GUZMAN, ORLANDO</t>
  </si>
  <si>
    <t>JACKS, DAVID</t>
  </si>
  <si>
    <t>MOORE, JOHN</t>
  </si>
  <si>
    <t>EBER, PAUL</t>
  </si>
  <si>
    <t>ROUNTREE, GLEN</t>
  </si>
  <si>
    <t>FRANCE, JAMES</t>
  </si>
  <si>
    <t>ANDREOIU, MATEI</t>
  </si>
  <si>
    <t>HENDERSON, RALPH</t>
  </si>
  <si>
    <t>GIVENS, JERRY</t>
  </si>
  <si>
    <t>VENABLE, DENNIS</t>
  </si>
  <si>
    <t>WRIGHT, CHARLES</t>
  </si>
  <si>
    <t>SASLAWSKY, MARK</t>
  </si>
  <si>
    <t>MURRAY, SUNSHINE</t>
  </si>
  <si>
    <t>SPANN, ALISON</t>
  </si>
  <si>
    <t>MCGEADY, JAMES</t>
  </si>
  <si>
    <t>DECKER, DANIEL</t>
  </si>
  <si>
    <t>PORTERA, STEPHEN</t>
  </si>
  <si>
    <t>DAVIS, COLE</t>
  </si>
  <si>
    <t>WELDON, THOMAS</t>
  </si>
  <si>
    <t>GUBIN, DAVID</t>
  </si>
  <si>
    <t>LUPO, DAVID</t>
  </si>
  <si>
    <t>DAVIS, RODNEY</t>
  </si>
  <si>
    <t>MOONEY, DONALD</t>
  </si>
  <si>
    <t>DIAZ, EDWIN</t>
  </si>
  <si>
    <t>MADDUX, HOLT</t>
  </si>
  <si>
    <t>BINGHAM, WILLIAM</t>
  </si>
  <si>
    <t>PRITCHARD, CHARLES</t>
  </si>
  <si>
    <t>ALABASTER, ALAN</t>
  </si>
  <si>
    <t>ZIELIE, PATRICK</t>
  </si>
  <si>
    <t>BUNDRICK, WILLIAM</t>
  </si>
  <si>
    <t>DESOUZA, ROWENA</t>
  </si>
  <si>
    <t>HARREL, ELIZABETH</t>
  </si>
  <si>
    <t>HOLLOWAY, WALTER</t>
  </si>
  <si>
    <t>SOMERVILLE, PATRICK</t>
  </si>
  <si>
    <t>WRIGHT, ANDREW</t>
  </si>
  <si>
    <t>FERGUSON, MAX</t>
  </si>
  <si>
    <t>HASEN, HOWARD</t>
  </si>
  <si>
    <t>BAKER, ASHLEY</t>
  </si>
  <si>
    <t>MILES, DEREK</t>
  </si>
  <si>
    <t>MUTTER, MATTHEW</t>
  </si>
  <si>
    <t>ELMAJIAN, DONALD</t>
  </si>
  <si>
    <t>SISKRON, FREDRIC</t>
  </si>
  <si>
    <t>HOLLABAUGH, ROBERT</t>
  </si>
  <si>
    <t>HOLLENBACH, SETH</t>
  </si>
  <si>
    <t>CALLAWAY, MARK</t>
  </si>
  <si>
    <t>SCRIBER, LADD</t>
  </si>
  <si>
    <t>JONES, GAIL</t>
  </si>
  <si>
    <t>MOSS, JAMES</t>
  </si>
  <si>
    <t>HEWETT, MARK</t>
  </si>
  <si>
    <t>GREENBERGER, MARK</t>
  </si>
  <si>
    <t>HENRY, GERARD</t>
  </si>
  <si>
    <t>ASPELL, ROBERT</t>
  </si>
  <si>
    <t>SHAPPLEY, WILLIAM</t>
  </si>
  <si>
    <t>TERRELL, JOHN</t>
  </si>
  <si>
    <t>COUSSENS, DAVID</t>
  </si>
  <si>
    <t>PICKELMAN, JASON</t>
  </si>
  <si>
    <t>PAYNE, CHRISTOPHER</t>
  </si>
  <si>
    <t>JACOBS, EMILY</t>
  </si>
  <si>
    <t>ALLEN, JOHN</t>
  </si>
  <si>
    <t>CLAYBROOK, KEVIN</t>
  </si>
  <si>
    <t>GOODSON, TIMOTHY</t>
  </si>
  <si>
    <t>D'ANNA, RICHARD</t>
  </si>
  <si>
    <t>SUMINSKI, MICHAEL</t>
  </si>
  <si>
    <t>SMITH, RICKY</t>
  </si>
  <si>
    <t>CHAUHAN, RAVI</t>
  </si>
  <si>
    <t>WAHMAN, GERALD</t>
  </si>
  <si>
    <t>EMERY, ROBERT</t>
  </si>
  <si>
    <t>GERMANY, RAYMOND</t>
  </si>
  <si>
    <t>MURFEE, ROBERT</t>
  </si>
  <si>
    <t>BROOKOVER, WESLEY</t>
  </si>
  <si>
    <t>STEWART, ADAM</t>
  </si>
  <si>
    <t>ZIMMERMAN, ROBERT</t>
  </si>
  <si>
    <t>DOYLE, SEAN</t>
  </si>
  <si>
    <t>CLINE, KEVIN</t>
  </si>
  <si>
    <t>KAMEL, MOHAMED</t>
  </si>
  <si>
    <t>MCGOWAN, LESLIE</t>
  </si>
  <si>
    <t>SHELTON, THOMAS</t>
  </si>
  <si>
    <t>DONATO, ROBERT</t>
  </si>
  <si>
    <t>GOMELSKY, ALEXANDER</t>
  </si>
  <si>
    <t>BREKELBAUM, CHAD</t>
  </si>
  <si>
    <t>PATTERSON, ANTHONY</t>
  </si>
  <si>
    <t>KLEIN, CORDELL</t>
  </si>
  <si>
    <t>PADALINO, JOSEPH</t>
  </si>
  <si>
    <t>LEDBETTER, CHRISTOPHER</t>
  </si>
  <si>
    <t>LINDSAY, JASON</t>
  </si>
  <si>
    <t>PATEL, ASHAY</t>
  </si>
  <si>
    <t>MATA, JOHN</t>
  </si>
  <si>
    <t>KIM, STEVEN</t>
  </si>
  <si>
    <t>GLEASON, JOSEPH</t>
  </si>
  <si>
    <t>BELL, ROBERT</t>
  </si>
  <si>
    <t>NORWOOD, JEREMY</t>
  </si>
  <si>
    <t>WALZER, YAIR</t>
  </si>
  <si>
    <t>FINAN, BARRE</t>
  </si>
  <si>
    <t>RAYFORD, WALTER</t>
  </si>
  <si>
    <t>BROWN, HUNTER</t>
  </si>
  <si>
    <t>CONFER, STEPHEN</t>
  </si>
  <si>
    <t>WILKIN, MICHAEL</t>
  </si>
  <si>
    <t>KILAMBI, NIRMAL</t>
  </si>
  <si>
    <t>HOUSTON, SAMUEL</t>
  </si>
  <si>
    <t>MOOK, TOMMY</t>
  </si>
  <si>
    <t>BOZEMAN, CALEB</t>
  </si>
  <si>
    <t>ZAMILPA, ISMAEL</t>
  </si>
  <si>
    <t>LARIMER, PERRY</t>
  </si>
  <si>
    <t>KUHN, RONALD</t>
  </si>
  <si>
    <t>NOBLE, JAMES</t>
  </si>
  <si>
    <t>LANGFORD, TIMOTHY</t>
  </si>
  <si>
    <t>RAGHAVAIAH, NIMMAGADDA</t>
  </si>
  <si>
    <t>POWELL, CURTIS</t>
  </si>
  <si>
    <t>CARRICO, JEREMY</t>
  </si>
  <si>
    <t>BUMPERS, PAUL</t>
  </si>
  <si>
    <t>BISSADA, NABIL</t>
  </si>
  <si>
    <t>MAROTTE, JEFFREY</t>
  </si>
  <si>
    <t>MILSTEN, MARC</t>
  </si>
  <si>
    <t>GIEL, DANA</t>
  </si>
  <si>
    <t>KNOBLOCH, RONALD</t>
  </si>
  <si>
    <t>ZAMZOW, BRENT</t>
  </si>
  <si>
    <t>GREWAL, SHAUN</t>
  </si>
  <si>
    <t>WAKE, ROBERT</t>
  </si>
  <si>
    <t>DANG, GERALD</t>
  </si>
  <si>
    <t>Criteria</t>
  </si>
  <si>
    <t>Name</t>
  </si>
  <si>
    <t>1. Overview and Purpose</t>
  </si>
  <si>
    <r>
      <t xml:space="preserve">
This data is for issuers to use as inputs to their Network Adequacy Statistical Analysis algorithms on their way to creating and reporting the geo-access maps and county wise data for AID review.  
In the past years of Network Adequacy regulation and review there has been issues with the non-uniform classification of providers. For PY2017 there was an collaborative government-industry attempt to standardize the description of providers into the different provider types under review.  This Provider-Type NPI list is the final output of that effort. Issuers are to use the tab/spreadsheet by the name “NPI Provider Type List 2017”. 
Issuers are to understand that this Provider-Type-NPI pool has been created by mapping the NPI lists provided by industry to the NPI Registry hosted by CMS. This relationship data has then been refined by industry review towards better data quality. AID has not checked whether the providers are licensed or serve Arkansans. Issuers are to determine that the NPIs belong to their networks and serve Arkansans before feeding to their Network Adequacy Statistical algorithms.  
The tab/spreadsheet “Changes Only” reflect changes requested by industry after the initial NPI Registry mapping that made it to the final list. This is provided for informational transparency. 
</t>
    </r>
    <r>
      <rPr>
        <b/>
        <u/>
        <sz val="11"/>
        <color theme="1"/>
        <rFont val="Calibri"/>
        <family val="2"/>
        <scheme val="minor"/>
      </rPr>
      <t>Logic behind incorporating changes to the original Provider-Type NPI list derived from the NPI Registry:</t>
    </r>
    <r>
      <rPr>
        <sz val="11"/>
        <color theme="1"/>
        <rFont val="Calibri"/>
        <family val="2"/>
        <scheme val="minor"/>
      </rPr>
      <t xml:space="preserve">
For the purposes of brevity we are referring "PROVIDER" below as a unique combination of criteria, taxonomy code, and npi.
1) Any PROVIDER derived from the initial NPI list and not involved in a suggestion for add/remove is included in the final list.
2) PROVIDER suggestions that contradict from a single issuer are removed from consideration. (Add and Remove from the same issuer.)
3) Objections to a PROVIDER suggestion made by the same issuer are removed from consideration. 
4) From that point, there are three categories of both addition and removal, in order of precedence:
            i) UNCONTESTED The PROVIDER addition or removal was not objected to or ruled on by AID
          ii) APPROVED        The PROVIDER addition or removal was finalized AID
         iii) BY VOTE             Votes for suggestion were equal or greater than number of objections
</t>
    </r>
  </si>
  <si>
    <t>Source</t>
  </si>
  <si>
    <t>ALLEN, FLORIDA</t>
  </si>
  <si>
    <t>BUSCH, MEGAN</t>
  </si>
  <si>
    <t>Industry Add</t>
  </si>
  <si>
    <t>WREDLING, SARAH</t>
  </si>
  <si>
    <t>BOYETTE, KRISTINA</t>
  </si>
  <si>
    <t>PLEMMONS, DIANNE</t>
  </si>
  <si>
    <t>HENDERSON, NATHAN</t>
  </si>
  <si>
    <t>STALLINGS, HEATHER</t>
  </si>
  <si>
    <t>COLE, BRENDA</t>
  </si>
  <si>
    <t>RODROCK, NICHOLE</t>
  </si>
  <si>
    <t>PERRY, KAREN</t>
  </si>
  <si>
    <t>GRAY, DALTON</t>
  </si>
  <si>
    <t>YOUSAF, AHMAD</t>
  </si>
  <si>
    <t>WRIGHT, IRENE</t>
  </si>
  <si>
    <t>JAY, KIMBERLY</t>
  </si>
  <si>
    <t>FUNDERBURK, HEATHER</t>
  </si>
  <si>
    <t>LONG, ANDREW</t>
  </si>
  <si>
    <t>TAYLOR, BILLY</t>
  </si>
  <si>
    <t>HARLESS, DEAN</t>
  </si>
  <si>
    <t>WILLIAMS, MARILYN</t>
  </si>
  <si>
    <t>EDE, CHINEDU</t>
  </si>
  <si>
    <t>WALKER, JANET</t>
  </si>
  <si>
    <t>COIN, SAVANNAH</t>
  </si>
  <si>
    <t>DELUCA, RUSSELL</t>
  </si>
  <si>
    <t>SWEATT, JOHN</t>
  </si>
  <si>
    <t>RIKLON, SHELDON</t>
  </si>
  <si>
    <t>FLOWERS, ADOLPH</t>
  </si>
  <si>
    <t>ROBBINS, BOBBI</t>
  </si>
  <si>
    <t>DIETRICH, TIMOTHY</t>
  </si>
  <si>
    <t>HOLDINESS, HEATHER</t>
  </si>
  <si>
    <t>MOHIUDDIN, ABID</t>
  </si>
  <si>
    <t>DOYLE, ALLISON</t>
  </si>
  <si>
    <t>SUTHERLAND, CAROLINE</t>
  </si>
  <si>
    <t>OSBORN, RANDALL</t>
  </si>
  <si>
    <t>THOMAS, ALLEN</t>
  </si>
  <si>
    <t>LEWIS, AUDRA</t>
  </si>
  <si>
    <t>BAKER, JULIA</t>
  </si>
  <si>
    <t>NADER, DENA</t>
  </si>
  <si>
    <t>JACKSONVILLE MEDICAL PROFESSIONAL SERVICES LLC</t>
  </si>
  <si>
    <t>DAVIS, LANEITA</t>
  </si>
  <si>
    <t>CULBERTSON, JOHN</t>
  </si>
  <si>
    <t>STEWART, COURTNEY</t>
  </si>
  <si>
    <t>ORMAN, LAUREN</t>
  </si>
  <si>
    <t>STUCKER, KATIE</t>
  </si>
  <si>
    <t>JONES, ANDREA</t>
  </si>
  <si>
    <t>JOHNSON, JOHN</t>
  </si>
  <si>
    <t>CRABTREE, BRUCE</t>
  </si>
  <si>
    <t>BOWDEN, MARCIA</t>
  </si>
  <si>
    <t>DAVIS, MEGAN</t>
  </si>
  <si>
    <t>SWOPE, MICHELLE</t>
  </si>
  <si>
    <t>MEREDITH, KEVIN</t>
  </si>
  <si>
    <t>SIEBENMORGEN, DREW</t>
  </si>
  <si>
    <t>WALDRON, JORDAN</t>
  </si>
  <si>
    <t>REYNOLDS, CALLIE</t>
  </si>
  <si>
    <t>WEBB, ERIC</t>
  </si>
  <si>
    <t>MCCRIGHT, MARGARET DIANE</t>
  </si>
  <si>
    <t>AL-HAWWAS, MALEK</t>
  </si>
  <si>
    <t>ROBERTS, JESSIELA</t>
  </si>
  <si>
    <t>BILLINGS, MAGGIE</t>
  </si>
  <si>
    <t>MAHAN, JOANN</t>
  </si>
  <si>
    <t>SMITHERS, DREW</t>
  </si>
  <si>
    <t>CHASTAIN, RICHARD</t>
  </si>
  <si>
    <t>HARCOURT, CERISSE</t>
  </si>
  <si>
    <t>SPRINGDALE EMERGENCY GROUP LLC</t>
  </si>
  <si>
    <t>CANFIELD, SCOT</t>
  </si>
  <si>
    <t>CAMPFIELD, BRETT</t>
  </si>
  <si>
    <t>NADIPELLI, ANIL</t>
  </si>
  <si>
    <t>KERR, TASHA</t>
  </si>
  <si>
    <t>THATCHER, HEATHER</t>
  </si>
  <si>
    <t>PARIKH, MANAN</t>
  </si>
  <si>
    <t>FARLEY, LAURA</t>
  </si>
  <si>
    <t>JACKSON, TIFFANY</t>
  </si>
  <si>
    <t>DECAPRIO, CHERYL</t>
  </si>
  <si>
    <t>LANG, THOMAS</t>
  </si>
  <si>
    <t>PARKS, RHONDA</t>
  </si>
  <si>
    <t>MEACHAM, ROBERT</t>
  </si>
  <si>
    <t>FAIRCLOTH, MICHELE</t>
  </si>
  <si>
    <t>HANKS, MERIDETH</t>
  </si>
  <si>
    <t>COLCLOUGH, SHEENA</t>
  </si>
  <si>
    <t>SCHROEDER, JENNIFER</t>
  </si>
  <si>
    <t>EHRHART, MILDRED</t>
  </si>
  <si>
    <t>SELLERS, NYKKIA</t>
  </si>
  <si>
    <t>HALL, JEFFREY</t>
  </si>
  <si>
    <t>THOMAS, AMBER</t>
  </si>
  <si>
    <t>PARISH, ANGELA</t>
  </si>
  <si>
    <t>LE, THANH</t>
  </si>
  <si>
    <t>RICKFORD, RACHAEL</t>
  </si>
  <si>
    <t>BEASLEY, PRISCILLA</t>
  </si>
  <si>
    <t>CARTER, REGENIA</t>
  </si>
  <si>
    <t>EASLEY, SETH</t>
  </si>
  <si>
    <t>BROCK, JENNIFER</t>
  </si>
  <si>
    <t>ASHCRAFT, RACHEL</t>
  </si>
  <si>
    <t>FISER, TRACY</t>
  </si>
  <si>
    <t>ESTES, ALEXA</t>
  </si>
  <si>
    <t>WEST, SHARON</t>
  </si>
  <si>
    <t>LAUSTER, MARTHA</t>
  </si>
  <si>
    <t>SCHUETT, KRESSA</t>
  </si>
  <si>
    <t>DEVOSE, CARLA</t>
  </si>
  <si>
    <t>PRICE, SHAWNTEL</t>
  </si>
  <si>
    <t>DENNIS, TIMEKI</t>
  </si>
  <si>
    <t>MILLER, LAVERTTA</t>
  </si>
  <si>
    <t>HORTON, LINDSAY</t>
  </si>
  <si>
    <t>SULLIVAN, PATRICIA</t>
  </si>
  <si>
    <t>HOWARD, SANDRA</t>
  </si>
  <si>
    <t>BECTON, TREY</t>
  </si>
  <si>
    <t>RUSH, BRENT</t>
  </si>
  <si>
    <t>POGUE, SHANNON</t>
  </si>
  <si>
    <t>OGBEIDE, EGUNMWENDIA</t>
  </si>
  <si>
    <t>PACE, PHILLIP</t>
  </si>
  <si>
    <t>ALAKSHAR, HASSAN</t>
  </si>
  <si>
    <t>POWELL, JOHN</t>
  </si>
  <si>
    <t>LEFTWICH, SUSAN</t>
  </si>
  <si>
    <t>MAURITSON, AMY</t>
  </si>
  <si>
    <t>ZABAKOLAS, GEORGE</t>
  </si>
  <si>
    <t>RUSSETTE, ODIA</t>
  </si>
  <si>
    <t>OXFORD, SHEA</t>
  </si>
  <si>
    <t>WALT, DAVID</t>
  </si>
  <si>
    <t>AHMED, ALIYA</t>
  </si>
  <si>
    <t>SIMPSON, TODD</t>
  </si>
  <si>
    <t>OATES, RANDALL</t>
  </si>
  <si>
    <t>MYNE, PUJA</t>
  </si>
  <si>
    <t>TRINKLE, JOSHUA</t>
  </si>
  <si>
    <t>IRVING, RHONDA</t>
  </si>
  <si>
    <t>MOYER, ASHLEY</t>
  </si>
  <si>
    <t>BONIN, THOMAS</t>
  </si>
  <si>
    <t>DUNLAP, ESTHER</t>
  </si>
  <si>
    <t>VOGLER, CAROLYN</t>
  </si>
  <si>
    <t>WILSON, CYNTHIA</t>
  </si>
  <si>
    <t>BYNDOM, MARY</t>
  </si>
  <si>
    <t>JOHN E ALEXANDER JR MD PA</t>
  </si>
  <si>
    <t>DUNLAP, ALEXANDER</t>
  </si>
  <si>
    <t>RICHARDSON, KARA</t>
  </si>
  <si>
    <t>SMITH, LORA</t>
  </si>
  <si>
    <t>TERRY, PHILIP</t>
  </si>
  <si>
    <t>CASTSTEEL, HANNAH</t>
  </si>
  <si>
    <t>MARTINEZ, KRISTEN</t>
  </si>
  <si>
    <t>BALDWIN, HEATHER</t>
  </si>
  <si>
    <t>RUDOLPH, ABBY</t>
  </si>
  <si>
    <t>CLARK, TERESA</t>
  </si>
  <si>
    <t>GRIFFIN, ANNE</t>
  </si>
  <si>
    <t>HANNA, KERRY</t>
  </si>
  <si>
    <t>OWENS, JOEL</t>
  </si>
  <si>
    <t>ASHBROOKS, DARRIN</t>
  </si>
  <si>
    <t>DIN, PHILLIP</t>
  </si>
  <si>
    <t>SMITH, STEPHANIE</t>
  </si>
  <si>
    <t>ADKISON, LAUREN</t>
  </si>
  <si>
    <t>CROUTHAMEL, MYLENE</t>
  </si>
  <si>
    <t>WISSLER, DEONNA</t>
  </si>
  <si>
    <t>MCLEAN, JOAN</t>
  </si>
  <si>
    <t>ALLEN, ROBERT</t>
  </si>
  <si>
    <t>FERGUSON, DIANE</t>
  </si>
  <si>
    <t>CANNADY, PENNI</t>
  </si>
  <si>
    <t>JOHNSON, ROBYN</t>
  </si>
  <si>
    <t>BELL, DARL</t>
  </si>
  <si>
    <t>BRACKETT, AMANDA</t>
  </si>
  <si>
    <t>BORTON, MARC</t>
  </si>
  <si>
    <t>SMOTHERS, MICHELLE</t>
  </si>
  <si>
    <t>CUSHMAN, SARAH</t>
  </si>
  <si>
    <t>KINDRICK, HEATHER</t>
  </si>
  <si>
    <t>GOINS, NATASHA</t>
  </si>
  <si>
    <t>BRANDON, AMBER</t>
  </si>
  <si>
    <t>RAINEY, CRYSTAL</t>
  </si>
  <si>
    <t>WILSON, JENNIFER</t>
  </si>
  <si>
    <t>ZIMMER, JESSICA</t>
  </si>
  <si>
    <t>YOUNG, SHAUN</t>
  </si>
  <si>
    <t>SMITH, NICHOLAS</t>
  </si>
  <si>
    <t>APOSTOLOV, YEVGENIY</t>
  </si>
  <si>
    <t>MURRY, YOLANDA</t>
  </si>
  <si>
    <t>KELLER, WILLIAM</t>
  </si>
  <si>
    <t>BENNETT, SENTORITA</t>
  </si>
  <si>
    <t>TIPPIN, ZACHARY</t>
  </si>
  <si>
    <t>MALLETT, MEGHAN</t>
  </si>
  <si>
    <t>DYE, JAMES</t>
  </si>
  <si>
    <t>BATEY, HONOUR</t>
  </si>
  <si>
    <t>SHOPE, ADAM</t>
  </si>
  <si>
    <t>WAGNER, CASEY</t>
  </si>
  <si>
    <t>JEANS, NAISHIA</t>
  </si>
  <si>
    <t>AMAN, MUAZZUM</t>
  </si>
  <si>
    <t>HALL, JASON</t>
  </si>
  <si>
    <t>MOTIWALA, HAJRA</t>
  </si>
  <si>
    <t>TRAYLOR, LASHONDA</t>
  </si>
  <si>
    <t>SAMPLE, JANICE</t>
  </si>
  <si>
    <t>MAZANDER, JOANNE</t>
  </si>
  <si>
    <t>MARTINEZ, ANTONIO</t>
  </si>
  <si>
    <t>HARRIS, MELODEE</t>
  </si>
  <si>
    <t>SULTANIA DUDANI, PRIYANKA</t>
  </si>
  <si>
    <t>THOMPSON, JEAN</t>
  </si>
  <si>
    <t>RUFFNER, ALISA</t>
  </si>
  <si>
    <t>MCADAMS, HOLLY</t>
  </si>
  <si>
    <t>ARMOUR, SHARTONDRA</t>
  </si>
  <si>
    <t>WILLMER, LAUREN</t>
  </si>
  <si>
    <t>PLATT, HENRY</t>
  </si>
  <si>
    <t>WHITE, CHRISTOPHER</t>
  </si>
  <si>
    <t>WHIDDON, KATELIN</t>
  </si>
  <si>
    <t>WAHEED, MIAN</t>
  </si>
  <si>
    <t>LINCOLN, CANDY</t>
  </si>
  <si>
    <t>CARTER, MICHAEL</t>
  </si>
  <si>
    <t>BUESCHER, ASHLEY</t>
  </si>
  <si>
    <t>DARBY, DINA</t>
  </si>
  <si>
    <t>HANKINS, JAMES</t>
  </si>
  <si>
    <t>RITZ, RALPH</t>
  </si>
  <si>
    <t>BINGHAM, MONTIANNA</t>
  </si>
  <si>
    <t>MITCHELL, KARRI</t>
  </si>
  <si>
    <t>LANDRUM, ANDREW</t>
  </si>
  <si>
    <t>FICKLEN, DAVID</t>
  </si>
  <si>
    <t>MOCK-BLAIR, LORI</t>
  </si>
  <si>
    <t>TATE, JEFFERY</t>
  </si>
  <si>
    <t>HENLEY, ZANE</t>
  </si>
  <si>
    <t>EDGE, ARVEITTA</t>
  </si>
  <si>
    <t>ROWLAND, JULIE</t>
  </si>
  <si>
    <t>JACKSON, CHRISTA</t>
  </si>
  <si>
    <t>OGLESBY, JAMES</t>
  </si>
  <si>
    <t>WACASTER, PRISCILLA</t>
  </si>
  <si>
    <t>HODGSON, HEATHER</t>
  </si>
  <si>
    <t>LEMON, LINDA</t>
  </si>
  <si>
    <t>PORTER, KIRK</t>
  </si>
  <si>
    <t>HUBERTY, ALISSA</t>
  </si>
  <si>
    <t>VANCE, ERIKA</t>
  </si>
  <si>
    <t>FREEMAN, DONNA</t>
  </si>
  <si>
    <t>KELLEY, WILLIAM</t>
  </si>
  <si>
    <t>QUICK, MATTHEW</t>
  </si>
  <si>
    <t>RODRIGUEZ, JORGE</t>
  </si>
  <si>
    <t>BRANNON, GRETCHEN</t>
  </si>
  <si>
    <t>TIGGELAAR, SARAH</t>
  </si>
  <si>
    <t>CRISP, ASHLEY</t>
  </si>
  <si>
    <t>BURGESS, GEORGE</t>
  </si>
  <si>
    <t>OHARA, MARY</t>
  </si>
  <si>
    <t>GAINES, HOLLY</t>
  </si>
  <si>
    <t>REYNA, SARAH</t>
  </si>
  <si>
    <t>BRADSHER, ROBERT</t>
  </si>
  <si>
    <t>LANDY, LEIGH</t>
  </si>
  <si>
    <t>WILSON-EGGBURN, CHRISTY</t>
  </si>
  <si>
    <t>JEFFREY, REGINA</t>
  </si>
  <si>
    <t>OLUWATOSIN, OLUWAKUNLE</t>
  </si>
  <si>
    <t>MILLER, TINA</t>
  </si>
  <si>
    <t>MONEY, JENNIFER</t>
  </si>
  <si>
    <t>TYSON, JANE</t>
  </si>
  <si>
    <t>SHAW, MICHAEL</t>
  </si>
  <si>
    <t>MCLAIN, CATHY</t>
  </si>
  <si>
    <t>WHITWELL, TERESA</t>
  </si>
  <si>
    <t>ROTTON, LORI</t>
  </si>
  <si>
    <t>BOND, ALEXANDRA</t>
  </si>
  <si>
    <t>WELLS, ROBERT</t>
  </si>
  <si>
    <t>SCHNELL, KAREN</t>
  </si>
  <si>
    <t>FITZGERALD, BRENNA</t>
  </si>
  <si>
    <t>LIPSCOMB, MICHAEL</t>
  </si>
  <si>
    <t>BRAY, SUNNY</t>
  </si>
  <si>
    <t>CARTILLAR, BRITNI</t>
  </si>
  <si>
    <t>BROWN, DIMSEY</t>
  </si>
  <si>
    <t>CRONKHITE, KRISTIE</t>
  </si>
  <si>
    <t>BOLDREGHINI, SANDRA</t>
  </si>
  <si>
    <t>HAMMONDS, LINDA</t>
  </si>
  <si>
    <t>SIVILS, BRITTNEY</t>
  </si>
  <si>
    <t>GESKE, CHARLES</t>
  </si>
  <si>
    <t>JOHNSON, SAMUEL</t>
  </si>
  <si>
    <t>ABERNATHY, MARY</t>
  </si>
  <si>
    <t>KHAN, ABDUL</t>
  </si>
  <si>
    <t>MITCHELL, HELEN</t>
  </si>
  <si>
    <t>WHITE, FELICIA</t>
  </si>
  <si>
    <t>SINGH, ANUP</t>
  </si>
  <si>
    <t>PICKENS, SHARON</t>
  </si>
  <si>
    <t>PATTILLO, MISTI</t>
  </si>
  <si>
    <t>GREATHOUSE, SARA</t>
  </si>
  <si>
    <t>HARRIS, CANDICE</t>
  </si>
  <si>
    <t>YABUT, EDMOND</t>
  </si>
  <si>
    <t>TRAORE, AMINATA</t>
  </si>
  <si>
    <t>UR REHMAN, MOHAMMED</t>
  </si>
  <si>
    <t>CARTER-WYATT, SHERRI</t>
  </si>
  <si>
    <t>ROBERTS, NEAL</t>
  </si>
  <si>
    <t>KRAUSE, KELLY</t>
  </si>
  <si>
    <t>GRANT, ADAM</t>
  </si>
  <si>
    <t>PARISH, KATHY</t>
  </si>
  <si>
    <t>HOWARD, WILLARD</t>
  </si>
  <si>
    <t>ODUYE, ADEDAPO</t>
  </si>
  <si>
    <t>KOPPARAPU, ANIL</t>
  </si>
  <si>
    <t>CRABTREE, TIMOTHY</t>
  </si>
  <si>
    <t>CREEKMORE, BRAD</t>
  </si>
  <si>
    <t>MUKE, MAUREEN</t>
  </si>
  <si>
    <t>HATHCOCK, AARON</t>
  </si>
  <si>
    <t>JAHOOR, ANIL</t>
  </si>
  <si>
    <t>BRUNER, KERRY</t>
  </si>
  <si>
    <t>DARNELL, MELISSA</t>
  </si>
  <si>
    <t>STANLEY, SUZETTE</t>
  </si>
  <si>
    <t>JOHNSON, KATHERINE</t>
  </si>
  <si>
    <t>BARGANIER, LAURA</t>
  </si>
  <si>
    <t>MALONE, COURTNEY</t>
  </si>
  <si>
    <t>SMITH, SARAH</t>
  </si>
  <si>
    <t>SIMPSON, CHADWICK</t>
  </si>
  <si>
    <t>HARNEY, JUSTIN</t>
  </si>
  <si>
    <t>SHAW, LINDSEY</t>
  </si>
  <si>
    <t>BEASLEY, KRISTEN</t>
  </si>
  <si>
    <t>CLARK, BEVERLY</t>
  </si>
  <si>
    <t>CROWDER, DONNA</t>
  </si>
  <si>
    <t>ELLIS, DANIELLA</t>
  </si>
  <si>
    <t>BITNER, MARLYS</t>
  </si>
  <si>
    <t>JOHNSRUD, JOYCE</t>
  </si>
  <si>
    <t>REESE, ELISHEVA</t>
  </si>
  <si>
    <t>ALLPHIN, JUSTIN</t>
  </si>
  <si>
    <t>CRENSHAW, LISA</t>
  </si>
  <si>
    <t>MADASU, RAVI</t>
  </si>
  <si>
    <t>ROSS, DANIEL</t>
  </si>
  <si>
    <t>GREEN, SANDRA</t>
  </si>
  <si>
    <t>LANGER, NEIL</t>
  </si>
  <si>
    <t>HYDEN, JOHN</t>
  </si>
  <si>
    <t>AKIN, CHARLES</t>
  </si>
  <si>
    <t>DRAKE, CHARLOTTE</t>
  </si>
  <si>
    <t>BLACKBURN, BRENT</t>
  </si>
  <si>
    <t>HANNIFIN, ALICE</t>
  </si>
  <si>
    <t>BLAINE, CLINTON</t>
  </si>
  <si>
    <t>VESTER, DAVID</t>
  </si>
  <si>
    <t>HATFIELD, MARIE</t>
  </si>
  <si>
    <t>DEMPSEY, BUCKLEY</t>
  </si>
  <si>
    <t>OWEN, BETHANY</t>
  </si>
  <si>
    <t>WILLIAMS, CHANNOAH</t>
  </si>
  <si>
    <t>LESTER, LAURA</t>
  </si>
  <si>
    <t>SIERRA, KARA</t>
  </si>
  <si>
    <t>BURROUS, MATTHEW</t>
  </si>
  <si>
    <t>BEASLEY, JOHN</t>
  </si>
  <si>
    <t>BROWN, SARA</t>
  </si>
  <si>
    <t>PILSON, COREY</t>
  </si>
  <si>
    <t>SPARROW, CHARLENE</t>
  </si>
  <si>
    <t>HENNINGTON, JANNAS</t>
  </si>
  <si>
    <t>MONTGOMERY, COLLIN</t>
  </si>
  <si>
    <t>PARKHURST, GARY</t>
  </si>
  <si>
    <t>OZUAH, UCHENNA</t>
  </si>
  <si>
    <t>TIPTON, SARA</t>
  </si>
  <si>
    <t>EPPERSON, TIFFANY</t>
  </si>
  <si>
    <t>ROSS, MELISSA</t>
  </si>
  <si>
    <t>COSTELLO, LEAH</t>
  </si>
  <si>
    <t>ANDERSON, TOBY</t>
  </si>
  <si>
    <t>BERKSON, DAVID</t>
  </si>
  <si>
    <t>THOTAKURA, RAMAKRISHNA</t>
  </si>
  <si>
    <t>FIELDS-WILBURN, KELLY</t>
  </si>
  <si>
    <t>CAULFIELD, DONNA</t>
  </si>
  <si>
    <t>DAVIS, KELLY</t>
  </si>
  <si>
    <t>LUM, GINA</t>
  </si>
  <si>
    <t>STEIJEN, CHRISTI</t>
  </si>
  <si>
    <t>LAINE, VICTORIA</t>
  </si>
  <si>
    <t>ROBBINS, BRANDY</t>
  </si>
  <si>
    <t>FOLTZ, TRACY</t>
  </si>
  <si>
    <t>GRIMES, ZANE</t>
  </si>
  <si>
    <t>RUSH FAMILY HEALTH CARE, PA</t>
  </si>
  <si>
    <t>GUPTA, HIMANI</t>
  </si>
  <si>
    <t>BARTON, LAURIE</t>
  </si>
  <si>
    <t>BRIXEY, JONATHAN</t>
  </si>
  <si>
    <t>WELLS, TERRI</t>
  </si>
  <si>
    <t>CABIGAO, EDUARDO</t>
  </si>
  <si>
    <t>JONES, TRACY</t>
  </si>
  <si>
    <t>FREUNDT, MIRIAM</t>
  </si>
  <si>
    <t>BLUMHOEFER, YVONNE</t>
  </si>
  <si>
    <t>ARMENISE, VANESSA</t>
  </si>
  <si>
    <t>HAYNES, MCCARLEY</t>
  </si>
  <si>
    <t>HUTCHENS, JULIE</t>
  </si>
  <si>
    <t>MULLINS, AMANDA</t>
  </si>
  <si>
    <t>COYLE, PAMELA</t>
  </si>
  <si>
    <t>PRIYAMBADA, PRIYA</t>
  </si>
  <si>
    <t>MCLEAN, JOHN</t>
  </si>
  <si>
    <t>HOPPER, STACI</t>
  </si>
  <si>
    <t>TERRY, HEATHER</t>
  </si>
  <si>
    <t>MCGRUDER, JILL</t>
  </si>
  <si>
    <t>WALTERS, ANDREW</t>
  </si>
  <si>
    <t>TURNER, CLINTON</t>
  </si>
  <si>
    <t>PULLIAM, DANA</t>
  </si>
  <si>
    <t>MANSFIELD, CHELSEA</t>
  </si>
  <si>
    <t>MOFFITT, GARY</t>
  </si>
  <si>
    <t>SEAMON, MICHAEL</t>
  </si>
  <si>
    <t>MCGUIRE, MELODY</t>
  </si>
  <si>
    <t>HAWTHORNE, ROBIN</t>
  </si>
  <si>
    <t>CLAIRDAY, SARAH</t>
  </si>
  <si>
    <t>CHUANG, HOWARD</t>
  </si>
  <si>
    <t>KIRCHNER, JEFFREY</t>
  </si>
  <si>
    <t>EFEOVBOKHAN, NEPHERTITI</t>
  </si>
  <si>
    <t>HILBURN, KARA</t>
  </si>
  <si>
    <t>WATTIGNY, CHRISTOPHER</t>
  </si>
  <si>
    <t>DAVIS, NICOLE</t>
  </si>
  <si>
    <t>MCKNIGHT, RACHEL</t>
  </si>
  <si>
    <t>LYLE, RACHEL</t>
  </si>
  <si>
    <t>FARNAM, NATASHA</t>
  </si>
  <si>
    <t>GREEN, JOHN</t>
  </si>
  <si>
    <t>COWNOVER, STACI</t>
  </si>
  <si>
    <t>GILLESS, ELIZABETH</t>
  </si>
  <si>
    <t>AKHIGBE, CHURCHILL</t>
  </si>
  <si>
    <t>LEGASPI, RONILLO</t>
  </si>
  <si>
    <t>WHEELER, BRIAN</t>
  </si>
  <si>
    <t>POINDEXTER, LAUREN</t>
  </si>
  <si>
    <t>GRAY, EMILY</t>
  </si>
  <si>
    <t>CRITTON, NICOLE</t>
  </si>
  <si>
    <t>LINDSEY, CANDY</t>
  </si>
  <si>
    <t>PADLEY, REBECCA</t>
  </si>
  <si>
    <t>SHEPPARD, KRISTEN</t>
  </si>
  <si>
    <t>MAYBURY, MELISSA</t>
  </si>
  <si>
    <t>CHAMBERS, LESLIE</t>
  </si>
  <si>
    <t>OROO, TRUPHENA</t>
  </si>
  <si>
    <t>MORELAND, ELLEN</t>
  </si>
  <si>
    <t>HADLEY, DEGAIL</t>
  </si>
  <si>
    <t>PETTY, JARED</t>
  </si>
  <si>
    <t>DO, KHANH</t>
  </si>
  <si>
    <t>ROCHELLE, CAITLIN</t>
  </si>
  <si>
    <t>YOUNG, DOROTHY</t>
  </si>
  <si>
    <t>CUNNINGHAM, TINA</t>
  </si>
  <si>
    <t>DEATHERAGE, AMY</t>
  </si>
  <si>
    <t>COSTELLO, EDWARD</t>
  </si>
  <si>
    <t>ENGLAND, SHARON</t>
  </si>
  <si>
    <t>BADURA, KELLY</t>
  </si>
  <si>
    <t>JONES, ELLEN</t>
  </si>
  <si>
    <t>CLARK, ELIZABETH</t>
  </si>
  <si>
    <t>BALDWIN, ABBY</t>
  </si>
  <si>
    <t>SEAY, JESSICA</t>
  </si>
  <si>
    <t>JAMES, STEPHANIE</t>
  </si>
  <si>
    <t>BELL, CARL</t>
  </si>
  <si>
    <t>HRABIK, ASHLEY</t>
  </si>
  <si>
    <t>KWOK, WARREN</t>
  </si>
  <si>
    <t>BELL, ALICIA</t>
  </si>
  <si>
    <t>LOW, GORDON</t>
  </si>
  <si>
    <t>EVANS, SHRIEKA</t>
  </si>
  <si>
    <t>COLBERT, SHARHONDA</t>
  </si>
  <si>
    <t>REYNOLDS, MATTHEW</t>
  </si>
  <si>
    <t>CROUTHER, MARCUS</t>
  </si>
  <si>
    <t>NGONE, EWANE</t>
  </si>
  <si>
    <t>TUMLISON, JOEL</t>
  </si>
  <si>
    <t>HUGHES, LORI</t>
  </si>
  <si>
    <t>VINER, LORI</t>
  </si>
  <si>
    <t>BYERS, LAUREN</t>
  </si>
  <si>
    <t>BYLER, CHRISTINA</t>
  </si>
  <si>
    <t>MATTHEWS, AMY</t>
  </si>
  <si>
    <t>JOHNSON, JOSHUA</t>
  </si>
  <si>
    <t>NIX, SAM</t>
  </si>
  <si>
    <t>WARD, ASHLEY</t>
  </si>
  <si>
    <t>MAYS, TRACEY</t>
  </si>
  <si>
    <t>CAMP, KELLI</t>
  </si>
  <si>
    <t>SHAW, TORIA</t>
  </si>
  <si>
    <t>BAYIRD, SARA</t>
  </si>
  <si>
    <t>FORD, STEFANI</t>
  </si>
  <si>
    <t>BINNS, MASON</t>
  </si>
  <si>
    <t>SUIT, JANICE</t>
  </si>
  <si>
    <t>VARGAS, VICTOR</t>
  </si>
  <si>
    <t>BRICKER, DEWAYNE</t>
  </si>
  <si>
    <t>SALEH, TAREK</t>
  </si>
  <si>
    <t>TROBAUGH, DERINDA</t>
  </si>
  <si>
    <t>PORTE, REX</t>
  </si>
  <si>
    <t>HIGGINS, ANNE</t>
  </si>
  <si>
    <t>WILLIAMS, SHONDA</t>
  </si>
  <si>
    <t>PENNINGTON, AMY</t>
  </si>
  <si>
    <t>SHIRRON, AMANDA</t>
  </si>
  <si>
    <t>PRUNTY, MABLE</t>
  </si>
  <si>
    <t>PEARSON, ARTHUR</t>
  </si>
  <si>
    <t>FAULK, ANNALYSE</t>
  </si>
  <si>
    <t>CARTER, JEANNETTE</t>
  </si>
  <si>
    <t>THOMPSON, JAYE</t>
  </si>
  <si>
    <t>SMITH, ASA</t>
  </si>
  <si>
    <t>ERICSON, MARY</t>
  </si>
  <si>
    <t>WOLVERTON, JOHN</t>
  </si>
  <si>
    <t>BENJAMIN, MYLES</t>
  </si>
  <si>
    <t>SIMMONS, ALYSSA</t>
  </si>
  <si>
    <t>BIRCH, NATALIE</t>
  </si>
  <si>
    <t>LUTHER, REBECCA</t>
  </si>
  <si>
    <t>RUTHERFORD, JANINE</t>
  </si>
  <si>
    <t>HYLANDER, TONYA</t>
  </si>
  <si>
    <t>ELOCHUKWU, AMARA</t>
  </si>
  <si>
    <t>WILLIAMS HICKMAN, SALLY</t>
  </si>
  <si>
    <t>NULL, GINA</t>
  </si>
  <si>
    <t>MCNEILL, SANDRA</t>
  </si>
  <si>
    <t>WEHUNT, STACIA</t>
  </si>
  <si>
    <t>MARINO, JOSEPH</t>
  </si>
  <si>
    <t>BEAVERS, VALERIE</t>
  </si>
  <si>
    <t>TAYLOR, CALLIE</t>
  </si>
  <si>
    <t>PEPPERMAN, DAVID</t>
  </si>
  <si>
    <t>BROWN, BILLY</t>
  </si>
  <si>
    <t>BURKS, ROSLYN</t>
  </si>
  <si>
    <t>WINFORD, AMBER</t>
  </si>
  <si>
    <t>MARANTO, CHRISTIE</t>
  </si>
  <si>
    <t>STEPTER, CLESHEREE</t>
  </si>
  <si>
    <t>WAGNER, MAEGAN</t>
  </si>
  <si>
    <t>DIXON, DANIELLE</t>
  </si>
  <si>
    <t>WOOLSEY, KRISTYL</t>
  </si>
  <si>
    <t>MCMACKIN, MELISSA</t>
  </si>
  <si>
    <t>WILLIAMS, WISCHELLE</t>
  </si>
  <si>
    <t>DAVID, ANDREW</t>
  </si>
  <si>
    <t>BRUYERE, KIMBERLY</t>
  </si>
  <si>
    <t>PHILLIPS, JANE</t>
  </si>
  <si>
    <t>ARON, UPASNA</t>
  </si>
  <si>
    <t>WEBB, JONNA</t>
  </si>
  <si>
    <t>MENENDEZ, CHRISTOPHER</t>
  </si>
  <si>
    <t>EVANS, KALI</t>
  </si>
  <si>
    <t>BAUER, MICHAEL</t>
  </si>
  <si>
    <t>FU, QIUYU</t>
  </si>
  <si>
    <t>HARRIS, KELLY</t>
  </si>
  <si>
    <t>WATKINS, JAIME</t>
  </si>
  <si>
    <t>ZAWADA, GREGORY</t>
  </si>
  <si>
    <t>HADDOW, ALASTAIR</t>
  </si>
  <si>
    <t>MCKEE, MEREDITH</t>
  </si>
  <si>
    <t>DIAB, ASHRAF</t>
  </si>
  <si>
    <t>WILLIAMS, TANYA</t>
  </si>
  <si>
    <t>TAPPAN, TRENT</t>
  </si>
  <si>
    <t>MCADOO, CHRISTIAN</t>
  </si>
  <si>
    <t>JOGANI, SIDHARTH</t>
  </si>
  <si>
    <t>TRAYLOR, TONYA</t>
  </si>
  <si>
    <t>STRICKLAND, TIFFANY</t>
  </si>
  <si>
    <t>ROBERTSON, KELLIE</t>
  </si>
  <si>
    <t>KHAN, ASMA</t>
  </si>
  <si>
    <t>BORAL, BENJAMIN</t>
  </si>
  <si>
    <t>MCNIEL, KRISTEN</t>
  </si>
  <si>
    <t>HORNSBY, NANCY</t>
  </si>
  <si>
    <t>TAVERNIER, LAURA</t>
  </si>
  <si>
    <t>WHITE, ROBERT</t>
  </si>
  <si>
    <t>BURNS, GLORIA</t>
  </si>
  <si>
    <t>MCDANIEL, JACQUELINE</t>
  </si>
  <si>
    <t>WALLACE, JASMIA</t>
  </si>
  <si>
    <t>MCCORDIC, DAWN</t>
  </si>
  <si>
    <t>HORNE, TERI</t>
  </si>
  <si>
    <t>FARLEY, ROBERT</t>
  </si>
  <si>
    <t>HOLLEY, JOSEPH</t>
  </si>
  <si>
    <t>DUNN, DONNA</t>
  </si>
  <si>
    <t>SLOAN, AMBER</t>
  </si>
  <si>
    <t>GREENHAW, LAUREN</t>
  </si>
  <si>
    <t>WALKER, JENNIFER</t>
  </si>
  <si>
    <t>PHOUTHAVONG, CHERRIE</t>
  </si>
  <si>
    <t>CARRION, JOSE</t>
  </si>
  <si>
    <t>CANNON, AMY</t>
  </si>
  <si>
    <t>SEAGO, BROOKE</t>
  </si>
  <si>
    <t>WILCOX, JOY</t>
  </si>
  <si>
    <t>POWELL, CASEY</t>
  </si>
  <si>
    <t>COOK, JOSEPH</t>
  </si>
  <si>
    <t>BOWEN-PERKINS, MIRANDA</t>
  </si>
  <si>
    <t>BAGWELL, ASHLEY</t>
  </si>
  <si>
    <t>FRIZZELL, TAMMIE</t>
  </si>
  <si>
    <t>KELLER, MELISSA</t>
  </si>
  <si>
    <t>LUCAS, MAXINE</t>
  </si>
  <si>
    <t>SKAUG, JOY</t>
  </si>
  <si>
    <t>PASMAN, CRYSTAL</t>
  </si>
  <si>
    <t>GELFAND, MICHAEL</t>
  </si>
  <si>
    <t>ADOLPH, SHEKHER</t>
  </si>
  <si>
    <t>SHARP, LAURA</t>
  </si>
  <si>
    <t>EATON, BRODERICK</t>
  </si>
  <si>
    <t>HALL, RANDY</t>
  </si>
  <si>
    <t>YOUNG, JENNIFER</t>
  </si>
  <si>
    <t>TROXEL, SANDRA</t>
  </si>
  <si>
    <t>WILLIAMS, MANDI</t>
  </si>
  <si>
    <t>GOODMAN, ROBIN</t>
  </si>
  <si>
    <t>BREVIL, NOHEMIE</t>
  </si>
  <si>
    <t>BLAIR, SARA</t>
  </si>
  <si>
    <t>FARRELL, SHEILA</t>
  </si>
  <si>
    <t>PASALA, SANJIV</t>
  </si>
  <si>
    <t>COLOSO, VICTOR</t>
  </si>
  <si>
    <t>SULLIVAN, CAROLYN</t>
  </si>
  <si>
    <t>RUCH, NANCY</t>
  </si>
  <si>
    <t>SHEARER, ZACKARY</t>
  </si>
  <si>
    <t>BURGESS, RAMONA</t>
  </si>
  <si>
    <t>CARRASCO, LUIS</t>
  </si>
  <si>
    <t>HARDY, SARAH</t>
  </si>
  <si>
    <t>KIM, ELIZABETH</t>
  </si>
  <si>
    <t>ARRINDELL, ESMOND</t>
  </si>
  <si>
    <t>BROWN, BETH</t>
  </si>
  <si>
    <t>GRAHAM, CHARLES</t>
  </si>
  <si>
    <t>SEVIER, GEORGETTE</t>
  </si>
  <si>
    <t>BOLFING, MARY</t>
  </si>
  <si>
    <t>SANDER, CRAIG</t>
  </si>
  <si>
    <t>SCOTTEN, MITZI</t>
  </si>
  <si>
    <t>TAS, VILDAN</t>
  </si>
  <si>
    <t>KONERU, PADMAJA</t>
  </si>
  <si>
    <t>HAMLETT, JAMES</t>
  </si>
  <si>
    <t>KEENEY, SUSAN</t>
  </si>
  <si>
    <t>ASFARI, AHMED</t>
  </si>
  <si>
    <t>SHADDOOD, YOUSEF</t>
  </si>
  <si>
    <t>MORRISON, RONALD</t>
  </si>
  <si>
    <t>JONES, SANDRA</t>
  </si>
  <si>
    <t>JOGAL, SACHIN</t>
  </si>
  <si>
    <t>HAYDEN, JANE</t>
  </si>
  <si>
    <t>HAYS, LAURA</t>
  </si>
  <si>
    <t>VENABLE, TARA</t>
  </si>
  <si>
    <t>MOLCK, PAMELA</t>
  </si>
  <si>
    <t>MCKINNEY, SHANE</t>
  </si>
  <si>
    <t>HOGG, JEANNINE</t>
  </si>
  <si>
    <t>UNITED METHODIST CHILDREN'S HOME, INC.</t>
  </si>
  <si>
    <t>HOT SPRING COUNTY MEDICAL CENTER</t>
  </si>
  <si>
    <t>BAILEY, KRISTINA</t>
  </si>
  <si>
    <t>SHELTON, MARIE</t>
  </si>
  <si>
    <t>GATLIN, REBECCA</t>
  </si>
  <si>
    <t>NEELEY, BRITTANY</t>
  </si>
  <si>
    <t>JOSLIN, KELLY</t>
  </si>
  <si>
    <t>FUTRELL, NARICIA</t>
  </si>
  <si>
    <t>WILLIAMS, LARRY</t>
  </si>
  <si>
    <t>SMITH-CRASE, MARY</t>
  </si>
  <si>
    <t>STEINRIEDE, KELCEY</t>
  </si>
  <si>
    <t>GONELLI, BECKY</t>
  </si>
  <si>
    <t>MOSLEY, MELODY</t>
  </si>
  <si>
    <t>HOLLINGSHEAD, SHERYL</t>
  </si>
  <si>
    <t>HIGNITE, DWIGHT</t>
  </si>
  <si>
    <t>BAILEY, TINA</t>
  </si>
  <si>
    <t>ESMAEILPOUR, DIANNA</t>
  </si>
  <si>
    <t>MCPHERSON, MEAGAN</t>
  </si>
  <si>
    <t>BAKKE, REBECCA</t>
  </si>
  <si>
    <t>BRANSCOMB, AARON</t>
  </si>
  <si>
    <t>SCHOFIELD, MICHELLE</t>
  </si>
  <si>
    <t>DEVILLE, CHARLES</t>
  </si>
  <si>
    <t>JACKSON-AMOS, BONITA</t>
  </si>
  <si>
    <t>DURAN, ROBIN</t>
  </si>
  <si>
    <t>ASHLEY, COURTNEY</t>
  </si>
  <si>
    <t>HILL, CAROLINE</t>
  </si>
  <si>
    <t>WELLBORN, REBBECCA</t>
  </si>
  <si>
    <t>TRACI R GARRINGER, INC</t>
  </si>
  <si>
    <t>DAILY, SAMUEL</t>
  </si>
  <si>
    <t>TUBBS, BONNIE</t>
  </si>
  <si>
    <t>PRICE-SALYER, KENDRA</t>
  </si>
  <si>
    <t>HICKMAN-FOWLER, LESLIE</t>
  </si>
  <si>
    <t>PAUL RUST INC.</t>
  </si>
  <si>
    <t>LINDSEY, SARAH</t>
  </si>
  <si>
    <t>GRAY, ANNE</t>
  </si>
  <si>
    <t>HARSHBERGER, SHARON</t>
  </si>
  <si>
    <t>MALLARD, TRACEY</t>
  </si>
  <si>
    <t>HAHN, ALAN</t>
  </si>
  <si>
    <t>LOVELL, LYNN</t>
  </si>
  <si>
    <t>REMMEL, RAYMOND</t>
  </si>
  <si>
    <t>BAKER, AMANDA</t>
  </si>
  <si>
    <t>PARRISH, COURTNEY</t>
  </si>
  <si>
    <t>ERICKSON, DIANE</t>
  </si>
  <si>
    <t>DAVIS, OTHA</t>
  </si>
  <si>
    <t>COKER, JESSICA</t>
  </si>
  <si>
    <t>FRAS, JACQUELYN</t>
  </si>
  <si>
    <t>LEWIS, CAROLYN</t>
  </si>
  <si>
    <t>SPYTMA-WOODS, ALEISHA</t>
  </si>
  <si>
    <t>EVANS, LUCY</t>
  </si>
  <si>
    <t>HALLUM, HEATHER</t>
  </si>
  <si>
    <t>THARP, MARY</t>
  </si>
  <si>
    <t>HATHCOCK, DONNA</t>
  </si>
  <si>
    <t>PIERCE, RHONDA</t>
  </si>
  <si>
    <t>PATTERSON, CASANDRA</t>
  </si>
  <si>
    <t>JACKSON, SYNDEY</t>
  </si>
  <si>
    <t>CRAWFORD, TAMMY</t>
  </si>
  <si>
    <t>POWELL, JOANNE</t>
  </si>
  <si>
    <t>STAGE, MARY</t>
  </si>
  <si>
    <t>CHAMBLEE, CHARLES</t>
  </si>
  <si>
    <t>GADIPARTHI, ANNIE</t>
  </si>
  <si>
    <t>MATTHEWS, AARON</t>
  </si>
  <si>
    <t>HARRIS, BRANDI</t>
  </si>
  <si>
    <t>SOLES, ELLEN</t>
  </si>
  <si>
    <t>KENNEDY, KIRA</t>
  </si>
  <si>
    <t>BARKER, AMANDA</t>
  </si>
  <si>
    <t>FLOWERS, JOSEPHINE</t>
  </si>
  <si>
    <t>KUMAR, NIHIT</t>
  </si>
  <si>
    <t>KERRY UNDERWOOD</t>
  </si>
  <si>
    <t>MUKATIRA, UTHAPPA</t>
  </si>
  <si>
    <t>STEWART, TIFFANY</t>
  </si>
  <si>
    <t>WIHEBRINK, STACY</t>
  </si>
  <si>
    <t>YOUNGBLOOD, DIANE</t>
  </si>
  <si>
    <t>KEYES, CONSUELO</t>
  </si>
  <si>
    <t>EARL, RON</t>
  </si>
  <si>
    <t>SMITH, TAMESHIA</t>
  </si>
  <si>
    <t>PHENIX, VINCENT</t>
  </si>
  <si>
    <t>BETHELL, VANESSA</t>
  </si>
  <si>
    <t>LINDA J YERINA LCSW LLC</t>
  </si>
  <si>
    <t>JOHNSON, LESLIE</t>
  </si>
  <si>
    <t>SIMPSON, STACY</t>
  </si>
  <si>
    <t>CARSON, AARON</t>
  </si>
  <si>
    <t>NEWTON, STEPHANIE</t>
  </si>
  <si>
    <t>WHITE, C</t>
  </si>
  <si>
    <t>MARTIN, JACQUELYN</t>
  </si>
  <si>
    <t>FLOYD, AMY</t>
  </si>
  <si>
    <t>DIETRICH, SARAH</t>
  </si>
  <si>
    <t>GORDON, MIA</t>
  </si>
  <si>
    <t>ETHEREDGE, GAY</t>
  </si>
  <si>
    <t>RANDLE, MONIQUE</t>
  </si>
  <si>
    <t>WILLIAMS, ALLYSON</t>
  </si>
  <si>
    <t>SLATTON, ANNA</t>
  </si>
  <si>
    <t>SPROLING, MARSHA</t>
  </si>
  <si>
    <t>LONG, SHIRLEY</t>
  </si>
  <si>
    <t>WRIGHT, LESLIE</t>
  </si>
  <si>
    <t>HONEY, TOSHA</t>
  </si>
  <si>
    <t>WEISS, MARGARET</t>
  </si>
  <si>
    <t>MCFALL, WENDI</t>
  </si>
  <si>
    <t>SPENCE-RAPER, AUDREY</t>
  </si>
  <si>
    <t>LEE, TOMA</t>
  </si>
  <si>
    <t>ENGLE, SHELLI</t>
  </si>
  <si>
    <t>WOOD, SANDRA</t>
  </si>
  <si>
    <t>HALIJAN, CHRISTIE</t>
  </si>
  <si>
    <t>MAXWELL, LEIGH</t>
  </si>
  <si>
    <t>MOORE, ALDA</t>
  </si>
  <si>
    <t>DOMINICK, CASSANDRA</t>
  </si>
  <si>
    <t>COOKS, KATRINA</t>
  </si>
  <si>
    <t>DOBSON, MICHELLE</t>
  </si>
  <si>
    <t>VANNUCCI, ELIZABETH</t>
  </si>
  <si>
    <t>MOORE, ROBIN</t>
  </si>
  <si>
    <t>REDDIN, KEENA</t>
  </si>
  <si>
    <t>THOMAS, LYNN</t>
  </si>
  <si>
    <t>STRICKLAND, JOSH</t>
  </si>
  <si>
    <t>EVANS, CHARLOTTE</t>
  </si>
  <si>
    <t>HIGGINBOTHAM, MELISSA</t>
  </si>
  <si>
    <t>KILPATRICK, LESA</t>
  </si>
  <si>
    <t>SENTIMORE, KENDALL</t>
  </si>
  <si>
    <t>WILLIAMS, CAMESHA</t>
  </si>
  <si>
    <t>BRANDT, TIFFANY</t>
  </si>
  <si>
    <t>VEST, MICHELLE</t>
  </si>
  <si>
    <t>SIEFF, ANDREW</t>
  </si>
  <si>
    <t>MARLEY, GAYLA</t>
  </si>
  <si>
    <t>SAXTON, CHRISTINE</t>
  </si>
  <si>
    <t>FRANKS, CHRISTY</t>
  </si>
  <si>
    <t>HENRY, JESSICA</t>
  </si>
  <si>
    <t>TRIPATHI, SAMIDHA</t>
  </si>
  <si>
    <t>ELLIOTT, DARRELL</t>
  </si>
  <si>
    <t>OUTLAW, TIFFANY</t>
  </si>
  <si>
    <t>COLE, MARGARET</t>
  </si>
  <si>
    <t>REYNOLDS, KATHY</t>
  </si>
  <si>
    <t>PARKER, PHILLIP</t>
  </si>
  <si>
    <t>ADAMS, ESSIE</t>
  </si>
  <si>
    <t>COMFORT, AMANDA</t>
  </si>
  <si>
    <t>SPIEGEL, DEREK</t>
  </si>
  <si>
    <t>DRUMM, JOSEPH</t>
  </si>
  <si>
    <t>PETRAY, ASHLEY</t>
  </si>
  <si>
    <t>NELSON, CATHERINE</t>
  </si>
  <si>
    <t>JONES, CYNTHIA</t>
  </si>
  <si>
    <t>FUQUA, WADE</t>
  </si>
  <si>
    <t>TANNA, JACKIE</t>
  </si>
  <si>
    <t>EPPINETTE, REBECCA</t>
  </si>
  <si>
    <t>NELSON, MELISSA</t>
  </si>
  <si>
    <t>HEARD, JENNIFER</t>
  </si>
  <si>
    <t>MCCULLEY, ELIZABETH</t>
  </si>
  <si>
    <t>LEWIS, TASHA</t>
  </si>
  <si>
    <t>BRYANT, BONNIE</t>
  </si>
  <si>
    <t>MOHEAD, ROLANDA</t>
  </si>
  <si>
    <t>HALL, CLIFFORD</t>
  </si>
  <si>
    <t>BARBOUR, JOHN</t>
  </si>
  <si>
    <t>BANKSTON, STACEY</t>
  </si>
  <si>
    <t>SMITH, COLE</t>
  </si>
  <si>
    <t>GATELEY, KARLA</t>
  </si>
  <si>
    <t>LENEHAN, MICHAEL</t>
  </si>
  <si>
    <t>ALBUJA, LISA</t>
  </si>
  <si>
    <t>ROFKAHR, CRYSTAL</t>
  </si>
  <si>
    <t>SCHAFER, JULIE</t>
  </si>
  <si>
    <t>PADALA, PRASAD RAO</t>
  </si>
  <si>
    <t>PHELPS, LISA</t>
  </si>
  <si>
    <t>GOFF, RONNIE</t>
  </si>
  <si>
    <t>TULLOS, KIMBERLY</t>
  </si>
  <si>
    <t>PERRY, JOIE</t>
  </si>
  <si>
    <t>NOLEN, MADILYNN</t>
  </si>
  <si>
    <t>ETCHISON, ANGELA</t>
  </si>
  <si>
    <t>PARKER, KEESHA</t>
  </si>
  <si>
    <t>GIDDENS, SANDRA</t>
  </si>
  <si>
    <t>TANNEHILL, RHONDA</t>
  </si>
  <si>
    <t>HARPER, ANN</t>
  </si>
  <si>
    <t>BULLOCK, CHRISTINA</t>
  </si>
  <si>
    <t>EIDT, WILLIAM</t>
  </si>
  <si>
    <t>RYALS, AMANDA</t>
  </si>
  <si>
    <t>RANEY, VERONICA</t>
  </si>
  <si>
    <t>ABSHERE, RACHEL</t>
  </si>
  <si>
    <t>DEBERNARD, CHRISTOPHER</t>
  </si>
  <si>
    <t>WILLIAMS, ASHLIE</t>
  </si>
  <si>
    <t>BROCK, MABEL</t>
  </si>
  <si>
    <t>CARLTON, KELLYE</t>
  </si>
  <si>
    <t>HUBBERD, JESSE</t>
  </si>
  <si>
    <t>DAVIDSON, JANICE</t>
  </si>
  <si>
    <t>RIANS, JOHN</t>
  </si>
  <si>
    <t>WILLIAMS, ANDREA</t>
  </si>
  <si>
    <t>MCKENZIE, AMBER</t>
  </si>
  <si>
    <t>BEAVERSON, TERRY</t>
  </si>
  <si>
    <t>JACKSON, ROBIN</t>
  </si>
  <si>
    <t>WRIGHT, MELINDA</t>
  </si>
  <si>
    <t>DICKSON, RITA</t>
  </si>
  <si>
    <t>MURPHY, DEBORA</t>
  </si>
  <si>
    <t>EAKINS, SHAKIRA</t>
  </si>
  <si>
    <t>WOODS, SURKINNIA</t>
  </si>
  <si>
    <t>OLDHAM, WILLIAM</t>
  </si>
  <si>
    <t>JEFFS, JENNIFER</t>
  </si>
  <si>
    <t>FINCHER, PRISCILLA</t>
  </si>
  <si>
    <t>GATELEY, ANITA</t>
  </si>
  <si>
    <t>GARRETT, CHRISTINA</t>
  </si>
  <si>
    <t>BUTTERFIELD, PAULA</t>
  </si>
  <si>
    <t>HOGGARD, CHRISTOPHER</t>
  </si>
  <si>
    <t>PACK, ANGELA</t>
  </si>
  <si>
    <t>TAYLOR, LAUREN</t>
  </si>
  <si>
    <t>NOLES, LORI</t>
  </si>
  <si>
    <t>FAMILY COUNSELING &amp; RECOVERY CENTERS</t>
  </si>
  <si>
    <t>JAGGERNAUTH, SIMEON</t>
  </si>
  <si>
    <t>BIELAMOWICZ, KEVIN</t>
  </si>
  <si>
    <t>FANT, JERRI</t>
  </si>
  <si>
    <t>HAGANS, JAMES</t>
  </si>
  <si>
    <t>FLEMING, MARTIN</t>
  </si>
  <si>
    <t>OKOYE, CHRISTIAN</t>
  </si>
  <si>
    <t>LATTANZI, STEPHEN</t>
  </si>
  <si>
    <t>BURDGE, ERIC</t>
  </si>
  <si>
    <t>LONOKE HEALTH AND REHAB CENTER, LLC</t>
  </si>
  <si>
    <t>GGNSC HARRISON II LLC</t>
  </si>
  <si>
    <t>HIGHLANDS OF LITTLE ROCK RILEY HOLDINGS LLC</t>
  </si>
  <si>
    <t>PIKE COUNTY MEMORIAL HOSPITAL-SB</t>
  </si>
  <si>
    <t>ST. ANTHONY'S HOSPITAL ASSOCIATION</t>
  </si>
  <si>
    <t>HIGHLANDS OF FORT SMITH</t>
  </si>
  <si>
    <t>HIGHLANDS OF ROGERS DIXIELAND HOLDINGS LLC</t>
  </si>
  <si>
    <t>ATLANTA HOSPITAL AUTHORITY</t>
  </si>
  <si>
    <t>JOHNSON COUNTY HEALTH AND REHAB, LLC</t>
  </si>
  <si>
    <t>NEXION HEALTH AT LINDEN, INC</t>
  </si>
  <si>
    <t>GGNSC HARRISON HILLTOP LLC</t>
  </si>
  <si>
    <t>HIGHLANDS OF ROGERS DIXIELAND, LLC</t>
  </si>
  <si>
    <t>HICKORY HEIGHTS HEALTH AND REHAB, LLC</t>
  </si>
  <si>
    <t>SEVEN SPRINGS HEALTH AND REHABILITATION, LLC</t>
  </si>
  <si>
    <t>KMJ ENTERPRISES GRAVETTE LLC</t>
  </si>
  <si>
    <t>HIGHLANDS OF STAMPS HOLDINGS LLC</t>
  </si>
  <si>
    <t>HIGHLANDS OF MOUNTAIN VIEW SNF HOLDINGS LLC</t>
  </si>
  <si>
    <t>GGNSC CAMDEN LLC</t>
  </si>
  <si>
    <t>LAKEWOOD HEALTH AND REHAB, LLC</t>
  </si>
  <si>
    <t>RAINBOW REHABILITATION AND HEALTHCARE CENTER, LLC</t>
  </si>
  <si>
    <t>CONVACARE INC</t>
  </si>
  <si>
    <t>GGNSC ROGERS LLC</t>
  </si>
  <si>
    <t>WAGNON PLACE HEALTH FACILITIES</t>
  </si>
  <si>
    <t>HIGHLANDS OF LITTLE ROCK WEST MARKHAM HOLDINGS LLC</t>
  </si>
  <si>
    <t>STONEYBROOK HEALTH SERVICES</t>
  </si>
  <si>
    <t>SRN MANAGEMENT 2, LLC</t>
  </si>
  <si>
    <t>ARKANSAS CARDIOLOGY</t>
  </si>
  <si>
    <t>VANCE, DAVID</t>
  </si>
  <si>
    <t>GOJER, BERNARD</t>
  </si>
  <si>
    <t>IANSMITH, DAVID</t>
  </si>
  <si>
    <t>YUSUF, JAWWAD</t>
  </si>
  <si>
    <t>PATEL, MINAKSHI</t>
  </si>
  <si>
    <t>LEVINE, YEHOSHUA</t>
  </si>
  <si>
    <t>DOSSEY, AMY</t>
  </si>
  <si>
    <t>RUIZ-RODRIGUEZ, ERNESTO</t>
  </si>
  <si>
    <t>FAULKNER, LEE</t>
  </si>
  <si>
    <t>BROWN, WANDA</t>
  </si>
  <si>
    <t>NOLEN, LAUREN</t>
  </si>
  <si>
    <t>ELNAGGAR, ADAM</t>
  </si>
  <si>
    <t>APPLEGET, KATHERINE</t>
  </si>
  <si>
    <t>HOLLOWAY, MEGAN</t>
  </si>
  <si>
    <t>HOLLAND, SARAH</t>
  </si>
  <si>
    <t>BOYD, CURTIS</t>
  </si>
  <si>
    <t>MCGHEE, VIRGINIA</t>
  </si>
  <si>
    <t>HANSEN, LAXMISILPA</t>
  </si>
  <si>
    <t>DESLAURIERS, S</t>
  </si>
  <si>
    <t>WATKINS, JESHENNA</t>
  </si>
  <si>
    <t>CHAVEZ, ALICE</t>
  </si>
  <si>
    <t>BONNETTE, LAUREN</t>
  </si>
  <si>
    <t>EILAND, NATALIE</t>
  </si>
  <si>
    <t>MILLER, ANGELA</t>
  </si>
  <si>
    <t>DELANEY, ADRIANE</t>
  </si>
  <si>
    <t>KHANNA, PALLAVI</t>
  </si>
  <si>
    <t>WRIGHT, ALICIA</t>
  </si>
  <si>
    <t>FURNISS, JAN</t>
  </si>
  <si>
    <t>ALEXANDER, BRANDI</t>
  </si>
  <si>
    <t>HOEKSTRA, TIMOTHY</t>
  </si>
  <si>
    <t>DUNHAM, ANDREW</t>
  </si>
  <si>
    <t>WATSON, MALORY</t>
  </si>
  <si>
    <t>HOLLENBACH, LAURA</t>
  </si>
  <si>
    <t>BETCHER, RAYMOND</t>
  </si>
  <si>
    <t>WRIGHT, LINDA</t>
  </si>
  <si>
    <t>SIMMONS, PAMELA</t>
  </si>
  <si>
    <t>KHADAM-MAKHOUL, HANAN</t>
  </si>
  <si>
    <t>SLOCUM, PHILIP</t>
  </si>
  <si>
    <t>BARNES, LINDSEY</t>
  </si>
  <si>
    <t>CHASE, DAVID</t>
  </si>
  <si>
    <t>CRAYTOR, BRET</t>
  </si>
  <si>
    <t>BLAKE ALLEN LITTLE, M.D., L.L.C.</t>
  </si>
  <si>
    <t>BOSWELL, RICHARD</t>
  </si>
  <si>
    <t>MUTHIAH, MUTHIAH</t>
  </si>
  <si>
    <t>PAHWA, HARNEET</t>
  </si>
  <si>
    <t>SHIRAZEE, SYED</t>
  </si>
  <si>
    <t>KADARIA, DIPEN</t>
  </si>
  <si>
    <t>GUPTA, MALINI</t>
  </si>
  <si>
    <t>MARAKA, SPYRIDOULA</t>
  </si>
  <si>
    <t>BOONEVILLE COMMUNITY HOSPITAL</t>
  </si>
  <si>
    <t>BAXTER COUNTY REGIONAL HOSPITAL INC</t>
  </si>
  <si>
    <t>DREW MEMORIAL HOSPITAL, INC</t>
  </si>
  <si>
    <t>ST BERNARDS COMMUNITY HOSPITAL CORP</t>
  </si>
  <si>
    <t>ALLEGIANCE SPECIALTY HOSPITAL OF LITTLE ROCK, LLC</t>
  </si>
  <si>
    <t>CONWAY COMMUNITY SERVICES</t>
  </si>
  <si>
    <t>ADVANCE CARE HOSPITAL</t>
  </si>
  <si>
    <t>PHYSICIANS' SPECIALTY HOSPITAL</t>
  </si>
  <si>
    <t>FAYETTEVILLE ARKANSAS HOSPITAL COMPANY LLC</t>
  </si>
  <si>
    <t>HARIDAS, AAROOP</t>
  </si>
  <si>
    <t>BOSTIAN, ELISSA</t>
  </si>
  <si>
    <t>DEREK S LONG OD, INC</t>
  </si>
  <si>
    <t>HOANG, MARY</t>
  </si>
  <si>
    <t>BELL, AUSTIN</t>
  </si>
  <si>
    <t>JONES, JUDY</t>
  </si>
  <si>
    <t>MEREDITH, ALEXANDRA</t>
  </si>
  <si>
    <t>HAWORTH, KRISTINA</t>
  </si>
  <si>
    <t>HUGHES, ROBERT</t>
  </si>
  <si>
    <t>NGUYEN, DO</t>
  </si>
  <si>
    <t>SWAIN, AUSTIN</t>
  </si>
  <si>
    <t>ADAMS, AUTUMN</t>
  </si>
  <si>
    <t>FOSTER, RICHARD</t>
  </si>
  <si>
    <t>LAW, KRISTIN</t>
  </si>
  <si>
    <t>MEREDITH, WINN</t>
  </si>
  <si>
    <t>ADAMS, LINDSEY</t>
  </si>
  <si>
    <t>HANSEN, MATTHEW</t>
  </si>
  <si>
    <t>HAO, ANNIE</t>
  </si>
  <si>
    <t>KNIGHT, BRIAN</t>
  </si>
  <si>
    <t>HEFLEY, KENNETH</t>
  </si>
  <si>
    <t>STEIGER, CHARLES</t>
  </si>
  <si>
    <t>KESTER, ROBERT</t>
  </si>
  <si>
    <t>CORR, ZACHARY</t>
  </si>
  <si>
    <t>TELLE, WILLIAM</t>
  </si>
  <si>
    <t>C250</t>
  </si>
  <si>
    <t>Access to General Dentists</t>
  </si>
  <si>
    <t>ANGEL, BRYAN</t>
  </si>
  <si>
    <t>ISBELL, THOMAS</t>
  </si>
  <si>
    <t>ELIMON, RICHARD</t>
  </si>
  <si>
    <t>LAIS, RANDOLPH</t>
  </si>
  <si>
    <t>DUNAVIN, BRENT</t>
  </si>
  <si>
    <t>CARTILLAR, DJUANA</t>
  </si>
  <si>
    <t>DAVIS, ANGELA</t>
  </si>
  <si>
    <t>BULMANSKI, THOMAS</t>
  </si>
  <si>
    <t>HENDERSON, WALTER</t>
  </si>
  <si>
    <t>TAYLOR, CHARLES</t>
  </si>
  <si>
    <t>MORGAN, KARA</t>
  </si>
  <si>
    <t>MCGRAW, LANCE</t>
  </si>
  <si>
    <t>PUCKETT, JOHN</t>
  </si>
  <si>
    <t>CARTER, ROBERT</t>
  </si>
  <si>
    <t>BOX, TERRY</t>
  </si>
  <si>
    <t>LANDRY, CYNTHIA</t>
  </si>
  <si>
    <t>BLACKSHARE, SAMMY</t>
  </si>
  <si>
    <t>BRIESE, ANDREW</t>
  </si>
  <si>
    <t>COOK, JONATHAN</t>
  </si>
  <si>
    <t>MCGARITY, JUSTIN</t>
  </si>
  <si>
    <t>BALTZ, KARLA</t>
  </si>
  <si>
    <t>WINBERRY, LARRY</t>
  </si>
  <si>
    <t>MARKS, DEREK</t>
  </si>
  <si>
    <t>RINEHART, DOUGLAS</t>
  </si>
  <si>
    <t>CURRY, BRITTANY</t>
  </si>
  <si>
    <t>GOACHER, STEVEN</t>
  </si>
  <si>
    <t>LUNSFORD, WILLIAM</t>
  </si>
  <si>
    <t>CURRY, ANDREW</t>
  </si>
  <si>
    <t>DOWNING, BRYAN</t>
  </si>
  <si>
    <t>CHILDS, MIRANDA</t>
  </si>
  <si>
    <t>POTTS, CHRISTOPHER</t>
  </si>
  <si>
    <t>MATHIS, ERIC</t>
  </si>
  <si>
    <t>ARMSTRONG, ERICA</t>
  </si>
  <si>
    <t>BRATTON, AARON</t>
  </si>
  <si>
    <t>KRUPKA, MICHAEL</t>
  </si>
  <si>
    <t>GLASS, DAVID</t>
  </si>
  <si>
    <t>OLTMANN, CATRIONA</t>
  </si>
  <si>
    <t>BURNETT, HUGH</t>
  </si>
  <si>
    <t>HIMM, WILLIAM</t>
  </si>
  <si>
    <t>KING, TY</t>
  </si>
  <si>
    <t>PATTERSON, ALMA</t>
  </si>
  <si>
    <t>KIMBROUGH, DONATHAN</t>
  </si>
  <si>
    <t>JOLLY, SCOTT</t>
  </si>
  <si>
    <t>COOPER, RUSSELL</t>
  </si>
  <si>
    <t>VESTER, STEPHEN</t>
  </si>
  <si>
    <t>BORENGASSER, JAMES</t>
  </si>
  <si>
    <t>EADES, DAVID</t>
  </si>
  <si>
    <t>REID, SHIRLEY</t>
  </si>
  <si>
    <t>PLYLER, CARL</t>
  </si>
  <si>
    <t>HARRISON, MATTHEW</t>
  </si>
  <si>
    <t>STEWART, TODD</t>
  </si>
  <si>
    <t>CHUNN, MARK</t>
  </si>
  <si>
    <t>BONDS, JAMES</t>
  </si>
  <si>
    <t>MATTHEWS, JOHN</t>
  </si>
  <si>
    <t>HAMILTON, WESLEY</t>
  </si>
  <si>
    <t>CULPEPPER, NICHOLAS</t>
  </si>
  <si>
    <t>THOMPSON, KELLEY</t>
  </si>
  <si>
    <t>GOULD, LARRY</t>
  </si>
  <si>
    <t>GREEN, BRAD</t>
  </si>
  <si>
    <t>DUKE, JACOB</t>
  </si>
  <si>
    <t>THANE, JOHN</t>
  </si>
  <si>
    <t>WATSON, DAVID</t>
  </si>
  <si>
    <t>WOODRUFF, TIMOTHY</t>
  </si>
  <si>
    <t>TROGDON, GAVIN</t>
  </si>
  <si>
    <t>LUNDY, LIZA</t>
  </si>
  <si>
    <t>CAULDWELL, JOHN</t>
  </si>
  <si>
    <t>KEENER, JOSHUA</t>
  </si>
  <si>
    <t>HARRISON, MICHAEL</t>
  </si>
  <si>
    <t>FIELDS, ASHLEY</t>
  </si>
  <si>
    <t>HOLMAN, THOMAS</t>
  </si>
  <si>
    <t>REESE, PAUL</t>
  </si>
  <si>
    <t>SHEPHERD, WILLIAM</t>
  </si>
  <si>
    <t>COLE, DAVID</t>
  </si>
  <si>
    <t>MILES, JEFFREY</t>
  </si>
  <si>
    <t>CYPHERS, DANIEL</t>
  </si>
  <si>
    <t>LADD, WILLIAM</t>
  </si>
  <si>
    <t>RUSSOM, BILLY</t>
  </si>
  <si>
    <t>SLAUGHTER, BRADLEY</t>
  </si>
  <si>
    <t>EDWARDS, M. GRACE</t>
  </si>
  <si>
    <t>FUSILIER, JEFFREY</t>
  </si>
  <si>
    <t>SIMPSON, RANDY</t>
  </si>
  <si>
    <t>BRYANT, DONNIE</t>
  </si>
  <si>
    <t>COLEMAN, BRADLEY</t>
  </si>
  <si>
    <t>GORE, SEAN</t>
  </si>
  <si>
    <t>REITH, MATTHEW</t>
  </si>
  <si>
    <t>MANN, BRANDON</t>
  </si>
  <si>
    <t>BEAVERS, JAMES</t>
  </si>
  <si>
    <t>DOUGLAS, RICKEY</t>
  </si>
  <si>
    <t>WAH, HENRY</t>
  </si>
  <si>
    <t>MURPHY, VENT</t>
  </si>
  <si>
    <t>BELL, SCOTT</t>
  </si>
  <si>
    <t>CURLIN, JIM</t>
  </si>
  <si>
    <t>BERLEY, JAMES</t>
  </si>
  <si>
    <t>PROVINCE, DANA</t>
  </si>
  <si>
    <t>MANGAN, CHARLES</t>
  </si>
  <si>
    <t>MOLPUS, STEVEN</t>
  </si>
  <si>
    <t>HENCE, MARQUINET</t>
  </si>
  <si>
    <t>MCMILLAN, ASHLEY</t>
  </si>
  <si>
    <t>SEELINGER, CHELSEA</t>
  </si>
  <si>
    <t>BARTELS, VIRGIL ANTHONY</t>
  </si>
  <si>
    <t>GEORGE, SCOTT</t>
  </si>
  <si>
    <t>BARTLETT, JENNIFER</t>
  </si>
  <si>
    <t>REYNOLDS, DAVID</t>
  </si>
  <si>
    <t>WEAVER SHEPARD, CHRISTI</t>
  </si>
  <si>
    <t>GOLDEN, KRISTI</t>
  </si>
  <si>
    <t>WEBB, GARRETT</t>
  </si>
  <si>
    <t>CLARK, MICHAEL</t>
  </si>
  <si>
    <t>DUNLAP, JAMES</t>
  </si>
  <si>
    <t>PRAETZEL, DARON</t>
  </si>
  <si>
    <t>LAWRENCE, LANCE</t>
  </si>
  <si>
    <t>DEATLEY, IRVIN</t>
  </si>
  <si>
    <t>ADAMS, JEREMY</t>
  </si>
  <si>
    <t>DAVIDSON, GRANT</t>
  </si>
  <si>
    <t>FISHER, STEPHEN</t>
  </si>
  <si>
    <t>WEDDLE, DEAN</t>
  </si>
  <si>
    <t>CIESLA, DAVID</t>
  </si>
  <si>
    <t>SCALLION, TARA</t>
  </si>
  <si>
    <t>BABER, MARK</t>
  </si>
  <si>
    <t>PAYNE, SARAH</t>
  </si>
  <si>
    <t>EDERLE, KATHLEEN</t>
  </si>
  <si>
    <t>DECOURSEY, BRETT</t>
  </si>
  <si>
    <t>MOSELEY, PATRICK</t>
  </si>
  <si>
    <t>JOLLY, ROBERT</t>
  </si>
  <si>
    <t>MASSEY WAGNER, KATHRYN</t>
  </si>
  <si>
    <t>TYRER, DEAN</t>
  </si>
  <si>
    <t>MURPHY, MARK</t>
  </si>
  <si>
    <t>RITCHIE, PETER</t>
  </si>
  <si>
    <t>SORRELLS, GEORGE</t>
  </si>
  <si>
    <t>PALMER, JAMES</t>
  </si>
  <si>
    <t>BELLER, CHRISTOPHER</t>
  </si>
  <si>
    <t>LALLY, JOHN</t>
  </si>
  <si>
    <t>SMITH, KEITH</t>
  </si>
  <si>
    <t>LIGGETT, CHARLES</t>
  </si>
  <si>
    <t>TOLAND, RICHARD</t>
  </si>
  <si>
    <t>LUCKE, REBECCA</t>
  </si>
  <si>
    <t>FLEMING, MAXWELL</t>
  </si>
  <si>
    <t>NICHOLS, COREY</t>
  </si>
  <si>
    <t>HARPER, MITCHELL</t>
  </si>
  <si>
    <t>HESTIR, JOHN</t>
  </si>
  <si>
    <t>BLANSCET, MICHAEL</t>
  </si>
  <si>
    <t>HARMON, LAUREN</t>
  </si>
  <si>
    <t>SCARBROUGH, JOSEPH</t>
  </si>
  <si>
    <t>ERNEY, WARREN</t>
  </si>
  <si>
    <t>WEBB, BRANDON</t>
  </si>
  <si>
    <t>DOLAN, LINDSEY</t>
  </si>
  <si>
    <t>STEPHENS, SCOTT</t>
  </si>
  <si>
    <t>DAVIS, CRAIG</t>
  </si>
  <si>
    <t>FLEISCHNER, STUART</t>
  </si>
  <si>
    <t>BRYAN, REBECCA</t>
  </si>
  <si>
    <t>TURNER, TERRY</t>
  </si>
  <si>
    <t>BURROWS, JOHN</t>
  </si>
  <si>
    <t>JEFFUS, BROOKE</t>
  </si>
  <si>
    <t>NEAVILLE, CHARLES</t>
  </si>
  <si>
    <t>SHARMA, SWATI</t>
  </si>
  <si>
    <t>BEENE GREGORY, EMMALEE</t>
  </si>
  <si>
    <t>DELEE, NEAL</t>
  </si>
  <si>
    <t>BROOKS, FRANK</t>
  </si>
  <si>
    <t>RAINES, JAMES</t>
  </si>
  <si>
    <t>PATE, YAMILETH</t>
  </si>
  <si>
    <t>HIGGINS, CLIFTON</t>
  </si>
  <si>
    <t>BRITTAIN, DOUGLAS</t>
  </si>
  <si>
    <t>LOPEZ, GILBERTO</t>
  </si>
  <si>
    <t>BYRAM, JEFF</t>
  </si>
  <si>
    <t>SULLIVANT, JOHN</t>
  </si>
  <si>
    <t>CRISP, CHARLES</t>
  </si>
  <si>
    <t>DICKINSON, LESLIE</t>
  </si>
  <si>
    <t>MCCORMICK, MICHAEL</t>
  </si>
  <si>
    <t>EDWARDS, MATTHEW</t>
  </si>
  <si>
    <t>BERRY, JOHN</t>
  </si>
  <si>
    <t>HIXSON, WILLIAM</t>
  </si>
  <si>
    <t>GAINES, KARLA</t>
  </si>
  <si>
    <t>HARRIS, WILLIAM</t>
  </si>
  <si>
    <t>WEAVER, JENNIFER</t>
  </si>
  <si>
    <t>PLYLER, JEFFREY</t>
  </si>
  <si>
    <t>RIBEIRO, RITA</t>
  </si>
  <si>
    <t>PERRY, CANDICE</t>
  </si>
  <si>
    <t>STROOPE, BRANDON</t>
  </si>
  <si>
    <t>THOMAS, HUNTER</t>
  </si>
  <si>
    <t>FISHER, DARREN</t>
  </si>
  <si>
    <t>RODRIGUEZ, RACHAEL</t>
  </si>
  <si>
    <t>LE, ISAAC</t>
  </si>
  <si>
    <t>GIRLINGHOUSE, RONALD</t>
  </si>
  <si>
    <t>WISENER, JEFFERY</t>
  </si>
  <si>
    <t>HAWKINS, DRAKE</t>
  </si>
  <si>
    <t>LEE, SHAWN</t>
  </si>
  <si>
    <t>CARMONY, NEIL</t>
  </si>
  <si>
    <t>AVEN, WILLIAM</t>
  </si>
  <si>
    <t>BAUMGARDNER, RAYMOND</t>
  </si>
  <si>
    <t>SHIRLEY, MICHAEL</t>
  </si>
  <si>
    <t>HUBBARD, RONALD</t>
  </si>
  <si>
    <t>O'DELL, VAN</t>
  </si>
  <si>
    <t>GORE, RONALD</t>
  </si>
  <si>
    <t>DOVER, MATTHEW</t>
  </si>
  <si>
    <t>ROSE, MICHELLE</t>
  </si>
  <si>
    <t>JOLLEY, TED</t>
  </si>
  <si>
    <t>BUTLER, MONTE</t>
  </si>
  <si>
    <t>SIMMONS, CELITA</t>
  </si>
  <si>
    <t>SIMON, JEREMY</t>
  </si>
  <si>
    <t>MATOUSEK-RONCK, JENNIFER</t>
  </si>
  <si>
    <t>COOK, JERRY</t>
  </si>
  <si>
    <t>SHELL, LENDALL</t>
  </si>
  <si>
    <t>HATLEY, JOHN</t>
  </si>
  <si>
    <t>EVERETT, RANDY</t>
  </si>
  <si>
    <t>DEATLEY, CHRISTINA</t>
  </si>
  <si>
    <t>MCCRACKEN, MICHAEL</t>
  </si>
  <si>
    <t>ROWE, WILLIAM</t>
  </si>
  <si>
    <t>SEITER, JACOB</t>
  </si>
  <si>
    <t>BAUER, CALEB</t>
  </si>
  <si>
    <t>TURNER, DARWIN</t>
  </si>
  <si>
    <t>CRISWELL, BYRL</t>
  </si>
  <si>
    <t>ELLIS, VIRGIL</t>
  </si>
  <si>
    <t>GUBLER, MICHAEL</t>
  </si>
  <si>
    <t>BEAVERS, DANIEL</t>
  </si>
  <si>
    <t>ALLEY, MICHAEL</t>
  </si>
  <si>
    <t>HOPPER, ALISA</t>
  </si>
  <si>
    <t>MITCHELL, MARSHALL</t>
  </si>
  <si>
    <t>CROSSFIELD, BRADLEY</t>
  </si>
  <si>
    <t>PIERCE, KEVIN</t>
  </si>
  <si>
    <t>BAILEY, ROBBINS</t>
  </si>
  <si>
    <t>PETKOVICH, BERNARD</t>
  </si>
  <si>
    <t>VARNER, JAMES</t>
  </si>
  <si>
    <t>GRACE, DAVID</t>
  </si>
  <si>
    <t>AUSTIN, BRYAN</t>
  </si>
  <si>
    <t>BARFIELD, JANA</t>
  </si>
  <si>
    <t>TATUM, ANNAKATE</t>
  </si>
  <si>
    <t>WILLIAMS, MONICA</t>
  </si>
  <si>
    <t>QUICK, DONNY</t>
  </si>
  <si>
    <t>RAY, STEVEN</t>
  </si>
  <si>
    <t>GRAY, ANGELA</t>
  </si>
  <si>
    <t>PINNEY, JOSEPH</t>
  </si>
  <si>
    <t>MILES, JOSEPH</t>
  </si>
  <si>
    <t>TRAMEL, ROBERT</t>
  </si>
  <si>
    <t>NEFF, ALVIN</t>
  </si>
  <si>
    <t>BEAVERS, KRISTEN</t>
  </si>
  <si>
    <t>INMAN, DAVID</t>
  </si>
  <si>
    <t>ESRY, SHELBY</t>
  </si>
  <si>
    <t>DIETRICH, FRED</t>
  </si>
  <si>
    <t>MARAVICH, JOHN</t>
  </si>
  <si>
    <t>WHEELER, MONTE</t>
  </si>
  <si>
    <t>LEFLER, THOMAS</t>
  </si>
  <si>
    <t>CARLISLE, MATTHEW</t>
  </si>
  <si>
    <t>GRIFFIN, DOUGLAS</t>
  </si>
  <si>
    <t>ALLISON, JOHN</t>
  </si>
  <si>
    <t>SOUTHARD, HEATHER</t>
  </si>
  <si>
    <t>MULLINS, PATTI</t>
  </si>
  <si>
    <t>MOUNTS, JASON</t>
  </si>
  <si>
    <t>OUELLETTE, DAVID</t>
  </si>
  <si>
    <t>BALE, FORREST</t>
  </si>
  <si>
    <t>MCKINNEY, MARCIE</t>
  </si>
  <si>
    <t>LENDERMAN, WILLIAM</t>
  </si>
  <si>
    <t>COTHAM, BRETT</t>
  </si>
  <si>
    <t>BLANSETT, JONATHAN</t>
  </si>
  <si>
    <t>BARTON, DAVID</t>
  </si>
  <si>
    <t>AEBERSOLD, ANITA</t>
  </si>
  <si>
    <t>OVERCASH, CARL</t>
  </si>
  <si>
    <t>SPIVEY, THOMAS</t>
  </si>
  <si>
    <t>JONES, CARA</t>
  </si>
  <si>
    <t>MOORE, RYAN</t>
  </si>
  <si>
    <t>DIXON, WILLIAM</t>
  </si>
  <si>
    <t>BARFIELD, AMY</t>
  </si>
  <si>
    <t>WEAVER, LORI</t>
  </si>
  <si>
    <t>PASCOE, STEVEN</t>
  </si>
  <si>
    <t>HANCE, PAUL</t>
  </si>
  <si>
    <t>ROBERTS, R</t>
  </si>
  <si>
    <t>PRATHER, BRENTON</t>
  </si>
  <si>
    <t>BALTZ, PAUL</t>
  </si>
  <si>
    <t>BRIDWELL, MATTHEW</t>
  </si>
  <si>
    <t>GARDNER, SARAH</t>
  </si>
  <si>
    <t>WOODARD, ERNEST</t>
  </si>
  <si>
    <t>ELLENWOOD, DREW</t>
  </si>
  <si>
    <t>ROARK, RODNEY</t>
  </si>
  <si>
    <t>TOMPKINS, WILLIAM</t>
  </si>
  <si>
    <t>PLATT, GEORGE</t>
  </si>
  <si>
    <t>TURCIOS, JOSE</t>
  </si>
  <si>
    <t>MASHBURN, MARK</t>
  </si>
  <si>
    <t>CLEMMONS, WARD</t>
  </si>
  <si>
    <t>MATTHEWS, DOUGLAS</t>
  </si>
  <si>
    <t>WHITE, STEVEN</t>
  </si>
  <si>
    <t>DEAL, STEPHEN</t>
  </si>
  <si>
    <t>WILLIAMS, LOWELL</t>
  </si>
  <si>
    <t>PARKER, VAN</t>
  </si>
  <si>
    <t>SCHOEN, SCOTT</t>
  </si>
  <si>
    <t>WIEDOWER, RICHARD</t>
  </si>
  <si>
    <t>LARSEN, WALTER</t>
  </si>
  <si>
    <t>SPADES, JOSEPH</t>
  </si>
  <si>
    <t>REMERSCHEID, DALE</t>
  </si>
  <si>
    <t>MASSEY, DONNA</t>
  </si>
  <si>
    <t>COLCLASURE, DALE</t>
  </si>
  <si>
    <t>TINNIN, ROBERT</t>
  </si>
  <si>
    <t>BALDWIN, AARON</t>
  </si>
  <si>
    <t>PAYNE, GREGORY</t>
  </si>
  <si>
    <t>JORDAN, JESSICA</t>
  </si>
  <si>
    <t>JOLLY, BRADLEY</t>
  </si>
  <si>
    <t>DOUGLAS, BRIEN</t>
  </si>
  <si>
    <t>SPARKMAN, BEAU</t>
  </si>
  <si>
    <t>APATA, LARHONDA</t>
  </si>
  <si>
    <t>KEENE, ROBERT</t>
  </si>
  <si>
    <t>POWELL, JEFF</t>
  </si>
  <si>
    <t>LOONEY, MARK</t>
  </si>
  <si>
    <t>KIFER, WADE</t>
  </si>
  <si>
    <t>LANE, LAMAR</t>
  </si>
  <si>
    <t>SMITH, COURTNEY</t>
  </si>
  <si>
    <t>WALL MARKS, KATHLEEN</t>
  </si>
  <si>
    <t>FLAHERTY, STEPHANIE</t>
  </si>
  <si>
    <t>BROOKS, JR, ROGER</t>
  </si>
  <si>
    <t>LAMASTER, AARON</t>
  </si>
  <si>
    <t>KITCHENS, MICHAEL</t>
  </si>
  <si>
    <t>FISER, BROOKS</t>
  </si>
  <si>
    <t>ELIA, KRISTI</t>
  </si>
  <si>
    <t>COOPER, DARRON</t>
  </si>
  <si>
    <t>UDOUJ, STAN</t>
  </si>
  <si>
    <t>NICHOLS, TINA</t>
  </si>
  <si>
    <t>MACHEN, BILLY</t>
  </si>
  <si>
    <t>VANBEBBER, WILLIAM</t>
  </si>
  <si>
    <t>BREWER, ASHLEY</t>
  </si>
  <si>
    <t>MEGGERS, MARSHALL</t>
  </si>
  <si>
    <t>WILLIAMS, DEBORAH</t>
  </si>
  <si>
    <t>FIELDS, PATRICK</t>
  </si>
  <si>
    <t>CLOUD, JOHN</t>
  </si>
  <si>
    <t>BAILEY, TERRELL</t>
  </si>
  <si>
    <t>DONATO QUINTANA, BRENDA</t>
  </si>
  <si>
    <t>HATLEY, NAYLA</t>
  </si>
  <si>
    <t>HILLIS, JORDAN</t>
  </si>
  <si>
    <t>PRADO, LILLIAM</t>
  </si>
  <si>
    <t>HOLCOMB, JOHN</t>
  </si>
  <si>
    <t>WARD, KEVIN</t>
  </si>
  <si>
    <t>CARLISLE, ROBERT</t>
  </si>
  <si>
    <t>TAYLOR, BRUCE</t>
  </si>
  <si>
    <t>MODELEVSKY, STEPHEN</t>
  </si>
  <si>
    <t>BRATTON, ROY</t>
  </si>
  <si>
    <t>MOORE, HAYLEY</t>
  </si>
  <si>
    <t>ORR, ANDREW</t>
  </si>
  <si>
    <t>JENSEN, CHAD</t>
  </si>
  <si>
    <t>CLARK, CODY</t>
  </si>
  <si>
    <t>GORDY, SPENCER</t>
  </si>
  <si>
    <t>SUTTON, JACOB</t>
  </si>
  <si>
    <t>FORD, JERRY</t>
  </si>
  <si>
    <t>DUGAN, KEVIN</t>
  </si>
  <si>
    <t>WOOLSEY, JASON</t>
  </si>
  <si>
    <t>EVERETT, TAYLOR</t>
  </si>
  <si>
    <t>TANNER, SHAUNA</t>
  </si>
  <si>
    <t>BRAHMBHATT, RAJ</t>
  </si>
  <si>
    <t>FALLIS, DALE</t>
  </si>
  <si>
    <t>TONEY, JOSHUA</t>
  </si>
  <si>
    <t>SPARLING, DEBORAH</t>
  </si>
  <si>
    <t>CAPLE, BRENT</t>
  </si>
  <si>
    <t>FULKS, CLINT</t>
  </si>
  <si>
    <t>POWELL, LARRY</t>
  </si>
  <si>
    <t>WEST, GEOFF</t>
  </si>
  <si>
    <t>JOHNSON, ANDREW</t>
  </si>
  <si>
    <t>WINBORN, PAUL</t>
  </si>
  <si>
    <t>SPADES, WILLIAMS</t>
  </si>
  <si>
    <t>HAVARD, JASON</t>
  </si>
  <si>
    <t>PHELAN, STEPHEN</t>
  </si>
  <si>
    <t>FLANNIGAN, ROBERT</t>
  </si>
  <si>
    <t>SKINNER, BRIAN</t>
  </si>
  <si>
    <t>RIDGWAY, WALTER</t>
  </si>
  <si>
    <t>ROTHROCK, TIMOTHY</t>
  </si>
  <si>
    <t>SHOWALTER, KEN</t>
  </si>
  <si>
    <t>SMITH, J.</t>
  </si>
  <si>
    <t>FREIRE-TROXEL, MICHELLE</t>
  </si>
  <si>
    <t>SANDERS, GARRETT</t>
  </si>
  <si>
    <t>GIBSON, RACHEL</t>
  </si>
  <si>
    <t>MOORE, W</t>
  </si>
  <si>
    <t>RHODES, JEFFREY</t>
  </si>
  <si>
    <t>BAPTIST-WILSON, BETTYE</t>
  </si>
  <si>
    <t>MASCAGNI, SAMARIA</t>
  </si>
  <si>
    <t>BROWN, EDDIE</t>
  </si>
  <si>
    <t>WOOD, ERIC</t>
  </si>
  <si>
    <t>PERRY, RICKEY</t>
  </si>
  <si>
    <t>MANN, KEVIN</t>
  </si>
  <si>
    <t>HARRIS, KYLE</t>
  </si>
  <si>
    <t>ACOSTA, JARED</t>
  </si>
  <si>
    <t>WAINSCOTT, MICHAEL</t>
  </si>
  <si>
    <t>SANDLIN, JACOB</t>
  </si>
  <si>
    <t>SCARBROUGH, RICHARD</t>
  </si>
  <si>
    <t>WHEELIS, BRADLEY</t>
  </si>
  <si>
    <t>MCALISTER, T. KERRY</t>
  </si>
  <si>
    <t>JAQUESS, CHRISTIE</t>
  </si>
  <si>
    <t>BUFFINGTON, JAMES</t>
  </si>
  <si>
    <t>LOONEY, MELANIE</t>
  </si>
  <si>
    <t>PINNEY, TED</t>
  </si>
  <si>
    <t>BEENE, DANIEL</t>
  </si>
  <si>
    <t>FLANAGIN, FRANCIS</t>
  </si>
  <si>
    <t>CAMP, MATTHEW</t>
  </si>
  <si>
    <t>SMITH, HUNTER</t>
  </si>
  <si>
    <t>CATRON, CHAD</t>
  </si>
  <si>
    <t>SHEARER, RYAN</t>
  </si>
  <si>
    <t>WIGGINS, ANGELA</t>
  </si>
  <si>
    <t>MCGEE, ARNIE</t>
  </si>
  <si>
    <t>CHASON, STEVE</t>
  </si>
  <si>
    <t>GORMAN, RUSSELL</t>
  </si>
  <si>
    <t>KILCREASE, JOHN</t>
  </si>
  <si>
    <t>BROWNING, LARRY</t>
  </si>
  <si>
    <t>MORGAN, RICHARD</t>
  </si>
  <si>
    <t>BEERS, SARAH</t>
  </si>
  <si>
    <t>BROOMFIELD, ANGELA</t>
  </si>
  <si>
    <t>COX, JARED</t>
  </si>
  <si>
    <t>ALLMON, BRADY</t>
  </si>
  <si>
    <t>SANDERS, JERRY</t>
  </si>
  <si>
    <t>DUFF, KENNY</t>
  </si>
  <si>
    <t>FAULKNER, RONNIE</t>
  </si>
  <si>
    <t>SCALLION, JOHN</t>
  </si>
  <si>
    <t>SMITH, JERRY</t>
  </si>
  <si>
    <t>TEALE, JESSICA</t>
  </si>
  <si>
    <t>MCCLESKEY, SHIRLEY</t>
  </si>
  <si>
    <t>ALFORD, GREGG</t>
  </si>
  <si>
    <t>WILSON, MARK</t>
  </si>
  <si>
    <t>BURTON, JAMES</t>
  </si>
  <si>
    <t>BRYANT, JULIE</t>
  </si>
  <si>
    <t>DALLISON, NOBLE</t>
  </si>
  <si>
    <t>COOPER, JORDAN</t>
  </si>
  <si>
    <t>DUNN, SUSAN</t>
  </si>
  <si>
    <t>CHANEY, DONALD</t>
  </si>
  <si>
    <t>HUBBARD, ROBERT</t>
  </si>
  <si>
    <t>STEININGER, EMILY</t>
  </si>
  <si>
    <t>KIMBROUGH, RANDAL</t>
  </si>
  <si>
    <t>BEENE, TAD</t>
  </si>
  <si>
    <t>MOBBS, SPENCER</t>
  </si>
  <si>
    <t>SULIEMAN, SAMIR</t>
  </si>
  <si>
    <t>FERGUS, JAMES</t>
  </si>
  <si>
    <t>BARNES, KELLIE</t>
  </si>
  <si>
    <t>WRIGHT, DAMON</t>
  </si>
  <si>
    <t>POLLARD, WILLIAM</t>
  </si>
  <si>
    <t>DENSON-MEANS, ANDREA</t>
  </si>
  <si>
    <t>BARTLETT, KENT</t>
  </si>
  <si>
    <t>PARKES, ROBERT</t>
  </si>
  <si>
    <t>ROACH, BRANDI</t>
  </si>
  <si>
    <t>ZARRUK, PATRICIA</t>
  </si>
  <si>
    <t>BASHIRI, S M HASSAN</t>
  </si>
  <si>
    <t>KEECH, RICHARD</t>
  </si>
  <si>
    <t>BENTON, BRANDON</t>
  </si>
  <si>
    <t>PERKINS, WILLIAM</t>
  </si>
  <si>
    <t>SITZES, DONALD</t>
  </si>
  <si>
    <t>SIMMONS, DONALD</t>
  </si>
  <si>
    <t>HILL, SCOTT</t>
  </si>
  <si>
    <t>MURPHY, AARON</t>
  </si>
  <si>
    <t>DOTSON, ANA</t>
  </si>
  <si>
    <t>VOSS, WILLIAM</t>
  </si>
  <si>
    <t>BARTELS, TROY</t>
  </si>
  <si>
    <t>COPELAND, BRYAN</t>
  </si>
  <si>
    <t>EVANS, PAUL</t>
  </si>
  <si>
    <t>KOEN, CLINT</t>
  </si>
  <si>
    <t>COBB, DONALD</t>
  </si>
  <si>
    <t>MCKINNEY, KELLY</t>
  </si>
  <si>
    <t>BURRIS, JAMES</t>
  </si>
  <si>
    <t>BALLENGER, DAN</t>
  </si>
  <si>
    <t>HENSLEY, KYLE</t>
  </si>
  <si>
    <t>FALKOFF, JEROME</t>
  </si>
  <si>
    <t>JONES, JON</t>
  </si>
  <si>
    <t>KITCHENS, BRANDON</t>
  </si>
  <si>
    <t>SHELTON, WILLIAM</t>
  </si>
  <si>
    <t>KONDOS, THEODORE</t>
  </si>
  <si>
    <t>TEALE, MATTHEW</t>
  </si>
  <si>
    <t>PEEL, MAYA</t>
  </si>
  <si>
    <t>PARLEY HUBLER JR DDS PC</t>
  </si>
  <si>
    <t>JOHNSON, DUNCAN</t>
  </si>
  <si>
    <t>BANNERMAN, STEPHEN</t>
  </si>
  <si>
    <t>ROSS, DERRICK</t>
  </si>
  <si>
    <t>WISE, CHARLES</t>
  </si>
  <si>
    <t>WILES, SONYA</t>
  </si>
  <si>
    <t>WYATT, TODD</t>
  </si>
  <si>
    <t>FLANAGIN, JAMES</t>
  </si>
  <si>
    <t>KEENER, BRAD</t>
  </si>
  <si>
    <t>BAKER, RACHEL</t>
  </si>
  <si>
    <t>BUNCH, BRITTANY</t>
  </si>
  <si>
    <t>KNOX, CHELSEA</t>
  </si>
  <si>
    <t>HURST, MARK</t>
  </si>
  <si>
    <t>DILL, CLARENCE</t>
  </si>
  <si>
    <t>WILLIAM M FLURRY</t>
  </si>
  <si>
    <t>J. MICHAEL PLYLER, DDS, PA</t>
  </si>
  <si>
    <t>HODGE, BRANDI</t>
  </si>
  <si>
    <t>GILDON, JULIA</t>
  </si>
  <si>
    <t>HUNT, TIM</t>
  </si>
  <si>
    <t>CLEMENTS, SHERYL</t>
  </si>
  <si>
    <t>SHARP, ALEX</t>
  </si>
  <si>
    <t>VELA, EDWARD</t>
  </si>
  <si>
    <t>EICHHORN, SCOTT</t>
  </si>
  <si>
    <t>SKOCH, STEVEN</t>
  </si>
  <si>
    <t>SHERRILL, EDWARD</t>
  </si>
  <si>
    <t>ALLEY, NED</t>
  </si>
  <si>
    <t>CROWDER, MICHAEL</t>
  </si>
  <si>
    <t>CAIN, RICHARD</t>
  </si>
  <si>
    <t>SHARMA, ANEET</t>
  </si>
  <si>
    <t>DURBROW, DARRELL</t>
  </si>
  <si>
    <t>KAUFFMAN, CHRISTEN</t>
  </si>
  <si>
    <t>LANE, BRIAN</t>
  </si>
  <si>
    <t>STAFFORD, GREGORY</t>
  </si>
  <si>
    <t>BANISTER, ROBERT</t>
  </si>
  <si>
    <t>BYRD, STEVEN</t>
  </si>
  <si>
    <t>BISHOP, BRYAN</t>
  </si>
  <si>
    <t>DIEMER, CHASE</t>
  </si>
  <si>
    <t>LIEBLONG, DANIEL</t>
  </si>
  <si>
    <t>MONROE, LESLIE</t>
  </si>
  <si>
    <t>TURNEY, MARGARET</t>
  </si>
  <si>
    <t>HAYS, G.</t>
  </si>
  <si>
    <t>MARRACINO, TORIN</t>
  </si>
  <si>
    <t>HERRING, JASON</t>
  </si>
  <si>
    <t>ROUTON, JULIE</t>
  </si>
  <si>
    <t>TYSON, SUMMER</t>
  </si>
  <si>
    <t>BROWN, BROCK</t>
  </si>
  <si>
    <t>BOLING, JODI</t>
  </si>
  <si>
    <t>MERCER, ROBERT</t>
  </si>
  <si>
    <t>MCCREIGHT, TOMMY</t>
  </si>
  <si>
    <t>VAN O. PARKER DDS INC</t>
  </si>
  <si>
    <t>ZWEIFLER, MICHAEL</t>
  </si>
  <si>
    <t>ANDREWS, JOSEPH</t>
  </si>
  <si>
    <t>MAZUREK, JOSEPH</t>
  </si>
  <si>
    <t>KALOGHIROU, ROBERT</t>
  </si>
  <si>
    <t>RICHARDSON, ROBERT</t>
  </si>
  <si>
    <t>DEAL, RACHEL</t>
  </si>
  <si>
    <t>ELLIS, RANDALL</t>
  </si>
  <si>
    <t>LANCE, V</t>
  </si>
  <si>
    <t>DEEMS, DONALD</t>
  </si>
  <si>
    <t>WOODRUFF, RANDALL</t>
  </si>
  <si>
    <t>RHOADS, BRIAN</t>
  </si>
  <si>
    <t>FARMER, SARAH</t>
  </si>
  <si>
    <t>VAN, TUYET</t>
  </si>
  <si>
    <t>BEAVERS, ROBERT</t>
  </si>
  <si>
    <t>BROTHERTON, LEN</t>
  </si>
  <si>
    <t>LIGON, WILLIAM</t>
  </si>
  <si>
    <t>DOSHIER, ROBERT</t>
  </si>
  <si>
    <t>DECASTRO, GUARIONEX</t>
  </si>
  <si>
    <t>ENGLISH, LINDSAY</t>
  </si>
  <si>
    <t>JOHNSON, COLE</t>
  </si>
  <si>
    <t>CLARK, CHESTER</t>
  </si>
  <si>
    <t>MARTIN, GREGORY</t>
  </si>
  <si>
    <t>LAMB, ALAN</t>
  </si>
  <si>
    <t>EGGART, WILLIAM</t>
  </si>
  <si>
    <t>JAMES B. SAVIERS D.D.S., P.A.</t>
  </si>
  <si>
    <t>OSBORNE, LANCE</t>
  </si>
  <si>
    <t>WINBERRY, ALAN</t>
  </si>
  <si>
    <t>KAUFFMAN, CHUCK</t>
  </si>
  <si>
    <t>KOSMITIS, KIM</t>
  </si>
  <si>
    <t>JACKSON, ASHLEY</t>
  </si>
  <si>
    <t>DEAN, JOHN</t>
  </si>
  <si>
    <t>LEONARD, PAUL</t>
  </si>
  <si>
    <t>BASSHAM, ROBERT</t>
  </si>
  <si>
    <t>BWDENTISTRY</t>
  </si>
  <si>
    <t>WILSON, LARKIN</t>
  </si>
  <si>
    <t>BURCHAM, BRITT</t>
  </si>
  <si>
    <t>GAMBILL, PAUL</t>
  </si>
  <si>
    <t>RAINWATER, DAVID</t>
  </si>
  <si>
    <t>POLLARD, KIMBERLY</t>
  </si>
  <si>
    <t>CARMONY, BRENT</t>
  </si>
  <si>
    <t>HESTIR, RANDALL</t>
  </si>
  <si>
    <t>JENNINGS, TERRANCE</t>
  </si>
  <si>
    <t>KHULLAR, DENESH</t>
  </si>
  <si>
    <t>DAILEY, DALTON</t>
  </si>
  <si>
    <t>FERGUS, CHRISTOPHER</t>
  </si>
  <si>
    <t>HANRY, RYAN</t>
  </si>
  <si>
    <t>BOURNS, MICHAEL</t>
  </si>
  <si>
    <t>WAH, ARLENE</t>
  </si>
  <si>
    <t>COX, LEWIS</t>
  </si>
  <si>
    <t>EILER, ROBIN</t>
  </si>
  <si>
    <t>GUNTER, ROBERT</t>
  </si>
  <si>
    <t>WESTBROOK, THOMAS</t>
  </si>
  <si>
    <t>CONINE, REBECCA</t>
  </si>
  <si>
    <t>IVAN, SIMONA</t>
  </si>
  <si>
    <t>BAIN, ANDREW</t>
  </si>
  <si>
    <t>FRIEND, GERALD</t>
  </si>
  <si>
    <t>KEMPER, LEONA</t>
  </si>
  <si>
    <t>BARNETT, ROBERT</t>
  </si>
  <si>
    <t>BLACK, MARCUS</t>
  </si>
  <si>
    <t>FOWLER, GRANT</t>
  </si>
  <si>
    <t>MATONE, CHAD</t>
  </si>
  <si>
    <t>PASSINI, EDWARD</t>
  </si>
  <si>
    <t>HEATHMAN, MONTGOMERY</t>
  </si>
  <si>
    <t>DIXON, ZACHARY</t>
  </si>
  <si>
    <t>BUSO, HANNAH</t>
  </si>
  <si>
    <t>BURRIS, HOLLICE</t>
  </si>
  <si>
    <t>MORTON, PHILIP</t>
  </si>
  <si>
    <t>NUGENT, CARMEN</t>
  </si>
  <si>
    <t>TIPTON, BLAYNE</t>
  </si>
  <si>
    <t>STUBBS, SCOTT</t>
  </si>
  <si>
    <t>YOUNGQUIST, RUTH</t>
  </si>
  <si>
    <t>HILDESHEIM, YIN</t>
  </si>
  <si>
    <t>SIMON, GREG</t>
  </si>
  <si>
    <t>PHELAN, RICHARD</t>
  </si>
  <si>
    <t>ROWE, KRISTY</t>
  </si>
  <si>
    <t>GAIRHAN, EMILY</t>
  </si>
  <si>
    <t>BOWEN, SARAH</t>
  </si>
  <si>
    <t>PARHAM, JAMES</t>
  </si>
  <si>
    <t>HINSON, R</t>
  </si>
  <si>
    <t>COONER, LESLIE</t>
  </si>
  <si>
    <t>GLENN, HOWARD</t>
  </si>
  <si>
    <t>ROBERTSON, WADE</t>
  </si>
  <si>
    <t>SHELBY-CALVIN, ROSETTA</t>
  </si>
  <si>
    <t>WARREN, DARRYL</t>
  </si>
  <si>
    <t>CARROLL, PATRICK</t>
  </si>
  <si>
    <t>THOMPSON, WENDELL</t>
  </si>
  <si>
    <t>WOOD, CHARLES</t>
  </si>
  <si>
    <t>KEENER, GARY</t>
  </si>
  <si>
    <t>SITZES, LESTER</t>
  </si>
  <si>
    <t>WARD, JEFFREY</t>
  </si>
  <si>
    <t>MCCREIGHT, DANA</t>
  </si>
  <si>
    <t>WRIGHT, SAMUEL</t>
  </si>
  <si>
    <t>COOK, JAMES</t>
  </si>
  <si>
    <t>CROSS, JOSHUA</t>
  </si>
  <si>
    <t>WILSON, J</t>
  </si>
  <si>
    <t>SCALLION, CHARLES</t>
  </si>
  <si>
    <t>DALTON, EDWIN</t>
  </si>
  <si>
    <t>BELL, DAVID</t>
  </si>
  <si>
    <t>MILTON, ROBERT</t>
  </si>
  <si>
    <t>WEATHERFORD, MARY</t>
  </si>
  <si>
    <t>BOYD, COY</t>
  </si>
  <si>
    <t>DAVENPORT, JAMES</t>
  </si>
  <si>
    <t>BEAUCHAMP, REBECCA</t>
  </si>
  <si>
    <t>HOUK, CHRISTOPHER</t>
  </si>
  <si>
    <t>SHUFFIELD, JOHN</t>
  </si>
  <si>
    <t>BUSH, THOMAS</t>
  </si>
  <si>
    <t>LAWRENCE, TIMOTHY</t>
  </si>
  <si>
    <t>BALDWIN, STEPHANIE</t>
  </si>
  <si>
    <t>MUSALLAM, RAED</t>
  </si>
  <si>
    <t>PARKEY, MICHAEL</t>
  </si>
  <si>
    <t>TEED, RALPH</t>
  </si>
  <si>
    <t>KNIGHT, WILLIAM</t>
  </si>
  <si>
    <t>SHIPLEY, WILLIAM</t>
  </si>
  <si>
    <t>IRVIN, AARON</t>
  </si>
  <si>
    <t>CRAFTON, LEO</t>
  </si>
  <si>
    <t>ERICKSON, JEFF</t>
  </si>
  <si>
    <t>DECKER, KEENAN</t>
  </si>
  <si>
    <t>HENDRIX, KEITH</t>
  </si>
  <si>
    <t>HARGETT, JOHN</t>
  </si>
  <si>
    <t>DALTON, MICHAEL</t>
  </si>
  <si>
    <t>JONES, RANDALL</t>
  </si>
  <si>
    <t>FISH, JAMES</t>
  </si>
  <si>
    <t>CATRON, KYLE</t>
  </si>
  <si>
    <t>ROSA DENTAL CLINIC, PA</t>
  </si>
  <si>
    <t>PRICE, RICKY</t>
  </si>
  <si>
    <t>PIERCE, THOMAS</t>
  </si>
  <si>
    <t>ENGLAND, DANIEL</t>
  </si>
  <si>
    <t>MORRISON, STEVEN</t>
  </si>
  <si>
    <t>FOOTE, WILLIAM</t>
  </si>
  <si>
    <t>RINEHART, KATHRYN</t>
  </si>
  <si>
    <t>GROTE, NICHOLAS</t>
  </si>
  <si>
    <t>GIBSON, WILLIAM</t>
  </si>
  <si>
    <t>VAN DYCK, LARRY</t>
  </si>
  <si>
    <t>PATTERSON, CHAD</t>
  </si>
  <si>
    <t>BUFFINGTON, APRIL</t>
  </si>
  <si>
    <t>BREWER, DAVID</t>
  </si>
  <si>
    <t>KERSEY, MICHAEL</t>
  </si>
  <si>
    <t>ALLRED, MAURICE</t>
  </si>
  <si>
    <t>HEARD, DANIEL</t>
  </si>
  <si>
    <t>COMBS, CHRIS</t>
  </si>
  <si>
    <t>INMAN, THOMAS</t>
  </si>
  <si>
    <t>DICKINSON, SCOTT</t>
  </si>
  <si>
    <t>DACUS, JONATHAN</t>
  </si>
  <si>
    <t>HAWTHORNE, GARY</t>
  </si>
  <si>
    <t>SHANNON, JOHN</t>
  </si>
  <si>
    <t>TYSON, JAMES</t>
  </si>
  <si>
    <t>HAGERTY, CURTIS</t>
  </si>
  <si>
    <t>GROUNDS, MICHAEL</t>
  </si>
  <si>
    <t>KIMBROUGH, STEVEN</t>
  </si>
  <si>
    <t>BONNER, LAURA</t>
  </si>
  <si>
    <t>MCCORD, TRENTON</t>
  </si>
  <si>
    <t>WALLS, CHRISTINA</t>
  </si>
  <si>
    <t>SCOTT, TIMOTHY</t>
  </si>
  <si>
    <t>BARKER, JOSEPH</t>
  </si>
  <si>
    <t>WILSON, BRUCE</t>
  </si>
  <si>
    <t>BOLDING, JASON</t>
  </si>
  <si>
    <t>SHOWALTER, BLAKE</t>
  </si>
  <si>
    <t>MANSFIELD, JOSH</t>
  </si>
  <si>
    <t>PARKER, JOSEPH</t>
  </si>
  <si>
    <t>SOCIA, ADAM</t>
  </si>
  <si>
    <t>RUNSICK, BRIAN</t>
  </si>
  <si>
    <t>WASELUES, JENNA</t>
  </si>
  <si>
    <t>DUCKWORTH, DWIGHT</t>
  </si>
  <si>
    <t>LIGGETT, KRISTOPHER</t>
  </si>
  <si>
    <t>ARNETT, WILLIAM</t>
  </si>
  <si>
    <t>WHITE, JUSTIN</t>
  </si>
  <si>
    <t>KIMES, EMILY</t>
  </si>
  <si>
    <t>GOODFELLOW, FREDISHA</t>
  </si>
  <si>
    <t>MCCULLAR, BRUCE</t>
  </si>
  <si>
    <t>HOWE, LAURENCE</t>
  </si>
  <si>
    <t>SMITH, JUSTIN</t>
  </si>
  <si>
    <t>FOX, MICHAEL</t>
  </si>
  <si>
    <t>C260</t>
  </si>
  <si>
    <t>Access to Dental Specialists</t>
  </si>
  <si>
    <t>STORMS, DARRIN</t>
  </si>
  <si>
    <t>SIMMONS, KIRT</t>
  </si>
  <si>
    <t>FERGUS, KELLY-GWYNNE</t>
  </si>
  <si>
    <t>HILLER, BRYAN</t>
  </si>
  <si>
    <t>MURPHY, AUNDRA</t>
  </si>
  <si>
    <t>WHITLOCK, BOYD</t>
  </si>
  <si>
    <t>KAUFFMAN, LUKE</t>
  </si>
  <si>
    <t>TINNIN, JAMES</t>
  </si>
  <si>
    <t>DANIEL, JOHN</t>
  </si>
  <si>
    <t>LEMONS-PRINCE, MARNY</t>
  </si>
  <si>
    <t>WHITE, CHARLES</t>
  </si>
  <si>
    <t>OSBORNE, RICHARD</t>
  </si>
  <si>
    <t>VONDRAN, CHARLES</t>
  </si>
  <si>
    <t>BOATRIGHT, STEPHEN</t>
  </si>
  <si>
    <t>PENNEY, JAMES</t>
  </si>
  <si>
    <t>ATKINSON, D.</t>
  </si>
  <si>
    <t>TIMMONS, JASON</t>
  </si>
  <si>
    <t>CALLAN, DONALD</t>
  </si>
  <si>
    <t>ROBLEE, RICHARD</t>
  </si>
  <si>
    <t>KITA, ALEXANDER</t>
  </si>
  <si>
    <t>SHAMBARGER, SANDRA</t>
  </si>
  <si>
    <t>GLASSELL, BRENTON</t>
  </si>
  <si>
    <t>WHITAKER, STEVEN</t>
  </si>
  <si>
    <t>WARDLAW, DAVID</t>
  </si>
  <si>
    <t>MYERS, DAVID</t>
  </si>
  <si>
    <t>JENSEN, PEDER</t>
  </si>
  <si>
    <t>UDOUJ, HENRY</t>
  </si>
  <si>
    <t>CURTIS, PAUL</t>
  </si>
  <si>
    <t>SURI, AJAY</t>
  </si>
  <si>
    <t>DAKE, MARK</t>
  </si>
  <si>
    <t>LANDERS, JASON</t>
  </si>
  <si>
    <t>CURRY, MICHAEL</t>
  </si>
  <si>
    <t>SUFFRIDGE, JOSEPH</t>
  </si>
  <si>
    <t>MCSHANE, MATTHEW</t>
  </si>
  <si>
    <t>CHURCH, LLOYD</t>
  </si>
  <si>
    <t>WENDFELDT, KYLE</t>
  </si>
  <si>
    <t>SVENDSEN, JOHN</t>
  </si>
  <si>
    <t>BEHRENTS, NATHANIEL</t>
  </si>
  <si>
    <t>PARKER, ROBERT</t>
  </si>
  <si>
    <t>WILLIAMS, MICHEAL</t>
  </si>
  <si>
    <t>GRAY, JESSE</t>
  </si>
  <si>
    <t>KNOERNSCHILD, CARMELLA</t>
  </si>
  <si>
    <t>SMITH, JEREMY</t>
  </si>
  <si>
    <t>ASHCRAFT, MICHAEL</t>
  </si>
  <si>
    <t>SUNDELL, TACY</t>
  </si>
  <si>
    <t>PEARSON, KENNETH</t>
  </si>
  <si>
    <t>OWEN, CLAYTON</t>
  </si>
  <si>
    <t>BROWN, DEREK</t>
  </si>
  <si>
    <t>SHEFFER, MATTHEW</t>
  </si>
  <si>
    <t>STAPLES, RONALD</t>
  </si>
  <si>
    <t>QUICK, MICHAEL</t>
  </si>
  <si>
    <t>MEHRABI, AMIR</t>
  </si>
  <si>
    <t>ANDERSON, BOB</t>
  </si>
  <si>
    <t>THOMPSON, MICHAEL</t>
  </si>
  <si>
    <t>MARODA, STEPHEN</t>
  </si>
  <si>
    <t>WRIGHT, MICHAEL</t>
  </si>
  <si>
    <t>OLSON, CHRISTOPHER</t>
  </si>
  <si>
    <t>REMERSCHEID, JAMES</t>
  </si>
  <si>
    <t>TOOLE, KATHERINE</t>
  </si>
  <si>
    <t>WARD, MICHAEL</t>
  </si>
  <si>
    <t>HODGE, NATALIA</t>
  </si>
  <si>
    <t>WEAVER, KOLIN</t>
  </si>
  <si>
    <t>QUICK, BARRY</t>
  </si>
  <si>
    <t>UTLEY, KEVIN</t>
  </si>
  <si>
    <t>C280</t>
  </si>
  <si>
    <t>Access to Pharmacies</t>
  </si>
  <si>
    <t>WAL-MART STORES EAST LP</t>
  </si>
  <si>
    <t>SAMS EAST INC</t>
  </si>
  <si>
    <t>WAL-MART STORES INC</t>
  </si>
  <si>
    <t>ARKANSAS CVS PHARMACY, L.L.C.</t>
  </si>
  <si>
    <t>LEE, JR, EUGENE</t>
  </si>
  <si>
    <t>COLLIER DRUG STORES INC</t>
  </si>
  <si>
    <t>WALGREEN CO</t>
  </si>
  <si>
    <t>KROGER LIMITED PARTNERSHIP I</t>
  </si>
  <si>
    <t>PLEASANT GROVE PHARMACY</t>
  </si>
  <si>
    <t>JUNCTION CITY PHARMACY</t>
  </si>
  <si>
    <t>CHARLES F SHUSTER</t>
  </si>
  <si>
    <t>JEPSON DRUG, INC.</t>
  </si>
  <si>
    <t>WPM COMMUNITY PHARMACIES LLC</t>
  </si>
  <si>
    <t>ALBERTSONS LLC</t>
  </si>
  <si>
    <t>EDDINGTON PHARMACEUTICALS INC</t>
  </si>
  <si>
    <t>BEST DRUG STORE INC</t>
  </si>
  <si>
    <t>COLLEGE PHARMACY INC</t>
  </si>
  <si>
    <t>WILLIAM F. SLAUGHTER</t>
  </si>
  <si>
    <t>HARPS FOOD STORES, INC</t>
  </si>
  <si>
    <t>JOSEPH R ELLIS</t>
  </si>
  <si>
    <t>EAST END PHARMACY, INC.</t>
  </si>
  <si>
    <t>TENNESSEE CVS PHARMACY LLC</t>
  </si>
  <si>
    <t>PHPH, LLC</t>
  </si>
  <si>
    <t>MVP WARREN LLC</t>
  </si>
  <si>
    <t>ARKANSAS CVS PHARMACY, LLC</t>
  </si>
  <si>
    <t>FREDS STORES OF TENNESSEE INC</t>
  </si>
  <si>
    <t>LOUISIANA CVS PHARMACY, L.L.C.</t>
  </si>
  <si>
    <t>BROOKSHIRE GROCERY COMPANY</t>
  </si>
  <si>
    <t>SAMS WEST INC</t>
  </si>
  <si>
    <t>CONDONS EAST UNION PHARMACY INC</t>
  </si>
  <si>
    <t>MICROGNOSTICS, INC.</t>
  </si>
  <si>
    <t>SHINABERY'S COMPOUNDING PHARMACY, PLC</t>
  </si>
  <si>
    <t>KCC, INC</t>
  </si>
  <si>
    <t>CORNERSTONE PHARMACY OF BELLA VISTA LLC</t>
  </si>
  <si>
    <t>FREDS STORES OF TENNESSEE INC.</t>
  </si>
  <si>
    <t>FIRST PHARMACY SERVICES OF COUNTRY VILLAGE</t>
  </si>
  <si>
    <t>PARK WEST PHARMACY</t>
  </si>
  <si>
    <t>DISCOUNT PHARMACIES INC</t>
  </si>
  <si>
    <t>PEOPLE'S CUSTOM RX &amp; CLINICAL CARE CENTER, LLC</t>
  </si>
  <si>
    <t>CHRIST COMMUNITY HEALTH SERVICES INC</t>
  </si>
  <si>
    <t>OAK GROVE PHARMACY JFK INC</t>
  </si>
  <si>
    <t>DUVALL ENTERPRISES INC</t>
  </si>
  <si>
    <t>ORRELL ENTERPRISES INCORPORATED</t>
  </si>
  <si>
    <t>MATTE'S PHARMACY INC</t>
  </si>
  <si>
    <t>TLL&amp;W INC DBA BUCKLEYS PHARMACY</t>
  </si>
  <si>
    <t>SOUTHEAST MENTAL HEALTH CENTER, INC</t>
  </si>
  <si>
    <t>BAKERS PHARMACY INC</t>
  </si>
  <si>
    <t>FIRST PHARMACY SERVICES OF TENNESSEE LLC</t>
  </si>
  <si>
    <t>CORNER DRUG STORE</t>
  </si>
  <si>
    <t>NW SHERWOOD LLC</t>
  </si>
  <si>
    <t>PHARMACY OF OTTER CREEK</t>
  </si>
  <si>
    <t>MCCOY-TYGART DRUG STORE INC</t>
  </si>
  <si>
    <t>HANCOCK PHARMACY INC</t>
  </si>
  <si>
    <t>THE KROGER CO</t>
  </si>
  <si>
    <t>CANTRELL COMPOUNDING, INC.</t>
  </si>
  <si>
    <t>FINLEY PHARMACY PLLC</t>
  </si>
  <si>
    <t>QUALITY RX COMPOUNDING LLC</t>
  </si>
  <si>
    <t>CANADA, WILLIAM</t>
  </si>
  <si>
    <t>SMACKOVER PHARMACY LLC</t>
  </si>
  <si>
    <t>MISSISSIPPI CVS PHARMACY, L.L.C.</t>
  </si>
  <si>
    <t>IVY FAMILY PHARMACY,INC</t>
  </si>
  <si>
    <t>VILLAGE APOTHECARY INC</t>
  </si>
  <si>
    <t>CORNERSTONE PHARMACY JFK LLC</t>
  </si>
  <si>
    <t>LAWS DRUG CO INC</t>
  </si>
  <si>
    <t>ROGERS PHARMACY INC</t>
  </si>
  <si>
    <t>ARKANSAS CVS PHARMACY LLC</t>
  </si>
  <si>
    <t>WALGREEN CO.</t>
  </si>
  <si>
    <t>WAL-MART STORES TEXAS LLC</t>
  </si>
  <si>
    <t>HOT SPRINGS PHARMACY, LLC</t>
  </si>
  <si>
    <t>CVS PHARMACY INC</t>
  </si>
  <si>
    <t>STONE'S PHARMACY INC</t>
  </si>
  <si>
    <t>SEARCY MEDICAL CENTER PHARMACY LLP</t>
  </si>
  <si>
    <t>J B STONE INC</t>
  </si>
  <si>
    <t>PILL BOX PHARMACY INCORPORATED</t>
  </si>
  <si>
    <t>MED-SHOP OF HUGHES SPRINGS INC</t>
  </si>
  <si>
    <t>FAMILY PHARMACY OF MISSOURI LLC</t>
  </si>
  <si>
    <t>WOODARD DRUGS INC</t>
  </si>
  <si>
    <t>PROFESSIONAL CARE SERVICES OF WEST TN INC</t>
  </si>
  <si>
    <t>HARPS FOOD STORES, INC.</t>
  </si>
  <si>
    <t>MIKE STUART ENTERPRISES, INC.</t>
  </si>
  <si>
    <t>INFINITY COMPOUNDING SOLUTIONS LLC</t>
  </si>
  <si>
    <t>HEALTHSCRIPTS OF AMERICA-NORTH LOUISIANA, LLC</t>
  </si>
  <si>
    <t>ECB PHARMACY INC</t>
  </si>
  <si>
    <t>US COMPOUNDING INC.</t>
  </si>
  <si>
    <t>HEALTH-WISE PHARMACY, PLLC</t>
  </si>
  <si>
    <t>NATIONAL FAMILY PHARMACY INC</t>
  </si>
  <si>
    <t>ST JUDE CHILDREN'S RESEARCH HOSPITAL, INC.</t>
  </si>
  <si>
    <t>MANES PHARMACY, INC</t>
  </si>
  <si>
    <t>HEALTH WAY OF BEEBE INC</t>
  </si>
  <si>
    <t>S &amp; W HEALTHCARE</t>
  </si>
  <si>
    <t>WILSON BEARDEN PHARMACY INC</t>
  </si>
  <si>
    <t>US DRUGS, INC</t>
  </si>
  <si>
    <t>CARL STANLEY DUCKWORTH P A</t>
  </si>
  <si>
    <t>RPCS, INC</t>
  </si>
  <si>
    <t>MISSISSIPPI CVS PHARMACY LLC</t>
  </si>
  <si>
    <t>SMITH DRUG AND COMPOUNDING INC</t>
  </si>
  <si>
    <t>CORNERSTONE PHARMACY BRYANT LLC</t>
  </si>
  <si>
    <t>MARKS PHARMACY INC</t>
  </si>
  <si>
    <t>PERRY COUNTY FOOD &amp; DRUG</t>
  </si>
  <si>
    <t>FIRST PHARMACY SERVICES 5</t>
  </si>
  <si>
    <t>GUARDIAN PHARMACY OF TENNESSEE TWO, LLC</t>
  </si>
  <si>
    <t>CLARKSVILLE FAMILY PHARMACY INC</t>
  </si>
  <si>
    <t>TWIN CITY DRUGS INC</t>
  </si>
  <si>
    <t>MIKE STUART ENTERPRISES INC</t>
  </si>
  <si>
    <t>HAYS DRUG STORE INC</t>
  </si>
  <si>
    <t>HOLCOMB'S PHARMACY, INC</t>
  </si>
  <si>
    <t>FIRST PHARMACY SERVICES OF DIRECTORS ROW</t>
  </si>
  <si>
    <t>CHRISTIAN FAMILY PHARMACY LLC</t>
  </si>
  <si>
    <t>TOWN &amp; COUNTRY GROCERS OF FREDERICKTOWN MO INC</t>
  </si>
  <si>
    <t>MURRAY, MIKE</t>
  </si>
  <si>
    <t>ARCARE</t>
  </si>
  <si>
    <t>CENTRAL DISCOUNT PHARMACY</t>
  </si>
  <si>
    <t>WAGNER DRUGS INC</t>
  </si>
  <si>
    <t>MIDSOUTH MEDICAL SPECIALTIES, LLC</t>
  </si>
  <si>
    <t>PHARMACY CORPORATION OF AMERICA</t>
  </si>
  <si>
    <t>CATE PHARMACY INC</t>
  </si>
  <si>
    <t>WALGREEN LOUISIANA CO INC</t>
  </si>
  <si>
    <t>C&amp;W PHARMACY INC</t>
  </si>
  <si>
    <t>ECONOMY DRUGS OF HUNTSVILLE INC</t>
  </si>
  <si>
    <t>MUSTANG DRUG INC</t>
  </si>
  <si>
    <t>ROLAND PHARMACY INC</t>
  </si>
  <si>
    <t>CVS PHARMACY INC.</t>
  </si>
  <si>
    <t>HAISTEN ENTERPRISES PC</t>
  </si>
  <si>
    <t>PREMIERE HEALTHCARE LLC</t>
  </si>
  <si>
    <t>NW CABOT LLC</t>
  </si>
  <si>
    <t>CHM ENTERPRISES, INC</t>
  </si>
  <si>
    <t>FAMILY PHARMACY, INC</t>
  </si>
  <si>
    <t>PRESCRIPTION DRUG STORE LLC</t>
  </si>
  <si>
    <t>PRUETTS FOOD INC</t>
  </si>
  <si>
    <t>KAVANAUGHRX LLC</t>
  </si>
  <si>
    <t>MEDIC PHARMACY OF BRYANT, INC.</t>
  </si>
  <si>
    <t>LAGRONE DRUG INCORPORATED</t>
  </si>
  <si>
    <t>JAY FAMILY DRUG INC</t>
  </si>
  <si>
    <t>RKJ HOLDINGS LLC</t>
  </si>
  <si>
    <t>SHELBY COUNTY HEALTH CARE CORPORATION</t>
  </si>
  <si>
    <t>SMITH DRUG PLLC</t>
  </si>
  <si>
    <t>ELAINE PHARMACY INC</t>
  </si>
  <si>
    <t>LESLIE DRUGS INC</t>
  </si>
  <si>
    <t>POLKS CROSSGATES DISCOUNT DRUGS INC</t>
  </si>
  <si>
    <t>BRYANT'S INVESTMENTS &amp; HOLDING INC</t>
  </si>
  <si>
    <t>CHAPEL PHARMACY INC</t>
  </si>
  <si>
    <t>EUDORA PHARMACY INC</t>
  </si>
  <si>
    <t>ECONOMED PHARMACY INC.</t>
  </si>
  <si>
    <t>RIDGE MAUD DRUG CORPORATION</t>
  </si>
  <si>
    <t>TEASLEY DRUG INC</t>
  </si>
  <si>
    <t>GARY BENTON INC</t>
  </si>
  <si>
    <t>SALEM DRUG COMPANY, INC</t>
  </si>
  <si>
    <t>ABF INC</t>
  </si>
  <si>
    <t>JEWELL CAPITAL PLLC</t>
  </si>
  <si>
    <t>CORNERSTONE PHARMACY AT ROGERS, LLC</t>
  </si>
  <si>
    <t>RX CARE 8 LLC</t>
  </si>
  <si>
    <t>M-C DRUG STORE LLC</t>
  </si>
  <si>
    <t>G AND M PHARMACY INC</t>
  </si>
  <si>
    <t>CITY OF STEELE GREENE PHARMACY, INC</t>
  </si>
  <si>
    <t>HOMETOWN PHARMACY MANAGEMENT LLC</t>
  </si>
  <si>
    <t>MISSOURI CVS PHARMACY LLC</t>
  </si>
  <si>
    <t>ROTHROCK DRUG COMPANY INC</t>
  </si>
  <si>
    <t>LARRYS APOTHECARY INC PGGOT DISCOUNT DRUGS</t>
  </si>
  <si>
    <t>MARVELL CLINIC PHARMACY, INC.</t>
  </si>
  <si>
    <t>INFUSION PARTNERS LLC</t>
  </si>
  <si>
    <t>C &amp; D DRUG STORE INC</t>
  </si>
  <si>
    <t>MALL PHARMACY LLC</t>
  </si>
  <si>
    <t>COLEMAN PHARMACY OF CRAWFORD COUNTY INC.</t>
  </si>
  <si>
    <t>ST FRANCIS MEDICAL CENTER</t>
  </si>
  <si>
    <t>BAKER DRUG COMPANY</t>
  </si>
  <si>
    <t>SEARCY MEDICAL CENTER PHARMACY, LLP</t>
  </si>
  <si>
    <t>LOUIS LEONARD MINSKY INC</t>
  </si>
  <si>
    <t>SOUTH STREET PHARMACY</t>
  </si>
  <si>
    <t>CAMPBELL DRUG CO INC.</t>
  </si>
  <si>
    <t>ARKANSAS HOME MEDICAL INC</t>
  </si>
  <si>
    <t>CORNERSTONE PHARMACY AT CHENAL LLC</t>
  </si>
  <si>
    <t>REGEL PHARMALAB</t>
  </si>
  <si>
    <t>THE BERNICE PHARMACY INC</t>
  </si>
  <si>
    <t>FREEDOM PHARMACY LLC</t>
  </si>
  <si>
    <t>C &amp; C PHARMACY, LLC</t>
  </si>
  <si>
    <t>OAK GROVE PHARMACY INC</t>
  </si>
  <si>
    <t>R &amp; R MEDICAL, INC.</t>
  </si>
  <si>
    <t>THAYER DRUG STORE LLC</t>
  </si>
  <si>
    <t>REAGANS RX COMPOUNDING PHARMACY AND HOME CARE LLC</t>
  </si>
  <si>
    <t>APS PHARMACY 801 LLC</t>
  </si>
  <si>
    <t>BARNEYS INC</t>
  </si>
  <si>
    <t>B &amp; D DRUG INC</t>
  </si>
  <si>
    <t>BRUNERS MONETT PHARMACY INC</t>
  </si>
  <si>
    <t>CUSTOM RX</t>
  </si>
  <si>
    <t>ACCREDO HEALTH GROUP INC</t>
  </si>
  <si>
    <t>JOHNNYS HOMETOWN PHARMACY PC</t>
  </si>
  <si>
    <t>LEWIS COOK DRUG STORE INC</t>
  </si>
  <si>
    <t>GIBSONS PHARMACY OF CRAIGHEAD COUNTY INC</t>
  </si>
  <si>
    <t>BENNETT HEALTH SERVICES, INC.</t>
  </si>
  <si>
    <t>JASPER PHARMACY INC</t>
  </si>
  <si>
    <t>RED RIVER PHARMACY SERVICES INC</t>
  </si>
  <si>
    <t>TEACO, INC</t>
  </si>
  <si>
    <t>MICHAEL C DODD AND WILMAN C</t>
  </si>
  <si>
    <t>LETASSY PHARMACY</t>
  </si>
  <si>
    <t>ATLANTIC MEDICAL, LLC</t>
  </si>
  <si>
    <t>MVP HEALTH SYSTEMS LLC</t>
  </si>
  <si>
    <t>MONETTE DISCOUNT DRUG INC</t>
  </si>
  <si>
    <t>NIC-HIL INC</t>
  </si>
  <si>
    <t>MCKINNEY DRUG STORES INC</t>
  </si>
  <si>
    <t>ALLCARE SPECIALTY PHARMACY LLC</t>
  </si>
  <si>
    <t>MITCHELL DRUG OF MALDEN LLC</t>
  </si>
  <si>
    <t>DRSRX, INC</t>
  </si>
  <si>
    <t>PHC PHARMACIES INC</t>
  </si>
  <si>
    <t>E AND F FOWLER INC</t>
  </si>
  <si>
    <t>TRUCARE PHARMACY LLC</t>
  </si>
  <si>
    <t>MAGEE PHARMACY INC</t>
  </si>
  <si>
    <t>COURT SQUARE PHARMACY, INC</t>
  </si>
  <si>
    <t>NEAT RX INC</t>
  </si>
  <si>
    <t>WESTSIDE FAMILY PHARMACY INC</t>
  </si>
  <si>
    <t>STILWELL PHARMACY</t>
  </si>
  <si>
    <t>SAV-ON PHARMACY, LLC.</t>
  </si>
  <si>
    <t>TRAVIS D. RICHARDSON, D.O. PLC</t>
  </si>
  <si>
    <t>SOUTHEAST HEALTH PHARMACY LLC</t>
  </si>
  <si>
    <t>RX MOOSE INC</t>
  </si>
  <si>
    <t>TOWN AND COUNTRY GROCERS OF FREDERICKSTOWN MO INC</t>
  </si>
  <si>
    <t>DEANS PHARMACIES INC</t>
  </si>
  <si>
    <t>DON'S DRUG, INC.</t>
  </si>
  <si>
    <t>SHOPKO STORES OPERATING CO LLC</t>
  </si>
  <si>
    <t>RED RIVER PHARMACY LONG TERM CARE, LLC</t>
  </si>
  <si>
    <t>LYON DRUG COMPANY MAUMELLE INC</t>
  </si>
  <si>
    <t>AMYCO, INC</t>
  </si>
  <si>
    <t>FARMERVILLE DRUG CO INC</t>
  </si>
  <si>
    <t>PRINCE DRUG STORE INC</t>
  </si>
  <si>
    <t>A &amp; Z PHARMACY LLC</t>
  </si>
  <si>
    <t>CHEROKEE NATION</t>
  </si>
  <si>
    <t>DELTA HEALTH CENTER INC.</t>
  </si>
  <si>
    <t>BURNS DRUGSTORE INC</t>
  </si>
  <si>
    <t>DELTA DRUG OF DERMOTT, INC</t>
  </si>
  <si>
    <t>A &amp; H ENTERPRISES, INC.</t>
  </si>
  <si>
    <t>CORNERSTONE PHARMACY INC</t>
  </si>
  <si>
    <t>DUNAWAY'S FAMILY PHARMACY INC.</t>
  </si>
  <si>
    <t>PATTON PHARMACY</t>
  </si>
  <si>
    <t>RIPLEY DRUGS, LLC</t>
  </si>
  <si>
    <t>CAREMARK, L.L.C.</t>
  </si>
  <si>
    <t>HIGHLAND CLINIC PHARMACY, LLC</t>
  </si>
  <si>
    <t>HAH LLC</t>
  </si>
  <si>
    <t>MCFARLIN PHARMACY, INC.</t>
  </si>
  <si>
    <t>MULDROW PHARMACY INC.</t>
  </si>
  <si>
    <t>CHANDLER-HEWITT DRUG INC</t>
  </si>
  <si>
    <t>JAMES L KELLEY</t>
  </si>
  <si>
    <t>GWL INC</t>
  </si>
  <si>
    <t>MITCHELL'S MAIN STREET PHARMACY, INC</t>
  </si>
  <si>
    <t>WHITEHALL PHARMACY LLC</t>
  </si>
  <si>
    <t>PPG STORE 2 LLC</t>
  </si>
  <si>
    <t>HERRAKA LLC</t>
  </si>
  <si>
    <t>COBBS WESTSIDE PHARMACY INC</t>
  </si>
  <si>
    <t>BUY RITE PARTNERS, INC</t>
  </si>
  <si>
    <t>ELIZABETH WRIGHT</t>
  </si>
  <si>
    <t>PERKINS PHARMACIES INC</t>
  </si>
  <si>
    <t>DIABETES STORE, INCORPORATED</t>
  </si>
  <si>
    <t>W P MALONE INC</t>
  </si>
  <si>
    <t>P AND C PHARMACY INC</t>
  </si>
  <si>
    <t>WEST CARROLL HEALTH SYSTEMS</t>
  </si>
  <si>
    <t>DEBBIES FAMILY PHARMACY INC</t>
  </si>
  <si>
    <t>JAMES K KILLGORE INC</t>
  </si>
  <si>
    <t>WESTGATE DRUGS INC</t>
  </si>
  <si>
    <t>J&amp;B KELLY, INC</t>
  </si>
  <si>
    <t>D &amp; D PHARMACY LLC</t>
  </si>
  <si>
    <t>MITCHELLS PARK STREET PHARMACY INC</t>
  </si>
  <si>
    <t>PATS SUPER V DRUG STORE INC</t>
  </si>
  <si>
    <t>HYDE PHARMACY INC</t>
  </si>
  <si>
    <t>MCHANEY DRUG, PA</t>
  </si>
  <si>
    <t>LONOKE HEALTH &amp; WELLNESS PA</t>
  </si>
  <si>
    <t>SOUTHSIDE SPECIALTY PHARMACY</t>
  </si>
  <si>
    <t>CORNERSTONE PHARMACY KENNETT</t>
  </si>
  <si>
    <t>NW CANTRELL LLC</t>
  </si>
  <si>
    <t>SOOS DRUG INC</t>
  </si>
  <si>
    <t>JEN&amp;JOSH INC</t>
  </si>
  <si>
    <t>DON'S PHARMACY</t>
  </si>
  <si>
    <t>MELVINS DISCOUNT PHARMACY INC</t>
  </si>
  <si>
    <t>BUDGET PHARMACY INC</t>
  </si>
  <si>
    <t>HEALTHCARE PHARMACY LLC</t>
  </si>
  <si>
    <t>WYNNE APOTHECARY INC</t>
  </si>
  <si>
    <t>WAYNE RAY HARVEY</t>
  </si>
  <si>
    <t>KEITH A SHELTON</t>
  </si>
  <si>
    <t>ROSE DRUG OF DOVER INC</t>
  </si>
  <si>
    <t>MEDIC PHARMACY INC</t>
  </si>
  <si>
    <t>SAV-ON DRUGS OF ARKANSAS, INC.</t>
  </si>
  <si>
    <t>NOEL PHARMACY LLC</t>
  </si>
  <si>
    <t>M &amp; T VENTURES LLC</t>
  </si>
  <si>
    <t>NATIONAL PARK PHARMACY</t>
  </si>
  <si>
    <t>SHELL KNOB PHARMACY LLC</t>
  </si>
  <si>
    <t>GIBSON SALES LP</t>
  </si>
  <si>
    <t>IMBODEN MEDICAL PHARMACY INC</t>
  </si>
  <si>
    <t>JIMMIE N DARLING P A</t>
  </si>
  <si>
    <t>TENNESSEE CVS PHARMACY, L.L.C.</t>
  </si>
  <si>
    <t>LITTLE ROCK COMMUNITY MENTAL HEALTH CENTER INC</t>
  </si>
  <si>
    <t>TED S PHARMACY LLC</t>
  </si>
  <si>
    <t>PPG STORE 1 LLC</t>
  </si>
  <si>
    <t>CABOT MEDICAL PARK PHARMACY INC</t>
  </si>
  <si>
    <t>CORNERSTONE PHARMACY AT GREERS FERRY LLC</t>
  </si>
  <si>
    <t>MID-SOUTH HEALTH SYSTEMS PHARMACY</t>
  </si>
  <si>
    <t>MONETT PROFESSIONAL PHARMACY</t>
  </si>
  <si>
    <t>SEMO DRUGS OF KENNETT INC</t>
  </si>
  <si>
    <t>SHELBY DRUG CO INC HWY 61 SOUTH</t>
  </si>
  <si>
    <t>MEDRELIEF PHARMACY LLC</t>
  </si>
  <si>
    <t>MEDICAL PARK PHARMACY LLC</t>
  </si>
  <si>
    <t>BURNS RX LLC</t>
  </si>
  <si>
    <t>CAMPS MEDICAL PHARMACY</t>
  </si>
  <si>
    <t>CITY DRUG STORE,INC</t>
  </si>
  <si>
    <t>COSTCO WHOLESALE CORPORATION</t>
  </si>
  <si>
    <t>SEQUOYAH COUNTY CITY TRUST AUTHORITY</t>
  </si>
  <si>
    <t>PREMIER PHARMACY CARE LLC</t>
  </si>
  <si>
    <t>ROBINSON FAMILY PHARMACY LLC</t>
  </si>
  <si>
    <t>MEDRX INC</t>
  </si>
  <si>
    <t>LOUISIANA CVS PHARMACY LLC</t>
  </si>
  <si>
    <t>CLIFS PHARMACY LLC</t>
  </si>
  <si>
    <t>SHERRILLS CORPORATION</t>
  </si>
  <si>
    <t>BROADWAY CORNER DRUG</t>
  </si>
  <si>
    <t>OLD TOWN PHARMACY LLC</t>
  </si>
  <si>
    <t>BOSSIER SHERRIFF'S CORRECTIONAL FACILITY PHARMACY</t>
  </si>
  <si>
    <t>CORNERSTONE PHARMACY CONWAY, LLC</t>
  </si>
  <si>
    <t>LOYES PHARMACY INC</t>
  </si>
  <si>
    <t>KEY DRUGS AT NORTHWEST LLC</t>
  </si>
  <si>
    <t>PETER CASEY ENTERPRISES LLC</t>
  </si>
  <si>
    <t>GARDEN OAKS PHARMACY INC</t>
  </si>
  <si>
    <t>STANLEY &amp; WATTS INC</t>
  </si>
  <si>
    <t>HOUSTON, DICKERSON, AND DICKERSON</t>
  </si>
  <si>
    <t>BUCKS PHARMACY INC</t>
  </si>
  <si>
    <t>MEDICAL DEVELOPMENTS, INC.</t>
  </si>
  <si>
    <t>HIGHLAND CLINIC, A PROF MED CORP</t>
  </si>
  <si>
    <t>E D ALLENS PHARMACY OF BROKEN BOW INC</t>
  </si>
  <si>
    <t>NEWTONS PHARMACY INC</t>
  </si>
  <si>
    <t>NORTH HILLS PHARMACY INC.</t>
  </si>
  <si>
    <t>THOMAS E. WINNINGHAM</t>
  </si>
  <si>
    <t>EVETTS PHARMACY INC.</t>
  </si>
  <si>
    <t>E &amp; S PHARMACY INC</t>
  </si>
  <si>
    <t>AMERICAN HOME PHARMACY LLC</t>
  </si>
  <si>
    <t>AN IV LLC</t>
  </si>
  <si>
    <t>A &amp; A INFUSION &amp; SPECIALTY, LLC</t>
  </si>
  <si>
    <t>WAGNER DRUGS, INC.</t>
  </si>
  <si>
    <t>CJN PHARMACY SERVICES LLC</t>
  </si>
  <si>
    <t>COMPLETE DIABETES PHARMACY CARE INC</t>
  </si>
  <si>
    <t>NEA PHARMACEUTICALS INC</t>
  </si>
  <si>
    <t>LEMONS PRESCRIPTION SHOP LLC</t>
  </si>
  <si>
    <t>E &amp; D DRUGS,INC.</t>
  </si>
  <si>
    <t>JBR ENTERPRISES INC</t>
  </si>
  <si>
    <t>CORAM ALTERNATE SITE SERVICES INC</t>
  </si>
  <si>
    <t>CORNERSTONE SPECIALTY PHARMACY LLC</t>
  </si>
  <si>
    <t>FRENCH, WILLIAM</t>
  </si>
  <si>
    <t>DAVID RAINES COMMUNITY HEALTH CENTER INC</t>
  </si>
  <si>
    <t>NORTHEAST LA PHARMACY</t>
  </si>
  <si>
    <t>RECTOR DOWNTOWN DRUG, INC.</t>
  </si>
  <si>
    <t>WESTVILLE PRESCRIPTION CENTER INC</t>
  </si>
  <si>
    <t>STERLING DRUG COMPANY</t>
  </si>
  <si>
    <t>BETHEA BROTHERS DRUG CO INC</t>
  </si>
  <si>
    <t>CABOT PHARMACY INC</t>
  </si>
  <si>
    <t>HARKNESS INC</t>
  </si>
  <si>
    <t>CONWAY MEDCARE PHARMACY, LLC</t>
  </si>
  <si>
    <t>ARKANSAS CVS PHARMACY L.L.C.</t>
  </si>
  <si>
    <t>PROXSYS RX - RUSH LLC</t>
  </si>
  <si>
    <t>CBC SPRINGDALE LLC</t>
  </si>
  <si>
    <t>STOTTS DRUG CO, INC.</t>
  </si>
  <si>
    <t>WARMACK PHARMACIES INC</t>
  </si>
  <si>
    <t>MADISON PHARMACY INC</t>
  </si>
  <si>
    <t>ROSE DRUG OF RUSSELLVILLE INC</t>
  </si>
  <si>
    <t>DONNA RING CORPORATION</t>
  </si>
  <si>
    <t>PILCHER INC</t>
  </si>
  <si>
    <t>SAINT-MARK ENTERPRISES 1906 LLC</t>
  </si>
  <si>
    <t>RX HUNTERS INC</t>
  </si>
  <si>
    <t>WAL-MART STROES INC</t>
  </si>
  <si>
    <t>ECONO-MART PHARMACY INC</t>
  </si>
  <si>
    <t>WALDRIP PHARMS LLC</t>
  </si>
  <si>
    <t>AUSTIN DRUGS INC</t>
  </si>
  <si>
    <t>GLENWOOD PHARMACY</t>
  </si>
  <si>
    <t>NEWARK PHARMACY, INC</t>
  </si>
  <si>
    <t>RONALD MYERS</t>
  </si>
  <si>
    <t>FLIPPO PRESCRIPTION HOUSE INC.</t>
  </si>
  <si>
    <t>REGION IV DESOTO COUNTY PHARMACY</t>
  </si>
  <si>
    <t>CORNERSTONE PHARMACY LAKEWOOD, LLC</t>
  </si>
  <si>
    <t>STERN CARDIOVASCULAR CENTER, PA</t>
  </si>
  <si>
    <t>RONNIE M MORRIS</t>
  </si>
  <si>
    <t>FIRST PHARMACY SERVICES OF LINDEN AVE</t>
  </si>
  <si>
    <t>CLINIC DRUG STORE, INC</t>
  </si>
  <si>
    <t>TURNER REXALL PHARMACY INC</t>
  </si>
  <si>
    <t>MOREHOUSE PHARMACEUTICAL CO INC</t>
  </si>
  <si>
    <t>SAINT-MARK ENTERPRISES 1883 LLC</t>
  </si>
  <si>
    <t>GETWELL PHARMACY LLC</t>
  </si>
  <si>
    <t>FFP ACQUISITION II, LLC</t>
  </si>
  <si>
    <t>SALLISAW PHARMACY INC</t>
  </si>
  <si>
    <t>CLEVELAND MEDICAL ARTS PHARMACY INC</t>
  </si>
  <si>
    <t>MORRISONS PROPERTIES INC</t>
  </si>
  <si>
    <t>POWERS PHARMACY NO 1 INC</t>
  </si>
  <si>
    <t>LEE AND COMPANY</t>
  </si>
  <si>
    <t>BARTLETT PRESCRIPTION SHOP</t>
  </si>
  <si>
    <t>PMC HEALTHCARE PHARMACIES LLC</t>
  </si>
  <si>
    <t>LACKIE DRUG STORE INC</t>
  </si>
  <si>
    <t>BILL'S PHARMACY, INC</t>
  </si>
  <si>
    <t>COLLOM &amp; CARNEY CLINIC ASSOCIATION</t>
  </si>
  <si>
    <t>C A KUYKENDALL INC</t>
  </si>
  <si>
    <t>MONTICELLO DRUG COMPANY LLC</t>
  </si>
  <si>
    <t>DE QUEEN HEALTH AND WELLNESS PHARMACY LLC</t>
  </si>
  <si>
    <t>NORTH LOUISIANA PHARMACEUTICAL COMPANY INC</t>
  </si>
  <si>
    <t>BROWN'S MAIN STREET PHARMACY INC.</t>
  </si>
  <si>
    <t>ARCH STREET LTC PHARMCY LLC</t>
  </si>
  <si>
    <t>PHARM-RELIEF,INC.</t>
  </si>
  <si>
    <t>HEALTH WAY PHARMACY INC</t>
  </si>
  <si>
    <t>HEMOPHILIA PREFERRED CARE OF MEMPHIS INC</t>
  </si>
  <si>
    <t>GOODMAN DRUG COMPANY PLLC</t>
  </si>
  <si>
    <t>HEALTHCARE PHARMACY, INC.</t>
  </si>
  <si>
    <t>MIRANDA GREEN</t>
  </si>
  <si>
    <t>FORSYTH PHARMACY, INC.</t>
  </si>
  <si>
    <t>ARGENTA DRUG CO</t>
  </si>
  <si>
    <t>JACKSON PHARMACY INC</t>
  </si>
  <si>
    <t>LETASSY HEALTH SERVICES</t>
  </si>
  <si>
    <t>FUTRELL PHARMACY INC</t>
  </si>
  <si>
    <t>FAMILY ENTERPRISES INC</t>
  </si>
  <si>
    <t>J J J SMITH INC</t>
  </si>
  <si>
    <t>WELLS PHARMACY NETWORK LLC</t>
  </si>
  <si>
    <t>SOUTHEAST ARKANSAS PHARMACIES LLC</t>
  </si>
  <si>
    <t>CORNERSTONE PHARMACY MAIN LLC</t>
  </si>
  <si>
    <t>PREMIER PHARMACY CARE, LLC</t>
  </si>
  <si>
    <t>DAVIDS PHARMACY INC</t>
  </si>
  <si>
    <t>NYAL DRUG STORE, INC</t>
  </si>
  <si>
    <t>LANGSTON DRUG STORE, INC.</t>
  </si>
  <si>
    <t>COLLIER PHARMACY LLC</t>
  </si>
  <si>
    <t>MED CENTER PHARMACY</t>
  </si>
  <si>
    <t>DENNIS R NORRIS</t>
  </si>
  <si>
    <t>FAMILY MEDICAL CENTER PHARMACY</t>
  </si>
  <si>
    <t>MILLERS DRUG STORE INC</t>
  </si>
  <si>
    <t>FAMILY CLINIC PHARMACY, LLC</t>
  </si>
  <si>
    <t>C.B. PANNECK PHARMACIES, INC.</t>
  </si>
  <si>
    <t>MARTIN AND TUCKER INVESTMENTS INC</t>
  </si>
  <si>
    <t>DEANS PHARMACIES, INC.</t>
  </si>
  <si>
    <t>CITY DRUG CO</t>
  </si>
  <si>
    <t>RX SHOPPE INC</t>
  </si>
  <si>
    <t>NEWTONS PHARMACY</t>
  </si>
  <si>
    <t>DEDMON PHARMACY INC</t>
  </si>
  <si>
    <t>3BG, INC.</t>
  </si>
  <si>
    <t>DON PETERSON DRUG CO</t>
  </si>
  <si>
    <t>BOATWRIGHT DRUG CO., INC</t>
  </si>
  <si>
    <t>MEDI-QUIK DISCOUNT PHARMACY 3, INC.</t>
  </si>
  <si>
    <t>UNITED PHARMACY LTD</t>
  </si>
  <si>
    <t>PILL PEDDLER PHARMACY LLC</t>
  </si>
  <si>
    <t>SPECIALISTS HOSPITAL OF SHREVEPORT LLC</t>
  </si>
  <si>
    <t>WEST END ASSOCIATES, INC.</t>
  </si>
  <si>
    <t>TRIPHARMA INC.</t>
  </si>
  <si>
    <t>WOODLANDS PHARMACY INC</t>
  </si>
  <si>
    <t>CITY PHARMACY</t>
  </si>
  <si>
    <t>CAROL CLARK</t>
  </si>
  <si>
    <t>SMITHS COUNTRY CLUB DRUG STORE INC</t>
  </si>
  <si>
    <t>STAN-KEL PHARMACIES, INC.</t>
  </si>
  <si>
    <t>HILLTOP FAMILY PHARMACY</t>
  </si>
  <si>
    <t>THEPHARMACY LLC</t>
  </si>
  <si>
    <t>JEFFERSON REGIONAL MEDICAL CENTER</t>
  </si>
  <si>
    <t>PRESCRIPTION STORE OF FORDYCE INC</t>
  </si>
  <si>
    <t>DELTA DISCOUNT DRUGS INC.</t>
  </si>
  <si>
    <t>HAM'S DRUGS &amp; GIFTS, INC.</t>
  </si>
  <si>
    <t>HARRIS PHARMACY INC.</t>
  </si>
  <si>
    <t>ANOVORX GROUP LLC</t>
  </si>
  <si>
    <t>SOUTH ARKANSAS OIL CO</t>
  </si>
  <si>
    <t>HAMPTON MEDICAL PHARMACY</t>
  </si>
  <si>
    <t>LOUISIANA CVS PHARMACY, LLC</t>
  </si>
  <si>
    <t>D &amp; D PHARMACY INCORPORATED</t>
  </si>
  <si>
    <t>MEDISAV HOMECARE PHARMACIES INC</t>
  </si>
  <si>
    <t>KANSAS PHARMACY LLC</t>
  </si>
  <si>
    <t>HARPS FOOD STORES INC</t>
  </si>
  <si>
    <t>DAVIS DRUG STORE INC</t>
  </si>
  <si>
    <t>TAYLOR BROWN INCORPORATION</t>
  </si>
  <si>
    <t>GASTROENTEROLOGY CENTER OF THE MIDSOUTH PC</t>
  </si>
  <si>
    <t>DEANS PHARMACIES, IN.</t>
  </si>
  <si>
    <t>TRIPHARMA INC</t>
  </si>
  <si>
    <t>HAIRE DRUG COMPANY</t>
  </si>
  <si>
    <t>ROSE DRUG OF DOVER, INC</t>
  </si>
  <si>
    <t>STONEWOOD VILLAGE PHARMACY INC</t>
  </si>
  <si>
    <t>HARRIS DRUG AND GIFTS LLC</t>
  </si>
  <si>
    <t>JAMES AND WILKS PHARMACY LLC</t>
  </si>
  <si>
    <t>BENSONS EXPRESS PHARMACY</t>
  </si>
  <si>
    <t>DR. MICHAEL LYONS PC</t>
  </si>
  <si>
    <t>ALMA DISCOUNT PHARMACY INC</t>
  </si>
  <si>
    <t>RHEA DRUG STORE, INC</t>
  </si>
  <si>
    <t>JIMMIE LEE WHISENHUNT</t>
  </si>
  <si>
    <t>FIRST PHARMACY SERVICES OF HEALTHQUEST</t>
  </si>
  <si>
    <t>SAINT-MARK ENTERPRISES 1890 LLC</t>
  </si>
  <si>
    <t>ASM INC</t>
  </si>
  <si>
    <t>BARI INC</t>
  </si>
  <si>
    <t>CHN ENTERPRISES INC</t>
  </si>
  <si>
    <t>PHILS PHARMACY INC</t>
  </si>
  <si>
    <t>C MICHAEL JONES MDPC</t>
  </si>
  <si>
    <t>FUNDERBURK'S PHARMACY, INC.</t>
  </si>
  <si>
    <t>NORTH PARK PHARMACY INC</t>
  </si>
  <si>
    <t>HUNTERS PHARMACY, INC</t>
  </si>
  <si>
    <t>BOBBY TEETERS DRUG STORE INC</t>
  </si>
  <si>
    <t>PINNACLE MEDICAL SOLUTIONS LLC</t>
  </si>
  <si>
    <t>MEDI SHOP PHARMACY</t>
  </si>
  <si>
    <t>CAEB INVESTMENTS, INC</t>
  </si>
  <si>
    <t>PALACE DRUG OF SALEM LLC</t>
  </si>
  <si>
    <t>COUNTY DISCOUNT PHARMACY INC</t>
  </si>
  <si>
    <t>SCOTT FAMILY PHARMACY LLC</t>
  </si>
  <si>
    <t>DANNY B DEDMON</t>
  </si>
  <si>
    <t>ROACH ENTERPRISES INC</t>
  </si>
  <si>
    <t>BIG WORLD DRUG ENTERPRISES INC</t>
  </si>
  <si>
    <t>RELIANT MEDICAL LLC</t>
  </si>
  <si>
    <t>MC DONALD, JAMES</t>
  </si>
  <si>
    <t>BEARD DRUG INC</t>
  </si>
  <si>
    <t>JOHNSON PHARMACY</t>
  </si>
  <si>
    <t>RESTORE RX INC</t>
  </si>
  <si>
    <t>PORTLAND DRUG LLC</t>
  </si>
  <si>
    <t>WARMACK PHARMACIES,INC.</t>
  </si>
  <si>
    <t>C &amp; P ALTON VENTURES LLC</t>
  </si>
  <si>
    <t>BRADFORD PHARMACY LLC</t>
  </si>
  <si>
    <t>MEDICAL ALTERNATIVES</t>
  </si>
  <si>
    <t>RKJ RX INC</t>
  </si>
  <si>
    <t>TOMMYS REXALL DRUG COMPANY INC.</t>
  </si>
  <si>
    <t>EPSB LLC</t>
  </si>
  <si>
    <t>HOMETOWN DRUG COMPANY LLC</t>
  </si>
  <si>
    <t>CHARLES L PORTER</t>
  </si>
  <si>
    <t>RX CARE OF LA INC</t>
  </si>
  <si>
    <t>PATEL, MIRAL</t>
  </si>
  <si>
    <t>STANLEY AND TURNER DRUG CO</t>
  </si>
  <si>
    <t>GREYSTONE RX</t>
  </si>
  <si>
    <t>ROSE PHARMACY, LLC</t>
  </si>
  <si>
    <t>CITY PHARMACY INC</t>
  </si>
  <si>
    <t>FIRST PHARMACY SERVICES OF PARK AVE INC</t>
  </si>
  <si>
    <t>POTTSVILLE PHARMACY INC</t>
  </si>
  <si>
    <t>CALDWELL DISCOUNT DRUG CO., INC.</t>
  </si>
  <si>
    <t>PROFESSIONAL PHARMACY SERVICES INC.</t>
  </si>
  <si>
    <t>MARSHALL MEDIC PHARMACY, INC.</t>
  </si>
  <si>
    <t>JOHNNY H BURNS, T/A MARION DISCONT PHARMACY</t>
  </si>
  <si>
    <t>YOUNIS, NAVEED</t>
  </si>
  <si>
    <t>HART, RODERICK</t>
  </si>
  <si>
    <t>MELOY, ANTHONY</t>
  </si>
  <si>
    <t>TRAN, CHRISTINA</t>
  </si>
  <si>
    <t>HUNTER, CASSANDRA</t>
  </si>
  <si>
    <t>HEBERT, DAVID</t>
  </si>
  <si>
    <t>SPARKS, JAY</t>
  </si>
  <si>
    <t>AHMAD, HAMAD</t>
  </si>
  <si>
    <t>HOOVER, DUSTIN</t>
  </si>
  <si>
    <t>MACHAVARAPU, HARITHA</t>
  </si>
  <si>
    <t>GONZALEZ, MISTY</t>
  </si>
  <si>
    <t>CAMP, REBECCA</t>
  </si>
  <si>
    <t>NEWBURN, VERONICA</t>
  </si>
  <si>
    <t>GRINDER, CHARLES</t>
  </si>
  <si>
    <t>LEWIS, MARGARET</t>
  </si>
  <si>
    <t>COBLE, REBECCA</t>
  </si>
  <si>
    <t>LAGRIMAS, FERNANDO</t>
  </si>
  <si>
    <t>MUSTAIN, CATHERINE</t>
  </si>
  <si>
    <t>ROBBINS, MELISSA</t>
  </si>
  <si>
    <t>HINES, COLBY</t>
  </si>
  <si>
    <t>PESNELL, LARKUS</t>
  </si>
  <si>
    <t>CHAPMAN, KARI</t>
  </si>
  <si>
    <t>COPE, AMANDA</t>
  </si>
  <si>
    <t>DAILY, JASON</t>
  </si>
  <si>
    <t>JONES, MARCELLA</t>
  </si>
  <si>
    <t>HOFFMANN, JAMES</t>
  </si>
  <si>
    <t>GREEN, ERIN</t>
  </si>
  <si>
    <t>SESSIONS, ATALIE</t>
  </si>
  <si>
    <t>COVINGTON, JAMIE</t>
  </si>
  <si>
    <t>TASNEEM, SARA</t>
  </si>
  <si>
    <t>JENKINS, ASHLEY</t>
  </si>
  <si>
    <t>CROOK, KRISTEN</t>
  </si>
  <si>
    <t>MARSH, CHRISTINA</t>
  </si>
  <si>
    <t>HOBBS, MARY</t>
  </si>
  <si>
    <t>WALLACE, CHRISTINA</t>
  </si>
  <si>
    <t>ZANONE, MICHAEL</t>
  </si>
  <si>
    <t>ADABALA, JAYA</t>
  </si>
  <si>
    <t>SNYDER, EMILE</t>
  </si>
  <si>
    <t>GATTIS, ASHLEY</t>
  </si>
  <si>
    <t>BERRY, TINA</t>
  </si>
  <si>
    <t>CUDE, LAUREN</t>
  </si>
  <si>
    <t>WRAY, GARRETT</t>
  </si>
  <si>
    <t>WEBSTER, ALYSSA</t>
  </si>
  <si>
    <t>LOYD, SHERRY</t>
  </si>
  <si>
    <t>WILSON, JILLIAN</t>
  </si>
  <si>
    <t>ROBINSON, WILEY</t>
  </si>
  <si>
    <t>HURT, CHRISTIE</t>
  </si>
  <si>
    <t>HOANG, BRYAN</t>
  </si>
  <si>
    <t>POWELL, GARA</t>
  </si>
  <si>
    <t>DISSANAYAKE, THUSITHA</t>
  </si>
  <si>
    <t>WATSON, BRANDI</t>
  </si>
  <si>
    <t>O'KELLEY, ANDREW</t>
  </si>
  <si>
    <t>ROBBINS-SPANN, LISA</t>
  </si>
  <si>
    <t>HOGAN, KRISTY</t>
  </si>
  <si>
    <t>LUCE, KRISTEN</t>
  </si>
  <si>
    <t>ALLEN, JUSTIN</t>
  </si>
  <si>
    <t>ADEWUMI, OLUMIDE</t>
  </si>
  <si>
    <t>THOMPSON, EBONY</t>
  </si>
  <si>
    <t>AJOKU, ERICA</t>
  </si>
  <si>
    <t>EDMUND, BLAKELY</t>
  </si>
  <si>
    <t>HULL, HONEY</t>
  </si>
  <si>
    <t>JONES, SARAH</t>
  </si>
  <si>
    <t>HARRIS, LANCE</t>
  </si>
  <si>
    <t>DIMUCCI, MICHAEL</t>
  </si>
  <si>
    <t>FOWLER, CHRISTOPHER</t>
  </si>
  <si>
    <t>OAKS, JAMES</t>
  </si>
  <si>
    <t>SALLFORS, SOLOMON</t>
  </si>
  <si>
    <t>HILTON, TIFFANY</t>
  </si>
  <si>
    <t>GALLOWAY, RAYMOND</t>
  </si>
  <si>
    <t>WYATT, FALLON</t>
  </si>
  <si>
    <t>KELLY, ROCHELLE</t>
  </si>
  <si>
    <t>MIRANDA, CATHERINE</t>
  </si>
  <si>
    <t>VAUGHAN, MICHAEL</t>
  </si>
  <si>
    <t>KIMBROUGH, KYLE</t>
  </si>
  <si>
    <t>MASSEY, ADAM</t>
  </si>
  <si>
    <t>BURLESON, ANITA</t>
  </si>
  <si>
    <t>KNIGHT, VENESTER</t>
  </si>
  <si>
    <t>CORBETT, JANET</t>
  </si>
  <si>
    <t>HORTON, CHARLES</t>
  </si>
  <si>
    <t>ELLIS, NEYSA</t>
  </si>
  <si>
    <t>REED, DANA</t>
  </si>
  <si>
    <t>MILAM, JESSICA</t>
  </si>
  <si>
    <t>PUMPHREY, CARLA</t>
  </si>
  <si>
    <t>GRIFFIN, TIFFANY</t>
  </si>
  <si>
    <t>RIDDLE, COURTNEY</t>
  </si>
  <si>
    <t>BILLINGS, CHRISTOPHER</t>
  </si>
  <si>
    <t>STRINGER, KENTON</t>
  </si>
  <si>
    <t>PARKER, IAN</t>
  </si>
  <si>
    <t>NIEMEYER, KRISTA</t>
  </si>
  <si>
    <t>OMWANGHE, KIMBERLI</t>
  </si>
  <si>
    <t>MENDENHALL, SARAH</t>
  </si>
  <si>
    <t>BURNS, WILLIAM</t>
  </si>
  <si>
    <t>DAVIS, SAMANTHA</t>
  </si>
  <si>
    <t>MURDAUGH, STEPHANIE</t>
  </si>
  <si>
    <t>CAPEHEART, TARA</t>
  </si>
  <si>
    <t>WILLIS, TYLER</t>
  </si>
  <si>
    <t>JASPER, JOHN</t>
  </si>
  <si>
    <t>LIPSCHITZ, RILEY</t>
  </si>
  <si>
    <t>EASTERLING, ANNA</t>
  </si>
  <si>
    <t>LINDSEY, KARI</t>
  </si>
  <si>
    <t>WHITED, KRISTY</t>
  </si>
  <si>
    <t>ROBERTS, MARKETTA</t>
  </si>
  <si>
    <t>ALAALI, YATHREB</t>
  </si>
  <si>
    <t>BRADLEY, JOHN</t>
  </si>
  <si>
    <t>NIX, KASEY</t>
  </si>
  <si>
    <t>SPEARS, WILLIAM</t>
  </si>
  <si>
    <t>PONDER, JULIA</t>
  </si>
  <si>
    <t>DONAGHUE, SHAWNA</t>
  </si>
  <si>
    <t>HALL, BERNARD</t>
  </si>
  <si>
    <t>VAN ANDEL, RODNEY</t>
  </si>
  <si>
    <t>KINSEY, NETTIE</t>
  </si>
  <si>
    <t>CROCKETT-MAPLES, MELINDA</t>
  </si>
  <si>
    <t>GARTON, DANNY</t>
  </si>
  <si>
    <t>WILLIAMS, TINA</t>
  </si>
  <si>
    <t>RUST, STEFANIE</t>
  </si>
  <si>
    <t>STODGHILL, LINDA</t>
  </si>
  <si>
    <t>BROWN, TASHINA</t>
  </si>
  <si>
    <t>ELAM, MORGAN</t>
  </si>
  <si>
    <t>DIAS, DAVID</t>
  </si>
  <si>
    <t>BUFFEY, TIMOTHY</t>
  </si>
  <si>
    <t>WANG, CHEN</t>
  </si>
  <si>
    <t>PATTON, MATTHEW</t>
  </si>
  <si>
    <t>BEARD, COURTNEY</t>
  </si>
  <si>
    <t>GOMEZ, ALBERTO</t>
  </si>
  <si>
    <t>HERRON, LINDSAY</t>
  </si>
  <si>
    <t>MCCONATHY, TIFFANY</t>
  </si>
  <si>
    <t>PARROTT, JAMIE</t>
  </si>
  <si>
    <t>ALLEN, EMILY</t>
  </si>
  <si>
    <t>HARROD, NAOMI</t>
  </si>
  <si>
    <t>COMBS, MATTHEW</t>
  </si>
  <si>
    <t>BAUGH, HANNAH</t>
  </si>
  <si>
    <t>ROBINSON, JAMIE</t>
  </si>
  <si>
    <t>LILES, JENNIFER</t>
  </si>
  <si>
    <t>SHIELDS, ANNE</t>
  </si>
  <si>
    <t>NANCE, KIMBERLY</t>
  </si>
  <si>
    <t>ALLEN, JESSICA</t>
  </si>
  <si>
    <t>WILLIAMS, MARLO</t>
  </si>
  <si>
    <t>DANIELS, KIMBERLY</t>
  </si>
  <si>
    <t>STOCK, LAUREN</t>
  </si>
  <si>
    <t>HEBERT, JOE</t>
  </si>
  <si>
    <t>REID, NICOLE</t>
  </si>
  <si>
    <t>LAMEY, TRACY</t>
  </si>
  <si>
    <t>ALLEN, DELORIS</t>
  </si>
  <si>
    <t>LOFTIS, ADRIENNE</t>
  </si>
  <si>
    <t>PIASTA, JACLYN</t>
  </si>
  <si>
    <t>BARKER-BROWN, CATHY</t>
  </si>
  <si>
    <t>HODGES, AMY</t>
  </si>
  <si>
    <t>HODGE, JILLIAN</t>
  </si>
  <si>
    <t>BEATY, JEFFORY</t>
  </si>
  <si>
    <t>MURPHY, GEORGE</t>
  </si>
  <si>
    <t>CANNADAY, JERRY</t>
  </si>
  <si>
    <t>GRIMM, JUDITH</t>
  </si>
  <si>
    <t>FITTS, SHERRIE</t>
  </si>
  <si>
    <t>GUINN, ROBBY</t>
  </si>
  <si>
    <t>PARTRIDGE, PAUL</t>
  </si>
  <si>
    <t>SNYDER, DANIEL</t>
  </si>
  <si>
    <t>REEDER, BLAKELY</t>
  </si>
  <si>
    <t>AROGYASWAMY, MARCIA</t>
  </si>
  <si>
    <t>WINNINGHAM, ELIZABETH</t>
  </si>
  <si>
    <t>LEE, TESSA</t>
  </si>
  <si>
    <t>HICKS, CRISTI</t>
  </si>
  <si>
    <t>GARRETT, JOHN</t>
  </si>
  <si>
    <t>CLABORN, JAMIE</t>
  </si>
  <si>
    <t>PARADKAR, RUPALI</t>
  </si>
  <si>
    <t>SIDDIQI, HUMZA</t>
  </si>
  <si>
    <t>BOONE, MICHELLE</t>
  </si>
  <si>
    <t>SCHWEKE, DANIELLE</t>
  </si>
  <si>
    <t>SNEATHERN, VALERIE</t>
  </si>
  <si>
    <t>HAMILTON, ANGELA</t>
  </si>
  <si>
    <t>RAZON, FAYE MARIZ</t>
  </si>
  <si>
    <t>LEE, SHERITA</t>
  </si>
  <si>
    <t>HUMPHREY, KIMBERLY</t>
  </si>
  <si>
    <t>MISSILDINE, SHERRY</t>
  </si>
  <si>
    <t>LEVENTHAL, STUART</t>
  </si>
  <si>
    <t>BLACK, JOHN</t>
  </si>
  <si>
    <t>FEINGOLD, EDNA</t>
  </si>
  <si>
    <t>HUDNALL, ELIZABETH</t>
  </si>
  <si>
    <t>WALLACE, TERESA</t>
  </si>
  <si>
    <t>THELLA, KOTESWARARAO</t>
  </si>
  <si>
    <t>DAY, ALANA</t>
  </si>
  <si>
    <t>WREN, PEGGY</t>
  </si>
  <si>
    <t>PATTERSON, GEORGE</t>
  </si>
  <si>
    <t>RICHARDSON, RACHEL</t>
  </si>
  <si>
    <t>LAMER, TAMRA</t>
  </si>
  <si>
    <t>JONES, JERMEY</t>
  </si>
  <si>
    <t>MATTHEWS, TAMELA</t>
  </si>
  <si>
    <t>DUBOIS, JUSTIN</t>
  </si>
  <si>
    <t>STRICKLAND, DUSTIN</t>
  </si>
  <si>
    <t>CARDOSI, FARAH</t>
  </si>
  <si>
    <t>WEAVER, DENNIS</t>
  </si>
  <si>
    <t>JONES, SAMUEL</t>
  </si>
  <si>
    <t>GARG, AATISH</t>
  </si>
  <si>
    <t>COOPER, KATELIN</t>
  </si>
  <si>
    <t>DUMBOSKI, MARY</t>
  </si>
  <si>
    <t>METTUPALLI, NEEHARIKA</t>
  </si>
  <si>
    <t>TODD, BRANDON</t>
  </si>
  <si>
    <t>GRAHAM, STACY</t>
  </si>
  <si>
    <t>SHIRLEY, MORGAN</t>
  </si>
  <si>
    <t>ALLEN, BERNAGIE</t>
  </si>
  <si>
    <t>THANASAWAT, CHALERMKIAT</t>
  </si>
  <si>
    <t>MORRIS, BRETT</t>
  </si>
  <si>
    <t>O'SHIELDS, REBECCA</t>
  </si>
  <si>
    <t>KHALFE, WAJIUDDIN</t>
  </si>
  <si>
    <t>SHEKHAWAT, NAWAL</t>
  </si>
  <si>
    <t>WALLACE, LAURA</t>
  </si>
  <si>
    <t>BLOUNT, DAVID</t>
  </si>
  <si>
    <t>GARNER, TY</t>
  </si>
  <si>
    <t>COKER, LISA</t>
  </si>
  <si>
    <t>FLAHERTY, KELLIE</t>
  </si>
  <si>
    <t>KINDER, JASON</t>
  </si>
  <si>
    <t>WALTON, ELIZABETH</t>
  </si>
  <si>
    <t>GOLDEN, TANYA</t>
  </si>
  <si>
    <t>YOUNGWOLFE, BROOKE</t>
  </si>
  <si>
    <t>WELLS, KATHRYN</t>
  </si>
  <si>
    <t>MASSEY, MACY</t>
  </si>
  <si>
    <t>BOOTH, AMY</t>
  </si>
  <si>
    <t>BEASLEY, JAMES</t>
  </si>
  <si>
    <t>BANSAL, SHIKHA</t>
  </si>
  <si>
    <t>MONTIEL, PATRICIO</t>
  </si>
  <si>
    <t>SANDLIN, TYLER</t>
  </si>
  <si>
    <t>HARVEY, ASHLEY</t>
  </si>
  <si>
    <t>ANDERSON, LESLI</t>
  </si>
  <si>
    <t>STEPP, DEBORAH</t>
  </si>
  <si>
    <t>ROBERTS, MELONIE</t>
  </si>
  <si>
    <t>HUNT, MAGGIE</t>
  </si>
  <si>
    <t>EZEUME, OLUCHI</t>
  </si>
  <si>
    <t>SULTANA, SANIA</t>
  </si>
  <si>
    <t>ACKLEY, BRITTANY</t>
  </si>
  <si>
    <t>LUCAS, TIFFANY</t>
  </si>
  <si>
    <t>SEIFERT, BRITTANY</t>
  </si>
  <si>
    <t>HIGHSMITH, STEPHANIE</t>
  </si>
  <si>
    <t>SHULER, SARAH</t>
  </si>
  <si>
    <t>PETTY, CORWIN</t>
  </si>
  <si>
    <t>HUGGINS, KIMBERLY</t>
  </si>
  <si>
    <t>GLASGOW, PHILLIP</t>
  </si>
  <si>
    <t>IEZZI, MARI</t>
  </si>
  <si>
    <t>PABONA, JOHN MARK</t>
  </si>
  <si>
    <t>BOYD, DUSTY</t>
  </si>
  <si>
    <t>VANHOUTEN, ASHLEE</t>
  </si>
  <si>
    <t>ROGERS, AMANDA</t>
  </si>
  <si>
    <t>THROESCH, JOHN</t>
  </si>
  <si>
    <t>WILLIAMSON, NATHAN</t>
  </si>
  <si>
    <t>MCANULTY, REBECCA</t>
  </si>
  <si>
    <t>PERENCHIO, CAROL</t>
  </si>
  <si>
    <t>MARLEY, CAROLYN</t>
  </si>
  <si>
    <t>GOMEZ RAMIREZ, MAURICIO</t>
  </si>
  <si>
    <t>HENKEL, STEPHANIE</t>
  </si>
  <si>
    <t>PEARCE-WHITLEY, NATALIE</t>
  </si>
  <si>
    <t>THOMPSON, AMBRY</t>
  </si>
  <si>
    <t>PARKER, LOU</t>
  </si>
  <si>
    <t>HALL, ROBERT-MATTHEW</t>
  </si>
  <si>
    <t>JOHNSON, KAYLA</t>
  </si>
  <si>
    <t>JENNINGS, FARRAH</t>
  </si>
  <si>
    <t>WENGER, AARON</t>
  </si>
  <si>
    <t>GRAHAM, MARCIA</t>
  </si>
  <si>
    <t>GUPTA, KSHITIJ</t>
  </si>
  <si>
    <t>PASCUAL, JUANCARLO</t>
  </si>
  <si>
    <t>DYMNA, LAUREN</t>
  </si>
  <si>
    <t>HUDSON, LINDSAY</t>
  </si>
  <si>
    <t>ROSE, BRITTANY</t>
  </si>
  <si>
    <t>FRYAR, KATY</t>
  </si>
  <si>
    <t>ANTHONY, CODI</t>
  </si>
  <si>
    <t>FRISBIE, BRENDA</t>
  </si>
  <si>
    <t>THOMAS, SMITHA</t>
  </si>
  <si>
    <t>TURBEVILLE, RICHARD</t>
  </si>
  <si>
    <t>GREENBURG, PATRICK</t>
  </si>
  <si>
    <t>TINNIN, ANNALYSE</t>
  </si>
  <si>
    <t>RIDHA, ALI</t>
  </si>
  <si>
    <t>SHANKER, SREENATH</t>
  </si>
  <si>
    <t>TALBERT, DEVON</t>
  </si>
  <si>
    <t>ANDERSON, SAMANTHA</t>
  </si>
  <si>
    <t>AULD, MICHELLE</t>
  </si>
  <si>
    <t>DISTIN, DAHLIA</t>
  </si>
  <si>
    <t>EMERY, JARED</t>
  </si>
  <si>
    <t>KEENE, ALEXANDRIA</t>
  </si>
  <si>
    <t>PATYK, STEPHANIE</t>
  </si>
  <si>
    <t>KESTERSON, JENNIFER</t>
  </si>
  <si>
    <t>FORD, MARY</t>
  </si>
  <si>
    <t>CHAVIS, BRENT</t>
  </si>
  <si>
    <t>BROCKMAN, DON</t>
  </si>
  <si>
    <t>BODDU, NEERAJA</t>
  </si>
  <si>
    <t>AYRES, JANA</t>
  </si>
  <si>
    <t>SERVY, CLAIRE</t>
  </si>
  <si>
    <t>STROP, REGINA</t>
  </si>
  <si>
    <t>WILLIAMS, CATHERINE</t>
  </si>
  <si>
    <t>STONE, JESSICA</t>
  </si>
  <si>
    <t>WALLS, MELODY</t>
  </si>
  <si>
    <t>AHMED, AHMED</t>
  </si>
  <si>
    <t>AKASAPU, KARUNAKAR</t>
  </si>
  <si>
    <t>MAYSE, MELISSA</t>
  </si>
  <si>
    <t>HALL, RYAN</t>
  </si>
  <si>
    <t>HOWELL, DANIELLE</t>
  </si>
  <si>
    <t>HAVELKA, CHELSEA</t>
  </si>
  <si>
    <t>HOPPER, DAWN</t>
  </si>
  <si>
    <t>PRICE, JENNIFER</t>
  </si>
  <si>
    <t>FERRELL, DAVID</t>
  </si>
  <si>
    <t>BASHAM, BRIAN</t>
  </si>
  <si>
    <t>VAIDYANATHAN, DAMODHARAN</t>
  </si>
  <si>
    <t>JEFFERSON, ADRIAN</t>
  </si>
  <si>
    <t>TIMMONS, TIMOTHY</t>
  </si>
  <si>
    <t>HOEY, SHANNON</t>
  </si>
  <si>
    <t>BONSALL, ALEX</t>
  </si>
  <si>
    <t>BOYD, WESLEY</t>
  </si>
  <si>
    <t>MOORE, LAUREN</t>
  </si>
  <si>
    <t>LEOPARD, LAUREN</t>
  </si>
  <si>
    <t>PENNINGTON, SONJA</t>
  </si>
  <si>
    <t>HOKE, WALLACE</t>
  </si>
  <si>
    <t>MURPHY, ANNE</t>
  </si>
  <si>
    <t>CRIHFIELD, PATSY</t>
  </si>
  <si>
    <t>HOOTEN, SUNNIE</t>
  </si>
  <si>
    <t>YARLAGADDA, NAVEEN</t>
  </si>
  <si>
    <t>ROSSON, THOMAS</t>
  </si>
  <si>
    <t>MARSH, DAVID</t>
  </si>
  <si>
    <t>MATTHEWS, LOGAN</t>
  </si>
  <si>
    <t>VARANASI, ANJU</t>
  </si>
  <si>
    <t>ANDREWS, JENNY</t>
  </si>
  <si>
    <t>SMITH, DANNAH</t>
  </si>
  <si>
    <t>EVANS, SAMUEL</t>
  </si>
  <si>
    <t>ROBERTSON, KATHERINE</t>
  </si>
  <si>
    <t>BEASLEY-WILLIAMS, KAJUANDRIA</t>
  </si>
  <si>
    <t>BOYCE, TIFFANIE</t>
  </si>
  <si>
    <t>COLEMAN, CAROLYN</t>
  </si>
  <si>
    <t>ROGERS, CYNTHIA</t>
  </si>
  <si>
    <t>YOUNGER, STEVEN</t>
  </si>
  <si>
    <t>EASLEY, LOREE</t>
  </si>
  <si>
    <t>COX, KELLIE</t>
  </si>
  <si>
    <t>COATS, KRISTEN</t>
  </si>
  <si>
    <t>BHANDARI, SHIV</t>
  </si>
  <si>
    <t>COLEMAN, SETH</t>
  </si>
  <si>
    <t>LEWIS, ZACHARY</t>
  </si>
  <si>
    <t>ENGELKEN, NATALIE</t>
  </si>
  <si>
    <t>KORSZOLOSKI, KATRINA</t>
  </si>
  <si>
    <t>KOCUREK, EMILY</t>
  </si>
  <si>
    <t>CALDWELL, ERIN</t>
  </si>
  <si>
    <t>MCCRARY, LEE</t>
  </si>
  <si>
    <t>CRANOR, MALLORY</t>
  </si>
  <si>
    <t>LEWIS, EBONY</t>
  </si>
  <si>
    <t>ROSS, JEANNE</t>
  </si>
  <si>
    <t>FALLON, CHRISTOPHER</t>
  </si>
  <si>
    <t>DEAL, NINA</t>
  </si>
  <si>
    <t>HENLEY, JOHNNY</t>
  </si>
  <si>
    <t>KLUCH, JOANNA</t>
  </si>
  <si>
    <t>SCHEIDLER, HEIDI</t>
  </si>
  <si>
    <t>ABRAMS, SHARON</t>
  </si>
  <si>
    <t>GROGAN, SUSAN</t>
  </si>
  <si>
    <t>VANDERFORD, ROBYN</t>
  </si>
  <si>
    <t>JACKSON, CHRISTOPHER</t>
  </si>
  <si>
    <t>JAYROE, RACHEL</t>
  </si>
  <si>
    <t>STEPHENS, ARIN</t>
  </si>
  <si>
    <t>HARRINGTON, KAYLA</t>
  </si>
  <si>
    <t>KING, JUSTIN</t>
  </si>
  <si>
    <t>GOLDEN, SHANNON</t>
  </si>
  <si>
    <t>DUSENBURY, WENDY</t>
  </si>
  <si>
    <t>BEECHER, CYNTHIA</t>
  </si>
  <si>
    <t>MOHAMED, NOHA</t>
  </si>
  <si>
    <t>VAUGHT, EMILEE</t>
  </si>
  <si>
    <t>KINCANNON, CHRISTINA</t>
  </si>
  <si>
    <t>GARDNER, MICHELLE</t>
  </si>
  <si>
    <t>BENEDICT, MATTHEW</t>
  </si>
  <si>
    <t>WARE, JUDITH</t>
  </si>
  <si>
    <t>HARAWAY, MISTY</t>
  </si>
  <si>
    <t>TANKERSLEY, BRIAN</t>
  </si>
  <si>
    <t>ANDELIN, PAUL</t>
  </si>
  <si>
    <t>BATCHU, VERA</t>
  </si>
  <si>
    <t>GAISER, JENNALEE</t>
  </si>
  <si>
    <t>SMOYER, BRENT</t>
  </si>
  <si>
    <t>BAXLEY, SARAH</t>
  </si>
  <si>
    <t>BARBEE-LUMPKIN, CHASTA</t>
  </si>
  <si>
    <t>GEORGE, SARAH</t>
  </si>
  <si>
    <t>SMITH, JERAKAYCIA</t>
  </si>
  <si>
    <t>RICHARDSON, DEDRA</t>
  </si>
  <si>
    <t>HORTON, CHRISTOPHER</t>
  </si>
  <si>
    <t>CALDWELL, CANDICE</t>
  </si>
  <si>
    <t>NORRIS, JULIA</t>
  </si>
  <si>
    <t>NGUYEN, AI-CHAU</t>
  </si>
  <si>
    <t>BERG, JOHN</t>
  </si>
  <si>
    <t>YOUNG, WILLIAM</t>
  </si>
  <si>
    <t>MITCHELL, GLADYS</t>
  </si>
  <si>
    <t>YAMBOT, MICHAEL</t>
  </si>
  <si>
    <t>JIANG, DONGXIA</t>
  </si>
  <si>
    <t>SPEED, BRENDA</t>
  </si>
  <si>
    <t>ROWLAND, JOSHUA</t>
  </si>
  <si>
    <t>BANHAM, JEFFREY</t>
  </si>
  <si>
    <t>SHEPARD, DEVIN</t>
  </si>
  <si>
    <t>FILCHOCK, JOANNE</t>
  </si>
  <si>
    <t>COPLON, DEBRA</t>
  </si>
  <si>
    <t>NWUDE, UGOCHUKWU</t>
  </si>
  <si>
    <t>MACK, KRISTEN</t>
  </si>
  <si>
    <t>BELL, TRAVIS</t>
  </si>
  <si>
    <t>HAZLEWOOD, ANNABETH</t>
  </si>
  <si>
    <t>SEXSON, JOHN</t>
  </si>
  <si>
    <t>REAGAN, JESSICA</t>
  </si>
  <si>
    <t>NUTT, JESSICA</t>
  </si>
  <si>
    <t>CARSON, MICHAEL</t>
  </si>
  <si>
    <t>DULANEY, KRISTINA</t>
  </si>
  <si>
    <t>CHACANACA, KELLIE</t>
  </si>
  <si>
    <t>HOLT, JONATHAN</t>
  </si>
  <si>
    <t>JEFFERY, YOLANDA</t>
  </si>
  <si>
    <t>GILL, KELLY</t>
  </si>
  <si>
    <t>CRONIN, JULIUS</t>
  </si>
  <si>
    <t>BRYANT, GINA</t>
  </si>
  <si>
    <t>FOUNTAIN, LEAH</t>
  </si>
  <si>
    <t>SHOCKLEY, TANNA</t>
  </si>
  <si>
    <t>NICHOLS, RENETTA</t>
  </si>
  <si>
    <t>CHAPPELL, SAMANTHA</t>
  </si>
  <si>
    <t>DISMUKES, JAMES</t>
  </si>
  <si>
    <t>CROWL, AUDREY</t>
  </si>
  <si>
    <t>GORDIN, AUDREY</t>
  </si>
  <si>
    <t>GREESON, IRIS</t>
  </si>
  <si>
    <t>SHENEMAN, DEBBIE</t>
  </si>
  <si>
    <t>DICKINS, HANNAH</t>
  </si>
  <si>
    <t>MESSERVY, JASON</t>
  </si>
  <si>
    <t>BULLARD, CHRISTY</t>
  </si>
  <si>
    <t>HOLMES, CRYSTAL</t>
  </si>
  <si>
    <t>WOLFE, DEVINN</t>
  </si>
  <si>
    <t>SABBATINI, GINA</t>
  </si>
  <si>
    <t>ESCUE, JOY</t>
  </si>
  <si>
    <t>AVERILL, EMILY</t>
  </si>
  <si>
    <t>REAL, CHELSEA</t>
  </si>
  <si>
    <t>CONSTANT, ANGELA</t>
  </si>
  <si>
    <t>WAGNER, STEPHEN</t>
  </si>
  <si>
    <t>DUDA, SARAH</t>
  </si>
  <si>
    <t>PROBST, NATHAN</t>
  </si>
  <si>
    <t>BEW, KATRINA</t>
  </si>
  <si>
    <t>JOHNSON, PAULETTE</t>
  </si>
  <si>
    <t>HURST, PATRICIA</t>
  </si>
  <si>
    <t>REPHAN, ROSANNA</t>
  </si>
  <si>
    <t>BRUCE, DANIEL</t>
  </si>
  <si>
    <t>FALLER, RACHEL</t>
  </si>
  <si>
    <t>HUKRIEDE, JOHN</t>
  </si>
  <si>
    <t>FAULKENBURY, LISA</t>
  </si>
  <si>
    <t>CHUKWU, EMMANUEL</t>
  </si>
  <si>
    <t>ELMS, AMY</t>
  </si>
  <si>
    <t>LANDAVERDE, RICHARD</t>
  </si>
  <si>
    <t>HAYS, WILLIAM</t>
  </si>
  <si>
    <t>BENNETT, NATHAN</t>
  </si>
  <si>
    <t>MAZZELLA, WILLIAM</t>
  </si>
  <si>
    <t>HARRIS, LATONYA</t>
  </si>
  <si>
    <t>JONES, JESSICA</t>
  </si>
  <si>
    <t>HAO, LIN</t>
  </si>
  <si>
    <t>SKARDA, ADAM</t>
  </si>
  <si>
    <t>MITMA, ANGEL</t>
  </si>
  <si>
    <t>ESPINOZA, DIEGO</t>
  </si>
  <si>
    <t>EUBANKS, DANIEL</t>
  </si>
  <si>
    <t>LONGNECKER, JORDAN</t>
  </si>
  <si>
    <t>LINCOLN PADEN MEDICAL GROUP PLLC</t>
  </si>
  <si>
    <t>WATSON, JEROME</t>
  </si>
  <si>
    <t>COLLUM, G</t>
  </si>
  <si>
    <t>BASU RAY, INDRANILL</t>
  </si>
  <si>
    <t>PAPPAS, DORIS</t>
  </si>
  <si>
    <t>HULETT, MELISSA</t>
  </si>
  <si>
    <t>PATTERSON, JAMIE</t>
  </si>
  <si>
    <t>WOOD, KRISTIN</t>
  </si>
  <si>
    <t>BENNETT, BRITTANY</t>
  </si>
  <si>
    <t>GODAVARTHI, SWAPNA</t>
  </si>
  <si>
    <t>BAUGH, MIRANDA</t>
  </si>
  <si>
    <t>BRISTER, DONNA</t>
  </si>
  <si>
    <t>IWUJI, KELECHI</t>
  </si>
  <si>
    <t>MCKEE, STEVEN</t>
  </si>
  <si>
    <t>MOTT, BETHANY</t>
  </si>
  <si>
    <t>EASON, BRANDY</t>
  </si>
  <si>
    <t>LEONHARDT, LORI</t>
  </si>
  <si>
    <t>MANSOUR, MUNTHIR</t>
  </si>
  <si>
    <t>BAGWELL, MICHAEL</t>
  </si>
  <si>
    <t>CHANEY, JENIPHER</t>
  </si>
  <si>
    <t>MAYA, TAHIR</t>
  </si>
  <si>
    <t>CARSON, AMANDA</t>
  </si>
  <si>
    <t>DAY, AMANDA</t>
  </si>
  <si>
    <t>BRATTON, JONI</t>
  </si>
  <si>
    <t>JEFFERSON, VANESSA</t>
  </si>
  <si>
    <t>WRINKLES, BROCK</t>
  </si>
  <si>
    <t>TATE, TAMARA</t>
  </si>
  <si>
    <t>MULLIS, TRACY</t>
  </si>
  <si>
    <t>KRAIN, SUMMER</t>
  </si>
  <si>
    <t>LAUGHTER, LAURA</t>
  </si>
  <si>
    <t>BRIDGES, HEATHER</t>
  </si>
  <si>
    <t>MOSS, JACLYN</t>
  </si>
  <si>
    <t>SMITH, SHERRICA</t>
  </si>
  <si>
    <t>MATHUR, SALIL</t>
  </si>
  <si>
    <t>DUNN, STEPHANIE</t>
  </si>
  <si>
    <t>PILKINGTON, KRYSTEN</t>
  </si>
  <si>
    <t>NGUYEN, NGOC TRAN</t>
  </si>
  <si>
    <t>RAYMER, CHRIS</t>
  </si>
  <si>
    <t>SOMMER, DARREN</t>
  </si>
  <si>
    <t>ASHABRANNER, WESLEY</t>
  </si>
  <si>
    <t>FETTERS, JUDITH</t>
  </si>
  <si>
    <t>DEAS, STEVEN</t>
  </si>
  <si>
    <t>CREECH, DUSTIN</t>
  </si>
  <si>
    <t>IWUJI, JACINTA</t>
  </si>
  <si>
    <t>LUMPKIN, CHRISTINA</t>
  </si>
  <si>
    <t>HUNTER, AARON</t>
  </si>
  <si>
    <t>KHAN, ABRAR</t>
  </si>
  <si>
    <t>WILLIS, JESSICA</t>
  </si>
  <si>
    <t>PEER, WILBUR</t>
  </si>
  <si>
    <t>PATTON, DENISE</t>
  </si>
  <si>
    <t>RATHEL, MEGAN</t>
  </si>
  <si>
    <t>KHAN, GHULAM</t>
  </si>
  <si>
    <t>LEHNER, KATHRYN</t>
  </si>
  <si>
    <t>THORNELL, LIAM</t>
  </si>
  <si>
    <t>BAKER, BRIGETTE</t>
  </si>
  <si>
    <t>HOWE, DARLA</t>
  </si>
  <si>
    <t>BRADLEY, KARLI</t>
  </si>
  <si>
    <t>ERLEWINE, STEPHEN</t>
  </si>
  <si>
    <t>LYNN, WILLIAM</t>
  </si>
  <si>
    <t>PEEBLES, SAMUEL</t>
  </si>
  <si>
    <t>PATEL, PRAVIN</t>
  </si>
  <si>
    <t>CLAWSON, JODY</t>
  </si>
  <si>
    <t>MANDAVILLI, KARTIKEYA DEVARATAS</t>
  </si>
  <si>
    <t>TRENT, ALISHA</t>
  </si>
  <si>
    <t>JONES, DORINDA</t>
  </si>
  <si>
    <t>RABALAIS, CHERYL</t>
  </si>
  <si>
    <t>MASTERS, HELEN</t>
  </si>
  <si>
    <t>CLOUD, MICHAEL</t>
  </si>
  <si>
    <t>THOMAS, SARAH</t>
  </si>
  <si>
    <t>BANTONG, CHRISTY</t>
  </si>
  <si>
    <t>HUMPHREY, YVETTE</t>
  </si>
  <si>
    <t>MAHMOOD, AALIYA</t>
  </si>
  <si>
    <t>PARSONS, HAROLD</t>
  </si>
  <si>
    <t>ZAFAR, SALMAN</t>
  </si>
  <si>
    <t>KING, ALLISON</t>
  </si>
  <si>
    <t>DUVOOR, CHITHARANJAN</t>
  </si>
  <si>
    <t>NIXON, LINDSAY</t>
  </si>
  <si>
    <t>MCGUIRE, TERRA</t>
  </si>
  <si>
    <t>FALLEN, COURTNEY</t>
  </si>
  <si>
    <t>BURKS, MARY</t>
  </si>
  <si>
    <t>MCKINNEY, SHANNON</t>
  </si>
  <si>
    <t>HUSKEY, MATTHEW</t>
  </si>
  <si>
    <t>HAHN, MARK</t>
  </si>
  <si>
    <t>AFILAKA, BUKOLA</t>
  </si>
  <si>
    <t>MINSKY, MARY</t>
  </si>
  <si>
    <t>BOGGS, JOHNNA</t>
  </si>
  <si>
    <t>SMITH, FRIEDA-ANNE</t>
  </si>
  <si>
    <t>GATEN, KIMBERLY</t>
  </si>
  <si>
    <t>SARTAIN, KIMBERLEE</t>
  </si>
  <si>
    <t>HOLLAND, BRADLY</t>
  </si>
  <si>
    <t>NABORS, DEANNA</t>
  </si>
  <si>
    <t>LEAVITT, BENJAMIN</t>
  </si>
  <si>
    <t>WEST, SARAH</t>
  </si>
  <si>
    <t>SHELTON, HOLLEY</t>
  </si>
  <si>
    <t>WHITLOW, CARLISHA</t>
  </si>
  <si>
    <t>AUSTIN, TANYA</t>
  </si>
  <si>
    <t>HAMPTON, LACEE</t>
  </si>
  <si>
    <t>HARPER, ANNALEIGH</t>
  </si>
  <si>
    <t>CLARK, LINDA</t>
  </si>
  <si>
    <t>JONES, BENJAMIN</t>
  </si>
  <si>
    <t>NIEMANN, AMY</t>
  </si>
  <si>
    <t>BATES, NICOLE</t>
  </si>
  <si>
    <t>DAVIS, MONZELLE</t>
  </si>
  <si>
    <t>BAXTER, SARAH</t>
  </si>
  <si>
    <t>YINGLING, MARISA</t>
  </si>
  <si>
    <t>KING, JULIE</t>
  </si>
  <si>
    <t>WALKER, ASHLEY</t>
  </si>
  <si>
    <t>MANGLE, GEORGE</t>
  </si>
  <si>
    <t>GROOM, BRUCE</t>
  </si>
  <si>
    <t>BOZZAY, TOM</t>
  </si>
  <si>
    <t>ANDERSON, KRISTEN</t>
  </si>
  <si>
    <t>PETIOTE, FREDELY</t>
  </si>
  <si>
    <t>JONES, KYLE</t>
  </si>
  <si>
    <t>HOGAN, MARISSA</t>
  </si>
  <si>
    <t>MORRIS, JOHN</t>
  </si>
  <si>
    <t>CURTIS, TERRY</t>
  </si>
  <si>
    <t>COCHRAN, CHRISTOPHER</t>
  </si>
  <si>
    <t>KALE, SANTOSH</t>
  </si>
  <si>
    <t>WORLEY, BILLY</t>
  </si>
  <si>
    <t>RICH, PATRICIA</t>
  </si>
  <si>
    <t>ELLIS, LEIGH ANN</t>
  </si>
  <si>
    <t>PORTER, CHRISTINA</t>
  </si>
  <si>
    <t>UPCHURCH, JESSICA</t>
  </si>
  <si>
    <t>BLANSETT, LAUREN</t>
  </si>
  <si>
    <t>BERNER, GARY</t>
  </si>
  <si>
    <t>DAWSON, WENDY</t>
  </si>
  <si>
    <t>WHEATON, JANA</t>
  </si>
  <si>
    <t>BARNES-WILLS, BILLIE</t>
  </si>
  <si>
    <t>KING, JENNIFER</t>
  </si>
  <si>
    <t>HICKEY, EDITH</t>
  </si>
  <si>
    <t>SUMROK, DANIEL</t>
  </si>
  <si>
    <t>CAVERO, FERNANDO</t>
  </si>
  <si>
    <t>KELLEY, RALPH</t>
  </si>
  <si>
    <t>BECK, WILLIAM</t>
  </si>
  <si>
    <t>HAFEEZ, AHSAN</t>
  </si>
  <si>
    <t>GAMMON, WENDY</t>
  </si>
  <si>
    <t>MISTRY, SAPNA</t>
  </si>
  <si>
    <t>VOVOR-DASSU, KOMI</t>
  </si>
  <si>
    <t>LEEPER, DANIELLE</t>
  </si>
  <si>
    <t>PIATKOWSKI, CAROL</t>
  </si>
  <si>
    <t>TURNER, LAURA</t>
  </si>
  <si>
    <t>JOHNSTON, DARLA</t>
  </si>
  <si>
    <t>CHASE, KAREN</t>
  </si>
  <si>
    <t>BARRY ELLIS, KATHERINE</t>
  </si>
  <si>
    <t>WARFORD, SUZANNE</t>
  </si>
  <si>
    <t>GIRARDEAU, JACKSON</t>
  </si>
  <si>
    <t>WOODMANSEE, RAY</t>
  </si>
  <si>
    <t>HURST, NETTIE</t>
  </si>
  <si>
    <t>KAKADIA, SUNILKUMAR</t>
  </si>
  <si>
    <t>MCGRATH, CHERRY</t>
  </si>
  <si>
    <t>PEARROW, CHARLES</t>
  </si>
  <si>
    <t>JOSEPH, ERIC</t>
  </si>
  <si>
    <t>PACE, KIMBERLY</t>
  </si>
  <si>
    <t>VILLEDA, VIRGILIO</t>
  </si>
  <si>
    <t>GROSS, CHRISTOPHER</t>
  </si>
  <si>
    <t>SAMUEL, ANGEL</t>
  </si>
  <si>
    <t>RAHMAAN, SHANNA</t>
  </si>
  <si>
    <t>SPEARS, JENNIE</t>
  </si>
  <si>
    <t>HAWKS, TRAVIS</t>
  </si>
  <si>
    <t>ALLRED, MATT</t>
  </si>
  <si>
    <t>EDWARDS, RHEA</t>
  </si>
  <si>
    <t>CAGER, NIKKI</t>
  </si>
  <si>
    <t>RUCKER, LAUREN</t>
  </si>
  <si>
    <t>ATWELL, KIMBERLY</t>
  </si>
  <si>
    <t>THOMPSON, STEPHANIE</t>
  </si>
  <si>
    <t>NEOH, LIBERTY</t>
  </si>
  <si>
    <t>BAYAZED, BASSIL</t>
  </si>
  <si>
    <t>YANNIZZI, KELLY</t>
  </si>
  <si>
    <t>MEARS, MANDI</t>
  </si>
  <si>
    <t>ROBERDS, AARON</t>
  </si>
  <si>
    <t>MCKNIGHT, SARAH</t>
  </si>
  <si>
    <t>CLARK, JENNIFER</t>
  </si>
  <si>
    <t>SABA, HAMIDA</t>
  </si>
  <si>
    <t>FATIMA, SARWAT</t>
  </si>
  <si>
    <t>FORTNER, PRISCILLA</t>
  </si>
  <si>
    <t>KAUHI, MAGAN</t>
  </si>
  <si>
    <t>BUCK, AMANDA</t>
  </si>
  <si>
    <t>BETAPUDI, BINDU</t>
  </si>
  <si>
    <t>WILEY, JAMES</t>
  </si>
  <si>
    <t>ROBERSON, DELORES</t>
  </si>
  <si>
    <t>OGWO, CHERECHI</t>
  </si>
  <si>
    <t>WOLFE, JENNY</t>
  </si>
  <si>
    <t>MARKS, MATTHEW</t>
  </si>
  <si>
    <t>KILLOUGH, HEATHER</t>
  </si>
  <si>
    <t>DONHAM, RODNEY</t>
  </si>
  <si>
    <t>LOPEZ, EVA</t>
  </si>
  <si>
    <t>WILLIAMS MALONE, JENNIFER</t>
  </si>
  <si>
    <t>POLK, KIMBERLY</t>
  </si>
  <si>
    <t>HECKLE, KEERTHI</t>
  </si>
  <si>
    <t>ROBERT, RACHEL</t>
  </si>
  <si>
    <t>AVERY, DANIELLE</t>
  </si>
  <si>
    <t>WRIGHT, RANDI</t>
  </si>
  <si>
    <t>ROY, CALYSE</t>
  </si>
  <si>
    <t>WELCH, KATELAN</t>
  </si>
  <si>
    <t>OSAM, MEGAN</t>
  </si>
  <si>
    <t>GREEN, LINDSAY</t>
  </si>
  <si>
    <t>BRYANT, FLORENCE</t>
  </si>
  <si>
    <t>EDWARDS, SAMUEL</t>
  </si>
  <si>
    <t>FREEMAN, KIMBERLY</t>
  </si>
  <si>
    <t>RENFROE, JAMES</t>
  </si>
  <si>
    <t>CHEYNE, IAN</t>
  </si>
  <si>
    <t>WALKER, CARLA</t>
  </si>
  <si>
    <t>LEDFORD, MINDY</t>
  </si>
  <si>
    <t>FLEMING, KRISTEN</t>
  </si>
  <si>
    <t>WAGNER, KRISTEN</t>
  </si>
  <si>
    <t>BRYANT, BELINDA</t>
  </si>
  <si>
    <t>MASHBURN, CYNTHIA</t>
  </si>
  <si>
    <t>SORSBY, STEPHEN</t>
  </si>
  <si>
    <t>WAQAS, MUHAMMAD</t>
  </si>
  <si>
    <t>TANNEHILL, DAVID</t>
  </si>
  <si>
    <t>GRANDERSON, PETER</t>
  </si>
  <si>
    <t>ANDERSON, ANGELA</t>
  </si>
  <si>
    <t>VADEN, NICOLE</t>
  </si>
  <si>
    <t>RAMIREZ, LYNDON</t>
  </si>
  <si>
    <t>SHANAHAN, TIFFANY</t>
  </si>
  <si>
    <t>MCCREADY, REBECCA</t>
  </si>
  <si>
    <t>MOBLEY, AMBER</t>
  </si>
  <si>
    <t>ARMSTRONG, MICHELLE</t>
  </si>
  <si>
    <t>VINCENT, MARANDA</t>
  </si>
  <si>
    <t>DAILY, STACI</t>
  </si>
  <si>
    <t>DHANIREDDY, BHARAT REDDY</t>
  </si>
  <si>
    <t>WHITSON, VALERIE</t>
  </si>
  <si>
    <t>CYRIL, ELIZMARY</t>
  </si>
  <si>
    <t>DAVIS, SHERI</t>
  </si>
  <si>
    <t>GROESCHELL, CHARLES</t>
  </si>
  <si>
    <t>FERGUSON, JAMIE</t>
  </si>
  <si>
    <t>PHELPS, AMY</t>
  </si>
  <si>
    <t>BUTLER, CASEY</t>
  </si>
  <si>
    <t>HOWARD, DANA</t>
  </si>
  <si>
    <t>DAVENPORT, HANNAH</t>
  </si>
  <si>
    <t>RODRIGUEZ, ANTHONY</t>
  </si>
  <si>
    <t>BONE, JESSE</t>
  </si>
  <si>
    <t>MCCAFFERTY, LINDA</t>
  </si>
  <si>
    <t>PORTER, KEEVIA</t>
  </si>
  <si>
    <t>RING, JUNE</t>
  </si>
  <si>
    <t>JONES, KRISTY</t>
  </si>
  <si>
    <t>MCNEESE, JESSICA</t>
  </si>
  <si>
    <t>BELT, MICHAEL</t>
  </si>
  <si>
    <t>QAZI, OMAR</t>
  </si>
  <si>
    <t>CARPENTER, EMILY</t>
  </si>
  <si>
    <t>MWENDA, ANNE</t>
  </si>
  <si>
    <t>IRELAND, HAILEE</t>
  </si>
  <si>
    <t>HOMAN, SAUNDRA</t>
  </si>
  <si>
    <t>STOBAUGH, MORGAN</t>
  </si>
  <si>
    <t>FURSA, TIMOTHY</t>
  </si>
  <si>
    <t>ROCHA, DONNA</t>
  </si>
  <si>
    <t>BARBER, DARICE</t>
  </si>
  <si>
    <t>MCCORKLE, CODY</t>
  </si>
  <si>
    <t>DO, MEGAN</t>
  </si>
  <si>
    <t>TILLEY, AMBER</t>
  </si>
  <si>
    <t>AKERS, NICOLE</t>
  </si>
  <si>
    <t>THESSING, JEFF</t>
  </si>
  <si>
    <t>JAKES, ARIEL</t>
  </si>
  <si>
    <t>OMAKPOKPOSE, SHEILA</t>
  </si>
  <si>
    <t>HASTEY, DORIS</t>
  </si>
  <si>
    <t>MCMURRY, CYMBER</t>
  </si>
  <si>
    <t>BLASINGAME, LINDA</t>
  </si>
  <si>
    <t>BUFFORD, LONNA</t>
  </si>
  <si>
    <t>KOPPEIN, DAVID</t>
  </si>
  <si>
    <t>SPEIGHTS, KATHRYN</t>
  </si>
  <si>
    <t>LABONTE, JOSEPH</t>
  </si>
  <si>
    <t>POPPY, MICHAEL</t>
  </si>
  <si>
    <t>DAVIS, KRISTINA</t>
  </si>
  <si>
    <t>SCHAFF, SHELBY</t>
  </si>
  <si>
    <t>SANDERS, AMY</t>
  </si>
  <si>
    <t>PATEL, SAMIR</t>
  </si>
  <si>
    <t>MCCURDY, ASHLEY</t>
  </si>
  <si>
    <t>SHAW, STEPHANIE</t>
  </si>
  <si>
    <t>THARPE, SANDRA</t>
  </si>
  <si>
    <t>GERBER, HEATHER</t>
  </si>
  <si>
    <t>HEITMAN, ELIZABETH</t>
  </si>
  <si>
    <t>JACKSON, HUGH</t>
  </si>
  <si>
    <t>MAGHIDMAN, SAMUEL</t>
  </si>
  <si>
    <t>ELD, LINDA</t>
  </si>
  <si>
    <t>RODRIGUEZ, MARIA</t>
  </si>
  <si>
    <t>WILLIAMSON, KIRK</t>
  </si>
  <si>
    <t>CAMPBELL, SCOTT</t>
  </si>
  <si>
    <t>FOSHEE, MISTY</t>
  </si>
  <si>
    <t>MARTIN, CONCETTA</t>
  </si>
  <si>
    <t>LISENBEY, BRITTNEY</t>
  </si>
  <si>
    <t>DAVIS, DONNA</t>
  </si>
  <si>
    <t>MANATT, JOSHUA</t>
  </si>
  <si>
    <t>PACE, BRANDY</t>
  </si>
  <si>
    <t>COUCH, PRISCILLA</t>
  </si>
  <si>
    <t>DENNIS, BARBARA</t>
  </si>
  <si>
    <t>RUSSELL, ELANA</t>
  </si>
  <si>
    <t>THOMPSON, TRACY</t>
  </si>
  <si>
    <t>RAMSEY, KOREE</t>
  </si>
  <si>
    <t>HARPER, KELSEY</t>
  </si>
  <si>
    <t>DUNCAN, BRANDI</t>
  </si>
  <si>
    <t>OWEN, COURTNEY</t>
  </si>
  <si>
    <t>MCCORKLE, STEPHANIE</t>
  </si>
  <si>
    <t>CHANDLER, LIBIA</t>
  </si>
  <si>
    <t>CHUMPIA, MASON</t>
  </si>
  <si>
    <t>WILKINS, NGOZIDILENNA</t>
  </si>
  <si>
    <t>MILLER, JAMES</t>
  </si>
  <si>
    <t>BATES, ANDREW</t>
  </si>
  <si>
    <t>STRATMOEN, JOYCE</t>
  </si>
  <si>
    <t>ALLEN, SARA</t>
  </si>
  <si>
    <t>MILLER, EMILY</t>
  </si>
  <si>
    <t>KOPINSKI, KATHERINE</t>
  </si>
  <si>
    <t>MATHENIA, TINA</t>
  </si>
  <si>
    <t>BEARDEN, CLINT</t>
  </si>
  <si>
    <t>WATT, SAMANTHA</t>
  </si>
  <si>
    <t>MITCHELL, HANNAH</t>
  </si>
  <si>
    <t>ROSE, SAMANTHA</t>
  </si>
  <si>
    <t>KERSEY, JAKEELI</t>
  </si>
  <si>
    <t>STEWART, BOBBY</t>
  </si>
  <si>
    <t>HARRIS, REX</t>
  </si>
  <si>
    <t>DE VARGAS BOYER, DANIELA</t>
  </si>
  <si>
    <t>GRIFFIN, KAITLYN</t>
  </si>
  <si>
    <t>MCCLAIN, KASEY</t>
  </si>
  <si>
    <t>BROWN, INJA</t>
  </si>
  <si>
    <t>EVERHART, APRIL</t>
  </si>
  <si>
    <t>PRICE, CARRIE</t>
  </si>
  <si>
    <t>HEARNSBERGER, TIFFANY</t>
  </si>
  <si>
    <t>MCCRARY, DANA</t>
  </si>
  <si>
    <t>WILLIAMS, KIRSTIN</t>
  </si>
  <si>
    <t>ROBERTSON, JONATHAN</t>
  </si>
  <si>
    <t>BARBE, DAVID</t>
  </si>
  <si>
    <t>GIVENS, CHERYL</t>
  </si>
  <si>
    <t>WAGNON, LANE</t>
  </si>
  <si>
    <t>WELKER, JILL</t>
  </si>
  <si>
    <t>AWAD, RAMEZ</t>
  </si>
  <si>
    <t>BRASLAVSKY, SHANNON</t>
  </si>
  <si>
    <t>ALEXANDER, SHELLY</t>
  </si>
  <si>
    <t>PEARSON, COURTNEY</t>
  </si>
  <si>
    <t>SAAD, MARWAN</t>
  </si>
  <si>
    <t>MOORE, REGINA</t>
  </si>
  <si>
    <t>KNIGHT, JOHN</t>
  </si>
  <si>
    <t>ROBERTSON, AMY</t>
  </si>
  <si>
    <t>DARNELL, BULAH</t>
  </si>
  <si>
    <t>DAVI, TIMOTHY</t>
  </si>
  <si>
    <t>BROWN, KEESHA</t>
  </si>
  <si>
    <t>HILL, AMBER</t>
  </si>
  <si>
    <t>SHOALMIRE, CHARLES</t>
  </si>
  <si>
    <t>MERCER, CATHERINE</t>
  </si>
  <si>
    <t>KADALI, SWETHA</t>
  </si>
  <si>
    <t>AEILIAS, SWEETY</t>
  </si>
  <si>
    <t>JEAN, GRETA</t>
  </si>
  <si>
    <t>GIBSON, STACY</t>
  </si>
  <si>
    <t>WHITE, HANNAH</t>
  </si>
  <si>
    <t>DARNELL, KELLIE</t>
  </si>
  <si>
    <t>LUNSFORD, MARY</t>
  </si>
  <si>
    <t>ASHLEY, ALISHA</t>
  </si>
  <si>
    <t>SNOW, ALYSSA</t>
  </si>
  <si>
    <t>WIGGINTON, DAVID</t>
  </si>
  <si>
    <t>SCHAUMBURG, HONEY</t>
  </si>
  <si>
    <t>MCCULLAR, BRENNAN</t>
  </si>
  <si>
    <t>RUSHING, COURTNEY</t>
  </si>
  <si>
    <t>RAWN, MARY</t>
  </si>
  <si>
    <t>PATEL, PAYAL</t>
  </si>
  <si>
    <t>HIRSCHFELD, HANNAH</t>
  </si>
  <si>
    <t>ANDERSON, DEAN</t>
  </si>
  <si>
    <t>BRUCE, NANCY</t>
  </si>
  <si>
    <t>HARRIS, ZACHARY</t>
  </si>
  <si>
    <t>BROWNING, KIMBERLY</t>
  </si>
  <si>
    <t>CALATAYUD, BRANDI</t>
  </si>
  <si>
    <t>VENTRES, WILLIAM</t>
  </si>
  <si>
    <t>SCOTT, KIMBERLY</t>
  </si>
  <si>
    <t>ADAMS, CANDIS</t>
  </si>
  <si>
    <t>WRIGHT, AMANDA</t>
  </si>
  <si>
    <t>NUNEZ, AARON</t>
  </si>
  <si>
    <t>CRAWFORD, VALERIE</t>
  </si>
  <si>
    <t>BARR, STEFANIE</t>
  </si>
  <si>
    <t>ROGERS, DEANNA</t>
  </si>
  <si>
    <t>JONES, LISA</t>
  </si>
  <si>
    <t>CREECH, HILLARY</t>
  </si>
  <si>
    <t>RUSSELL, JOHN</t>
  </si>
  <si>
    <t>ANG POLAND, MICHELLE</t>
  </si>
  <si>
    <t>SINGH, PAHUL</t>
  </si>
  <si>
    <t>PHAM, TRI</t>
  </si>
  <si>
    <t>WEMMERUS, EDWARD</t>
  </si>
  <si>
    <t>BROWN, SHERRY</t>
  </si>
  <si>
    <t>DIXON, STACI</t>
  </si>
  <si>
    <t>ROBERTS, JON</t>
  </si>
  <si>
    <t>KIERSEY, KRISTEN</t>
  </si>
  <si>
    <t>TENKU, KEMENI</t>
  </si>
  <si>
    <t>HUTTER, DAWN</t>
  </si>
  <si>
    <t>WILLIAMS, ANNE</t>
  </si>
  <si>
    <t>TURNER, HEATHER</t>
  </si>
  <si>
    <t>CHOATE, RACHEL</t>
  </si>
  <si>
    <t>WILLIAMS, RENEE</t>
  </si>
  <si>
    <t>HOOK, MARGARET</t>
  </si>
  <si>
    <t>OWEN, MEGAN</t>
  </si>
  <si>
    <t>LAY, KAELYN</t>
  </si>
  <si>
    <t>STINNETT, AMY</t>
  </si>
  <si>
    <t>ELNAGAR, ELWALEED</t>
  </si>
  <si>
    <t>ANGULO, RACHEL</t>
  </si>
  <si>
    <t>MITCHELL, WESLEY</t>
  </si>
  <si>
    <t>KISER, PAMELA</t>
  </si>
  <si>
    <t>RAINEY, AMY</t>
  </si>
  <si>
    <t>VALENTINE, EASTON</t>
  </si>
  <si>
    <t>STANAGE, KAYLA</t>
  </si>
  <si>
    <t>READY, LAKENDRA</t>
  </si>
  <si>
    <t>DROSKE, SUSAN</t>
  </si>
  <si>
    <t>BOHM, JEANNE</t>
  </si>
  <si>
    <t>FERNANDEZ, MARIA</t>
  </si>
  <si>
    <t>BIGGERS, BRADLEY</t>
  </si>
  <si>
    <t>THORNTON, SHEREE</t>
  </si>
  <si>
    <t>KELSEY, JOHNNIE</t>
  </si>
  <si>
    <t>PERRY, BRIAN</t>
  </si>
  <si>
    <t>PATE, KIMBALL</t>
  </si>
  <si>
    <t>GUESS, CAROL</t>
  </si>
  <si>
    <t>BARTOSCH, RACHAEL</t>
  </si>
  <si>
    <t>RAISINGANI, MANISH</t>
  </si>
  <si>
    <t>LUM, JENNIFER</t>
  </si>
  <si>
    <t>CHOWDHARY, VIKAS</t>
  </si>
  <si>
    <t>BHAMARE, TANMAY</t>
  </si>
  <si>
    <t>ADAMS, MELISSA</t>
  </si>
  <si>
    <t>MALONE, EMILY</t>
  </si>
  <si>
    <t>SULLIVAN, SUSAN</t>
  </si>
  <si>
    <t>CARASUSAN, ANA</t>
  </si>
  <si>
    <t>ALEXANDER, CATHERINE</t>
  </si>
  <si>
    <t>BENTLEY, JENNIFER</t>
  </si>
  <si>
    <t>OKOYE, VIVIAN</t>
  </si>
  <si>
    <t>TOOR, KHADIJA</t>
  </si>
  <si>
    <t>EZENWA, NKIRUKA</t>
  </si>
  <si>
    <t>BURR, NATALIE</t>
  </si>
  <si>
    <t>JEFFREYS, SARAH</t>
  </si>
  <si>
    <t>ATKINS, JAMES</t>
  </si>
  <si>
    <t>LUEDLOFF, ARIANA</t>
  </si>
  <si>
    <t>ROBBINS, JESSICA</t>
  </si>
  <si>
    <t>CAREY, STEVEN</t>
  </si>
  <si>
    <t>GUNASEKARAN, INDUJA</t>
  </si>
  <si>
    <t>NELSON, RICHARD</t>
  </si>
  <si>
    <t>HUTCHISON, MICHELE</t>
  </si>
  <si>
    <t>MIGALLY, KARL</t>
  </si>
  <si>
    <t>TAS, EMIR</t>
  </si>
  <si>
    <t>DURST CANNON, JESSICA</t>
  </si>
  <si>
    <t>EL TAOUM, KATIA</t>
  </si>
  <si>
    <t>STALLINGS, TAMMY</t>
  </si>
  <si>
    <t>STILL, WILLIAM</t>
  </si>
  <si>
    <t>COCKERELL, KAITLIN</t>
  </si>
  <si>
    <t>TAYLOR, WHITNEY</t>
  </si>
  <si>
    <t>KANNAMPUZHA, JERIL</t>
  </si>
  <si>
    <t>MACK, JOANA</t>
  </si>
  <si>
    <t>AVILA, JEREMY</t>
  </si>
  <si>
    <t>BURNS, KATHERINE</t>
  </si>
  <si>
    <t>BRANSTETTER, CRISTYN</t>
  </si>
  <si>
    <t>THOMAS, MARTHA</t>
  </si>
  <si>
    <t>OBUOBI, ALICE</t>
  </si>
  <si>
    <t>VERMA, SATISH</t>
  </si>
  <si>
    <t>WASHER, LYDIA</t>
  </si>
  <si>
    <t>FILIPEK, JACOB</t>
  </si>
  <si>
    <t>DAVIS, MICHELLE</t>
  </si>
  <si>
    <t>LEE, THOMAS</t>
  </si>
  <si>
    <t>MONTGOMERY, HOLLY</t>
  </si>
  <si>
    <t>CONNAUGHTON, MICHAEL</t>
  </si>
  <si>
    <t>UMEORA, MARYJOANNE</t>
  </si>
  <si>
    <t>LIMERICK, EMILY</t>
  </si>
  <si>
    <t>MACLEOD, RACHEL</t>
  </si>
  <si>
    <t>VIRMANI, MISTY</t>
  </si>
  <si>
    <t>HIGHTOWER, VERNORA</t>
  </si>
  <si>
    <t>DAVIDE-URETA, SHERYL</t>
  </si>
  <si>
    <t>MORAN, REBECCA</t>
  </si>
  <si>
    <t>MCKELVY, RACHEL</t>
  </si>
  <si>
    <t>AHMED, AZIEZ</t>
  </si>
  <si>
    <t>BANSAL, SHIPRA</t>
  </si>
  <si>
    <t>KRAMER, MORIAH</t>
  </si>
  <si>
    <t>HURST, ADAM</t>
  </si>
  <si>
    <t>PORCHIA-WASHINGTON, AMANDA</t>
  </si>
  <si>
    <t>JAKUBOWICZ, JESSICA</t>
  </si>
  <si>
    <t>AGARWAL, NIDHI</t>
  </si>
  <si>
    <t>MORENO MUNOZ, JESUS</t>
  </si>
  <si>
    <t>POPE, JESSICA</t>
  </si>
  <si>
    <t>GLEDITSCH, DOROTHY</t>
  </si>
  <si>
    <t>CROWLEY'S RIDGE DEVELOPMENT COUNCIL, INC.</t>
  </si>
  <si>
    <t>WOODRIDGE OF WEST MEMPHIS, LLC</t>
  </si>
  <si>
    <t>BAPTIST MEMORIAL HOSPITAL- LAUDERDALE</t>
  </si>
  <si>
    <t>QUALITY LIVING CENTER, INC</t>
  </si>
  <si>
    <t>THE PUBLIC BUILDING AUTHORITY OF THE CITY OF POCAHONTAS ARKANSAS</t>
  </si>
  <si>
    <t>PREFERRED FAMILY HEALTH CARE, INC</t>
  </si>
  <si>
    <t>LIVING HOPE SOUTHEAST, LLC</t>
  </si>
  <si>
    <t>OZARK MOUNTAIN ALCOHOL RESIDENTIAL TREATMENT, INC,.</t>
  </si>
  <si>
    <t>BETTER COMMUNITY DEVELOPMENT, INC</t>
  </si>
  <si>
    <t>SALINE HOSPITAL LLC</t>
  </si>
  <si>
    <t>BURT, PEGGY</t>
  </si>
  <si>
    <t>BERGNER-MOORE, CARIANN</t>
  </si>
  <si>
    <t>FAGER, MARC</t>
  </si>
  <si>
    <t>UNDERWOOD, KERRY</t>
  </si>
  <si>
    <t>THIEDE, CHARLTON</t>
  </si>
  <si>
    <t>BRAMBLETT, SARAH</t>
  </si>
  <si>
    <t>BAKER-MONTGOMERY, LORETTA</t>
  </si>
  <si>
    <t>ROWE, AMANDA</t>
  </si>
  <si>
    <t>RUSSELL, KRISTY</t>
  </si>
  <si>
    <t>OAKLEY, SEAN</t>
  </si>
  <si>
    <t>LEE, CUTE</t>
  </si>
  <si>
    <t>ABRAHAMSON, KAREN</t>
  </si>
  <si>
    <t>CUMMINS, SHARON</t>
  </si>
  <si>
    <t>HILL, AMY</t>
  </si>
  <si>
    <t>HUDSON, MEREDITH</t>
  </si>
  <si>
    <t>KIRSCHNER, BRENTON</t>
  </si>
  <si>
    <t>ATKINSON-MURPHY, ALAINA</t>
  </si>
  <si>
    <t>SWAITE, CALLIE</t>
  </si>
  <si>
    <t>DEFEE, JACOB</t>
  </si>
  <si>
    <t>SIKES, ELIZABETH</t>
  </si>
  <si>
    <t>SCHWERDTFEGER, ELISABETH</t>
  </si>
  <si>
    <t>PASS, MICHELLE</t>
  </si>
  <si>
    <t>LEE, CHAD</t>
  </si>
  <si>
    <t>MCDANIEL, JUDSON</t>
  </si>
  <si>
    <t>COSLETT, ATHEA</t>
  </si>
  <si>
    <t>HOMISHAK, SHERI</t>
  </si>
  <si>
    <t>FORD, LASONYA</t>
  </si>
  <si>
    <t>CONNELLY, CLAYTON</t>
  </si>
  <si>
    <t>CRUZ-COLLINS, RITA</t>
  </si>
  <si>
    <t>RONNAU, SEAN</t>
  </si>
  <si>
    <t>MORROW, DUSTIN</t>
  </si>
  <si>
    <t>WHEELER, BAILEY</t>
  </si>
  <si>
    <t>PAIGE, TAMON</t>
  </si>
  <si>
    <t>LEVY, AARON</t>
  </si>
  <si>
    <t>CARTER, CONSTANCE</t>
  </si>
  <si>
    <t>TRUSSELL, JARED</t>
  </si>
  <si>
    <t>TACKETT, JANNIE</t>
  </si>
  <si>
    <t>PARKER, KRISTY</t>
  </si>
  <si>
    <t>MCGILLVRAY, CALE</t>
  </si>
  <si>
    <t>DILLEHAY, JEREMIAH</t>
  </si>
  <si>
    <t>STEPHENS, BRENDEN</t>
  </si>
  <si>
    <t>MANCILL, DAVID</t>
  </si>
  <si>
    <t>ANDERSON, BRIAN</t>
  </si>
  <si>
    <t>PAUL-TUCKER, GESSIE</t>
  </si>
  <si>
    <t>DOBBINS, CAREY</t>
  </si>
  <si>
    <t>HUNEYCUTT, ERIC</t>
  </si>
  <si>
    <t>MATZENBACHER, CURT</t>
  </si>
  <si>
    <t>ROGERS, KATHERINE</t>
  </si>
  <si>
    <t>BAYMILLER, SCOTT</t>
  </si>
  <si>
    <t>SCHAEFFER, WENDY</t>
  </si>
  <si>
    <t>EDDINGER, CHRISTINE</t>
  </si>
  <si>
    <t>WALKER, JEFFREY</t>
  </si>
  <si>
    <t>FERRAND, CHRISTOPHER</t>
  </si>
  <si>
    <t>CORNETT, NICHOLAS</t>
  </si>
  <si>
    <t>GLASSCOCK, APRIL</t>
  </si>
  <si>
    <t>PITTS, SHANNON</t>
  </si>
  <si>
    <t>HENDERSON, TERESA</t>
  </si>
  <si>
    <t>JONES, ADREA</t>
  </si>
  <si>
    <t>REED, CLAIRE</t>
  </si>
  <si>
    <t>BEAN, STEPHANIE</t>
  </si>
  <si>
    <t>JANI, URMI</t>
  </si>
  <si>
    <t>COX, ELIZABETH</t>
  </si>
  <si>
    <t>MOORE, STACEY</t>
  </si>
  <si>
    <t>MONSON, SUSAN</t>
  </si>
  <si>
    <t>POWELL, THOMAS</t>
  </si>
  <si>
    <t>MOSHER, KENYON</t>
  </si>
  <si>
    <t>BUTLER, MELISSA</t>
  </si>
  <si>
    <t>POWER, MICKEY</t>
  </si>
  <si>
    <t>MULLINS, ALICIA</t>
  </si>
  <si>
    <t>MURPHY, JOHN</t>
  </si>
  <si>
    <t>RALKER-RAND, RACHEL</t>
  </si>
  <si>
    <t>PRIDEMORE, DEBORAH</t>
  </si>
  <si>
    <t>BYNUM, DOROTHA</t>
  </si>
  <si>
    <t>GARNER, MELISSA</t>
  </si>
  <si>
    <t>GORDON, DENISE</t>
  </si>
  <si>
    <t>HOUSE, SAMUEL</t>
  </si>
  <si>
    <t>SPECK-KERN, ELIZABETH</t>
  </si>
  <si>
    <t>COLE, CHARLES</t>
  </si>
  <si>
    <t>PENROD, BRITTANY</t>
  </si>
  <si>
    <t>MCARTHUR, BRANAIE</t>
  </si>
  <si>
    <t>PEVIA, REBEKAH</t>
  </si>
  <si>
    <t>DICKESON, KARRAH</t>
  </si>
  <si>
    <t>CARPENTER, MICHELLE</t>
  </si>
  <si>
    <t>HATCHER, WESLEY</t>
  </si>
  <si>
    <t>YOUNG, SHANA</t>
  </si>
  <si>
    <t>BEASON, PEARL</t>
  </si>
  <si>
    <t>JONES, SEAN</t>
  </si>
  <si>
    <t>PASQUINZO, JULIE</t>
  </si>
  <si>
    <t>EVANS, BETHANY</t>
  </si>
  <si>
    <t>HENLEY, JOAN</t>
  </si>
  <si>
    <t>REYNOLDS, ALLISON</t>
  </si>
  <si>
    <t>LEWIS, AMELIA</t>
  </si>
  <si>
    <t>FRAY, SARAH</t>
  </si>
  <si>
    <t>DELANEY, LATASHA</t>
  </si>
  <si>
    <t>TELLEZ, MARY</t>
  </si>
  <si>
    <t>COOPER, TERRY</t>
  </si>
  <si>
    <t>ISHTIAQ, ANEEQA</t>
  </si>
  <si>
    <t>BALLARD, AMY</t>
  </si>
  <si>
    <t>MRLA, TIFFANY</t>
  </si>
  <si>
    <t>CASSINGHAM, CATHERINE</t>
  </si>
  <si>
    <t>BRIDGES, CHRISTIN</t>
  </si>
  <si>
    <t>ETCHISON, ERIC</t>
  </si>
  <si>
    <t>TERRELL, REBEKAH</t>
  </si>
  <si>
    <t>HALL, CASEY</t>
  </si>
  <si>
    <t>KRAIGER, CHARLOTTE</t>
  </si>
  <si>
    <t>MAYS, JACOB</t>
  </si>
  <si>
    <t>DUMAS, ASHLEY</t>
  </si>
  <si>
    <t>JONES, MEGAN</t>
  </si>
  <si>
    <t>CROW, DAVID</t>
  </si>
  <si>
    <t>ORSI, AELICA</t>
  </si>
  <si>
    <t>WELLS, TRACIE</t>
  </si>
  <si>
    <t>NEAL, JEFFREY</t>
  </si>
  <si>
    <t>SUBLETTE, BRADLEY</t>
  </si>
  <si>
    <t>HOOPER, MELANIE</t>
  </si>
  <si>
    <t>BOYD, ANA</t>
  </si>
  <si>
    <t>HAWKINS, SARA</t>
  </si>
  <si>
    <t>SMITH, SARA</t>
  </si>
  <si>
    <t>BURNS, JENNA</t>
  </si>
  <si>
    <t>SAMPLES, TARA</t>
  </si>
  <si>
    <t>HAYS, JASON</t>
  </si>
  <si>
    <t>WALKER, LYNNITA</t>
  </si>
  <si>
    <t>MEDDERS, JON</t>
  </si>
  <si>
    <t>LANDRENEAU, CONNIE</t>
  </si>
  <si>
    <t>THOMAS, LESLIE</t>
  </si>
  <si>
    <t>GEURIN, LAURIE</t>
  </si>
  <si>
    <t>EDOKPOLO, OSAMEDE</t>
  </si>
  <si>
    <t>AJTUN, DIANA</t>
  </si>
  <si>
    <t>PACE, CRYSTAL</t>
  </si>
  <si>
    <t>SMALL, SARA</t>
  </si>
  <si>
    <t>MENDENHALL, ANNA</t>
  </si>
  <si>
    <t>COX, ANGELA</t>
  </si>
  <si>
    <t>FERGUSON, KRISTIN</t>
  </si>
  <si>
    <t>KOPPERSMITH, CHELSEY</t>
  </si>
  <si>
    <t>WHITE, MIRANDA</t>
  </si>
  <si>
    <t>CURTNER, ERIN</t>
  </si>
  <si>
    <t>MOSES, ANGELA</t>
  </si>
  <si>
    <t>WEEKS, CANDACE</t>
  </si>
  <si>
    <t>FADDIS, JENNIFER</t>
  </si>
  <si>
    <t>CALLAHAN, TAMMY</t>
  </si>
  <si>
    <t>TAIT, ALISON</t>
  </si>
  <si>
    <t>MONTGOMERY, TAMELA</t>
  </si>
  <si>
    <t>NIMMO, LEE</t>
  </si>
  <si>
    <t>GARCIA, JOSE</t>
  </si>
  <si>
    <t>ZARLINGO, HOLLEY</t>
  </si>
  <si>
    <t>KILPATRICK, SUSAN</t>
  </si>
  <si>
    <t>COX, JUSTIN</t>
  </si>
  <si>
    <t>THOMPSON, LORI</t>
  </si>
  <si>
    <t>HUTCHINSON, CARLYE</t>
  </si>
  <si>
    <t>FREEMAN, RACHEL</t>
  </si>
  <si>
    <t>HALAMEK, JOSHUA</t>
  </si>
  <si>
    <t>SANSON, MARIA</t>
  </si>
  <si>
    <t>WAGGONER, RICHARD</t>
  </si>
  <si>
    <t>CARVAJAL, LEAH</t>
  </si>
  <si>
    <t>LAUGHLIN, MARILYN</t>
  </si>
  <si>
    <t>SKRIVANOS, MARTIN</t>
  </si>
  <si>
    <t>HARRIS, KAREN</t>
  </si>
  <si>
    <t>PERRY, JONATHAN</t>
  </si>
  <si>
    <t>WHITE, KIMBERLY</t>
  </si>
  <si>
    <t>GONZALEZ-MICHAELIS, MARTHA</t>
  </si>
  <si>
    <t>LEACH, JOHN</t>
  </si>
  <si>
    <t>MCDALE, SHAKARI</t>
  </si>
  <si>
    <t>JAMISON, JOCELYN</t>
  </si>
  <si>
    <t>SISK, BREANNA</t>
  </si>
  <si>
    <t>BRINKER, LAURA</t>
  </si>
  <si>
    <t>SWEETSER, MOLLIE</t>
  </si>
  <si>
    <t>MORRISON, SHARON</t>
  </si>
  <si>
    <t>FEW, JOSEPH</t>
  </si>
  <si>
    <t>COLDIRON, JENNIFER</t>
  </si>
  <si>
    <t>WERNER, MEGAN</t>
  </si>
  <si>
    <t>UNDERWOOD, SANDRA</t>
  </si>
  <si>
    <t>BLACKSMITH, GINGER</t>
  </si>
  <si>
    <t>WEBER, RACHEL</t>
  </si>
  <si>
    <t>WILLIAMS, CAROL</t>
  </si>
  <si>
    <t>KILLACKEY, RYAN</t>
  </si>
  <si>
    <t>HENDERSON, RENEA</t>
  </si>
  <si>
    <t>HARBERSON, RHIANNA</t>
  </si>
  <si>
    <t>JOHNSON, NOEL</t>
  </si>
  <si>
    <t>GRACE, DANIEL</t>
  </si>
  <si>
    <t>SANDERS, SHELLEY</t>
  </si>
  <si>
    <t>JAMES, MAGGIE</t>
  </si>
  <si>
    <t>BEASLEY, JEREMEY</t>
  </si>
  <si>
    <t>BOYETT, KIMBERLEY</t>
  </si>
  <si>
    <t>STORMES, CASEY</t>
  </si>
  <si>
    <t>HEMMER, AIMEE</t>
  </si>
  <si>
    <t>FREEZE, ELIZABETH</t>
  </si>
  <si>
    <t>BACON, CARISSA</t>
  </si>
  <si>
    <t>WAGNER, TONYA</t>
  </si>
  <si>
    <t>DAVIS, KIMBLE</t>
  </si>
  <si>
    <t>HOPSON-ALLEN, CHRISTINA</t>
  </si>
  <si>
    <t>EWING, CHRISTOPHER</t>
  </si>
  <si>
    <t>MITCHELL, COURTNEY</t>
  </si>
  <si>
    <t>MOSLEY, FANEISHA</t>
  </si>
  <si>
    <t>GOKARAKONDA, SRINIVASA</t>
  </si>
  <si>
    <t>GUTHRIE, SHARON</t>
  </si>
  <si>
    <t>SWINDLE, RHONDA</t>
  </si>
  <si>
    <t>IMLER, MYSTIQUE</t>
  </si>
  <si>
    <t>ALBERTS, NICOLE</t>
  </si>
  <si>
    <t>WITUCKI, MARTY</t>
  </si>
  <si>
    <t>ZURKOWSKI, THOMAS</t>
  </si>
  <si>
    <t>MARTIN, ADAM</t>
  </si>
  <si>
    <t>THEOBALD, MONICA</t>
  </si>
  <si>
    <t>CARSTEN, AMBER</t>
  </si>
  <si>
    <t>HOLLAND, TESHA</t>
  </si>
  <si>
    <t>HOPKINS, LARRY</t>
  </si>
  <si>
    <t>RICHARDSON, TERRY</t>
  </si>
  <si>
    <t>SIMS, LADETRA</t>
  </si>
  <si>
    <t>DOUGLAS, ADRIENNE</t>
  </si>
  <si>
    <t>MARTIN, CHRISTINA</t>
  </si>
  <si>
    <t>FRITCHIE, KATHERINE</t>
  </si>
  <si>
    <t>HERMAN, DANA</t>
  </si>
  <si>
    <t>BRYANT, HALEY</t>
  </si>
  <si>
    <t>THOMPSON, LISA</t>
  </si>
  <si>
    <t>BRANNON, MONICA</t>
  </si>
  <si>
    <t>ANDERSON, GEORGIA</t>
  </si>
  <si>
    <t>CAMPBELL, SARA</t>
  </si>
  <si>
    <t>LEACH, ANN</t>
  </si>
  <si>
    <t>WARNOCK, CHRISTEN</t>
  </si>
  <si>
    <t>FARRAR, CHELSEA</t>
  </si>
  <si>
    <t>ARCHIE, DANI</t>
  </si>
  <si>
    <t>IRWIN, ALTON</t>
  </si>
  <si>
    <t>WESLEY, JOYCE</t>
  </si>
  <si>
    <t>RUSSOW, ANGELA</t>
  </si>
  <si>
    <t>TAYLOR, MEGAN</t>
  </si>
  <si>
    <t>BYRD, TARANIIO</t>
  </si>
  <si>
    <t>VONGREMP, ERIC</t>
  </si>
  <si>
    <t>SEYMOUR, DANYELL</t>
  </si>
  <si>
    <t>THOMASON, MICHAEL</t>
  </si>
  <si>
    <t>WILLIAMS, DONNA</t>
  </si>
  <si>
    <t>CHESSHIR, LESLIE</t>
  </si>
  <si>
    <t>SMITTLE, ROBERT</t>
  </si>
  <si>
    <t>LIM, MOLLY</t>
  </si>
  <si>
    <t>DAWSON, LARRY</t>
  </si>
  <si>
    <t>MADDEN, ASHLEY</t>
  </si>
  <si>
    <t>BAWEJA, RAMNEESH</t>
  </si>
  <si>
    <t>HOPPER, JEANA</t>
  </si>
  <si>
    <t>SIKES, BRANDON</t>
  </si>
  <si>
    <t>BELL, THERESA</t>
  </si>
  <si>
    <t>LYNCH, HOLLY</t>
  </si>
  <si>
    <t>BUCK, SARAH</t>
  </si>
  <si>
    <t>BROWN-IRBY, SHAWONDA</t>
  </si>
  <si>
    <t>DIXON, REBEKAH</t>
  </si>
  <si>
    <t>BOYDSTUN, JACOB</t>
  </si>
  <si>
    <t>ARGO, CHRISTINA</t>
  </si>
  <si>
    <t>ROACH, KATTRINA</t>
  </si>
  <si>
    <t>LAMASTER, JENNA</t>
  </si>
  <si>
    <t>COLEMAN, TRACY</t>
  </si>
  <si>
    <t>BURTON, KRISTY</t>
  </si>
  <si>
    <t>THURMAN, BRANDON</t>
  </si>
  <si>
    <t>MOSHIER, DONNA</t>
  </si>
  <si>
    <t>DOLLINGER, TONI</t>
  </si>
  <si>
    <t>DIAZ VELAZQUEZ, ELMO</t>
  </si>
  <si>
    <t>SMITH, TAMMY</t>
  </si>
  <si>
    <t>MCCLELLAN, NOLA</t>
  </si>
  <si>
    <t>SCOTT, HOLLY</t>
  </si>
  <si>
    <t>STEVENSON-CARR, ANGELA</t>
  </si>
  <si>
    <t>KIRBY, JENNIFER</t>
  </si>
  <si>
    <t>FERGESON, ERIC</t>
  </si>
  <si>
    <t>HARPER, CHELSIE</t>
  </si>
  <si>
    <t>SMITH, AMANDA</t>
  </si>
  <si>
    <t>SIMMONS, ALLISON</t>
  </si>
  <si>
    <t>GHASSANI, WHITNEY</t>
  </si>
  <si>
    <t>VALENTINE, ANTHONY</t>
  </si>
  <si>
    <t>LEATHERWOOD, WILLIAM</t>
  </si>
  <si>
    <t>WHITMAN, VALERIE</t>
  </si>
  <si>
    <t>LAY, LINDA</t>
  </si>
  <si>
    <t>MUSE, AMY</t>
  </si>
  <si>
    <t>SEITZ, KARRAH</t>
  </si>
  <si>
    <t>MITRANI, NICHOLAS</t>
  </si>
  <si>
    <t>MIKEAL, CINDY</t>
  </si>
  <si>
    <t>STEELE, BETHANY</t>
  </si>
  <si>
    <t>LAMB, MARLA</t>
  </si>
  <si>
    <t>INMAN, AMY</t>
  </si>
  <si>
    <t>CLIFTON, GINGER</t>
  </si>
  <si>
    <t>ROBERTSON, CHRISTINE</t>
  </si>
  <si>
    <t>SELBY, BONNIE</t>
  </si>
  <si>
    <t>SMITH, FRANCES</t>
  </si>
  <si>
    <t>ELKINS, SARAH</t>
  </si>
  <si>
    <t>MOORE, CAREN</t>
  </si>
  <si>
    <t>HADDOCK, LAURA</t>
  </si>
  <si>
    <t>HEMMATI, ZAHRA</t>
  </si>
  <si>
    <t>MALOTT, JESSE</t>
  </si>
  <si>
    <t>ALLBRIGHT, SARA</t>
  </si>
  <si>
    <t>TRIMM, RONALD</t>
  </si>
  <si>
    <t>TUBBS, JENNIFER</t>
  </si>
  <si>
    <t>BAILEY, PAUL</t>
  </si>
  <si>
    <t>WINGFIELD, ALICIA</t>
  </si>
  <si>
    <t>SPERA, EDYTH</t>
  </si>
  <si>
    <t>MINTON, JESSICA</t>
  </si>
  <si>
    <t>HILL, ABIGAIL</t>
  </si>
  <si>
    <t>MURPHY, MEGHAN</t>
  </si>
  <si>
    <t>HUNTER, JAMY</t>
  </si>
  <si>
    <t>GATES, WHITNEY</t>
  </si>
  <si>
    <t>STILLWELL, ANGELA</t>
  </si>
  <si>
    <t>CARLAN, JILLIAN</t>
  </si>
  <si>
    <t>RUGGIERO, ELIZABETH</t>
  </si>
  <si>
    <t>HICKS, SHERESE</t>
  </si>
  <si>
    <t>STRICKLAND, DOUGLAS</t>
  </si>
  <si>
    <t>BACON, LORI</t>
  </si>
  <si>
    <t>GRUMMER, JACOB</t>
  </si>
  <si>
    <t>LARUE, LYNDA</t>
  </si>
  <si>
    <t>CALDWELL, LAURA</t>
  </si>
  <si>
    <t>SEARCY, JONATHAN</t>
  </si>
  <si>
    <t>DICKENS, RACHEL</t>
  </si>
  <si>
    <t>HUSTON, VICTORIA</t>
  </si>
  <si>
    <t>MAYFIELD, TIMOTHY</t>
  </si>
  <si>
    <t>WIGGINS, MARGARET</t>
  </si>
  <si>
    <t>PATTON, KATHY</t>
  </si>
  <si>
    <t>POOLE, WENDY</t>
  </si>
  <si>
    <t>PEREIRA, ANGELA</t>
  </si>
  <si>
    <t>BERRYMAN, DONNA</t>
  </si>
  <si>
    <t>WHITLEY, EMILY</t>
  </si>
  <si>
    <t>KEEFER, RICHARD</t>
  </si>
  <si>
    <t>WRAY, RALPH</t>
  </si>
  <si>
    <t>RYALS, PEGGY</t>
  </si>
  <si>
    <t>BRADBERRY, MASSIEL</t>
  </si>
  <si>
    <t>PARKER, KHARMA</t>
  </si>
  <si>
    <t>COWELL, RYAN</t>
  </si>
  <si>
    <t>MOSS, ROCHELLE</t>
  </si>
  <si>
    <t>GARLINGTON, MARY</t>
  </si>
  <si>
    <t>BANKS, LAEARTHA</t>
  </si>
  <si>
    <t>CLARK, CHRISTINE</t>
  </si>
  <si>
    <t>HUNTER, STEPHANIE</t>
  </si>
  <si>
    <t>EVANS, MICHAEL</t>
  </si>
  <si>
    <t>WILBANKS, LINDSEY</t>
  </si>
  <si>
    <t>BAKER, HEATHER</t>
  </si>
  <si>
    <t>GOMANCE, LAUREN</t>
  </si>
  <si>
    <t>PANG, JIM</t>
  </si>
  <si>
    <t>CHANDEL, VIJAYA</t>
  </si>
  <si>
    <t>BILBRUCK, TIMOTHY</t>
  </si>
  <si>
    <t>STRICKLAND, RITA</t>
  </si>
  <si>
    <t>JARBOE, DANIEL</t>
  </si>
  <si>
    <t>BONTRAGER, DANIEL</t>
  </si>
  <si>
    <t>SAYLOR, KAMIE</t>
  </si>
  <si>
    <t>MIDDLECOFF, LAUREN</t>
  </si>
  <si>
    <t>BEVER, JAMI</t>
  </si>
  <si>
    <t>SHULER, GEORGE</t>
  </si>
  <si>
    <t>ARKANSAS NEUROPSYCHOLOGY ASSOCIATES</t>
  </si>
  <si>
    <t>HATCHER, JASON</t>
  </si>
  <si>
    <t>MAKUS, WENDI</t>
  </si>
  <si>
    <t>CAMPBELL, ALLYSON</t>
  </si>
  <si>
    <t>WELCH, WILLOW</t>
  </si>
  <si>
    <t>PIAZZA, ANNA</t>
  </si>
  <si>
    <t>COTTON, JENNIFER</t>
  </si>
  <si>
    <t>GREENE, CAROLYN</t>
  </si>
  <si>
    <t>AMERSON, JASON</t>
  </si>
  <si>
    <t>ELLER, RICHARD</t>
  </si>
  <si>
    <t>CULPEPPER, SEAN</t>
  </si>
  <si>
    <t>HARMON, MYRIA</t>
  </si>
  <si>
    <t>CROWNOVER, BRENDA</t>
  </si>
  <si>
    <t>LLOYD, MATTHEW</t>
  </si>
  <si>
    <t>COBB, ASHLEY</t>
  </si>
  <si>
    <t>NEWTON, SHANNON</t>
  </si>
  <si>
    <t>FOWLER, RONEFERITI</t>
  </si>
  <si>
    <t>HENRY, KANAKA</t>
  </si>
  <si>
    <t>HOWELL, TIFFANY</t>
  </si>
  <si>
    <t>PETTIT, DAWN</t>
  </si>
  <si>
    <t>HACKNEY, LAUREN</t>
  </si>
  <si>
    <t>SKINNER, THERESE</t>
  </si>
  <si>
    <t>SCHMIDT, TANYA</t>
  </si>
  <si>
    <t>DELAPP, KATHRYN</t>
  </si>
  <si>
    <t>FLOWERS, MICHAEL</t>
  </si>
  <si>
    <t>KAUNDART, JAMES</t>
  </si>
  <si>
    <t>JOHNSON, SYLVIA</t>
  </si>
  <si>
    <t>BROWN, ASHLEY</t>
  </si>
  <si>
    <t>MAESTAS, MAURIE</t>
  </si>
  <si>
    <t>NEW CREATION PROFESSIONAL COUNSELING &amp; MANAGEMENT SERVICES, INC.</t>
  </si>
  <si>
    <t>AINSWORTH, MICHELLE</t>
  </si>
  <si>
    <t>RYALL, KERRY</t>
  </si>
  <si>
    <t>MARTS, KRISTIN</t>
  </si>
  <si>
    <t>BELFORD-OSBORNE, RONYETTA</t>
  </si>
  <si>
    <t>VUE, MAY YOUA</t>
  </si>
  <si>
    <t>SMITH, PAMELA</t>
  </si>
  <si>
    <t>FORTSON, SHARON</t>
  </si>
  <si>
    <t>FRINKLE, ASHLEY</t>
  </si>
  <si>
    <t>FULTZ, LINDSEY</t>
  </si>
  <si>
    <t>SAMAD, FAIZA</t>
  </si>
  <si>
    <t>ELLER, GARRETT</t>
  </si>
  <si>
    <t>WRIGHT, ROBYN</t>
  </si>
  <si>
    <t>WARD, CHLOE</t>
  </si>
  <si>
    <t>SMITH, WILLIS</t>
  </si>
  <si>
    <t>WALLACE, MADONNA</t>
  </si>
  <si>
    <t>BEALL, SARAH</t>
  </si>
  <si>
    <t>HOUSE, ROGER</t>
  </si>
  <si>
    <t>HENDRICKS, ANGELLA</t>
  </si>
  <si>
    <t>RIGGAN, ROBIN</t>
  </si>
  <si>
    <t>DEACON, CASEY</t>
  </si>
  <si>
    <t>GIBSON, PATRICIA</t>
  </si>
  <si>
    <t>MCLELLAN, AARON</t>
  </si>
  <si>
    <t>ROSS, NICHOLAS</t>
  </si>
  <si>
    <t>SWEETSER, MATTHEW</t>
  </si>
  <si>
    <t>PICKETT, ALYSSA</t>
  </si>
  <si>
    <t>STECKEL, ELIZABETH</t>
  </si>
  <si>
    <t>ATHA, ALISE</t>
  </si>
  <si>
    <t>HELM, JOSHAUHA</t>
  </si>
  <si>
    <t>HIGGINS, CHRISTEN</t>
  </si>
  <si>
    <t>KLINGER, HILLARY</t>
  </si>
  <si>
    <t>STORY, HEATHER</t>
  </si>
  <si>
    <t>WILLIAMS, KRISTIE</t>
  </si>
  <si>
    <t>HARRIS, MEKEL</t>
  </si>
  <si>
    <t>WOOLLY, EDWIN</t>
  </si>
  <si>
    <t>SCOTT, NAKITHA</t>
  </si>
  <si>
    <t>SCHIBI, MEGAN</t>
  </si>
  <si>
    <t>MARSH, ANGELA</t>
  </si>
  <si>
    <t>WILONS, EVAN</t>
  </si>
  <si>
    <t>LONEY, MEGAN</t>
  </si>
  <si>
    <t>GIPSON, LINDSEY</t>
  </si>
  <si>
    <t>KNIGHT, CARLA</t>
  </si>
  <si>
    <t>BOAZ, ANTHONY</t>
  </si>
  <si>
    <t>CARTER, CANDACE</t>
  </si>
  <si>
    <t>BRAND, ROSE</t>
  </si>
  <si>
    <t>BUTLER, SARA</t>
  </si>
  <si>
    <t>SHERROD, THERESA</t>
  </si>
  <si>
    <t>WOOTEN, ROBERT</t>
  </si>
  <si>
    <t>WILSON, BRETT</t>
  </si>
  <si>
    <t>MERRILL, HOPE</t>
  </si>
  <si>
    <t>THIBODEAUX, CHRISTINA</t>
  </si>
  <si>
    <t>WREN, TERESA</t>
  </si>
  <si>
    <t>NALL, STEVEN</t>
  </si>
  <si>
    <t>FANCHER, REBECCA</t>
  </si>
  <si>
    <t>CARTER, CASEY</t>
  </si>
  <si>
    <t>DAVIS, GREGORY</t>
  </si>
  <si>
    <t>GORDEY, BRITTANY</t>
  </si>
  <si>
    <t>ROBINSON, KITTY</t>
  </si>
  <si>
    <t>BEAVER, KENNETH</t>
  </si>
  <si>
    <t>MORGAN, DONNA</t>
  </si>
  <si>
    <t>CAMPBELL, CHRISTA</t>
  </si>
  <si>
    <t>SHY, HEATHER</t>
  </si>
  <si>
    <t>THAXTON-SMITH, LOURENE</t>
  </si>
  <si>
    <t>MCARTHUR, CODY</t>
  </si>
  <si>
    <t>PRICE, REBEKAH</t>
  </si>
  <si>
    <t>POINDEXTER, HOLLY</t>
  </si>
  <si>
    <t>WEBSTER, ILO</t>
  </si>
  <si>
    <t>KELLER, MATTHEW</t>
  </si>
  <si>
    <t>CANNON, LINDA</t>
  </si>
  <si>
    <t>HICKEY, ELIZABETH</t>
  </si>
  <si>
    <t>GARDNER, JENNIFER</t>
  </si>
  <si>
    <t>BAKER, CANDACE</t>
  </si>
  <si>
    <t>BELIN, TAMERA</t>
  </si>
  <si>
    <t>MCDOWELL, ANGELIA</t>
  </si>
  <si>
    <t>KING, MARC</t>
  </si>
  <si>
    <t>OLSON, HEATHER</t>
  </si>
  <si>
    <t>DAVIS, MATTHEW</t>
  </si>
  <si>
    <t>NORRIS, WHITNEY</t>
  </si>
  <si>
    <t>PINTO, RACHEL</t>
  </si>
  <si>
    <t>STATON, CATHY</t>
  </si>
  <si>
    <t>BOOE, MEAGAN</t>
  </si>
  <si>
    <t>HORNSTEIN, NANCY</t>
  </si>
  <si>
    <t>BROADNAX, JERRIOD</t>
  </si>
  <si>
    <t>TRIMBLE, SHAMKIA</t>
  </si>
  <si>
    <t>PATEL, JAYENDRA</t>
  </si>
  <si>
    <t>XIA, FEN</t>
  </si>
  <si>
    <t>MCCLINTON, CHRISTOPHER</t>
  </si>
  <si>
    <t>WIEDOWER, ERIC</t>
  </si>
  <si>
    <t>KAMENS, JENNIFER</t>
  </si>
  <si>
    <t>NEUFELD, ELLIS</t>
  </si>
  <si>
    <t>COURTNEY, RACHAEL</t>
  </si>
  <si>
    <t>SAVAGE, JOHN</t>
  </si>
  <si>
    <t>HILL, ERICA</t>
  </si>
  <si>
    <t>HUFFMAN, LAURA</t>
  </si>
  <si>
    <t>SNIDER, JESSICA</t>
  </si>
  <si>
    <t>SITTHI-AMORN, JITSUDA</t>
  </si>
  <si>
    <t>JEWELL, SARAH</t>
  </si>
  <si>
    <t>ISHAQ, OMAR</t>
  </si>
  <si>
    <t>RAJA, GRACE</t>
  </si>
  <si>
    <t>VAENA, DANIEL</t>
  </si>
  <si>
    <t>NAIR, RAJESH</t>
  </si>
  <si>
    <t>BATTINI, RAMAKRISHNA</t>
  </si>
  <si>
    <t>SUGAR, JANE</t>
  </si>
  <si>
    <t>GLAZER, EVAN</t>
  </si>
  <si>
    <t>NASIR, SYED SAMEER</t>
  </si>
  <si>
    <t>BALFOUR, ERIC</t>
  </si>
  <si>
    <t>MADDEN, RENEE</t>
  </si>
  <si>
    <t>KIM, THOMAS</t>
  </si>
  <si>
    <t>BERGAMINI, ROBERT</t>
  </si>
  <si>
    <t>NURSING AND REHABILITATION CENTER AT GOOD SHEPHERD LLC</t>
  </si>
  <si>
    <t>SPRING BROOK HEALTH &amp; REHAB CENTER, LLC</t>
  </si>
  <si>
    <t>GNNC, INC</t>
  </si>
  <si>
    <t>LINROCK HEALTHCARE &amp; REHABILITATION CENTER LLC</t>
  </si>
  <si>
    <t>CNNC, INC</t>
  </si>
  <si>
    <t>FANNIN COUNTY HOSPITAL AUTHORITY</t>
  </si>
  <si>
    <t>LAUREL BROOK HEALTHCARE &amp; REHABILITATION CENTER LLC</t>
  </si>
  <si>
    <t>CHAPEL RIDGE NURSING CENTER, LLC</t>
  </si>
  <si>
    <t>HIGHLANDS OF FORT SMITH HOLDINGS LLC</t>
  </si>
  <si>
    <t>DIERKS HEALTHCARE &amp; REHABILITATION CENTER LLC</t>
  </si>
  <si>
    <t>MANILA NURSING AND REHABILITATION CENTER, INC.</t>
  </si>
  <si>
    <t>THE WOODS OF MONTICELLO HEALTH AND REHABILITATION, LLC</t>
  </si>
  <si>
    <t>SLNC, INC</t>
  </si>
  <si>
    <t>SPRING PLACE HEALTHCARE &amp; REHABILITATION CENTER LLC</t>
  </si>
  <si>
    <t>LONOKE HEALTHCARE CENTER AND REHABILITATION FACILITY LLC</t>
  </si>
  <si>
    <t>SEARCY HOLDINGS LLC</t>
  </si>
  <si>
    <t>JBNC, INC.</t>
  </si>
  <si>
    <t>BROADWAY HEALTH HOLDINGS LLC</t>
  </si>
  <si>
    <t>POPLAR OAKS REHABILITATION AND HEALTHCARE CENTER, LLC</t>
  </si>
  <si>
    <t>WHITE HALL HOLDINGS LLC</t>
  </si>
  <si>
    <t>WRNC INC</t>
  </si>
  <si>
    <t>AFNC, INC.</t>
  </si>
  <si>
    <t>HERITAGE MANOR STRATMORE NURSING &amp; REHABILITATION CENTER LLC</t>
  </si>
  <si>
    <t>LAKESIDE NURSING AND REHABILITATION CENTER, INC.</t>
  </si>
  <si>
    <t>TIMBERLANE CARE AND REHABILITATION CENTER, LLC</t>
  </si>
  <si>
    <t>SEQUOYAH COUNTY CITY OF SALLISAW HOSPITAL AUTHORITY</t>
  </si>
  <si>
    <t>CREEKSIDE HEALTH HOLDINGS LLC</t>
  </si>
  <si>
    <t>HIGHLANDS OF NORTH LITTLE ROCK JOHN ASHLEY HOLDINGS LLC</t>
  </si>
  <si>
    <t>CHEROKEE COUNTY NURSING CENTER INC</t>
  </si>
  <si>
    <t>JONESBORO CARE AND REHABILITATION CENTER, LLC</t>
  </si>
  <si>
    <t>HERITAGE OF HOT SPRINGS HOLDINGS, LLC</t>
  </si>
  <si>
    <t>LITTLE RIVER MEDICAL CENTER, INC.</t>
  </si>
  <si>
    <t>HLNC, INC</t>
  </si>
  <si>
    <t>STAP, INC.</t>
  </si>
  <si>
    <t>KMJ ENTERPRISES FIANNA HILLS LLC</t>
  </si>
  <si>
    <t>ST. MICHAEL'S PLACE, INC.</t>
  </si>
  <si>
    <t>MAGNOLIA HEALTH HOLDINGS LLC</t>
  </si>
  <si>
    <t>JONESBORO HOLDINGS LLC</t>
  </si>
  <si>
    <t>BATESVILLE HOLDINGS LLC</t>
  </si>
  <si>
    <t>WESTWOOD HEALTH AND REHAB, INC.</t>
  </si>
  <si>
    <t>EUFAULA CARE CENTER INC</t>
  </si>
  <si>
    <t>OCNC, INC.</t>
  </si>
  <si>
    <t>PARKS EDGE CARE CENTER INC</t>
  </si>
  <si>
    <t>MADISON HEALTHCARE AND REHABILITATION CENTER LLC</t>
  </si>
  <si>
    <t>DELTA REHABILITATION AND HEALTHCARE CENTER OF CLEVELAND, LLC</t>
  </si>
  <si>
    <t>IZARD COUNTY MEDICAL CENTER, LLC</t>
  </si>
  <si>
    <t>LINDLEY HEALTHCARE AND REHABILITATION CENTER LLC</t>
  </si>
  <si>
    <t>VICTORIA EUREKA SPRINGS INC.</t>
  </si>
  <si>
    <t>MLBNC, INC.</t>
  </si>
  <si>
    <t>SNEED, JIMMY</t>
  </si>
  <si>
    <t>MYEARS, DONALD</t>
  </si>
  <si>
    <t>CHEEMA, YASER</t>
  </si>
  <si>
    <t>PARAMESWARAN, ANOOP</t>
  </si>
  <si>
    <t>EDUPUGANTI, MOHAN</t>
  </si>
  <si>
    <t>KURIAN, THOMAS</t>
  </si>
  <si>
    <t>PAUDEL, GOVINDA</t>
  </si>
  <si>
    <t>PARVATHANENI, SOUBHAGYALAKSHMI</t>
  </si>
  <si>
    <t>BIRCHEM, JESSICA</t>
  </si>
  <si>
    <t>AGARWAL, SHIV KUMAR</t>
  </si>
  <si>
    <t>RAO, ARAVIND</t>
  </si>
  <si>
    <t>NASH, GARY</t>
  </si>
  <si>
    <t>SANON, PRIYANKA</t>
  </si>
  <si>
    <t>CHOKSY, PRATIK</t>
  </si>
  <si>
    <t>ABSI, MOHAMMED</t>
  </si>
  <si>
    <t>TOBBIA, PATRICK</t>
  </si>
  <si>
    <t>ARADHYA, MAHESH</t>
  </si>
  <si>
    <t>COZART, MATTHEW</t>
  </si>
  <si>
    <t>BANSAL, SHARAD</t>
  </si>
  <si>
    <t>JOSHI, VIJAYA</t>
  </si>
  <si>
    <t>MERRITT, ROBERT</t>
  </si>
  <si>
    <t>FREIMAN, PAUL</t>
  </si>
  <si>
    <t>OGHLAKIAN, GERARD</t>
  </si>
  <si>
    <t>DHANJAL, ASHU</t>
  </si>
  <si>
    <t>HAWKINS, JOHN</t>
  </si>
  <si>
    <t>STRATMANN, HENRY</t>
  </si>
  <si>
    <t>TUKAYE, DEEPALI</t>
  </si>
  <si>
    <t>VARGAS ESTRADA, ANDRES</t>
  </si>
  <si>
    <t>TATA, NAZNEEN</t>
  </si>
  <si>
    <t>NORRED, TROY</t>
  </si>
  <si>
    <t>BAKER, BONNIE</t>
  </si>
  <si>
    <t>GHOSHEH, YAZAN</t>
  </si>
  <si>
    <t>REBOLLEDO, MICHAEL</t>
  </si>
  <si>
    <t>MARCINIAK, DOUGLAS</t>
  </si>
  <si>
    <t>SWAMINATHAN, NITHYA</t>
  </si>
  <si>
    <t>JASKEY, DAVID</t>
  </si>
  <si>
    <t>HALL, CHRISTOPHER</t>
  </si>
  <si>
    <t>BRACY, KRISTEN</t>
  </si>
  <si>
    <t>CUNNINGHAM, SHELBY</t>
  </si>
  <si>
    <t>TALBOT, ABIGAIL</t>
  </si>
  <si>
    <t>WHITE, ALEXIS</t>
  </si>
  <si>
    <t>DRIVER, TERYN</t>
  </si>
  <si>
    <t>GOODWIN, JULIA</t>
  </si>
  <si>
    <t>TAYLOR, BRENNAN</t>
  </si>
  <si>
    <t>CARPINO, STEPHANIE</t>
  </si>
  <si>
    <t>BROWNING, JOSEPH</t>
  </si>
  <si>
    <t>VELUSWAMY, HEMANTH</t>
  </si>
  <si>
    <t>ARGOTI TORRES, PEDRO</t>
  </si>
  <si>
    <t>OSWALT, LORIE</t>
  </si>
  <si>
    <t>CESARE, CARIE</t>
  </si>
  <si>
    <t>SANTA CRUZ TERRAZAS, MARINA</t>
  </si>
  <si>
    <t>PHINEHAS, RAMONA</t>
  </si>
  <si>
    <t>SMITH, EBONY</t>
  </si>
  <si>
    <t>MURPHY, IRA</t>
  </si>
  <si>
    <t>YEAGER, RENEE</t>
  </si>
  <si>
    <t>BEAL, KATIE</t>
  </si>
  <si>
    <t>BENNETT, DONNA</t>
  </si>
  <si>
    <t>DUBOIS, DOMINIQUE</t>
  </si>
  <si>
    <t>HEULITT, LINDSAY</t>
  </si>
  <si>
    <t>AMAGWULA, TOCHI</t>
  </si>
  <si>
    <t>WHITTINGTON, JULIE</t>
  </si>
  <si>
    <t>CORLE, ALDON</t>
  </si>
  <si>
    <t>HOEKSTRA, CAROLYN</t>
  </si>
  <si>
    <t>BATTALA, NAGA</t>
  </si>
  <si>
    <t>STRODE, STEPHANIE</t>
  </si>
  <si>
    <t>COTHERN, TERESA</t>
  </si>
  <si>
    <t>DENNIS, RONNIE</t>
  </si>
  <si>
    <t>GILLILAND, MARIAN</t>
  </si>
  <si>
    <t>TAYLOR, CHAD</t>
  </si>
  <si>
    <t>ROBINETT, JOHN</t>
  </si>
  <si>
    <t>PITMAN, THOMAS</t>
  </si>
  <si>
    <t>ASTIN, MARC</t>
  </si>
  <si>
    <t>HARRISON, WILLIAM</t>
  </si>
  <si>
    <t>GIBBS, SHELLY</t>
  </si>
  <si>
    <t>BROWN, DARRELL</t>
  </si>
  <si>
    <t>JUAREZ, DIANNA</t>
  </si>
  <si>
    <t>MUDDASSIR, KHAWAJA</t>
  </si>
  <si>
    <t>EVANS, JEFFREY</t>
  </si>
  <si>
    <t>SHEIKH, MUHAMMAD</t>
  </si>
  <si>
    <t>WILDS, NATHAN</t>
  </si>
  <si>
    <t>SANDERS, CATHERINE</t>
  </si>
  <si>
    <t>BARTON, JULIA</t>
  </si>
  <si>
    <t>GORAYA, HARMEEN</t>
  </si>
  <si>
    <t>ORTEGA PEREZ, WILMAN</t>
  </si>
  <si>
    <t>PLISCO, MICHAEL</t>
  </si>
  <si>
    <t>QURESHI, MOHAMMAD</t>
  </si>
  <si>
    <t>SALMAN, FARIHA</t>
  </si>
  <si>
    <t>NIEGOS, FREDERICK</t>
  </si>
  <si>
    <t>BRANNICK, BENJAMIN</t>
  </si>
  <si>
    <t>HAWKINS, LAUREN</t>
  </si>
  <si>
    <t>ST FRANCIS HOUSE NWA, INC</t>
  </si>
  <si>
    <t>WARDS 3 4 &amp; 10 HOSPITAL SERVICE DISTRICT PARISH OF UNION</t>
  </si>
  <si>
    <t>THE SURGICAL HOSPITAL OF JONESBORO</t>
  </si>
  <si>
    <t>BAPTIST MEMORIAL REGIONAL REHABILITATION SERVICES INC</t>
  </si>
  <si>
    <t>CENTRAL ARKANSAS REHABILITATION ASSOCIATES, L.P.</t>
  </si>
  <si>
    <t>BAPTIST HEALTH EXTENDED CARE HOSPITAL - LITTLE ROCK, INC.</t>
  </si>
  <si>
    <t>BAPTIST MEMORIAL HOSPITAL- DESOTO</t>
  </si>
  <si>
    <t>KANURU, SRUTHI</t>
  </si>
  <si>
    <t>MUSA, SARRA</t>
  </si>
  <si>
    <t>ZANG, SONG</t>
  </si>
  <si>
    <t>COLLINS, WARREN</t>
  </si>
  <si>
    <t>GOLDRING, GLENN</t>
  </si>
  <si>
    <t>COOKE, MARCUS</t>
  </si>
  <si>
    <t>PRIESTER, WILLIAM</t>
  </si>
  <si>
    <t>MCCOLLEY, NICHOLAS</t>
  </si>
  <si>
    <t>DUNNAM, WILLIAM</t>
  </si>
  <si>
    <t>GRAVES, EMILY</t>
  </si>
  <si>
    <t>PETTY, MEGAN</t>
  </si>
  <si>
    <t>OTT, LUCAS</t>
  </si>
  <si>
    <t>BRINKLEY, DESIRAE</t>
  </si>
  <si>
    <t>VAN, THIEN</t>
  </si>
  <si>
    <t>DAVIS, FRANCES</t>
  </si>
  <si>
    <t>JERKINS, BRIAN</t>
  </si>
  <si>
    <t>POULY, SEVERIN</t>
  </si>
  <si>
    <t>SHUM, ANDREW</t>
  </si>
  <si>
    <t>SHALHOUB, JULIE</t>
  </si>
  <si>
    <t>RIDINGS, CLIFTON</t>
  </si>
  <si>
    <t>COATS, CHRISTEN</t>
  </si>
  <si>
    <t>WALLACE, KENNETH</t>
  </si>
  <si>
    <t>MENGARELLI, EDDIE</t>
  </si>
  <si>
    <t>LIPE, NATHAN</t>
  </si>
  <si>
    <t>GREENAN, JACK</t>
  </si>
  <si>
    <t>WYNN, HENRY</t>
  </si>
  <si>
    <t>OTT, MANDI</t>
  </si>
  <si>
    <t>SCOTT, WENDELL</t>
  </si>
  <si>
    <t>WHEELER, MICHAEL</t>
  </si>
  <si>
    <t>FIELDER, WILLIAM</t>
  </si>
  <si>
    <t>DUFOUR, JACOB</t>
  </si>
  <si>
    <t>IRVINE, WILLIAM</t>
  </si>
  <si>
    <t>GEORGE, FRED</t>
  </si>
  <si>
    <t>HALL, MONICA</t>
  </si>
  <si>
    <t>COATS, JEFFREY</t>
  </si>
  <si>
    <t>KOCH, JULIANNE</t>
  </si>
  <si>
    <t>MITCHELL, KIMBERLY</t>
  </si>
  <si>
    <t>VALE, STEPHANIE</t>
  </si>
  <si>
    <t>MCKNIGHT, KIRSTEN</t>
  </si>
  <si>
    <t>NULL, ELEANOR</t>
  </si>
  <si>
    <t>NORDTVEDT, ELIZABETH</t>
  </si>
  <si>
    <t>JONES, BRENT</t>
  </si>
  <si>
    <t>PERIN, ANDREW</t>
  </si>
  <si>
    <t>LEE, CHRISTOPHER</t>
  </si>
  <si>
    <t>ROOK, BRITA</t>
  </si>
  <si>
    <t>HARLAN, CHRISTOPHER</t>
  </si>
  <si>
    <t>ESKANDER, MAGY</t>
  </si>
  <si>
    <t>GUILLIAMS, ERIC</t>
  </si>
  <si>
    <t>BASHAM, KYLE</t>
  </si>
  <si>
    <t>MILLER, JACK</t>
  </si>
  <si>
    <t>RICHARDSON, TYRUN</t>
  </si>
  <si>
    <t>LOPES CANCADO MACHADO, BRUNO</t>
  </si>
  <si>
    <t>MILLER, OREN</t>
  </si>
  <si>
    <t>HEULITT, GERALD</t>
  </si>
  <si>
    <t>HURTT, ROBBIE</t>
  </si>
  <si>
    <t>MEACHAM, KENNETH</t>
  </si>
  <si>
    <t>BRUCE, ROBERT</t>
  </si>
  <si>
    <t>COOK, WILLIAM</t>
  </si>
  <si>
    <t>LAI, ROBERT</t>
  </si>
  <si>
    <t>BOYD, JARED</t>
  </si>
  <si>
    <t>VOLNER, JOSEPH</t>
  </si>
  <si>
    <t>WALLS, RAGONVA</t>
  </si>
  <si>
    <t>GLOUSE, MICHAEL</t>
  </si>
  <si>
    <t>AMIRFAIZ, SHIRIN</t>
  </si>
  <si>
    <t>RODRIGUEZ, CHRISTOPHER</t>
  </si>
  <si>
    <t>FORDJOUR, ISAAC</t>
  </si>
  <si>
    <t>MEFFORD, ANDREW</t>
  </si>
  <si>
    <t>SIMS, SHARON</t>
  </si>
  <si>
    <t>FEAVEL, MICHAEL</t>
  </si>
  <si>
    <t>DUDLEY, ELLIOTT</t>
  </si>
  <si>
    <t>CLEMMER, DEREK</t>
  </si>
  <si>
    <t>GOODMAN, AMBRIE</t>
  </si>
  <si>
    <t>PORTER, LANCE</t>
  </si>
  <si>
    <t>BEACH, KATIE</t>
  </si>
  <si>
    <t>ANDERSON, JAMES</t>
  </si>
  <si>
    <t>MORRIS, TRACY</t>
  </si>
  <si>
    <t>HASTINGS, ANNA</t>
  </si>
  <si>
    <t>GURSAKAL, JESSICA</t>
  </si>
  <si>
    <t>CHINN, HARRY</t>
  </si>
  <si>
    <t>CARDON, CREED</t>
  </si>
  <si>
    <t>TATE, TIMOTHY</t>
  </si>
  <si>
    <t>HODGE, CHASE</t>
  </si>
  <si>
    <t>HASME, ABU FAISAL</t>
  </si>
  <si>
    <t>BREAZEAL, MAX</t>
  </si>
  <si>
    <t>CURTIS, JOHN</t>
  </si>
  <si>
    <t>ADAMS, LALE</t>
  </si>
  <si>
    <t>LLOYD, WILLIAM</t>
  </si>
  <si>
    <t>MEEK, KYLE</t>
  </si>
  <si>
    <t>EMECHETE, VALENTINE</t>
  </si>
  <si>
    <t>DUCOTE, COLTEN</t>
  </si>
  <si>
    <t>MEADOWS, DAN</t>
  </si>
  <si>
    <t>BROWNE, KAYE</t>
  </si>
  <si>
    <t>LEACH, BRIAN</t>
  </si>
  <si>
    <t>WALLEY, DONALD</t>
  </si>
  <si>
    <t>EASON, DAN</t>
  </si>
  <si>
    <t>VESCOVO, BARRY</t>
  </si>
  <si>
    <t>ABBEY, DIANE</t>
  </si>
  <si>
    <t>SILVESTRI, CONNOR</t>
  </si>
  <si>
    <t>MYERS, LEE</t>
  </si>
  <si>
    <t>LEWIS, BEVERLY</t>
  </si>
  <si>
    <t>JOBE, DARRELL</t>
  </si>
  <si>
    <t>THAMES, WALTER</t>
  </si>
  <si>
    <t>FLETCHER, SIDNEY</t>
  </si>
  <si>
    <t>FLORIANI, CLAYTON</t>
  </si>
  <si>
    <t>KELLER, DOUGLAS</t>
  </si>
  <si>
    <t>BLAYLOCK, SHELBY</t>
  </si>
  <si>
    <t>HACKER, STEFAN</t>
  </si>
  <si>
    <t>SADEGHI, MEHDI</t>
  </si>
  <si>
    <t>GERHARDT, PAUL</t>
  </si>
  <si>
    <t>HOUSE, ISAAC</t>
  </si>
  <si>
    <t>MCCONNELL, THOMASON</t>
  </si>
  <si>
    <t>PHILLIPS, CRYSTAL</t>
  </si>
  <si>
    <t>MAY, GEORGE</t>
  </si>
  <si>
    <t>JACKSON, DANIEL</t>
  </si>
  <si>
    <t>HEROS, FRED</t>
  </si>
  <si>
    <t>BURKE, DENZER</t>
  </si>
  <si>
    <t>LOUD, RODRICK</t>
  </si>
  <si>
    <t>ADAIR, ROBERT</t>
  </si>
  <si>
    <t>BLAICH, GEORGE</t>
  </si>
  <si>
    <t>DUGARD, DOUGLAS</t>
  </si>
  <si>
    <t>PARKER, STACEY</t>
  </si>
  <si>
    <t>SIEGFRIED, LESLIE</t>
  </si>
  <si>
    <t>MEHTA, SAMEER</t>
  </si>
  <si>
    <t>PAYNE, DERRICK</t>
  </si>
  <si>
    <t>ANDERSON, TONYA</t>
  </si>
  <si>
    <t>WALKER, RYAN</t>
  </si>
  <si>
    <t>WEISKOPF, SCOTT</t>
  </si>
  <si>
    <t>GOLDWIN, ROBERT</t>
  </si>
  <si>
    <t>THIGPEN, TODD</t>
  </si>
  <si>
    <t>SELF, SCOTT</t>
  </si>
  <si>
    <t>NICHOLS, JOHN</t>
  </si>
  <si>
    <t>WIESNER, MICHAEL</t>
  </si>
  <si>
    <t>AVERY, JAMES</t>
  </si>
  <si>
    <t>DIETZ, KRISTIAN</t>
  </si>
  <si>
    <t>MCCORMICK, WILLIAM</t>
  </si>
  <si>
    <t>COFFEE, LOGAN</t>
  </si>
  <si>
    <t>ADAMS, HEATHER</t>
  </si>
  <si>
    <t>CHUMLEY, EDWARD</t>
  </si>
  <si>
    <t>STEELE, DAVID</t>
  </si>
  <si>
    <t>BEACH, BENJAMIN</t>
  </si>
  <si>
    <t>ROBERSON, DELOIS</t>
  </si>
  <si>
    <t>VAUGHAN, RAEGAN</t>
  </si>
  <si>
    <t>STANFORD, JON</t>
  </si>
  <si>
    <t>IJAMS, ELVIN</t>
  </si>
  <si>
    <t>MATHEWS, ELIZABETH</t>
  </si>
  <si>
    <t>CLAYTON, M</t>
  </si>
  <si>
    <t>GEROFF, CHRIS</t>
  </si>
  <si>
    <t>HARRIS, MATTHEW</t>
  </si>
  <si>
    <t>BROWN, CYNTHIA</t>
  </si>
  <si>
    <t>FRIZZELL, JEFFREY</t>
  </si>
  <si>
    <t>BARNES, JAMES</t>
  </si>
  <si>
    <t>DUMAS, KELLI</t>
  </si>
  <si>
    <t>GIBSON, RICHARD</t>
  </si>
  <si>
    <t>DIGMON, LUCY</t>
  </si>
  <si>
    <t>KESSLER, DANIEL</t>
  </si>
  <si>
    <t>WOHRMAN, JACK</t>
  </si>
  <si>
    <t>ALEXANDER, SCOTT</t>
  </si>
  <si>
    <t>BECKER, BRADLEY</t>
  </si>
  <si>
    <t>CHOW, MATTHEW</t>
  </si>
  <si>
    <t>SCHEMMER, WESLEY</t>
  </si>
  <si>
    <t>PATEL, MINESH</t>
  </si>
  <si>
    <t>ALFONSO, MARIO</t>
  </si>
  <si>
    <t>JACKSON, DANA</t>
  </si>
  <si>
    <t>SCHMIDT, BRYAN</t>
  </si>
  <si>
    <t>PROCTOR, JAMES</t>
  </si>
  <si>
    <t>BRANTON, TIFFANI</t>
  </si>
  <si>
    <t>FISH, DANIEL</t>
  </si>
  <si>
    <t>GARNER, SKYLAR</t>
  </si>
  <si>
    <t>PHIPPS, ANDREW</t>
  </si>
  <si>
    <t>MEEKINS, RICHARD</t>
  </si>
  <si>
    <t>WARREN, LESLIE</t>
  </si>
  <si>
    <t>WILLIAMS, STEPHEN</t>
  </si>
  <si>
    <t>MORRIS, KEITH</t>
  </si>
  <si>
    <t>JULIUS, QUINTIN</t>
  </si>
  <si>
    <t>WALL, RUSSELL</t>
  </si>
  <si>
    <t>FERGUSON, CHRISTOPHER</t>
  </si>
  <si>
    <t>MATHIS, VICTORIA</t>
  </si>
  <si>
    <t>HOBBS-BUCHNER, AMBER</t>
  </si>
  <si>
    <t>WRIGHT, CHRISTOPHER</t>
  </si>
  <si>
    <t>HOUSE, REUBEN</t>
  </si>
  <si>
    <t>WILLIAMS, BEN</t>
  </si>
  <si>
    <t>HOBGOOD, JOHN</t>
  </si>
  <si>
    <t>WISCHOFF, DAVID</t>
  </si>
  <si>
    <t>HODGE, GRAY</t>
  </si>
  <si>
    <t>JEU, RICHARD</t>
  </si>
  <si>
    <t>TRIMBLE, PETER</t>
  </si>
  <si>
    <t>FARRAR, MICHAEL</t>
  </si>
  <si>
    <t>BROWN, JEREMY</t>
  </si>
  <si>
    <t>BURSON, HALEY</t>
  </si>
  <si>
    <t>HOLMES, KURT</t>
  </si>
  <si>
    <t>STRINGFELLOW, LOREN</t>
  </si>
  <si>
    <t>SHERIDAN, MAUREEN</t>
  </si>
  <si>
    <t>HOOPER, STEPHEN</t>
  </si>
  <si>
    <t>WADE, JENNIFER</t>
  </si>
  <si>
    <t>LUCOVICH, JESSICA</t>
  </si>
  <si>
    <t>LINEBARIER, CHESTER</t>
  </si>
  <si>
    <t>HENDERSON, MARLON</t>
  </si>
  <si>
    <t>PUCKETT, WANDA</t>
  </si>
  <si>
    <t>JASPER, WILLIAM</t>
  </si>
  <si>
    <t>DUNAVANT, ROBERT</t>
  </si>
  <si>
    <t>LEGAN, ZACHARY</t>
  </si>
  <si>
    <t>PRINCE, JULIA</t>
  </si>
  <si>
    <t>HOLIFIELD, KARA</t>
  </si>
  <si>
    <t>HODGSON, MATTHEW</t>
  </si>
  <si>
    <t>PRICE, VINCENT</t>
  </si>
  <si>
    <t>RATHER, EDWARD</t>
  </si>
  <si>
    <t>BOWMAN, ROBERT</t>
  </si>
  <si>
    <t>WOHRMAN, ROBERT</t>
  </si>
  <si>
    <t>SIDD, JAMES</t>
  </si>
  <si>
    <t>ROBERTSON, JASON</t>
  </si>
  <si>
    <t>ATKINSON, JEFFREY</t>
  </si>
  <si>
    <t>FORD, JOHN</t>
  </si>
  <si>
    <t>DUPREE, JASON</t>
  </si>
  <si>
    <t>PALMER, ROBERT</t>
  </si>
  <si>
    <t>SAVAGE, MICHAEL</t>
  </si>
  <si>
    <t>LARKINS, KENYA</t>
  </si>
  <si>
    <t>INBODEN, WILLIAM</t>
  </si>
  <si>
    <t>AKE, ETHAN</t>
  </si>
  <si>
    <t>BALDRIDGE, WILLIAM</t>
  </si>
  <si>
    <t>FONG, NICKY</t>
  </si>
  <si>
    <t>O'NEAL, JOE</t>
  </si>
  <si>
    <t>MOORE, S. JEFF</t>
  </si>
  <si>
    <t>BANKER, ANDREW</t>
  </si>
  <si>
    <t>BLAICH, LAUREN</t>
  </si>
  <si>
    <t>SHLEWEET, JOSEPH</t>
  </si>
  <si>
    <t>DOLBERRY, JEFFERY</t>
  </si>
  <si>
    <t>EWING, LESTER</t>
  </si>
  <si>
    <t>ROSS, GRAYSON</t>
  </si>
  <si>
    <t>FERGUSON, REGINA</t>
  </si>
  <si>
    <t>TURNER, JOHN</t>
  </si>
  <si>
    <t>HILL, RICHARD</t>
  </si>
  <si>
    <t>JOHNSON, ALLYN</t>
  </si>
  <si>
    <t>HANKINS, STEVEN</t>
  </si>
  <si>
    <t>STEWART, BRADLEY</t>
  </si>
  <si>
    <t>WYMAN, BRETT</t>
  </si>
  <si>
    <t>LINDSEY, STEPHEN</t>
  </si>
  <si>
    <t>TALLEY, JOSHUA</t>
  </si>
  <si>
    <t>OLIVER, KRISTIN</t>
  </si>
  <si>
    <t>HILL, TRISTAN</t>
  </si>
  <si>
    <t>MCGEE, PATRICK</t>
  </si>
  <si>
    <t>HENSHAW, AUBREY</t>
  </si>
  <si>
    <t>EDWARDS, SCOTT</t>
  </si>
  <si>
    <t>CAMPANY, NELSON</t>
  </si>
  <si>
    <t>CRAWFORD, AUDREY</t>
  </si>
  <si>
    <t>BURGESS,JR, W</t>
  </si>
  <si>
    <t>RUMP, JODI</t>
  </si>
  <si>
    <t>HAWKINS, JAMES</t>
  </si>
  <si>
    <t>FRENCH, MICHAEL</t>
  </si>
  <si>
    <t>JONES, PERRIN</t>
  </si>
  <si>
    <t>CLARK, PAUL</t>
  </si>
  <si>
    <t>JOHNSTON, ZACHARY</t>
  </si>
  <si>
    <t>SIMMONS, JENNIFER</t>
  </si>
  <si>
    <t>PHILLIPS, SARAH</t>
  </si>
  <si>
    <t>WOOLBERT, MICHAEL</t>
  </si>
  <si>
    <t>SHEARER, TRAVIS</t>
  </si>
  <si>
    <t>WADDELL, STANLEY</t>
  </si>
  <si>
    <t>SHERMAN, EDDY</t>
  </si>
  <si>
    <t>ROWLAND, ROBERT</t>
  </si>
  <si>
    <t>ROWLAND, AMY</t>
  </si>
  <si>
    <t>DOVE, JOSEPH</t>
  </si>
  <si>
    <t>PIRANI, CARLO</t>
  </si>
  <si>
    <t>MEHRA, KOMAL</t>
  </si>
  <si>
    <t>CLARK, SHAWNA</t>
  </si>
  <si>
    <t>COVINGTON, JONATHAN</t>
  </si>
  <si>
    <t>WILLIAMS, CHRISTOPHER</t>
  </si>
  <si>
    <t>WATKINS, MIALIKA</t>
  </si>
  <si>
    <t>BLACK, JANET</t>
  </si>
  <si>
    <t>STARK, ROBERT</t>
  </si>
  <si>
    <t>WIYGUL, MARK</t>
  </si>
  <si>
    <t>AMMAL, VEENA</t>
  </si>
  <si>
    <t>BLACK, JOHNNY</t>
  </si>
  <si>
    <t>PATEL, NISHEL</t>
  </si>
  <si>
    <t>FERGUSON, WILLIAMS</t>
  </si>
  <si>
    <t>SELLERS, DORY</t>
  </si>
  <si>
    <t>CHRISTIAN, SOLOMON</t>
  </si>
  <si>
    <t>GEASLAND, JOHN</t>
  </si>
  <si>
    <t>DIES, ROSS</t>
  </si>
  <si>
    <t>BAILEY, MALCOLM</t>
  </si>
  <si>
    <t>NESBITT, MELANIE</t>
  </si>
  <si>
    <t>BOYD, MCKENZY</t>
  </si>
  <si>
    <t>WOODS, MATTHEW</t>
  </si>
  <si>
    <t>ANDREWS, JORDAN</t>
  </si>
  <si>
    <t>BRAXTON, SONIA</t>
  </si>
  <si>
    <t>WILLIAMS, ASHLEY</t>
  </si>
  <si>
    <t>DARDANO, MAURICIO</t>
  </si>
  <si>
    <t>LUDFORD, JOSHUA</t>
  </si>
  <si>
    <t>LENTS, WILLIAM</t>
  </si>
  <si>
    <t>THOMAS, MARRIO</t>
  </si>
  <si>
    <t>LEE, ELIZABETH</t>
  </si>
  <si>
    <t>PRINE, SEAN</t>
  </si>
  <si>
    <t>BALDRIDGE, JUSTIN</t>
  </si>
  <si>
    <t>SIMPSON, AARON</t>
  </si>
  <si>
    <t>NELSON, BRADLEY</t>
  </si>
  <si>
    <t>ZAKI, MINA</t>
  </si>
  <si>
    <t>LOTT, ALTON</t>
  </si>
  <si>
    <t>HOLLERMAN, DAVIDA</t>
  </si>
  <si>
    <t>HOUSE, BRITTANY</t>
  </si>
  <si>
    <t>BROWN, JACKIE</t>
  </si>
  <si>
    <t>MIDDLETON, WILLIAM</t>
  </si>
  <si>
    <t>BUSSELL, JOSEPH</t>
  </si>
  <si>
    <t>PENDLETON, RODNEY</t>
  </si>
  <si>
    <t>GREER, JOE</t>
  </si>
  <si>
    <t>WILLS, J</t>
  </si>
  <si>
    <t>TAGHAVI, MAHBOUBEH</t>
  </si>
  <si>
    <t>CHRISTENSEN, KEVIN</t>
  </si>
  <si>
    <t>COOPER, JENNIFER</t>
  </si>
  <si>
    <t>HOLCOMB, JOSHUA</t>
  </si>
  <si>
    <t>WESTON, NEIL</t>
  </si>
  <si>
    <t>MCQUEEN, VAN</t>
  </si>
  <si>
    <t>HUDSMITH, STUEART</t>
  </si>
  <si>
    <t>SALAZAR, JOSE</t>
  </si>
  <si>
    <t>YOUNG, CHARLES</t>
  </si>
  <si>
    <t>REESE, CHERYL</t>
  </si>
  <si>
    <t>RYU, JEFFREY</t>
  </si>
  <si>
    <t>KERBER, TROY</t>
  </si>
  <si>
    <t>MYERS, WARNER</t>
  </si>
  <si>
    <t>FITZHUGH, ADAM</t>
  </si>
  <si>
    <t>DENNEY, BRUCE</t>
  </si>
  <si>
    <t>FERREIRA, CIMARA</t>
  </si>
  <si>
    <t>ELLIOTT, JAMES</t>
  </si>
  <si>
    <t>BLAICH, JOHN</t>
  </si>
  <si>
    <t>COX, TOMMY</t>
  </si>
  <si>
    <t>TURNER, CLARISSA</t>
  </si>
  <si>
    <t>CLARK, DAVID</t>
  </si>
  <si>
    <t>ALEXANDER, JANITA</t>
  </si>
  <si>
    <t>STRAHM, ELGIN</t>
  </si>
  <si>
    <t>GARRETT, FLOYD</t>
  </si>
  <si>
    <t>WILCOX, CHRISTOPHER</t>
  </si>
  <si>
    <t>ROBBINS, THOMAS</t>
  </si>
  <si>
    <t>HAYGOOD, CHRISTOPHER</t>
  </si>
  <si>
    <t>HAUGHEY, COREY</t>
  </si>
  <si>
    <t>ALLISON, ERROL</t>
  </si>
  <si>
    <t>CRAIN, SARAH</t>
  </si>
  <si>
    <t>CRUMP, MISTY</t>
  </si>
  <si>
    <t>SMITH, R.</t>
  </si>
  <si>
    <t>KUNKEL, DALE</t>
  </si>
  <si>
    <t>JOHNSON, BRENT</t>
  </si>
  <si>
    <t>ADDINGTON, MARK</t>
  </si>
  <si>
    <t>MIDYETT, CLAY</t>
  </si>
  <si>
    <t>GAENSEHALS, FRANK</t>
  </si>
  <si>
    <t>BUCHMAN, WESLEY</t>
  </si>
  <si>
    <t>JOBST, KARL</t>
  </si>
  <si>
    <t>ROUSE, BRANT</t>
  </si>
  <si>
    <t>HAYNIE, CAROLINE</t>
  </si>
  <si>
    <t>GARRETT, ALEXANDRA</t>
  </si>
  <si>
    <t>LICHLITER, WAYNE</t>
  </si>
  <si>
    <t>GARDINO, ROBERT</t>
  </si>
  <si>
    <t>JENNINGS, JASON</t>
  </si>
  <si>
    <t>MESSER, TIMOTHY</t>
  </si>
  <si>
    <t>DANIEL, JENNIFER</t>
  </si>
  <si>
    <t>HEISEL, CIMONE</t>
  </si>
  <si>
    <t>TABOR-COBB, CAMILLE</t>
  </si>
  <si>
    <t>BULMANSKI, ZACHARY</t>
  </si>
  <si>
    <t>PARDO, JOHN</t>
  </si>
  <si>
    <t>BRIGHAM, CHARLES</t>
  </si>
  <si>
    <t>JOE, STEPHEN</t>
  </si>
  <si>
    <t>BISTA, BANDANA</t>
  </si>
  <si>
    <t>WALKER, MATTHEW</t>
  </si>
  <si>
    <t>DAWSON, TOYA</t>
  </si>
  <si>
    <t>CRENSHAW, LAUREN</t>
  </si>
  <si>
    <t>PAGE, KALEB</t>
  </si>
  <si>
    <t>CLARK, ALAN</t>
  </si>
  <si>
    <t>TURNIPSEED, DELLWYN</t>
  </si>
  <si>
    <t>WILLIAMS, DARREN</t>
  </si>
  <si>
    <t>ZAMBRANO, STEVEN</t>
  </si>
  <si>
    <t>SMITH, BRIAN</t>
  </si>
  <si>
    <t>SPELL, CHARLIE</t>
  </si>
  <si>
    <t>SKIDMORE, MARK</t>
  </si>
  <si>
    <t>BOUCEK, GREGORY</t>
  </si>
  <si>
    <t>WILSON, LEE</t>
  </si>
  <si>
    <t>WALKER, JOHN</t>
  </si>
  <si>
    <t>WADSWORTH, AMY</t>
  </si>
  <si>
    <t>YOUNG, STANLEY</t>
  </si>
  <si>
    <t>BRANCH, RODERICK</t>
  </si>
  <si>
    <t>REID, CAITLIN</t>
  </si>
  <si>
    <t>STAVELY, TERESA</t>
  </si>
  <si>
    <t>RAGAN, ROBERT</t>
  </si>
  <si>
    <t>MOORE, MILES</t>
  </si>
  <si>
    <t>POWELL, ASHLEY</t>
  </si>
  <si>
    <t>ZEHTABAN, JAHON</t>
  </si>
  <si>
    <t>GOLDSTEIN, SCOTT</t>
  </si>
  <si>
    <t>BARKLEY, PHILLIP</t>
  </si>
  <si>
    <t>SIFFRARD, VENIS</t>
  </si>
  <si>
    <t>NGUYEN, ALAN</t>
  </si>
  <si>
    <t>AIKMAN, DENISE</t>
  </si>
  <si>
    <t>MOUSER, KENNETH</t>
  </si>
  <si>
    <t>DALSANIA, BOB</t>
  </si>
  <si>
    <t>FOWLER, MARTIN</t>
  </si>
  <si>
    <t>THOMAS, JOHN</t>
  </si>
  <si>
    <t>PROPHETE, ADELINE</t>
  </si>
  <si>
    <t>CASTLE, WILLIAM</t>
  </si>
  <si>
    <t>WYCLIFFE, LOREDANA</t>
  </si>
  <si>
    <t>SIMMONS, RODGER</t>
  </si>
  <si>
    <t>NUNNELEE, CHRISTOPHER</t>
  </si>
  <si>
    <t>DIETZ, KAITLIN</t>
  </si>
  <si>
    <t>NORTON, JARIEL</t>
  </si>
  <si>
    <t>HOOPER, CHRISTOPHER</t>
  </si>
  <si>
    <t>REED, KEVIN</t>
  </si>
  <si>
    <t>MCALEXANDER, WILLIAM</t>
  </si>
  <si>
    <t>MARIONNEAUX, WAYNE</t>
  </si>
  <si>
    <t>QUIGG, SUZANNE</t>
  </si>
  <si>
    <t>BRANCH, JOERALD</t>
  </si>
  <si>
    <t>WINDHAM, CAROLE</t>
  </si>
  <si>
    <t>DAVENPORT, MONICA</t>
  </si>
  <si>
    <t>HARPER, MARK</t>
  </si>
  <si>
    <t>LYONS, PADMA</t>
  </si>
  <si>
    <t>SEXTON, STEPHEN</t>
  </si>
  <si>
    <t>THOMPSON, LASHUNDA</t>
  </si>
  <si>
    <t>LUSTIG, JASON</t>
  </si>
  <si>
    <t>FRANKLIN-FRESHWATER, JOYCE</t>
  </si>
  <si>
    <t>ASHLOCK, LANCE</t>
  </si>
  <si>
    <t>BILLUPS, BLAKE</t>
  </si>
  <si>
    <t>WEISS, LARRY</t>
  </si>
  <si>
    <t>KUTAS, TIMOTHY</t>
  </si>
  <si>
    <t>BLANTON, ALAN</t>
  </si>
  <si>
    <t>KAKALES, ELIZABETH</t>
  </si>
  <si>
    <t>KELTNER, GOODLOE</t>
  </si>
  <si>
    <t>DANIEL, ROBERT</t>
  </si>
  <si>
    <t>DAMRON, GILES</t>
  </si>
  <si>
    <t>MURPHY, TRISTA</t>
  </si>
  <si>
    <t>GENEUX, EMILE</t>
  </si>
  <si>
    <t>TRIPLETT, MELISSA</t>
  </si>
  <si>
    <t>ADKINS, JOSEPH</t>
  </si>
  <si>
    <t>KUTAS, PATRICK</t>
  </si>
  <si>
    <t>KLEINAITIS, VICTOR</t>
  </si>
  <si>
    <t>FINK, TERENCE</t>
  </si>
  <si>
    <t>MARTINSEN, MARK</t>
  </si>
  <si>
    <t>STEWART, JON-CHRISTIAN</t>
  </si>
  <si>
    <t>UMFRESS, CLASTIE</t>
  </si>
  <si>
    <t>BRYAN, BRAD</t>
  </si>
  <si>
    <t>PATRICK, MARC</t>
  </si>
  <si>
    <t>MARTELLO, KEVIN</t>
  </si>
  <si>
    <t>HARRIS, CLEMMISA</t>
  </si>
  <si>
    <t>COCHRAN, DAVID</t>
  </si>
  <si>
    <t>WILLARD, CHRISTIAN</t>
  </si>
  <si>
    <t>KUMAR, MONIKA</t>
  </si>
  <si>
    <t>HSIA, LAWRENCE</t>
  </si>
  <si>
    <t>KING, DEWITT</t>
  </si>
  <si>
    <t>SMITH-NICHOLS, LAUREN</t>
  </si>
  <si>
    <t>GALELLA, STEVE</t>
  </si>
  <si>
    <t>COPELAND, VINCENT</t>
  </si>
  <si>
    <t>CORNISH, RICKY</t>
  </si>
  <si>
    <t>STETZEL, ROBERT</t>
  </si>
  <si>
    <t>ALEXANDER, CARLOS</t>
  </si>
  <si>
    <t>BRADDY, JARAD</t>
  </si>
  <si>
    <t>COCHRAN, JENNIFER</t>
  </si>
  <si>
    <t>THOMPSON, STEVE</t>
  </si>
  <si>
    <t>PORTER-WILLIAMS, ANDRETTA</t>
  </si>
  <si>
    <t>KANE, WILLIAM</t>
  </si>
  <si>
    <t>JARVIS, RAYMOND</t>
  </si>
  <si>
    <t>JONES, RASONE</t>
  </si>
  <si>
    <t>CARTER, PHILIP</t>
  </si>
  <si>
    <t>HACKER, TIMOTHY</t>
  </si>
  <si>
    <t>THOMPSON, RICHARD</t>
  </si>
  <si>
    <t>CURBO, RANDY</t>
  </si>
  <si>
    <t>KIZER, DAVID</t>
  </si>
  <si>
    <t>RICK, JEFFREY</t>
  </si>
  <si>
    <t>WESTBROOK, JESSE</t>
  </si>
  <si>
    <t>SIMMONS, DANIEL</t>
  </si>
  <si>
    <t>HAYES, TERRY</t>
  </si>
  <si>
    <t>HALL, CHRISTAL</t>
  </si>
  <si>
    <t>HENRY, TRAVIS</t>
  </si>
  <si>
    <t>FOURMY, EMILY</t>
  </si>
  <si>
    <t>ZIMMEREBNER, SCOTT</t>
  </si>
  <si>
    <t>HUDSON, ROY</t>
  </si>
  <si>
    <t>MCLAURIN, JOSEPH</t>
  </si>
  <si>
    <t>BURGESS, ALLTON</t>
  </si>
  <si>
    <t>JAMES, KELLY</t>
  </si>
  <si>
    <t>ARGO, BOYD</t>
  </si>
  <si>
    <t>HEINZEN, SUSAN</t>
  </si>
  <si>
    <t>GARDNER, CHAD</t>
  </si>
  <si>
    <t>SEYER, NATHAN</t>
  </si>
  <si>
    <t>KILLINGSWORTH, MATTHEW</t>
  </si>
  <si>
    <t>ARBOR, STACIE</t>
  </si>
  <si>
    <t>JOHNSTON, DANIEL</t>
  </si>
  <si>
    <t>PRICE, ROBERT</t>
  </si>
  <si>
    <t>HUSEIN, ASHRAF</t>
  </si>
  <si>
    <t>PAYNE, JACKSON</t>
  </si>
  <si>
    <t>AGRIESTI, CHARLES</t>
  </si>
  <si>
    <t>SOBIERALSKI, JOHN</t>
  </si>
  <si>
    <t>BELL, YOLANDA</t>
  </si>
  <si>
    <t>NEWSOM-BROUGHTON, CORY</t>
  </si>
  <si>
    <t>BARKLEY, TY</t>
  </si>
  <si>
    <t>MACK, LACANAS</t>
  </si>
  <si>
    <t>PERSON, PATRICK</t>
  </si>
  <si>
    <t>BURNS, GREGORY</t>
  </si>
  <si>
    <t>POLK, BRIEN</t>
  </si>
  <si>
    <t>MCVEAN, JOHN</t>
  </si>
  <si>
    <t>PORTER, ANDREW</t>
  </si>
  <si>
    <t>SHERWANI, PALWASHA</t>
  </si>
  <si>
    <t>MARTIN, JEFF</t>
  </si>
  <si>
    <t>MACGAW, MARK</t>
  </si>
  <si>
    <t>GILBERT, MARK</t>
  </si>
  <si>
    <t>POLK, ERICA</t>
  </si>
  <si>
    <t>SHARP, KYLE</t>
  </si>
  <si>
    <t>BRIGHAM, ALLISON</t>
  </si>
  <si>
    <t>MODHVADIA, VANRAJ</t>
  </si>
  <si>
    <t>LYNCH, CHARLES</t>
  </si>
  <si>
    <t>VU, THUY-HANG</t>
  </si>
  <si>
    <t>HIGGINBOTHAM, LAWRENCE</t>
  </si>
  <si>
    <t>KINARD, MICHAEL</t>
  </si>
  <si>
    <t>ADLONG, LUKE</t>
  </si>
  <si>
    <t>HARRIS, GINA</t>
  </si>
  <si>
    <t>SCRUGGS, JEFFREY</t>
  </si>
  <si>
    <t>TALLEY, DOUGLAS</t>
  </si>
  <si>
    <t>VANDIVER, RICHARD</t>
  </si>
  <si>
    <t>HENRY, ANDREA</t>
  </si>
  <si>
    <t>MAY, VALENCIA</t>
  </si>
  <si>
    <t>JONES, DARRYL</t>
  </si>
  <si>
    <t>DRIVER, PATRICK</t>
  </si>
  <si>
    <t>CHRISTION, TRACEY</t>
  </si>
  <si>
    <t>HENRY, K</t>
  </si>
  <si>
    <t>TEHRANI, BAHMAN</t>
  </si>
  <si>
    <t>WILLS, JR, GORDON</t>
  </si>
  <si>
    <t>COSBY, SHERRYE</t>
  </si>
  <si>
    <t>LEACH, JASON</t>
  </si>
  <si>
    <t>PARRISH, MICHAEL</t>
  </si>
  <si>
    <t>BLAICH, TRAVIS</t>
  </si>
  <si>
    <t>SMITH, KATHRYN</t>
  </si>
  <si>
    <t>WEBB, ROBERT</t>
  </si>
  <si>
    <t>PULIDO, MIGUEL</t>
  </si>
  <si>
    <t>WILSON, CHARLYN</t>
  </si>
  <si>
    <t>GRAVES, LESTER</t>
  </si>
  <si>
    <t>RICHMOND, ROSIE</t>
  </si>
  <si>
    <t>SMITH, SHANE</t>
  </si>
  <si>
    <t>RAMKELAWAN, CYNTHIA</t>
  </si>
  <si>
    <t>DAVE, AJAY</t>
  </si>
  <si>
    <t>BOULDIEN, GREGORY</t>
  </si>
  <si>
    <t>WILKINSON, BRADLEY</t>
  </si>
  <si>
    <t>BRINK, JOSHUA</t>
  </si>
  <si>
    <t>MCCREARY, BRYCE</t>
  </si>
  <si>
    <t>WELLS, LARRY</t>
  </si>
  <si>
    <t>BAKELAAR, TIM</t>
  </si>
  <si>
    <t>MUSTIFUL-MARTIN, DENISE</t>
  </si>
  <si>
    <t>NEELEY, EMILY</t>
  </si>
  <si>
    <t>TRAHANT, ELISE</t>
  </si>
  <si>
    <t>HANKINS, AMANDA</t>
  </si>
  <si>
    <t>TORTORICH, ANTHONY</t>
  </si>
  <si>
    <t>COLLAZO, TAYLOR</t>
  </si>
  <si>
    <t>BLEN, MICHAEL</t>
  </si>
  <si>
    <t>ROWLAND, CHRIS</t>
  </si>
  <si>
    <t>GODAT, MITCHEL</t>
  </si>
  <si>
    <t>CHURCHWELL, CAROLINE</t>
  </si>
  <si>
    <t>MILLER, RODRIC</t>
  </si>
  <si>
    <t>PARRIS, WILLIAM</t>
  </si>
  <si>
    <t>CROWDER, DAVID</t>
  </si>
  <si>
    <t>MOORE, SANDY</t>
  </si>
  <si>
    <t>HARRIS, BRADLEY</t>
  </si>
  <si>
    <t>STEELE, BRIAN</t>
  </si>
  <si>
    <t>CLARK, KRISTIN</t>
  </si>
  <si>
    <t>HARRISON, HUNTER</t>
  </si>
  <si>
    <t>MILTON, LESLEY</t>
  </si>
  <si>
    <t>BRUNSON, KENNETH</t>
  </si>
  <si>
    <t>SARNA, THOMAS</t>
  </si>
  <si>
    <t>DORMOIS, LARRY</t>
  </si>
  <si>
    <t>COLLINS, MITCHELL</t>
  </si>
  <si>
    <t>GETMAN, CHRISTOPHER</t>
  </si>
  <si>
    <t>MACK, EDWARD</t>
  </si>
  <si>
    <t>LANE, EDWARD</t>
  </si>
  <si>
    <t>MEEK, STEFANIE</t>
  </si>
  <si>
    <t>SMITH, TODDRICK</t>
  </si>
  <si>
    <t>ROBINSON, QUINTON</t>
  </si>
  <si>
    <t>CARTER, ELLEN</t>
  </si>
  <si>
    <t>WILSON, COURTNEY</t>
  </si>
  <si>
    <t>STROOPE, BRITTANY</t>
  </si>
  <si>
    <t>COX, SUSAN</t>
  </si>
  <si>
    <t>KITCHENS, JAMES</t>
  </si>
  <si>
    <t>FISHER, JACK</t>
  </si>
  <si>
    <t>MCCANN, BILLY</t>
  </si>
  <si>
    <t>CHURCHWELL, MOLLY</t>
  </si>
  <si>
    <t>FUSON, STEVEN</t>
  </si>
  <si>
    <t>SHEPPARD, EMILY</t>
  </si>
  <si>
    <t>VINALL, CRAIG</t>
  </si>
  <si>
    <t>ABIDE, DAVID</t>
  </si>
  <si>
    <t>SELECMAN, JAMES</t>
  </si>
  <si>
    <t>WINFORD, JOHN</t>
  </si>
  <si>
    <t>HUGHES, CHARLES</t>
  </si>
  <si>
    <t>GRAVES, SHELDON</t>
  </si>
  <si>
    <t>WEIR, JOHN</t>
  </si>
  <si>
    <t>SANDUSKY, WALTER</t>
  </si>
  <si>
    <t>JONES, JOHN</t>
  </si>
  <si>
    <t>HIRSBERG, BRYANT</t>
  </si>
  <si>
    <t>WHITE, JASON</t>
  </si>
  <si>
    <t>MICHEL, JASON</t>
  </si>
  <si>
    <t>ACOSTA, JOHN</t>
  </si>
  <si>
    <t>ABIDE, ANDREW</t>
  </si>
  <si>
    <t>FALEYE, ADEOLA</t>
  </si>
  <si>
    <t>BURRISS, ANDREW</t>
  </si>
  <si>
    <t>FREEMAN, DANIEL</t>
  </si>
  <si>
    <t>NASSER, PETER</t>
  </si>
  <si>
    <t>WIYGUL, JAMES</t>
  </si>
  <si>
    <t>BATSON, JOHN</t>
  </si>
  <si>
    <t>CLINTON, KENAN</t>
  </si>
  <si>
    <t>WILKINSON, GREGORY</t>
  </si>
  <si>
    <t>ADATROW, PRADEEP</t>
  </si>
  <si>
    <t>R &amp; R MEDICAL INC</t>
  </si>
  <si>
    <t>WEST SIDE PHARMACY INCORPORATED</t>
  </si>
  <si>
    <t>VILONIA FAMILY PHARMACY INC</t>
  </si>
  <si>
    <t>CORNERSTONE PHARMACY JACKSONVILLE LLC</t>
  </si>
  <si>
    <t>ICARERX, INC</t>
  </si>
  <si>
    <t>BENZER AR 1 LLC</t>
  </si>
  <si>
    <t>WILSON PHARMACY LLC</t>
  </si>
  <si>
    <t>YOUNGS MEDICARE PHARMACY</t>
  </si>
  <si>
    <t>VILLAGE APOTHECARY, INC</t>
  </si>
  <si>
    <t>PRO CARE PHARMACY, LLC.</t>
  </si>
  <si>
    <t>WYNNE MEDICAL PHARMACY OF CROSS COUNTY INC</t>
  </si>
  <si>
    <t>COLLIER DRUG STORES, INC.</t>
  </si>
  <si>
    <t>WILSON WIL-SAV PHARMACY, INC</t>
  </si>
  <si>
    <t>TUNICA PHARMACY, INC.</t>
  </si>
  <si>
    <t>MEMPHIS HEALTH CENTER, INC</t>
  </si>
  <si>
    <t>NEWSOM FAMILY PHARMACY LLC</t>
  </si>
  <si>
    <t>NASHVILLE DRUG COMPANY</t>
  </si>
  <si>
    <t>MEDRX SPECIALTY PHARMACY, LLC.</t>
  </si>
  <si>
    <t>HENDERSON DRUGS, INC</t>
  </si>
  <si>
    <t>BEST BUY PHARMACY</t>
  </si>
  <si>
    <t>DEKALB PHARMACY LLC</t>
  </si>
  <si>
    <t>MNM PHARMACY, LLC</t>
  </si>
  <si>
    <t>WPM COMMUNITY PHARMACIES, LLC</t>
  </si>
  <si>
    <t>DOLORES' FAMILY PHARMACY, INC</t>
  </si>
  <si>
    <t>PEOPLES PHARMACY INC</t>
  </si>
  <si>
    <t>HARPSFOOD STORES, INC</t>
  </si>
  <si>
    <t>BARKLEY ENTERPRISES INC</t>
  </si>
  <si>
    <t>ENCLARA PHARMACIA, INC.</t>
  </si>
  <si>
    <t>ROSE DRUG OF CLARKSVILLE</t>
  </si>
  <si>
    <t>GRIFFINS PHARMACY INC</t>
  </si>
  <si>
    <t>RALLS ENTERPRISES INC</t>
  </si>
  <si>
    <t>AJ NILKANTH GOKUL LLC</t>
  </si>
  <si>
    <t>PPG STORE 3, LLC</t>
  </si>
  <si>
    <t>GENUINE CARE PHARMACY INC</t>
  </si>
  <si>
    <t>BARLOW PHARMACIES INC</t>
  </si>
  <si>
    <t>JARED BROWN INC</t>
  </si>
  <si>
    <t>BLANDFORD PHARMACY</t>
  </si>
  <si>
    <t>TURNER REXALL 1136 LLC</t>
  </si>
  <si>
    <t>COTTON &amp; EARLS DRUG STORES INC</t>
  </si>
  <si>
    <t>WILKARE PHARMACY LLC</t>
  </si>
  <si>
    <t>COX, ADAM</t>
  </si>
  <si>
    <t>PLANZO, RICHARD</t>
  </si>
  <si>
    <t>GARTH, NICOLE</t>
  </si>
  <si>
    <t>SPANN, KORTNEY</t>
  </si>
  <si>
    <t>MACE, JENNIFER</t>
  </si>
  <si>
    <t>KIRKSEY, LAURA</t>
  </si>
  <si>
    <t>OLIVE, TIMOTHY</t>
  </si>
  <si>
    <t>SALEEMI, FEZAN</t>
  </si>
  <si>
    <t>RILEY, KRYSTAL</t>
  </si>
  <si>
    <t>JOHNSON, KELLI</t>
  </si>
  <si>
    <t>HISER, CORINNE</t>
  </si>
  <si>
    <t>COX, BETHANY</t>
  </si>
  <si>
    <t>BATES, PAMELA</t>
  </si>
  <si>
    <t>AYLETT, WESLEY</t>
  </si>
  <si>
    <t>DOMINGUE, C</t>
  </si>
  <si>
    <t>MOORE, BRANDY</t>
  </si>
  <si>
    <t>PIERCE, BARRY</t>
  </si>
  <si>
    <t>YATES, KAREN</t>
  </si>
  <si>
    <t>TEMPLE, JAMIE</t>
  </si>
  <si>
    <t>HIPP, STACIE</t>
  </si>
  <si>
    <t>GURLEY, CONNIE</t>
  </si>
  <si>
    <t>MILLER, AMY</t>
  </si>
  <si>
    <t>POWERS, LIDWINA</t>
  </si>
  <si>
    <t>JACOBS, JENNIFER</t>
  </si>
  <si>
    <t>COX, TAMRA</t>
  </si>
  <si>
    <t>SAKARIYA, GEETABAHEN</t>
  </si>
  <si>
    <t>UNTON, CHRISTINE</t>
  </si>
  <si>
    <t>WEBB, CRYSTAL</t>
  </si>
  <si>
    <t>MCKAY, CATHY</t>
  </si>
  <si>
    <t>PARVATANENI, SRIDIVYA</t>
  </si>
  <si>
    <t>TOOKER, DEBRA</t>
  </si>
  <si>
    <t>GARNER, JOSHUA</t>
  </si>
  <si>
    <t>THOMAS, KRISTIE</t>
  </si>
  <si>
    <t>NUNN, SHAYNA</t>
  </si>
  <si>
    <t>NORMAN, ANGELA</t>
  </si>
  <si>
    <t>PATEL, MADHVI</t>
  </si>
  <si>
    <t>GARDNER, KELSI</t>
  </si>
  <si>
    <t>DAVIS, OLIVIA</t>
  </si>
  <si>
    <t>CREAMEANS, LAURA</t>
  </si>
  <si>
    <t>SIMPSON, TORONSA</t>
  </si>
  <si>
    <t>HORN, CODY</t>
  </si>
  <si>
    <t>WALKER, WILLIAM</t>
  </si>
  <si>
    <t>COHN, ARTHUR</t>
  </si>
  <si>
    <t>PRITCHARD, SHARON</t>
  </si>
  <si>
    <t>FENNER, PAIGE</t>
  </si>
  <si>
    <t>BROWN, JANE</t>
  </si>
  <si>
    <t>MANATT, KAYLA</t>
  </si>
  <si>
    <t>ADSUMILLI, JYOTHI</t>
  </si>
  <si>
    <t>DOLLAR, KAYLA</t>
  </si>
  <si>
    <t>APPALANENI, SRI RAMA MURTHY</t>
  </si>
  <si>
    <t>DEVORE, KATERINA</t>
  </si>
  <si>
    <t>KHAN, DAUD</t>
  </si>
  <si>
    <t>CODY, STEPHANIE</t>
  </si>
  <si>
    <t>ROBNETT, RHONDA</t>
  </si>
  <si>
    <t>ADAMS, LANITRA</t>
  </si>
  <si>
    <t>KOPP, SARA</t>
  </si>
  <si>
    <t>PALADINO, NICHOLE</t>
  </si>
  <si>
    <t>LITTLE, SHARON</t>
  </si>
  <si>
    <t>BRUZATORI, MICHELLE</t>
  </si>
  <si>
    <t>NAIR, SUNIL</t>
  </si>
  <si>
    <t>STONE, MELANIE</t>
  </si>
  <si>
    <t>COCHRAN, TONI</t>
  </si>
  <si>
    <t>ADAMS, VANESSA</t>
  </si>
  <si>
    <t>JANES, COLLEEN</t>
  </si>
  <si>
    <t>MADDEN, SYDNEY</t>
  </si>
  <si>
    <t>WICKS, LOUISA</t>
  </si>
  <si>
    <t>RODRIGUEZ-PEREZ, SARAHI</t>
  </si>
  <si>
    <t>ANDRES, MEGAN</t>
  </si>
  <si>
    <t>DUTTON, DONNA</t>
  </si>
  <si>
    <t>BROWN, ANNE</t>
  </si>
  <si>
    <t>GATES, KIMBERLY</t>
  </si>
  <si>
    <t>BULLOCK, CHANEL</t>
  </si>
  <si>
    <t>PARSLEY, AARON</t>
  </si>
  <si>
    <t>HARTWIG, HILARY</t>
  </si>
  <si>
    <t>WALLACE, JOSHUA</t>
  </si>
  <si>
    <t>EWING, TRAVIS</t>
  </si>
  <si>
    <t>OLIVER, ANDREW</t>
  </si>
  <si>
    <t>SCANTLING, WHITNEY</t>
  </si>
  <si>
    <t>WHITE, AMY</t>
  </si>
  <si>
    <t>LABONTE, JUDY</t>
  </si>
  <si>
    <t>LANDRUM, CARIE</t>
  </si>
  <si>
    <t>SALAAM, CHRISTY</t>
  </si>
  <si>
    <t>CHARLEMAGNE, MISTIE</t>
  </si>
  <si>
    <t>HENDERSON, MICHELLE</t>
  </si>
  <si>
    <t>JONES, RAINIE</t>
  </si>
  <si>
    <t>RUCKER, MARK</t>
  </si>
  <si>
    <t>PICKREN, CRAIG</t>
  </si>
  <si>
    <t>WILSON, LISA</t>
  </si>
  <si>
    <t>MERIDETH, BARBARA</t>
  </si>
  <si>
    <t>CAYDE LESLIE, MAYUMI</t>
  </si>
  <si>
    <t>GASTON, ISAAC</t>
  </si>
  <si>
    <t>OWENS, DANIELLE</t>
  </si>
  <si>
    <t>SCOTT, STACY</t>
  </si>
  <si>
    <t>COX, OLIVIA</t>
  </si>
  <si>
    <t>BRUMMETT, SHAWN</t>
  </si>
  <si>
    <t>ABD ALQADER, MAI</t>
  </si>
  <si>
    <t>SHEDDAN, ANGELA</t>
  </si>
  <si>
    <t>HOLCOMB, TIFFANY</t>
  </si>
  <si>
    <t>NINEMIRE, VENITA</t>
  </si>
  <si>
    <t>ROHRER, STEPHEN</t>
  </si>
  <si>
    <t>ANDERSON, JESSICA</t>
  </si>
  <si>
    <t>COLEMAN, NAKILLE</t>
  </si>
  <si>
    <t>WILLIAMS, CARRERA</t>
  </si>
  <si>
    <t>WHITE, ATRICIA</t>
  </si>
  <si>
    <t>BLOCH, LAUREN</t>
  </si>
  <si>
    <t>ROBERTS, WENDY</t>
  </si>
  <si>
    <t>HOUSTON, DANA</t>
  </si>
  <si>
    <t>HALL, DAVID</t>
  </si>
  <si>
    <t>WILLIAMS, SHERRY</t>
  </si>
  <si>
    <t>TENNYSON, JOSHUA</t>
  </si>
  <si>
    <t>GREEN, TARA</t>
  </si>
  <si>
    <t>STRAIN, DAWN</t>
  </si>
  <si>
    <t>GUILLERMO, ENRIQUE</t>
  </si>
  <si>
    <t>HINELY, KELLEY</t>
  </si>
  <si>
    <t>FREDLUND, FREDRIC</t>
  </si>
  <si>
    <t>JESTER, KELLY</t>
  </si>
  <si>
    <t>YANG, FAN</t>
  </si>
  <si>
    <t>COOKE, RITA</t>
  </si>
  <si>
    <t>FONTAINE, THERESA</t>
  </si>
  <si>
    <t>MCINTIRE, JORDAN</t>
  </si>
  <si>
    <t>MCWILLIAMS, JAMES</t>
  </si>
  <si>
    <t>LYBRAND, THERESA</t>
  </si>
  <si>
    <t>KNIGHT, KATHERINE</t>
  </si>
  <si>
    <t>FRANCISCO, JODY</t>
  </si>
  <si>
    <t>RING, DANIEL</t>
  </si>
  <si>
    <t>PEMBERTON, NANCY</t>
  </si>
  <si>
    <t>DUNCAN, CASEY</t>
  </si>
  <si>
    <t>VANN, KIMBERLY</t>
  </si>
  <si>
    <t>SIEBENMORGEN, LACHAN</t>
  </si>
  <si>
    <t>LAMON, MELISSA</t>
  </si>
  <si>
    <t>LANGDON, LAURA</t>
  </si>
  <si>
    <t>MAY, PAMELA</t>
  </si>
  <si>
    <t>KENT, MARIE</t>
  </si>
  <si>
    <t>TESTA, MICHAEL</t>
  </si>
  <si>
    <t>VARGAS, GINA</t>
  </si>
  <si>
    <t>HEWLETT, HALEY</t>
  </si>
  <si>
    <t>HARP, EMMA</t>
  </si>
  <si>
    <t>MCGOWAN, PATRICK</t>
  </si>
  <si>
    <t>BEGLEY, RHONDA</t>
  </si>
  <si>
    <t>CHRISCO, PAMELA</t>
  </si>
  <si>
    <t>WILLIAMS, ROBYN</t>
  </si>
  <si>
    <t>ROSEBERRY, TERESA</t>
  </si>
  <si>
    <t>DAIDONE, PAUL</t>
  </si>
  <si>
    <t>HANCOCK, LAUREN</t>
  </si>
  <si>
    <t>QUITORIANO, ERICA</t>
  </si>
  <si>
    <t>LOGAN, URSULA</t>
  </si>
  <si>
    <t>HEARNSBERGER MCGUIRE, MELANIE</t>
  </si>
  <si>
    <t>TARR, CHARITY</t>
  </si>
  <si>
    <t>PALADINO, ELIZABETH</t>
  </si>
  <si>
    <t>JONES, SHALETHA</t>
  </si>
  <si>
    <t>SECKINGTON, NICOLE</t>
  </si>
  <si>
    <t>ARSHAD, MAHREEN</t>
  </si>
  <si>
    <t>RHEW, TERESA</t>
  </si>
  <si>
    <t>PEARCE, SARAH</t>
  </si>
  <si>
    <t>BURRIS, BRITTANY</t>
  </si>
  <si>
    <t>NOEL, BILLY</t>
  </si>
  <si>
    <t>CARRION, FARRAH</t>
  </si>
  <si>
    <t>BAXTER, TAMEISHA</t>
  </si>
  <si>
    <t>FAWBUSH, NATHAN</t>
  </si>
  <si>
    <t>NEAL, RACHEL</t>
  </si>
  <si>
    <t>SLOAN, SHELBI</t>
  </si>
  <si>
    <t>WATSON, ELIZABETH</t>
  </si>
  <si>
    <t>VILENSKY, VYACHESLAV</t>
  </si>
  <si>
    <t>ROWE, JENNIFER</t>
  </si>
  <si>
    <t>GARNER, SAMANTHA</t>
  </si>
  <si>
    <t>FRYMAN, DANA</t>
  </si>
  <si>
    <t>BRIDGER, CRYSTAL</t>
  </si>
  <si>
    <t>EDWARDS, FRANK</t>
  </si>
  <si>
    <t>CASEY, CATHERINE</t>
  </si>
  <si>
    <t>JOHNSON, LISA</t>
  </si>
  <si>
    <t>GLENN, ASHTON</t>
  </si>
  <si>
    <t>TURNER, BARBARA</t>
  </si>
  <si>
    <t>MORA RASQUIN, GEORGES</t>
  </si>
  <si>
    <t>WINTERSTERN, AARON</t>
  </si>
  <si>
    <t>ROGERS, HOLLY</t>
  </si>
  <si>
    <t>WILLIAMS, ARNETTA</t>
  </si>
  <si>
    <t>HOPPER, JARAD</t>
  </si>
  <si>
    <t>BAIN, WILLIAM</t>
  </si>
  <si>
    <t>HERZING, LISA</t>
  </si>
  <si>
    <t>CLARK, KELLY</t>
  </si>
  <si>
    <t>WYLIE, JULIE</t>
  </si>
  <si>
    <t>RANEY, WENDY</t>
  </si>
  <si>
    <t>FRANKLIN, WHITNEY</t>
  </si>
  <si>
    <t>ROBINSON, THOMAS</t>
  </si>
  <si>
    <t>KHAN, KHAIRUNNISA</t>
  </si>
  <si>
    <t>PHILLIPS, WESLEY</t>
  </si>
  <si>
    <t>JOSHI, BHAVESH</t>
  </si>
  <si>
    <t>PRIMM, SAMANTHA</t>
  </si>
  <si>
    <t>CATO, BRITTNEY</t>
  </si>
  <si>
    <t>OSIAN, ELISABETA</t>
  </si>
  <si>
    <t>WHITE, DEREK</t>
  </si>
  <si>
    <t>SMITH, WHITAKER</t>
  </si>
  <si>
    <t>REINHART, JEFFREY</t>
  </si>
  <si>
    <t>ALLEN, AMANDA</t>
  </si>
  <si>
    <t>MARKHAM, DEREK</t>
  </si>
  <si>
    <t>NELDON, KRISTEN</t>
  </si>
  <si>
    <t>FOWLER, HOLLEY</t>
  </si>
  <si>
    <t>COLEMAN, STEPHANIE</t>
  </si>
  <si>
    <t>LLOYD, ROYNETTA</t>
  </si>
  <si>
    <t>SKILLERN, MAURICE</t>
  </si>
  <si>
    <t>ROSS, AMANDA</t>
  </si>
  <si>
    <t>MORGAN, SARAH</t>
  </si>
  <si>
    <t>WARTH, DENA</t>
  </si>
  <si>
    <t>PATEL, PALAK</t>
  </si>
  <si>
    <t>DAVIDSON, MELANIE</t>
  </si>
  <si>
    <t>CASSIDY, JOHN</t>
  </si>
  <si>
    <t>POTTER, HILLARY-PAIGE</t>
  </si>
  <si>
    <t>AYERS, SHEILA</t>
  </si>
  <si>
    <t>CROW, ASHLEY</t>
  </si>
  <si>
    <t>THITOFF, MEAGAN</t>
  </si>
  <si>
    <t>MULLINAX, LYNDI</t>
  </si>
  <si>
    <t>WHITE, JOYCE</t>
  </si>
  <si>
    <t>CHILDERS, PHILIP</t>
  </si>
  <si>
    <t>LAWRENCE, ASHLEY</t>
  </si>
  <si>
    <t>KRODELL, NATALIE</t>
  </si>
  <si>
    <t>HARTSFIELD, MARK</t>
  </si>
  <si>
    <t>MORRISON, ERIKA</t>
  </si>
  <si>
    <t>HUNTER, MANDY</t>
  </si>
  <si>
    <t>WADE-SMITH, DEANIE</t>
  </si>
  <si>
    <t>SHIPP, JENNIFER</t>
  </si>
  <si>
    <t>GUY, JEREMY</t>
  </si>
  <si>
    <t>MCKINNEY, GREGORY</t>
  </si>
  <si>
    <t>OKOTH, MARTIN</t>
  </si>
  <si>
    <t>HOLMES, SONRISA</t>
  </si>
  <si>
    <t>HELLWIG, LINDSIE</t>
  </si>
  <si>
    <t>OLLIE, CRYSTAL</t>
  </si>
  <si>
    <t>JACOBS, ROSEMARY</t>
  </si>
  <si>
    <t>HAMBELTON, SALLY</t>
  </si>
  <si>
    <t>LOFTIS, MARY</t>
  </si>
  <si>
    <t>BROWN, CANDACE</t>
  </si>
  <si>
    <t>RAUWERDINK, KAITLYN</t>
  </si>
  <si>
    <t>GRIFFITH, KIMBERLY</t>
  </si>
  <si>
    <t>GAINES, ALYSSON</t>
  </si>
  <si>
    <t>SPIVEY, ETHEL</t>
  </si>
  <si>
    <t>EZE, GIFT</t>
  </si>
  <si>
    <t>MENDOZA, PATRICIA</t>
  </si>
  <si>
    <t>HOPSON, BRIDGET</t>
  </si>
  <si>
    <t>MCCORMICK, JOHN</t>
  </si>
  <si>
    <t>STEWART, MELISSA</t>
  </si>
  <si>
    <t>BALL, EMILIE</t>
  </si>
  <si>
    <t>RUSSWORM, KEITH</t>
  </si>
  <si>
    <t>KOONCE, MOLLYE</t>
  </si>
  <si>
    <t>ANSCHUTZ, TRAVIS</t>
  </si>
  <si>
    <t>WARREN, NATHAN</t>
  </si>
  <si>
    <t>MOORE, KENNAN</t>
  </si>
  <si>
    <t>SWEATT, DEBORAH</t>
  </si>
  <si>
    <t>CUPPS, JENNIFER</t>
  </si>
  <si>
    <t>DENTON, EMILY</t>
  </si>
  <si>
    <t>ZEBLEY, CAITLIN</t>
  </si>
  <si>
    <t>ONYENEKWE, JOSIAH</t>
  </si>
  <si>
    <t>CUPIT, ELLEN</t>
  </si>
  <si>
    <t>TAYLOR, BRITTANY</t>
  </si>
  <si>
    <t>HILL, LAUREN</t>
  </si>
  <si>
    <t>PRESLAR, BROOKE</t>
  </si>
  <si>
    <t>MAHONE, JAMES</t>
  </si>
  <si>
    <t>WITTKE, ROBYN</t>
  </si>
  <si>
    <t>JACKSON, NEDRA</t>
  </si>
  <si>
    <t>ROHRER, KATHERINE</t>
  </si>
  <si>
    <t>VANDERBURG, LAUREN</t>
  </si>
  <si>
    <t>REID, MELISSA</t>
  </si>
  <si>
    <t>PARDOE, JENNA</t>
  </si>
  <si>
    <t>CANALE, MEREDITH</t>
  </si>
  <si>
    <t>BLACK, DANIEL</t>
  </si>
  <si>
    <t>ARKINS, JAMES</t>
  </si>
  <si>
    <t>CAMP, JESSICA</t>
  </si>
  <si>
    <t>ROMERO, MELISSA</t>
  </si>
  <si>
    <t>LAWRENCE, DANA</t>
  </si>
  <si>
    <t>HAWKINS, KENNETH</t>
  </si>
  <si>
    <t>SINCLAIR, ROSE</t>
  </si>
  <si>
    <t>MARTIN, RENITA</t>
  </si>
  <si>
    <t>MOODY, TERRI</t>
  </si>
  <si>
    <t>RENNER, MANDIE</t>
  </si>
  <si>
    <t>FERRACCI, CHRISTOPHER</t>
  </si>
  <si>
    <t>CLARK, WILLIAM</t>
  </si>
  <si>
    <t>RABE, DAWN</t>
  </si>
  <si>
    <t>BRINKLEY, ALISON</t>
  </si>
  <si>
    <t>KIRMEYER, RACHEL</t>
  </si>
  <si>
    <t>APPLE, KACEY</t>
  </si>
  <si>
    <t>WILBUR, PERRY</t>
  </si>
  <si>
    <t>JONES, AUDRA</t>
  </si>
  <si>
    <t>SANDERS, DANA</t>
  </si>
  <si>
    <t>WILLIAMSON, MELINDA</t>
  </si>
  <si>
    <t>SELF, MEGAN</t>
  </si>
  <si>
    <t>MELBY, MALLORY</t>
  </si>
  <si>
    <t>DICKSON, JOHN</t>
  </si>
  <si>
    <t>PACE, LAURA</t>
  </si>
  <si>
    <t>SAMPLE, THEODORE</t>
  </si>
  <si>
    <t>ANDERSON, ERIN</t>
  </si>
  <si>
    <t>PRIDDY, CANDACE</t>
  </si>
  <si>
    <t>MOSLEY, COURTNEY</t>
  </si>
  <si>
    <t>THURLBY, WILLIAM</t>
  </si>
  <si>
    <t>BROOKS, GARY</t>
  </si>
  <si>
    <t>JOHNSON, MARGARET</t>
  </si>
  <si>
    <t>STONE, HEATHER</t>
  </si>
  <si>
    <t>JAGGERS, TABITHA</t>
  </si>
  <si>
    <t>LATOURETTE, CARLA</t>
  </si>
  <si>
    <t>CREWSE, CANDICE</t>
  </si>
  <si>
    <t>WOODRIDGE OF FORREST CITY, LLC</t>
  </si>
  <si>
    <t>ADDICTION &amp; MENTAL HEALTH SERVICES, LLC</t>
  </si>
  <si>
    <t>CONWAY BEHAVIORAL HEALTH, LLC</t>
  </si>
  <si>
    <t>CYPRESS GROVE BEHAVIORAL HEALTH LLC</t>
  </si>
  <si>
    <t>WOODRIDGE NORTHWEST, LLC</t>
  </si>
  <si>
    <t>BHC PINNACLE POINTE HOSPITAL LLC</t>
  </si>
  <si>
    <t>REED, ANDREYA</t>
  </si>
  <si>
    <t>MCGUIRE, TODD</t>
  </si>
  <si>
    <t>KUHN, CHERYL</t>
  </si>
  <si>
    <t>KING, JEANNINE</t>
  </si>
  <si>
    <t>MOORE, JULIE</t>
  </si>
  <si>
    <t>BROWN, KELLY</t>
  </si>
  <si>
    <t>ANDERS, BRITTANY</t>
  </si>
  <si>
    <t>GUNTER, MARY</t>
  </si>
  <si>
    <t>GHOBADIMANESH, ALEXANDER</t>
  </si>
  <si>
    <t>PARROTT, JUSTIN</t>
  </si>
  <si>
    <t>CARROLL, NATALIE</t>
  </si>
  <si>
    <t>PITCHER, JANE</t>
  </si>
  <si>
    <t>LECOMPTE, JASON</t>
  </si>
  <si>
    <t>BURNS, CHARELLE</t>
  </si>
  <si>
    <t>CLAYTON, DEBRA</t>
  </si>
  <si>
    <t>OGLE, MEGAN</t>
  </si>
  <si>
    <t>OBAOYE, MANDY</t>
  </si>
  <si>
    <t>BRADFORD, ANITRA</t>
  </si>
  <si>
    <t>ARMITAGE, STEVEN</t>
  </si>
  <si>
    <t>DAVIS, AMANDA</t>
  </si>
  <si>
    <t>NOONER, GLYNN</t>
  </si>
  <si>
    <t>DENTON, KELLI</t>
  </si>
  <si>
    <t>HIGHT, JEANIE</t>
  </si>
  <si>
    <t>BROWN, CIAN</t>
  </si>
  <si>
    <t>ABSHERE, BRIAN</t>
  </si>
  <si>
    <t>HOLWICK, AARON</t>
  </si>
  <si>
    <t>TAYLOR, DONNA</t>
  </si>
  <si>
    <t>BROOKS, LINDSEY</t>
  </si>
  <si>
    <t>CONEY, KATELYN</t>
  </si>
  <si>
    <t>NELSON, ROBYN</t>
  </si>
  <si>
    <t>POTTER, BRIAN</t>
  </si>
  <si>
    <t>LANDRUM, MERSADIES</t>
  </si>
  <si>
    <t>CLARK, ANGELA</t>
  </si>
  <si>
    <t>MCCAIG, MELODY</t>
  </si>
  <si>
    <t>ELDRIDGE, WILLIAM</t>
  </si>
  <si>
    <t>MOODY, DEBBIE</t>
  </si>
  <si>
    <t>ENGLAND, SALLY</t>
  </si>
  <si>
    <t>SALLEE, KATHERLEEN</t>
  </si>
  <si>
    <t>POPEJOY, ERIN</t>
  </si>
  <si>
    <t>CHURCH, RICK</t>
  </si>
  <si>
    <t>BREWER CASPALL, VICKIE</t>
  </si>
  <si>
    <t>JORDAN, CYNTHIA</t>
  </si>
  <si>
    <t>MEIGS, CHRISTOPHER</t>
  </si>
  <si>
    <t>FREECE, ASHLEY</t>
  </si>
  <si>
    <t>ALLEN, DANETTE</t>
  </si>
  <si>
    <t>IRVING, KAREN</t>
  </si>
  <si>
    <t>WILCOX, MICHAEL</t>
  </si>
  <si>
    <t>CARGILE, CHRISTOPHER</t>
  </si>
  <si>
    <t>PETZ, ELIZABETH</t>
  </si>
  <si>
    <t>WAYNE, HELEN</t>
  </si>
  <si>
    <t>HICKMON, SAMANTHA</t>
  </si>
  <si>
    <t>JOHNSON, ARNZIE</t>
  </si>
  <si>
    <t>LEEK, ANGELA</t>
  </si>
  <si>
    <t>THOMAS, STEPHANIE</t>
  </si>
  <si>
    <t>RECTOR, MARGARET</t>
  </si>
  <si>
    <t>COBB, EMILY</t>
  </si>
  <si>
    <t>THAPA, RICHA</t>
  </si>
  <si>
    <t>FOLWER, ELIZABETH</t>
  </si>
  <si>
    <t>HARGIS, BRITTANY</t>
  </si>
  <si>
    <t>JONES-WILLIAMS, ASHLI</t>
  </si>
  <si>
    <t>SPROUSE, ALEXANDRA</t>
  </si>
  <si>
    <t>HYMAN, MALISSA</t>
  </si>
  <si>
    <t>EDGAR, CARISSA</t>
  </si>
  <si>
    <t>HICKMAN, FRANKIE</t>
  </si>
  <si>
    <t>NEAL, KIZER</t>
  </si>
  <si>
    <t>WILKERSON, SAMMY</t>
  </si>
  <si>
    <t>QUALLS, THERESA</t>
  </si>
  <si>
    <t>MCCUTCHEON, JONNA</t>
  </si>
  <si>
    <t>WILLIAMS, DIANE</t>
  </si>
  <si>
    <t>ROWE, MAGEN</t>
  </si>
  <si>
    <t>FULLER, SHANICE</t>
  </si>
  <si>
    <t>SPROLING, SHARIKA</t>
  </si>
  <si>
    <t>ANDERSON, JARED</t>
  </si>
  <si>
    <t>LEWIS, MELISSA</t>
  </si>
  <si>
    <t>SPRAGG, DAWN</t>
  </si>
  <si>
    <t>DAVIS, HEATHER</t>
  </si>
  <si>
    <t>BROWN, CAYLA</t>
  </si>
  <si>
    <t>BALDWIN, PHILLIP</t>
  </si>
  <si>
    <t>THOMASON, DANA</t>
  </si>
  <si>
    <t>AARON, DEON</t>
  </si>
  <si>
    <t>MONTGOMERY, JENNIFER</t>
  </si>
  <si>
    <t>DANIELS, LATOSHIA</t>
  </si>
  <si>
    <t>JOHNSON, ELIZABETH</t>
  </si>
  <si>
    <t>FORD, ANGELA</t>
  </si>
  <si>
    <t>FAULKNER, PRISCILLA</t>
  </si>
  <si>
    <t>STEVENS, KRISTIE</t>
  </si>
  <si>
    <t>WATSON, LEANN</t>
  </si>
  <si>
    <t>RITCHIE, THOMAS</t>
  </si>
  <si>
    <t>BRYANT, KRISTE</t>
  </si>
  <si>
    <t>GATLIN, CAREN</t>
  </si>
  <si>
    <t>WINN, CARISSA</t>
  </si>
  <si>
    <t>JAMES, SAMMIE</t>
  </si>
  <si>
    <t>WEBB, PAULA</t>
  </si>
  <si>
    <t>BEASLEY, CHARMAINE</t>
  </si>
  <si>
    <t>HECKLE, ANGELA</t>
  </si>
  <si>
    <t>SMITH, MARIAN</t>
  </si>
  <si>
    <t>ISAAC, TRINIA</t>
  </si>
  <si>
    <t>LASTER, ADAM</t>
  </si>
  <si>
    <t>PORTER, COURTNEY</t>
  </si>
  <si>
    <t>WOOLEY, BRENDA</t>
  </si>
  <si>
    <t>LEPITRE, MICHELLE</t>
  </si>
  <si>
    <t>KEEVER, SHANNON</t>
  </si>
  <si>
    <t>INGRAM, CASSANDRA</t>
  </si>
  <si>
    <t>SHORT, KATHRYN</t>
  </si>
  <si>
    <t>LASHLEY, PATRICIA</t>
  </si>
  <si>
    <t>CONNER, TRISHA</t>
  </si>
  <si>
    <t>CHARBONNEAU, BRADLEY</t>
  </si>
  <si>
    <t>LANE, BRITTANY</t>
  </si>
  <si>
    <t>SHAKIR, ANGELA</t>
  </si>
  <si>
    <t>ROBINSON, ROBBIE</t>
  </si>
  <si>
    <t>ROBERSON, ROSELLE</t>
  </si>
  <si>
    <t>ROSS, DEANNE</t>
  </si>
  <si>
    <t>RUSHING, LINDSAY</t>
  </si>
  <si>
    <t>STORMES, MARY ASHLEY</t>
  </si>
  <si>
    <t>LYLE, MISTY</t>
  </si>
  <si>
    <t>THOMAS, SARA</t>
  </si>
  <si>
    <t>GREEN, LISA</t>
  </si>
  <si>
    <t>MCFARLIN, CAROL</t>
  </si>
  <si>
    <t>STRANGE, AMANDA</t>
  </si>
  <si>
    <t>MALEY, JENNIFER</t>
  </si>
  <si>
    <t>ANDERSON, TERRY</t>
  </si>
  <si>
    <t>JONES, KRISTEN</t>
  </si>
  <si>
    <t>BOURNE, DAVID</t>
  </si>
  <si>
    <t>BIGGERS, JENNIFER</t>
  </si>
  <si>
    <t>HARPER, STEPHANIE</t>
  </si>
  <si>
    <t>MCFARLANE, ASHLYN</t>
  </si>
  <si>
    <t>BAGGETT, KIMBERLY</t>
  </si>
  <si>
    <t>GRAY, ASHLEY</t>
  </si>
  <si>
    <t>ST. PIERRE, ANGELA</t>
  </si>
  <si>
    <t>VICE, ELIZABETH</t>
  </si>
  <si>
    <t>JOHNSON BETHEA, JORDAN</t>
  </si>
  <si>
    <t>EVERT, SCARLETT</t>
  </si>
  <si>
    <t>BRANDT, EMILY</t>
  </si>
  <si>
    <t>LYNK-PEARSON, RHONDA</t>
  </si>
  <si>
    <t>WILLIAMS, KEVIN</t>
  </si>
  <si>
    <t>WHITE, LANCE</t>
  </si>
  <si>
    <t>EKEH, CHUKWUMA</t>
  </si>
  <si>
    <t>VALENTINE-PHILLIPS, VICKY</t>
  </si>
  <si>
    <t>COOKE, MELANIE</t>
  </si>
  <si>
    <t>YOUNG-BARBER, TAMI</t>
  </si>
  <si>
    <t>JONES, FRANCIS</t>
  </si>
  <si>
    <t>PARKS, DONNA</t>
  </si>
  <si>
    <t>BELL, LADEANA</t>
  </si>
  <si>
    <t>CROUCH, JULIE</t>
  </si>
  <si>
    <t>TOMLINSON, MICHAEL</t>
  </si>
  <si>
    <t>JACOT, LORRI</t>
  </si>
  <si>
    <t>MCKNIGHT, LAUREN</t>
  </si>
  <si>
    <t>MYERS, MEGAN</t>
  </si>
  <si>
    <t>ALBERTS, DEBRA</t>
  </si>
  <si>
    <t>BELEW, CHRISTY</t>
  </si>
  <si>
    <t>STARR, EMILY</t>
  </si>
  <si>
    <t>CARR, MELANIE</t>
  </si>
  <si>
    <t>WILLIAMS, CICELY</t>
  </si>
  <si>
    <t>MCCRACKEN, SUZANNE</t>
  </si>
  <si>
    <t>REED, ROBIN</t>
  </si>
  <si>
    <t>SAPPINGTON, CORINNE</t>
  </si>
  <si>
    <t>SARAGUSA, SARAH</t>
  </si>
  <si>
    <t>COBEN, ROBERT</t>
  </si>
  <si>
    <t>MATHENEY, FRANNIE</t>
  </si>
  <si>
    <t>TOWELL, APRIL</t>
  </si>
  <si>
    <t>RHODES-HUGHES, HEATHER</t>
  </si>
  <si>
    <t>PEARCE, TINA</t>
  </si>
  <si>
    <t>OWEN, CHRISTIE</t>
  </si>
  <si>
    <t>MCLEOD, JESSICA</t>
  </si>
  <si>
    <t>HARRIS, KAYLEY</t>
  </si>
  <si>
    <t>BRATTON, TRACEY</t>
  </si>
  <si>
    <t>MCGILL, BETTY</t>
  </si>
  <si>
    <t>BRADSHAW, IAN</t>
  </si>
  <si>
    <t>CRUTCHFIELD, ERIC</t>
  </si>
  <si>
    <t>WILLIAMS, TRACY</t>
  </si>
  <si>
    <t>BOLDING, JOHN</t>
  </si>
  <si>
    <t>FRANCIS, SUSAN</t>
  </si>
  <si>
    <t>REVIS, LONDA</t>
  </si>
  <si>
    <t>WOJTEK, KASEY</t>
  </si>
  <si>
    <t>BEDFORD, CLARENCE</t>
  </si>
  <si>
    <t>WILLIAMS, PATRICIA</t>
  </si>
  <si>
    <t>ROSE, REBEKAH</t>
  </si>
  <si>
    <t>MCCASKILL, RICHARD</t>
  </si>
  <si>
    <t>DAUGHERTY, JAMIE</t>
  </si>
  <si>
    <t>HAMILTON, CINDY</t>
  </si>
  <si>
    <t>RICHARDSON, TERRI</t>
  </si>
  <si>
    <t>NORTON, LEAH</t>
  </si>
  <si>
    <t>CRAFT, BETH</t>
  </si>
  <si>
    <t>ROSA, ANANDA</t>
  </si>
  <si>
    <t>HUDSON, SARAH</t>
  </si>
  <si>
    <t>LUCAS, MARVIN</t>
  </si>
  <si>
    <t>DILLON, MICHAEL</t>
  </si>
  <si>
    <t>GRIFFITH, CHARLOTTE</t>
  </si>
  <si>
    <t>DADLA, ALIAKBAR</t>
  </si>
  <si>
    <t>HARTFORD, CHRISTINE</t>
  </si>
  <si>
    <t>AST, ALLISON</t>
  </si>
  <si>
    <t>SCHWARTZ, JASON</t>
  </si>
  <si>
    <t>HAYES, DAVID</t>
  </si>
  <si>
    <t>SCHROYER, DANIEL</t>
  </si>
  <si>
    <t>FLERLAGE, JAMIE</t>
  </si>
  <si>
    <t>HAWORTH, KELLIE</t>
  </si>
  <si>
    <t>MEMPHIS OPERATOR, LLC</t>
  </si>
  <si>
    <t>ST BERNARD COMMUNITY HOSPITAL CORPORATION</t>
  </si>
  <si>
    <t>KAHN, YOSEF</t>
  </si>
  <si>
    <t>BRADFORD, TAMARA</t>
  </si>
  <si>
    <t>SANDERS, RITA</t>
  </si>
  <si>
    <t>SCRIMSHIRE, RACHEL</t>
  </si>
  <si>
    <t>WILTERS, JOHN</t>
  </si>
  <si>
    <t>HULON, KARINTHIAN</t>
  </si>
  <si>
    <t>DUROY, JENNIFER</t>
  </si>
  <si>
    <t>MONTGOMERY, BRANDON</t>
  </si>
  <si>
    <t>PINCKNEY, ASHEKIA</t>
  </si>
  <si>
    <t>TURANO, JODI</t>
  </si>
  <si>
    <t>CUGINI, HEATHER</t>
  </si>
  <si>
    <t>BURK, CHARLES</t>
  </si>
  <si>
    <t>JONES SHEPHARD, CLAUDETTE</t>
  </si>
  <si>
    <t>ANDERSON, KIMBERLEY</t>
  </si>
  <si>
    <t>COX, KATY</t>
  </si>
  <si>
    <t>KETCHAM, MICHAEL</t>
  </si>
  <si>
    <t>SANDERS, NEEKA</t>
  </si>
  <si>
    <t>MEHROTRA, ANURAG</t>
  </si>
  <si>
    <t>EL-HADDAD, HAITHAM</t>
  </si>
  <si>
    <t>KAYANJA, HARRIET</t>
  </si>
  <si>
    <t>C120</t>
  </si>
  <si>
    <t>Access to FQHC</t>
  </si>
  <si>
    <t>EAST ARKANSAS FAMILY HEALTH CENTER INC.</t>
  </si>
  <si>
    <t>LEE COUNTY COOPERATIVE CLINIC</t>
  </si>
  <si>
    <t>ARKANSAS CHILDRENS NORTHWEST, INC.</t>
  </si>
  <si>
    <t>LHCG CXIX, LLC</t>
  </si>
  <si>
    <t>KABIR, NAZMUL</t>
  </si>
  <si>
    <t>LOBBINS, MONICA</t>
  </si>
  <si>
    <t>KARIM, SHABANA</t>
  </si>
  <si>
    <t>ANDERSON CONNELL, JENNIFER</t>
  </si>
  <si>
    <t>ADAMS, MARK</t>
  </si>
  <si>
    <t>DROSKE, TERRY</t>
  </si>
  <si>
    <t>WILLIAMS, ALLEN</t>
  </si>
  <si>
    <t>SMITH, HAYDEN</t>
  </si>
  <si>
    <t>JONES, GARY</t>
  </si>
  <si>
    <t>WAH, STEPHEN</t>
  </si>
  <si>
    <t>HALL, LOGAN</t>
  </si>
  <si>
    <t>BARRY, JAMES</t>
  </si>
  <si>
    <t>WARD, RYAN</t>
  </si>
  <si>
    <t>FIRMAN, JULIAN</t>
  </si>
  <si>
    <t>BOLLIN, RAY</t>
  </si>
  <si>
    <t>SEDDENS, KEVIN</t>
  </si>
  <si>
    <t>MAHER, MARK</t>
  </si>
  <si>
    <t>BARLOW, JOHN</t>
  </si>
  <si>
    <t>HARMON, THOMAS</t>
  </si>
  <si>
    <t>BARTON, KYLE</t>
  </si>
  <si>
    <t>DAVID, LAUREN</t>
  </si>
  <si>
    <t>LANE, MATTHEW</t>
  </si>
  <si>
    <t>GILES, ANNA</t>
  </si>
  <si>
    <t>CARMICAL, DOUGLAS</t>
  </si>
  <si>
    <t>SAUSER, RACHEL</t>
  </si>
  <si>
    <t>COVINGTON, KENNETH</t>
  </si>
  <si>
    <t>PLEDGER, JAMES</t>
  </si>
  <si>
    <t>GIBSON, KATIE</t>
  </si>
  <si>
    <t>MCDONOUGH, MATTHEW</t>
  </si>
  <si>
    <t>WALMART INC.</t>
  </si>
  <si>
    <t>BRYANT HOLIFIELD &amp; DAVIS PHARMACY</t>
  </si>
  <si>
    <t>ASH FLAT PHARMACY, INC.</t>
  </si>
  <si>
    <t>PHARMACY ACQUISITIONS GROUP LLC</t>
  </si>
  <si>
    <t>FRUCHEY, INC</t>
  </si>
  <si>
    <t>METHODIST HEALTHCARE-MEMPHIS HOSPITALS</t>
  </si>
  <si>
    <t>HEJNY ENTERPRISES INC.</t>
  </si>
  <si>
    <t>SMITH DRUG COMPANY INC</t>
  </si>
  <si>
    <t>D.L. BAKER DRUG CO., INC.</t>
  </si>
  <si>
    <t>HOMETOWN PHARMACY INC</t>
  </si>
  <si>
    <t>MCGEHEE DRUG COMPANY LLC</t>
  </si>
  <si>
    <t>HEALTH DEPOT PHARMACIES, LLC</t>
  </si>
  <si>
    <t>MA DAVIS ENTERPRISES, LLC</t>
  </si>
  <si>
    <t>PHARMACEUTICAL INVESTMENT CORP.</t>
  </si>
  <si>
    <t>ANKIREDDYPALLI, ARVIND</t>
  </si>
  <si>
    <t>ESTES, DYLAN</t>
  </si>
  <si>
    <t>COX BERRYHILL, CINDA</t>
  </si>
  <si>
    <t>CAPLE, ANNETTE</t>
  </si>
  <si>
    <t>ROBINSON, SUSAN</t>
  </si>
  <si>
    <t>TROUTT, THOMAS</t>
  </si>
  <si>
    <t>ASAMOA, NANCY</t>
  </si>
  <si>
    <t>HALL-KRASNOVE, MARY</t>
  </si>
  <si>
    <t>AGNIHOTRI, KANISHK</t>
  </si>
  <si>
    <t>HENDRICKS, REBECCA</t>
  </si>
  <si>
    <t>LISTER, KIMBERLY</t>
  </si>
  <si>
    <t>ERRA, AMANI</t>
  </si>
  <si>
    <t>LONGSTRETH, TRACEY</t>
  </si>
  <si>
    <t>BOUNDS, CHELSEA</t>
  </si>
  <si>
    <t>VIGNA, TRISHA</t>
  </si>
  <si>
    <t>ROSS, ROBYNN</t>
  </si>
  <si>
    <t>VINSON, SHANNON</t>
  </si>
  <si>
    <t>FEHER, JAMES</t>
  </si>
  <si>
    <t>NEWMON, DOMECIA</t>
  </si>
  <si>
    <t>HILLIE, KRISTAL</t>
  </si>
  <si>
    <t>BRADLEY, CALLIE</t>
  </si>
  <si>
    <t>WEISENBACH, LAWRENCE</t>
  </si>
  <si>
    <t>LEIBOVICI, SAMUEL</t>
  </si>
  <si>
    <t>FLOWERS, PHYLLISS</t>
  </si>
  <si>
    <t>SLATER, JANTZEN</t>
  </si>
  <si>
    <t>MORRILL, ZACHARY</t>
  </si>
  <si>
    <t>SHAW, LYNN</t>
  </si>
  <si>
    <t>HENSLEY, LAURA</t>
  </si>
  <si>
    <t>VANDERBILT, STEVEN</t>
  </si>
  <si>
    <t>GRAVES, HEATHER</t>
  </si>
  <si>
    <t>STEELE, LORI</t>
  </si>
  <si>
    <t>WINNINGHAM, MORGAN</t>
  </si>
  <si>
    <t>MORGAN, CHEYENNE</t>
  </si>
  <si>
    <t>BELL, DEBORAH</t>
  </si>
  <si>
    <t>PINTO MIRANDA, VERONICA</t>
  </si>
  <si>
    <t>GRIMSLEY, ROSLYN</t>
  </si>
  <si>
    <t>HILL, BRANDY</t>
  </si>
  <si>
    <t>HEMBREE, AUTUMN</t>
  </si>
  <si>
    <t>SCHULTZ, LAUREN</t>
  </si>
  <si>
    <t>TUCKER, MELINDA</t>
  </si>
  <si>
    <t>MONARCH, BAILEY</t>
  </si>
  <si>
    <t>BELLARIO, VALERIE</t>
  </si>
  <si>
    <t>ROMERO-SALINAS, MAHIRY</t>
  </si>
  <si>
    <t>VINSON, SHANDA</t>
  </si>
  <si>
    <t>TOSH, BOBBI</t>
  </si>
  <si>
    <t>HYDE, CARRIE</t>
  </si>
  <si>
    <t>OXFORD, JENNIFER</t>
  </si>
  <si>
    <t>TEMPLE, DUSTIN</t>
  </si>
  <si>
    <t>WOOD, AMANDA</t>
  </si>
  <si>
    <t>LONG, AMBER</t>
  </si>
  <si>
    <t>MCFARLAND, MAIRUS</t>
  </si>
  <si>
    <t>DANIEL, WILLIAM</t>
  </si>
  <si>
    <t>MALDONADO, NORA</t>
  </si>
  <si>
    <t>KEEFER, JULIE</t>
  </si>
  <si>
    <t>SHANKLE, SAMANTHA</t>
  </si>
  <si>
    <t>LESTER, MERKITA</t>
  </si>
  <si>
    <t>JARVIS, CHRISTOPHER</t>
  </si>
  <si>
    <t>FAKHRE, FAKHRE</t>
  </si>
  <si>
    <t>OUMEDDOUR, RAZIK</t>
  </si>
  <si>
    <t>CRISP, JENNIFER</t>
  </si>
  <si>
    <t>WISE, AMY</t>
  </si>
  <si>
    <t>TE, ROLYN</t>
  </si>
  <si>
    <t>CRABTREE, MICHAEL</t>
  </si>
  <si>
    <t>GURAGAIN, NIRMAL</t>
  </si>
  <si>
    <t>EVINS, FONDA</t>
  </si>
  <si>
    <t>HARRIS, APRIL</t>
  </si>
  <si>
    <t>HAMILTON, ERIN</t>
  </si>
  <si>
    <t>BOLES, PAIGE</t>
  </si>
  <si>
    <t>KITE, CHERYL</t>
  </si>
  <si>
    <t>WATSON-FICKEN, LEANNE</t>
  </si>
  <si>
    <t>MAGNUSON, JENNIFER</t>
  </si>
  <si>
    <t>WHATLEY, DEONNA</t>
  </si>
  <si>
    <t>COLLIER, SHAELA</t>
  </si>
  <si>
    <t>RAWLS, KIMBERLY</t>
  </si>
  <si>
    <t>MORROW, ALLISON</t>
  </si>
  <si>
    <t>CHANDLER, PHOEBE</t>
  </si>
  <si>
    <t>PAYNE, KASSANDRA</t>
  </si>
  <si>
    <t>QUINN, JOURDAN</t>
  </si>
  <si>
    <t>MOBLEY, JAMES</t>
  </si>
  <si>
    <t>WOZNY, MIRIAM</t>
  </si>
  <si>
    <t>HUNTER, WILLIAM</t>
  </si>
  <si>
    <t>POPPY, ASHLEY</t>
  </si>
  <si>
    <t>COLEMAN-SMITH, NIKITA</t>
  </si>
  <si>
    <t>CLAY, ANGELA</t>
  </si>
  <si>
    <t>COWARD, LATOYA</t>
  </si>
  <si>
    <t>HOLTHAUS, JAIME</t>
  </si>
  <si>
    <t>HELTON, MICHELLE</t>
  </si>
  <si>
    <t>MARTIN, NATALIE</t>
  </si>
  <si>
    <t>LEDBETTER, BRYAN</t>
  </si>
  <si>
    <t>SHANBHAG, ANUSHA</t>
  </si>
  <si>
    <t>PATEL, PRIYAL</t>
  </si>
  <si>
    <t>WEEKS, KIMBERLY</t>
  </si>
  <si>
    <t>MCCOMBS, DAVID</t>
  </si>
  <si>
    <t>HOWARD, HANNAH</t>
  </si>
  <si>
    <t>CARLTON, LAURIE</t>
  </si>
  <si>
    <t>STEVENS, BENJAMIN</t>
  </si>
  <si>
    <t>RUSSETTE, RONALD</t>
  </si>
  <si>
    <t>WARD, DAVID</t>
  </si>
  <si>
    <t>WYCOFF, ROBERT</t>
  </si>
  <si>
    <t>BENJAMIN, GEORGE</t>
  </si>
  <si>
    <t>KHAN, ATIF</t>
  </si>
  <si>
    <t>DORSEY, CLARISSA</t>
  </si>
  <si>
    <t>ROGERS, WILLIAM</t>
  </si>
  <si>
    <t>FULKS, ASHLEY</t>
  </si>
  <si>
    <t>WILSON, JANICE</t>
  </si>
  <si>
    <t>ROSS, ANNA</t>
  </si>
  <si>
    <t>COPELAND, JEFFERY</t>
  </si>
  <si>
    <t>MAREK, TABITHA</t>
  </si>
  <si>
    <t>MATTHEWS, ASHLEY</t>
  </si>
  <si>
    <t>GRAGG, ALLISON</t>
  </si>
  <si>
    <t>WHITELOCKE, DANIEL</t>
  </si>
  <si>
    <t>MCROREY, SARA</t>
  </si>
  <si>
    <t>CUNNINGHAM, LAUREN</t>
  </si>
  <si>
    <t>HUNTER, LAUREN</t>
  </si>
  <si>
    <t>MCKINZIE, HEATHER</t>
  </si>
  <si>
    <t>LOCKHERT, AMY</t>
  </si>
  <si>
    <t>DISOTELL, ROBERT</t>
  </si>
  <si>
    <t>CAIN, CHARNELL</t>
  </si>
  <si>
    <t>MONTALES, MARIA THERESA</t>
  </si>
  <si>
    <t>ARNOLD, MAEGHAN</t>
  </si>
  <si>
    <t>HARP, A</t>
  </si>
  <si>
    <t>COOK, SARAH</t>
  </si>
  <si>
    <t>SCHROER, CASSANDRA</t>
  </si>
  <si>
    <t>MICHAELIS, DEANNA</t>
  </si>
  <si>
    <t>NICHOLS, ALISHA</t>
  </si>
  <si>
    <t>HARGRAVE, MARLO</t>
  </si>
  <si>
    <t>SPARKS, TESSA</t>
  </si>
  <si>
    <t>POWELL, DIOSAN</t>
  </si>
  <si>
    <t>RABADI, OMAR</t>
  </si>
  <si>
    <t>SAVAGE, CHELSEY</t>
  </si>
  <si>
    <t>WYATT, SHANNON</t>
  </si>
  <si>
    <t>HERNDON, HILARY</t>
  </si>
  <si>
    <t>HEKMATPOUR, ERIN</t>
  </si>
  <si>
    <t>LEE, MIN-JI</t>
  </si>
  <si>
    <t>BLACKWOOD, ASHLEY</t>
  </si>
  <si>
    <t>KARR, ASHLEY</t>
  </si>
  <si>
    <t>WEHRLE, ANN-ELIZABETH</t>
  </si>
  <si>
    <t>TURNER, SAMUEL</t>
  </si>
  <si>
    <t>PANTAZO, KELLY</t>
  </si>
  <si>
    <t>VINAL, LISA</t>
  </si>
  <si>
    <t>BROWN, YOLANDA</t>
  </si>
  <si>
    <t>HARRIS, TERESA</t>
  </si>
  <si>
    <t>STARK, AMANDA</t>
  </si>
  <si>
    <t>MILLER, KRYSTINE</t>
  </si>
  <si>
    <t>WINFORD, AMANDA</t>
  </si>
  <si>
    <t>JONES, HANNAH</t>
  </si>
  <si>
    <t>LEE, KATHRYN</t>
  </si>
  <si>
    <t>HANNAH, HEATHER</t>
  </si>
  <si>
    <t>KEEL, HOLLY</t>
  </si>
  <si>
    <t>OCHIENG, LAURA</t>
  </si>
  <si>
    <t>ANDRYKA, CAITLIN</t>
  </si>
  <si>
    <t>LIGHTFOOT, CHRISTINE</t>
  </si>
  <si>
    <t>GRIMM, ANTHONY</t>
  </si>
  <si>
    <t>CARTER, RHAKEVIA</t>
  </si>
  <si>
    <t>FREZZA BATTS, NANCY</t>
  </si>
  <si>
    <t>RICKARD, JACQUELINE</t>
  </si>
  <si>
    <t>STEPHENS, JEFFREY</t>
  </si>
  <si>
    <t>AGUIRRE, BRITTANY</t>
  </si>
  <si>
    <t>MADIA, KELLY</t>
  </si>
  <si>
    <t>DUNN, JENNIFER</t>
  </si>
  <si>
    <t>ANDERSON, MARIA</t>
  </si>
  <si>
    <t>JANSSEN, MELANIE</t>
  </si>
  <si>
    <t>HOLADAY, LISA</t>
  </si>
  <si>
    <t>ROUTSONG, RODNEY</t>
  </si>
  <si>
    <t>HUBBARD, CONNIE</t>
  </si>
  <si>
    <t>JAFFER, ZEHRA</t>
  </si>
  <si>
    <t>THOMAS, AMANDA</t>
  </si>
  <si>
    <t>TACKETT, YIM</t>
  </si>
  <si>
    <t>MIRA, JENNIFER</t>
  </si>
  <si>
    <t>MATTHEWS, NATA</t>
  </si>
  <si>
    <t>LEWIS, WANDA</t>
  </si>
  <si>
    <t>BRADFORD, WHITNEY</t>
  </si>
  <si>
    <t>DUNN, KIRSTEN</t>
  </si>
  <si>
    <t>MILLER, JONATHAN</t>
  </si>
  <si>
    <t>DORRIS, JENNIFER</t>
  </si>
  <si>
    <t>DAVIS, TAMMY</t>
  </si>
  <si>
    <t>SESSIONS, CHASE</t>
  </si>
  <si>
    <t>HAMILTON, HEATHER</t>
  </si>
  <si>
    <t>HARRIS, SAMANTHA</t>
  </si>
  <si>
    <t>BERRY, JESSICA</t>
  </si>
  <si>
    <t>JACOBS, CASSIDY</t>
  </si>
  <si>
    <t>HAUGHEY, ALLIE</t>
  </si>
  <si>
    <t>MORGAN, EBONY</t>
  </si>
  <si>
    <t>RANDLES, JANINE</t>
  </si>
  <si>
    <t>METTA, RAMESH</t>
  </si>
  <si>
    <t>GRIFFIN, PATRICIA</t>
  </si>
  <si>
    <t>DUNLAP, JENNIFER</t>
  </si>
  <si>
    <t>KODALI, MANEETHA</t>
  </si>
  <si>
    <t>COLE, AMANDA</t>
  </si>
  <si>
    <t>WILKINS, JOHN</t>
  </si>
  <si>
    <t>BROYLES, AMY</t>
  </si>
  <si>
    <t>TAMAKLOE, MARTINA</t>
  </si>
  <si>
    <t>TACKETT, JONATHAN</t>
  </si>
  <si>
    <t>WOBGA-PASIAH, EMILIA</t>
  </si>
  <si>
    <t>YANG, EDWARD</t>
  </si>
  <si>
    <t>GIDDINGS, ROBERT</t>
  </si>
  <si>
    <t>HOWARD, FIONA</t>
  </si>
  <si>
    <t>PINTADO, AMY</t>
  </si>
  <si>
    <t>MURPHY, JENNY</t>
  </si>
  <si>
    <t>BRADSHAW, JESSICA</t>
  </si>
  <si>
    <t>BOWMAN, MARYELLEN</t>
  </si>
  <si>
    <t>WALKER, LEE</t>
  </si>
  <si>
    <t>WALLACE, DIONNE</t>
  </si>
  <si>
    <t>HELTON, JOHN</t>
  </si>
  <si>
    <t>PRESTON, MITCHELL</t>
  </si>
  <si>
    <t>HAMPTON, DARLENE</t>
  </si>
  <si>
    <t>MANLEY, AMANDA</t>
  </si>
  <si>
    <t>CAMPBELL, REBEKAH</t>
  </si>
  <si>
    <t>SMITH, BESSIE</t>
  </si>
  <si>
    <t>HANSON, ALLYSON</t>
  </si>
  <si>
    <t>ABEL, TRACIE</t>
  </si>
  <si>
    <t>ACUP, JAMES</t>
  </si>
  <si>
    <t>ROMANSKI, VALERIE</t>
  </si>
  <si>
    <t>HAMPTON, SALLIE</t>
  </si>
  <si>
    <t>LAYTON HYDEN, ANGELA</t>
  </si>
  <si>
    <t>KAIMA, SHANNON</t>
  </si>
  <si>
    <t>FOLK, SOPHIA</t>
  </si>
  <si>
    <t>GREENHILL, JO</t>
  </si>
  <si>
    <t>GAITHER, TINA</t>
  </si>
  <si>
    <t>WANTULOK, NATASHA</t>
  </si>
  <si>
    <t>MANGROO, NAVIN</t>
  </si>
  <si>
    <t>NOSAL, AUDRA</t>
  </si>
  <si>
    <t>BOGGS, MARISSA</t>
  </si>
  <si>
    <t>ROOK, ROBERT</t>
  </si>
  <si>
    <t>WATKINS, MONIKA</t>
  </si>
  <si>
    <t>RODDY, KIMBERLY</t>
  </si>
  <si>
    <t>BELLINE, HOLLAND</t>
  </si>
  <si>
    <t>KNIGHT, JESSICA</t>
  </si>
  <si>
    <t>CLARK, COURTNEY</t>
  </si>
  <si>
    <t>RHODES, KYLIE</t>
  </si>
  <si>
    <t>TRAPP, JAMIE</t>
  </si>
  <si>
    <t>HAYDAR, ALI</t>
  </si>
  <si>
    <t>ALSHOHA, MOHAMMAD</t>
  </si>
  <si>
    <t>KELLY, MELISSA</t>
  </si>
  <si>
    <t>AZAD, SAMEERA</t>
  </si>
  <si>
    <t>CLARK, ANDREW</t>
  </si>
  <si>
    <t>WALLER, YOLANDA</t>
  </si>
  <si>
    <t>MILLER, PHILLIP</t>
  </si>
  <si>
    <t>PHAM, BAO</t>
  </si>
  <si>
    <t>NAZIR, MUHAMMAD</t>
  </si>
  <si>
    <t>FENDLEY, CARRIE</t>
  </si>
  <si>
    <t>LINDSEY, DAWN</t>
  </si>
  <si>
    <t>RYALS, ANDREW</t>
  </si>
  <si>
    <t>STOLL, KATHARINE</t>
  </si>
  <si>
    <t>BRYAN, LINDSEY</t>
  </si>
  <si>
    <t>CHILDRESS, DANA</t>
  </si>
  <si>
    <t>MANNING, AMANDA</t>
  </si>
  <si>
    <t>VANCE, NICHOLAS</t>
  </si>
  <si>
    <t>RUSSENBERGER, CHERIA</t>
  </si>
  <si>
    <t>JENKINS, PARKER</t>
  </si>
  <si>
    <t>VINSON, CHRISTOPHER</t>
  </si>
  <si>
    <t>ROWELL, STEWART</t>
  </si>
  <si>
    <t>BRADY, KELSEY</t>
  </si>
  <si>
    <t>BURKETT, BENJAMIN</t>
  </si>
  <si>
    <t>SMITH, TYLER</t>
  </si>
  <si>
    <t>ERUEMULOR, ALEOBE</t>
  </si>
  <si>
    <t>WHORTON, MONICA</t>
  </si>
  <si>
    <t>TRAPP, CLARK</t>
  </si>
  <si>
    <t>JOHNSON, BRIANNA</t>
  </si>
  <si>
    <t>BAILEY, JESSICA</t>
  </si>
  <si>
    <t>YORK, CARSON</t>
  </si>
  <si>
    <t>RUNDELL, BENTLEE</t>
  </si>
  <si>
    <t>SARATHI, ANITA</t>
  </si>
  <si>
    <t>SHAH, MANISH</t>
  </si>
  <si>
    <t>BOWLIN, BRIAN</t>
  </si>
  <si>
    <t>LEHMAN, MARIE</t>
  </si>
  <si>
    <t>BENNETT, TRACY</t>
  </si>
  <si>
    <t>JOHNSON, STACY</t>
  </si>
  <si>
    <t>PRESSON, CHELSEA</t>
  </si>
  <si>
    <t>KO, JOANNA</t>
  </si>
  <si>
    <t>MOORE, J</t>
  </si>
  <si>
    <t>STEVENSON, WILLIAM</t>
  </si>
  <si>
    <t>RAYAZ, MUSTAFA</t>
  </si>
  <si>
    <t>SOWELL, ERIK</t>
  </si>
  <si>
    <t>JAMES, JENNIFER</t>
  </si>
  <si>
    <t>NOBLE, KENDAL</t>
  </si>
  <si>
    <t>GRAY, REBEKAH</t>
  </si>
  <si>
    <t>ENGELKES, ALISHA</t>
  </si>
  <si>
    <t>LOURENS, ANDREW</t>
  </si>
  <si>
    <t>HEATH, KATHLEEN</t>
  </si>
  <si>
    <t>NESTER, CASEY</t>
  </si>
  <si>
    <t>HARPER, T'SHARA</t>
  </si>
  <si>
    <t>JEFFERS, CHARLES</t>
  </si>
  <si>
    <t>CABRERA, ELIZABETH</t>
  </si>
  <si>
    <t>MILLER, AMANDA</t>
  </si>
  <si>
    <t>BARKSDALE, LETICIA</t>
  </si>
  <si>
    <t>RANA, GERALD</t>
  </si>
  <si>
    <t>JOHNSON, JORDAN</t>
  </si>
  <si>
    <t>FIELDS, DANA</t>
  </si>
  <si>
    <t>DEACON, KATHRYN</t>
  </si>
  <si>
    <t>VELA SANDOVAL, CARLOS</t>
  </si>
  <si>
    <t>CHEEMA, HIRA</t>
  </si>
  <si>
    <t>CHUKWUANU, ANGELA</t>
  </si>
  <si>
    <t>HENDRY, ASHLEE</t>
  </si>
  <si>
    <t>WRAY, CANDY</t>
  </si>
  <si>
    <t>SHEPHERD, ALISON</t>
  </si>
  <si>
    <t>BROWN, STEVEN</t>
  </si>
  <si>
    <t>RODGERS, LAURA</t>
  </si>
  <si>
    <t>HOOTEN, SUSAN</t>
  </si>
  <si>
    <t>ORISAKWE, CHIRICKA</t>
  </si>
  <si>
    <t>CHHINA, SULTAN</t>
  </si>
  <si>
    <t>STEEN, AMANDA</t>
  </si>
  <si>
    <t>THOMPSON, KATHERINE</t>
  </si>
  <si>
    <t>WELLS, DINA</t>
  </si>
  <si>
    <t>WALL, WENDELL</t>
  </si>
  <si>
    <t>PAOLUCCI, MICHAEL</t>
  </si>
  <si>
    <t>O'HERN, SCOTT</t>
  </si>
  <si>
    <t>HURTADO, CESAR</t>
  </si>
  <si>
    <t>CURETON, NETLLA</t>
  </si>
  <si>
    <t>CAMP, GARRETT</t>
  </si>
  <si>
    <t>BUCKOSKI, MARYLIE</t>
  </si>
  <si>
    <t>LEADBITTER, PATRICK</t>
  </si>
  <si>
    <t>LOCKHERT, DALE</t>
  </si>
  <si>
    <t>STEPPS, KRISTOPHER</t>
  </si>
  <si>
    <t>SALVAGGIO, ASHLEY</t>
  </si>
  <si>
    <t>HEARD, KARLA</t>
  </si>
  <si>
    <t>SHIPP, ALEXA</t>
  </si>
  <si>
    <t>STOKES, ERICA</t>
  </si>
  <si>
    <t>LOWE, AYISHIA</t>
  </si>
  <si>
    <t>COCKERELL, JOHN</t>
  </si>
  <si>
    <t>MAXWELL, A</t>
  </si>
  <si>
    <t>HARRISON, NORINDA</t>
  </si>
  <si>
    <t>DRUM, SARAH</t>
  </si>
  <si>
    <t>BLACK, MARY</t>
  </si>
  <si>
    <t>DOMINO, SARAH</t>
  </si>
  <si>
    <t>JACKSON, REGINA</t>
  </si>
  <si>
    <t>LAURENT, BROOKSHIELD</t>
  </si>
  <si>
    <t>CHEATHAM, JENNIFER</t>
  </si>
  <si>
    <t>EASTERLING, ADRIENNE</t>
  </si>
  <si>
    <t>CANNON, VERONICA</t>
  </si>
  <si>
    <t>LEE-BANKS, KIMARY</t>
  </si>
  <si>
    <t>HUGHES, JEREMY</t>
  </si>
  <si>
    <t>GRIFFIS, TIFFANY</t>
  </si>
  <si>
    <t>CARR, BROOKE</t>
  </si>
  <si>
    <t>COLLA, KAILY</t>
  </si>
  <si>
    <t>WIGGINS, LEWIS</t>
  </si>
  <si>
    <t>MCDANIEL, CHRISTOPHER</t>
  </si>
  <si>
    <t>CROWLEY, MARIA</t>
  </si>
  <si>
    <t>ARENS, HAILEY</t>
  </si>
  <si>
    <t>REDDY, PRATHIMA</t>
  </si>
  <si>
    <t>ADDINGTON, CARI</t>
  </si>
  <si>
    <t>ONLY, RONALD</t>
  </si>
  <si>
    <t>WILLIAMS, WANDA</t>
  </si>
  <si>
    <t>ELLIS LAFFOON, CAREY</t>
  </si>
  <si>
    <t>JACKSON, JOSEPHINE</t>
  </si>
  <si>
    <t>ARNOLD, COREY</t>
  </si>
  <si>
    <t>CAMPBELL, CAMEO</t>
  </si>
  <si>
    <t>COPLEY, KEVIN</t>
  </si>
  <si>
    <t>LINGISETTY, CHANDRA S</t>
  </si>
  <si>
    <t>SHEPPARD, PATRICIA</t>
  </si>
  <si>
    <t>NALGHRANYAN, SOS</t>
  </si>
  <si>
    <t>BROWNFIELD, RACHEL</t>
  </si>
  <si>
    <t>BUNN, HOLLY</t>
  </si>
  <si>
    <t>KINCAID, COURTNAY</t>
  </si>
  <si>
    <t>WILSON, TIFFANY</t>
  </si>
  <si>
    <t>DAVIS, JILL</t>
  </si>
  <si>
    <t>SCOBEY, EUGENE</t>
  </si>
  <si>
    <t>BEEKHUIZEN, JEFF</t>
  </si>
  <si>
    <t>NAZAIRE, YVES-MARY</t>
  </si>
  <si>
    <t>SAUERS, TONYA</t>
  </si>
  <si>
    <t>KASPAR, CALEB</t>
  </si>
  <si>
    <t>NWODO, CHUKWUDI</t>
  </si>
  <si>
    <t>JENKINS, MITZIE</t>
  </si>
  <si>
    <t>MALIK, MOHAMMED</t>
  </si>
  <si>
    <t>SCHULTZ, REBECCA</t>
  </si>
  <si>
    <t>HARVEY, KRISTEN</t>
  </si>
  <si>
    <t>DILL, LAURA</t>
  </si>
  <si>
    <t>ANDERSON, MIRICLE</t>
  </si>
  <si>
    <t>WILSON, CASEY</t>
  </si>
  <si>
    <t>WILLIAMS, JUANITA</t>
  </si>
  <si>
    <t>DANIEL, JADIE</t>
  </si>
  <si>
    <t>JONES, AMBER</t>
  </si>
  <si>
    <t>BARTLETT, CHRISTA</t>
  </si>
  <si>
    <t>EL-AAWAR, AMR</t>
  </si>
  <si>
    <t>HICKS, LAURAE</t>
  </si>
  <si>
    <t>ROGERS, MAURI</t>
  </si>
  <si>
    <t>STEWART, BRADFORD</t>
  </si>
  <si>
    <t>WEAVER, JEREMY</t>
  </si>
  <si>
    <t>MASON, MAGDALINE</t>
  </si>
  <si>
    <t>STEPHENS, TONI</t>
  </si>
  <si>
    <t>WAGNER, MATTHEW</t>
  </si>
  <si>
    <t>WASHINGTON, TRISTAN</t>
  </si>
  <si>
    <t>AGNEW, SHAWANDA</t>
  </si>
  <si>
    <t>WEISHEIT, SETH</t>
  </si>
  <si>
    <t>DELOACH, MELISA</t>
  </si>
  <si>
    <t>BONE, SCARLETT</t>
  </si>
  <si>
    <t>HARRINGTON, BRITTANI</t>
  </si>
  <si>
    <t>HUGHES, DENNIS</t>
  </si>
  <si>
    <t>OAKES, JANET</t>
  </si>
  <si>
    <t>ARNOLD, JENNIFER</t>
  </si>
  <si>
    <t>JAYROE, JOHN</t>
  </si>
  <si>
    <t>DAVIDSON, JAMES</t>
  </si>
  <si>
    <t>BODIFORD, KACEE</t>
  </si>
  <si>
    <t>GOTHARD, CHARLES</t>
  </si>
  <si>
    <t>KELAMIS, TAYLOR</t>
  </si>
  <si>
    <t>DOUGLAS, BELINDA</t>
  </si>
  <si>
    <t>MOORE, JOYCE</t>
  </si>
  <si>
    <t>MILLER, KRYSTAL</t>
  </si>
  <si>
    <t>KESSINGER-MCCROSKEY, TIMOTHY</t>
  </si>
  <si>
    <t>PIGHEE, TIFFANY</t>
  </si>
  <si>
    <t>THOMAS, MEGAN</t>
  </si>
  <si>
    <t>HARDWICK, COLLIN</t>
  </si>
  <si>
    <t>BECKER, MARILYN</t>
  </si>
  <si>
    <t>JACKSON-LOCKYER, MARGO</t>
  </si>
  <si>
    <t>AMOS, REBECCA</t>
  </si>
  <si>
    <t>ESTES, ELIZABETH</t>
  </si>
  <si>
    <t>HODGE, KELLY</t>
  </si>
  <si>
    <t>STANLEY, RACHEL</t>
  </si>
  <si>
    <t>HICKS, TAMMY</t>
  </si>
  <si>
    <t>MYER, TONI</t>
  </si>
  <si>
    <t>MERRITT, JAMES</t>
  </si>
  <si>
    <t>MOONEYHAM, MANDY</t>
  </si>
  <si>
    <t>MCRAVEN, JAMES</t>
  </si>
  <si>
    <t>KAKKERA, KRISHNA SIVA SAI</t>
  </si>
  <si>
    <t>COPPOLA, ANDREW</t>
  </si>
  <si>
    <t>QUICK, AMANDA</t>
  </si>
  <si>
    <t>FUNDERBURG, KELLEY</t>
  </si>
  <si>
    <t>BROWN, NATALIE</t>
  </si>
  <si>
    <t>KENDRICK, JORDAN</t>
  </si>
  <si>
    <t>MCLAIN, LAYNE</t>
  </si>
  <si>
    <t>ALLOWAY, TAYLOR</t>
  </si>
  <si>
    <t>STORM, DAVID</t>
  </si>
  <si>
    <t>COBB, CARRIE</t>
  </si>
  <si>
    <t>BURROW, TANCI</t>
  </si>
  <si>
    <t>STONE, LESLIE</t>
  </si>
  <si>
    <t>BANDA, ELIZABETH</t>
  </si>
  <si>
    <t>BACKUS, AMY</t>
  </si>
  <si>
    <t>CARD, PEYTON</t>
  </si>
  <si>
    <t>HUBBARD, MICAH</t>
  </si>
  <si>
    <t>WOMBLE, JESSICA</t>
  </si>
  <si>
    <t>BELANGER, ROBINA</t>
  </si>
  <si>
    <t>WASHINGTON, JERLENE</t>
  </si>
  <si>
    <t>MAPLES, AMBER</t>
  </si>
  <si>
    <t>FRAZIER, ARIELLA</t>
  </si>
  <si>
    <t>KRZYZKOWSKI, KENNETH</t>
  </si>
  <si>
    <t>HUDMAN, RACHEL</t>
  </si>
  <si>
    <t>HERRON, KATINA</t>
  </si>
  <si>
    <t>HARTMAN, JOSHUA</t>
  </si>
  <si>
    <t>KIRTANE, SAMEER</t>
  </si>
  <si>
    <t>LEE, FEI</t>
  </si>
  <si>
    <t>PHILAMLEE, WHITNEY</t>
  </si>
  <si>
    <t>HARDEN, STEFANIE</t>
  </si>
  <si>
    <t>BLAIR, KYLE</t>
  </si>
  <si>
    <t>SIDAROUS, PETER</t>
  </si>
  <si>
    <t>NEAL, EMILY</t>
  </si>
  <si>
    <t>TESTER, KAREN</t>
  </si>
  <si>
    <t>WONG, BRIAN</t>
  </si>
  <si>
    <t>SWITZER, ASHLEY</t>
  </si>
  <si>
    <t>HUSSAIN, RAZA</t>
  </si>
  <si>
    <t>HUYNH, JUSTIN</t>
  </si>
  <si>
    <t>FRANCISQUE, FRANTZ</t>
  </si>
  <si>
    <t>HASAN, SYED</t>
  </si>
  <si>
    <t>RAGLAND, AMANDA</t>
  </si>
  <si>
    <t>COLLIER, RAYMOND</t>
  </si>
  <si>
    <t>RAYMOND, GINA</t>
  </si>
  <si>
    <t>GRAY, FRANKLIN</t>
  </si>
  <si>
    <t>KUEHL, MELISSA</t>
  </si>
  <si>
    <t>THOMPSON, CHAD</t>
  </si>
  <si>
    <t>JONES, LINDA</t>
  </si>
  <si>
    <t>SPECKER, EMILY</t>
  </si>
  <si>
    <t>CASSINELLI, COURTNEY</t>
  </si>
  <si>
    <t>CARR, KIMBERLY</t>
  </si>
  <si>
    <t>RICHISON, GEORGE</t>
  </si>
  <si>
    <t>MOURY, KAYLA</t>
  </si>
  <si>
    <t>O'SULLIVAN, KEVIN</t>
  </si>
  <si>
    <t>HURST, CRYSTAL</t>
  </si>
  <si>
    <t>OLINGER, ANDREW</t>
  </si>
  <si>
    <t>GATLIN, CARMEN</t>
  </si>
  <si>
    <t>CHAFFEE, KRISTIN</t>
  </si>
  <si>
    <t>GHNEIM, ZIAD</t>
  </si>
  <si>
    <t>MARTIN, JENNIFER</t>
  </si>
  <si>
    <t>MUSE, KEECHIA</t>
  </si>
  <si>
    <t>LIGON, HALEY</t>
  </si>
  <si>
    <t>ANTHONY, KEATA</t>
  </si>
  <si>
    <t>PULLIAM, JOE</t>
  </si>
  <si>
    <t>SHAKOOR, MUHAMMAD</t>
  </si>
  <si>
    <t>ROSEN, SCOTT</t>
  </si>
  <si>
    <t>SLAVIK, JULIE</t>
  </si>
  <si>
    <t>PATRICK, DONALD</t>
  </si>
  <si>
    <t>CHALIGOJ, SAMANTHA</t>
  </si>
  <si>
    <t>CHENOWITH, BOBBI</t>
  </si>
  <si>
    <t>DAVIS, ALEXANDRIA</t>
  </si>
  <si>
    <t>SMITH, ANDREW</t>
  </si>
  <si>
    <t>JONES, MARIE</t>
  </si>
  <si>
    <t>SMITH, BRENAN</t>
  </si>
  <si>
    <t>TROUTMAN, TYLER</t>
  </si>
  <si>
    <t>BATTY, LADONNA</t>
  </si>
  <si>
    <t>ABERNATHY, TORI</t>
  </si>
  <si>
    <t>HORTON, KATRYNA</t>
  </si>
  <si>
    <t>GOODWIN, TARA</t>
  </si>
  <si>
    <t>CASTLEMAN, SARAH</t>
  </si>
  <si>
    <t>MITCHELL, HILLARY</t>
  </si>
  <si>
    <t>DANZIGER, PENINA</t>
  </si>
  <si>
    <t>WRIGHT, MELISSA</t>
  </si>
  <si>
    <t>GRANT, ALISSA</t>
  </si>
  <si>
    <t>RAGHAVAN, KAVITHA</t>
  </si>
  <si>
    <t>RENNO, MARKUS</t>
  </si>
  <si>
    <t>WESTON, SARAH</t>
  </si>
  <si>
    <t>REED, SARA</t>
  </si>
  <si>
    <t>CARPENTER, JAMIE</t>
  </si>
  <si>
    <t>SHUKLA, ANKITA</t>
  </si>
  <si>
    <t>SMITH, SHERRIE</t>
  </si>
  <si>
    <t>SANDERS, SARA</t>
  </si>
  <si>
    <t>HOLMES, ADELE</t>
  </si>
  <si>
    <t>DOSUNMU-OGUNBI, SESI</t>
  </si>
  <si>
    <t>PEREZ, SARAH</t>
  </si>
  <si>
    <t>GAINES, GRANT</t>
  </si>
  <si>
    <t>CHAN, CAMILLE</t>
  </si>
  <si>
    <t>SIMPSON, LINDSAY</t>
  </si>
  <si>
    <t>DOWDEN, CARL</t>
  </si>
  <si>
    <t>BILBRUCK, LAURA</t>
  </si>
  <si>
    <t>NICHOLS, KODY</t>
  </si>
  <si>
    <t>DALABIH, SEVILAY</t>
  </si>
  <si>
    <t>MALONE, MATTHEW</t>
  </si>
  <si>
    <t>MERRICK, ASHLEY</t>
  </si>
  <si>
    <t>SHIVARAM, PUSHPA</t>
  </si>
  <si>
    <t>BAUER, HANNAH</t>
  </si>
  <si>
    <t>RENNO, HANNAH</t>
  </si>
  <si>
    <t>SHARMA, MEGHA</t>
  </si>
  <si>
    <t>RILEY, CHRISTOPHER</t>
  </si>
  <si>
    <t>VINSON, JANELL</t>
  </si>
  <si>
    <t>PERIN, REBECCA</t>
  </si>
  <si>
    <t>KILGORE, APRIL</t>
  </si>
  <si>
    <t>KREBEL, STEVEN</t>
  </si>
  <si>
    <t>BAKKE, JOSHUA</t>
  </si>
  <si>
    <t>MATLOCK, DAVID</t>
  </si>
  <si>
    <t>MEISTER, CAYLIN</t>
  </si>
  <si>
    <t>GAJARE, ANIL</t>
  </si>
  <si>
    <t>SHIPMAN, SAMANTHA</t>
  </si>
  <si>
    <t>DEPALMA-DUERSCH, JENNIFER</t>
  </si>
  <si>
    <t>GARTRELL, JESSICA</t>
  </si>
  <si>
    <t>CECIL, SHAWN</t>
  </si>
  <si>
    <t>KROHN, MEREDITH</t>
  </si>
  <si>
    <t>EUBANKS, CHENIA</t>
  </si>
  <si>
    <t>DUPUIS, GREGORY</t>
  </si>
  <si>
    <t>BARR, FREDERICK</t>
  </si>
  <si>
    <t>NIKBAKHT, STEPHANIE</t>
  </si>
  <si>
    <t>PHILLIPS, MICHELLE</t>
  </si>
  <si>
    <t>KELLY, JENNIFER</t>
  </si>
  <si>
    <t>MACNEIL, JULIE</t>
  </si>
  <si>
    <t>STRELSIN, JENNY</t>
  </si>
  <si>
    <t>ARARAT, ERHAN</t>
  </si>
  <si>
    <t>WIENECKE, MEGAN</t>
  </si>
  <si>
    <t>WOOLDRIDGE, TERRY</t>
  </si>
  <si>
    <t>MURRAY, LIZA</t>
  </si>
  <si>
    <t>KORDSMEIER, EMILY</t>
  </si>
  <si>
    <t>YOUNG, MICHELE</t>
  </si>
  <si>
    <t>PHAM, SARAH</t>
  </si>
  <si>
    <t>MAURIZI, LAURA</t>
  </si>
  <si>
    <t>PERSHAD, JAY</t>
  </si>
  <si>
    <t>DOKANIA, GUNJAN</t>
  </si>
  <si>
    <t>DALTON, CHRISTINA</t>
  </si>
  <si>
    <t>NUNEZ, CHRISTIAN</t>
  </si>
  <si>
    <t>COOKSEY, KIMBERLY</t>
  </si>
  <si>
    <t>JOHNSON, SASHA</t>
  </si>
  <si>
    <t>CHINNAIYAN, PREMNATH</t>
  </si>
  <si>
    <t>NUNEZ, JEANNE</t>
  </si>
  <si>
    <t>WINNINGHAM, JOHN</t>
  </si>
  <si>
    <t>ROBINSON, SARAH</t>
  </si>
  <si>
    <t>WOODRIDGE NORTHEAST, LLC</t>
  </si>
  <si>
    <t>RIVERRIDGE TREATMENT CENTER</t>
  </si>
  <si>
    <t>BAPTIST HEALTH REGIONAL HOSPITALS</t>
  </si>
  <si>
    <t>FAIRHAVEN HOLDINGS, LLC</t>
  </si>
  <si>
    <t>CLHG - MINDEN, LLC</t>
  </si>
  <si>
    <t>NATURAL STATE RECOVERY CENTER LLC</t>
  </si>
  <si>
    <t>SHOOK, KATHERINE</t>
  </si>
  <si>
    <t>ALDEN, BRETT</t>
  </si>
  <si>
    <t>THOMPSON, CLARK</t>
  </si>
  <si>
    <t>PARKER, HEATHER</t>
  </si>
  <si>
    <t>HUTCHINS, AMANDA</t>
  </si>
  <si>
    <t>HAIR, KELLY</t>
  </si>
  <si>
    <t>VENHAUS, CONNIE</t>
  </si>
  <si>
    <t>COOK, YVONNE</t>
  </si>
  <si>
    <t>BUSBY, ERIC</t>
  </si>
  <si>
    <t>ENSINGER, STEPHANIE</t>
  </si>
  <si>
    <t>LITZINGER, STEPHANIE</t>
  </si>
  <si>
    <t>CAMP, JANIS</t>
  </si>
  <si>
    <t>TINSLEY, KENDYL</t>
  </si>
  <si>
    <t>SORENSEN, SETH</t>
  </si>
  <si>
    <t>HENRY, BRANDEN</t>
  </si>
  <si>
    <t>BANERJEE, PRIYA</t>
  </si>
  <si>
    <t>WALKER, RHIANNON</t>
  </si>
  <si>
    <t>FREER, AMY</t>
  </si>
  <si>
    <t>SCHALOW, JENNIFER</t>
  </si>
  <si>
    <t>CANNON, HOLLY</t>
  </si>
  <si>
    <t>LOGSDON, WENDY</t>
  </si>
  <si>
    <t>STEINFELD, DAVID</t>
  </si>
  <si>
    <t>SPOHN, REBECCA</t>
  </si>
  <si>
    <t>HOWARD, ANGELA</t>
  </si>
  <si>
    <t>JAMES, NICHOLE</t>
  </si>
  <si>
    <t>SPICER, MARIEL</t>
  </si>
  <si>
    <t>HOLIFIELD, PEGGY</t>
  </si>
  <si>
    <t>WADE, DEBRA</t>
  </si>
  <si>
    <t>SEUBOLD, JONATHAN</t>
  </si>
  <si>
    <t>NARDI, CAROLINE</t>
  </si>
  <si>
    <t>VANWIE, MOLLY</t>
  </si>
  <si>
    <t>KUYKENDALL, SHEALTIEL</t>
  </si>
  <si>
    <t>ENGLISH, DEEANN</t>
  </si>
  <si>
    <t>LEWALLEN, JASON</t>
  </si>
  <si>
    <t>RHAMES, KATE</t>
  </si>
  <si>
    <t>KILLIAN, BRITTANY</t>
  </si>
  <si>
    <t>GRIFFIN, ELISE</t>
  </si>
  <si>
    <t>MCDERMOTT, CHANCE</t>
  </si>
  <si>
    <t>PETERS, ANGELA</t>
  </si>
  <si>
    <t>HOGUE, HAYLEY</t>
  </si>
  <si>
    <t>MURDOCK, FRANCES</t>
  </si>
  <si>
    <t>DRURY, WADE</t>
  </si>
  <si>
    <t>MERRIOTT, MICHELLE</t>
  </si>
  <si>
    <t>MCEUEN, MATTHEW</t>
  </si>
  <si>
    <t>ANDERSON, JARROD</t>
  </si>
  <si>
    <t>HARRISON, WANSLEY</t>
  </si>
  <si>
    <t>WOODS, JAMI</t>
  </si>
  <si>
    <t>BALDWIN, LISA</t>
  </si>
  <si>
    <t>NORTHRIP, ERIN</t>
  </si>
  <si>
    <t>ELLIS, KIMBERLY</t>
  </si>
  <si>
    <t>CAMPBELL, EDNA</t>
  </si>
  <si>
    <t>AYECOCK, REBEKAH</t>
  </si>
  <si>
    <t>GAUTIER, KELLYE</t>
  </si>
  <si>
    <t>COFFMAN, KRISTEN</t>
  </si>
  <si>
    <t>VANNESS, CAMILLE</t>
  </si>
  <si>
    <t>ANDERSON, KYLE</t>
  </si>
  <si>
    <t>CHAPMAN-HENRY, HEATHER</t>
  </si>
  <si>
    <t>STEWARD, ASHLEY</t>
  </si>
  <si>
    <t>MCCRACKEN, GLENN</t>
  </si>
  <si>
    <t>MITCHELL, JEFFREY</t>
  </si>
  <si>
    <t>ALLEN, TANA</t>
  </si>
  <si>
    <t>HARRIS, JORDAN</t>
  </si>
  <si>
    <t>MATTHEWS, CARA</t>
  </si>
  <si>
    <t>MIX, WHITNEY</t>
  </si>
  <si>
    <t>ORMSBY, KATRINA</t>
  </si>
  <si>
    <t>WALLACE, SUSAN 'SUZI'</t>
  </si>
  <si>
    <t>HASELOW, TRACY</t>
  </si>
  <si>
    <t>MITCHAEL, LAUREN</t>
  </si>
  <si>
    <t>WILSON, MARGARET</t>
  </si>
  <si>
    <t>PAUL, LISA</t>
  </si>
  <si>
    <t>COWAN, STANLEY</t>
  </si>
  <si>
    <t>GARRARD, CHEVON</t>
  </si>
  <si>
    <t>CRAIN, KRISTAN</t>
  </si>
  <si>
    <t>SCOTT, BRADLEY</t>
  </si>
  <si>
    <t>CROY, AARON</t>
  </si>
  <si>
    <t>KARNES, ALISON</t>
  </si>
  <si>
    <t>MAURER, GAIL</t>
  </si>
  <si>
    <t>JOHNSON-MARTIN, YOLANDA</t>
  </si>
  <si>
    <t>MATHES, SANDRA</t>
  </si>
  <si>
    <t>STARK, JEREMY</t>
  </si>
  <si>
    <t>COLEMAN, PAULA</t>
  </si>
  <si>
    <t>RING, CHRISTIE</t>
  </si>
  <si>
    <t>LE, IVY</t>
  </si>
  <si>
    <t>WILKIRSON, RUTH</t>
  </si>
  <si>
    <t>LOVE, LISA</t>
  </si>
  <si>
    <t>TUCKER, JUSTINE</t>
  </si>
  <si>
    <t>HERMAN, GINNY</t>
  </si>
  <si>
    <t>HEDINGER, EDWARD</t>
  </si>
  <si>
    <t>HANEEF, SAADIA</t>
  </si>
  <si>
    <t>SEATON, ZACHARY</t>
  </si>
  <si>
    <t>WATTS, LAUREN</t>
  </si>
  <si>
    <t>PRIETO, BRYANT</t>
  </si>
  <si>
    <t>JONES, MELANIE</t>
  </si>
  <si>
    <t>INNESS, KELDA</t>
  </si>
  <si>
    <t>LONG, JENNI</t>
  </si>
  <si>
    <t>STELL, EMILY</t>
  </si>
  <si>
    <t>MORRIS, TIA</t>
  </si>
  <si>
    <t>NORRIS, JOHN</t>
  </si>
  <si>
    <t>BOSLEY, EUDY</t>
  </si>
  <si>
    <t>WOLFE, BRANDON</t>
  </si>
  <si>
    <t>LASTER, RHONDA</t>
  </si>
  <si>
    <t>MYERS, PAMELA</t>
  </si>
  <si>
    <t>COFFMAN, JULIA</t>
  </si>
  <si>
    <t>MOORE, KIMBERLY</t>
  </si>
  <si>
    <t>NIELSEN, ERIKA</t>
  </si>
  <si>
    <t>LANDRUM, ALICIA</t>
  </si>
  <si>
    <t>ROGERS, TEMIKA</t>
  </si>
  <si>
    <t>WOLFE, SHELLY</t>
  </si>
  <si>
    <t>MARTINEZ, JOHN</t>
  </si>
  <si>
    <t>CROSS, DATONNA</t>
  </si>
  <si>
    <t>LEE, REBECCA</t>
  </si>
  <si>
    <t>TATE, CARRIE</t>
  </si>
  <si>
    <t>WEBB, REBECCA</t>
  </si>
  <si>
    <t>WORLEY, MARK</t>
  </si>
  <si>
    <t>REESE, SANDRA</t>
  </si>
  <si>
    <t>PATTERSON, JENNIFER</t>
  </si>
  <si>
    <t>WILCOX, HAZEL</t>
  </si>
  <si>
    <t>GIBBS, RENEE</t>
  </si>
  <si>
    <t>ROBERTS, GREGORY</t>
  </si>
  <si>
    <t>CHAISSON, ELIZABETH</t>
  </si>
  <si>
    <t>PRUITT, ANGELA</t>
  </si>
  <si>
    <t>IRBY, SARAH</t>
  </si>
  <si>
    <t>PRICE, DEDRA</t>
  </si>
  <si>
    <t>JENSON, CHARLES</t>
  </si>
  <si>
    <t>MCCRAY, KRISTEN</t>
  </si>
  <si>
    <t>CLEMENT, LINDA</t>
  </si>
  <si>
    <t>PRICE, LINDA</t>
  </si>
  <si>
    <t>COOPER, ANEITA</t>
  </si>
  <si>
    <t>ATKINSON, KEVIN</t>
  </si>
  <si>
    <t>THOMAS, HALEY</t>
  </si>
  <si>
    <t>RIOS, NICHOLAS</t>
  </si>
  <si>
    <t>HALL, LAURA</t>
  </si>
  <si>
    <t>FORREST, CAITLIN</t>
  </si>
  <si>
    <t>RUSK, AMY</t>
  </si>
  <si>
    <t>KLEIN, MANDY</t>
  </si>
  <si>
    <t>KEESLING, WILLIAM</t>
  </si>
  <si>
    <t>KNAPPLE, SHELBY</t>
  </si>
  <si>
    <t>LEFERE, JULIE</t>
  </si>
  <si>
    <t>WEISS, JULES</t>
  </si>
  <si>
    <t>SUMMERS-PUCKETT, GOLDEN</t>
  </si>
  <si>
    <t>STEIN, ROBIN</t>
  </si>
  <si>
    <t>WINBUSH, KRISTIN</t>
  </si>
  <si>
    <t>BOYD, DAVID</t>
  </si>
  <si>
    <t>JAMES BRYSON, SARAH</t>
  </si>
  <si>
    <t>WALLACE, MORGAN</t>
  </si>
  <si>
    <t>CARBAJAL CACEDA, JESSICA</t>
  </si>
  <si>
    <t>MURPHY, SHEILA</t>
  </si>
  <si>
    <t>SCOTT, DESHON</t>
  </si>
  <si>
    <t>SMOLINSKI, ALLYSON</t>
  </si>
  <si>
    <t>PHOUMIVONG, KENDRA</t>
  </si>
  <si>
    <t>WILL, DANELL</t>
  </si>
  <si>
    <t>THOMPSON, RAJHI</t>
  </si>
  <si>
    <t>MOORE, TAMMI</t>
  </si>
  <si>
    <t>DECOSTER, MARLA</t>
  </si>
  <si>
    <t>CRAVENS, BENJAMIN</t>
  </si>
  <si>
    <t>CAVANESS, MIRANDA</t>
  </si>
  <si>
    <t>PRESTRIDGE, TARA</t>
  </si>
  <si>
    <t>BEASON, LOREN</t>
  </si>
  <si>
    <t>HASKINS, JANA</t>
  </si>
  <si>
    <t>BEEVERS, JACQUELYN</t>
  </si>
  <si>
    <t>CARVALHAES, MARIA</t>
  </si>
  <si>
    <t>BAYLESS, JILL</t>
  </si>
  <si>
    <t>TAYLOR, KATEY</t>
  </si>
  <si>
    <t>SANDERS, SANDRA</t>
  </si>
  <si>
    <t>JOHNSON, JEROD</t>
  </si>
  <si>
    <t>PRYOR, KAYE</t>
  </si>
  <si>
    <t>MILLER, HELEN</t>
  </si>
  <si>
    <t>DOBBS, ANNA</t>
  </si>
  <si>
    <t>LOWERY, SARAH</t>
  </si>
  <si>
    <t>MCKEIGNEY-CHILDS, AMANDA</t>
  </si>
  <si>
    <t>JONES, TAMMY</t>
  </si>
  <si>
    <t>CLARK, AMBER</t>
  </si>
  <si>
    <t>SCHOLL, BRANDY</t>
  </si>
  <si>
    <t>MURPHY, CHERYL</t>
  </si>
  <si>
    <t>MAYS, ERICKA</t>
  </si>
  <si>
    <t>HAMPTON, CYNTHIA</t>
  </si>
  <si>
    <t>SHELTON, JESSICA</t>
  </si>
  <si>
    <t>PROTHRO, KELSEY</t>
  </si>
  <si>
    <t>ALLBRIGHT, WILLIAM</t>
  </si>
  <si>
    <t>PENNINGTON, JEANNA</t>
  </si>
  <si>
    <t>LLOYD, RICHARD</t>
  </si>
  <si>
    <t>GRIMWOOD, MARYAM</t>
  </si>
  <si>
    <t>MCLENDON, KATHERYN</t>
  </si>
  <si>
    <t>SAMUEL, LANDON</t>
  </si>
  <si>
    <t>WELLS, ANNA</t>
  </si>
  <si>
    <t>PROVEAUX, MICHAEL</t>
  </si>
  <si>
    <t>TAYLOR, STEPHANIE</t>
  </si>
  <si>
    <t>BYRD, REBA</t>
  </si>
  <si>
    <t>FOX - COX, KAYLEE</t>
  </si>
  <si>
    <t>MCCAFFREY, SAMANTHA</t>
  </si>
  <si>
    <t>BREWSTER, LINDA</t>
  </si>
  <si>
    <t>TWEEDY, LATONIA</t>
  </si>
  <si>
    <t>LAFAYETTE, LASHONDA</t>
  </si>
  <si>
    <t>DAWSON, SHELBI</t>
  </si>
  <si>
    <t>ESPINOZA-MADRID, CRISTIAM</t>
  </si>
  <si>
    <t>DAUGHERTY, AMY</t>
  </si>
  <si>
    <t>STEHLE, BRANDIN</t>
  </si>
  <si>
    <t>MCSPADDEN, APRIL</t>
  </si>
  <si>
    <t>SCHNEIDER, DAVID</t>
  </si>
  <si>
    <t>WRIGHT, CRAIG</t>
  </si>
  <si>
    <t>HOSTETLER, ALISA</t>
  </si>
  <si>
    <t>JOBE, BRIAN</t>
  </si>
  <si>
    <t>ROSENBAUM, WHITNEY</t>
  </si>
  <si>
    <t>TYLER, LAURA</t>
  </si>
  <si>
    <t>TRAUTMAN, LUCAS</t>
  </si>
  <si>
    <t>WILSON, CARMILYA</t>
  </si>
  <si>
    <t>BAKER, TONEISHA</t>
  </si>
  <si>
    <t>SHERMAN-HESTER, KELLY</t>
  </si>
  <si>
    <t>BLACKBURN, CARLA</t>
  </si>
  <si>
    <t>TRIPP, TAMMY</t>
  </si>
  <si>
    <t>HEBERT, STEPHANIE</t>
  </si>
  <si>
    <t>CHAMBERS, HOLLY</t>
  </si>
  <si>
    <t>FARMER, SHAWNTE</t>
  </si>
  <si>
    <t>SOMNER, LILLIAN</t>
  </si>
  <si>
    <t>ASSADI, ARESH</t>
  </si>
  <si>
    <t>FINKUS, TASHA</t>
  </si>
  <si>
    <t>RAZOR, LINDA</t>
  </si>
  <si>
    <t>MCCOY, KELLEE</t>
  </si>
  <si>
    <t>CLARK, KEVIN</t>
  </si>
  <si>
    <t>BAKER, AMY</t>
  </si>
  <si>
    <t>GROUP, MEGAN</t>
  </si>
  <si>
    <t>KYLES JACKSON, TIA</t>
  </si>
  <si>
    <t>FINK, KELSEY</t>
  </si>
  <si>
    <t>TRAN, KAMIRON</t>
  </si>
  <si>
    <t>YELLS, KRISTINE</t>
  </si>
  <si>
    <t>DENNIS, MICHAEL</t>
  </si>
  <si>
    <t>HARDIMAN, DEANNA</t>
  </si>
  <si>
    <t>ZIELINSKI, MELISSA</t>
  </si>
  <si>
    <t>LIMOGES, CHERYE</t>
  </si>
  <si>
    <t>RHODES, KATHRYN</t>
  </si>
  <si>
    <t>MARTIN, CARIN</t>
  </si>
  <si>
    <t>HARDEE, RAELYN</t>
  </si>
  <si>
    <t>FORRESTER, KERI</t>
  </si>
  <si>
    <t>CATALANO, LINDA</t>
  </si>
  <si>
    <t>WRIGHT, KAREN</t>
  </si>
  <si>
    <t>HEAD, MICHELLE</t>
  </si>
  <si>
    <t>CAMPAGNA, ANGELA</t>
  </si>
  <si>
    <t>DAVIS, KIMBERLY</t>
  </si>
  <si>
    <t>STONE, LACI</t>
  </si>
  <si>
    <t>PATE, RILEY</t>
  </si>
  <si>
    <t>GRUSING, MINDY</t>
  </si>
  <si>
    <t>AITCHISON, GREGORY</t>
  </si>
  <si>
    <t>HOLLADAY-COFFMAN, RACHEL</t>
  </si>
  <si>
    <t>STAGGS, ISABELLE</t>
  </si>
  <si>
    <t>JACKSON, MELISSA</t>
  </si>
  <si>
    <t>MCMAHAN, BETSY</t>
  </si>
  <si>
    <t>BUTLER, DEBRA</t>
  </si>
  <si>
    <t>KENNEDY, TRACY</t>
  </si>
  <si>
    <t>WILLIS, TRISHA</t>
  </si>
  <si>
    <t>CAGLE, TIFFANY</t>
  </si>
  <si>
    <t>FERRELL, LAKEISHA</t>
  </si>
  <si>
    <t>GOULD, AMANDA</t>
  </si>
  <si>
    <t>POLLY, TRACY</t>
  </si>
  <si>
    <t>BROCK, LISA</t>
  </si>
  <si>
    <t>GRAY, ANGELICA</t>
  </si>
  <si>
    <t>ARNELL, STACY</t>
  </si>
  <si>
    <t>LANDRY, KRISTINA</t>
  </si>
  <si>
    <t>RYAN-MCGEHEE, MAUREEN</t>
  </si>
  <si>
    <t>BOLIN, BETINA</t>
  </si>
  <si>
    <t>CORBETT, BRANDON</t>
  </si>
  <si>
    <t>BURNS, TRISHA</t>
  </si>
  <si>
    <t>LAJEUNESSE, MARY</t>
  </si>
  <si>
    <t>FENDLEY, SHAYNA</t>
  </si>
  <si>
    <t>GARTRELL, BROOKLYN</t>
  </si>
  <si>
    <t>ALTHOFF, DON</t>
  </si>
  <si>
    <t>DAVIS, MACKENZI</t>
  </si>
  <si>
    <t>SUMMERS, EMILY</t>
  </si>
  <si>
    <t>LOPEZ, SHAWN</t>
  </si>
  <si>
    <t>MILLER, WHITNEY</t>
  </si>
  <si>
    <t>BOKKER, ARIC</t>
  </si>
  <si>
    <t>HUYNH, NGA</t>
  </si>
  <si>
    <t>HAMILTON, AMANDA</t>
  </si>
  <si>
    <t>WILLIS, CODY</t>
  </si>
  <si>
    <t>BENSON, KENDRA</t>
  </si>
  <si>
    <t>TONEY CLARK, DETRA</t>
  </si>
  <si>
    <t>HECKATHORN, DANETTE</t>
  </si>
  <si>
    <t>WILSON, CHRISTINE</t>
  </si>
  <si>
    <t>DEARINGER, JESSICA</t>
  </si>
  <si>
    <t>TOTTEN, CATHERINE</t>
  </si>
  <si>
    <t>ESCALANTE, STANLEY</t>
  </si>
  <si>
    <t>TAYLOR, AMBER</t>
  </si>
  <si>
    <t>MAGNESS, CINDY</t>
  </si>
  <si>
    <t>WOOD, ERIKA</t>
  </si>
  <si>
    <t>SCHWARZ, MICHAEL</t>
  </si>
  <si>
    <t>YOCUM, JESSAMINE</t>
  </si>
  <si>
    <t>BAUER, MYRA</t>
  </si>
  <si>
    <t>TELLES, BRANDI</t>
  </si>
  <si>
    <t>OLIVER, WADEAN</t>
  </si>
  <si>
    <t>MCCLEARY, CHRISTOPHER</t>
  </si>
  <si>
    <t>EISENHAUER, GAIL</t>
  </si>
  <si>
    <t>DUFFOURC, RENE</t>
  </si>
  <si>
    <t>FAHOUM, YOUSEF</t>
  </si>
  <si>
    <t>COLLINS, ASHLEA</t>
  </si>
  <si>
    <t>INGRAM, RHONDA</t>
  </si>
  <si>
    <t>BISHOP, KATHERINE</t>
  </si>
  <si>
    <t>NEIGHBORS, RODNEY</t>
  </si>
  <si>
    <t>WERNER, VICTOR</t>
  </si>
  <si>
    <t>BAUKNIGHT, NICHOLE</t>
  </si>
  <si>
    <t>HANNAH, LAUREN</t>
  </si>
  <si>
    <t>BURNS, AMY</t>
  </si>
  <si>
    <t>PANTIER, MARGENA</t>
  </si>
  <si>
    <t>HEAD, ASHLEY</t>
  </si>
  <si>
    <t>HADDOCK, DORINDA</t>
  </si>
  <si>
    <t>LANE, LAUREN</t>
  </si>
  <si>
    <t>WHITLOW, STUART</t>
  </si>
  <si>
    <t>RAY, ASHLEY</t>
  </si>
  <si>
    <t>SIVAGE, KALLY</t>
  </si>
  <si>
    <t>BLAIR, BRITTANY</t>
  </si>
  <si>
    <t>FINKBEINER, TEESHA</t>
  </si>
  <si>
    <t>GEORGE, ASHLEY</t>
  </si>
  <si>
    <t>HENSON, KERI</t>
  </si>
  <si>
    <t>BURNETT, WILLIAM</t>
  </si>
  <si>
    <t>EAVES, AMANDA</t>
  </si>
  <si>
    <t>KEATHLEY, JUSTIN</t>
  </si>
  <si>
    <t>ALLISON, PATRICIA</t>
  </si>
  <si>
    <t>TODD, JOHN</t>
  </si>
  <si>
    <t>TRULL, JEREMY</t>
  </si>
  <si>
    <t>BAKER, MICAH</t>
  </si>
  <si>
    <t>SCHAY, JOHN</t>
  </si>
  <si>
    <t>MCARTHUR, ALLISON</t>
  </si>
  <si>
    <t>SANDUSKY, WESTON</t>
  </si>
  <si>
    <t>BAUMBERGER, MARY</t>
  </si>
  <si>
    <t>HOUSE, KENNETH</t>
  </si>
  <si>
    <t>CROW, CATHRYN</t>
  </si>
  <si>
    <t>MELLOW, ALAN</t>
  </si>
  <si>
    <t>WALLIS, DEBORAH</t>
  </si>
  <si>
    <t>BUXTON, CHARL</t>
  </si>
  <si>
    <t>LINDLEY, MARGARET</t>
  </si>
  <si>
    <t>NORTON, THOMAS</t>
  </si>
  <si>
    <t>HICKS, TONI</t>
  </si>
  <si>
    <t>HARLIN, ERIC</t>
  </si>
  <si>
    <t>KIRK, APRIL</t>
  </si>
  <si>
    <t>PRESTON, JESSICA</t>
  </si>
  <si>
    <t>SMITH-DANDRIDGE, JUDY</t>
  </si>
  <si>
    <t>MITCHEL, BRANDY</t>
  </si>
  <si>
    <t>WHITLOW, MELISSA</t>
  </si>
  <si>
    <t>WALKER, STEPHEN</t>
  </si>
  <si>
    <t>FOSTER, LINDSEY</t>
  </si>
  <si>
    <t>MCGILVRAY, CECELIA</t>
  </si>
  <si>
    <t>MERRITT, BENJAMIN</t>
  </si>
  <si>
    <t>NEAL, TAYLOR</t>
  </si>
  <si>
    <t>BROWN, TRINITY</t>
  </si>
  <si>
    <t>MCCOOL, MARTHA</t>
  </si>
  <si>
    <t>TINSLEY, SARA</t>
  </si>
  <si>
    <t>ROBY, WARREN</t>
  </si>
  <si>
    <t>SANDLIN, LUCAS</t>
  </si>
  <si>
    <t>FRANK, JAMIE</t>
  </si>
  <si>
    <t>MERRITT, MISTY</t>
  </si>
  <si>
    <t>PARSONS, CHAD</t>
  </si>
  <si>
    <t>KOSCHMANN, BRANDI</t>
  </si>
  <si>
    <t>GRAY, GARY</t>
  </si>
  <si>
    <t>HARLAN, LEE</t>
  </si>
  <si>
    <t>WYSOCKI, DANIEL</t>
  </si>
  <si>
    <t>ROBERSON, DUSTIN</t>
  </si>
  <si>
    <t>ALBUJA, PABLO</t>
  </si>
  <si>
    <t>SMITH, VICKIE</t>
  </si>
  <si>
    <t>HIGGINBOTTOM, JULIENNE</t>
  </si>
  <si>
    <t>DEVORE, SHARON</t>
  </si>
  <si>
    <t>BOHN, MARY</t>
  </si>
  <si>
    <t>SIMPSON, JOHNATHAN</t>
  </si>
  <si>
    <t>BINGHAM, ANNA</t>
  </si>
  <si>
    <t>NICHOLSON, ALICIA</t>
  </si>
  <si>
    <t>MOSELEY, MICHELLE</t>
  </si>
  <si>
    <t>GHORMLEY, NANCY</t>
  </si>
  <si>
    <t>LIVINGSTON, ELIZABETH</t>
  </si>
  <si>
    <t>TUCKER, JEANNIE</t>
  </si>
  <si>
    <t>MCKELLAR, KANDY</t>
  </si>
  <si>
    <t>DILL, NICOLE</t>
  </si>
  <si>
    <t>LAWRENCE, CHRISTA</t>
  </si>
  <si>
    <t>EVERETT, JOSHUA</t>
  </si>
  <si>
    <t>OLSON, ERICA</t>
  </si>
  <si>
    <t>TAYLOR, SHARON</t>
  </si>
  <si>
    <t>PIGOTT, KIMBERLI</t>
  </si>
  <si>
    <t>THOMPSON, ANNIE</t>
  </si>
  <si>
    <t>JENKINS, TISHA</t>
  </si>
  <si>
    <t>DRAINE, CIERA</t>
  </si>
  <si>
    <t>KNIEP, JULIANA</t>
  </si>
  <si>
    <t>MILLER, SARA</t>
  </si>
  <si>
    <t>THORNTON, GINGER</t>
  </si>
  <si>
    <t>BAILEY, TONI</t>
  </si>
  <si>
    <t>MATINCHEK, SUSAN</t>
  </si>
  <si>
    <t>TAYLOR, JEREMIAH</t>
  </si>
  <si>
    <t>DAWSON, KASIE</t>
  </si>
  <si>
    <t>SCHLUTERMAN, ALEX</t>
  </si>
  <si>
    <t>TANKS, EDAYSHIA</t>
  </si>
  <si>
    <t>WELLMAN, CHRISTINE</t>
  </si>
  <si>
    <t>HAYNES, ANNIE</t>
  </si>
  <si>
    <t>UMPHRIES, SARAH</t>
  </si>
  <si>
    <t>MCDONALD, LAJOYA</t>
  </si>
  <si>
    <t>KUCHINSKI, STACEY</t>
  </si>
  <si>
    <t>HENSON, KATHERINE</t>
  </si>
  <si>
    <t>PITTS, MELISSA</t>
  </si>
  <si>
    <t>EARP, JENNI</t>
  </si>
  <si>
    <t>MITCHELL, LINDSEY</t>
  </si>
  <si>
    <t>DONAHUE, JENNIFER</t>
  </si>
  <si>
    <t>CRAFT, SANJA</t>
  </si>
  <si>
    <t>FARROW, T NICOLE</t>
  </si>
  <si>
    <t>GRANT, MICAH</t>
  </si>
  <si>
    <t>DAVIS, STACEY</t>
  </si>
  <si>
    <t>WINTERS, MISTY</t>
  </si>
  <si>
    <t>MAURRAS, SALLY</t>
  </si>
  <si>
    <t>WARDEN, RACHEL</t>
  </si>
  <si>
    <t>LOVELL, SAMANTHA</t>
  </si>
  <si>
    <t>HOLDEN-DUNIVAN, ADONIA</t>
  </si>
  <si>
    <t>BAXTER, MADISON</t>
  </si>
  <si>
    <t>TILLERY, RACHEL</t>
  </si>
  <si>
    <t>ARUFFO, JOHN</t>
  </si>
  <si>
    <t>EFIRD, TERRY</t>
  </si>
  <si>
    <t>DONALDSON, ASHLEY</t>
  </si>
  <si>
    <t>STANDRIDGE, MARGARET</t>
  </si>
  <si>
    <t>TRAN, DANNY</t>
  </si>
  <si>
    <t>KANU, JUDITH</t>
  </si>
  <si>
    <t>PASSAFIUME, SCOTT</t>
  </si>
  <si>
    <t>ROBINETT, CRAIG</t>
  </si>
  <si>
    <t>RICHERSON, ANGELA</t>
  </si>
  <si>
    <t>TROTTER, HALEIGH</t>
  </si>
  <si>
    <t>WILSON, WOODROW</t>
  </si>
  <si>
    <t>DRURY, ANGELA</t>
  </si>
  <si>
    <t>PERRY, CAITLIN</t>
  </si>
  <si>
    <t>JACKSON, MERINDA</t>
  </si>
  <si>
    <t>RUSH, JAMES</t>
  </si>
  <si>
    <t>GERST, EUGENE</t>
  </si>
  <si>
    <t>BEDFORD, MELISSA</t>
  </si>
  <si>
    <t>WYRICK, MICHAEL</t>
  </si>
  <si>
    <t>TABRON, PATRENA</t>
  </si>
  <si>
    <t>ARNAOUTAKIS, KONSTANTINOS</t>
  </si>
  <si>
    <t>SCHAFER, LIUDMILA</t>
  </si>
  <si>
    <t>DORROH, SCOTT</t>
  </si>
  <si>
    <t>MULLINS, JANICE</t>
  </si>
  <si>
    <t>GOTTSCHALK, STEPHEN</t>
  </si>
  <si>
    <t>CRARY, SHELLEY</t>
  </si>
  <si>
    <t>RAI, PARUL</t>
  </si>
  <si>
    <t>KHALIL, MUHAMMAD</t>
  </si>
  <si>
    <t>ABDELAAL, ALI</t>
  </si>
  <si>
    <t>XIANG, ZHIFU</t>
  </si>
  <si>
    <t>SULIMAN, ALI</t>
  </si>
  <si>
    <t>ATAGA, KENNETH</t>
  </si>
  <si>
    <t>NEGUSSE, SELAMAWIT</t>
  </si>
  <si>
    <t>YAKOUB, DANNY</t>
  </si>
  <si>
    <t>LASLEY, FOSTER</t>
  </si>
  <si>
    <t>OBENG, ESTHER</t>
  </si>
  <si>
    <t>ZAIDI, ALIA</t>
  </si>
  <si>
    <t>GRAETZ, DYLAN</t>
  </si>
  <si>
    <t>ENGLE, DAVID</t>
  </si>
  <si>
    <t>FAROOQ, AAMER</t>
  </si>
  <si>
    <t>BAMI, SAKSHI</t>
  </si>
  <si>
    <t>SATPUTE, SHAILESH</t>
  </si>
  <si>
    <t>ZAK, DMITRIY</t>
  </si>
  <si>
    <t>SHARMA, AKSHAY</t>
  </si>
  <si>
    <t>HUGHES, SAMUEL</t>
  </si>
  <si>
    <t>PAGAN, JONATHAN</t>
  </si>
  <si>
    <t>SHRESTHA, RUNA</t>
  </si>
  <si>
    <t>SHOMBERT, LAWRENCE</t>
  </si>
  <si>
    <t>THANENDRARAJAN, SHARMILAN</t>
  </si>
  <si>
    <t>LAMMERS, PHILIP</t>
  </si>
  <si>
    <t>PORTER, JASON</t>
  </si>
  <si>
    <t>VERMA, RASHMI</t>
  </si>
  <si>
    <t>BHATT, NIDHI</t>
  </si>
  <si>
    <t>GARRETT, GUY</t>
  </si>
  <si>
    <t>FENTON, MOON</t>
  </si>
  <si>
    <t>HASHMI, SAMAN</t>
  </si>
  <si>
    <t>METHODIST NURSING HOME OF FORT SMITH, INC.</t>
  </si>
  <si>
    <t>HILLCREST CARE &amp; REHAB LLC</t>
  </si>
  <si>
    <t>FPNC, INC.</t>
  </si>
  <si>
    <t>CAVALIER HEALTHCARE OF ENGLAND, LLC</t>
  </si>
  <si>
    <t>CHC MANILA NURSING CENTER, LLC</t>
  </si>
  <si>
    <t>CROWNPOINT HEALTH &amp; REHAB CENTER</t>
  </si>
  <si>
    <t>HELENA HOME CARE SERVICES LLC</t>
  </si>
  <si>
    <t>COMMUNITY CARE CENTER OF SHREVEPORT SOUTH LLC</t>
  </si>
  <si>
    <t>SALCO NC 2, INC.</t>
  </si>
  <si>
    <t>COMMUNITY COMPASSION MAGNOLIA</t>
  </si>
  <si>
    <t>SRN MANAGEMENT, LLC</t>
  </si>
  <si>
    <t>WCNC, INC.</t>
  </si>
  <si>
    <t>CHC HERITAGE SQUARE NURSING CENTER, LLC</t>
  </si>
  <si>
    <t>WILLOWBEND AT MARION LLC</t>
  </si>
  <si>
    <t>APPLE CREEK HEALTH AND REHAB, LLC</t>
  </si>
  <si>
    <t>RISON GH OPERATIONS LLC</t>
  </si>
  <si>
    <t>THE EVANGELICAL LUTHERAN GOOD SAMARITAN SOCIETY</t>
  </si>
  <si>
    <t>PLEASANT VALLEY NURSING LLC</t>
  </si>
  <si>
    <t>OAKLAWN ESTATES, LLC</t>
  </si>
  <si>
    <t>MHCNC, INC.</t>
  </si>
  <si>
    <t>LAWRENCE MEMORIAL HEALTH FOUNDATION INC.</t>
  </si>
  <si>
    <t>CLARK PROGRESSIVE ELDERCARE SERVICES INC</t>
  </si>
  <si>
    <t>NASHVILLE NURSING AND REHAB, INC.</t>
  </si>
  <si>
    <t>CHC LAKESIDE NURSING CENTER, LLC</t>
  </si>
  <si>
    <t>WM CRITTENDEN OPERATIONS LLC</t>
  </si>
  <si>
    <t>WALNUT RIDGE SNF OPERATIONS LLC</t>
  </si>
  <si>
    <t>CLR HEALTHCARE OPERATIONS, LLC</t>
  </si>
  <si>
    <t>OR OPS, INC.</t>
  </si>
  <si>
    <t>MENA SNF OPERATIONS LLC</t>
  </si>
  <si>
    <t>MONETTE MANOR, LLC</t>
  </si>
  <si>
    <t>WINDCREST HEALTH AND REHAB, INC.</t>
  </si>
  <si>
    <t>DYERSBURG HEALTH</t>
  </si>
  <si>
    <t>PHG EL DORADO LLC</t>
  </si>
  <si>
    <t>VVR HEALTHCARE OPERATIONS, LLC</t>
  </si>
  <si>
    <t>CHAMBERS NURSING HOME CENTER, INC</t>
  </si>
  <si>
    <t>SILOAM HEALTHCARE LLC</t>
  </si>
  <si>
    <t>CRESTPARK MARIANNA, LLC</t>
  </si>
  <si>
    <t>POPLAR GROVE OPERATIONS LLC</t>
  </si>
  <si>
    <t>HAZEN SNF OPERATOR LLC</t>
  </si>
  <si>
    <t>WOODRUFF COUNTY HEALTH CENTER</t>
  </si>
  <si>
    <t>SCNC, INC.</t>
  </si>
  <si>
    <t>BELVEDERE NURSING AND REHABILITATION CENTER, LLC</t>
  </si>
  <si>
    <t>MONTICELLO PROGRESSIVE ELDERCARE SERVICES INC</t>
  </si>
  <si>
    <t>PHILLIPS HOSPITAL COMPANY LLC</t>
  </si>
  <si>
    <t>HUDSON MEMORIAL NURSING HOME</t>
  </si>
  <si>
    <t>BEEBE RETIREMENT CENTER, INC.</t>
  </si>
  <si>
    <t>RANDOLPH COUNTY NURSING HOME</t>
  </si>
  <si>
    <t>SENIOR CARE INC</t>
  </si>
  <si>
    <t>GREENE ACRES NURSING HOME ASSOCIATION,INC.</t>
  </si>
  <si>
    <t>GREENHURST, INC.</t>
  </si>
  <si>
    <t>ENCORE HEALTHCARE LLC</t>
  </si>
  <si>
    <t>LNH ONE LLC</t>
  </si>
  <si>
    <t>COMMUNITY COMPASSION YELLVILLE</t>
  </si>
  <si>
    <t>INDIAN ROCK VILLAGE, LLC</t>
  </si>
  <si>
    <t>AMEDISYS ARKANSAS, L.L.C.</t>
  </si>
  <si>
    <t>BNNC INC</t>
  </si>
  <si>
    <t>RTNC, INC</t>
  </si>
  <si>
    <t>CHC HARRIS HEALTHCARE, LLC</t>
  </si>
  <si>
    <t>TXKNC, INC.</t>
  </si>
  <si>
    <t>OSNC, INC</t>
  </si>
  <si>
    <t>SRCNC INC</t>
  </si>
  <si>
    <t>SALCO NC INC</t>
  </si>
  <si>
    <t>COLONEL GLENN HEALTH AND REHAB, LLC</t>
  </si>
  <si>
    <t>HBNC, INC.</t>
  </si>
  <si>
    <t>EVERGREENE PROPERTIES OF NORTH CAROLINA,LLC</t>
  </si>
  <si>
    <t>AHMADIAN, HOMAYOUN</t>
  </si>
  <si>
    <t>PATEL, MEHUL</t>
  </si>
  <si>
    <t>LANE, WESLEY</t>
  </si>
  <si>
    <t>DOBRATZ, STEPHEN</t>
  </si>
  <si>
    <t>ABDEL-KARIM, ABDUL-RAHMAN</t>
  </si>
  <si>
    <t>SINGH, ROBIN</t>
  </si>
  <si>
    <t>FISER, WESLEY</t>
  </si>
  <si>
    <t>MERLOCCO, ANTHONY</t>
  </si>
  <si>
    <t>YADAV, KAPIL</t>
  </si>
  <si>
    <t>CASTRO, VICTOR</t>
  </si>
  <si>
    <t>MUNOZ MENDOZA, JERSON</t>
  </si>
  <si>
    <t>VOELKER, DONALD</t>
  </si>
  <si>
    <t>RYAN, KAITLIN</t>
  </si>
  <si>
    <t>JEFFERIES, JOHN</t>
  </si>
  <si>
    <t>CHAMARIA, SURBHI</t>
  </si>
  <si>
    <t>BEASLEY, GARY</t>
  </si>
  <si>
    <t>AL EMAM, ABDEL RAHMAN</t>
  </si>
  <si>
    <t>NGENGWE, RAPHAEL</t>
  </si>
  <si>
    <t>CHASE, NANCY</t>
  </si>
  <si>
    <t>NADIG, VISHWANATHA</t>
  </si>
  <si>
    <t>MANYAM, BOSE</t>
  </si>
  <si>
    <t>KOSSIDAS, KONSTANTINOS</t>
  </si>
  <si>
    <t>MORSY, MOHAMED</t>
  </si>
  <si>
    <t>HENDRICKSON, BENJAMIN</t>
  </si>
  <si>
    <t>MARTINEZ, HUGO</t>
  </si>
  <si>
    <t>ASLAM, FARHAN</t>
  </si>
  <si>
    <t>FLATT, DAVID</t>
  </si>
  <si>
    <t>MISKO, CURT</t>
  </si>
  <si>
    <t>RUTZ, JOSEPH</t>
  </si>
  <si>
    <t>GILLEY, KELSEY</t>
  </si>
  <si>
    <t>BELL, EMILY</t>
  </si>
  <si>
    <t>NEWTON, LISA</t>
  </si>
  <si>
    <t>PONTIOUS, LISA</t>
  </si>
  <si>
    <t>CHANG, JONATHAN</t>
  </si>
  <si>
    <t>HAGEN, BRITTANIE</t>
  </si>
  <si>
    <t>LANG, PATRICK</t>
  </si>
  <si>
    <t>VERUCCHI, DEBORAH</t>
  </si>
  <si>
    <t>SMITH, REGINA</t>
  </si>
  <si>
    <t>ADKINS, WILLIAM</t>
  </si>
  <si>
    <t>FOSTER, TERI-LEE</t>
  </si>
  <si>
    <t>CONGER, JACQUELINE</t>
  </si>
  <si>
    <t>BELLAMY, CHRISTOPHER</t>
  </si>
  <si>
    <t>POLLACK, STACY</t>
  </si>
  <si>
    <t>OWENS, KRISTIN</t>
  </si>
  <si>
    <t>DAFALLA, AMINA</t>
  </si>
  <si>
    <t>SCHIRMER, KAREN</t>
  </si>
  <si>
    <t>WILLIAMS, EMILY</t>
  </si>
  <si>
    <t>HARVILLE, KEITH</t>
  </si>
  <si>
    <t>AZIZ, OMAR</t>
  </si>
  <si>
    <t>HUDEC, REGINA</t>
  </si>
  <si>
    <t>NORDEEN, JOHN</t>
  </si>
  <si>
    <t>JOHNS, SANDY</t>
  </si>
  <si>
    <t>COLLINS, MICHAEL</t>
  </si>
  <si>
    <t>MESEROW, JAMES</t>
  </si>
  <si>
    <t>MCDONALD, JUDY</t>
  </si>
  <si>
    <t>GRIFFIN, PHOEBE</t>
  </si>
  <si>
    <t>GOUCHER, EMILY</t>
  </si>
  <si>
    <t>CONNELL, NORMAN</t>
  </si>
  <si>
    <t>STANLEY, JOHN</t>
  </si>
  <si>
    <t>DAVIS., WALTER</t>
  </si>
  <si>
    <t>FREDRICKSON, JENNIFER</t>
  </si>
  <si>
    <t>DESCHAMPS, DAVID</t>
  </si>
  <si>
    <t>WALLER, LARRY</t>
  </si>
  <si>
    <t>GRIFFIN, MEREDITH</t>
  </si>
  <si>
    <t>WILLINGHAM, LAURA</t>
  </si>
  <si>
    <t>LUKASEK, DONNA</t>
  </si>
  <si>
    <t>WILSON, BROCK</t>
  </si>
  <si>
    <t>HOUSER, MOLLY</t>
  </si>
  <si>
    <t>VADDADI, PRETHI</t>
  </si>
  <si>
    <t>SMITH, NORMA</t>
  </si>
  <si>
    <t>HELMICH, MELISSA</t>
  </si>
  <si>
    <t>WIEDEL, LISA</t>
  </si>
  <si>
    <t>CRIGLER, LAKISHA</t>
  </si>
  <si>
    <t>DOSS, JOHN</t>
  </si>
  <si>
    <t>RICKETTS, JACK</t>
  </si>
  <si>
    <t>COBB, CHRISTIE</t>
  </si>
  <si>
    <t>BURANA, GREGORY</t>
  </si>
  <si>
    <t>THOMAS, SHELIA</t>
  </si>
  <si>
    <t>PATEL, NAYNESHKUMAR</t>
  </si>
  <si>
    <t>CACERES, JOSE</t>
  </si>
  <si>
    <t>TARAWNEH, AHMAD</t>
  </si>
  <si>
    <t>TOBEY, NATHAN</t>
  </si>
  <si>
    <t>FASANYA, ADEBAYO</t>
  </si>
  <si>
    <t>GRIEBEL, JACK</t>
  </si>
  <si>
    <t>FINDER, JONATHAN</t>
  </si>
  <si>
    <t>BHADRIRAJU, SRINIVAS</t>
  </si>
  <si>
    <t>VENKATA, ANAND NARASIMHADEVAR</t>
  </si>
  <si>
    <t>AWAN, OBAID</t>
  </si>
  <si>
    <t>MCCARTNEY, JEFFREY</t>
  </si>
  <si>
    <t>TIKOTEKAR, ASHISH</t>
  </si>
  <si>
    <t>GRANIERI, ELIZABETH</t>
  </si>
  <si>
    <t>ENCOMPASS HEALTH METHODIST REHABILITATION HOSPITAL, LP</t>
  </si>
  <si>
    <t>ARKANSAS CONTINUED CARE HOSPITAL OF JONESBORO, LLC</t>
  </si>
  <si>
    <t>ENCOMPASS HEALTH REHABILITATION HOSPITAL OF JONESBORO, LLC</t>
  </si>
  <si>
    <t>BAPTIST MEMORIAL HOSPITAL - CRITTENDEN INC</t>
  </si>
  <si>
    <t>ENCOMPASS HEALTH REHABILITATION HOSPITAL OF FORT SMITH, LLC</t>
  </si>
  <si>
    <t>LHCG CXVIII, LLC</t>
  </si>
  <si>
    <t>PULUSANI, VAISHNAVI</t>
  </si>
  <si>
    <t>ALI, ZUNAIRA</t>
  </si>
  <si>
    <t>JONES, SHERMAN</t>
  </si>
  <si>
    <t>POSTLETHWAITE, BRADLEY</t>
  </si>
  <si>
    <t>PUTHALON KUNNATH, TINA</t>
  </si>
  <si>
    <t>DANIEL, LANCE</t>
  </si>
  <si>
    <t>GRIFFIN, GLYNN</t>
  </si>
  <si>
    <t>RAGHA, SHALEEN</t>
  </si>
  <si>
    <t>ROUSE, BRANDON</t>
  </si>
  <si>
    <t>ASBELL, PENNY</t>
  </si>
  <si>
    <t>MEYER, JO</t>
  </si>
  <si>
    <t>MCDANIEL-CHANDLER, DARAH</t>
  </si>
  <si>
    <t>HAYNES, JESSICA</t>
  </si>
  <si>
    <t>KIER, PRISCILLA</t>
  </si>
  <si>
    <t>PRATT, PARKER</t>
  </si>
  <si>
    <t>COVEY, SARAH</t>
  </si>
  <si>
    <t>KITZMAN, TYLER</t>
  </si>
  <si>
    <t>OBERMARK, DANIEL</t>
  </si>
  <si>
    <t>BOYLES, RONALD</t>
  </si>
  <si>
    <t>WOOTEN, LAURA</t>
  </si>
  <si>
    <t>FINGERHUT, DAVID</t>
  </si>
  <si>
    <t>FRENKEL, JOSHUA</t>
  </si>
  <si>
    <t>MORRIS, TAMARA</t>
  </si>
  <si>
    <t>HICKMAN, ANDREW</t>
  </si>
  <si>
    <t>CORA, GEORGE</t>
  </si>
  <si>
    <t>MCDOUGAL, RICHARD</t>
  </si>
  <si>
    <t>COTTRILL, HALIE</t>
  </si>
  <si>
    <t>GRIGORIAN, ADRIANA</t>
  </si>
  <si>
    <t>CHAVIS, PHILIP</t>
  </si>
  <si>
    <t>OLLINGER, MORGAN</t>
  </si>
  <si>
    <t>VILLANE, RICHARD</t>
  </si>
  <si>
    <t>HUTCHINS, KATHRYN</t>
  </si>
  <si>
    <t>FRESHOUR, PENNY</t>
  </si>
  <si>
    <t>ALLEN, VALERIE</t>
  </si>
  <si>
    <t>GRIGORIAN, FLORIN</t>
  </si>
  <si>
    <t>LAW, MARCUS</t>
  </si>
  <si>
    <t>OFORI, DANIEL</t>
  </si>
  <si>
    <t>LANKA, MARK</t>
  </si>
  <si>
    <t>MEREDITH, BILL</t>
  </si>
  <si>
    <t>LAM, JESSICA</t>
  </si>
  <si>
    <t>ASHLEY, BRYANT</t>
  </si>
  <si>
    <t>HOUSER, KOURTNEY</t>
  </si>
  <si>
    <t>OBOIKOVITZ, HOLLY</t>
  </si>
  <si>
    <t>INGRAM, GEORGE</t>
  </si>
  <si>
    <t>DEVLIN, SAMANTHA</t>
  </si>
  <si>
    <t>GROVER, ALAN</t>
  </si>
  <si>
    <t>JARRARD, BLAKE</t>
  </si>
  <si>
    <t>SHIREY, MEGAN</t>
  </si>
  <si>
    <t>KELLER, LUTHER</t>
  </si>
  <si>
    <t>POWELL, DANIEL</t>
  </si>
  <si>
    <t>WOOTEN, WILLIAM</t>
  </si>
  <si>
    <t>BOUSHEHRI, MANA</t>
  </si>
  <si>
    <t>HARTER, CHASE</t>
  </si>
  <si>
    <t>VOICU, LAURA</t>
  </si>
  <si>
    <t>COX, BRENDON</t>
  </si>
  <si>
    <t>MILLS, JOHN</t>
  </si>
  <si>
    <t>SCHWARZ, DAVID</t>
  </si>
  <si>
    <t>WOODS, THOMAS</t>
  </si>
  <si>
    <t>MORRIS, DALE</t>
  </si>
  <si>
    <t>BOLDAN, JOHN</t>
  </si>
  <si>
    <t>HARDCASTLE, RICHARD</t>
  </si>
  <si>
    <t>WATSON, CELINA</t>
  </si>
  <si>
    <t>NGUYEN, PAUL</t>
  </si>
  <si>
    <t>SPIKES, KAITLIN</t>
  </si>
  <si>
    <t>LITTLEJOHN, NATHAN</t>
  </si>
  <si>
    <t>HUSSAIN, AHMED</t>
  </si>
  <si>
    <t>TAYLOR, ABBY</t>
  </si>
  <si>
    <t>BOWENS, RUDOLPH</t>
  </si>
  <si>
    <t>HENDRIX, LAUREN</t>
  </si>
  <si>
    <t>LITWILLER, SCOTT</t>
  </si>
  <si>
    <t>CHILDS, MICHAEL</t>
  </si>
  <si>
    <t>BROCK, JOHN</t>
  </si>
  <si>
    <t>CURRY, ROBERT</t>
  </si>
  <si>
    <t>L'ESPERANCE, JAMES</t>
  </si>
  <si>
    <t>GRANIERI, MICHAEL</t>
  </si>
  <si>
    <t>OSEROWSKY, GRANT</t>
  </si>
  <si>
    <t>WOODS, JENNIFER</t>
  </si>
  <si>
    <t>DAVIS, JOHN PHILIP</t>
  </si>
  <si>
    <t>MCCONNELL, RICHARD</t>
  </si>
  <si>
    <t>WU, ROSA</t>
  </si>
  <si>
    <t>CHAVEZ, BRANDON</t>
  </si>
  <si>
    <t>LEDING, CASSANDRA</t>
  </si>
  <si>
    <t>MORAN, PATRICK</t>
  </si>
  <si>
    <t>BEACHAM, NADIA</t>
  </si>
  <si>
    <t>RUBISCH, JOSHUA</t>
  </si>
  <si>
    <t>CASEY, JEFFERY</t>
  </si>
  <si>
    <t>KINZLER, ANDREW</t>
  </si>
  <si>
    <t>DOMINGUEZ, CASEY</t>
  </si>
  <si>
    <t>YARNELL, SARAH</t>
  </si>
  <si>
    <t>URRUTIA, DAWSON</t>
  </si>
  <si>
    <t>ROBERTS, BRADLEY</t>
  </si>
  <si>
    <t>PATTEN, THOMAS</t>
  </si>
  <si>
    <t>WALLACE, ZACHARY</t>
  </si>
  <si>
    <t>CHILTON, SARAH</t>
  </si>
  <si>
    <t>HOLMAN, ASHLEY</t>
  </si>
  <si>
    <t>CHANDLER, CHRISTOPHER</t>
  </si>
  <si>
    <t>HAYNIE, BRACY</t>
  </si>
  <si>
    <t>MCCAIN, APRIL</t>
  </si>
  <si>
    <t>HUDSON, JAMES</t>
  </si>
  <si>
    <t>IRONS, BRITTANY</t>
  </si>
  <si>
    <t>GRAHAM, CAITLIN</t>
  </si>
  <si>
    <t>KIEFER, THOMAS</t>
  </si>
  <si>
    <t>LEDING, CARLTON</t>
  </si>
  <si>
    <t>GRAY, RANDI</t>
  </si>
  <si>
    <t>CARLSON, KERRY</t>
  </si>
  <si>
    <t>VAMMEN, DAVID</t>
  </si>
  <si>
    <t>SANFORD, SHELLEY</t>
  </si>
  <si>
    <t>MINKIN, PATTON</t>
  </si>
  <si>
    <t>MCNEEL, RICHARD</t>
  </si>
  <si>
    <t>CLINTON MUNOZ, MICHELLE</t>
  </si>
  <si>
    <t>SINADA, ERIN</t>
  </si>
  <si>
    <t>PATE, JOHN</t>
  </si>
  <si>
    <t>KYMER-CHEEK, EMILY</t>
  </si>
  <si>
    <t>TOWNSEND, EMILY</t>
  </si>
  <si>
    <t>PPG STORE 6 LLC</t>
  </si>
  <si>
    <t>DELTA DRUGS INC</t>
  </si>
  <si>
    <t>POWER FAMILY ENTERPRISES INC</t>
  </si>
  <si>
    <t>ECONO-MED OF WALNUT RIDGE INC</t>
  </si>
  <si>
    <t>JMRX LLC</t>
  </si>
  <si>
    <t>EAST END EXPRESS PHARMACY INC</t>
  </si>
  <si>
    <t>GETWELL RX, LLC</t>
  </si>
  <si>
    <t>PPG STORE 4, LLC</t>
  </si>
  <si>
    <t>DUMAS FAMILY PHARMACY LLC</t>
  </si>
  <si>
    <t>PRESCRIPTIONS CORNER DRUG INC</t>
  </si>
  <si>
    <t>THILO PHARMACY SERVICES</t>
  </si>
  <si>
    <t>BIRCH TREE COMMUNITIES, INC.</t>
  </si>
  <si>
    <t>GREENBRIER PHARMACY INC</t>
  </si>
  <si>
    <t>ZIBERT PHARMACEUTICAL SERVICES, INC.</t>
  </si>
  <si>
    <t>BEST DRUG STORE OF NORTH-CENTRAL ARKANSAS INC</t>
  </si>
  <si>
    <t>FLOWERS PHARMACY LLC</t>
  </si>
  <si>
    <t>PERKINS FAMILY PHARMACY LLC</t>
  </si>
  <si>
    <t>POPLAR BLUFF PHARMACY LLC</t>
  </si>
  <si>
    <t>NW OTTER CREEK LLC</t>
  </si>
  <si>
    <t>SUNIL MALHOTRA MD LLC</t>
  </si>
  <si>
    <t>V3 HEALTHCARE CORPORATION</t>
  </si>
  <si>
    <t>WHITE RIVER PHARMACY, LLC</t>
  </si>
  <si>
    <t>NEIGHBORHOOD PHARMACY LLC</t>
  </si>
  <si>
    <t>BUERKLE DRUG MANAGEMENT LLC</t>
  </si>
  <si>
    <t>BONO FAMILY PHARMACY, LLC</t>
  </si>
  <si>
    <t>SAM'S WEST, INC.</t>
  </si>
  <si>
    <t>COLEMAN BUTLER FT SMITH LLC</t>
  </si>
  <si>
    <t>PARAGON PHARMACY, LLC</t>
  </si>
  <si>
    <t>WALMART INC</t>
  </si>
  <si>
    <t>FREDS OF DONIPHAN INC</t>
  </si>
  <si>
    <t>SIMPSON PHARMACY, PLLC</t>
  </si>
  <si>
    <t>CORNERSTONE PHARMACY OTTER CREEK LLC</t>
  </si>
  <si>
    <t>DAILY DOSE DRUGSTORE, INC.</t>
  </si>
  <si>
    <t>JOYS HARBOR TOWN PHARMACY</t>
  </si>
  <si>
    <t>HAYES NEWARK PHARMACY LLC</t>
  </si>
  <si>
    <t>THE LOCAL PHARM LLC</t>
  </si>
  <si>
    <t>UNIVERSITY HEALTH SHREVEPORT LLC</t>
  </si>
  <si>
    <t>PPG STORE 5, LLC</t>
  </si>
  <si>
    <t>SOUTH ARKANSAS PHARMACY, INC</t>
  </si>
  <si>
    <t>FRONTIER PHARMACY</t>
  </si>
  <si>
    <t>CLEAR MED SOLUTIONS LLC</t>
  </si>
  <si>
    <t>RX HOUND INC</t>
  </si>
  <si>
    <t>HAMBURG PHARMACY</t>
  </si>
  <si>
    <t>R2H2 BUSINESS ENTERPRISES</t>
  </si>
  <si>
    <t>KHUSHE INC</t>
  </si>
  <si>
    <t>CHRIS ISBELL PHARMACY LLC</t>
  </si>
  <si>
    <t>HEALTH-WISE PHARMACY PLLC</t>
  </si>
  <si>
    <t>HAWKINS RX, LLC</t>
  </si>
  <si>
    <t>ANOVORX GROUP, LLC</t>
  </si>
  <si>
    <t>SLEDGE, RACHEL</t>
  </si>
  <si>
    <t>WORSHAM, CARRIE</t>
  </si>
  <si>
    <t>VINSON, MELISSA</t>
  </si>
  <si>
    <t>WINSTEAD, KELIEA</t>
  </si>
  <si>
    <t>DAHL, ERIC</t>
  </si>
  <si>
    <t>JOHN, SUSAN</t>
  </si>
  <si>
    <t>NUNNALLY, CHRISTINA</t>
  </si>
  <si>
    <t>KOTHARI, NIRMIT</t>
  </si>
  <si>
    <t>BAVINENI, MAHESH</t>
  </si>
  <si>
    <t>BRIDGES, AMY</t>
  </si>
  <si>
    <t>SARTIN, JENNIFER</t>
  </si>
  <si>
    <t>JENKINS, BRIAN</t>
  </si>
  <si>
    <t>THOMAS, STEPHEN</t>
  </si>
  <si>
    <t>PRATHER, KENNETH</t>
  </si>
  <si>
    <t>ROBERTS, JOSEPH</t>
  </si>
  <si>
    <t>MOORE, PHYLLIS</t>
  </si>
  <si>
    <t>GEORGE, DEBRA</t>
  </si>
  <si>
    <t>MASON, ALISHA</t>
  </si>
  <si>
    <t>STANFORD, JAMES</t>
  </si>
  <si>
    <t>HARRIMAN, CHARLES</t>
  </si>
  <si>
    <t>SALE, DENNIS</t>
  </si>
  <si>
    <t>JOHNSON, GAYLA</t>
  </si>
  <si>
    <t>RANEY, BROOKE</t>
  </si>
  <si>
    <t>BRACAMONTE, TIFFANY</t>
  </si>
  <si>
    <t>NEWSOM, NIKISHA</t>
  </si>
  <si>
    <t>MERRITT, ANDRIA</t>
  </si>
  <si>
    <t>JOHNSTON, PRISCILLA</t>
  </si>
  <si>
    <t>CROSSKNO, KIMBERLY</t>
  </si>
  <si>
    <t>WARREN, KENNETH</t>
  </si>
  <si>
    <t>HICKS, LATURE</t>
  </si>
  <si>
    <t>ADAMS, JULIE</t>
  </si>
  <si>
    <t>TINDALL, CYNTHIA</t>
  </si>
  <si>
    <t>HOKIT, KELLY</t>
  </si>
  <si>
    <t>CALL, LORI</t>
  </si>
  <si>
    <t>GAYMAN, DELIA</t>
  </si>
  <si>
    <t>ROBERTSON, MICHELLE</t>
  </si>
  <si>
    <t>COOPER, OLIVIA</t>
  </si>
  <si>
    <t>SMITH, KELSEY</t>
  </si>
  <si>
    <t>GIBBONS, GLENN</t>
  </si>
  <si>
    <t>HEGDE, PRAKASH</t>
  </si>
  <si>
    <t>PAPPAS, PUIFUN</t>
  </si>
  <si>
    <t>TEJADA, RUBEN</t>
  </si>
  <si>
    <t>ECCLES, RICHARD</t>
  </si>
  <si>
    <t>MCGATHA, DAVID</t>
  </si>
  <si>
    <t>EPPS, TIFFANY</t>
  </si>
  <si>
    <t>YOUNG, ELIZABETH</t>
  </si>
  <si>
    <t>EVANS, CLIFFORD</t>
  </si>
  <si>
    <t>SMART, HAROLD</t>
  </si>
  <si>
    <t>VINSON, JOHN</t>
  </si>
  <si>
    <t>MAYNARD, GREGORY</t>
  </si>
  <si>
    <t>ELLIOTT, CHARLES</t>
  </si>
  <si>
    <t>HOPKINS, KAREN</t>
  </si>
  <si>
    <t>ROLAND, CANDACE</t>
  </si>
  <si>
    <t>BROWN, DANIEL</t>
  </si>
  <si>
    <t>WHITE, ANDREW</t>
  </si>
  <si>
    <t>BLUNT, LARYSSA</t>
  </si>
  <si>
    <t>NGUYEN, SHAWNA</t>
  </si>
  <si>
    <t>WRIGHT, ALYSSA</t>
  </si>
  <si>
    <t>SUTTLE, ANGELA</t>
  </si>
  <si>
    <t>MINGA, KATHLEEN</t>
  </si>
  <si>
    <t>TOMLIN, LISA</t>
  </si>
  <si>
    <t>LINDSEY, CHARLES</t>
  </si>
  <si>
    <t>DOSS, BELINDA</t>
  </si>
  <si>
    <t>BROWN, JULIAN</t>
  </si>
  <si>
    <t>HANNA, VERA</t>
  </si>
  <si>
    <t>JEE, SUNG BAE</t>
  </si>
  <si>
    <t>OTABIL, MAAME EFUA</t>
  </si>
  <si>
    <t>DURHAM, LAUREN</t>
  </si>
  <si>
    <t>PAYNE, TEDI</t>
  </si>
  <si>
    <t>HOWARD, ASHLEY</t>
  </si>
  <si>
    <t>COOPER, BRITTANY</t>
  </si>
  <si>
    <t>EZE, PLACID</t>
  </si>
  <si>
    <t>RIDDELL, MAL</t>
  </si>
  <si>
    <t>SAHOTA, JAGPAL</t>
  </si>
  <si>
    <t>LOUTZENHISER, ERIN</t>
  </si>
  <si>
    <t>HAMMONS, MATHEW</t>
  </si>
  <si>
    <t>TUMBLIN, JAMESHA</t>
  </si>
  <si>
    <t>LAUDERDALE, JESSICA</t>
  </si>
  <si>
    <t>HANEY, STEPHEN</t>
  </si>
  <si>
    <t>SMITH, HANNAH</t>
  </si>
  <si>
    <t>ETHRIDGE-BROWN, JILLIAN</t>
  </si>
  <si>
    <t>MCCALLISTER, PATRICIA</t>
  </si>
  <si>
    <t>WASHINGTON, LAURA</t>
  </si>
  <si>
    <t>HAFFNER, JONATHAN</t>
  </si>
  <si>
    <t>OLSEN, TERESA</t>
  </si>
  <si>
    <t>EDEN, JAMES</t>
  </si>
  <si>
    <t>PUTNAM, THOMAS</t>
  </si>
  <si>
    <t>ALLAM, BALA SUDHAKAR REDDY</t>
  </si>
  <si>
    <t>CARROLL, LOREN</t>
  </si>
  <si>
    <t>HENSON, AMY</t>
  </si>
  <si>
    <t>FAWBUSH, STACEY</t>
  </si>
  <si>
    <t>SEVERSON, TYLER</t>
  </si>
  <si>
    <t>FASUYI, OMOFOLARIN</t>
  </si>
  <si>
    <t>BRANCH, PORSCHA</t>
  </si>
  <si>
    <t>DAVIS, HAILEY</t>
  </si>
  <si>
    <t>DAMRON, SARA</t>
  </si>
  <si>
    <t>WARD, ELLEN</t>
  </si>
  <si>
    <t>BYRER, CHRISTINE</t>
  </si>
  <si>
    <t>FLANNERY, ALPHONSUS</t>
  </si>
  <si>
    <t>HARTLINE, MEREDITH</t>
  </si>
  <si>
    <t>MOONEY, JAMES</t>
  </si>
  <si>
    <t>CLARK, LISA</t>
  </si>
  <si>
    <t>BARTKOSKI, SCOTT</t>
  </si>
  <si>
    <t>SYLVESTER, ROBERT</t>
  </si>
  <si>
    <t>APPLETON, JAMES</t>
  </si>
  <si>
    <t>SILER, JAMES</t>
  </si>
  <si>
    <t>COLLINS, ROBERT</t>
  </si>
  <si>
    <t>SPECK, JAMES</t>
  </si>
  <si>
    <t>WOODARD, THERESA</t>
  </si>
  <si>
    <t>KUMAR, LAJU</t>
  </si>
  <si>
    <t>CONRAD, EDGAR</t>
  </si>
  <si>
    <t>DUKES, ERIK</t>
  </si>
  <si>
    <t>MCDONALD, THOMAS</t>
  </si>
  <si>
    <t>SUMEDHA, NFN</t>
  </si>
  <si>
    <t>QUALLS, BRIAN</t>
  </si>
  <si>
    <t>ABERCROMBIE, KELBIE</t>
  </si>
  <si>
    <t>ROGERS, RYAN</t>
  </si>
  <si>
    <t>MIDDLETON, ANGELA</t>
  </si>
  <si>
    <t>BOGGS, LISA</t>
  </si>
  <si>
    <t>MARTHAMBADI, BHARGAV</t>
  </si>
  <si>
    <t>LAMPI, SAMANTHA</t>
  </si>
  <si>
    <t>HOUSER, JESSICA</t>
  </si>
  <si>
    <t>DILL, SAMANTHA</t>
  </si>
  <si>
    <t>DAVID, WENDY</t>
  </si>
  <si>
    <t>VANSLYKE, BOBBIE</t>
  </si>
  <si>
    <t>THOMAS, THOMAS</t>
  </si>
  <si>
    <t>GRAVELY, SEAN</t>
  </si>
  <si>
    <t>JOHNSON, ANDREA</t>
  </si>
  <si>
    <t>ATHEN, CARLA</t>
  </si>
  <si>
    <t>BRANCH, ANDREA</t>
  </si>
  <si>
    <t>KING, JAMES</t>
  </si>
  <si>
    <t>KING, STEPHEN</t>
  </si>
  <si>
    <t>SPANGLER, JILL</t>
  </si>
  <si>
    <t>ROBLES, BERTHA</t>
  </si>
  <si>
    <t>JAMES, CHRISTINA</t>
  </si>
  <si>
    <t>CHANDLER, CYNTHIA</t>
  </si>
  <si>
    <t>BODINE, ELIZABETH</t>
  </si>
  <si>
    <t>PETERS, AMBER</t>
  </si>
  <si>
    <t>ATTIA, MOHAMED</t>
  </si>
  <si>
    <t>BYERS, GREGARY</t>
  </si>
  <si>
    <t>HOLLADAY, LORI</t>
  </si>
  <si>
    <t>BUNDRICK, COURTNEY</t>
  </si>
  <si>
    <t>MASSEY, CRYSTAL</t>
  </si>
  <si>
    <t>REYNOLDS, CHRISTOPHER</t>
  </si>
  <si>
    <t>COLLIER, LORA</t>
  </si>
  <si>
    <t>LLOYD, REBECCA</t>
  </si>
  <si>
    <t>HARDEN, HEATHER</t>
  </si>
  <si>
    <t>MCCONNELL, VANESSA</t>
  </si>
  <si>
    <t>HARRISON, CHELSEY</t>
  </si>
  <si>
    <t>WOODARD, JAMES</t>
  </si>
  <si>
    <t>GARNER, BRADFORD</t>
  </si>
  <si>
    <t>BROHAWN, WILLIAM</t>
  </si>
  <si>
    <t>SWEETEN, ROBERT</t>
  </si>
  <si>
    <t>MEDLIN, JAMES</t>
  </si>
  <si>
    <t>LAMBETH, JAIME</t>
  </si>
  <si>
    <t>ROELLE, LISA</t>
  </si>
  <si>
    <t>HARBIN, LAUREN</t>
  </si>
  <si>
    <t>CRANE, IAN</t>
  </si>
  <si>
    <t>SLAGLE, MARGARET</t>
  </si>
  <si>
    <t>HILL, WHITLEY</t>
  </si>
  <si>
    <t>FLOYD, KEVIN</t>
  </si>
  <si>
    <t>HART, JAMES</t>
  </si>
  <si>
    <t>ADAMS, ANTHONY</t>
  </si>
  <si>
    <t>BENDT, NISHUA</t>
  </si>
  <si>
    <t>BAY, KEVIN</t>
  </si>
  <si>
    <t>VANLANDINGHAM, ANSLEY</t>
  </si>
  <si>
    <t>WILSON, ANNIE</t>
  </si>
  <si>
    <t>SHEALY, KRISTEN</t>
  </si>
  <si>
    <t>FONER, MELISSA</t>
  </si>
  <si>
    <t>COUTURE, JAIME</t>
  </si>
  <si>
    <t>MOORE, MICHELLE</t>
  </si>
  <si>
    <t>DAVIS, SONJA</t>
  </si>
  <si>
    <t>HAIRE, WILLIAM</t>
  </si>
  <si>
    <t>HAWKINS, RAYMOND</t>
  </si>
  <si>
    <t>DENNIS, STEPHEN</t>
  </si>
  <si>
    <t>HEILES, KENNETH</t>
  </si>
  <si>
    <t>LOCKE, JOHN</t>
  </si>
  <si>
    <t>VAKA, SRINIVASA</t>
  </si>
  <si>
    <t>MCINTYRE, ANNA</t>
  </si>
  <si>
    <t>CARMICAL, JIM</t>
  </si>
  <si>
    <t>HANNA, JENNY</t>
  </si>
  <si>
    <t>CATLETTE, BRANTLEY</t>
  </si>
  <si>
    <t>FREEMAN, JOSEPH</t>
  </si>
  <si>
    <t>MATHIS, GWENDOLYN</t>
  </si>
  <si>
    <t>PAYNE, RYAN</t>
  </si>
  <si>
    <t>LALLATHIN, AMY</t>
  </si>
  <si>
    <t>CONLEY, JENNIFER</t>
  </si>
  <si>
    <t>CARTER, LEE</t>
  </si>
  <si>
    <t>SPURLOCK, LUTHER</t>
  </si>
  <si>
    <t>COOPER, DANA</t>
  </si>
  <si>
    <t>DICUS, CYNTHIA</t>
  </si>
  <si>
    <t>SABBAGH, SAGARIKA</t>
  </si>
  <si>
    <t>LANCASTER, WILLIAM</t>
  </si>
  <si>
    <t>HALTOM, JODI</t>
  </si>
  <si>
    <t>GORE, EDWARD</t>
  </si>
  <si>
    <t>MCGOWAN, ROBERT</t>
  </si>
  <si>
    <t>THOMPSON, FREDERICK</t>
  </si>
  <si>
    <t>TURNER, JACKEY</t>
  </si>
  <si>
    <t>SMITH, KATHERINE</t>
  </si>
  <si>
    <t>HUNT, RHONDA</t>
  </si>
  <si>
    <t>BROWN, DENNIS</t>
  </si>
  <si>
    <t>LOGAN, AMY</t>
  </si>
  <si>
    <t>BURRELL, JAMES</t>
  </si>
  <si>
    <t>BAKER, JAMIE</t>
  </si>
  <si>
    <t>OTTIS, PAUL</t>
  </si>
  <si>
    <t>GLOVER, HILARY</t>
  </si>
  <si>
    <t>HOLLIDAY, KRYSTLE</t>
  </si>
  <si>
    <t>WOODS, KRISTEN</t>
  </si>
  <si>
    <t>GRADY, ERIN</t>
  </si>
  <si>
    <t>MAHON, CARLY</t>
  </si>
  <si>
    <t>SCHLANGER, CHRISTOPHER</t>
  </si>
  <si>
    <t>PAGOAGA, LUIS</t>
  </si>
  <si>
    <t>CONWAY, MARION</t>
  </si>
  <si>
    <t>PETERS, JOSEPH</t>
  </si>
  <si>
    <t>BAKER, ALICIA</t>
  </si>
  <si>
    <t>WATTERS, JULIEANNE</t>
  </si>
  <si>
    <t>PERKINS, KEITH</t>
  </si>
  <si>
    <t>GRAVES, BETH</t>
  </si>
  <si>
    <t>NORRIS, BETH</t>
  </si>
  <si>
    <t>STRATTON, HEATHER</t>
  </si>
  <si>
    <t>BRACKIN, STEFANIE</t>
  </si>
  <si>
    <t>SAINT, SHEREDA</t>
  </si>
  <si>
    <t>METTETAL, CARY</t>
  </si>
  <si>
    <t>BATEY, JAMES</t>
  </si>
  <si>
    <t>FRIX, CAREY</t>
  </si>
  <si>
    <t>MILLER, ERIK</t>
  </si>
  <si>
    <t>WILSON, JOSEPH</t>
  </si>
  <si>
    <t>BALDWIN, NATHAN</t>
  </si>
  <si>
    <t>RUSSELL, MANDY</t>
  </si>
  <si>
    <t>ZAW, THANDA</t>
  </si>
  <si>
    <t>CALENDAR, AMBER</t>
  </si>
  <si>
    <t>FRISBY, BRITTNEY</t>
  </si>
  <si>
    <t>ANDERSON, DOUGLAS</t>
  </si>
  <si>
    <t>SANDRIDGE, COURTNEY</t>
  </si>
  <si>
    <t>RIEDEL, ALICE</t>
  </si>
  <si>
    <t>EDWARDS DAVIDSON, LESA</t>
  </si>
  <si>
    <t>FIBER, JACQUELYN</t>
  </si>
  <si>
    <t>BANNISTER, ANNE</t>
  </si>
  <si>
    <t>WALKER, WHITNEY</t>
  </si>
  <si>
    <t>PARDUN, JOANNE</t>
  </si>
  <si>
    <t>SPARGO, DONNA</t>
  </si>
  <si>
    <t>MIZE, PAMELA</t>
  </si>
  <si>
    <t>MARTIN, JASON</t>
  </si>
  <si>
    <t>HAGOOD, NICHOLAS</t>
  </si>
  <si>
    <t>MYLES, SHARON</t>
  </si>
  <si>
    <t>CUMMINGS, JOHN</t>
  </si>
  <si>
    <t>SUNDAR RAO, CORINNE</t>
  </si>
  <si>
    <t>LAMBIRD, ELIZABETH</t>
  </si>
  <si>
    <t>ADAMS, KATHERINE</t>
  </si>
  <si>
    <t>THORNSBERRY, JONATHAN</t>
  </si>
  <si>
    <t>JANZEN, AMBER</t>
  </si>
  <si>
    <t>ROLAND, AMIE</t>
  </si>
  <si>
    <t>HICKEY, MARANDA</t>
  </si>
  <si>
    <t>BENSING, APRIL</t>
  </si>
  <si>
    <t>ALQURINI, NADIA</t>
  </si>
  <si>
    <t>MOJICA, SUMMER</t>
  </si>
  <si>
    <t>GRAHAM, RUSSELL</t>
  </si>
  <si>
    <t>BURR, TAMMY</t>
  </si>
  <si>
    <t>MASINI, MEAGHAN</t>
  </si>
  <si>
    <t>KIRSCH, EDDIE</t>
  </si>
  <si>
    <t>SUTHAR, CHANCHAL</t>
  </si>
  <si>
    <t>HENSON, AUTUMN</t>
  </si>
  <si>
    <t>JOHNSON, SARA</t>
  </si>
  <si>
    <t>RICHARDSON, KAYLA</t>
  </si>
  <si>
    <t>YOUNG, JAMIE</t>
  </si>
  <si>
    <t>JOHNSON, LINDSEY</t>
  </si>
  <si>
    <t>TOWELL, BLAKE</t>
  </si>
  <si>
    <t>COOPER, CASSIDY</t>
  </si>
  <si>
    <t>PHAM, LISA</t>
  </si>
  <si>
    <t>MARIS, MAHLON</t>
  </si>
  <si>
    <t>ARGO, CYNTHIA</t>
  </si>
  <si>
    <t>PAGLIARULO, ANTHONY</t>
  </si>
  <si>
    <t>RAHMAN, RIAZ</t>
  </si>
  <si>
    <t>WILBURN, CATHY</t>
  </si>
  <si>
    <t>OLSON, DAVID</t>
  </si>
  <si>
    <t>JOHNS, ANGELA</t>
  </si>
  <si>
    <t>CAMPBELL, CANDACE</t>
  </si>
  <si>
    <t>KAMIDI, SHIRISHA</t>
  </si>
  <si>
    <t>HANSEN, BLAKE</t>
  </si>
  <si>
    <t>GILLIS, MARY</t>
  </si>
  <si>
    <t>THOMPSON, CHELSEA</t>
  </si>
  <si>
    <t>OSIH, KIKANWA</t>
  </si>
  <si>
    <t>MIZE, LORI</t>
  </si>
  <si>
    <t>SLAYTON, RUTH</t>
  </si>
  <si>
    <t>CRUTCHFIELD, CAMERON</t>
  </si>
  <si>
    <t>JARRETT, TANIKA</t>
  </si>
  <si>
    <t>COCKRELL, JESSIE</t>
  </si>
  <si>
    <t>DIBRELL, FREDRICK</t>
  </si>
  <si>
    <t>LYONS, DARRIN</t>
  </si>
  <si>
    <t>RANDALL, RENITA</t>
  </si>
  <si>
    <t>WHITEHURST, ANGIE</t>
  </si>
  <si>
    <t>KIM, HEE-SUN</t>
  </si>
  <si>
    <t>AGUILAR DUENAS, SANTIAGO</t>
  </si>
  <si>
    <t>MCGUIRE, JENNIFER</t>
  </si>
  <si>
    <t>HILL, LAURA</t>
  </si>
  <si>
    <t>SUDBRINK, JANICE</t>
  </si>
  <si>
    <t>BALL, MICHAEL</t>
  </si>
  <si>
    <t>TOSH, JENNIFER</t>
  </si>
  <si>
    <t>TUCKER, PATRICK</t>
  </si>
  <si>
    <t>PLEDGER, NORMAN</t>
  </si>
  <si>
    <t>WHITLOCK, JAMES</t>
  </si>
  <si>
    <t>GRIFFITH, ASHLEY</t>
  </si>
  <si>
    <t>LAMPTON, BRETT</t>
  </si>
  <si>
    <t>BYNUM, ANDREA</t>
  </si>
  <si>
    <t>JORDAN, CHARLES</t>
  </si>
  <si>
    <t>BASS, DIEDRE</t>
  </si>
  <si>
    <t>HICKS-ROBERTSON, JESSICA</t>
  </si>
  <si>
    <t>YENDALA, RACHANA</t>
  </si>
  <si>
    <t>TURNIPSEED, MISTI</t>
  </si>
  <si>
    <t>CLAYTON, HILLARY</t>
  </si>
  <si>
    <t>DUGGAR, JESSICA</t>
  </si>
  <si>
    <t>TANKERSLEY, JODIE</t>
  </si>
  <si>
    <t>LOBATI, FREDERICK</t>
  </si>
  <si>
    <t>HOWITT, WILLIAM</t>
  </si>
  <si>
    <t>NEIGHMOND, ABIGAIL</t>
  </si>
  <si>
    <t>CLINTON, MARTHA</t>
  </si>
  <si>
    <t>ALLEGA, ROHN</t>
  </si>
  <si>
    <t>TUCKER, BRANDI</t>
  </si>
  <si>
    <t>WILLIAMS, MITCHELL</t>
  </si>
  <si>
    <t>STEWART, STEPHANIE</t>
  </si>
  <si>
    <t>JACOBS, ANGELA</t>
  </si>
  <si>
    <t>AUSTIN, CASSIE</t>
  </si>
  <si>
    <t>REZA, ERONA</t>
  </si>
  <si>
    <t>HAVENS, MICHAEL</t>
  </si>
  <si>
    <t>BLOUNT, GARY</t>
  </si>
  <si>
    <t>BAKER, ADAM</t>
  </si>
  <si>
    <t>JABEEN, SAIMA</t>
  </si>
  <si>
    <t>FRONCEK, JAMES</t>
  </si>
  <si>
    <t>MITCHELL, GREGORY</t>
  </si>
  <si>
    <t>AKUNA, BRUCE</t>
  </si>
  <si>
    <t>ELAM, JIM</t>
  </si>
  <si>
    <t>GRAUPMAN, WANDA</t>
  </si>
  <si>
    <t>SALEHI, NEGAR</t>
  </si>
  <si>
    <t>WHITACRE, JEANA</t>
  </si>
  <si>
    <t>NGUYEN, LAN</t>
  </si>
  <si>
    <t>NGUYEN, THAO PHUONG</t>
  </si>
  <si>
    <t>HOPPLE, RENEA</t>
  </si>
  <si>
    <t>COTTINGHAM, MANDILYN</t>
  </si>
  <si>
    <t>VAIL, ROBERT</t>
  </si>
  <si>
    <t>ALAM, FARAZ</t>
  </si>
  <si>
    <t>LITTLE, TONY</t>
  </si>
  <si>
    <t>POWELL, JENNIFER</t>
  </si>
  <si>
    <t>BRAY, CARLA</t>
  </si>
  <si>
    <t>ROBINSON, WENDY</t>
  </si>
  <si>
    <t>LOPRINZI, KRISTINA</t>
  </si>
  <si>
    <t>FOLKARD, CAMILLE</t>
  </si>
  <si>
    <t>MORDECAI, AMANDA</t>
  </si>
  <si>
    <t>PADILLA, RAMON</t>
  </si>
  <si>
    <t>FOSTER, LESLIE</t>
  </si>
  <si>
    <t>SHANDS, THOMAS</t>
  </si>
  <si>
    <t>TEETER, BRIAN</t>
  </si>
  <si>
    <t>HERRON, KIMBERLY</t>
  </si>
  <si>
    <t>HAMILTON, THOMAS</t>
  </si>
  <si>
    <t>FOSTER, SHONDA</t>
  </si>
  <si>
    <t>RINER, TIFFANY</t>
  </si>
  <si>
    <t>DESAI, ROHAN</t>
  </si>
  <si>
    <t>HALL, LISA</t>
  </si>
  <si>
    <t>BUCKLEY, ROBERT</t>
  </si>
  <si>
    <t>PAPPAS, PAUL</t>
  </si>
  <si>
    <t>RUSSELL, HEATHER</t>
  </si>
  <si>
    <t>RICHARDSON, ERIK</t>
  </si>
  <si>
    <t>SHELTON, JAMES</t>
  </si>
  <si>
    <t>JOHANNS, SHARON</t>
  </si>
  <si>
    <t>WIENER, HILLEL</t>
  </si>
  <si>
    <t>FINNEY, MERRITT</t>
  </si>
  <si>
    <t>POUNDERS, MARY</t>
  </si>
  <si>
    <t>HORTON, LAUREN</t>
  </si>
  <si>
    <t>CASEY, RICK</t>
  </si>
  <si>
    <t>PEARSON, PHILIP</t>
  </si>
  <si>
    <t>WAMSLEY, CRAIG</t>
  </si>
  <si>
    <t>WEST, ANITA</t>
  </si>
  <si>
    <t>MAFFETT, JESSICA</t>
  </si>
  <si>
    <t>BARKLEY, THOMAS</t>
  </si>
  <si>
    <t>BALLARD, BRET</t>
  </si>
  <si>
    <t>MCCAUL, DEBRA</t>
  </si>
  <si>
    <t>BANDARU, KIRAN</t>
  </si>
  <si>
    <t>LOWERY, JENNIFER</t>
  </si>
  <si>
    <t>KENDRICK, NATALIE</t>
  </si>
  <si>
    <t>DOULOVA, IOULIA</t>
  </si>
  <si>
    <t>GUNTORIUS, SARAH</t>
  </si>
  <si>
    <t>BANNING, HANNAH</t>
  </si>
  <si>
    <t>BELL, JOY</t>
  </si>
  <si>
    <t>KING, ANDREA</t>
  </si>
  <si>
    <t>HOUTCHENS, JEREMY</t>
  </si>
  <si>
    <t>FEIFS, STEPHANIE</t>
  </si>
  <si>
    <t>DORRIS, JERRY</t>
  </si>
  <si>
    <t>CHASE, BARTON</t>
  </si>
  <si>
    <t>GRIFFIN, MANDA</t>
  </si>
  <si>
    <t>BUMBERRY, BARBARA</t>
  </si>
  <si>
    <t>BOLYARD, BENNETT</t>
  </si>
  <si>
    <t>RAKERS, COLEEN</t>
  </si>
  <si>
    <t>COSTELLO, RYAN</t>
  </si>
  <si>
    <t>DARTY, PEGGY</t>
  </si>
  <si>
    <t>BORCHERT, HEATHER</t>
  </si>
  <si>
    <t>KUMAR, RAJESH</t>
  </si>
  <si>
    <t>CALL, JANA</t>
  </si>
  <si>
    <t>MARGELLO, SUZANNE</t>
  </si>
  <si>
    <t>BRIDGEMAN, JAMES</t>
  </si>
  <si>
    <t>PIERCE, JENNIFER</t>
  </si>
  <si>
    <t>CARR, KENNETH</t>
  </si>
  <si>
    <t>DOUGLAS, DAVID</t>
  </si>
  <si>
    <t>BAILEY, NANCY</t>
  </si>
  <si>
    <t>HURST, KATHERINE</t>
  </si>
  <si>
    <t>BUCKNER, JAMES</t>
  </si>
  <si>
    <t>LOWRY, TRACY</t>
  </si>
  <si>
    <t>KERN, ERIN</t>
  </si>
  <si>
    <t>PANTHI, SUJATA</t>
  </si>
  <si>
    <t>GRIFFIS, TAMMY</t>
  </si>
  <si>
    <t>BRYANT, SHERYL</t>
  </si>
  <si>
    <t>MOHAMMED, SARA</t>
  </si>
  <si>
    <t>FOOR, STACEY</t>
  </si>
  <si>
    <t>MOORE, NIKKI</t>
  </si>
  <si>
    <t>SHAFFER, BRIGITTE</t>
  </si>
  <si>
    <t>DIMINO, ELIZABETH</t>
  </si>
  <si>
    <t>HARGIS, ALEXANDER</t>
  </si>
  <si>
    <t>O'NEAL, ELLIS</t>
  </si>
  <si>
    <t>CROWLEY, SHEILA</t>
  </si>
  <si>
    <t>MANZER, JONATHAN</t>
  </si>
  <si>
    <t>CABE, ANNABELLE</t>
  </si>
  <si>
    <t>MCKINNEY, CATHY</t>
  </si>
  <si>
    <t>KIRK, KECIA</t>
  </si>
  <si>
    <t>FARR, CHARLES</t>
  </si>
  <si>
    <t>HOLTORF, KRAIG</t>
  </si>
  <si>
    <t>PATEL, AMITA</t>
  </si>
  <si>
    <t>COOPER, EMILY</t>
  </si>
  <si>
    <t>FAUSETT, JONATHAN</t>
  </si>
  <si>
    <t>TAYLOR, ALLISON</t>
  </si>
  <si>
    <t>LABRADOR, BRITTANY</t>
  </si>
  <si>
    <t>HILL, RAEDENA</t>
  </si>
  <si>
    <t>BOLLAN, SAMANTHA</t>
  </si>
  <si>
    <t>NELSON, THOMAS</t>
  </si>
  <si>
    <t>KAMEL, HOSAM</t>
  </si>
  <si>
    <t>PRATT, JOSEPH</t>
  </si>
  <si>
    <t>ARMSTRONG, RALPH</t>
  </si>
  <si>
    <t>MOORE, DANNY</t>
  </si>
  <si>
    <t>LOVINGER, WARREN</t>
  </si>
  <si>
    <t>CHIU, GRACE</t>
  </si>
  <si>
    <t>RAZA, SHAHNILA</t>
  </si>
  <si>
    <t>MCGUIRE, JAIMEE</t>
  </si>
  <si>
    <t>MULLENIX, JAMIE</t>
  </si>
  <si>
    <t>BREEDING, BRIEANNA</t>
  </si>
  <si>
    <t>THOMAS, REED</t>
  </si>
  <si>
    <t>GARRISON, CORREAL</t>
  </si>
  <si>
    <t>CURLESS, CAROL</t>
  </si>
  <si>
    <t>RAMSEY, JOSHUA</t>
  </si>
  <si>
    <t>BISHOP, HEATHER</t>
  </si>
  <si>
    <t>WHITEHEAD, CAMILLE</t>
  </si>
  <si>
    <t>OWENS, BRITNY</t>
  </si>
  <si>
    <t>LARRU, JOEL</t>
  </si>
  <si>
    <t>CROUCH, JAMES</t>
  </si>
  <si>
    <t>CASTLE, MONA</t>
  </si>
  <si>
    <t>SCATES, PAUL</t>
  </si>
  <si>
    <t>WASHINGTON, CLINTON</t>
  </si>
  <si>
    <t>KIM, MIN</t>
  </si>
  <si>
    <t>COLSTON, JAMEY</t>
  </si>
  <si>
    <t>MCVEY, ANN</t>
  </si>
  <si>
    <t>OSTRANDER, TROY</t>
  </si>
  <si>
    <t>FUNMAKER, ERIKA</t>
  </si>
  <si>
    <t>KING, SHELBY</t>
  </si>
  <si>
    <t>SHULL, CAITLIN</t>
  </si>
  <si>
    <t>BUFFINGTON, BILLY</t>
  </si>
  <si>
    <t>MABRY, MICHAEL</t>
  </si>
  <si>
    <t>HOLMES, RICHARD</t>
  </si>
  <si>
    <t>HONDERICK, RICHARD</t>
  </si>
  <si>
    <t>ALHAWARI, HUSSEIN</t>
  </si>
  <si>
    <t>GIPSON, AMY</t>
  </si>
  <si>
    <t>MABEN, KATELYN</t>
  </si>
  <si>
    <t>HAWK, KRISTINA</t>
  </si>
  <si>
    <t>SMITH, BRANDY</t>
  </si>
  <si>
    <t>GREEN, ERIC</t>
  </si>
  <si>
    <t>MORELAND, JOSHUA</t>
  </si>
  <si>
    <t>SIRAK, BRIAN</t>
  </si>
  <si>
    <t>SHELBY, EUGENE</t>
  </si>
  <si>
    <t>SMITH, LORETTA</t>
  </si>
  <si>
    <t>SHABBIR, QURATULAIN</t>
  </si>
  <si>
    <t>GOLDEN, RACHEL</t>
  </si>
  <si>
    <t>LADIN, CHANRACHNA</t>
  </si>
  <si>
    <t>YARNELL, BRANDY</t>
  </si>
  <si>
    <t>JONES, THERESA</t>
  </si>
  <si>
    <t>HART, KALA</t>
  </si>
  <si>
    <t>AYYEH, MARIAM</t>
  </si>
  <si>
    <t>SLUSSER, KIMBERLY</t>
  </si>
  <si>
    <t>MERRICK, BRYAN</t>
  </si>
  <si>
    <t>LEE, KERRY</t>
  </si>
  <si>
    <t>KHALIQ, FAZILA</t>
  </si>
  <si>
    <t>HALKE, IONELA</t>
  </si>
  <si>
    <t>HUDSON, MEGAN</t>
  </si>
  <si>
    <t>MCMILLON, JAKE</t>
  </si>
  <si>
    <t>PULLEY, KELLY</t>
  </si>
  <si>
    <t>MELTON, KEENA</t>
  </si>
  <si>
    <t>CRAIG, ANGELA</t>
  </si>
  <si>
    <t>TAYLOR, CLAYTON</t>
  </si>
  <si>
    <t>FLOWERS, HEIDI</t>
  </si>
  <si>
    <t>CREAMER, AMANDA</t>
  </si>
  <si>
    <t>BARNES, DANIEL</t>
  </si>
  <si>
    <t>DILLARD, DANIEL</t>
  </si>
  <si>
    <t>CREECH, ERIKA</t>
  </si>
  <si>
    <t>MORGAN, JIMMY</t>
  </si>
  <si>
    <t>NECESSARY, JEFFREY</t>
  </si>
  <si>
    <t>TAYLOR, PAMI</t>
  </si>
  <si>
    <t>KUREK, MARY</t>
  </si>
  <si>
    <t>BARNES, TYLER</t>
  </si>
  <si>
    <t>BROCKER, JERI</t>
  </si>
  <si>
    <t>COLLINS, GENE</t>
  </si>
  <si>
    <t>SZWEDO, ANNA</t>
  </si>
  <si>
    <t>ARISTORENAS, WANDA</t>
  </si>
  <si>
    <t>HUFFSTATLER, MARLANA</t>
  </si>
  <si>
    <t>PIERCE, JOHN</t>
  </si>
  <si>
    <t>ELLISON, SHONTA</t>
  </si>
  <si>
    <t>PENNINGTON, WILLIAM</t>
  </si>
  <si>
    <t>YATES, NATALE</t>
  </si>
  <si>
    <t>BOONE, SCOTT</t>
  </si>
  <si>
    <t>PFEFFER, SEAN</t>
  </si>
  <si>
    <t>ERVIN, STACEY</t>
  </si>
  <si>
    <t>SEATON, DAVID</t>
  </si>
  <si>
    <t>CHESNUT, CANDACE</t>
  </si>
  <si>
    <t>ADLER, CHARLES</t>
  </si>
  <si>
    <t>HERRING, ROBERT</t>
  </si>
  <si>
    <t>ZACK, APRIL</t>
  </si>
  <si>
    <t>WOODS, DI'ARA</t>
  </si>
  <si>
    <t>COLE, CARRIE</t>
  </si>
  <si>
    <t>HUSLIG, RYAN</t>
  </si>
  <si>
    <t>SUTTLE, SAMUEL</t>
  </si>
  <si>
    <t>WEBB, GINA</t>
  </si>
  <si>
    <t>LYNCH, JAMES</t>
  </si>
  <si>
    <t>HABIS, SABA</t>
  </si>
  <si>
    <t>WESKAMP, DOMINIC</t>
  </si>
  <si>
    <t>GEE, CHANCE</t>
  </si>
  <si>
    <t>GREEN, ALISON</t>
  </si>
  <si>
    <t>SUMERFORD, DAVID</t>
  </si>
  <si>
    <t>BROCE, ASHLEY</t>
  </si>
  <si>
    <t>LINDSEY, MARY</t>
  </si>
  <si>
    <t>SUTTON, ELICIA</t>
  </si>
  <si>
    <t>GUDGEON, NICHOLE</t>
  </si>
  <si>
    <t>DONNER, TRISTEN</t>
  </si>
  <si>
    <t>WADE, CHRISTINA</t>
  </si>
  <si>
    <t>WADE, JESSICA</t>
  </si>
  <si>
    <t>BARNETT, JOSHUA</t>
  </si>
  <si>
    <t>PAFFORD, MICHAEL</t>
  </si>
  <si>
    <t>TAYLOR, JUDITH</t>
  </si>
  <si>
    <t>ALUMNO, MARTIN</t>
  </si>
  <si>
    <t>ASHFORD, SHANE</t>
  </si>
  <si>
    <t>RENO, JUSTIN</t>
  </si>
  <si>
    <t>SAYLORS, SHARLA</t>
  </si>
  <si>
    <t>HILL, KARA</t>
  </si>
  <si>
    <t>DOBBS, PAUL</t>
  </si>
  <si>
    <t>GRAY, SAMANTHA</t>
  </si>
  <si>
    <t>ROSS, REX</t>
  </si>
  <si>
    <t>GRIFFIN, ROBBIE</t>
  </si>
  <si>
    <t>EDSON, KIM</t>
  </si>
  <si>
    <t>SMELSER, MICHAEL</t>
  </si>
  <si>
    <t>SACRY, ROGER</t>
  </si>
  <si>
    <t>HORN, LAURA</t>
  </si>
  <si>
    <t>HENDERSON, REGGIE</t>
  </si>
  <si>
    <t>HORINEK, PATRICK</t>
  </si>
  <si>
    <t>REID, RICHARD</t>
  </si>
  <si>
    <t>SIMPSON, MCLANE</t>
  </si>
  <si>
    <t>CRAWFORD, TIFFANY</t>
  </si>
  <si>
    <t>AGEE, JAMIE</t>
  </si>
  <si>
    <t>JOSEPH, ZEENA</t>
  </si>
  <si>
    <t>KRISHNAN, GAYATHRI</t>
  </si>
  <si>
    <t>MCNEESE, BAILEY</t>
  </si>
  <si>
    <t>DANSBY, DONNA</t>
  </si>
  <si>
    <t>HUDSON, LISA</t>
  </si>
  <si>
    <t>BARBE, NATHANIEL</t>
  </si>
  <si>
    <t>SCATES, MICHAEL</t>
  </si>
  <si>
    <t>CASTILLO, JAIME</t>
  </si>
  <si>
    <t>BAURICHTER, JOHN</t>
  </si>
  <si>
    <t>LOUTZENHISER, MATTHEW</t>
  </si>
  <si>
    <t>WEST, FLAVIA</t>
  </si>
  <si>
    <t>WRIGHT MAST, MICHELLE</t>
  </si>
  <si>
    <t>ROSS, CHELSEY</t>
  </si>
  <si>
    <t>DILAN-KOETJE, JEANETTE</t>
  </si>
  <si>
    <t>ALLEN, SHAKEYLLA</t>
  </si>
  <si>
    <t>BARLOGIE, EVA</t>
  </si>
  <si>
    <t>ENGLERT, MICHELLE</t>
  </si>
  <si>
    <t>SIKES, BRIANNA</t>
  </si>
  <si>
    <t>SMARJESSE, SHARONDA</t>
  </si>
  <si>
    <t>PRATHER, JESSICA</t>
  </si>
  <si>
    <t>EATON, ALISON</t>
  </si>
  <si>
    <t>GOSS, JENNIFER</t>
  </si>
  <si>
    <t>HARRIS, RYAN</t>
  </si>
  <si>
    <t>HOBSON, MARTHA</t>
  </si>
  <si>
    <t>PIPKENS, CRYSTAL</t>
  </si>
  <si>
    <t>TALLEY, ASHLEY</t>
  </si>
  <si>
    <t>MATHIS, CHANDRA</t>
  </si>
  <si>
    <t>ARNOLD, LARRY</t>
  </si>
  <si>
    <t>LINDEMEYER, KAITLYNN</t>
  </si>
  <si>
    <t>FRANK-TARSI, MARY</t>
  </si>
  <si>
    <t>COLE, RONJA</t>
  </si>
  <si>
    <t>PURUSHOTHAMAN, RAJAMANICKAM</t>
  </si>
  <si>
    <t>SCHROYER, MEGAN</t>
  </si>
  <si>
    <t>WOODRUFF, VALERIE</t>
  </si>
  <si>
    <t>DIEHL, POLLY</t>
  </si>
  <si>
    <t>KRESTA, LAURA</t>
  </si>
  <si>
    <t>WOLF, HALEY</t>
  </si>
  <si>
    <t>STONE, LALETA</t>
  </si>
  <si>
    <t>ARY, LESLIE</t>
  </si>
  <si>
    <t>GREER, CHASSITY</t>
  </si>
  <si>
    <t>VASQUEZ, KATHLEEN</t>
  </si>
  <si>
    <t>BRADFORD, HEATHER</t>
  </si>
  <si>
    <t>DAVIS, JESSICA</t>
  </si>
  <si>
    <t>SEARCY, CARISSA</t>
  </si>
  <si>
    <t>LAKE, SANDRA</t>
  </si>
  <si>
    <t>PATEL, RAJENDRAKUMAR</t>
  </si>
  <si>
    <t>CREEKMORE, SAMUEL</t>
  </si>
  <si>
    <t>PAKKALA, NITHYANANDA</t>
  </si>
  <si>
    <t>FAROOQ, FARHA</t>
  </si>
  <si>
    <t>SMITH, ADAM</t>
  </si>
  <si>
    <t>SHACKELFORD, ROBERT</t>
  </si>
  <si>
    <t>VISWANATHAN, NISHA</t>
  </si>
  <si>
    <t>CLARK, BRITTANY</t>
  </si>
  <si>
    <t>KONDA, MANOJNA</t>
  </si>
  <si>
    <t>THOMPSON, JON</t>
  </si>
  <si>
    <t>BATES, INNA</t>
  </si>
  <si>
    <t>MILLER, KEVIN</t>
  </si>
  <si>
    <t>MCBRIDE, LAUREN</t>
  </si>
  <si>
    <t>HOLMAN, CHRISTINA</t>
  </si>
  <si>
    <t>AGEE, AMANDA</t>
  </si>
  <si>
    <t>KING, KATHERINE</t>
  </si>
  <si>
    <t>PRATER, ALLIE</t>
  </si>
  <si>
    <t>SOUTH-BITTER, DWALIA</t>
  </si>
  <si>
    <t>FRASER, ROSALINE</t>
  </si>
  <si>
    <t>BRADBERRY, SAMUEL</t>
  </si>
  <si>
    <t>CARTWRIGHT, CLIFTON</t>
  </si>
  <si>
    <t>MOUSSELLI, HOSAM</t>
  </si>
  <si>
    <t>SETHI, ICHHA</t>
  </si>
  <si>
    <t>WILLIS, BRITTANY</t>
  </si>
  <si>
    <t>RUTHERFORD, KATESE</t>
  </si>
  <si>
    <t>MOTES, TRACI</t>
  </si>
  <si>
    <t>RUSSELL, JULIE</t>
  </si>
  <si>
    <t>BOYD, CARLY</t>
  </si>
  <si>
    <t>FORD, STEPHANIE</t>
  </si>
  <si>
    <t>TIPTON, SUMMER</t>
  </si>
  <si>
    <t>EMISON, KAREN</t>
  </si>
  <si>
    <t>SEMEYN, JEFFREY</t>
  </si>
  <si>
    <t>ADAMS, SALLY</t>
  </si>
  <si>
    <t>NEIRA, CLAUDIA</t>
  </si>
  <si>
    <t>MCCAIN, MARY</t>
  </si>
  <si>
    <t>ALZAGA, DONNA</t>
  </si>
  <si>
    <t>MACKEY, DAVID</t>
  </si>
  <si>
    <t>CLARK, JUSTIN</t>
  </si>
  <si>
    <t>WEISS, LAURA</t>
  </si>
  <si>
    <t>VAN AKKEREN, JEANIE</t>
  </si>
  <si>
    <t>VENEGAS, PAMELA</t>
  </si>
  <si>
    <t>QAYYUM, MUNEEBA</t>
  </si>
  <si>
    <t>STUCKEY HUDSPETH, AINSLIE</t>
  </si>
  <si>
    <t>HANKS-CLARK, ELIZABETH</t>
  </si>
  <si>
    <t>ROBERTS, LESLIE</t>
  </si>
  <si>
    <t>SUTTERFIELD, KASEY</t>
  </si>
  <si>
    <t>MCFARLAND, RODNEY</t>
  </si>
  <si>
    <t>HAYHURST, BETTY</t>
  </si>
  <si>
    <t>SEGARS, KELLY</t>
  </si>
  <si>
    <t>TRUESDALE, KIM</t>
  </si>
  <si>
    <t>LOWRY, SLATER</t>
  </si>
  <si>
    <t>CRAWFORD, COLBY</t>
  </si>
  <si>
    <t>METCALF, STEPHANIE</t>
  </si>
  <si>
    <t>AGUIAR, CLINTON</t>
  </si>
  <si>
    <t>PENISTER, RAYNA</t>
  </si>
  <si>
    <t>TOOTLE, CHRISTINA</t>
  </si>
  <si>
    <t>BAKER, SARAH</t>
  </si>
  <si>
    <t>LANDON, KARA</t>
  </si>
  <si>
    <t>WIYGUL, ANNA</t>
  </si>
  <si>
    <t>ELSEA, DEANNA</t>
  </si>
  <si>
    <t>HEINEN, CHAD</t>
  </si>
  <si>
    <t>STANBACK, JOHN</t>
  </si>
  <si>
    <t>BOUTROS, NIDAL</t>
  </si>
  <si>
    <t>OSBORN, JOHN</t>
  </si>
  <si>
    <t>REITER, AMANDA</t>
  </si>
  <si>
    <t>MELTON, SANDRA</t>
  </si>
  <si>
    <t>PARKS, CARMEN</t>
  </si>
  <si>
    <t>FRAISER, JACQUELINE</t>
  </si>
  <si>
    <t>SINGHAL, SUMIT</t>
  </si>
  <si>
    <t>HOVE, STEPHANIE</t>
  </si>
  <si>
    <t>CLEMENT, DONNA</t>
  </si>
  <si>
    <t>LEISTER, TIFFANY</t>
  </si>
  <si>
    <t>BLANKENSHIP, CARMIE</t>
  </si>
  <si>
    <t>EZEUME, CHUKWUEMEKA</t>
  </si>
  <si>
    <t>JONES, CANDICE</t>
  </si>
  <si>
    <t>NAGOTU KAMBAGIRI, SHARADA</t>
  </si>
  <si>
    <t>HUFFSTETLER, SARAH</t>
  </si>
  <si>
    <t>BALLARD, LAURA</t>
  </si>
  <si>
    <t>ELLIOTTE, MARY</t>
  </si>
  <si>
    <t>WHITE, DEDREA</t>
  </si>
  <si>
    <t>SHOEMAKER, MICHAEL</t>
  </si>
  <si>
    <t>TUCKER, CHARLES</t>
  </si>
  <si>
    <t>WALL, MICHELLE</t>
  </si>
  <si>
    <t>WHEELER, SANDRA</t>
  </si>
  <si>
    <t>THOMPSON-DAVIS, JENNIFER</t>
  </si>
  <si>
    <t>CRAWFORD, CHET</t>
  </si>
  <si>
    <t>HAYES, JOSHUA</t>
  </si>
  <si>
    <t>BRECHEISEN, KYNDEL</t>
  </si>
  <si>
    <t>HINES, SHANEA</t>
  </si>
  <si>
    <t>FLEETWOOD, LAURA</t>
  </si>
  <si>
    <t>SCOTT, LYNDIE</t>
  </si>
  <si>
    <t>TEAGUE, ANGELA</t>
  </si>
  <si>
    <t>VAIL, GENA</t>
  </si>
  <si>
    <t>LINDER, TIMOTHY</t>
  </si>
  <si>
    <t>KEMM, RUSSELL</t>
  </si>
  <si>
    <t>NOYES, TIMOTHY</t>
  </si>
  <si>
    <t>WYATT, LACEY</t>
  </si>
  <si>
    <t>PICKLE, TERESA</t>
  </si>
  <si>
    <t>STILLWELL, CRYSTAL</t>
  </si>
  <si>
    <t>MUELLER, KATE</t>
  </si>
  <si>
    <t>PEVRIL, DANIEL</t>
  </si>
  <si>
    <t>CIARAMITARO, ANTHONY</t>
  </si>
  <si>
    <t>RILEY, ANTOINETTE</t>
  </si>
  <si>
    <t>HANIG, KAREN</t>
  </si>
  <si>
    <t>COLOTTA, TERRY</t>
  </si>
  <si>
    <t>JONES, PHILLIP</t>
  </si>
  <si>
    <t>YANTIS, VOLARE</t>
  </si>
  <si>
    <t>ENGEL, ERIC</t>
  </si>
  <si>
    <t>GREENHAW, DAVID</t>
  </si>
  <si>
    <t>GRIESSEL, CYNTHIA</t>
  </si>
  <si>
    <t>NUGENT, JEREMIAH</t>
  </si>
  <si>
    <t>RHODES, KIMBERLY</t>
  </si>
  <si>
    <t>BRADLEY, THOMAS</t>
  </si>
  <si>
    <t>NICOLAS, CHANTAL</t>
  </si>
  <si>
    <t>DOWLING, CLAREY</t>
  </si>
  <si>
    <t>STIPANUK, GERALD</t>
  </si>
  <si>
    <t>WHIPPLE MANES, TAMMY</t>
  </si>
  <si>
    <t>CALLAHAN, SHERRY</t>
  </si>
  <si>
    <t>BELL, ASHLEY</t>
  </si>
  <si>
    <t>RHINEWALT, JAMES</t>
  </si>
  <si>
    <t>BOATRIGHT, COURTNEY</t>
  </si>
  <si>
    <t>MASENA, JACOB</t>
  </si>
  <si>
    <t>HAMLIN, DARIN</t>
  </si>
  <si>
    <t>MEENAN, KAREN</t>
  </si>
  <si>
    <t>SHAW, ASHLEY</t>
  </si>
  <si>
    <t>WATSON, STEPHANIE</t>
  </si>
  <si>
    <t>PARHAM, ALISHA</t>
  </si>
  <si>
    <t>ODOM, SANDRA</t>
  </si>
  <si>
    <t>LOGGINS, TANNISHA</t>
  </si>
  <si>
    <t>BLACKSHER, ALLISON</t>
  </si>
  <si>
    <t>GOOLSBY, LESLIE</t>
  </si>
  <si>
    <t>RAHMAN, NAIM</t>
  </si>
  <si>
    <t>HIVELY, JEFFREY</t>
  </si>
  <si>
    <t>FRILOUX, MARK</t>
  </si>
  <si>
    <t>ANTHONY, MICHAEL</t>
  </si>
  <si>
    <t>LINDER, EDWIN</t>
  </si>
  <si>
    <t>TIPPOR, SHAMANT</t>
  </si>
  <si>
    <t>PILAPIL, ELENE</t>
  </si>
  <si>
    <t>GRANNEMAN, PATRICK</t>
  </si>
  <si>
    <t>ELBADRI, AHLAM</t>
  </si>
  <si>
    <t>RIDEAU, HALANA</t>
  </si>
  <si>
    <t>GRADY, CHAD</t>
  </si>
  <si>
    <t>ROBBINS, HEAVEN</t>
  </si>
  <si>
    <t>CONKLIN, THOMAS</t>
  </si>
  <si>
    <t>WHITESELL, ANGIE</t>
  </si>
  <si>
    <t>HOPKINS, THOMAS</t>
  </si>
  <si>
    <t>MORGAN, HEATH</t>
  </si>
  <si>
    <t>PARTOVI, KIANDOKHT</t>
  </si>
  <si>
    <t>KNAPP, MICHAEL</t>
  </si>
  <si>
    <t>ROWSEY, MISTY</t>
  </si>
  <si>
    <t>WELLER, JESSICA</t>
  </si>
  <si>
    <t>HOLLOWAY, JAMIE</t>
  </si>
  <si>
    <t>GATES, ALICIA</t>
  </si>
  <si>
    <t>MONTGOMERY, STEPHEN</t>
  </si>
  <si>
    <t>FOUST, DAPHNE</t>
  </si>
  <si>
    <t>DOWNING, OAKLEY</t>
  </si>
  <si>
    <t>BECKWITH, AMANDA</t>
  </si>
  <si>
    <t>WOOD, APRIL</t>
  </si>
  <si>
    <t>TRAMMELL, ESTHER</t>
  </si>
  <si>
    <t>COLE, CASSANDRA</t>
  </si>
  <si>
    <t>HEISSERER, ELIZABETH</t>
  </si>
  <si>
    <t>WILLIAMS-DAVIS, CHRYSTAL</t>
  </si>
  <si>
    <t>THOMAS, LEAH</t>
  </si>
  <si>
    <t>CAHANA, LUDMILA</t>
  </si>
  <si>
    <t>CHILDS, TYLER</t>
  </si>
  <si>
    <t>HUGHES, WILLIAM</t>
  </si>
  <si>
    <t>ALI, IFTIKHAR</t>
  </si>
  <si>
    <t>NEIGHMOND, KEIR</t>
  </si>
  <si>
    <t>PENDERGRASS, CRAIG</t>
  </si>
  <si>
    <t>JONES-MONTGOMERY, KARLA</t>
  </si>
  <si>
    <t>BEAUMONT, GRACE</t>
  </si>
  <si>
    <t>ALDEN, JOHN</t>
  </si>
  <si>
    <t>SATTERFIELD, BRIDGET</t>
  </si>
  <si>
    <t>PARK, CHRISTOPHER</t>
  </si>
  <si>
    <t>HERFORD, BARON</t>
  </si>
  <si>
    <t>SKETAS, GREGORY</t>
  </si>
  <si>
    <t>GLASS, KELLYE</t>
  </si>
  <si>
    <t>ROBERTS, CLARK</t>
  </si>
  <si>
    <t>KING, KASEY</t>
  </si>
  <si>
    <t>CARTER, DUSTIN</t>
  </si>
  <si>
    <t>HARDIN, MEGAN</t>
  </si>
  <si>
    <t>LONG, DONICA</t>
  </si>
  <si>
    <t>MASON, MARIA</t>
  </si>
  <si>
    <t>KOEHLER, KEVIN</t>
  </si>
  <si>
    <t>BARNES, BRYAN</t>
  </si>
  <si>
    <t>SHIRLEY, STEPHEN</t>
  </si>
  <si>
    <t>CRISOSTOMO, ABIGAIL</t>
  </si>
  <si>
    <t>WIESE, BRANDON</t>
  </si>
  <si>
    <t>GIBB, ANDRIA</t>
  </si>
  <si>
    <t>HERRING, KATIE</t>
  </si>
  <si>
    <t>REESE, JORDAN</t>
  </si>
  <si>
    <t>POULOS, MICHAEL</t>
  </si>
  <si>
    <t>WILANSKY, JAQUELYN</t>
  </si>
  <si>
    <t>KEITH, LESLEY</t>
  </si>
  <si>
    <t>MAHAN, AMANDA</t>
  </si>
  <si>
    <t>REYNOLDS, RACHEL</t>
  </si>
  <si>
    <t>KROEKER, CHERYL</t>
  </si>
  <si>
    <t>SOMJEE, ARIF</t>
  </si>
  <si>
    <t>MCMINN, JENNIFER</t>
  </si>
  <si>
    <t>STONE, ASHLEY</t>
  </si>
  <si>
    <t>WANEE, NEIL</t>
  </si>
  <si>
    <t>FRILOUX, BRIAN</t>
  </si>
  <si>
    <t>NEDUMTHOTTATHIL, THOMAS</t>
  </si>
  <si>
    <t>LUKER, STEPHEN</t>
  </si>
  <si>
    <t>BRUNI, DAWN</t>
  </si>
  <si>
    <t>GILLILAND, MELANIE</t>
  </si>
  <si>
    <t>BAILEY, SHELBY</t>
  </si>
  <si>
    <t>DIVINE, KATHY</t>
  </si>
  <si>
    <t>FOSTER, KALEIGH</t>
  </si>
  <si>
    <t>THRASHER, BARTON</t>
  </si>
  <si>
    <t>JENKINS, LORI</t>
  </si>
  <si>
    <t>HIMES, JOYCE</t>
  </si>
  <si>
    <t>WELCH FORSBACH, KATHERINE</t>
  </si>
  <si>
    <t>DAVIS, RANDI</t>
  </si>
  <si>
    <t>STEWART, TERRY</t>
  </si>
  <si>
    <t>THOMAS, JENNA</t>
  </si>
  <si>
    <t>WILKERSON, BRITTANY</t>
  </si>
  <si>
    <t>WILHITE, NATASHA</t>
  </si>
  <si>
    <t>DECANTER, PAULA</t>
  </si>
  <si>
    <t>GROTHEER, MARTIN</t>
  </si>
  <si>
    <t>VASIQ, MUHAMMAD</t>
  </si>
  <si>
    <t>BOWLIN, STEVEN</t>
  </si>
  <si>
    <t>GLYNN, MARGARET</t>
  </si>
  <si>
    <t>THORNTON, KELLY</t>
  </si>
  <si>
    <t>QUINN, MELINDA</t>
  </si>
  <si>
    <t>SIMS, JOSEPH</t>
  </si>
  <si>
    <t>HUMISTON, LESLIE</t>
  </si>
  <si>
    <t>HILL, DONNA</t>
  </si>
  <si>
    <t>RADFORD, MARY</t>
  </si>
  <si>
    <t>HILLIS, HEATHER</t>
  </si>
  <si>
    <t>LAMBERT, ANGELISA</t>
  </si>
  <si>
    <t>RANDALL, TEQIENNA</t>
  </si>
  <si>
    <t>DAVIS, KATHERINE</t>
  </si>
  <si>
    <t>HART, GINGER</t>
  </si>
  <si>
    <t>CARTER, SAMUEL</t>
  </si>
  <si>
    <t>COOK, ANGELA</t>
  </si>
  <si>
    <t>DENNIS, LAURENCE</t>
  </si>
  <si>
    <t>BABB, LAUREN</t>
  </si>
  <si>
    <t>ABRAHAM, JOHN</t>
  </si>
  <si>
    <t>THOMPSON, GINGER</t>
  </si>
  <si>
    <t>HATCHETT, ADRIENNE</t>
  </si>
  <si>
    <t>PLEDGER, DARREN</t>
  </si>
  <si>
    <t>RICHARDS, THEODORE</t>
  </si>
  <si>
    <t>SCOTT, TRACY</t>
  </si>
  <si>
    <t>CAMPBELL, CARRINGTON</t>
  </si>
  <si>
    <t>JONES, RACHEL</t>
  </si>
  <si>
    <t>BERTRAND, RACHEL</t>
  </si>
  <si>
    <t>HARRISON, LAUREN</t>
  </si>
  <si>
    <t>WESTERMAN, SANDRA</t>
  </si>
  <si>
    <t>BADA, SAMUEL</t>
  </si>
  <si>
    <t>PETRY, HENRY</t>
  </si>
  <si>
    <t>DODSON, MELISSA</t>
  </si>
  <si>
    <t>FONTENOTE, PAULA</t>
  </si>
  <si>
    <t>SUTTON, MELANIE</t>
  </si>
  <si>
    <t>SOJOURNER, DENISE</t>
  </si>
  <si>
    <t>MCDONALD, BARBARA</t>
  </si>
  <si>
    <t>FREE, CHRISTINA</t>
  </si>
  <si>
    <t>MOORE, MELISSA</t>
  </si>
  <si>
    <t>PANDEY, TULIKA</t>
  </si>
  <si>
    <t>ALGEE, LINDSEY</t>
  </si>
  <si>
    <t>NORTON, VALERIE</t>
  </si>
  <si>
    <t>SANFORD, LISA</t>
  </si>
  <si>
    <t>CRAWFORD, SAVANNAH</t>
  </si>
  <si>
    <t>VAUGHAN, KEELY</t>
  </si>
  <si>
    <t>STROUPE, CODY</t>
  </si>
  <si>
    <t>GEORGE, LAURA</t>
  </si>
  <si>
    <t>KINCANNON, LAUREN</t>
  </si>
  <si>
    <t>SANFORD, JOSHUA</t>
  </si>
  <si>
    <t>HARRIS, JEFFERY</t>
  </si>
  <si>
    <t>BROWNING, RONALD</t>
  </si>
  <si>
    <t>SINGH, ARJUN</t>
  </si>
  <si>
    <t>CLEMENT, KATHI</t>
  </si>
  <si>
    <t>MCINTOSH, COOPER</t>
  </si>
  <si>
    <t>PETTIGREW, JACK</t>
  </si>
  <si>
    <t>BOND, STEPHANE</t>
  </si>
  <si>
    <t>VAUGHAN, CHARLENE</t>
  </si>
  <si>
    <t>CASE, AMBER</t>
  </si>
  <si>
    <t>ELLIS, LESLIE</t>
  </si>
  <si>
    <t>SUTTON, ABBY</t>
  </si>
  <si>
    <t>TOMPKINS, DUSTIN</t>
  </si>
  <si>
    <t>ALLISON, CHRISTIAN</t>
  </si>
  <si>
    <t>PATE, BRANDON</t>
  </si>
  <si>
    <t>CONWAY, ERICA</t>
  </si>
  <si>
    <t>EASTRIDGE, SHELLY</t>
  </si>
  <si>
    <t>MCGLOTHLIN, LARA</t>
  </si>
  <si>
    <t>CAIN, GEORGE</t>
  </si>
  <si>
    <t>PARKS, MARY</t>
  </si>
  <si>
    <t>SHORE, JAMES</t>
  </si>
  <si>
    <t>TRUDEAU, HEATHER</t>
  </si>
  <si>
    <t>DAVIS, BRIAN</t>
  </si>
  <si>
    <t>PAULSON, JOHN</t>
  </si>
  <si>
    <t>VOORHIS, STEPHANIE</t>
  </si>
  <si>
    <t>YAHYA, FAZAL</t>
  </si>
  <si>
    <t>REDDY, DEVARA</t>
  </si>
  <si>
    <t>MCINTOSH, ASHLEIGH</t>
  </si>
  <si>
    <t>SMITH, SHANA</t>
  </si>
  <si>
    <t>RICHARDSON, KRYSTEN</t>
  </si>
  <si>
    <t>WINDSOR, LAURA</t>
  </si>
  <si>
    <t>MURPHY, ANDREA</t>
  </si>
  <si>
    <t>WILLIAMS, HELEN</t>
  </si>
  <si>
    <t>PARKER, DONALD</t>
  </si>
  <si>
    <t>HOBBS, MILTON</t>
  </si>
  <si>
    <t>GIBBON, THOMAS</t>
  </si>
  <si>
    <t>KOONCE, MELISSA</t>
  </si>
  <si>
    <t>MAYS, BRANDI</t>
  </si>
  <si>
    <t>SPAW, JAMES</t>
  </si>
  <si>
    <t>GOSSETT, MICHAEL</t>
  </si>
  <si>
    <t>VUE, SIA</t>
  </si>
  <si>
    <t>LADUKE, TORI</t>
  </si>
  <si>
    <t>CATHEY, GENE</t>
  </si>
  <si>
    <t>THOMAS, HAROLD</t>
  </si>
  <si>
    <t>LITTLE, TONYA</t>
  </si>
  <si>
    <t>DAVIS, GIGI</t>
  </si>
  <si>
    <t>WALLER, RICHARD</t>
  </si>
  <si>
    <t>EASON, WILLIAM</t>
  </si>
  <si>
    <t>EARLS, RANDY</t>
  </si>
  <si>
    <t>CATHCART, DAVID</t>
  </si>
  <si>
    <t>SAUNDERS, WILLIAM</t>
  </si>
  <si>
    <t>HOWARD, WARREN</t>
  </si>
  <si>
    <t>GOMEZ LORENZO, VICTOR</t>
  </si>
  <si>
    <t>SALAZAR, LANE</t>
  </si>
  <si>
    <t>ECHOLES, LAJAYSHA</t>
  </si>
  <si>
    <t>JOHNSON, MOLLY</t>
  </si>
  <si>
    <t>COOPER, CRISTIN</t>
  </si>
  <si>
    <t>DALLAS, AMY</t>
  </si>
  <si>
    <t>YOE, WILLIAM</t>
  </si>
  <si>
    <t>GODWIN, SUSAN</t>
  </si>
  <si>
    <t>ALEXANDER-LUSK, ALLIE</t>
  </si>
  <si>
    <t>MARCY, WILLIAM</t>
  </si>
  <si>
    <t>PASTRELL, KATHRYN</t>
  </si>
  <si>
    <t>RHEA, KARL</t>
  </si>
  <si>
    <t>HUMPHERYS, KELLY</t>
  </si>
  <si>
    <t>GULLICK-JOINER, LACEY</t>
  </si>
  <si>
    <t>BARBER, VALERIE</t>
  </si>
  <si>
    <t>MOORE, MYRA</t>
  </si>
  <si>
    <t>JENNINGS, TAYLOR</t>
  </si>
  <si>
    <t>DHAR, UJJWAL</t>
  </si>
  <si>
    <t>NICKELSON, CONNIE</t>
  </si>
  <si>
    <t>BETTASSO, BERNARD</t>
  </si>
  <si>
    <t>CROMWELL, JANET</t>
  </si>
  <si>
    <t>EVANS, THOMAS</t>
  </si>
  <si>
    <t>WELLS, WILLIE</t>
  </si>
  <si>
    <t>DASOVICH, JUDITH</t>
  </si>
  <si>
    <t>GRAVES, DEBORAH</t>
  </si>
  <si>
    <t>BETHMANN, SHERI</t>
  </si>
  <si>
    <t>KNOX, ELLOUISE</t>
  </si>
  <si>
    <t>GRIFFIS, HOLLY</t>
  </si>
  <si>
    <t>MCGOUGAN, DAVA</t>
  </si>
  <si>
    <t>HELMHOUT, SHAUN</t>
  </si>
  <si>
    <t>SO, CHUN</t>
  </si>
  <si>
    <t>BOWLES, RANDY</t>
  </si>
  <si>
    <t>TITUS, ANGELA</t>
  </si>
  <si>
    <t>BALL, DAVID</t>
  </si>
  <si>
    <t>LONGEST, TOM</t>
  </si>
  <si>
    <t>WILLIAMS, KENNETH</t>
  </si>
  <si>
    <t>MIDDLETON, CHERYL</t>
  </si>
  <si>
    <t>RAY, ASHLEIGH</t>
  </si>
  <si>
    <t>FONDREN, AMANDA</t>
  </si>
  <si>
    <t>MEELER, DELANA</t>
  </si>
  <si>
    <t>MILLER, ANDREW</t>
  </si>
  <si>
    <t>ADIGUN-AWONAIKE, OYENIKE</t>
  </si>
  <si>
    <t>MCCARVER, BRIAN</t>
  </si>
  <si>
    <t>MURDOCK, DONNA</t>
  </si>
  <si>
    <t>MARCY, MARY</t>
  </si>
  <si>
    <t>LECKIE, CHARLES</t>
  </si>
  <si>
    <t>DEMPSEY, SANDRA</t>
  </si>
  <si>
    <t>WALKER, ALIA</t>
  </si>
  <si>
    <t>POMPHREY, ROBERT</t>
  </si>
  <si>
    <t>RODGERS, CLIFTON</t>
  </si>
  <si>
    <t>FITTS, TERESA</t>
  </si>
  <si>
    <t>THOMAS, KATHERINE</t>
  </si>
  <si>
    <t>CROUSE, EMILY</t>
  </si>
  <si>
    <t>WEATHERFORD, LAURA</t>
  </si>
  <si>
    <t>ROBERTS, MICHELLE</t>
  </si>
  <si>
    <t>DALKE, MATTHEW</t>
  </si>
  <si>
    <t>CRAWFORD, ALI</t>
  </si>
  <si>
    <t>STURDIVANT, VICTORIA</t>
  </si>
  <si>
    <t>KILLINGSWORTH, DREAMA</t>
  </si>
  <si>
    <t>VEO, JENNIFER</t>
  </si>
  <si>
    <t>SHRESTHA, MANISHA</t>
  </si>
  <si>
    <t>BLOCK, JACQUELINE</t>
  </si>
  <si>
    <t>JOYNER, CHRISTINA</t>
  </si>
  <si>
    <t>AUSTIN, DONNA</t>
  </si>
  <si>
    <t>WAGONER, CHAD</t>
  </si>
  <si>
    <t>LOWRY, SUSAN</t>
  </si>
  <si>
    <t>RATLIFF, DONALD</t>
  </si>
  <si>
    <t>HILL, CHARLES</t>
  </si>
  <si>
    <t>WADDELL, DONNA</t>
  </si>
  <si>
    <t>PEERY, DAWN</t>
  </si>
  <si>
    <t>WALKER, CHRISTOPHER</t>
  </si>
  <si>
    <t>MILLS, MEGHAN</t>
  </si>
  <si>
    <t>ZABRISKIE, AARON</t>
  </si>
  <si>
    <t>DENT, KRISTEN</t>
  </si>
  <si>
    <t>RODGERS, MEGAN</t>
  </si>
  <si>
    <t>EVERETT, LESLEE</t>
  </si>
  <si>
    <t>RUMBARGER, MARLEY</t>
  </si>
  <si>
    <t>JOHNSON, FELICA</t>
  </si>
  <si>
    <t>DECASTRO, EDNA</t>
  </si>
  <si>
    <t>PURCELL, RICHARD</t>
  </si>
  <si>
    <t>MILLS, PEYTON</t>
  </si>
  <si>
    <t>NGUYEN, MINH</t>
  </si>
  <si>
    <t>MYERS, SHANNON</t>
  </si>
  <si>
    <t>MCGINNIS, TONI</t>
  </si>
  <si>
    <t>GIBSON, BRANDON</t>
  </si>
  <si>
    <t>THOMSON, NICHOLAS</t>
  </si>
  <si>
    <t>BAILEY, LAURA</t>
  </si>
  <si>
    <t>HARRELL, AMANDA</t>
  </si>
  <si>
    <t>MESSMER, SANDRA</t>
  </si>
  <si>
    <t>KAHMKE, REBECCA</t>
  </si>
  <si>
    <t>GRAY, STEFANIE</t>
  </si>
  <si>
    <t>SATTERFIELD, LAUREN</t>
  </si>
  <si>
    <t>HAGGARD, CAYLON</t>
  </si>
  <si>
    <t>PAYNE, WHITNEY</t>
  </si>
  <si>
    <t>BRIGGLER, ANDREW</t>
  </si>
  <si>
    <t>BECK, CLAIRE</t>
  </si>
  <si>
    <t>SUMLER, KERRI</t>
  </si>
  <si>
    <t>BANKER, ALEXANDRA</t>
  </si>
  <si>
    <t>SELVY, JULISH</t>
  </si>
  <si>
    <t>HOOD, SHARI</t>
  </si>
  <si>
    <t>PETTEY, GEORGE</t>
  </si>
  <si>
    <t>COLLIER, MITCHELL</t>
  </si>
  <si>
    <t>STREET, CHERYL</t>
  </si>
  <si>
    <t>MEAD, TANJA</t>
  </si>
  <si>
    <t>HAVERSTICK, DALE</t>
  </si>
  <si>
    <t>REYES, KATIUTSCHKA</t>
  </si>
  <si>
    <t>HITCHCOCK, MELISSA</t>
  </si>
  <si>
    <t>TIAN, YUYANG</t>
  </si>
  <si>
    <t>HENSLEY, BRITTNEY</t>
  </si>
  <si>
    <t>PACE, MARY</t>
  </si>
  <si>
    <t>NIELSEN, LINDA</t>
  </si>
  <si>
    <t>KRINOCHKIN, OLEXANDR</t>
  </si>
  <si>
    <t>KITCHENS, BEN</t>
  </si>
  <si>
    <t>HUSSAIN, IRSHAD</t>
  </si>
  <si>
    <t>STORY, CLIFTON</t>
  </si>
  <si>
    <t>NEWMAN, CIAO</t>
  </si>
  <si>
    <t>HERFKENS-AMPLEMAN, KATHRYN</t>
  </si>
  <si>
    <t>MODI, PREETI</t>
  </si>
  <si>
    <t>BRASHEAR, TERRINA</t>
  </si>
  <si>
    <t>MERRY-AFOAKWA, SHAYLA</t>
  </si>
  <si>
    <t>BECKER, KATHERINE</t>
  </si>
  <si>
    <t>STEINLY, COURTNEY</t>
  </si>
  <si>
    <t>SIMRELL, JUSTIN</t>
  </si>
  <si>
    <t>HATLEY, AMY</t>
  </si>
  <si>
    <t>CORBETT, SHEILA</t>
  </si>
  <si>
    <t>PAREKH, KAMLESH</t>
  </si>
  <si>
    <t>LODEN, JULIAN</t>
  </si>
  <si>
    <t>EICHELBERGER, TROY</t>
  </si>
  <si>
    <t>CLEMENTS, JENNIFER</t>
  </si>
  <si>
    <t>CAVE, REBECCA</t>
  </si>
  <si>
    <t>CARMACK, BRITTANY</t>
  </si>
  <si>
    <t>COTNER, JILL</t>
  </si>
  <si>
    <t>JACKSON, ELLANIKOLE</t>
  </si>
  <si>
    <t>JOUSTRA, CLARENCE</t>
  </si>
  <si>
    <t>HARDING, ERIC</t>
  </si>
  <si>
    <t>MYERS, DEBORAH</t>
  </si>
  <si>
    <t>PECK, COLE</t>
  </si>
  <si>
    <t>WRIGHT, SHERYL</t>
  </si>
  <si>
    <t>RIVAS, CARLOS</t>
  </si>
  <si>
    <t>OLATUNJI, FOLARIN</t>
  </si>
  <si>
    <t>PERKINS, SARAH</t>
  </si>
  <si>
    <t>THOMAS, JILL</t>
  </si>
  <si>
    <t>PETTICREW, DANISE</t>
  </si>
  <si>
    <t>MEMON, SAIMA</t>
  </si>
  <si>
    <t>GRAY, KEVIN</t>
  </si>
  <si>
    <t>INDUKURI VENKATA MADHAVA, ASHOKA</t>
  </si>
  <si>
    <t>SPEARS, ERIN</t>
  </si>
  <si>
    <t>BRIDGEMAN, MEIKE</t>
  </si>
  <si>
    <t>PATEL, KARTIK</t>
  </si>
  <si>
    <t>JAGANNATHAN, SANDHYA</t>
  </si>
  <si>
    <t>MOSLEY, MISTY</t>
  </si>
  <si>
    <t>ADAMS, AMBER</t>
  </si>
  <si>
    <t>HALKE, DONALD</t>
  </si>
  <si>
    <t>SPEEDE, CRYSTAL</t>
  </si>
  <si>
    <t>SCHOOLCRAFT, JAMIE</t>
  </si>
  <si>
    <t>FULLOVE, TRACIE</t>
  </si>
  <si>
    <t>ANTHONY, JENA</t>
  </si>
  <si>
    <t>ALVAREZ, KRISTIE</t>
  </si>
  <si>
    <t>MCMULLIN, JAMES</t>
  </si>
  <si>
    <t>ARNOLD, WHITNEY</t>
  </si>
  <si>
    <t>CUMMINGS, JOHNNIE</t>
  </si>
  <si>
    <t>MIDDLETON, RACHELENE</t>
  </si>
  <si>
    <t>WOOD, KIMBERLY</t>
  </si>
  <si>
    <t>RUHL, FORSTER</t>
  </si>
  <si>
    <t>WILLIAMS, ELIZABETH</t>
  </si>
  <si>
    <t>PRUETT, TIMOTHY</t>
  </si>
  <si>
    <t>UNGER, ELOISE</t>
  </si>
  <si>
    <t>DIERKES, SUSAN</t>
  </si>
  <si>
    <t>MEDLEY, ROBERT</t>
  </si>
  <si>
    <t>DONAHUE, PATRICIA</t>
  </si>
  <si>
    <t>PHILLIPS, CHRISTOPHER</t>
  </si>
  <si>
    <t>KENNEDY, MICHELLE</t>
  </si>
  <si>
    <t>BARKER, DAWN</t>
  </si>
  <si>
    <t>FLEMISTER, MYRA</t>
  </si>
  <si>
    <t>MATHENEY, KELSEY</t>
  </si>
  <si>
    <t>HAWKINS, CASSANDRA</t>
  </si>
  <si>
    <t>BARNES, LARRY</t>
  </si>
  <si>
    <t>MONROE, JAMES</t>
  </si>
  <si>
    <t>DULANEY, LAURA</t>
  </si>
  <si>
    <t>WHITE DAY, STELLA</t>
  </si>
  <si>
    <t>MEYSTRIK, JOSEPH</t>
  </si>
  <si>
    <t>BENNETT, SHERRI</t>
  </si>
  <si>
    <t>BARNETT, WILLIAM</t>
  </si>
  <si>
    <t>BEEMAN, STEPHEN</t>
  </si>
  <si>
    <t>KEMP, LINDSAY</t>
  </si>
  <si>
    <t>ADEDEJI, ADENIKE</t>
  </si>
  <si>
    <t>FORTNER, JAMIE</t>
  </si>
  <si>
    <t>SKINNER, MEGHAN</t>
  </si>
  <si>
    <t>SMITH, MARILYN</t>
  </si>
  <si>
    <t>WHITE, TOMEKIA</t>
  </si>
  <si>
    <t>MENSE, ANNETTE</t>
  </si>
  <si>
    <t>RAUCHLE, BRITTANY</t>
  </si>
  <si>
    <t>LAFAYETTE, MINDY</t>
  </si>
  <si>
    <t>HULSEY, REBECCA</t>
  </si>
  <si>
    <t>WILSON, KENDRA</t>
  </si>
  <si>
    <t>NEELY, BRIAN</t>
  </si>
  <si>
    <t>TRENTHAM, ORIN</t>
  </si>
  <si>
    <t>WARREN, ANDREA</t>
  </si>
  <si>
    <t>ROSS, KIMRA</t>
  </si>
  <si>
    <t>KUHN, LYDIA</t>
  </si>
  <si>
    <t>BABER, MEGAN</t>
  </si>
  <si>
    <t>MEIER, KELLY</t>
  </si>
  <si>
    <t>KOBAISY, LIBABAH</t>
  </si>
  <si>
    <t>CROWE, TERESA</t>
  </si>
  <si>
    <t>MADNI, ARSHIA</t>
  </si>
  <si>
    <t>GADDAM, KISHORE</t>
  </si>
  <si>
    <t>HUDDLESTON, VIVIAN</t>
  </si>
  <si>
    <t>ODOM, TERRY</t>
  </si>
  <si>
    <t>GREAR, TIM</t>
  </si>
  <si>
    <t>ARINZE, FESTUS</t>
  </si>
  <si>
    <t>STOLL, KIMBERLY</t>
  </si>
  <si>
    <t>CHANDLER, PEGGY</t>
  </si>
  <si>
    <t>GOOGE, JAMES</t>
  </si>
  <si>
    <t>SCHISSEL, BETH</t>
  </si>
  <si>
    <t>MCCLINTICK, LINDSEY</t>
  </si>
  <si>
    <t>SMITH, JESSICA</t>
  </si>
  <si>
    <t>PAPARIC, CRYSTAL</t>
  </si>
  <si>
    <t>BARBER, CHRISTOPHER</t>
  </si>
  <si>
    <t>BARNES, CHANELL</t>
  </si>
  <si>
    <t>HIEGEL, ANNE</t>
  </si>
  <si>
    <t>MORTON, SONYA</t>
  </si>
  <si>
    <t>BOLLINGER, ALEXA</t>
  </si>
  <si>
    <t>YATES, VIRGIL</t>
  </si>
  <si>
    <t>ANDREWS, ELIZABETH</t>
  </si>
  <si>
    <t>ABOAGYE, EVELYN</t>
  </si>
  <si>
    <t>SPINELLI, CHRISTOPHER</t>
  </si>
  <si>
    <t>SANDERS, RHIANNON</t>
  </si>
  <si>
    <t>WEAVER, KEVIN</t>
  </si>
  <si>
    <t>BURSON, JOHN</t>
  </si>
  <si>
    <t>BATES, JOHN</t>
  </si>
  <si>
    <t>WELLER, ANNA</t>
  </si>
  <si>
    <t>ODE, HOLLY</t>
  </si>
  <si>
    <t>GORMAN, KELLY</t>
  </si>
  <si>
    <t>OBEROI, RAHUL</t>
  </si>
  <si>
    <t>MCGOWAN, MARLISA</t>
  </si>
  <si>
    <t>SHERMAN, FORREST</t>
  </si>
  <si>
    <t>HOLMES, ERNEST</t>
  </si>
  <si>
    <t>YADAV, PRIYA</t>
  </si>
  <si>
    <t>MICHAELS, JUDY</t>
  </si>
  <si>
    <t>SUARA, RAHAMAN</t>
  </si>
  <si>
    <t>LASSETER, DEAN</t>
  </si>
  <si>
    <t>VEST, CARL</t>
  </si>
  <si>
    <t>BLANKENSHIP, JOHN</t>
  </si>
  <si>
    <t>POWELL, CHARLES</t>
  </si>
  <si>
    <t>MARTIN, PATRICK</t>
  </si>
  <si>
    <t>LEWIS, SARAH</t>
  </si>
  <si>
    <t>HUGHEY, PAMELA</t>
  </si>
  <si>
    <t>MIZE, ASHLEY</t>
  </si>
  <si>
    <t>GRIFFITH, JAMES</t>
  </si>
  <si>
    <t>OBAFEMI-AJAYI, EMMANUEL</t>
  </si>
  <si>
    <t>DICKERSON, AMANDA</t>
  </si>
  <si>
    <t>CARLISLE, ANNETTE</t>
  </si>
  <si>
    <t>CHRISTY, STEFANIE</t>
  </si>
  <si>
    <t>LONG, KALEEN</t>
  </si>
  <si>
    <t>MANTZ, MELISSA</t>
  </si>
  <si>
    <t>PRESSLEY-MOSS, ALICIA</t>
  </si>
  <si>
    <t>MAYO, JOSEPH</t>
  </si>
  <si>
    <t>BOYD, ELISE</t>
  </si>
  <si>
    <t>SINGLETARY, MOLLY</t>
  </si>
  <si>
    <t>ADAMS, SHAUN</t>
  </si>
  <si>
    <t>DENSON, ALYSON</t>
  </si>
  <si>
    <t>BUSSMANN, YVONNE</t>
  </si>
  <si>
    <t>KILLINGSWORTH, JULIA</t>
  </si>
  <si>
    <t>HICKS, TIFFANI</t>
  </si>
  <si>
    <t>DENNIS, DAVID</t>
  </si>
  <si>
    <t>PHILLIPS, CATHERINE</t>
  </si>
  <si>
    <t>TRAVIS, SCARLET</t>
  </si>
  <si>
    <t>SIEW, DARRICK</t>
  </si>
  <si>
    <t>SYKES, PAMELA</t>
  </si>
  <si>
    <t>UNRUH, LISA</t>
  </si>
  <si>
    <t>RUTT, EMILY</t>
  </si>
  <si>
    <t>GARRETT, KATHRYN</t>
  </si>
  <si>
    <t>HOPKINS, JOHN</t>
  </si>
  <si>
    <t>CAMPBELL, CAROLINE</t>
  </si>
  <si>
    <t>WESSEL, VALERIE</t>
  </si>
  <si>
    <t>PRATT, ASHTON</t>
  </si>
  <si>
    <t>FOWLER, BLAKLEY</t>
  </si>
  <si>
    <t>RANDALL, AMY</t>
  </si>
  <si>
    <t>RULEMAN, HALEY</t>
  </si>
  <si>
    <t>TAPPAN, WHITNEY</t>
  </si>
  <si>
    <t>WARE, JULIE</t>
  </si>
  <si>
    <t>BEIERLE, DANA</t>
  </si>
  <si>
    <t>KHAN, AKBAR</t>
  </si>
  <si>
    <t>DAVIS, EMILY</t>
  </si>
  <si>
    <t>KOONCE, DANIELLE</t>
  </si>
  <si>
    <t>GILLETT, ETHAN</t>
  </si>
  <si>
    <t>HARRIS, JOE</t>
  </si>
  <si>
    <t>KAHRAMAN, LEVENT</t>
  </si>
  <si>
    <t>SANFORD, WILLIAM</t>
  </si>
  <si>
    <t>LENTZ, JONATHAN</t>
  </si>
  <si>
    <t>WHEELER, FREDRIC</t>
  </si>
  <si>
    <t>WILSON, ASHLEY</t>
  </si>
  <si>
    <t>PALANIAPPAN, ALAMELU</t>
  </si>
  <si>
    <t>BISWAS, SAUMITRA</t>
  </si>
  <si>
    <t>MCENANEY, SEAN</t>
  </si>
  <si>
    <t>SPONENBERG, DON</t>
  </si>
  <si>
    <t>KING, MARY</t>
  </si>
  <si>
    <t>WATERS, LAURA</t>
  </si>
  <si>
    <t>SKIWSKI, JACOB</t>
  </si>
  <si>
    <t>UNNITHAN, ANITA</t>
  </si>
  <si>
    <t>HAYDEN, STEPHANIE</t>
  </si>
  <si>
    <t>GRIESEMER, BERNARD</t>
  </si>
  <si>
    <t>WILSON, REBAKAH</t>
  </si>
  <si>
    <t>HAMAR, DENISE</t>
  </si>
  <si>
    <t>RENK, VICTORIA</t>
  </si>
  <si>
    <t>GROTE, RAYMOND</t>
  </si>
  <si>
    <t>MEYER, KEITH</t>
  </si>
  <si>
    <t>MOORE, JEAN</t>
  </si>
  <si>
    <t>RAO, SUMAN</t>
  </si>
  <si>
    <t>PRATER, CAROLYN</t>
  </si>
  <si>
    <t>MCPHERSON, JOHN</t>
  </si>
  <si>
    <t>THOMAS, KATHRYN</t>
  </si>
  <si>
    <t>SMITH, SHARI</t>
  </si>
  <si>
    <t>IGBINEDION, ADESUWA</t>
  </si>
  <si>
    <t>KANAGAWA, STACY</t>
  </si>
  <si>
    <t>MCKINNEY, ROBERT</t>
  </si>
  <si>
    <t>NEWCOMB, JESSICA</t>
  </si>
  <si>
    <t>TEMOFEEW, RICHARD</t>
  </si>
  <si>
    <t>DAVIDOFF, SOPHIE</t>
  </si>
  <si>
    <t>CHEENEY, MICHAEL</t>
  </si>
  <si>
    <t>HENNESS, LAURA</t>
  </si>
  <si>
    <t>SMITH, LYNDSAY</t>
  </si>
  <si>
    <t>CAFFEY, SARA</t>
  </si>
  <si>
    <t>BOLDEN, BRANSON</t>
  </si>
  <si>
    <t>FINSTAD, KODY</t>
  </si>
  <si>
    <t>WARRINGTON WILLS, MALLORY</t>
  </si>
  <si>
    <t>PETRY, PAUL</t>
  </si>
  <si>
    <t>MIKHAILOVA, VERA</t>
  </si>
  <si>
    <t>REED, KRISTINA</t>
  </si>
  <si>
    <t>BOYD, ROBERTA</t>
  </si>
  <si>
    <t>SOBIK, SARAH</t>
  </si>
  <si>
    <t>UNDERWOOD, DANA</t>
  </si>
  <si>
    <t>ESGUERRA, ENRICO</t>
  </si>
  <si>
    <t>BEHAVIORAL HEALTH PROGRAMS</t>
  </si>
  <si>
    <t>NORTHEAST ARKANSAS COMMUNITY MENTAL HEALTH CENTER INC</t>
  </si>
  <si>
    <t>WESTERN ARKANSAS COUNSELING &amp; GUIDANCE CENTER, INC. - CSU/CRI</t>
  </si>
  <si>
    <t>COATC LLC</t>
  </si>
  <si>
    <t>SERENITY PARK TREATMENT CENTER</t>
  </si>
  <si>
    <t>HABILITATION CENTER, LLC</t>
  </si>
  <si>
    <t>KELLY, TIMOTHY</t>
  </si>
  <si>
    <t>PERSON-ALDRIDGE, SAMANTHA</t>
  </si>
  <si>
    <t>HEO, COLUMBAN</t>
  </si>
  <si>
    <t>JOHNSON, MELRITA</t>
  </si>
  <si>
    <t>GANTZ PANNEL, SARAH</t>
  </si>
  <si>
    <t>LIPPINCOTT, SAVANNAH</t>
  </si>
  <si>
    <t>BAROT, HARSHASU</t>
  </si>
  <si>
    <t>KELLEY, AMANDA</t>
  </si>
  <si>
    <t>JAIN, SUBODH</t>
  </si>
  <si>
    <t>MORTON, DOMINIK</t>
  </si>
  <si>
    <t>HIGGINS, JESSICA</t>
  </si>
  <si>
    <t>IZEDIUNO, IFEANYI</t>
  </si>
  <si>
    <t>CHANDLER, REGINALD</t>
  </si>
  <si>
    <t>SPURGERS, KEVIN</t>
  </si>
  <si>
    <t>LACKEY, WILLIAM</t>
  </si>
  <si>
    <t>THOMPSON, ALICIA</t>
  </si>
  <si>
    <t>ESSMAN, JOHN</t>
  </si>
  <si>
    <t>PATELLA, AMY</t>
  </si>
  <si>
    <t>ULMER, SARA</t>
  </si>
  <si>
    <t>HULL, CAROLYN</t>
  </si>
  <si>
    <t>BOSWELL, CAMILLE</t>
  </si>
  <si>
    <t>NATIONS, ARIEL</t>
  </si>
  <si>
    <t>LARRU, ASHLEY</t>
  </si>
  <si>
    <t>DAVIS, JANETTE</t>
  </si>
  <si>
    <t>SMITH, KELLY</t>
  </si>
  <si>
    <t>HAZELL, MORGANA</t>
  </si>
  <si>
    <t>WATERSON, MELISSA</t>
  </si>
  <si>
    <t>CRAWFORD, KAYLA</t>
  </si>
  <si>
    <t>GREINER, SONJA</t>
  </si>
  <si>
    <t>BONDS, ALVIN</t>
  </si>
  <si>
    <t>LEE, SOOIN</t>
  </si>
  <si>
    <t>DROSKE, DAVID</t>
  </si>
  <si>
    <t>ANDERSON, ORETA</t>
  </si>
  <si>
    <t>LONG, CHRISTIANE</t>
  </si>
  <si>
    <t>BALENTINE, REED</t>
  </si>
  <si>
    <t>LADD, LAURA</t>
  </si>
  <si>
    <t>OWENS, FRANCINE</t>
  </si>
  <si>
    <t>FIELDS, LAUREN</t>
  </si>
  <si>
    <t>GRIFFIE, JORDAN</t>
  </si>
  <si>
    <t>WASHINGTON, TOMIKA</t>
  </si>
  <si>
    <t>HANSEN, SHONTRICE</t>
  </si>
  <si>
    <t>CALHOON, CARRIE</t>
  </si>
  <si>
    <t>WEATHERS, KASI</t>
  </si>
  <si>
    <t>LEWIS, ANDRE</t>
  </si>
  <si>
    <t>CURTIS, JEANNE</t>
  </si>
  <si>
    <t>LOUDERMILL, LURETHA</t>
  </si>
  <si>
    <t>TAYLOR, DAWNEACE</t>
  </si>
  <si>
    <t>CHAPMAN, LEAH</t>
  </si>
  <si>
    <t>MEHALIC, CHANCE</t>
  </si>
  <si>
    <t>BRADFORD, VANESSA</t>
  </si>
  <si>
    <t>MOORE-SMITH, CALVIN</t>
  </si>
  <si>
    <t>YOUNG, WENOKA</t>
  </si>
  <si>
    <t>CHOUDHARY, ASIF</t>
  </si>
  <si>
    <t>GRAVES, CHARLES</t>
  </si>
  <si>
    <t>TABER, REX</t>
  </si>
  <si>
    <t>SNOW, PATRICIA</t>
  </si>
  <si>
    <t>MATTAX, NANCY</t>
  </si>
  <si>
    <t>BROWN, PRISCILLA</t>
  </si>
  <si>
    <t>COTTON, ALLISON</t>
  </si>
  <si>
    <t>GIBSON, ANGELA</t>
  </si>
  <si>
    <t>CLAYTON, GRETCHEN</t>
  </si>
  <si>
    <t>JOHNSON, NIKIA</t>
  </si>
  <si>
    <t>WOODARD, CORRETTA</t>
  </si>
  <si>
    <t>WHITSON, REBECCA</t>
  </si>
  <si>
    <t>POWERS, ANNIE</t>
  </si>
  <si>
    <t>FITCH, CHRISTY</t>
  </si>
  <si>
    <t>KANG, JANE</t>
  </si>
  <si>
    <t>DEAN, JACKIE</t>
  </si>
  <si>
    <t>YOUNT, MATTHEW</t>
  </si>
  <si>
    <t>PECK, ERIN</t>
  </si>
  <si>
    <t>JENKINS, CHESTER</t>
  </si>
  <si>
    <t>POSADA, CELIA</t>
  </si>
  <si>
    <t>AGNEW, NAKIMIA</t>
  </si>
  <si>
    <t>WOODALL, REBECCA</t>
  </si>
  <si>
    <t>WOLF, JENNIFER</t>
  </si>
  <si>
    <t>BARNES, KELLY</t>
  </si>
  <si>
    <t>COCO, ZACKARY</t>
  </si>
  <si>
    <t>COX, MISTY</t>
  </si>
  <si>
    <t>BILLINGTON, ARIEL</t>
  </si>
  <si>
    <t>WOODS, WENDIE</t>
  </si>
  <si>
    <t>SHAH, MODASER</t>
  </si>
  <si>
    <t>BRYANT, MARK</t>
  </si>
  <si>
    <t>MEADOWS, DANIEL</t>
  </si>
  <si>
    <t>HUBANKS, JENNIFER</t>
  </si>
  <si>
    <t>BUSBY, ALLEN</t>
  </si>
  <si>
    <t>LAVALLAIS, MEREDITH</t>
  </si>
  <si>
    <t>SCHEFFLER, BRENDA</t>
  </si>
  <si>
    <t>BUSH, DURRICK</t>
  </si>
  <si>
    <t>WARREN, JEANIE</t>
  </si>
  <si>
    <t>BRANCH, CHELSEA</t>
  </si>
  <si>
    <t>FREUND, KARL</t>
  </si>
  <si>
    <t>BURNETT, KATE</t>
  </si>
  <si>
    <t>NASSAR, TRACY</t>
  </si>
  <si>
    <t>JORDAN, CATHY</t>
  </si>
  <si>
    <t>WILLIAMSON, JENIFER</t>
  </si>
  <si>
    <t>DALAI, VENKATA VIJAYA KUMAR</t>
  </si>
  <si>
    <t>HAYWARD, ELIZABETH</t>
  </si>
  <si>
    <t>GARLAND, HAYLEE</t>
  </si>
  <si>
    <t>MILLER, KAREN</t>
  </si>
  <si>
    <t>COLVIN, ANNE</t>
  </si>
  <si>
    <t>MISKEL, JAYCE</t>
  </si>
  <si>
    <t>SMITH, MAKENZIE</t>
  </si>
  <si>
    <t>KO, GRANT</t>
  </si>
  <si>
    <t>MCLAUGHLIN, KRISTY</t>
  </si>
  <si>
    <t>ALCORN, ANTIONNE</t>
  </si>
  <si>
    <t>GRIFFIN, LATONIA</t>
  </si>
  <si>
    <t>FOX, LINDSEY</t>
  </si>
  <si>
    <t>DUVIVIER, LETICIA</t>
  </si>
  <si>
    <t>WALDRON, KATHERINE</t>
  </si>
  <si>
    <t>JENNINGS, SHANNON</t>
  </si>
  <si>
    <t>MCNUTT, THOMASENA</t>
  </si>
  <si>
    <t>FLOWERS, THERESA</t>
  </si>
  <si>
    <t>KORANEK, MARGARET</t>
  </si>
  <si>
    <t>ROGERS, BRANDI</t>
  </si>
  <si>
    <t>CASTLEBERRY, REBEKAH</t>
  </si>
  <si>
    <t>BOWERS, MARK</t>
  </si>
  <si>
    <t>GROOMS, AMY</t>
  </si>
  <si>
    <t>AHMED, ASADULLAH</t>
  </si>
  <si>
    <t>LANEY, LINDA</t>
  </si>
  <si>
    <t>MOORE, CANDICE</t>
  </si>
  <si>
    <t>WEBER, ERIN</t>
  </si>
  <si>
    <t>BRADFORD, BRIAN</t>
  </si>
  <si>
    <t>GOMANCE, ERIC</t>
  </si>
  <si>
    <t>DODSON DUPREE, KRISTINA</t>
  </si>
  <si>
    <t>CRANE, BRENT</t>
  </si>
  <si>
    <t>GIBSON, SHANITA</t>
  </si>
  <si>
    <t>MITCHELL, JOYCE</t>
  </si>
  <si>
    <t>MCALLISTER, KRISTEN</t>
  </si>
  <si>
    <t>PRICE, KATIE</t>
  </si>
  <si>
    <t>WATTS, MARTIN</t>
  </si>
  <si>
    <t>BAILEY, CARRIE</t>
  </si>
  <si>
    <t>DYKES, ALYSSA</t>
  </si>
  <si>
    <t>SHARMA, ASHISH</t>
  </si>
  <si>
    <t>NUMAN, PATRICK</t>
  </si>
  <si>
    <t>BERRY, MALORY</t>
  </si>
  <si>
    <t>MARSHALL, CECILIA</t>
  </si>
  <si>
    <t>EVERETT, LABOMMIE</t>
  </si>
  <si>
    <t>MYERS, CASEY</t>
  </si>
  <si>
    <t>MOORE, SHANNON</t>
  </si>
  <si>
    <t>HARTGRAVES, WHITNEY</t>
  </si>
  <si>
    <t>HENDRICK, HAZEL</t>
  </si>
  <si>
    <t>PRYOR, SAMANTHA</t>
  </si>
  <si>
    <t>TRAN, DUY</t>
  </si>
  <si>
    <t>MCMULLEN, HANNAH</t>
  </si>
  <si>
    <t>HOLIMAN, REBEKAH</t>
  </si>
  <si>
    <t>WILKERSON, MINDY</t>
  </si>
  <si>
    <t>FARRELL, STARKE</t>
  </si>
  <si>
    <t>TANKERSLEY, AMY</t>
  </si>
  <si>
    <t>ARNOLD, CHASITY</t>
  </si>
  <si>
    <t>BASSAREAR, AMY</t>
  </si>
  <si>
    <t>STEIN, ANGELA</t>
  </si>
  <si>
    <t>LITTLE, MEGAN</t>
  </si>
  <si>
    <t>COX, GORTRELL</t>
  </si>
  <si>
    <t>ROSE, STEPHANIE</t>
  </si>
  <si>
    <t>SARWAR, HINA</t>
  </si>
  <si>
    <t>CROSS, KANDACE</t>
  </si>
  <si>
    <t>SMITH, ALLISON</t>
  </si>
  <si>
    <t>HOYT, WILLIS</t>
  </si>
  <si>
    <t>SABA, TABASSUM</t>
  </si>
  <si>
    <t>SINGH, GARIMA</t>
  </si>
  <si>
    <t>SATTERLEE, DANA</t>
  </si>
  <si>
    <t>SNOW, ELIZABETH</t>
  </si>
  <si>
    <t>DUNCAN, BRADEN</t>
  </si>
  <si>
    <t>GIBBS, HUNTER</t>
  </si>
  <si>
    <t>HARRINGTON, DANETTE</t>
  </si>
  <si>
    <t>BAUGHN, DENISE</t>
  </si>
  <si>
    <t>SKINNER, HOLLY</t>
  </si>
  <si>
    <t>OVERSTREET, RAYMOND</t>
  </si>
  <si>
    <t>KUICH, THOMAS</t>
  </si>
  <si>
    <t>CLAY, DEBORAH</t>
  </si>
  <si>
    <t>RAVI, CHAITANYA</t>
  </si>
  <si>
    <t>SEGAL, CONNIE</t>
  </si>
  <si>
    <t>KORY, STEVEN</t>
  </si>
  <si>
    <t>KNOSP, MICHELLE</t>
  </si>
  <si>
    <t>REEVES, LAURA</t>
  </si>
  <si>
    <t>LAMB, JAMEY</t>
  </si>
  <si>
    <t>TERRY, TIFFANY</t>
  </si>
  <si>
    <t>MCMURRIAN, KAITLIN</t>
  </si>
  <si>
    <t>CANULLA, KAREN</t>
  </si>
  <si>
    <t>MITCHELL, GEORGE</t>
  </si>
  <si>
    <t>COTHRAN, AMBER</t>
  </si>
  <si>
    <t>MONTGOMERY, KARMELLA</t>
  </si>
  <si>
    <t>SHUMAKER, JENNIFER</t>
  </si>
  <si>
    <t>LIPTON, MARLYN</t>
  </si>
  <si>
    <t>SAYERS-ERFOURTH, SHARMAYN</t>
  </si>
  <si>
    <t>DAY, CASSIDY</t>
  </si>
  <si>
    <t>FREEMAN, SHAWN</t>
  </si>
  <si>
    <t>BREUER, NANCY</t>
  </si>
  <si>
    <t>PAIGE, LEE</t>
  </si>
  <si>
    <t>JOHN, KYLE</t>
  </si>
  <si>
    <t>FREEMAN, SHARON</t>
  </si>
  <si>
    <t>FURSTENBERG, BEVERLY</t>
  </si>
  <si>
    <t>FREEMAN, VANESSA</t>
  </si>
  <si>
    <t>BURK, SUSAN</t>
  </si>
  <si>
    <t>BARNHART-GRAY, CLOYE</t>
  </si>
  <si>
    <t>SERVICE, NANCY</t>
  </si>
  <si>
    <t>HORNE, MARY</t>
  </si>
  <si>
    <t>SHELBY, JEREMY</t>
  </si>
  <si>
    <t>LANEY, LISA</t>
  </si>
  <si>
    <t>MAX, GREGORY</t>
  </si>
  <si>
    <t>BELLER, KAREN</t>
  </si>
  <si>
    <t>BENISH, TRICIA</t>
  </si>
  <si>
    <t>COHEN, ANDREW</t>
  </si>
  <si>
    <t>LUCAS, CARRIE</t>
  </si>
  <si>
    <t>SATHER, JAIME</t>
  </si>
  <si>
    <t>CURRY, LYNDSEY</t>
  </si>
  <si>
    <t>GILL-TAYLOR, ANGELA</t>
  </si>
  <si>
    <t>BROWNING, HOLLI</t>
  </si>
  <si>
    <t>BUTCHER-KELLER, SUNNIE</t>
  </si>
  <si>
    <t>NGUYEN, THUY-TRANG</t>
  </si>
  <si>
    <t>NOBLES, LAURA</t>
  </si>
  <si>
    <t>ESTIS, TEDRA</t>
  </si>
  <si>
    <t>STEVENS, JENNIFER</t>
  </si>
  <si>
    <t>STEVENS, NEILE</t>
  </si>
  <si>
    <t>SMITH, RACHEL</t>
  </si>
  <si>
    <t>NIXON, ANGELA</t>
  </si>
  <si>
    <t>VAUGHT, SHERRYL</t>
  </si>
  <si>
    <t>GHOSH, KRISHNENDU</t>
  </si>
  <si>
    <t>PEREZ, FIDENCIA</t>
  </si>
  <si>
    <t>GRIFFIN, TOBEY</t>
  </si>
  <si>
    <t>GEAN, ANGELA</t>
  </si>
  <si>
    <t>WELCH, BILLIE</t>
  </si>
  <si>
    <t>KYLE, MELANIE</t>
  </si>
  <si>
    <t>WALKER, TERRY</t>
  </si>
  <si>
    <t>FLOYD, ANGELA</t>
  </si>
  <si>
    <t>JONES, STEPHANIE</t>
  </si>
  <si>
    <t>HILL, SHAVON</t>
  </si>
  <si>
    <t>BROWN, SHUN</t>
  </si>
  <si>
    <t>HUYNH, RACHEL</t>
  </si>
  <si>
    <t>STRACHOCKA-KILE, MONIKA</t>
  </si>
  <si>
    <t>PIMPLETON, ASHER</t>
  </si>
  <si>
    <t>PRICE, DANIEL</t>
  </si>
  <si>
    <t>PADDOLKAR, VINODKUMAR</t>
  </si>
  <si>
    <t>STANLEY, BENJAMIN</t>
  </si>
  <si>
    <t>PITMAN, LAUREN</t>
  </si>
  <si>
    <t>GILL, ALICIA</t>
  </si>
  <si>
    <t>SULLIVAN, MATTHEW</t>
  </si>
  <si>
    <t>LOCKHART, LONDON</t>
  </si>
  <si>
    <t>WALSH, MICHAEL</t>
  </si>
  <si>
    <t>PACE, PATSY</t>
  </si>
  <si>
    <t>WILKINS, KIMBERLY</t>
  </si>
  <si>
    <t>ROSSO, LAUREN</t>
  </si>
  <si>
    <t>GARCIA, MIGUEL</t>
  </si>
  <si>
    <t>MCCLANE, VERONICA</t>
  </si>
  <si>
    <t>EUBANKS, CANDACE</t>
  </si>
  <si>
    <t>MARTIN, TANISHA</t>
  </si>
  <si>
    <t>AHMED, BASHIR</t>
  </si>
  <si>
    <t>EDGMON, ANDREA</t>
  </si>
  <si>
    <t>HOOK, KATIE</t>
  </si>
  <si>
    <t>VAUGHAN, MARK</t>
  </si>
  <si>
    <t>DICKSON, CHRISTINE</t>
  </si>
  <si>
    <t>WITTNEBERT, LARRY</t>
  </si>
  <si>
    <t>GERMANY, RHONDA</t>
  </si>
  <si>
    <t>KREYMER, JOHN</t>
  </si>
  <si>
    <t>DICKERSON, JACOB</t>
  </si>
  <si>
    <t>BACHU, ANIL</t>
  </si>
  <si>
    <t>NETHERY, DAMIEN</t>
  </si>
  <si>
    <t>LASER, LAURA</t>
  </si>
  <si>
    <t>RIVERA, DAVID</t>
  </si>
  <si>
    <t>GRAVES, KRISHNA</t>
  </si>
  <si>
    <t>CHOI, STEVEN</t>
  </si>
  <si>
    <t>ROSWELL, TISHA</t>
  </si>
  <si>
    <t>KORDSMEIER, NOLAN</t>
  </si>
  <si>
    <t>NOBLE, JOYCE</t>
  </si>
  <si>
    <t>MOTHERSEAD, PHILIP</t>
  </si>
  <si>
    <t>COOK-DOBBINS, MELANIE</t>
  </si>
  <si>
    <t>RANA, ANNE</t>
  </si>
  <si>
    <t>DAVIS, LAKERA</t>
  </si>
  <si>
    <t>DARK, SHANNON</t>
  </si>
  <si>
    <t>POLK, CYNTHIA</t>
  </si>
  <si>
    <t>MCELROY, DAVID</t>
  </si>
  <si>
    <t>DUNCAN, KENYA</t>
  </si>
  <si>
    <t>KISSELBURG, BIANCA</t>
  </si>
  <si>
    <t>DORCH, ALEX</t>
  </si>
  <si>
    <t>HILT, MELANIE</t>
  </si>
  <si>
    <t>HAMMONDS, SAMANTHA</t>
  </si>
  <si>
    <t>DEBOER, SARA</t>
  </si>
  <si>
    <t>KRAUSS, KRISTEN</t>
  </si>
  <si>
    <t>INFIELD, KAREN</t>
  </si>
  <si>
    <t>MELARO, LAURA</t>
  </si>
  <si>
    <t>HARLAN, BRIAN</t>
  </si>
  <si>
    <t>EADY, MARVIN</t>
  </si>
  <si>
    <t>CONNER, KATELYN</t>
  </si>
  <si>
    <t>SLOAN, TIFFANY</t>
  </si>
  <si>
    <t>BUCHALTER, ERICA</t>
  </si>
  <si>
    <t>ALBERS, STEPHEN</t>
  </si>
  <si>
    <t>TONEY, LAURA</t>
  </si>
  <si>
    <t>TAN, RAYMUND</t>
  </si>
  <si>
    <t>MURDOCK, ARIELLE</t>
  </si>
  <si>
    <t>HUBER, SARAH</t>
  </si>
  <si>
    <t>FERNANDEZ, SILVIA</t>
  </si>
  <si>
    <t>CAMPBELL, MATTHEW</t>
  </si>
  <si>
    <t>NICHOLAS, SUZANNE</t>
  </si>
  <si>
    <t>IRBY, MEREDITH</t>
  </si>
  <si>
    <t>WALDEN, VICTORIA</t>
  </si>
  <si>
    <t>RICH, ANTHONY</t>
  </si>
  <si>
    <t>FORSYTH, PAMELA</t>
  </si>
  <si>
    <t>ALI, SALEEM</t>
  </si>
  <si>
    <t>SADOWSKI, ARLENE</t>
  </si>
  <si>
    <t>TILLMAN, JENTRY</t>
  </si>
  <si>
    <t>TABORA, JANELL</t>
  </si>
  <si>
    <t>OAKES, ELIZABETH</t>
  </si>
  <si>
    <t>WILLIAMS, HANNAH</t>
  </si>
  <si>
    <t>GOEBEL, AUSTIN</t>
  </si>
  <si>
    <t>DOYLE, CHARLES</t>
  </si>
  <si>
    <t>RICKMAN, DELCA</t>
  </si>
  <si>
    <t>CHAPPELL, LISA</t>
  </si>
  <si>
    <t>PULLEYKING, JOSEPH</t>
  </si>
  <si>
    <t>CARPENTER, BILL</t>
  </si>
  <si>
    <t>GUDDE, DUSTIN</t>
  </si>
  <si>
    <t>SELLERS, JENNIFER</t>
  </si>
  <si>
    <t>COLE, EVERLY</t>
  </si>
  <si>
    <t>REICHERT-GULLY, LINDSEY</t>
  </si>
  <si>
    <t>MCCULLOUGH, SPENCER</t>
  </si>
  <si>
    <t>SLACK ALLEN, STEPHANIE</t>
  </si>
  <si>
    <t>CAMP, KENDELL</t>
  </si>
  <si>
    <t>MICKA, THOMAS</t>
  </si>
  <si>
    <t>OTTEN, NATHAN</t>
  </si>
  <si>
    <t>LEMONS-TIERNAN, MELISSA</t>
  </si>
  <si>
    <t>POLLOCK, TAYLER</t>
  </si>
  <si>
    <t>GATES, PAULA</t>
  </si>
  <si>
    <t>WEIS, PATRICK</t>
  </si>
  <si>
    <t>VIRDEN, BRYANT</t>
  </si>
  <si>
    <t>DRANEY, DAVID</t>
  </si>
  <si>
    <t>GRAHAM, PAULETTE</t>
  </si>
  <si>
    <t>BRADLEY, JEFFREY</t>
  </si>
  <si>
    <t>NOVALANY, JAMES</t>
  </si>
  <si>
    <t>BLACK, RONDA</t>
  </si>
  <si>
    <t>ROBBERSON, KATHY</t>
  </si>
  <si>
    <t>MEDLEY, JOSHUA</t>
  </si>
  <si>
    <t>WENG, LEE</t>
  </si>
  <si>
    <t>JILES, CHASITY</t>
  </si>
  <si>
    <t>DANIEL, KARLA</t>
  </si>
  <si>
    <t>HEDRICK, EMILY</t>
  </si>
  <si>
    <t>COE, LINDSAY</t>
  </si>
  <si>
    <t>SARAVANE, JESSICA</t>
  </si>
  <si>
    <t>GILCHRIST, BREANNE</t>
  </si>
  <si>
    <t>CRAIGMYLE, BOBBI</t>
  </si>
  <si>
    <t>DERRICKSON, JESSICA</t>
  </si>
  <si>
    <t>ZEDLITZ, BRENDA</t>
  </si>
  <si>
    <t>BAKER, ALISON</t>
  </si>
  <si>
    <t>MCCLURE, MAXWELL</t>
  </si>
  <si>
    <t>LENTZ, TARA</t>
  </si>
  <si>
    <t>SPRING, STEPHEN</t>
  </si>
  <si>
    <t>WILLOUGHBY, SARAH</t>
  </si>
  <si>
    <t>NEAL, SARA</t>
  </si>
  <si>
    <t>YORK, MEGAN</t>
  </si>
  <si>
    <t>MILEV, DILYANA</t>
  </si>
  <si>
    <t>MUSICK, RACHEL</t>
  </si>
  <si>
    <t>ANDERSON, FRANCES</t>
  </si>
  <si>
    <t>HERTEL, ANNA</t>
  </si>
  <si>
    <t>JORDAN, DONALA</t>
  </si>
  <si>
    <t>WILSON, AUBREY</t>
  </si>
  <si>
    <t>DRANOW, CORINNA</t>
  </si>
  <si>
    <t>FRANK, PHILIP</t>
  </si>
  <si>
    <t>SLAUGHTER, MAGEN</t>
  </si>
  <si>
    <t>GURESKY, PETER</t>
  </si>
  <si>
    <t>KING, ROBERT</t>
  </si>
  <si>
    <t>KUKAL, DEBORAH</t>
  </si>
  <si>
    <t>BURGIN, AMY</t>
  </si>
  <si>
    <t>MCCURDY, MATTHEW</t>
  </si>
  <si>
    <t>SHAH, ATMAN</t>
  </si>
  <si>
    <t>CUNNINGHAM, WILLIAM</t>
  </si>
  <si>
    <t>TRICOT, GUIDO</t>
  </si>
  <si>
    <t>TSAO, MIRIAM</t>
  </si>
  <si>
    <t>SULLIVAN, SPENCER</t>
  </si>
  <si>
    <t>ESTES, CHRISTOPHER</t>
  </si>
  <si>
    <t>STOUT, LINDA</t>
  </si>
  <si>
    <t>MILLER, JENELLE</t>
  </si>
  <si>
    <t>ARTHUR, K'ANNE</t>
  </si>
  <si>
    <t>GOLDER, STEPHEN</t>
  </si>
  <si>
    <t>ABRAHAM, DANA</t>
  </si>
  <si>
    <t>CROY, DAVID</t>
  </si>
  <si>
    <t>HASSAN, ANISA</t>
  </si>
  <si>
    <t>HINKLE, NATHAN</t>
  </si>
  <si>
    <t>PRITCHARD, FRANCES</t>
  </si>
  <si>
    <t>TUMMALA, MOHAN</t>
  </si>
  <si>
    <t>ESCURO, RUBEN</t>
  </si>
  <si>
    <t>FOULADI, MARYAM</t>
  </si>
  <si>
    <t>CAMPBELL, TIMOTHY</t>
  </si>
  <si>
    <t>BOYD, KARISSA</t>
  </si>
  <si>
    <t>KASTAN, MICHAEL</t>
  </si>
  <si>
    <t>TIRIVEEDHI, LAVANYA</t>
  </si>
  <si>
    <t>CODY, REBECCA</t>
  </si>
  <si>
    <t>LOCKWOOD, MATTHEW</t>
  </si>
  <si>
    <t>MUKHERJEE, AKASH</t>
  </si>
  <si>
    <t>KOOS, TIBERIU</t>
  </si>
  <si>
    <t>SCHERGEN, ALVIN</t>
  </si>
  <si>
    <t>ANANTHULA, ANEESHA</t>
  </si>
  <si>
    <t>KASOW WICHLAN, KIMBERLY</t>
  </si>
  <si>
    <t>GILLETT, BROOKE</t>
  </si>
  <si>
    <t>BALASUNDARAM, CHITRA</t>
  </si>
  <si>
    <t>MEHDI, RAJA</t>
  </si>
  <si>
    <t>DING, JIANTAO</t>
  </si>
  <si>
    <t>LATTUADA, CHARLES</t>
  </si>
  <si>
    <t>KELLY, KARIE-LYNN</t>
  </si>
  <si>
    <t>LITAM, PATRICK</t>
  </si>
  <si>
    <t>LEWIS, ERNEST</t>
  </si>
  <si>
    <t>LANDON, PAMELA</t>
  </si>
  <si>
    <t>ALI, YAQOOB</t>
  </si>
  <si>
    <t>TUNCER, TOLGA</t>
  </si>
  <si>
    <t>IYER, LAXMI</t>
  </si>
  <si>
    <t>BALDEO, CANDICE</t>
  </si>
  <si>
    <t>KAPLAN, STUART</t>
  </si>
  <si>
    <t>MILLER, MATTHEW</t>
  </si>
  <si>
    <t>ANIS, AMIR</t>
  </si>
  <si>
    <t>DESIKAN, KAMARAJAPURAM</t>
  </si>
  <si>
    <t>DOUGLASS, DAVID</t>
  </si>
  <si>
    <t>ANDES, WILLARD</t>
  </si>
  <si>
    <t>NARMALA, SHRAVAN</t>
  </si>
  <si>
    <t>ELLIS, ROBERT</t>
  </si>
  <si>
    <t>CASTANEDA, VICTORIA</t>
  </si>
  <si>
    <t>YATES, RYAN</t>
  </si>
  <si>
    <t>WANG, YUEFENG</t>
  </si>
  <si>
    <t>KENT, ELIZABETH</t>
  </si>
  <si>
    <t>WOODARD, JOSEPH</t>
  </si>
  <si>
    <t>HARRELL, LESLIE</t>
  </si>
  <si>
    <t>LAL, ROBY</t>
  </si>
  <si>
    <t>DEAN-COLOMB, WINDY</t>
  </si>
  <si>
    <t>MATTHIESEN, CHANCE</t>
  </si>
  <si>
    <t>LEWIS, GARY</t>
  </si>
  <si>
    <t>RUSSO, CAROLYN</t>
  </si>
  <si>
    <t>DERENZO, CHRISTOPHER</t>
  </si>
  <si>
    <t>MYERS, DUANE</t>
  </si>
  <si>
    <t>MCGREGOR, LISA</t>
  </si>
  <si>
    <t>SIDLOSKI, JAY</t>
  </si>
  <si>
    <t>MULHERIN, BRIAN</t>
  </si>
  <si>
    <t>WILLISON, FREDERICK</t>
  </si>
  <si>
    <t>OCHOA, DANIELA</t>
  </si>
  <si>
    <t>KANTHARAJ, BELAGODU</t>
  </si>
  <si>
    <t>SOMERSET SENIOR LIVING AT CANYON SPRINGS</t>
  </si>
  <si>
    <t>SOMERSET SENIOR LIVING AT MOUNT VISTA</t>
  </si>
  <si>
    <t>THE WATERS OF ROGERS, LLC</t>
  </si>
  <si>
    <t>WENTWORTH LLC</t>
  </si>
  <si>
    <t>THE WATERS OF NORTH LITTLE ROCK, LLC</t>
  </si>
  <si>
    <t>THE WATERS OF MOUNTAIN VIEW, LLC</t>
  </si>
  <si>
    <t>SOMERSET SENIOR LIVING AT HARRISON</t>
  </si>
  <si>
    <t>CHC GOSNELL HEALTH AND REHAB, LLC</t>
  </si>
  <si>
    <t>THE WATERS OF STAMPS, LLC</t>
  </si>
  <si>
    <t>PLEASANT MANOR NURSING &amp; REHAB</t>
  </si>
  <si>
    <t>PM OPS, INC.</t>
  </si>
  <si>
    <t>SOMERSET SENIOR LIVING AT SEVEN SPRINGS</t>
  </si>
  <si>
    <t>PARAGOULD GH OPERATIONS LLC</t>
  </si>
  <si>
    <t>SOMERSET SENIOR LIVING AT PREMIER</t>
  </si>
  <si>
    <t>THE WATERS OF WHITE HALL, LLC</t>
  </si>
  <si>
    <t>WATERS OF NEWPORT LLC</t>
  </si>
  <si>
    <t>T-LYNN INC.</t>
  </si>
  <si>
    <t>SOMERSET SENIOR LIVING AT MCGEHEE, INC.</t>
  </si>
  <si>
    <t>THE WATERS OF CUMBERLAND, LLC</t>
  </si>
  <si>
    <t>SOMERSET SENIOR LIVING AT PINE HILLS</t>
  </si>
  <si>
    <t>THE WATERS OF WEST DIXON, LLC</t>
  </si>
  <si>
    <t>WATERS OF FORT SMITH LLC</t>
  </si>
  <si>
    <t>THE WATERS OF WOODLAND HILLS, LLC</t>
  </si>
  <si>
    <t>PRATHER, JOHN</t>
  </si>
  <si>
    <t>SWARTZ, JOHN</t>
  </si>
  <si>
    <t>LOPEZ-CANDALES, ANGEL</t>
  </si>
  <si>
    <t>EVANS, EDWARD</t>
  </si>
  <si>
    <t>TJOA, HONG</t>
  </si>
  <si>
    <t>PATEL, RAJEEV</t>
  </si>
  <si>
    <t>KATO, JULIUS</t>
  </si>
  <si>
    <t>DEVABHAKTUNI, SUBODH</t>
  </si>
  <si>
    <t>LANEY, CHARLES</t>
  </si>
  <si>
    <t>MORGAN, KERRY</t>
  </si>
  <si>
    <t>WIGGINS, STANLEY</t>
  </si>
  <si>
    <t>HARPER, YENAL</t>
  </si>
  <si>
    <t>SHAIKH, KHAWAR</t>
  </si>
  <si>
    <t>CAMPBELL, MARK</t>
  </si>
  <si>
    <t>MOUNSEY, JOHN</t>
  </si>
  <si>
    <t>JAGTAP, MANDAR</t>
  </si>
  <si>
    <t>YARANOV, DMITRY</t>
  </si>
  <si>
    <t>SUBRAMANIAN, RAJESH</t>
  </si>
  <si>
    <t>STAUFFER, ROBERT</t>
  </si>
  <si>
    <t>LEE, SAM</t>
  </si>
  <si>
    <t>FAZ, GABRIEL</t>
  </si>
  <si>
    <t>SHULER, LEWIS</t>
  </si>
  <si>
    <t>AGRAWAL, HITESH</t>
  </si>
  <si>
    <t>NICHOLAS, WILLIAM</t>
  </si>
  <si>
    <t>GAYTAN, RAFAEL</t>
  </si>
  <si>
    <t>PIDIKITI, NANNI</t>
  </si>
  <si>
    <t>MUNZINGER, ETHAN</t>
  </si>
  <si>
    <t>BHELLA, PAUL</t>
  </si>
  <si>
    <t>ZUEHLKE, DAVID</t>
  </si>
  <si>
    <t>REED, RUSSELL</t>
  </si>
  <si>
    <t>LEE, SHANG-CHIUN</t>
  </si>
  <si>
    <t>GUNASEKARAN, PRASAD</t>
  </si>
  <si>
    <t>ROSELMAN, MICHAEL</t>
  </si>
  <si>
    <t>KUMAR, ASWINI</t>
  </si>
  <si>
    <t>STEWART, DOUGLAS</t>
  </si>
  <si>
    <t>COX, JOHN</t>
  </si>
  <si>
    <t>KURBAN, ELLIOT</t>
  </si>
  <si>
    <t>GATLIN, SCOTT</t>
  </si>
  <si>
    <t>ALSHAWI, RAYA</t>
  </si>
  <si>
    <t>MOHAMED, EMAD</t>
  </si>
  <si>
    <t>ZEB, JAHAN</t>
  </si>
  <si>
    <t>JOHNSON, WARFORD</t>
  </si>
  <si>
    <t>PATEL, RAKESH</t>
  </si>
  <si>
    <t>JEYARAJ, DARWIN</t>
  </si>
  <si>
    <t>GARG, NADISH</t>
  </si>
  <si>
    <t>PATEL, NIRAV</t>
  </si>
  <si>
    <t>SWE, EI</t>
  </si>
  <si>
    <t>RASHED, AHMED</t>
  </si>
  <si>
    <t>VANOSDOL, KELVIN</t>
  </si>
  <si>
    <t>STRONG, MARK</t>
  </si>
  <si>
    <t>GADDAM, SAINATH</t>
  </si>
  <si>
    <t>AGBETOYIN, ADEYINKA</t>
  </si>
  <si>
    <t>WOLF, RICHARD</t>
  </si>
  <si>
    <t>HAHN, KENNETH</t>
  </si>
  <si>
    <t>ENGLUND, GERALD</t>
  </si>
  <si>
    <t>RIZZO, MARIANA</t>
  </si>
  <si>
    <t>BOICE, MICHELLE</t>
  </si>
  <si>
    <t>LACY, PAMELA</t>
  </si>
  <si>
    <t>MIZE, ELIZABETH</t>
  </si>
  <si>
    <t>BARBER, KEVIN</t>
  </si>
  <si>
    <t>GANAPATHY, LAKSHMANAN</t>
  </si>
  <si>
    <t>COLE, SAMUEL</t>
  </si>
  <si>
    <t>BURLESON, ANGELA</t>
  </si>
  <si>
    <t>HERROLD, DABNEY</t>
  </si>
  <si>
    <t>HOLDEN, THOMAS</t>
  </si>
  <si>
    <t>JOHNSON, WILLIAM</t>
  </si>
  <si>
    <t>COX, JEFFREY</t>
  </si>
  <si>
    <t>FOWERS, ROBERT</t>
  </si>
  <si>
    <t>TALLAPUREDDY, SREEDHAR</t>
  </si>
  <si>
    <t>DEMENT, OMAN</t>
  </si>
  <si>
    <t>WRIGHT, ANDY</t>
  </si>
  <si>
    <t>ODULANA, FLORENE</t>
  </si>
  <si>
    <t>CANAS-POLESEL, ADRIANA</t>
  </si>
  <si>
    <t>COLE, AUDRA</t>
  </si>
  <si>
    <t>BLASSINGAME, KATHERINE</t>
  </si>
  <si>
    <t>HARPER, JULIE</t>
  </si>
  <si>
    <t>OTEY, STEPHEN</t>
  </si>
  <si>
    <t>BAGNASCO, JOHN</t>
  </si>
  <si>
    <t>FLOWERS, MAUREEN</t>
  </si>
  <si>
    <t>CHAPMAN, GAYLENE</t>
  </si>
  <si>
    <t>DEAVER, JOHN</t>
  </si>
  <si>
    <t>BECKHAM, JAMES</t>
  </si>
  <si>
    <t>STAMBOUGH, KATHRYN</t>
  </si>
  <si>
    <t>PATTON, GREGORY</t>
  </si>
  <si>
    <t>LITHERLAND, CHRISTINA</t>
  </si>
  <si>
    <t>MASON, CHRISTOPHER</t>
  </si>
  <si>
    <t>CAMEJO, MANUEL</t>
  </si>
  <si>
    <t>PERCELL, DENIS</t>
  </si>
  <si>
    <t>MARION, LAURA</t>
  </si>
  <si>
    <t>STIEFEL, GRETCHEN</t>
  </si>
  <si>
    <t>HENDERSON, WILLIAM</t>
  </si>
  <si>
    <t>MILLER, VANESSA</t>
  </si>
  <si>
    <t>HAYSLETT, KENDRA</t>
  </si>
  <si>
    <t>FINLEY, BRENT</t>
  </si>
  <si>
    <t>HARMON, JOSEPH</t>
  </si>
  <si>
    <t>MELROSE, ERICA</t>
  </si>
  <si>
    <t>WOOD, DUKE</t>
  </si>
  <si>
    <t>BRADLEY, REBECCA</t>
  </si>
  <si>
    <t>MADDOX, JAMI</t>
  </si>
  <si>
    <t>FOGARTY, CHERYL</t>
  </si>
  <si>
    <t>FARMER, KIMBERLEY</t>
  </si>
  <si>
    <t>JONES, FAITH</t>
  </si>
  <si>
    <t>BARLET, ELIZABETH</t>
  </si>
  <si>
    <t>NICHOLSON, ROMERO</t>
  </si>
  <si>
    <t>CROWNOVER, DAVID</t>
  </si>
  <si>
    <t>HSU, PATRICK</t>
  </si>
  <si>
    <t>MOORE, DORWIN</t>
  </si>
  <si>
    <t>KEISLER, LYDIA</t>
  </si>
  <si>
    <t>HUNT, MARION</t>
  </si>
  <si>
    <t>BOICE, BRETT</t>
  </si>
  <si>
    <t>BAUTISTA, LEODY</t>
  </si>
  <si>
    <t>OTTO, WILLIAM</t>
  </si>
  <si>
    <t>ROBB, JAMES</t>
  </si>
  <si>
    <t>THOMPSON, AMY</t>
  </si>
  <si>
    <t>ENNIS, ANGELINE</t>
  </si>
  <si>
    <t>HUDDLESTON, ANDREA</t>
  </si>
  <si>
    <t>TURNER, DOUGLAS</t>
  </si>
  <si>
    <t>RICHARDS, TODD</t>
  </si>
  <si>
    <t>EPSTEIN, DINA</t>
  </si>
  <si>
    <t>BLOSSOM, AMY</t>
  </si>
  <si>
    <t>PUTHOFF, GAVIN</t>
  </si>
  <si>
    <t>CRAWFORD, SHAYLA</t>
  </si>
  <si>
    <t>ROBERTS, JENNIFER</t>
  </si>
  <si>
    <t>GIBBONS, JULIETTE</t>
  </si>
  <si>
    <t>KOEHLER, TAMMIE</t>
  </si>
  <si>
    <t>WHITE, KEVIN</t>
  </si>
  <si>
    <t>WATTS, AIMEE</t>
  </si>
  <si>
    <t>CHANEY, JAMES</t>
  </si>
  <si>
    <t>LEHNERT, DARREN</t>
  </si>
  <si>
    <t>LOGAN, QUINISHA</t>
  </si>
  <si>
    <t>LUNGREN, MAX</t>
  </si>
  <si>
    <t>WOTHERSPOON, BARBARA</t>
  </si>
  <si>
    <t>MORGAN, ROCHELLE</t>
  </si>
  <si>
    <t>MORIARTY, DONNA</t>
  </si>
  <si>
    <t>ADCOCK, JACK</t>
  </si>
  <si>
    <t>VAN DE VELDE, NICOLE</t>
  </si>
  <si>
    <t>WHERRY, HEATHER</t>
  </si>
  <si>
    <t>WARFORD, BROCK</t>
  </si>
  <si>
    <t>ALLISON, JANA</t>
  </si>
  <si>
    <t>MANLEY, JEFFREY</t>
  </si>
  <si>
    <t>FROHN, WILLIAM</t>
  </si>
  <si>
    <t>FRASER, ANNA</t>
  </si>
  <si>
    <t>CLARK-GANHEART, CECILY</t>
  </si>
  <si>
    <t>BOWES, ANNE</t>
  </si>
  <si>
    <t>CHANDLER, CRAIG</t>
  </si>
  <si>
    <t>THOMPSON, HOWARD</t>
  </si>
  <si>
    <t>LACEY, HUGH</t>
  </si>
  <si>
    <t>TUCKER, GEORGE</t>
  </si>
  <si>
    <t>REEVES, MELISSA</t>
  </si>
  <si>
    <t>STANCZYK, GEOFFERY</t>
  </si>
  <si>
    <t>HUBBELL, GEORGE</t>
  </si>
  <si>
    <t>CHILDREY, GREGORY</t>
  </si>
  <si>
    <t>MARTIN, JERRY</t>
  </si>
  <si>
    <t>ARMADA, ROBERT</t>
  </si>
  <si>
    <t>DYE, HANNAH</t>
  </si>
  <si>
    <t>CRECELIUS, LAURA</t>
  </si>
  <si>
    <t>ELMER, NANCY</t>
  </si>
  <si>
    <t>MERSKI, DENNIS</t>
  </si>
  <si>
    <t>VANHORN, ASHLEY</t>
  </si>
  <si>
    <t>SCARROW, MEERA</t>
  </si>
  <si>
    <t>HALTERMAN, ROBERT</t>
  </si>
  <si>
    <t>KINCH, DIAN</t>
  </si>
  <si>
    <t>MITCHELL, SARAH</t>
  </si>
  <si>
    <t>CHANDLER, REGINA</t>
  </si>
  <si>
    <t>THAYER, GILBERT</t>
  </si>
  <si>
    <t>HORTON, THOMAS</t>
  </si>
  <si>
    <t>BORELLO, DAN</t>
  </si>
  <si>
    <t>LUND, ELIZABETH</t>
  </si>
  <si>
    <t>LANGER, ANGELA</t>
  </si>
  <si>
    <t>LUEHR, LAURA</t>
  </si>
  <si>
    <t>FRASER, ROBERT</t>
  </si>
  <si>
    <t>SMITH, MARY</t>
  </si>
  <si>
    <t>DANIEL, FELICIA</t>
  </si>
  <si>
    <t>DAVISON, JAMES</t>
  </si>
  <si>
    <t>BOLGER, HOLLY-MARIE</t>
  </si>
  <si>
    <t>TAYLOR, ROBIN</t>
  </si>
  <si>
    <t>GENERAL, TIFFANY</t>
  </si>
  <si>
    <t>NAPIER, ANN</t>
  </si>
  <si>
    <t>IYER, PRANEET</t>
  </si>
  <si>
    <t>BLACKMON, MICHAEL</t>
  </si>
  <si>
    <t>MCCOLLUM, CHARLES</t>
  </si>
  <si>
    <t>LUNDIEN, MATTHEW</t>
  </si>
  <si>
    <t>KODWANI, NARESH</t>
  </si>
  <si>
    <t>ANJUM, HUMAYUN</t>
  </si>
  <si>
    <t>SIDDIQUI, AKHTAR</t>
  </si>
  <si>
    <t>PATE, PRESTON</t>
  </si>
  <si>
    <t>OCHOA, JOSE</t>
  </si>
  <si>
    <t>NDUKWU, FESTUS</t>
  </si>
  <si>
    <t>REDDY, VIJAY</t>
  </si>
  <si>
    <t>PERTZBORN, MATTHEW</t>
  </si>
  <si>
    <t>AHMED, SYED</t>
  </si>
  <si>
    <t>MOKHTAR, YASSER</t>
  </si>
  <si>
    <t>VAKIL, ABHAY</t>
  </si>
  <si>
    <t>DANIELS, DENNIS</t>
  </si>
  <si>
    <t>SURANI, SALIM</t>
  </si>
  <si>
    <t>BONETTI LUGO, ANA</t>
  </si>
  <si>
    <t>MUSTAFA, SYED</t>
  </si>
  <si>
    <t>YOGESH, KUMAR</t>
  </si>
  <si>
    <t>RINCON-PRIETO, CIRO</t>
  </si>
  <si>
    <t>SCACEWATER, RICKY</t>
  </si>
  <si>
    <t>MATHEW, ROSHEN</t>
  </si>
  <si>
    <t>ZHANG, DONGHONG</t>
  </si>
  <si>
    <t>UPDEGROVE, JOHN</t>
  </si>
  <si>
    <t>MALUF, CHRISTIAN</t>
  </si>
  <si>
    <t>ODEESH, MARWAN</t>
  </si>
  <si>
    <t>KAPLAN, CARL</t>
  </si>
  <si>
    <t>GRABAU, GUY</t>
  </si>
  <si>
    <t>PIERSON, GRANT</t>
  </si>
  <si>
    <t>PENDURTHI, MADHU KALYAN</t>
  </si>
  <si>
    <t>SURANA, ALOK</t>
  </si>
  <si>
    <t>RUDRAPPA, MOHAN</t>
  </si>
  <si>
    <t>YERRAMALLA, YASHWANTH</t>
  </si>
  <si>
    <t>PAUL, DANIEL</t>
  </si>
  <si>
    <t>MCALPIN, BRODIE</t>
  </si>
  <si>
    <t>KHAN, ADNAN</t>
  </si>
  <si>
    <t>MARSH, KIMBERLY</t>
  </si>
  <si>
    <t>FRANCO, RENE</t>
  </si>
  <si>
    <t>LILLEY, JESSICA</t>
  </si>
  <si>
    <t>LEDGER, GREGORY</t>
  </si>
  <si>
    <t>HAMLETT, SEAN</t>
  </si>
  <si>
    <t>JAIN, RASHMI</t>
  </si>
  <si>
    <t>HENSKE, JOSEPH</t>
  </si>
  <si>
    <t>MEJIA OTERO, JUAN</t>
  </si>
  <si>
    <t>BLAVO, DELALI</t>
  </si>
  <si>
    <t>MENON, LAKSHMI</t>
  </si>
  <si>
    <t>SHULL, GRETCHEN</t>
  </si>
  <si>
    <t>FRENCH, SARAH</t>
  </si>
  <si>
    <t>ROBINSON, RANDALL</t>
  </si>
  <si>
    <t>SHEPHERD, MARK</t>
  </si>
  <si>
    <t>GALLOWAY, ALLISON</t>
  </si>
  <si>
    <t>THOMAS, JOHNSON</t>
  </si>
  <si>
    <t>ZHANG, RONG</t>
  </si>
  <si>
    <t>SCHWARTZ, I</t>
  </si>
  <si>
    <t>RIVER VALLEY PRIMARY CARE SERVICES</t>
  </si>
  <si>
    <t>SOUTHEAST REHAB LLC</t>
  </si>
  <si>
    <t>REGIONAL MED EXTENDED CARE HOSPITAL, LLC</t>
  </si>
  <si>
    <t>BODDEDA, SWETHA</t>
  </si>
  <si>
    <t>HAYES, TIMOTHY</t>
  </si>
  <si>
    <t>FEUGATE, JO</t>
  </si>
  <si>
    <t>AFANEH, ANAN</t>
  </si>
  <si>
    <t>TARIQ, SAAD</t>
  </si>
  <si>
    <t>TAY, ANTHONY</t>
  </si>
  <si>
    <t>ODHAV, SATISH</t>
  </si>
  <si>
    <t>WASHINGTON, NINA</t>
  </si>
  <si>
    <t>ORNSTEIN, BRADLEY</t>
  </si>
  <si>
    <t>DYKMAN, THOMAS</t>
  </si>
  <si>
    <t>EDDLEMAN, KIRK</t>
  </si>
  <si>
    <t>JOSEPH, MICHAEL</t>
  </si>
  <si>
    <t>ATIQ, SHEHLA</t>
  </si>
  <si>
    <t>KENNEY, RICHARD</t>
  </si>
  <si>
    <t>KOTA, VINISHA</t>
  </si>
  <si>
    <t>EDWARDS, STEPHEN</t>
  </si>
  <si>
    <t>RICHARDSON, RANDY</t>
  </si>
  <si>
    <t>YUHAS, JOHN</t>
  </si>
  <si>
    <t>ROSENBLATT, MYRA</t>
  </si>
  <si>
    <t>FAGAN, ANNA</t>
  </si>
  <si>
    <t>BRAWNER, WILLIAM</t>
  </si>
  <si>
    <t>MCCOY, MATTHEW</t>
  </si>
  <si>
    <t>TANN, THOMAS</t>
  </si>
  <si>
    <t>LEE, MOLLY</t>
  </si>
  <si>
    <t>WEBB-HAINES, MARTINA</t>
  </si>
  <si>
    <t>OSBORN, DANIEL</t>
  </si>
  <si>
    <t>STRICKLAND, WILLIAM</t>
  </si>
  <si>
    <t>WESTON, MARION</t>
  </si>
  <si>
    <t>CASSIDY, THERESA</t>
  </si>
  <si>
    <t>SHAH, RAMESH</t>
  </si>
  <si>
    <t>WALTERS, JR, GEORGE</t>
  </si>
  <si>
    <t>PFLUGRATH, ADAM</t>
  </si>
  <si>
    <t>GRAHAM, PHILIP</t>
  </si>
  <si>
    <t>ROWLAND, ANNE</t>
  </si>
  <si>
    <t>BROGDON, SHELBY</t>
  </si>
  <si>
    <t>LASTER, SETH</t>
  </si>
  <si>
    <t>TAUBER, SHACHAR</t>
  </si>
  <si>
    <t>NAIL, JOHN</t>
  </si>
  <si>
    <t>RAYNER, JAMES</t>
  </si>
  <si>
    <t>MAY, LAUREN</t>
  </si>
  <si>
    <t>SURAPANENI, KRISHNA</t>
  </si>
  <si>
    <t>NAIL, HANNAH</t>
  </si>
  <si>
    <t>MAYO, WILLIAM</t>
  </si>
  <si>
    <t>GILLHAM, GARY</t>
  </si>
  <si>
    <t>REGGIE, SARA</t>
  </si>
  <si>
    <t>WOOTEN, DARWIN</t>
  </si>
  <si>
    <t>BRIGHT, SANDRA</t>
  </si>
  <si>
    <t>KEYS, TAYLOR</t>
  </si>
  <si>
    <t>RICHARDSON, NICHOLAS</t>
  </si>
  <si>
    <t>AMES, PHILIP</t>
  </si>
  <si>
    <t>SUN, XIAOQI</t>
  </si>
  <si>
    <t>KATER, BRUCE</t>
  </si>
  <si>
    <t>BRADLEY, SCOTT</t>
  </si>
  <si>
    <t>MICHAELS, ROBERT</t>
  </si>
  <si>
    <t>RANDLE, ERIC</t>
  </si>
  <si>
    <t>RANDOLPH, KATHERINE</t>
  </si>
  <si>
    <t>SHERROD, CHARLES</t>
  </si>
  <si>
    <t>GARDNER, KEVIN</t>
  </si>
  <si>
    <t>GILLESPIE, WILLIAM</t>
  </si>
  <si>
    <t>ESSMAN, THOMAS</t>
  </si>
  <si>
    <t>DENT, AARON</t>
  </si>
  <si>
    <t>CLEVELAND, CRAIG</t>
  </si>
  <si>
    <t>MEHLHORN, GARY</t>
  </si>
  <si>
    <t>HEYMANN, HANS</t>
  </si>
  <si>
    <t>HARGROVE, RODERICK</t>
  </si>
  <si>
    <t>WESSON, MATTHEW</t>
  </si>
  <si>
    <t>BROWN, LANCE</t>
  </si>
  <si>
    <t>BURROUGHS, ZACHARY</t>
  </si>
  <si>
    <t>SHIPP, BERNARD</t>
  </si>
  <si>
    <t>HOLMES, WILLIAM</t>
  </si>
  <si>
    <t>BURKS, JOHN</t>
  </si>
  <si>
    <t>FONSECA, KRISTIN</t>
  </si>
  <si>
    <t>SCOTT, SALLYE</t>
  </si>
  <si>
    <t>NGUYEN, HA</t>
  </si>
  <si>
    <t>TAYLOR, BRADLEY</t>
  </si>
  <si>
    <t>GRAY, PHILLIP</t>
  </si>
  <si>
    <t>SULLIVAN, JASON</t>
  </si>
  <si>
    <t>HARTIGAN, CARRIE</t>
  </si>
  <si>
    <t>HELTON, ASHLEY</t>
  </si>
  <si>
    <t>SMITH, THOMAS</t>
  </si>
  <si>
    <t>SHIPP, JOHN</t>
  </si>
  <si>
    <t>DAVIS, CAYCE</t>
  </si>
  <si>
    <t>SHACKELFORD, RAYMOND</t>
  </si>
  <si>
    <t>LAWRENCE, SCOTT</t>
  </si>
  <si>
    <t>BROWN, ROSE</t>
  </si>
  <si>
    <t>NAPIER, SHARON</t>
  </si>
  <si>
    <t>CARVER, ADAM</t>
  </si>
  <si>
    <t>MAY, KRISTOPHER</t>
  </si>
  <si>
    <t>JOHNSON, DENISE</t>
  </si>
  <si>
    <t>SLINKER, ROBERT</t>
  </si>
  <si>
    <t>RHODES, MEREDITH</t>
  </si>
  <si>
    <t>BUTLER, TREY</t>
  </si>
  <si>
    <t>HIRSCH, LOUIS</t>
  </si>
  <si>
    <t>RICHARDSON, CODY</t>
  </si>
  <si>
    <t>BARTELS, WILLIAM</t>
  </si>
  <si>
    <t>MCCLINTIC, MORGAN</t>
  </si>
  <si>
    <t>BENNETT, ROBIN</t>
  </si>
  <si>
    <t>CUNNINGHAM, SUSANNE</t>
  </si>
  <si>
    <t>HUGHES, MATTHEW</t>
  </si>
  <si>
    <t>KABAT, ALAN</t>
  </si>
  <si>
    <t>JORDAN, EARL</t>
  </si>
  <si>
    <t>UNDERWOOD, DAVID</t>
  </si>
  <si>
    <t>BETOR, CATHERINE</t>
  </si>
  <si>
    <t>WALKER, ANDREA</t>
  </si>
  <si>
    <t>HOUSER, BROOKE</t>
  </si>
  <si>
    <t>SHAH, HEERAL</t>
  </si>
  <si>
    <t>TAYLOR, SIDNEY</t>
  </si>
  <si>
    <t>LITTLE, JOSHUA</t>
  </si>
  <si>
    <t>WALLY, RYAN</t>
  </si>
  <si>
    <t>HURD, DAVID</t>
  </si>
  <si>
    <t>RIDGE, EMILY</t>
  </si>
  <si>
    <t>BENNETT, JAMES</t>
  </si>
  <si>
    <t>CASCAIRO, MARK</t>
  </si>
  <si>
    <t>FARMER, WILLIAM</t>
  </si>
  <si>
    <t>EARWOOD, ASHLEY</t>
  </si>
  <si>
    <t>HURLEY, YASEMIN</t>
  </si>
  <si>
    <t>BALLARD, ERICA</t>
  </si>
  <si>
    <t>REESE, ELIZABETH</t>
  </si>
  <si>
    <t>WITHERSPOON, DAVID</t>
  </si>
  <si>
    <t>ZOGHBY, JONATHAN</t>
  </si>
  <si>
    <t>WEEDEN, MICHAEL</t>
  </si>
  <si>
    <t>BROOKS, JAMES</t>
  </si>
  <si>
    <t>KNICK, PAUL</t>
  </si>
  <si>
    <t>BYNUM, FRANCES</t>
  </si>
  <si>
    <t>CURRIER, DONNA</t>
  </si>
  <si>
    <t>MITCHELL, ANDREA</t>
  </si>
  <si>
    <t>STONE, GLEN</t>
  </si>
  <si>
    <t>POSEY, JON</t>
  </si>
  <si>
    <t>FROGGE, JAMES</t>
  </si>
  <si>
    <t>WALTERSKIRCHEN, MARK</t>
  </si>
  <si>
    <t>KALISH, JONATHAN</t>
  </si>
  <si>
    <t>MUNDAY, GEORGE</t>
  </si>
  <si>
    <t>SENF, WILLIAM</t>
  </si>
  <si>
    <t>HOYT, DANIEL</t>
  </si>
  <si>
    <t>KINCADE, MATTHEW</t>
  </si>
  <si>
    <t>FARMER, CLARANCE</t>
  </si>
  <si>
    <t>BERNSTEIN, BENJAMIN</t>
  </si>
  <si>
    <t>SCHOENFELD, ROGER</t>
  </si>
  <si>
    <t>HARDIN, BRENT</t>
  </si>
  <si>
    <t>BARTLETT, STEPHANIE</t>
  </si>
  <si>
    <t>WHITEHEAD, KRISTOPHER</t>
  </si>
  <si>
    <t>HOWLAND, ROBERT</t>
  </si>
  <si>
    <t>GRIFFIN, JOSHUA</t>
  </si>
  <si>
    <t>LIANG, JESSIE</t>
  </si>
  <si>
    <t>WOODSON, BENJAMIN</t>
  </si>
  <si>
    <t>BOND, KEVIN</t>
  </si>
  <si>
    <t>LATOURETTE, HARRY</t>
  </si>
  <si>
    <t>WINDHAM, WILLIAM</t>
  </si>
  <si>
    <t>FARABAUGH, PAUL</t>
  </si>
  <si>
    <t>MILLER, BRANDI</t>
  </si>
  <si>
    <t>MARSIDI, PAUL</t>
  </si>
  <si>
    <t>MILAM, WILLIAM</t>
  </si>
  <si>
    <t>MARKLE, EMILY</t>
  </si>
  <si>
    <t>STRONG, SAMUEL</t>
  </si>
  <si>
    <t>ZAWISLAK, THADDEUS</t>
  </si>
  <si>
    <t>PELPHREY, ROSEMARY</t>
  </si>
  <si>
    <t>BLACKSHARE, DANIEL</t>
  </si>
  <si>
    <t>SCHROEPFER, TRACY</t>
  </si>
  <si>
    <t>INGRAM, AUSTIN</t>
  </si>
  <si>
    <t>CASON, SAMUEL</t>
  </si>
  <si>
    <t>LOPEZ, JAMES</t>
  </si>
  <si>
    <t>JONES, BRANDON</t>
  </si>
  <si>
    <t>OFFUTT, LORNA</t>
  </si>
  <si>
    <t>LEBOEUF, ALYSSA</t>
  </si>
  <si>
    <t>PORTER, WILLIAM</t>
  </si>
  <si>
    <t>KUHN, LOGAN</t>
  </si>
  <si>
    <t>BYRD, HAYDEN</t>
  </si>
  <si>
    <t>BITTLE, MATTHEW</t>
  </si>
  <si>
    <t>NEUMEIER, ALLISON</t>
  </si>
  <si>
    <t>FRUCHEY, LUKE</t>
  </si>
  <si>
    <t>SANDERS, CODY</t>
  </si>
  <si>
    <t>WILLIAMS, ALEXANDER</t>
  </si>
  <si>
    <t>BRASHEARS, CHELSEA</t>
  </si>
  <si>
    <t>CASTELLANOS, PATRICIA</t>
  </si>
  <si>
    <t>RUSHER, ANTHONY</t>
  </si>
  <si>
    <t>CINGOLANI, BLAKELY</t>
  </si>
  <si>
    <t>HAMBUCHEN, JOSHUA</t>
  </si>
  <si>
    <t>MAKOWSKI, GLENN</t>
  </si>
  <si>
    <t>ROBERTS, STEVEN</t>
  </si>
  <si>
    <t>ZAKI-SABET, ANGIE</t>
  </si>
  <si>
    <t>SINADA, NAIF</t>
  </si>
  <si>
    <t>LEAL, JOSHUA</t>
  </si>
  <si>
    <t>PLATT, BRIAN</t>
  </si>
  <si>
    <t>RAPPEPORT, STEPHEN</t>
  </si>
  <si>
    <t>HOPKINS, KENNETH</t>
  </si>
  <si>
    <t>BCP 1, LLC</t>
  </si>
  <si>
    <t>SMITH MANAGEMENT SERVICES, LLC</t>
  </si>
  <si>
    <t>CLINTON BUTLER</t>
  </si>
  <si>
    <t>TOTTY ENTERPRISES INC.</t>
  </si>
  <si>
    <t>MEDIC PHARMACY INC OF EL DORADO</t>
  </si>
  <si>
    <t>HIGHLANDS ONCOLOGY GROUP PA</t>
  </si>
  <si>
    <t>FOUNTAIN LAKE FAMILY PHARMACY LLC</t>
  </si>
  <si>
    <t>SEQUOYAH COUNTY DRUG COMPANY PLLC</t>
  </si>
  <si>
    <t>HARRISON FAMILY PHARMACY, P.L.L.C.</t>
  </si>
  <si>
    <t>PHARMACQ INC</t>
  </si>
  <si>
    <t>FORREST CITY FAMILY PHARMACY LLC</t>
  </si>
  <si>
    <t>MISSOURI CVS PHARMACY, L.L.C</t>
  </si>
  <si>
    <t>WAL-MART STORES TEXAS, LLC</t>
  </si>
  <si>
    <t>NCS HEALTHCARE OF TENNESSEE, LLC</t>
  </si>
  <si>
    <t>PROFESSIONAL PHARMACY</t>
  </si>
  <si>
    <t>MER ROUGE FAMILY PHARMACY, LLC</t>
  </si>
  <si>
    <t>AIRLINE DRUG LLC</t>
  </si>
  <si>
    <t>CP ACQUISITION LLC</t>
  </si>
  <si>
    <t>MAC PHARMACEUTICALS LLC</t>
  </si>
  <si>
    <t>DAR SALUD CARE PLLC</t>
  </si>
  <si>
    <t>LELAND DRUG COMPANY, INC</t>
  </si>
  <si>
    <t>NORTHSIDE PHARMACY</t>
  </si>
  <si>
    <t>CHRIST COMMUITY HEALTH SERVICES INC</t>
  </si>
  <si>
    <t>COMMUNITY CARE RX LLC</t>
  </si>
  <si>
    <t>DALTON HERZIG, INC.</t>
  </si>
  <si>
    <t>GOSNELL DRUGS INC.</t>
  </si>
  <si>
    <t>CLARKSDALE PHARMACY, LLC</t>
  </si>
  <si>
    <t>DAVIDSON DRUG, LLC</t>
  </si>
  <si>
    <t>ACHOR FAMILY PHARMACY, LLC</t>
  </si>
  <si>
    <t>GETWELL PHARMACY OF TENNESSEE, INC.</t>
  </si>
  <si>
    <t>SPRINGHILL FAMILY PHARMACY LLC</t>
  </si>
  <si>
    <t>MCKENNEY PHARMACY, LLC</t>
  </si>
  <si>
    <t>THE MEDICINE CABINET, LLC</t>
  </si>
  <si>
    <t>POLK PHARMACY MANAGEMENT, LLC</t>
  </si>
  <si>
    <t>ALLEN, TONYA</t>
  </si>
  <si>
    <t>ANDERSON, JERROD</t>
  </si>
  <si>
    <t>DAVIS, PAIGE</t>
  </si>
  <si>
    <t>RAMSEY, SARAH</t>
  </si>
  <si>
    <t>EDGAR, MIRANDA</t>
  </si>
  <si>
    <t>BORDELON, JEFFREY</t>
  </si>
  <si>
    <t>PUMPHREY, LAURA</t>
  </si>
  <si>
    <t>HARRISON, DIANNE</t>
  </si>
  <si>
    <t>ABUTINEH, MOHAMMAD</t>
  </si>
  <si>
    <t>ALEXANDER, ALICE</t>
  </si>
  <si>
    <t>MCKENZIE, SARAH</t>
  </si>
  <si>
    <t>OTTO, BONNIE</t>
  </si>
  <si>
    <t>POLLICH, KRISTEN</t>
  </si>
  <si>
    <t>ALLEN, BRITTANY</t>
  </si>
  <si>
    <t>MARTIN, BONITA</t>
  </si>
  <si>
    <t>HILL, JULIE</t>
  </si>
  <si>
    <t>GALLION, STACIA</t>
  </si>
  <si>
    <t>HAGEN, MICHELLE</t>
  </si>
  <si>
    <t>WANGUI, LINDA</t>
  </si>
  <si>
    <t>ALEXANDER, MONICA</t>
  </si>
  <si>
    <t>ALSTADT-JOHNSON, VICTORIA</t>
  </si>
  <si>
    <t>WHILLOCK, CHRISTY</t>
  </si>
  <si>
    <t>CRAWFORD, KATIE</t>
  </si>
  <si>
    <t>JOHNSON, WHITNEY</t>
  </si>
  <si>
    <t>WEISENBERG, BRIAN</t>
  </si>
  <si>
    <t>PATEL, NEAL</t>
  </si>
  <si>
    <t>SCHOOLEY, KIMBERLY</t>
  </si>
  <si>
    <t>DALTON, LISA</t>
  </si>
  <si>
    <t>ALLEN, DAMIAN</t>
  </si>
  <si>
    <t>CARTER, LEANNE</t>
  </si>
  <si>
    <t>MARLER, SHEILA</t>
  </si>
  <si>
    <t>BARTON, EMILY</t>
  </si>
  <si>
    <t>WINTERS, RICHARD</t>
  </si>
  <si>
    <t>SMITH, KYLIE</t>
  </si>
  <si>
    <t>POTHUGANTI, SAHITHI</t>
  </si>
  <si>
    <t>STEINES, LAURA</t>
  </si>
  <si>
    <t>LEACH, DEBORAH</t>
  </si>
  <si>
    <t>HARMON, JENNIFER</t>
  </si>
  <si>
    <t>BIRRER, MICHAEL</t>
  </si>
  <si>
    <t>STALLINGS, LAURA</t>
  </si>
  <si>
    <t>TANKERSLEY, SHAUNA</t>
  </si>
  <si>
    <t>HOPKINSON, CHRISTOPHER</t>
  </si>
  <si>
    <t>MASON, TONYA</t>
  </si>
  <si>
    <t>HOLOBAUGH, REBEKAH</t>
  </si>
  <si>
    <t>STUBBS, ROBERT</t>
  </si>
  <si>
    <t>BECK, JENNIFER</t>
  </si>
  <si>
    <t>MALLADI, SAI ARUNA SRI</t>
  </si>
  <si>
    <t>JONES, CELENA</t>
  </si>
  <si>
    <t>FERGUSON, EDWARD</t>
  </si>
  <si>
    <t>SCRIBNER, ANITA</t>
  </si>
  <si>
    <t>MCGUIRE, AARON</t>
  </si>
  <si>
    <t>FRANKLIN, KARLISA</t>
  </si>
  <si>
    <t>PATRICK, CARRISA</t>
  </si>
  <si>
    <t>LANE, CHARITY</t>
  </si>
  <si>
    <t>GIBSON, ERICA</t>
  </si>
  <si>
    <t>HURST, GLORIA</t>
  </si>
  <si>
    <t>BARHAM, TANIA</t>
  </si>
  <si>
    <t>WHITE, OTTYSHA</t>
  </si>
  <si>
    <t>HINES, KIMBERLY</t>
  </si>
  <si>
    <t>HEISSERER, JENNIFER</t>
  </si>
  <si>
    <t>CLARK, KRISTYN</t>
  </si>
  <si>
    <t>METZLER, MICHAEL</t>
  </si>
  <si>
    <t>EICKMEYER, SHARI</t>
  </si>
  <si>
    <t>HEADLEY, LANA</t>
  </si>
  <si>
    <t>YOUNG, STEPHANIE</t>
  </si>
  <si>
    <t>SHULTZ, LANCE</t>
  </si>
  <si>
    <t>NEASE, HILBERT</t>
  </si>
  <si>
    <t>DESOUZA, STEPHEN</t>
  </si>
  <si>
    <t>MARTINDALE, ASHLEY</t>
  </si>
  <si>
    <t>ADDISON, LAUREN</t>
  </si>
  <si>
    <t>BROWN, LAUREN</t>
  </si>
  <si>
    <t>BEALL, ALLYSSA</t>
  </si>
  <si>
    <t>CONKLIN, DONALD</t>
  </si>
  <si>
    <t>WHITAKER, AMANDA</t>
  </si>
  <si>
    <t>VU, PHU</t>
  </si>
  <si>
    <t>GALLOWAY, ANTHONY</t>
  </si>
  <si>
    <t>SUTTON, HANNAH</t>
  </si>
  <si>
    <t>ARNOLD, SHARON</t>
  </si>
  <si>
    <t>WICKER, DAVID</t>
  </si>
  <si>
    <t>INGRAM, DESHONDRA</t>
  </si>
  <si>
    <t>JACKSON, ELI</t>
  </si>
  <si>
    <t>PRATT, JUDY</t>
  </si>
  <si>
    <t>LAMBERT, KRISTYN</t>
  </si>
  <si>
    <t>SEAWRIGHT, MARY</t>
  </si>
  <si>
    <t>MCCUTCHEON, JOSEPH</t>
  </si>
  <si>
    <t>WHITTINGTON, CODY</t>
  </si>
  <si>
    <t>JENKINS, CASEY</t>
  </si>
  <si>
    <t>SHI, PETER</t>
  </si>
  <si>
    <t>FLETCHER, JORDAN</t>
  </si>
  <si>
    <t>GANNAMRAJ, KRISHNA</t>
  </si>
  <si>
    <t>ANDERSON, SHELLY</t>
  </si>
  <si>
    <t>MCNULTY, MEAGHAN</t>
  </si>
  <si>
    <t>SCHUMACHER, ALAN</t>
  </si>
  <si>
    <t>ARNOLD, PHILLIPPA</t>
  </si>
  <si>
    <t>SNEED, ESTEE</t>
  </si>
  <si>
    <t>HALYTSKYY, OLEKSANDR</t>
  </si>
  <si>
    <t>STRINGER, CANDACE</t>
  </si>
  <si>
    <t>BUSSO, ALICIA</t>
  </si>
  <si>
    <t>REDDICK, SHUNDRICKA</t>
  </si>
  <si>
    <t>BERRY, SHEALYN</t>
  </si>
  <si>
    <t>POPE, TAMMY</t>
  </si>
  <si>
    <t>TAYLOR, ARTHUR</t>
  </si>
  <si>
    <t>TYLER, ALEXANDER</t>
  </si>
  <si>
    <t>KAUR, NAVNEET</t>
  </si>
  <si>
    <t>WATSON, FANAE</t>
  </si>
  <si>
    <t>JOYNER, MICHELLE</t>
  </si>
  <si>
    <t>KAUFFMAN, TIFFANY</t>
  </si>
  <si>
    <t>MANNAN, HINA</t>
  </si>
  <si>
    <t>OBI, EMMANUEL</t>
  </si>
  <si>
    <t>MORETTA, LINDSEY</t>
  </si>
  <si>
    <t>WHITED, LAURA</t>
  </si>
  <si>
    <t>CLOIRD, ALECIA</t>
  </si>
  <si>
    <t>HOLLEY, LACY</t>
  </si>
  <si>
    <t>MELLOY, BRIAN</t>
  </si>
  <si>
    <t>MCPHERSON, MARGRETT</t>
  </si>
  <si>
    <t>RAGHAVAN, RHODORA</t>
  </si>
  <si>
    <t>MARTINEZ, JANELLE</t>
  </si>
  <si>
    <t>BURDIN, CHARRAE</t>
  </si>
  <si>
    <t>SCOTT, KASSANDRA</t>
  </si>
  <si>
    <t>HILTON, HANNAH</t>
  </si>
  <si>
    <t>ISAACS, JACQUELYN</t>
  </si>
  <si>
    <t>RICE, ALISON</t>
  </si>
  <si>
    <t>HANCOCK, KATLIN</t>
  </si>
  <si>
    <t>GRAY, REBECCA</t>
  </si>
  <si>
    <t>SHELNUTT, MARK</t>
  </si>
  <si>
    <t>BROWN, JESSICA</t>
  </si>
  <si>
    <t>EVANS, JAMIE</t>
  </si>
  <si>
    <t>HAJI, MADIHA</t>
  </si>
  <si>
    <t>HUBER, JENNIFER</t>
  </si>
  <si>
    <t>STUPPY, GERRI</t>
  </si>
  <si>
    <t>AUD, JAMIE</t>
  </si>
  <si>
    <t>PRESTON-WILLIAMS, FELECIA</t>
  </si>
  <si>
    <t>JAMPALA, VEMANA</t>
  </si>
  <si>
    <t>MASSEY, LINDSAY</t>
  </si>
  <si>
    <t>JOHNSON, AMBER</t>
  </si>
  <si>
    <t>BROWN, BERNICE</t>
  </si>
  <si>
    <t>KONDA, NICOLE</t>
  </si>
  <si>
    <t>PAMIREDDY, SAHITHI</t>
  </si>
  <si>
    <t>STOVER, JULIE</t>
  </si>
  <si>
    <t>OVERSTREET, HUNTER</t>
  </si>
  <si>
    <t>STAHLEY, CYNTHIA</t>
  </si>
  <si>
    <t>HASSAN, ATIF</t>
  </si>
  <si>
    <t>ACORD, AMBER</t>
  </si>
  <si>
    <t>LAMBERSON, EMMA</t>
  </si>
  <si>
    <t>BERNDT, MICHAELA</t>
  </si>
  <si>
    <t>PROWSE, DARA</t>
  </si>
  <si>
    <t>NEWMAN, MELANIE</t>
  </si>
  <si>
    <t>METZGER, KERSTIE</t>
  </si>
  <si>
    <t>ABBASI, DANISH</t>
  </si>
  <si>
    <t>GUIRAND, JEFFREY</t>
  </si>
  <si>
    <t>HAYES, MAGAN</t>
  </si>
  <si>
    <t>CARROLL, JAMES</t>
  </si>
  <si>
    <t>HOGUE, JOSEPH</t>
  </si>
  <si>
    <t>DOWDY, MADISON</t>
  </si>
  <si>
    <t>KESNER, REBECCA</t>
  </si>
  <si>
    <t>HIBBS, SCHASTA</t>
  </si>
  <si>
    <t>MURPHEY, MOLLY</t>
  </si>
  <si>
    <t>LOWMAN, DARLENE</t>
  </si>
  <si>
    <t>SIMS, MICHELLE</t>
  </si>
  <si>
    <t>WALTERS, SARAH</t>
  </si>
  <si>
    <t>SIMMONS, KARA</t>
  </si>
  <si>
    <t>STOKES, DENNIS</t>
  </si>
  <si>
    <t>ARNOLD, JAMES</t>
  </si>
  <si>
    <t>BAXENDALE, HANNAH</t>
  </si>
  <si>
    <t>NICHOLS, LINDSEY</t>
  </si>
  <si>
    <t>LACK, TIFFANY</t>
  </si>
  <si>
    <t>WEST, JAMIE</t>
  </si>
  <si>
    <t>JACOBS, BRENDA</t>
  </si>
  <si>
    <t>WATSON, THOMAS</t>
  </si>
  <si>
    <t>STOVALL, SAMANTHA</t>
  </si>
  <si>
    <t>PEASE, PATRICIA</t>
  </si>
  <si>
    <t>HUTSON, DAVID</t>
  </si>
  <si>
    <t>RAINBOLT, APRIL</t>
  </si>
  <si>
    <t>KIM, SAMANG</t>
  </si>
  <si>
    <t>ERWIN, CAROL</t>
  </si>
  <si>
    <t>CONES, SHAWN</t>
  </si>
  <si>
    <t>YOUNG, LADONNA</t>
  </si>
  <si>
    <t>SCANTLING, JAN</t>
  </si>
  <si>
    <t>NALLUR, SHIVA</t>
  </si>
  <si>
    <t>BOLAND, MEAGHAN</t>
  </si>
  <si>
    <t>WALKER, LINDSEY</t>
  </si>
  <si>
    <t>RUTHERFORD, JEREMIAH</t>
  </si>
  <si>
    <t>LESLIE, JEAN</t>
  </si>
  <si>
    <t>BILYEU, JANET</t>
  </si>
  <si>
    <t>MCMAHAN STEPP, LORI</t>
  </si>
  <si>
    <t>BICKERSTAFF, COURTNEY</t>
  </si>
  <si>
    <t>HAWES, AMANDA</t>
  </si>
  <si>
    <t>LARGENT, LAURA</t>
  </si>
  <si>
    <t>CALVILLO, ASHLEY</t>
  </si>
  <si>
    <t>HICKMON, CARRIE</t>
  </si>
  <si>
    <t>PFEIFFER, PAUL</t>
  </si>
  <si>
    <t>WHITE, TIFFANI</t>
  </si>
  <si>
    <t>MILLER, TIRSA</t>
  </si>
  <si>
    <t>SOUZA, SHANNAN</t>
  </si>
  <si>
    <t>GROSS, DJ</t>
  </si>
  <si>
    <t>STANE, STORMY</t>
  </si>
  <si>
    <t>SANCHEZ, REBEKAH</t>
  </si>
  <si>
    <t>TURNER, LINDSAY</t>
  </si>
  <si>
    <t>ARNONE, ADRIENNE</t>
  </si>
  <si>
    <t>LUNEAU, TABATHA</t>
  </si>
  <si>
    <t>DAIGLE, LEIGH</t>
  </si>
  <si>
    <t>ANDERSON, BRANDY</t>
  </si>
  <si>
    <t>AIELLO, DEBORAH</t>
  </si>
  <si>
    <t>YOUNG, LEAH</t>
  </si>
  <si>
    <t>YEAGER, JAMES</t>
  </si>
  <si>
    <t>GOZA, WILLIAM</t>
  </si>
  <si>
    <t>RODGERS, MELISSA</t>
  </si>
  <si>
    <t>LOUTON, DILLON</t>
  </si>
  <si>
    <t>COOPER, AMY</t>
  </si>
  <si>
    <t>ROBINS, VIRGINIA</t>
  </si>
  <si>
    <t>MARTIN, TRACY</t>
  </si>
  <si>
    <t>FREEMAN, KAYLA</t>
  </si>
  <si>
    <t>BASS, TIMOTHY</t>
  </si>
  <si>
    <t>XAYAPHETH, ANITA</t>
  </si>
  <si>
    <t>WRIGHT, KENT</t>
  </si>
  <si>
    <t>TURNER, NICOLE</t>
  </si>
  <si>
    <t>HEETER, LINDSEY</t>
  </si>
  <si>
    <t>ALQAM, BILAL</t>
  </si>
  <si>
    <t>MISSILDINE, VIRGINIA</t>
  </si>
  <si>
    <t>KURTZWEIL, ALEXANDRA</t>
  </si>
  <si>
    <t>BONO, MICHELINA</t>
  </si>
  <si>
    <t>LUDWIG, KELLY</t>
  </si>
  <si>
    <t>MCCORMACK, CARL</t>
  </si>
  <si>
    <t>WRIGHT-BOWERS, DEBRA</t>
  </si>
  <si>
    <t>MILLER, WILLIAM</t>
  </si>
  <si>
    <t>NGUYEN, NAM</t>
  </si>
  <si>
    <t>RESCHKE, STACY</t>
  </si>
  <si>
    <t>KRAMER, KEVIN</t>
  </si>
  <si>
    <t>MCKINNEY, COURTNEY</t>
  </si>
  <si>
    <t>RODRIGUEZ, LYNN</t>
  </si>
  <si>
    <t>CALLOWAY-LAWSON, TRACIE</t>
  </si>
  <si>
    <t>STOVALL, LLOYDETTA</t>
  </si>
  <si>
    <t>SINGH, SHALINEE</t>
  </si>
  <si>
    <t>MORRISON, LYNN</t>
  </si>
  <si>
    <t>KEYSTONE MEMPHIS LLC</t>
  </si>
  <si>
    <t>ZAK, VERONICA</t>
  </si>
  <si>
    <t>PEAIRSON, STEPHEN</t>
  </si>
  <si>
    <t>MORTON, BONNIE</t>
  </si>
  <si>
    <t>BELDIN-KORTER, LINDA</t>
  </si>
  <si>
    <t>HOOK, KAY</t>
  </si>
  <si>
    <t>BAYLES, SAMUEL</t>
  </si>
  <si>
    <t>HAWKINS, SUMMER</t>
  </si>
  <si>
    <t>HARMAN, JENNIFER</t>
  </si>
  <si>
    <t>OSLICA, AUSTIN</t>
  </si>
  <si>
    <t>BLONSKY, GARY</t>
  </si>
  <si>
    <t>PATCHIN, REBEKAH</t>
  </si>
  <si>
    <t>CERVANTES, AMBER</t>
  </si>
  <si>
    <t>PELT, JOE</t>
  </si>
  <si>
    <t>FINCH, JENIFER</t>
  </si>
  <si>
    <t>POSEY, JULIE</t>
  </si>
  <si>
    <t>DOUGLAS, AMANDA</t>
  </si>
  <si>
    <t>COOPER-PARKER, KATHARINE</t>
  </si>
  <si>
    <t>CARROLL, ERIN</t>
  </si>
  <si>
    <t>FIELDER, BRIDGETTE</t>
  </si>
  <si>
    <t>SCHULZ, MARY</t>
  </si>
  <si>
    <t>LARA, KATHRYN</t>
  </si>
  <si>
    <t>WYLIE, PAUL</t>
  </si>
  <si>
    <t>HAGINS, TONI</t>
  </si>
  <si>
    <t>CAMPBELL, SARAH</t>
  </si>
  <si>
    <t>TAYLOR, HAROLD</t>
  </si>
  <si>
    <t>BROWN, ARIEL</t>
  </si>
  <si>
    <t>BASKINS, DEBORAH</t>
  </si>
  <si>
    <t>ADKINS, SAMUEL</t>
  </si>
  <si>
    <t>JAMES, KIMBERLY</t>
  </si>
  <si>
    <t>WHITE, DERRICK</t>
  </si>
  <si>
    <t>GIBBONS, SARAH</t>
  </si>
  <si>
    <t>HANSEN, KELSEY</t>
  </si>
  <si>
    <t>DAWSON, LATASHA</t>
  </si>
  <si>
    <t>SCHWESINGER, COLLEEN</t>
  </si>
  <si>
    <t>GILL, MIKA</t>
  </si>
  <si>
    <t>BREWER, CAMEISHA</t>
  </si>
  <si>
    <t>STURGEON, ERICA</t>
  </si>
  <si>
    <t>STORY, LAURA</t>
  </si>
  <si>
    <t>WELCH-BEARDSLEY, JASMINE</t>
  </si>
  <si>
    <t>COTTINGHAM, APRYLL</t>
  </si>
  <si>
    <t>SUTTLE, WENDY</t>
  </si>
  <si>
    <t>WOODS, JACK</t>
  </si>
  <si>
    <t>SULLIVAN, NATALIA</t>
  </si>
  <si>
    <t>YOUNG, STACEY</t>
  </si>
  <si>
    <t>BIGGS, TAMMY</t>
  </si>
  <si>
    <t>ANDERSON, KALAYAH</t>
  </si>
  <si>
    <t>CHILDERS, HILARY</t>
  </si>
  <si>
    <t>BANNERT, RACHEL</t>
  </si>
  <si>
    <t>BROWN, TANNER</t>
  </si>
  <si>
    <t>EGLI, KENNETH</t>
  </si>
  <si>
    <t>TIGERT, MANDY</t>
  </si>
  <si>
    <t>MANSUR, JEFFREY</t>
  </si>
  <si>
    <t>MARSCHNER, AMY</t>
  </si>
  <si>
    <t>SIMPSON, DEVON</t>
  </si>
  <si>
    <t>SWIRE, DAVID</t>
  </si>
  <si>
    <t>JOHNSTON, CHRYSTAL</t>
  </si>
  <si>
    <t>BELEW, MEGAN</t>
  </si>
  <si>
    <t>WEBB, TRAVIS</t>
  </si>
  <si>
    <t>HOWELL, MATTHEW</t>
  </si>
  <si>
    <t>KYLE, KATELYN</t>
  </si>
  <si>
    <t>WALLS, ALANA</t>
  </si>
  <si>
    <t>WEST, CATHLEEN</t>
  </si>
  <si>
    <t>COTTON, CRYSTAL</t>
  </si>
  <si>
    <t>PHILLIPS, BONNIE</t>
  </si>
  <si>
    <t>LUEBBEN, JAMES</t>
  </si>
  <si>
    <t>WELCH, ALICE</t>
  </si>
  <si>
    <t>COX, ASHLEY</t>
  </si>
  <si>
    <t>BONILLA, DAISY</t>
  </si>
  <si>
    <t>DAVIS, ASHTON</t>
  </si>
  <si>
    <t>MATINCHEK, HENRY</t>
  </si>
  <si>
    <t>MCGUIRE, CANDOUS</t>
  </si>
  <si>
    <t>ALLENSWORTH, MICHAEL</t>
  </si>
  <si>
    <t>NABORS, KATELYN</t>
  </si>
  <si>
    <t>NGUYEN, DUONG</t>
  </si>
  <si>
    <t>BENSON, MARCUS</t>
  </si>
  <si>
    <t>RESLER, ANNE</t>
  </si>
  <si>
    <t>REDDIN, MOLLIE</t>
  </si>
  <si>
    <t>ELEDGE, KELLY</t>
  </si>
  <si>
    <t>SIMMONS, LAURA</t>
  </si>
  <si>
    <t>BOYD, CATHY</t>
  </si>
  <si>
    <t>HAND, LORA</t>
  </si>
  <si>
    <t>DYE, ROBYN</t>
  </si>
  <si>
    <t>TANNER, LORETTA</t>
  </si>
  <si>
    <t>BEGUESSE-RICHARDSON, PEARL</t>
  </si>
  <si>
    <t>KENDRICK, TERESA</t>
  </si>
  <si>
    <t>EVANS, MANDER</t>
  </si>
  <si>
    <t>BENNETT-KINNEY, CHARITY</t>
  </si>
  <si>
    <t>BOLING, SUSAN</t>
  </si>
  <si>
    <t>FLEMING, ELIZABETH</t>
  </si>
  <si>
    <t>FORTENBERRY, TAYLOR</t>
  </si>
  <si>
    <t>ELMGREN, JORDAN</t>
  </si>
  <si>
    <t>MATHEWSON, JUDITH</t>
  </si>
  <si>
    <t>BUSHONG, JANICE</t>
  </si>
  <si>
    <t>LARNER, WILLIAM</t>
  </si>
  <si>
    <t>KABASIA-SELLO, CATHERINE</t>
  </si>
  <si>
    <t>HALE, BRITTANY</t>
  </si>
  <si>
    <t>GUNSELMAN, RACHEL</t>
  </si>
  <si>
    <t>LAMBERT, KAREN</t>
  </si>
  <si>
    <t>ROBINSON, CATRECE</t>
  </si>
  <si>
    <t>PARRISH, AMANDA</t>
  </si>
  <si>
    <t>WILSON, ERIK</t>
  </si>
  <si>
    <t>COLCLASURE, HOLLY</t>
  </si>
  <si>
    <t>FLANERY, SUSIE</t>
  </si>
  <si>
    <t>GOLD, ASHLEY</t>
  </si>
  <si>
    <t>HINTON, DIANE</t>
  </si>
  <si>
    <t>THOMASON, RANDY</t>
  </si>
  <si>
    <t>DEROSE, MICHELLE</t>
  </si>
  <si>
    <t>SNIPES, KRISTY</t>
  </si>
  <si>
    <t>MORRIS, VAN</t>
  </si>
  <si>
    <t>ELLEDGE, CASSANDRA</t>
  </si>
  <si>
    <t>HALL, CHRISTINA</t>
  </si>
  <si>
    <t>MCBAIN, SACHA</t>
  </si>
  <si>
    <t>SAMMONS, CAITLIN</t>
  </si>
  <si>
    <t>HEINTZ, LINNEA</t>
  </si>
  <si>
    <t>AUTREY, TONI</t>
  </si>
  <si>
    <t>GULLEY, JASMINE</t>
  </si>
  <si>
    <t>OGLESBY, JULIANN</t>
  </si>
  <si>
    <t>MURRAY, TESA</t>
  </si>
  <si>
    <t>COOPER, LYNDSEE</t>
  </si>
  <si>
    <t>LASER, AMY</t>
  </si>
  <si>
    <t>FULLER, MARCIA</t>
  </si>
  <si>
    <t>HAMLIN, NANCY</t>
  </si>
  <si>
    <t>MCPHERSON, TIFFANY</t>
  </si>
  <si>
    <t>DODDS, SYDNEY</t>
  </si>
  <si>
    <t>FUNKHOUSER, REAGAN</t>
  </si>
  <si>
    <t>SNIDER, ANNETTE</t>
  </si>
  <si>
    <t>RUSSELL, SCOTTY</t>
  </si>
  <si>
    <t>JOHNSON, SHAMALON</t>
  </si>
  <si>
    <t>SKINNER, JAMES</t>
  </si>
  <si>
    <t>TERRELL, CATHERINE</t>
  </si>
  <si>
    <t>KELLY, CHRISTIE</t>
  </si>
  <si>
    <t>KLOKPAH, BUERNORKIE</t>
  </si>
  <si>
    <t>TROWER, EMILY</t>
  </si>
  <si>
    <t>HOWARD, BRIAN</t>
  </si>
  <si>
    <t>DUREN, CLIFF</t>
  </si>
  <si>
    <t>NELLORE, WHITNEY</t>
  </si>
  <si>
    <t>GRIFFEN, BRENNA</t>
  </si>
  <si>
    <t>WHITCHER, JUDITH</t>
  </si>
  <si>
    <t>SMITH, BROOK</t>
  </si>
  <si>
    <t>GOINGS, LEXUS</t>
  </si>
  <si>
    <t>NICHOLS, MELISSA</t>
  </si>
  <si>
    <t>VAUGHT, KIMBERLY</t>
  </si>
  <si>
    <t>WALKER, KAYLEY</t>
  </si>
  <si>
    <t>JAMES, SUZANNE</t>
  </si>
  <si>
    <t>PRICE, HILLARY</t>
  </si>
  <si>
    <t>RODRIGUEZ, DENISE</t>
  </si>
  <si>
    <t>COLE, JANNIE</t>
  </si>
  <si>
    <t>ROBLES, MELANI</t>
  </si>
  <si>
    <t>MARLER-RUSH, KAY</t>
  </si>
  <si>
    <t>BOWERS, NAOMI</t>
  </si>
  <si>
    <t>PEARSON, WHITNEY</t>
  </si>
  <si>
    <t>KIRKES, ANNA</t>
  </si>
  <si>
    <t>DUNLAP, ANGEL</t>
  </si>
  <si>
    <t>WEST, LORI</t>
  </si>
  <si>
    <t>BERRY, TIFFANY</t>
  </si>
  <si>
    <t>MAINO, HEATHER</t>
  </si>
  <si>
    <t>NELSON, AMANDA</t>
  </si>
  <si>
    <t>YARBERRY, BRANDI</t>
  </si>
  <si>
    <t>ALEXANDER, PRISCILLA</t>
  </si>
  <si>
    <t>SUNDERMANN, RICHARD</t>
  </si>
  <si>
    <t>SMITH, KRISTEN</t>
  </si>
  <si>
    <t>SEIDENSTRICKER, MALLORY</t>
  </si>
  <si>
    <t>GILLIS, JENNIFER</t>
  </si>
  <si>
    <t>MIDDLETON, JENNIFER</t>
  </si>
  <si>
    <t>HOOPER, MARY</t>
  </si>
  <si>
    <t>GILCHRIST, KATHERINE</t>
  </si>
  <si>
    <t>BOBO, JEANNE</t>
  </si>
  <si>
    <t>BOCKELMAN, MALLORY</t>
  </si>
  <si>
    <t>GOWER, MAEGAN</t>
  </si>
  <si>
    <t>ENGLISH, TONY</t>
  </si>
  <si>
    <t>HARRIS, REGAN</t>
  </si>
  <si>
    <t>MIX, ABBY</t>
  </si>
  <si>
    <t>PETRISHEN, CRISTY</t>
  </si>
  <si>
    <t>BOWLING, MARIALISON</t>
  </si>
  <si>
    <t>MASTERS, RACHEL</t>
  </si>
  <si>
    <t>SANFORD, KELLI</t>
  </si>
  <si>
    <t>DUTTON, KARYEE</t>
  </si>
  <si>
    <t>HALL, DILLON</t>
  </si>
  <si>
    <t>VELASQUEZ, STEPHEN</t>
  </si>
  <si>
    <t>MILLER, MARIAN</t>
  </si>
  <si>
    <t>BUCOLO, ANTHONY</t>
  </si>
  <si>
    <t>DICKERSON, GREGG</t>
  </si>
  <si>
    <t>TURNER, KELI</t>
  </si>
  <si>
    <t>LTC OF JACKSONVILLE, LLC</t>
  </si>
  <si>
    <t>PRAIRIE SNF OPERATIONS LLC</t>
  </si>
  <si>
    <t>CAMDEN SNF OPERATIONS LLC</t>
  </si>
  <si>
    <t>WEST MEMPHIS WELLNESS LLC</t>
  </si>
  <si>
    <t>SHARP SNF OPERATIONS LLC</t>
  </si>
  <si>
    <t>GRANT SNF OPERATIONS LLC</t>
  </si>
  <si>
    <t>MALVERN SNF OPERATIONS LLC</t>
  </si>
  <si>
    <t>NASHVILLE WELLNESS LLC</t>
  </si>
  <si>
    <t>LTC OF ROGERS, LLC</t>
  </si>
  <si>
    <t>FAULKNER SNF OPERATIONS LLC</t>
  </si>
  <si>
    <t>JONESBORO WELLNESS LLC</t>
  </si>
  <si>
    <t>LTC OF CONWAY, LLC</t>
  </si>
  <si>
    <t>SOMERSET SENIOR LIVING AT CROSSETT, INC.</t>
  </si>
  <si>
    <t>BATESVILLE HEALTHCARE LLC</t>
  </si>
  <si>
    <t>LTC OF NEWPORT, LLC</t>
  </si>
  <si>
    <t>SEARCY HEALTHCARE LLC</t>
  </si>
  <si>
    <t>LTC OF BERRYVILLE, LLC</t>
  </si>
  <si>
    <t>LTC OF VAN BUREN, LLC</t>
  </si>
  <si>
    <t>BAYSHORE, LLC</t>
  </si>
  <si>
    <t>RANDOLPH SNF OPERATIONS LLC</t>
  </si>
  <si>
    <t>PINES SNF OPERATIONS LLC</t>
  </si>
  <si>
    <t>LTC OF EUREKA SPRINGS, LLC</t>
  </si>
  <si>
    <t>CALANDRO, VITO</t>
  </si>
  <si>
    <t>CHATRATHI, SRIDHAR</t>
  </si>
  <si>
    <t>NALLURI, NIKHIL</t>
  </si>
  <si>
    <t>REHMAN, FAIZ</t>
  </si>
  <si>
    <t>ALAREF, SUBHI</t>
  </si>
  <si>
    <t>FOLK, BENJAMIN</t>
  </si>
  <si>
    <t>BALDASARE, MARIA</t>
  </si>
  <si>
    <t>PELTON, JASON</t>
  </si>
  <si>
    <t>ZENO, VIRGINIA</t>
  </si>
  <si>
    <t>CISNEROS, REBECCA</t>
  </si>
  <si>
    <t>PATTERSON, KIMBERLE</t>
  </si>
  <si>
    <t>ALBINO, DENNIS</t>
  </si>
  <si>
    <t>TRIMBLE, LAUREN</t>
  </si>
  <si>
    <t>BRUMMITT, KENYETTA</t>
  </si>
  <si>
    <t>SHUMAN, DEBORAH</t>
  </si>
  <si>
    <t>PEARCE, LARRY</t>
  </si>
  <si>
    <t>SHERANI, KHALID</t>
  </si>
  <si>
    <t>BHAT, NAMITHA</t>
  </si>
  <si>
    <t>DMC-MEMPHIS, LLC</t>
  </si>
  <si>
    <t>EUREKA SPINGS HOSPITAL LLC</t>
  </si>
  <si>
    <t>ENCOMPASS HEALTH REHABILITATION HOSPITAL OF TEXARKANA, INC.</t>
  </si>
  <si>
    <t>PATWARDHAN, ANJALI</t>
  </si>
  <si>
    <t>WESTFALL, PATRICIA</t>
  </si>
  <si>
    <t>REED, BEATRICE</t>
  </si>
  <si>
    <t>LADD, DALE</t>
  </si>
  <si>
    <t>KING, LAWRENCE</t>
  </si>
  <si>
    <t>KAY, LAURA</t>
  </si>
  <si>
    <t>LIGON, ELIZABETH</t>
  </si>
  <si>
    <t>RITTER, JAMES</t>
  </si>
  <si>
    <t>LEVINE, ROBERT</t>
  </si>
  <si>
    <t>JENKINS, THOMAS</t>
  </si>
  <si>
    <t>DOUGLAS, MARION</t>
  </si>
  <si>
    <t>THIBODEAUX, JASON</t>
  </si>
  <si>
    <t>PUTNAM, LOGAN</t>
  </si>
  <si>
    <t>LOFTIN, CHRISTOPHER</t>
  </si>
  <si>
    <t>BELL, AMY</t>
  </si>
  <si>
    <t>CLARK, SARAH</t>
  </si>
  <si>
    <t>MCCORMICK, ALICE</t>
  </si>
  <si>
    <t>BODENNER, DANA</t>
  </si>
  <si>
    <t>SIRIA, REBECCA</t>
  </si>
  <si>
    <t>FRANKLIN, JONATHAN</t>
  </si>
  <si>
    <t>NOH, PAULA</t>
  </si>
  <si>
    <t>KING, DEBORAH</t>
  </si>
  <si>
    <t>GAMMENTHALER, DOUGLAS</t>
  </si>
  <si>
    <t>DILLON, CHARLES</t>
  </si>
  <si>
    <t>HUNT, COLLIN</t>
  </si>
  <si>
    <t>PERSENAIRE, MITCHELL</t>
  </si>
  <si>
    <t>AKRIDGE, CATHERINE</t>
  </si>
  <si>
    <t>FULTON, MEGAN</t>
  </si>
  <si>
    <t>BAUMANN, ANDREA</t>
  </si>
  <si>
    <t>BOLDING, SCOTTY</t>
  </si>
  <si>
    <t>HIEGERT, KATHRYN</t>
  </si>
  <si>
    <t>LEWIS, PAUL</t>
  </si>
  <si>
    <t>ANDERSON, KURT</t>
  </si>
  <si>
    <t>HASTINGS, MARY</t>
  </si>
  <si>
    <t>DRUG STORE, INC</t>
  </si>
  <si>
    <t>REDFIELD PHARMACY MANGEMENT LLC</t>
  </si>
  <si>
    <t>WEST SIDE PHARMACY INC.</t>
  </si>
  <si>
    <t>STERLING HEALTHCARE SERVICES, LLC</t>
  </si>
  <si>
    <t>PHARMACY BARN</t>
  </si>
  <si>
    <t>CAEVERETT, INC</t>
  </si>
  <si>
    <t>MOSCOW GROUP LLC</t>
  </si>
  <si>
    <t>PIGGOTT PHARMACY LLC</t>
  </si>
  <si>
    <t>MICHAEL BAKER PHARMACY, INC.</t>
  </si>
  <si>
    <t>CAEB INVESTMENTS INC.</t>
  </si>
  <si>
    <t>CCMT, LLC</t>
  </si>
  <si>
    <t>LAKESIDE PHARMACY INC.</t>
  </si>
  <si>
    <t>Action</t>
  </si>
  <si>
    <t>CountRequesting</t>
  </si>
  <si>
    <t>CountNewAction</t>
  </si>
  <si>
    <t>CountAffirm</t>
  </si>
  <si>
    <t>CountObject</t>
  </si>
  <si>
    <t>CountContradictory</t>
  </si>
  <si>
    <t>Feedback Reason</t>
  </si>
  <si>
    <t>Agree Reason</t>
  </si>
  <si>
    <t>Object Reason</t>
  </si>
  <si>
    <t>Count for Action</t>
  </si>
  <si>
    <t>Accept Action?</t>
  </si>
  <si>
    <t>Reason behind AID disposition</t>
  </si>
  <si>
    <t>Add</t>
  </si>
  <si>
    <t>Y</t>
  </si>
  <si>
    <t>Remove</t>
  </si>
  <si>
    <t>N</t>
  </si>
  <si>
    <t>Retired</t>
  </si>
  <si>
    <r>
      <t xml:space="preserve">(Note: This sheet has been provided for </t>
    </r>
    <r>
      <rPr>
        <b/>
        <i/>
        <sz val="14"/>
        <color theme="1"/>
        <rFont val="Calibri"/>
        <family val="2"/>
        <scheme val="minor"/>
      </rPr>
      <t>informational purposes</t>
    </r>
    <r>
      <rPr>
        <b/>
        <sz val="14"/>
        <color theme="1"/>
        <rFont val="Calibri"/>
        <family val="2"/>
        <scheme val="minor"/>
      </rPr>
      <t xml:space="preserve"> only. The </t>
    </r>
    <r>
      <rPr>
        <b/>
        <sz val="14"/>
        <color theme="5"/>
        <rFont val="Calibri"/>
        <family val="2"/>
        <scheme val="minor"/>
      </rPr>
      <t>ORANGE</t>
    </r>
    <r>
      <rPr>
        <b/>
        <sz val="14"/>
        <color theme="9"/>
        <rFont val="Calibri"/>
        <family val="2"/>
        <scheme val="minor"/>
      </rPr>
      <t xml:space="preserve"> </t>
    </r>
    <r>
      <rPr>
        <b/>
        <sz val="14"/>
        <rFont val="Calibri"/>
        <family val="2"/>
        <scheme val="minor"/>
      </rPr>
      <t>columns show AID's disposition processing for PTNP change re</t>
    </r>
    <r>
      <rPr>
        <b/>
        <sz val="14"/>
        <color theme="1"/>
        <rFont val="Calibri"/>
        <family val="2"/>
        <scheme val="minor"/>
      </rPr>
      <t>quests during the last round.)</t>
    </r>
  </si>
  <si>
    <t>FORRESTER, AARON</t>
  </si>
  <si>
    <t>HARVISON, MATTHEW</t>
  </si>
  <si>
    <t>CAMPBELL, BRANDI</t>
  </si>
  <si>
    <t>DORMAN, COREY</t>
  </si>
  <si>
    <t>MADSEN, KAREN</t>
  </si>
  <si>
    <t>MYERS, TUGI</t>
  </si>
  <si>
    <t>COTTON, MCKENZIE</t>
  </si>
  <si>
    <t>BURNS, ELIZABETH</t>
  </si>
  <si>
    <t>SWANSON, DONIELLE</t>
  </si>
  <si>
    <t>JONES, CAMERON</t>
  </si>
  <si>
    <t>HARANATH, SAI</t>
  </si>
  <si>
    <t>NORTON, MITCHEL</t>
  </si>
  <si>
    <t>BARRADA, TERRI</t>
  </si>
  <si>
    <t>TIRUMANISETTI, PAVANA NAGA</t>
  </si>
  <si>
    <t>ALBERS, MEGAN</t>
  </si>
  <si>
    <t>GANN, MICHAEL</t>
  </si>
  <si>
    <t>TRAN, TESSA</t>
  </si>
  <si>
    <t>NTUI-AYUK, TECLAIRE</t>
  </si>
  <si>
    <t>LE, KIMBERLY</t>
  </si>
  <si>
    <t>REEVES, LAUREN</t>
  </si>
  <si>
    <t>SHADDY, KASILYNN</t>
  </si>
  <si>
    <t>SHEFFIELD, LAUREN</t>
  </si>
  <si>
    <t>JORDAN, ERICA</t>
  </si>
  <si>
    <t>KENDALL, TARA</t>
  </si>
  <si>
    <t>SHACKELFORD, BARBARA</t>
  </si>
  <si>
    <t>PHILLIPS, ROBIN</t>
  </si>
  <si>
    <t>KHAMISI ASL, ZHILA</t>
  </si>
  <si>
    <t>PULIDO, BERNARD JOSEPH</t>
  </si>
  <si>
    <t>THOMAS, RHAGEN</t>
  </si>
  <si>
    <t>BRADLEY, BOBBIE</t>
  </si>
  <si>
    <t>BONDHUS, DALLAS</t>
  </si>
  <si>
    <t>AKERS, BRITTANY</t>
  </si>
  <si>
    <t>KNOX, ALISON</t>
  </si>
  <si>
    <t>O'LEARY, BRIDGET</t>
  </si>
  <si>
    <t>VEREEN, KRISTEN</t>
  </si>
  <si>
    <t>LOOPER, DESIREE</t>
  </si>
  <si>
    <t>CARLLEE, SHEENA</t>
  </si>
  <si>
    <t>RUTHERFORD, HAILEE</t>
  </si>
  <si>
    <t>CONRAD-RENDON, JENNIFER</t>
  </si>
  <si>
    <t>TEAGUE, SARAH</t>
  </si>
  <si>
    <t>KENNEDY, BRIAN</t>
  </si>
  <si>
    <t>GRAVES, JOSEPH</t>
  </si>
  <si>
    <t>SHANEK, BRITTNEY</t>
  </si>
  <si>
    <t>BRADLEY, LAWANA</t>
  </si>
  <si>
    <t>MOONEY, WANDA</t>
  </si>
  <si>
    <t>SCEARS, MEGHAN</t>
  </si>
  <si>
    <t>CARMICAL, KATELYN</t>
  </si>
  <si>
    <t>BLAGG, JENNY</t>
  </si>
  <si>
    <t>BEARD, RANDI</t>
  </si>
  <si>
    <t>PALADINO, ROBERT</t>
  </si>
  <si>
    <t>UMSTEAD, NICOLE</t>
  </si>
  <si>
    <t>BOYLES, LAURA</t>
  </si>
  <si>
    <t>WEATHERFORD, LESLIE</t>
  </si>
  <si>
    <t>HATESOHL, STANLEY</t>
  </si>
  <si>
    <t>BROCKMAN, TYLER</t>
  </si>
  <si>
    <t>JONES, MEAGAN</t>
  </si>
  <si>
    <t>LEWIS, BRITTANY</t>
  </si>
  <si>
    <t>DONOVAN, KATIE</t>
  </si>
  <si>
    <t>MCBRIDE, LORI</t>
  </si>
  <si>
    <t>ARSHAD, AMSA</t>
  </si>
  <si>
    <t>PHINISEY, VANITA</t>
  </si>
  <si>
    <t>DIXON, BLAKE</t>
  </si>
  <si>
    <t>JONES, CLARA</t>
  </si>
  <si>
    <t>WILKERSON, SARA</t>
  </si>
  <si>
    <t>MORRIS, GINGER</t>
  </si>
  <si>
    <t>EVELD, HANNAH</t>
  </si>
  <si>
    <t>GLANDER, TAWNI</t>
  </si>
  <si>
    <t>BATSON, KATHERINE</t>
  </si>
  <si>
    <t>MINNIEAR-CORRONS, MEGAN</t>
  </si>
  <si>
    <t>THORNE, SANDRA</t>
  </si>
  <si>
    <t>COLLADO POLANCO, ANITSIRA</t>
  </si>
  <si>
    <t>DROLSHAGEN, ERIC</t>
  </si>
  <si>
    <t>PECKAT, WILLIAM</t>
  </si>
  <si>
    <t>SONGER, LACEY</t>
  </si>
  <si>
    <t>STAPP, MICHELLE</t>
  </si>
  <si>
    <t>ZIRBEL, CEBRINA</t>
  </si>
  <si>
    <t>PRICE, KRISTI</t>
  </si>
  <si>
    <t>LENSING, MOLLY</t>
  </si>
  <si>
    <t>HIGHTOWER, ALISHA</t>
  </si>
  <si>
    <t>HOLLIS, VICTORIA</t>
  </si>
  <si>
    <t>WILLIAMSON, KARI</t>
  </si>
  <si>
    <t>HOOVER, KALLIE</t>
  </si>
  <si>
    <t>NWAIWU, OBIOMA</t>
  </si>
  <si>
    <t>DUNCAN, ASHLEY</t>
  </si>
  <si>
    <t>NORRIS, AMBER</t>
  </si>
  <si>
    <t>BARMEIER, CEARA</t>
  </si>
  <si>
    <t>BILLINGSLEY, AMANDA</t>
  </si>
  <si>
    <t>ESKEW, CHARITY</t>
  </si>
  <si>
    <t>DRAKE-ROWE, MELISSA</t>
  </si>
  <si>
    <t>SMITH, JACQUES</t>
  </si>
  <si>
    <t>DAVIDSON, DAVID</t>
  </si>
  <si>
    <t>REED, REDA</t>
  </si>
  <si>
    <t>ENYERIBE, CHIOMA</t>
  </si>
  <si>
    <t>KLINDWORTH, EMORY</t>
  </si>
  <si>
    <t>REYNOLDS, MIKI</t>
  </si>
  <si>
    <t>KEENER, KAYLEE</t>
  </si>
  <si>
    <t>WUST, CHRISTY</t>
  </si>
  <si>
    <t>JONES, BRANDI</t>
  </si>
  <si>
    <t>HORN, MORGAN</t>
  </si>
  <si>
    <t>POTTER, AMANDA</t>
  </si>
  <si>
    <t>POOL, BILLIE</t>
  </si>
  <si>
    <t>PRATT, LESIA</t>
  </si>
  <si>
    <t>CARLTON, APRIL</t>
  </si>
  <si>
    <t>JORDAN, KATHERINE</t>
  </si>
  <si>
    <t>SWEENEY, ASHLEY</t>
  </si>
  <si>
    <t>MCCANN, MELISSA</t>
  </si>
  <si>
    <t>MARTISEK, BRANDY</t>
  </si>
  <si>
    <t>TALLENT, ASHLEY</t>
  </si>
  <si>
    <t>MOYO-PETERS, NOMATHAMSANQA</t>
  </si>
  <si>
    <t>HORTON-BERTRAND, JULIA</t>
  </si>
  <si>
    <t>HASTINGS, JACLYN</t>
  </si>
  <si>
    <t>BECK, PAIGE</t>
  </si>
  <si>
    <t>SULLINS, PATRICK</t>
  </si>
  <si>
    <t>BELL, MELISSA</t>
  </si>
  <si>
    <t>FRIEDLY, ERIK</t>
  </si>
  <si>
    <t>GIBSON-OLIVER, LAUREN</t>
  </si>
  <si>
    <t>STUCK, SUSAN</t>
  </si>
  <si>
    <t>WILBURN, HANNAH</t>
  </si>
  <si>
    <t>SCHERM, OLIVIA</t>
  </si>
  <si>
    <t>HENDRIX-RAYFIELD, GLENDA</t>
  </si>
  <si>
    <t>ALEXANDER, KELVINNA</t>
  </si>
  <si>
    <t>ASHLEY, JENNIFER</t>
  </si>
  <si>
    <t>HOLT, DAVID</t>
  </si>
  <si>
    <t>GUTHREY, CALEB</t>
  </si>
  <si>
    <t>PATTERSON, BRADLEY</t>
  </si>
  <si>
    <t>WEBB, KATIE</t>
  </si>
  <si>
    <t>PEARCE, REBECCA</t>
  </si>
  <si>
    <t>MATTISON, ADAM</t>
  </si>
  <si>
    <t>VINCENT, MICHELLE</t>
  </si>
  <si>
    <t>BROWN, JACQUELINE</t>
  </si>
  <si>
    <t>DEPRIEST, CHRISTINE</t>
  </si>
  <si>
    <t>STVARTAK, AMY</t>
  </si>
  <si>
    <t>BYNUM, ANGEL</t>
  </si>
  <si>
    <t>HATFIELD, KEELY</t>
  </si>
  <si>
    <t>SATTERFIELD, DANIEL</t>
  </si>
  <si>
    <t>ROARK, CARLY</t>
  </si>
  <si>
    <t>SMITH, LAURA</t>
  </si>
  <si>
    <t>DEPUTY, LOREN</t>
  </si>
  <si>
    <t>STEELE, RYLAND</t>
  </si>
  <si>
    <t>HORN, KACEY</t>
  </si>
  <si>
    <t>BROWN, MAGGIE</t>
  </si>
  <si>
    <t>BECKETT, EMILY</t>
  </si>
  <si>
    <t>SEAY, MIKA</t>
  </si>
  <si>
    <t>FEREBEE, ELIZABETH</t>
  </si>
  <si>
    <t>ELLIS, ANJULI</t>
  </si>
  <si>
    <t>MARRIOTT, LAURICA</t>
  </si>
  <si>
    <t>ASBURY, ALICIA</t>
  </si>
  <si>
    <t>INCURA, INC.</t>
  </si>
  <si>
    <t>EAGLECREST RECOVERY LLC</t>
  </si>
  <si>
    <t>FREEDOM BEHAVIORAL HOSPITAL OF CENTRAL ARKANSAS LLC</t>
  </si>
  <si>
    <t>RECOVERY CENTERS OF ARKANSAS, INC.</t>
  </si>
  <si>
    <t>TANKERSLEY, KATIE</t>
  </si>
  <si>
    <t>MCGEE, DESTINY</t>
  </si>
  <si>
    <t>BRICKELL, TAYLER</t>
  </si>
  <si>
    <t>MASTERSON, RITA</t>
  </si>
  <si>
    <t>GILL, CARISSA</t>
  </si>
  <si>
    <t>WELLS, KATIE</t>
  </si>
  <si>
    <t>GRAHAM, BEV</t>
  </si>
  <si>
    <t>HEIDENREICH, FREDERICK</t>
  </si>
  <si>
    <t>GRAHAM, CASSIDY</t>
  </si>
  <si>
    <t>STOBER, KAITLIN</t>
  </si>
  <si>
    <t>NELSON, LUANNE</t>
  </si>
  <si>
    <t>STEMPLE, BLAYNE</t>
  </si>
  <si>
    <t>HALE, RICHARD</t>
  </si>
  <si>
    <t>BENNETT, JULIANA</t>
  </si>
  <si>
    <t>FLOYD, ADA</t>
  </si>
  <si>
    <t>MCMAHAN, M</t>
  </si>
  <si>
    <t>SELF FORD, LESLEY</t>
  </si>
  <si>
    <t>BALLEW, AMANDA</t>
  </si>
  <si>
    <t>PATTERSON, JESSIE</t>
  </si>
  <si>
    <t>DORSEY, BRANDI</t>
  </si>
  <si>
    <t>BRILL, VANESSA</t>
  </si>
  <si>
    <t>DIONYSUS, KIMBERLY</t>
  </si>
  <si>
    <t>BUI, SAN</t>
  </si>
  <si>
    <t>GREGORY, JIM</t>
  </si>
  <si>
    <t>DOWELL, CHRISTINE</t>
  </si>
  <si>
    <t>FOX, LESHIA</t>
  </si>
  <si>
    <t>DYE, JOSHUA</t>
  </si>
  <si>
    <t>RHONE, ROLISHA</t>
  </si>
  <si>
    <t>HARVEY, MICHELLE</t>
  </si>
  <si>
    <t>POINTER, JOANNA</t>
  </si>
  <si>
    <t>NORMAN, KENNETH</t>
  </si>
  <si>
    <t>DAVIS, JENNIFER</t>
  </si>
  <si>
    <t>CARREJO, CHRISTINE</t>
  </si>
  <si>
    <t>RAMSEY, MELINDA (M.)</t>
  </si>
  <si>
    <t>YOUNG, MANDY</t>
  </si>
  <si>
    <t>LYNN, SHANNON</t>
  </si>
  <si>
    <t>BARTON, LANELL RENEE</t>
  </si>
  <si>
    <t>SANDERS, FELICIA</t>
  </si>
  <si>
    <t>LENDERMAN, KELLY</t>
  </si>
  <si>
    <t>MATHEWS, MARILYNN</t>
  </si>
  <si>
    <t>SCHINGOETHE-LEE, KARNILLA</t>
  </si>
  <si>
    <t>SUNDARA, KELSEY</t>
  </si>
  <si>
    <t>RYAN-HUNT, ALAINA</t>
  </si>
  <si>
    <t>JONES, FRANKLIN</t>
  </si>
  <si>
    <t>POTEAT, NATASHA</t>
  </si>
  <si>
    <t>FAZIO, RACHEL</t>
  </si>
  <si>
    <t>KEY, SECOYIA</t>
  </si>
  <si>
    <t>BAILEY, EMILY</t>
  </si>
  <si>
    <t>SHACKELFORD, AMANDA</t>
  </si>
  <si>
    <t>PARKS, SANDRA</t>
  </si>
  <si>
    <t>WILEY, ELIZABETH</t>
  </si>
  <si>
    <t>KELLOGG, LISA</t>
  </si>
  <si>
    <t>MULLINS, JULIA</t>
  </si>
  <si>
    <t>STOVALL, SHATOYIA</t>
  </si>
  <si>
    <t>HUGHES, KENDRA</t>
  </si>
  <si>
    <t>MCCREADY, MELISSA</t>
  </si>
  <si>
    <t>ROWNAK, TWYLA</t>
  </si>
  <si>
    <t>ADCOCK HAMILTON, JESSICA</t>
  </si>
  <si>
    <t>SHARP, NATHAN</t>
  </si>
  <si>
    <t>YANG, PATRICK</t>
  </si>
  <si>
    <t>GOSSETT, RICHARD</t>
  </si>
  <si>
    <t>FRENCH, TERRI</t>
  </si>
  <si>
    <t>WIERZBICKI, TIFFANY</t>
  </si>
  <si>
    <t>STUECKEN, DONNA</t>
  </si>
  <si>
    <t>BAILEY, LEE</t>
  </si>
  <si>
    <t>CURTIS, JEREMY</t>
  </si>
  <si>
    <t>MIAN, CHARIS</t>
  </si>
  <si>
    <t>DRENNAN, RENEE</t>
  </si>
  <si>
    <t>WHISENHUNT, SARA</t>
  </si>
  <si>
    <t>JOHNSON, CLARISSA</t>
  </si>
  <si>
    <t>EABRON, TANESHA</t>
  </si>
  <si>
    <t>WHITE, TIFFANY</t>
  </si>
  <si>
    <t>STEELE, JAMES</t>
  </si>
  <si>
    <t>SWEAT, STEPHANIE</t>
  </si>
  <si>
    <t>SHOE, BREANNA</t>
  </si>
  <si>
    <t>NORRIS, LAQUITA</t>
  </si>
  <si>
    <t>TIPU, OFELIA</t>
  </si>
  <si>
    <t>JAMES-MELLON, TIARA</t>
  </si>
  <si>
    <t>CHUPIK, ARTHUR</t>
  </si>
  <si>
    <t>KING, CHRISTOPHER</t>
  </si>
  <si>
    <t>STEMPLE, HANNAH</t>
  </si>
  <si>
    <t>NEAL, ERIN</t>
  </si>
  <si>
    <t>CANNON, KAREN</t>
  </si>
  <si>
    <t>LYTLE, ERIN</t>
  </si>
  <si>
    <t>SMITH, ALEXANDRA</t>
  </si>
  <si>
    <t>SCHLUTERMAN, LAUREN</t>
  </si>
  <si>
    <t>MITCHELL, ALISA</t>
  </si>
  <si>
    <t>SEWELL, CYNTHIA</t>
  </si>
  <si>
    <t>OWENS, PAUL</t>
  </si>
  <si>
    <t>CLAYTON, ANGELA</t>
  </si>
  <si>
    <t>FOREMAN, TANGELLA</t>
  </si>
  <si>
    <t>GIBSON, HALI</t>
  </si>
  <si>
    <t>BECKMAN, JOHN</t>
  </si>
  <si>
    <t>CHENNAULT, NATHAN</t>
  </si>
  <si>
    <t>HORLICK, LAUREN</t>
  </si>
  <si>
    <t>MANTIONE, CHRISTINA</t>
  </si>
  <si>
    <t>RATCLIFF, TINA</t>
  </si>
  <si>
    <t>HORNBECK, CLAUDIA</t>
  </si>
  <si>
    <t>RODGERS, ARDELIA</t>
  </si>
  <si>
    <t>DINECOLA, NATALIE</t>
  </si>
  <si>
    <t>BEARD, DANA</t>
  </si>
  <si>
    <t>VILLEDA, KATIE</t>
  </si>
  <si>
    <t>BELKNAP, TOBY</t>
  </si>
  <si>
    <t>PASSEN, JULIANNE</t>
  </si>
  <si>
    <t>COONEY, NATHANIEL</t>
  </si>
  <si>
    <t>COWAN, KELLY</t>
  </si>
  <si>
    <t>YEK, MING HWEI</t>
  </si>
  <si>
    <t>JOHNSON, CANDACE</t>
  </si>
  <si>
    <t>PECK, PATRICK</t>
  </si>
  <si>
    <t>RODINSKY, WANDA</t>
  </si>
  <si>
    <t>VILLERE, JESSICA</t>
  </si>
  <si>
    <t>HARRIS, NATASHA</t>
  </si>
  <si>
    <t>WATSON, CHRISTY</t>
  </si>
  <si>
    <t>LALONDE, PATRIZIA</t>
  </si>
  <si>
    <t>PINN, BRANDI</t>
  </si>
  <si>
    <t>JACKSON, JAMEELA</t>
  </si>
  <si>
    <t>BRUCE, KRISTEN</t>
  </si>
  <si>
    <t>HOOVER, CHRISTY</t>
  </si>
  <si>
    <t>CURTIS-HENSON, STEPHANIE</t>
  </si>
  <si>
    <t>STUMBAUGH, RACHEL</t>
  </si>
  <si>
    <t>PERKINS, ANDREWNIQUIS</t>
  </si>
  <si>
    <t>PEARSON, ANDREW</t>
  </si>
  <si>
    <t>HIGGINS, AMY</t>
  </si>
  <si>
    <t>LESTER, CAROL</t>
  </si>
  <si>
    <t>CRYER, LYNDSEY</t>
  </si>
  <si>
    <t>CANTU, DARLENE</t>
  </si>
  <si>
    <t>WILES, SARAH</t>
  </si>
  <si>
    <t>NANDIMANDALAM, BHARATH</t>
  </si>
  <si>
    <t>GLOVER, SHERRY</t>
  </si>
  <si>
    <t>ROBINSON, GIPSYE</t>
  </si>
  <si>
    <t>BARHAM, JAMES</t>
  </si>
  <si>
    <t>PRESLEY, BEVERLY</t>
  </si>
  <si>
    <t>CARAWAY, SHANNON</t>
  </si>
  <si>
    <t>STALLINGS, KYLEE</t>
  </si>
  <si>
    <t>JAMES, KATHERINE</t>
  </si>
  <si>
    <t>RANNALS, BRANDI</t>
  </si>
  <si>
    <t>CAMPBELL, BOBBIE</t>
  </si>
  <si>
    <t>GRAY, JENNIFER</t>
  </si>
  <si>
    <t>BAKER, DANIEL</t>
  </si>
  <si>
    <t>POSEY, DANA</t>
  </si>
  <si>
    <t>PURCELL, WILLIAM</t>
  </si>
  <si>
    <t>NEWMAN, MEGHAN</t>
  </si>
  <si>
    <t>TURNER, JESSICA</t>
  </si>
  <si>
    <t>ROBINSON, TINA</t>
  </si>
  <si>
    <t>BILSON, SHARITA</t>
  </si>
  <si>
    <t>TULLOS, LESLIE</t>
  </si>
  <si>
    <t>PHILLIPS, JUSTIN</t>
  </si>
  <si>
    <t>LAVESPERE, SHENA</t>
  </si>
  <si>
    <t>WILSON, KELLY</t>
  </si>
  <si>
    <t>MORGAN, WHITNEY</t>
  </si>
  <si>
    <t>MCCALMAN, KATHERINE</t>
  </si>
  <si>
    <t>WHELLER, RUTH</t>
  </si>
  <si>
    <t>ROSTAMPOUT, AMIR</t>
  </si>
  <si>
    <t>STEWART, SUSAN</t>
  </si>
  <si>
    <t>WEST, CARLEN</t>
  </si>
  <si>
    <t>ECKARD, LASHUNDRA</t>
  </si>
  <si>
    <t>BAKER, TARA</t>
  </si>
  <si>
    <t>ORGAN, SARA</t>
  </si>
  <si>
    <t>STEVENS, BETH</t>
  </si>
  <si>
    <t>PHILLIPS, HEATHER</t>
  </si>
  <si>
    <t>DEL CID, TONI</t>
  </si>
  <si>
    <t>STARR, BRYNNE</t>
  </si>
  <si>
    <t>ALLGAIER, JEFFREY</t>
  </si>
  <si>
    <t>LEVIN, AARON</t>
  </si>
  <si>
    <t>DAWSON, BRIAN</t>
  </si>
  <si>
    <t>SINGH, BARJINDER</t>
  </si>
  <si>
    <t>BHATTI, SAJJAD</t>
  </si>
  <si>
    <t>MAY, MICHAEL</t>
  </si>
  <si>
    <t>CROWNOVER, RICHARD (RICK)</t>
  </si>
  <si>
    <t>CITLA SRIDHAR, DIVYASWATHI</t>
  </si>
  <si>
    <t>KUNTHUR, ANURADHA</t>
  </si>
  <si>
    <t>AHMED, JIBRAN</t>
  </si>
  <si>
    <t>HABIB, JOYCE</t>
  </si>
  <si>
    <t>REDDY, ASWANTH</t>
  </si>
  <si>
    <t>TRUMMAN OPS, INC.</t>
  </si>
  <si>
    <t>MHPNC, INC.</t>
  </si>
  <si>
    <t>SEARCY SNF OPERATIONS LLC</t>
  </si>
  <si>
    <t>CONWAY SNF OPERATIONS LLC</t>
  </si>
  <si>
    <t>BRYANT SNF OPERATIONS LLC</t>
  </si>
  <si>
    <t>SALINE SNF OPERATIONS LLC</t>
  </si>
  <si>
    <t>CHICOT SNF OPERATIONS LLC</t>
  </si>
  <si>
    <t>THE VILLAGES OF GENERAL BAPTIST HEALTH CARE EAST</t>
  </si>
  <si>
    <t>MORRILTON SNF OPERATIONS LLC</t>
  </si>
  <si>
    <t>MAGNOLIA HEALTHCARE LLC</t>
  </si>
  <si>
    <t>WOOD-LAWN, INC</t>
  </si>
  <si>
    <t>CROSS SNF OPERATIONS LLC</t>
  </si>
  <si>
    <t>DREW SNF OPERATIONS LLC</t>
  </si>
  <si>
    <t>PARIKH, ASHESH</t>
  </si>
  <si>
    <t>HALE, SETH</t>
  </si>
  <si>
    <t>SHAH, SANJAY</t>
  </si>
  <si>
    <t>GALLAGHER, CHRISTOPHER</t>
  </si>
  <si>
    <t>HASAN, RIMSHA</t>
  </si>
  <si>
    <t>SIBGHAT TUL LLAH, FNU</t>
  </si>
  <si>
    <t>GANGULI, SHANKHO</t>
  </si>
  <si>
    <t>SCHATZ, ROBERT</t>
  </si>
  <si>
    <t>MARSHELL, RAMEY</t>
  </si>
  <si>
    <t>HASSAN, YUSUF</t>
  </si>
  <si>
    <t>DO, KHUYEN</t>
  </si>
  <si>
    <t>COBB, HARRISON</t>
  </si>
  <si>
    <t>IBRAHIM, HUSSAIN</t>
  </si>
  <si>
    <t>KHAN, ZUBAIR</t>
  </si>
  <si>
    <t>HAWATMEH, AMER</t>
  </si>
  <si>
    <t>WEINSTEIN, NORMAN</t>
  </si>
  <si>
    <t>NICHOLS, ABIGAIL</t>
  </si>
  <si>
    <t>O'NEAL, LAUREL</t>
  </si>
  <si>
    <t>TOBEY, AUDREY</t>
  </si>
  <si>
    <t>SHNAEKEL, KELSEY</t>
  </si>
  <si>
    <t>KLIVINGTON, DIANE</t>
  </si>
  <si>
    <t>VARHADE, SUCHITA</t>
  </si>
  <si>
    <t>SLATON, KALA</t>
  </si>
  <si>
    <t>WILLIAMS, HEATHER</t>
  </si>
  <si>
    <t>RICH, WHITNEY</t>
  </si>
  <si>
    <t>STAHLER, ANDREW</t>
  </si>
  <si>
    <t>ALBRITTON, CHARLES</t>
  </si>
  <si>
    <t>FOUST, KIMBER</t>
  </si>
  <si>
    <t>FAROOQI, SAAD</t>
  </si>
  <si>
    <t>BANSAL, REENA</t>
  </si>
  <si>
    <t>MIR, MUHAMMAD</t>
  </si>
  <si>
    <t>GHOSH, PRITAM</t>
  </si>
  <si>
    <t>SAVAJIYANI, SARIKA</t>
  </si>
  <si>
    <t>BASKARAN, GAUTAM</t>
  </si>
  <si>
    <t>HILL, NATHAN</t>
  </si>
  <si>
    <t>DAND, HEMANT</t>
  </si>
  <si>
    <t>PEREIRA, GLAUBER</t>
  </si>
  <si>
    <t>SIDDIQUI, NABEEL</t>
  </si>
  <si>
    <t>DUENSING, LAUREN</t>
  </si>
  <si>
    <t>JOSHI, SAUMYA</t>
  </si>
  <si>
    <t>MOSS, STEPHANIE</t>
  </si>
  <si>
    <t>WHITE, KELSEY</t>
  </si>
  <si>
    <t>BRODOWSKA, KATARZYNA</t>
  </si>
  <si>
    <t>FORD, ZACHARY</t>
  </si>
  <si>
    <t>BARTELS, HEATHER</t>
  </si>
  <si>
    <t>TOLLETT, CHRISTOPHER</t>
  </si>
  <si>
    <t>RENZ, TAYLOR</t>
  </si>
  <si>
    <t>KIM, DANIEL</t>
  </si>
  <si>
    <t>MOORE-ELCYZYN, AMANDA</t>
  </si>
  <si>
    <t>SANDERS, RILEY</t>
  </si>
  <si>
    <t>RUNGE, PAUL</t>
  </si>
  <si>
    <t>LEWIS, MACI</t>
  </si>
  <si>
    <t>BROWN, BRYAN</t>
  </si>
  <si>
    <t>COLLINS, BRAEDON</t>
  </si>
  <si>
    <t>WARFORD, RENEE</t>
  </si>
  <si>
    <t>ALLISTON, JEFFREY</t>
  </si>
  <si>
    <t>GRAND, ROBERT</t>
  </si>
  <si>
    <t>HENDERSON, SYDNEY</t>
  </si>
  <si>
    <t>GUNDERMAN, LAUREN</t>
  </si>
  <si>
    <t>HODGE, LAUREN</t>
  </si>
  <si>
    <t>MARSHALL, CHRISTOPHER</t>
  </si>
  <si>
    <t>ERWIN, ETHAN</t>
  </si>
  <si>
    <t>DRAKE, MICHAEL</t>
  </si>
  <si>
    <t>JONES, LOGAN</t>
  </si>
  <si>
    <t>GEURKINK, JESSICA</t>
  </si>
  <si>
    <t>HART, PHILLIP</t>
  </si>
  <si>
    <t>PATEL, KAUSHAL</t>
  </si>
  <si>
    <t>COOPER, JUSTIN</t>
  </si>
  <si>
    <t>RIGGS, DAVID</t>
  </si>
  <si>
    <t>KINGSTON, MARK</t>
  </si>
  <si>
    <t>RICHARDSON, LEOTIS</t>
  </si>
  <si>
    <t>HIEGERT, AARON</t>
  </si>
  <si>
    <t>ZHENG, ZHI</t>
  </si>
  <si>
    <t>KIRBY, AMY</t>
  </si>
  <si>
    <t>NIXON, GIANINA</t>
  </si>
  <si>
    <t>MATHEWS, PRIYA</t>
  </si>
  <si>
    <t>WARREN, WILLIAM</t>
  </si>
  <si>
    <t>KITCHENS, JESSE</t>
  </si>
  <si>
    <t>CARMICAL, COLTON</t>
  </si>
  <si>
    <t>MOON, KERRY</t>
  </si>
  <si>
    <t>SLIGER, JESSICA</t>
  </si>
  <si>
    <t>NARITA, LUMINITA</t>
  </si>
  <si>
    <t>CRAIG, CLAYTON</t>
  </si>
  <si>
    <t>HALLUMS, DARREN</t>
  </si>
  <si>
    <t>HUYNH, DUC</t>
  </si>
  <si>
    <t>BRADLEY, RYAN</t>
  </si>
  <si>
    <t>COOPER, BRANDT</t>
  </si>
  <si>
    <t>MONTGOMERY, RYAN</t>
  </si>
  <si>
    <t>CROW-GOATES, KATIE</t>
  </si>
  <si>
    <t>INBODEN, COLBY</t>
  </si>
  <si>
    <t>LE, DUONG</t>
  </si>
  <si>
    <t>SPEARMAN, REBECCA</t>
  </si>
  <si>
    <t>TORTORICH, JORDAN</t>
  </si>
  <si>
    <t>JACKSON, THOMAS</t>
  </si>
  <si>
    <t>WELLS, MARTHA</t>
  </si>
  <si>
    <t>NASEHI, AMIN</t>
  </si>
  <si>
    <t>WANG, CHRISTINA</t>
  </si>
  <si>
    <t>WILLIAMS, BRITTANY</t>
  </si>
  <si>
    <t>REMEDY DRUG, INC</t>
  </si>
  <si>
    <t>CLAIBORNE LTC PHARMACY, LLC</t>
  </si>
  <si>
    <t>NH ENTERPRISES, LLC</t>
  </si>
  <si>
    <t>SOUTHERN HEALTH AND WELLNESS, INC</t>
  </si>
  <si>
    <t>BRINKLEY FAMILY PHARMACY LLC</t>
  </si>
  <si>
    <t>PEGGY S LONG &amp; JOHN R GIBSON PTR</t>
  </si>
  <si>
    <t>MIDSOUTH MEDICAL SPECIALTIES LLC</t>
  </si>
  <si>
    <t>BURROWS INC</t>
  </si>
  <si>
    <t>HUDSON PHARMACY INC</t>
  </si>
  <si>
    <t>KELLY PHARMACY INC KELLY PHARMACY &amp; GIFTS</t>
  </si>
  <si>
    <t>PHARMACY SPECIALTIES GROUP (INC)</t>
  </si>
  <si>
    <t>MCGEE, CHARLEDRIA</t>
  </si>
  <si>
    <t>SALLEE, KELSEY</t>
  </si>
  <si>
    <t>ROGERS, ALLISON</t>
  </si>
  <si>
    <t>CAUSEY, WILLIAM</t>
  </si>
  <si>
    <t>BISHARA, SUZY</t>
  </si>
  <si>
    <t>ALAWADI, RUSHDI</t>
  </si>
  <si>
    <t>PATEL, SEJAL</t>
  </si>
  <si>
    <t>NASTASI, VALENTINA</t>
  </si>
  <si>
    <t>SLOAN, RACHEL</t>
  </si>
  <si>
    <t>ASH, JESSE</t>
  </si>
  <si>
    <t>DHAR, GAURAV</t>
  </si>
  <si>
    <t>ODLE, LAURA</t>
  </si>
  <si>
    <t>MCCOY, ASHLEY</t>
  </si>
  <si>
    <t>KEEN, CHRISTIE</t>
  </si>
  <si>
    <t>MOSSMAN, BRITTNAY</t>
  </si>
  <si>
    <t>SWANSON, MARK</t>
  </si>
  <si>
    <t>FOX, KEISHA</t>
  </si>
  <si>
    <t>PYBURN, WENDY</t>
  </si>
  <si>
    <t>KLINEFELTER, KIMBERLY</t>
  </si>
  <si>
    <t>HICKMON, STEPHANIE</t>
  </si>
  <si>
    <t>JONES, ALEXIS</t>
  </si>
  <si>
    <t>YATES, DAWN</t>
  </si>
  <si>
    <t>STOKES, PHILLIP</t>
  </si>
  <si>
    <t>WADDELL, PATIENCE</t>
  </si>
  <si>
    <t>POORE, KENITA</t>
  </si>
  <si>
    <t>HARRELL, AMBER</t>
  </si>
  <si>
    <t>STOKES, ERNEST</t>
  </si>
  <si>
    <t>MOHAMMED, SHAMNA</t>
  </si>
  <si>
    <t>LINEBERRY, LYNN</t>
  </si>
  <si>
    <t>HART, AMANDA</t>
  </si>
  <si>
    <t>LEE, WINNIE</t>
  </si>
  <si>
    <t>MASON, CALEB</t>
  </si>
  <si>
    <t>LILLICO, SAMANTHA</t>
  </si>
  <si>
    <t>GRAND, ALEXA</t>
  </si>
  <si>
    <t>GARNER, ALISON</t>
  </si>
  <si>
    <t>FLYNN, BRITTANY</t>
  </si>
  <si>
    <t>REED, JANET</t>
  </si>
  <si>
    <t>KARKI, NIRAJ</t>
  </si>
  <si>
    <t>OSUEKE, RUTH</t>
  </si>
  <si>
    <t>JENKINS, DANIELLE</t>
  </si>
  <si>
    <t>HUITT, ASHLEY</t>
  </si>
  <si>
    <t>BURGESS, JESSICA</t>
  </si>
  <si>
    <t>BIRDNO, MADISON</t>
  </si>
  <si>
    <t>BLALOCK, MISTY</t>
  </si>
  <si>
    <t>BARDELLA, INIS</t>
  </si>
  <si>
    <t>PEARCY, BRITTNEY</t>
  </si>
  <si>
    <t>ZEPPONI, TIMOTHY</t>
  </si>
  <si>
    <t>CLOUSER, CONNOR</t>
  </si>
  <si>
    <t>BROWN, HEATHER</t>
  </si>
  <si>
    <t>VUONG, SIUSHAN</t>
  </si>
  <si>
    <t>GAGE, STEPHANIE</t>
  </si>
  <si>
    <t>KASPROWICZ, THOMAS</t>
  </si>
  <si>
    <t>MOIX, MEGAN</t>
  </si>
  <si>
    <t>BARNES, ANDREA</t>
  </si>
  <si>
    <t>PRICE, JACQUELINE</t>
  </si>
  <si>
    <t>BENNETT, CYNARA</t>
  </si>
  <si>
    <t>KERLEY, ANNA</t>
  </si>
  <si>
    <t>LAMB, LAUREN</t>
  </si>
  <si>
    <t>ROBERTS, LAUREN</t>
  </si>
  <si>
    <t>YOUNG, LATOYA</t>
  </si>
  <si>
    <t>CHASTEEN, JAMIE</t>
  </si>
  <si>
    <t>BOWEN, PAIGE</t>
  </si>
  <si>
    <t>WILKERSON, MORGAN</t>
  </si>
  <si>
    <t>PEAY, JAMES</t>
  </si>
  <si>
    <t>SABATINI, LINDSEY</t>
  </si>
  <si>
    <t>BRYANT, LINDSEY</t>
  </si>
  <si>
    <t>GELTMACHER, SARAH</t>
  </si>
  <si>
    <t>MCDANIEL, SHARON</t>
  </si>
  <si>
    <t>ALI, NABEEL</t>
  </si>
  <si>
    <t>MOON, STACEY</t>
  </si>
  <si>
    <t>NEWBERRY, PAGE</t>
  </si>
  <si>
    <t>HARDWICK, ALLYSSA</t>
  </si>
  <si>
    <t>MCLEAN, ASHLEY</t>
  </si>
  <si>
    <t>ABERNATHY, HEATHER</t>
  </si>
  <si>
    <t>FORRESTER, GREGORY</t>
  </si>
  <si>
    <t>TYSON, TAMMY</t>
  </si>
  <si>
    <t>JOLLY, SAMANTHA</t>
  </si>
  <si>
    <t>SPENCER, HALEY</t>
  </si>
  <si>
    <t>BARNES, VANESSA</t>
  </si>
  <si>
    <t>CORKERN, CHANTELL</t>
  </si>
  <si>
    <t>SINKS, JASON</t>
  </si>
  <si>
    <t>SEYMOUR, CLINT</t>
  </si>
  <si>
    <t>HARRISON, CHRISTOPHER</t>
  </si>
  <si>
    <t>GRIFFIN, RACHEL</t>
  </si>
  <si>
    <t>MULLEN, AARON</t>
  </si>
  <si>
    <t>WANG, QUYNH</t>
  </si>
  <si>
    <t>ROY, RISHI</t>
  </si>
  <si>
    <t>LALIBERTE, VIRGINIA</t>
  </si>
  <si>
    <t>GASAWAY, SHAWN</t>
  </si>
  <si>
    <t>PENNINGTON, MELISSA</t>
  </si>
  <si>
    <t>BASHIR, MAAMAN</t>
  </si>
  <si>
    <t>BLAIR, TRISHA</t>
  </si>
  <si>
    <t>ALAM, DAUOOD</t>
  </si>
  <si>
    <t>SCOTT-SMITH, CHRYSTAL</t>
  </si>
  <si>
    <t>CAMPBELL, BRADLEY</t>
  </si>
  <si>
    <t>SUTTON, KAYLA</t>
  </si>
  <si>
    <t>NOID, NICKEY</t>
  </si>
  <si>
    <t>TANDON, RUDHIR</t>
  </si>
  <si>
    <t>GRAY, AMANDA</t>
  </si>
  <si>
    <t>BADAMI, DAVID</t>
  </si>
  <si>
    <t>CHANDLER, RACHAEL</t>
  </si>
  <si>
    <t>COOK, RACHEL</t>
  </si>
  <si>
    <t>MCVEIGH, ASHLEY</t>
  </si>
  <si>
    <t>FROESCHLE, JASON</t>
  </si>
  <si>
    <t>BOYD, KATHRYN</t>
  </si>
  <si>
    <t>MAHALITC, HOLLY</t>
  </si>
  <si>
    <t>MCMANUS, MARTIN</t>
  </si>
  <si>
    <t>JONES, TOMMYE</t>
  </si>
  <si>
    <t>WANG, TAO</t>
  </si>
  <si>
    <t>LISHMANOV, ANTON</t>
  </si>
  <si>
    <t>WELBORN, FRANKLIN</t>
  </si>
  <si>
    <t>STRIPLING, CRYSTAL</t>
  </si>
  <si>
    <t>CRUMP, NICHOLAS</t>
  </si>
  <si>
    <t>BARNETT, LAURA</t>
  </si>
  <si>
    <t>FRANKS, LAUREN</t>
  </si>
  <si>
    <t>NOBLE, MORGAN</t>
  </si>
  <si>
    <t>BROWN, KELLYE</t>
  </si>
  <si>
    <t>GILES, DELTON</t>
  </si>
  <si>
    <t>SKINNER, BROOKE</t>
  </si>
  <si>
    <t>TURNER, SHERIKA</t>
  </si>
  <si>
    <t>BROWNING, ELIZABETH</t>
  </si>
  <si>
    <t>BURNETT, STEPHANIE</t>
  </si>
  <si>
    <t>ROBBINS, STEPHANIE</t>
  </si>
  <si>
    <t>RAINES, DUSTIN</t>
  </si>
  <si>
    <t>URHOGHIDE, NOYOZE</t>
  </si>
  <si>
    <t>BASSETT, KELLY</t>
  </si>
  <si>
    <t>MBRIDE, NDIANABASI</t>
  </si>
  <si>
    <t>PRINCE, HAILEY</t>
  </si>
  <si>
    <t>WARDEN, LUCENTHIA</t>
  </si>
  <si>
    <t>VOLNER, PAMELA</t>
  </si>
  <si>
    <t>BUSBY, SHANNON</t>
  </si>
  <si>
    <t>SULLIVAN, LEN</t>
  </si>
  <si>
    <t>SANDERS, KIMBERLY</t>
  </si>
  <si>
    <t>MACK, JEFFERY</t>
  </si>
  <si>
    <t>LONG, TAYLOR</t>
  </si>
  <si>
    <t>MEARA, JOHN</t>
  </si>
  <si>
    <t>DUARTE OW, JOAQUIN</t>
  </si>
  <si>
    <t>YBARRA, DUSTIN</t>
  </si>
  <si>
    <t>PATEL, CHETAN</t>
  </si>
  <si>
    <t>ZIMMERMAN, DAVID</t>
  </si>
  <si>
    <t>BEYER, EMILY</t>
  </si>
  <si>
    <t>BONDS, ABIGAIL</t>
  </si>
  <si>
    <t>ANDERSON, AMBER</t>
  </si>
  <si>
    <t>ALATORRE, CANDICE</t>
  </si>
  <si>
    <t>TART, SAVANNAH</t>
  </si>
  <si>
    <t>PATEL, POONAM</t>
  </si>
  <si>
    <t>SOLLESTRE, VICTORIA ASHLEY</t>
  </si>
  <si>
    <t>MORROW, MORGAN</t>
  </si>
  <si>
    <t>SMITH, NICOLE</t>
  </si>
  <si>
    <t>FERRER, CHRISTIAN</t>
  </si>
  <si>
    <t>WILLIAMS, BRIDGET</t>
  </si>
  <si>
    <t>D'AMOUR, TROY</t>
  </si>
  <si>
    <t>WALLIS, JENELLE</t>
  </si>
  <si>
    <t>SCHMIDT, BRITTNEY</t>
  </si>
  <si>
    <t>WATSON, CHARLETT</t>
  </si>
  <si>
    <t>ROGERS WALLS, JESSICA</t>
  </si>
  <si>
    <t>DUFF, HALEY</t>
  </si>
  <si>
    <t>BURKS, MADISON</t>
  </si>
  <si>
    <t>LANGSTON, CARLA</t>
  </si>
  <si>
    <t>VAN HOUTEN, ALEXIS</t>
  </si>
  <si>
    <t>WILLIAMS, ALESHIA</t>
  </si>
  <si>
    <t>FORD, AMANDA</t>
  </si>
  <si>
    <t>BRANSTETTER, COREY</t>
  </si>
  <si>
    <t>RENSCH, LEANN</t>
  </si>
  <si>
    <t>BITTENGLE, MORGAN</t>
  </si>
  <si>
    <t>CROUSE, LEAH</t>
  </si>
  <si>
    <t>PHILLIPS, CARRIE</t>
  </si>
  <si>
    <t>GLEBER, AMELIA</t>
  </si>
  <si>
    <t>BARGER, LAURA</t>
  </si>
  <si>
    <t>BRANSCUM, EVAN</t>
  </si>
  <si>
    <t>RIMA, ASHLEY</t>
  </si>
  <si>
    <t>COOLEY, BARBARA</t>
  </si>
  <si>
    <t>BYERS, KAREN</t>
  </si>
  <si>
    <t>HEISLER, LEANNA</t>
  </si>
  <si>
    <t>PATTERSON, HANNAH</t>
  </si>
  <si>
    <t>THOMPSON-DAVIS, KELLY</t>
  </si>
  <si>
    <t>LEVERTON, APRIL</t>
  </si>
  <si>
    <t>RONE, CHRISTINA</t>
  </si>
  <si>
    <t>MOORE, JOSHUA</t>
  </si>
  <si>
    <t>TAYLOR, LAKENDRA</t>
  </si>
  <si>
    <t>HAWKINS, JONATHAN</t>
  </si>
  <si>
    <t>LUMPKIN, KATELYN</t>
  </si>
  <si>
    <t>PHILLIPS, PRESLEY</t>
  </si>
  <si>
    <t>THELEN, KRISTEN</t>
  </si>
  <si>
    <t>JAY, JENNIFER</t>
  </si>
  <si>
    <t>JACQUEZ, RACHEL</t>
  </si>
  <si>
    <t>BALDWIN, MELISSA</t>
  </si>
  <si>
    <t>ROSE, JOHNATHAN</t>
  </si>
  <si>
    <t>RICHARDSON, RACHAEL</t>
  </si>
  <si>
    <t>MONROE, BRETT</t>
  </si>
  <si>
    <t>EISELE, ANDREW</t>
  </si>
  <si>
    <t>PRUITT, MELISSA</t>
  </si>
  <si>
    <t>BRUMLEY, BREANNA</t>
  </si>
  <si>
    <t>ZAHID, KAMRAN</t>
  </si>
  <si>
    <t>NOEL, ALANA</t>
  </si>
  <si>
    <t>SHEARS, JALEESA</t>
  </si>
  <si>
    <t>HURT, JOSHUA</t>
  </si>
  <si>
    <t>ARRISON, RAGAN</t>
  </si>
  <si>
    <t>SWEARINGEN, MELISA</t>
  </si>
  <si>
    <t>MURPHY, CYNTHIA</t>
  </si>
  <si>
    <t>MANNA, PHYLLIS</t>
  </si>
  <si>
    <t>MYERS, SAMANTHA</t>
  </si>
  <si>
    <t>PARBHOO, MUKTI</t>
  </si>
  <si>
    <t>HUGHES, STACEY</t>
  </si>
  <si>
    <t>HOFFMAN, DAVID DANIEL</t>
  </si>
  <si>
    <t>WILKINSON, COURTNEY</t>
  </si>
  <si>
    <t>DUNAGAN BETHEA, COURTNEY</t>
  </si>
  <si>
    <t>GULLICK, LAUREN</t>
  </si>
  <si>
    <t>HUDSON, MARJORIE</t>
  </si>
  <si>
    <t>WILLIAMS, DANELLE</t>
  </si>
  <si>
    <t>WHITE, LINDSAY</t>
  </si>
  <si>
    <t>CATHEY, SAVANNA</t>
  </si>
  <si>
    <t>WILSON, MELISSA</t>
  </si>
  <si>
    <t>SPURLOCK, TRACI</t>
  </si>
  <si>
    <t>SCOTT, KATRINA</t>
  </si>
  <si>
    <t>RAMAGE, MATTHEW</t>
  </si>
  <si>
    <t>CROMER, ANGELA</t>
  </si>
  <si>
    <t>WHITEHEAD, DANIEL</t>
  </si>
  <si>
    <t>ERVIN, COURTNEY</t>
  </si>
  <si>
    <t>CAMPBELL, CHASITY</t>
  </si>
  <si>
    <t>SPENCE, BRITTANY</t>
  </si>
  <si>
    <t>GILLILAND, TRACIE</t>
  </si>
  <si>
    <t>GLOVER, HAPSY</t>
  </si>
  <si>
    <t>SUTFIN, SHERYL</t>
  </si>
  <si>
    <t>SINGH, LOVEPREET</t>
  </si>
  <si>
    <t>COURSER, JENNIFER</t>
  </si>
  <si>
    <t>NELSON, BILLIE</t>
  </si>
  <si>
    <t>ORANGE, MICHELLE</t>
  </si>
  <si>
    <t>WILLIAMS, TAMMY</t>
  </si>
  <si>
    <t>LYNCH, WHITNEY</t>
  </si>
  <si>
    <t>BROWN, EMILY</t>
  </si>
  <si>
    <t>HORNE, AMANDA</t>
  </si>
  <si>
    <t>VANCE, PENNY</t>
  </si>
  <si>
    <t>HENSLEY, AMY</t>
  </si>
  <si>
    <t>WOODALL, AARON</t>
  </si>
  <si>
    <t>FLOWERS, RICHARD</t>
  </si>
  <si>
    <t>SPEER, LISA</t>
  </si>
  <si>
    <t>ROEDER, CHRISTINA</t>
  </si>
  <si>
    <t>NI, SAMANTHA</t>
  </si>
  <si>
    <t>AKHTAR, SAEEM</t>
  </si>
  <si>
    <t>BURKS, BRIAN</t>
  </si>
  <si>
    <t>KACZENSKI, ALEXANDER</t>
  </si>
  <si>
    <t>KLOSKE, SHANA</t>
  </si>
  <si>
    <t>COOPER, GRETCHIN</t>
  </si>
  <si>
    <t>HAINES, CARVER</t>
  </si>
  <si>
    <t>DRAKE, LISA</t>
  </si>
  <si>
    <t>CLIFT, JULIA</t>
  </si>
  <si>
    <t>EKONG, ESSIEN</t>
  </si>
  <si>
    <t>PADILLA, LORENA</t>
  </si>
  <si>
    <t>HARTENBOWER, EMILY</t>
  </si>
  <si>
    <t>HORNER, AMY</t>
  </si>
  <si>
    <t>ONEAL, SHANDI</t>
  </si>
  <si>
    <t>CHEATHAM, AMANDA</t>
  </si>
  <si>
    <t>PELTON, BRITTANY</t>
  </si>
  <si>
    <t>ROGERS, STEPHANIE</t>
  </si>
  <si>
    <t>SPRINGER, TREVINA</t>
  </si>
  <si>
    <t>LAWRENCE, DEBBIE</t>
  </si>
  <si>
    <t>ANOKWUTE, CHIBUIKE</t>
  </si>
  <si>
    <t>JENKINS, TRISTAN</t>
  </si>
  <si>
    <t>MCMAHON, CORY</t>
  </si>
  <si>
    <t>VEST, APRIL</t>
  </si>
  <si>
    <t>TINNEY, LISA</t>
  </si>
  <si>
    <t>GAMARRA-HILBURN, CARLA</t>
  </si>
  <si>
    <t>BROWN, STERLING</t>
  </si>
  <si>
    <t>JOHNSON, CARMEN</t>
  </si>
  <si>
    <t>DULANEY, SARAH</t>
  </si>
  <si>
    <t>HOCKERSMITH, CAROLIN</t>
  </si>
  <si>
    <t>WILDER SLIGER, TINA</t>
  </si>
  <si>
    <t>DWYER, JESSICA</t>
  </si>
  <si>
    <t>WOERNER, ZACHARY</t>
  </si>
  <si>
    <t>JOHNSON, ASJIA</t>
  </si>
  <si>
    <t>MOORE, SANDRA</t>
  </si>
  <si>
    <t>BARLOW, SARAH</t>
  </si>
  <si>
    <t>CHAWLA, MOHIT</t>
  </si>
  <si>
    <t>KHAWAJA, SHEZA</t>
  </si>
  <si>
    <t>FERRER, AMANDA</t>
  </si>
  <si>
    <t>CAGLE, JAMIE</t>
  </si>
  <si>
    <t>LOY, DANNIE</t>
  </si>
  <si>
    <t>SHULTS, MARY</t>
  </si>
  <si>
    <t>HUGHES, BRANDY</t>
  </si>
  <si>
    <t>MEMON, FIZA FATIMA</t>
  </si>
  <si>
    <t>SABB, TANEICIE</t>
  </si>
  <si>
    <t>SMITH, CHANELL</t>
  </si>
  <si>
    <t>ICENHOWER, JERRAMY</t>
  </si>
  <si>
    <t>BARKLEY, DANNA</t>
  </si>
  <si>
    <t>EDGERLY, DONALD</t>
  </si>
  <si>
    <t>RODRIGUEZ, RAFAEL</t>
  </si>
  <si>
    <t>PHILLIPS, DEIRDRE</t>
  </si>
  <si>
    <t>SHAFFER, RICHARD</t>
  </si>
  <si>
    <t>WINTERCORN, LRAE</t>
  </si>
  <si>
    <t>PATTON, LACI</t>
  </si>
  <si>
    <t>DILLION, SARAH</t>
  </si>
  <si>
    <t>HALE, KELSEY</t>
  </si>
  <si>
    <t>BOLDEN, TAMIKA</t>
  </si>
  <si>
    <t>THURMAN, KATHERINE</t>
  </si>
  <si>
    <t>CHOWDHURY, SHAHREEN</t>
  </si>
  <si>
    <t>MUDDASANI, ANUSHAREDDY</t>
  </si>
  <si>
    <t>FOMBUTU EPSE OKONG, KUNA TIGA</t>
  </si>
  <si>
    <t>WITT, ANNA</t>
  </si>
  <si>
    <t>HIBBS, DENA</t>
  </si>
  <si>
    <t>SMITH, DEBORAH</t>
  </si>
  <si>
    <t>NUKALA, CHANDRA MOULI</t>
  </si>
  <si>
    <t>HOWERTON, TARA</t>
  </si>
  <si>
    <t>MARQUIS, CHELSEA</t>
  </si>
  <si>
    <t>PHANDANOUVONG, SOUTNAKHON</t>
  </si>
  <si>
    <t>FITTS, VANESSA</t>
  </si>
  <si>
    <t>GRAY, NICOLE</t>
  </si>
  <si>
    <t>WELLS, CLAUDE</t>
  </si>
  <si>
    <t>SMITH, BRITTANY</t>
  </si>
  <si>
    <t>MULLER, ROBERT</t>
  </si>
  <si>
    <t>NANDANI TARUN, TANVI</t>
  </si>
  <si>
    <t>DAWKINS, JHEANELLE</t>
  </si>
  <si>
    <t>ADAMS, LARREASHA</t>
  </si>
  <si>
    <t>HANKINS, LACEY</t>
  </si>
  <si>
    <t>STILES, ROY</t>
  </si>
  <si>
    <t>MCBRIDE, TONYA</t>
  </si>
  <si>
    <t>KELLOGG, NATASHA</t>
  </si>
  <si>
    <t>BRIDGES, JAMES</t>
  </si>
  <si>
    <t>SMITH, PHILLIP</t>
  </si>
  <si>
    <t>STRAMEL, MALGORZATA</t>
  </si>
  <si>
    <t>MARTENS, ABBY</t>
  </si>
  <si>
    <t>FENLEY, MIKKA</t>
  </si>
  <si>
    <t>TAYLOR, MATTHEW</t>
  </si>
  <si>
    <t>BOELENS, TIFFANY</t>
  </si>
  <si>
    <t>BIBLE, EVELENE</t>
  </si>
  <si>
    <t>MYERS, MELANIE</t>
  </si>
  <si>
    <t>BROOKS, DELISA</t>
  </si>
  <si>
    <t>VANCE, KIMBERLY</t>
  </si>
  <si>
    <t>VALLURUPALLI, SRI RAJESH</t>
  </si>
  <si>
    <t>MCKEE, JENNIFER</t>
  </si>
  <si>
    <t>HERRINGTON, MADELINE</t>
  </si>
  <si>
    <t>SNOW, MICHELLE</t>
  </si>
  <si>
    <t>ZWIASKA, SUSAN</t>
  </si>
  <si>
    <t>MANATT, NATALIE</t>
  </si>
  <si>
    <t>STALLINGS, KATHERINE</t>
  </si>
  <si>
    <t>MCPEAK, ALLISON</t>
  </si>
  <si>
    <t>KENNON, LACEY</t>
  </si>
  <si>
    <t>DROKE, LAURA</t>
  </si>
  <si>
    <t>TORRES, DIANA</t>
  </si>
  <si>
    <t>MCCLINTOCK, SARAH</t>
  </si>
  <si>
    <t>SHEFFIELD, LATICIA</t>
  </si>
  <si>
    <t>BERTHOLOMEY, AMANDA</t>
  </si>
  <si>
    <t>LEVENGOOD, MALLORI</t>
  </si>
  <si>
    <t>HARRIS, KADI</t>
  </si>
  <si>
    <t>EPPS, SARENTHIA</t>
  </si>
  <si>
    <t>HENDERSON, ADAM</t>
  </si>
  <si>
    <t>GAVIN, LINZY</t>
  </si>
  <si>
    <t>ARMSTRONG, PAUL</t>
  </si>
  <si>
    <t>STOCKERT, KASSI</t>
  </si>
  <si>
    <t>EVANS, DEBORAH</t>
  </si>
  <si>
    <t>ROSENBAUM, RACHEL</t>
  </si>
  <si>
    <t>BLANTON, NATHANIEL</t>
  </si>
  <si>
    <t>SCHLESIER, ALICIA</t>
  </si>
  <si>
    <t>METZ, KAYLA</t>
  </si>
  <si>
    <t>FALAYE, MICHAEL</t>
  </si>
  <si>
    <t>HILTON, REGENIA</t>
  </si>
  <si>
    <t>HERNANDEZ, CRISTINA</t>
  </si>
  <si>
    <t>MITCHELL, KENNETH</t>
  </si>
  <si>
    <t>MONTGOMERY, LARK</t>
  </si>
  <si>
    <t>MOSER, JONATHAN</t>
  </si>
  <si>
    <t>ENLOE, KACY</t>
  </si>
  <si>
    <t>COLE, MEGAN</t>
  </si>
  <si>
    <t>BUTLER, ANNA</t>
  </si>
  <si>
    <t>VAUGHAN, KRYSTYN</t>
  </si>
  <si>
    <t>BREATHITT, JENNIFER</t>
  </si>
  <si>
    <t>BURROWS, LAVONNE</t>
  </si>
  <si>
    <t>MARKELL, EVAN</t>
  </si>
  <si>
    <t>STIGER, LAURIE</t>
  </si>
  <si>
    <t>JAIN, ALISHA</t>
  </si>
  <si>
    <t>WHEAT, MEGAN</t>
  </si>
  <si>
    <t>BRUCE, DIANE</t>
  </si>
  <si>
    <t>COTTON, HOUSTON</t>
  </si>
  <si>
    <t>DIAZ, TIFFANY</t>
  </si>
  <si>
    <t>DUNKLE, CLINTON</t>
  </si>
  <si>
    <t>OECHSLE, FABIAN</t>
  </si>
  <si>
    <t>MOSS, KATY</t>
  </si>
  <si>
    <t>HORNSBY, TAYLOR</t>
  </si>
  <si>
    <t>SUMMERS, SAVANNAH</t>
  </si>
  <si>
    <t>LEA, BROOKE</t>
  </si>
  <si>
    <t>REECE, SHARON</t>
  </si>
  <si>
    <t>DURHAM, PORSCHA</t>
  </si>
  <si>
    <t>HOGUE, ALISSA</t>
  </si>
  <si>
    <t>FULLER, FELICIA</t>
  </si>
  <si>
    <t>TURNAGE, CHRISTI</t>
  </si>
  <si>
    <t>DAVIS, JANELL</t>
  </si>
  <si>
    <t>NELSON, DESIREE</t>
  </si>
  <si>
    <t>SCOTT, CHARLES</t>
  </si>
  <si>
    <t>PANCHAL, APURVA</t>
  </si>
  <si>
    <t>MCADAMS, LOU</t>
  </si>
  <si>
    <t>WEDDLE, CARMEN</t>
  </si>
  <si>
    <t>MERVES, SHAE</t>
  </si>
  <si>
    <t>LIEBELT, ERICA</t>
  </si>
  <si>
    <t>LYNCH, ASHLEY</t>
  </si>
  <si>
    <t>BARNETT, KEVIN</t>
  </si>
  <si>
    <t>LEWIS-WILLIAMS, SHANEIKA</t>
  </si>
  <si>
    <t>LEDBURY, BRITTNEY</t>
  </si>
  <si>
    <t>LEWIS, MARY</t>
  </si>
  <si>
    <t>JASTANIAH, EBAA</t>
  </si>
  <si>
    <t>HELTON, SARA</t>
  </si>
  <si>
    <t>WOOLEY, KATRIN</t>
  </si>
  <si>
    <t>ANDERSON, MIKALA</t>
  </si>
  <si>
    <t>MOUDY, SHON</t>
  </si>
  <si>
    <t>COWARD, ASHLEY</t>
  </si>
  <si>
    <t>MERVES, MATTHEW</t>
  </si>
  <si>
    <t>LONG, KRISTEN</t>
  </si>
  <si>
    <t>NSRC OAK GROVE LLC</t>
  </si>
  <si>
    <t>10TH DISTRICT SUBSTANCE ABUSE TREATMENT CENTER</t>
  </si>
  <si>
    <t>SOZO RECOVERY CENTERS INC</t>
  </si>
  <si>
    <t>LEO N LEVI MEMORIAL HOSPITAL</t>
  </si>
  <si>
    <t>BOSLEY, TREBOR</t>
  </si>
  <si>
    <t>FISER, ELIZABETH</t>
  </si>
  <si>
    <t>JERRY, TAMMY</t>
  </si>
  <si>
    <t>NELSON, STEVEN</t>
  </si>
  <si>
    <t>PARTEE, CELESTE</t>
  </si>
  <si>
    <t>CARROLL, KYLIE</t>
  </si>
  <si>
    <t>PARKER, JESSICA</t>
  </si>
  <si>
    <t>SLATER, MALORY</t>
  </si>
  <si>
    <t>KENNEDY, KEISHA</t>
  </si>
  <si>
    <t>KOEHN, JEFF</t>
  </si>
  <si>
    <t>PLATT, LEAH</t>
  </si>
  <si>
    <t>FRASER, AMELIA</t>
  </si>
  <si>
    <t>CRIFT, RESHANAE</t>
  </si>
  <si>
    <t>WORKMAN, CASSANDRA</t>
  </si>
  <si>
    <t>HERRERA, LIZBETH</t>
  </si>
  <si>
    <t>SANDELL, AMY</t>
  </si>
  <si>
    <t>NEIL, TAMMY</t>
  </si>
  <si>
    <t>JORDAN, ALLISON</t>
  </si>
  <si>
    <t>PIERCE, ASHLEY</t>
  </si>
  <si>
    <t>DOYLE, HANNA</t>
  </si>
  <si>
    <t>POWELL, AMBER</t>
  </si>
  <si>
    <t>GLOVER, LEONARDO</t>
  </si>
  <si>
    <t>HART, CRYSTAL</t>
  </si>
  <si>
    <t>LEWIS CHAPMAN, MICHELLE</t>
  </si>
  <si>
    <t>LAW, SARAH</t>
  </si>
  <si>
    <t>TAYLOR, TANYA</t>
  </si>
  <si>
    <t>MARSTON, ARIELLE</t>
  </si>
  <si>
    <t>MOIX, JENNIFER</t>
  </si>
  <si>
    <t>SMITH, ANN</t>
  </si>
  <si>
    <t>BERLOWITZ, YOCHEVED</t>
  </si>
  <si>
    <t>HALL, CHANNING</t>
  </si>
  <si>
    <t>RUBLE, DAVID</t>
  </si>
  <si>
    <t>BROWN, SABRINA</t>
  </si>
  <si>
    <t>THOMPSON, AMANDA</t>
  </si>
  <si>
    <t>EANES, JORDAN</t>
  </si>
  <si>
    <t>LINDEMAN ROOT, SARAH</t>
  </si>
  <si>
    <t>DAVIS, ANNSLEY</t>
  </si>
  <si>
    <t>HINKLE, VUANITA</t>
  </si>
  <si>
    <t>RICHARDSON, BRITTANY</t>
  </si>
  <si>
    <t>HARRIS, KAYLA</t>
  </si>
  <si>
    <t>SNEED, ANNA</t>
  </si>
  <si>
    <t>REEVES, JANICE</t>
  </si>
  <si>
    <t>HARDY, ELIZABETH</t>
  </si>
  <si>
    <t>FREEMAN, SHANNON</t>
  </si>
  <si>
    <t>DIGGS, TAMMIE</t>
  </si>
  <si>
    <t>WILLIS, KARA</t>
  </si>
  <si>
    <t>RAMSEY, TYLER</t>
  </si>
  <si>
    <t>ODOR, HILDA</t>
  </si>
  <si>
    <t>WULF, KENNETH</t>
  </si>
  <si>
    <t>GRANT, CYDNEY</t>
  </si>
  <si>
    <t>BRADY, LORI</t>
  </si>
  <si>
    <t>LANDERS, KATIE</t>
  </si>
  <si>
    <t>GASS, LAUREL</t>
  </si>
  <si>
    <t>ROBINSON, JAYLA</t>
  </si>
  <si>
    <t>FAULKNER, AMBER</t>
  </si>
  <si>
    <t>HELTON, TAUSHA</t>
  </si>
  <si>
    <t>IBBETSON, SARA</t>
  </si>
  <si>
    <t>WILSON-COTTON, SARAH</t>
  </si>
  <si>
    <t>DELGADO, LYNN</t>
  </si>
  <si>
    <t>BASS, EMILY</t>
  </si>
  <si>
    <t>RAY, JOHN</t>
  </si>
  <si>
    <t>STEHBEN, CADY</t>
  </si>
  <si>
    <t>ANDERSON, JENNIE</t>
  </si>
  <si>
    <t>FUGERE, KELLIE</t>
  </si>
  <si>
    <t>BOYD, AUDRA</t>
  </si>
  <si>
    <t>ALLEN, HEATHER</t>
  </si>
  <si>
    <t>AUSTIN, KANEISHA</t>
  </si>
  <si>
    <t>HUGHES, TIMOTHY</t>
  </si>
  <si>
    <t>GLASS, KAYETTE</t>
  </si>
  <si>
    <t>THORNTON, NIKKI</t>
  </si>
  <si>
    <t>CARDEN, TAMMY</t>
  </si>
  <si>
    <t>HOPKINS, NICHOLAS</t>
  </si>
  <si>
    <t>PACHECO, RHIANNON</t>
  </si>
  <si>
    <t>SHIFFLETT, ASHLEY</t>
  </si>
  <si>
    <t>JACKSON, TYLER</t>
  </si>
  <si>
    <t>WALLACE, JASON</t>
  </si>
  <si>
    <t>SIEROCUK, KYLE</t>
  </si>
  <si>
    <t>GOLDEN, SAMANTHA</t>
  </si>
  <si>
    <t>BRADBERRY, SARAH</t>
  </si>
  <si>
    <t>ALSUP, STEPHANIE</t>
  </si>
  <si>
    <t>TURNBOW, AMANDA</t>
  </si>
  <si>
    <t>WILSON, DARIUS</t>
  </si>
  <si>
    <t>FIGUEROA-LUNA, DIANA</t>
  </si>
  <si>
    <t>DONAHUE, BREESHA</t>
  </si>
  <si>
    <t>HARRISON, NINA</t>
  </si>
  <si>
    <t>SCOTT, MOLLIE</t>
  </si>
  <si>
    <t>SPEERS, VALERIE</t>
  </si>
  <si>
    <t>JAIN, ALOK</t>
  </si>
  <si>
    <t>MUSICK, JOBETH</t>
  </si>
  <si>
    <t>PERSON-MICHENER, JOANNA</t>
  </si>
  <si>
    <t>LAWSON, JEFFREY</t>
  </si>
  <si>
    <t>HARVEY, ERICA</t>
  </si>
  <si>
    <t>RAY, WENDY</t>
  </si>
  <si>
    <t>MCCASKILL, LAVERA</t>
  </si>
  <si>
    <t>PARKS, VICKY</t>
  </si>
  <si>
    <t>AICH, SUSANNA</t>
  </si>
  <si>
    <t>TESTA, SARAH</t>
  </si>
  <si>
    <t>BIGGERS, LAUREN</t>
  </si>
  <si>
    <t>MURDERS, SILAS</t>
  </si>
  <si>
    <t>GODLEWSKI, SARAH</t>
  </si>
  <si>
    <t>MEINCKE, STEPHANIE</t>
  </si>
  <si>
    <t>CAIN, MARY</t>
  </si>
  <si>
    <t>WELLS, KATLYNNE</t>
  </si>
  <si>
    <t>KING, SARA</t>
  </si>
  <si>
    <t>HEDGES, ZACHARY</t>
  </si>
  <si>
    <t>BARNES, RHONDA</t>
  </si>
  <si>
    <t>OWENS, TATUM</t>
  </si>
  <si>
    <t>MORGAN, CHRISTIN</t>
  </si>
  <si>
    <t>KYLE, MELISSA</t>
  </si>
  <si>
    <t>PETTY, TARA</t>
  </si>
  <si>
    <t>HOWARD, BENNY</t>
  </si>
  <si>
    <t>LIVINGSTON, MIRANDA</t>
  </si>
  <si>
    <t>ZELAYA, HEATHER</t>
  </si>
  <si>
    <t>MCGOWAN, MORGAN</t>
  </si>
  <si>
    <t>CHAMBERS, ABRAHAM</t>
  </si>
  <si>
    <t>HOWERTON, SETH</t>
  </si>
  <si>
    <t>HILL, ALICIA</t>
  </si>
  <si>
    <t>MILLER, WANDA</t>
  </si>
  <si>
    <t>WEATHARLY, NATASSIA</t>
  </si>
  <si>
    <t>WALLS, SANDRA</t>
  </si>
  <si>
    <t>LORENZEN, ERIN</t>
  </si>
  <si>
    <t>SPURLOCK, ELIZABETH</t>
  </si>
  <si>
    <t>WINTER, ASHLEY</t>
  </si>
  <si>
    <t>WEAVER, MARCI</t>
  </si>
  <si>
    <t>PEDERSEN, MEGAN</t>
  </si>
  <si>
    <t>MOSS, TONYA</t>
  </si>
  <si>
    <t>CARSON, RAYMON</t>
  </si>
  <si>
    <t>HARRISON, MELISSA</t>
  </si>
  <si>
    <t>MYERS, SOPHIE</t>
  </si>
  <si>
    <t>VILLANOVA, RHIANNON</t>
  </si>
  <si>
    <t>BRATCHER, SUSAN</t>
  </si>
  <si>
    <t>MUNAWAR, AZKA</t>
  </si>
  <si>
    <t>TRIGG, ANNA</t>
  </si>
  <si>
    <t>NYALALA, PAULINE</t>
  </si>
  <si>
    <t>SADINSKY, LILI</t>
  </si>
  <si>
    <t>WALLS, PAT</t>
  </si>
  <si>
    <t>BURKS, KRYSTAL</t>
  </si>
  <si>
    <t>DILLINGER, ERIC</t>
  </si>
  <si>
    <t>COBLE, JESSICA</t>
  </si>
  <si>
    <t>BREWER, ASHLEA</t>
  </si>
  <si>
    <t>LOVELACE, LEIGH</t>
  </si>
  <si>
    <t>HOMRATSAMY, CHRISTIE</t>
  </si>
  <si>
    <t>STUART, ANGELA</t>
  </si>
  <si>
    <t>OWENS, APRIL</t>
  </si>
  <si>
    <t>MILLER, JESSICA</t>
  </si>
  <si>
    <t>LAMBERT, CAMDEN</t>
  </si>
  <si>
    <t>BRANDT, ASHLYNN</t>
  </si>
  <si>
    <t>HOOKS, CECELIA</t>
  </si>
  <si>
    <t>FRAZIER, TORI</t>
  </si>
  <si>
    <t>BAILEY, KRISTIN</t>
  </si>
  <si>
    <t>MCCHRISTIAN, PRISCILLA</t>
  </si>
  <si>
    <t>SIMON, CHRISTOPHER</t>
  </si>
  <si>
    <t>JOHNSON, FRANCES</t>
  </si>
  <si>
    <t>LEVINE, MARISHA</t>
  </si>
  <si>
    <t>MOON, KAREN</t>
  </si>
  <si>
    <t>SPRADLEY, JENNIFER</t>
  </si>
  <si>
    <t>WALTON, HEATH</t>
  </si>
  <si>
    <t>OSBURN, ANNE</t>
  </si>
  <si>
    <t>LESLIE, RYAN</t>
  </si>
  <si>
    <t>HARRIS, SYDNEY</t>
  </si>
  <si>
    <t>MILLER-BLACK, DAYNA</t>
  </si>
  <si>
    <t>DALEKE, ROBIN</t>
  </si>
  <si>
    <t>WILLIAMS, KAROL</t>
  </si>
  <si>
    <t>GAULDIN, EMILY</t>
  </si>
  <si>
    <t>SANDERS, TREVA</t>
  </si>
  <si>
    <t>EMERSON, AMANDA</t>
  </si>
  <si>
    <t>BENNETT, DEAVILA</t>
  </si>
  <si>
    <t>ALLBRITTON, ELIZABETH</t>
  </si>
  <si>
    <t>HOLLOWAY, ALLISON</t>
  </si>
  <si>
    <t>RICHTER, LEAH</t>
  </si>
  <si>
    <t>ANDERSON, MEGAN</t>
  </si>
  <si>
    <t>LOVE, JENNIFER</t>
  </si>
  <si>
    <t>GILLIAM, FOY</t>
  </si>
  <si>
    <t>SAMUELS, TINA</t>
  </si>
  <si>
    <t>ROGERS, ALISHA</t>
  </si>
  <si>
    <t>GRAHAM, BRYANNA</t>
  </si>
  <si>
    <t>SANDEFUR, KELSEY</t>
  </si>
  <si>
    <t>GRAHAM, MORGAN</t>
  </si>
  <si>
    <t>BOWLEY, SHERRY</t>
  </si>
  <si>
    <t>NEWBERRY, COURTNEY</t>
  </si>
  <si>
    <t>WOOD, ANN</t>
  </si>
  <si>
    <t>GODWIN, KELSI</t>
  </si>
  <si>
    <t>BURTON, MITZI</t>
  </si>
  <si>
    <t>VAUGHN, MORGAN</t>
  </si>
  <si>
    <t>CALVO, NOEL</t>
  </si>
  <si>
    <t>SMITH, CHRISTY</t>
  </si>
  <si>
    <t>ZOLTEN, KRISTIN</t>
  </si>
  <si>
    <t>CLARK, RAYSHA</t>
  </si>
  <si>
    <t>NEWMAN-WALDEN, TARA</t>
  </si>
  <si>
    <t>PEARSON, CATHERINE</t>
  </si>
  <si>
    <t>THIELEMIER, CHELSEA</t>
  </si>
  <si>
    <t>THOMAS, TAYLOR</t>
  </si>
  <si>
    <t>FLORES-DUPRIEST, MARTHA</t>
  </si>
  <si>
    <t>SISCO, LISA</t>
  </si>
  <si>
    <t>THRAILKILL, RACHEAL</t>
  </si>
  <si>
    <t>DRIVER, BRIDGETT</t>
  </si>
  <si>
    <t>ADAMS, DEANNA</t>
  </si>
  <si>
    <t>CULCLAGER, KRATISHA</t>
  </si>
  <si>
    <t>HALSELL, JUDITH</t>
  </si>
  <si>
    <t>HAMMOND, JENNIFER</t>
  </si>
  <si>
    <t>SANDERS, SHIQUITA</t>
  </si>
  <si>
    <t>WILLIAMS, JOANNE</t>
  </si>
  <si>
    <t>PACE, TAMARA</t>
  </si>
  <si>
    <t>DWIGGINS, RICHARD</t>
  </si>
  <si>
    <t>MILLSAP, MEGAN</t>
  </si>
  <si>
    <t>SLEDGE, AUNGELIQUE</t>
  </si>
  <si>
    <t>PERKINS, AMBER</t>
  </si>
  <si>
    <t>KINZLER, STACY</t>
  </si>
  <si>
    <t>ADAMS, JEANETTE</t>
  </si>
  <si>
    <t>MONDT, PRISCILLA</t>
  </si>
  <si>
    <t>RASUL, FAHIM</t>
  </si>
  <si>
    <t>LAIRD, TARA</t>
  </si>
  <si>
    <t>SHAW, MARTHA</t>
  </si>
  <si>
    <t>BISHOP, JASMINE</t>
  </si>
  <si>
    <t>TINGLE CHANG, LYNZIE</t>
  </si>
  <si>
    <t>NEALY, ASHTON</t>
  </si>
  <si>
    <t>MYTON, PHILLIP</t>
  </si>
  <si>
    <t>STONE, KWAMEKA</t>
  </si>
  <si>
    <t>HARDING, LATOYA</t>
  </si>
  <si>
    <t>LANGS, SHEA</t>
  </si>
  <si>
    <t>SCHMIDT, ALLISON</t>
  </si>
  <si>
    <t>LEWIS, CHRISTOPHER</t>
  </si>
  <si>
    <t>COLEMAN, LPC, CATHERINE</t>
  </si>
  <si>
    <t>DEVENNY, JEAN</t>
  </si>
  <si>
    <t>BUTLER, KRAIG</t>
  </si>
  <si>
    <t>EDWARDS, JAMES</t>
  </si>
  <si>
    <t>COUNTS, BEVERLY</t>
  </si>
  <si>
    <t>CASEY, LAUREN</t>
  </si>
  <si>
    <t>GACHOT-RIDGLEY, SHANNON</t>
  </si>
  <si>
    <t>BROCK, FREDRICCA</t>
  </si>
  <si>
    <t>GIARDINA, PAMELA</t>
  </si>
  <si>
    <t>DAVIS, ASHLEE</t>
  </si>
  <si>
    <t>STIDUM, LAKESHA</t>
  </si>
  <si>
    <t>SPRADLIN, ERIC</t>
  </si>
  <si>
    <t>ALEEM, RASHAD</t>
  </si>
  <si>
    <t>KOESY, MIRIAM</t>
  </si>
  <si>
    <t>FIGGINS, LISA</t>
  </si>
  <si>
    <t>DAVIS, MALCOLM</t>
  </si>
  <si>
    <t>TIMMONS, DUSTIN</t>
  </si>
  <si>
    <t>JONES, CATHRINE</t>
  </si>
  <si>
    <t>STONE, CHRISTOPHER</t>
  </si>
  <si>
    <t>HARRIS, JOYCE</t>
  </si>
  <si>
    <t>GLORY, MELISSA</t>
  </si>
  <si>
    <t>REEL, UHRONDA</t>
  </si>
  <si>
    <t>WYSOCKI, ASHLEY</t>
  </si>
  <si>
    <t>WOOLLEY, ASHLING</t>
  </si>
  <si>
    <t>DALLAS, LAUREN</t>
  </si>
  <si>
    <t>MOORE, TARA</t>
  </si>
  <si>
    <t>RATLIFF, PEGGY</t>
  </si>
  <si>
    <t>BOONE, BROOKE</t>
  </si>
  <si>
    <t>HUDSPETH, EMMA</t>
  </si>
  <si>
    <t>WORLEY, ANDREW</t>
  </si>
  <si>
    <t>PITTMAN, JENNIFER</t>
  </si>
  <si>
    <t>TURNER, DONTRELL</t>
  </si>
  <si>
    <t>BURTON, SHAMBRHEE</t>
  </si>
  <si>
    <t>MCCALLUM, YOLANDA</t>
  </si>
  <si>
    <t>ALDEA, REBECCA</t>
  </si>
  <si>
    <t>DAVIS, MELINDA</t>
  </si>
  <si>
    <t>COLES, LAUREN</t>
  </si>
  <si>
    <t>NICHOLS, CELESTE</t>
  </si>
  <si>
    <t>GADDIS, JANET</t>
  </si>
  <si>
    <t>WILLIAMS, ETHAN</t>
  </si>
  <si>
    <t>BASS-CARRIGAN, DEANDRIEA</t>
  </si>
  <si>
    <t>RIGGS, CHERESE</t>
  </si>
  <si>
    <t>TRAGASZ, RICHARD</t>
  </si>
  <si>
    <t>HEIDELBERGER, HENRY</t>
  </si>
  <si>
    <t>WHITE, JAMES</t>
  </si>
  <si>
    <t>STARYAK, EMILIE</t>
  </si>
  <si>
    <t>THOMPSON, CRISSY</t>
  </si>
  <si>
    <t>NYGREN, ELINOR</t>
  </si>
  <si>
    <t>THRIFT, PATTY</t>
  </si>
  <si>
    <t>EVANS, CRYSTAL</t>
  </si>
  <si>
    <t>JONES, BRENDEN</t>
  </si>
  <si>
    <t>GOODSON, WESLEY</t>
  </si>
  <si>
    <t>BECKERS, SIERRA</t>
  </si>
  <si>
    <t>DAVIS, SCHANTA</t>
  </si>
  <si>
    <t>ROBISON, KENNETH</t>
  </si>
  <si>
    <t>VANHOOK, SUSAN</t>
  </si>
  <si>
    <t>SUMNER, ANDREA</t>
  </si>
  <si>
    <t>HARDISON, AMANDA</t>
  </si>
  <si>
    <t>LEWIS, JOLI</t>
  </si>
  <si>
    <t>HARRIS, DAVID</t>
  </si>
  <si>
    <t>KELLEY, CANDICE</t>
  </si>
  <si>
    <t>STEWART, MARY ANN</t>
  </si>
  <si>
    <t>MCKENZIE, DAMON</t>
  </si>
  <si>
    <t>ROSS, YULONDA</t>
  </si>
  <si>
    <t>TOOTHAKER, STEPHEN</t>
  </si>
  <si>
    <t>HASSAN, SAIRA</t>
  </si>
  <si>
    <t>CAMERON, BRENT</t>
  </si>
  <si>
    <t>JEAN-LOUIS, CHRISTOPHER</t>
  </si>
  <si>
    <t>MODI, ARUNKUMAR</t>
  </si>
  <si>
    <t>MINE CREEK HOLDINGS LLC</t>
  </si>
  <si>
    <t>HERITAGE SQUARE NURSING AND REHABILITATION CENTER, INC.</t>
  </si>
  <si>
    <t>APPLINGWOOD HEALTHCARE CENTER LLC</t>
  </si>
  <si>
    <t>SCG HEALTH OPERATIONS, LLC</t>
  </si>
  <si>
    <t>MAGNOLIA REGIONAL HEALTH SYSTEM INC</t>
  </si>
  <si>
    <t>VAN BUREN SNF OPERATIONS LLC</t>
  </si>
  <si>
    <t>THE VILLAGES OF GENERAL BAPTIST HEALTH CARE WEST</t>
  </si>
  <si>
    <t>CONWAY OPERATIONS, LLC</t>
  </si>
  <si>
    <t>TEXARKANA SNF OPERATIONS LLC</t>
  </si>
  <si>
    <t>COURTYARD GARDENS HEALTH AND REHABILITATION, LLC</t>
  </si>
  <si>
    <t>EUREKA SPRINGS HOSPITAL COMMISSION</t>
  </si>
  <si>
    <t>CROWN POINT HEALTHCARE &amp; REHABILITATION CENTER LLC</t>
  </si>
  <si>
    <t>LITTLE RIVER NURSING HOME</t>
  </si>
  <si>
    <t>ROGERS SNF OPERATIONS LLC</t>
  </si>
  <si>
    <t>CWNC OPS INC</t>
  </si>
  <si>
    <t>MARKUS, RICHARD</t>
  </si>
  <si>
    <t>FERDMAN, BARBARA</t>
  </si>
  <si>
    <t>MAHMOUD, OSAMA</t>
  </si>
  <si>
    <t>KAO, JANE</t>
  </si>
  <si>
    <t>PATEL, NISHI</t>
  </si>
  <si>
    <t>YEH, EDWARD</t>
  </si>
  <si>
    <t>VIJAYARAJAH, SENTHURAN</t>
  </si>
  <si>
    <t>NELSON, AMY</t>
  </si>
  <si>
    <t>KEMP-GLOCK, KAREN</t>
  </si>
  <si>
    <t>KING, TRUMAN</t>
  </si>
  <si>
    <t>ANDREWS, TODD</t>
  </si>
  <si>
    <t>GEORGE-MCKNIGHT, JENNIFER</t>
  </si>
  <si>
    <t>STONE-ZIPSE JONES, ALICIA</t>
  </si>
  <si>
    <t>LOVE, MIKEAL</t>
  </si>
  <si>
    <t>VADIA, EDUARDO</t>
  </si>
  <si>
    <t>BAILEY, JASON</t>
  </si>
  <si>
    <t>AMARI, MOHAMMED</t>
  </si>
  <si>
    <t>KUMAR, ABHISHEK</t>
  </si>
  <si>
    <t>ATCHLEY, WILLIAM</t>
  </si>
  <si>
    <t>HOWELL, PAUL</t>
  </si>
  <si>
    <t>BORIKAR, MADHURA</t>
  </si>
  <si>
    <t>DELTA HEALTH SYSTEM</t>
  </si>
  <si>
    <t>OZARK HEALTH MEDICAL CENTER, INC.</t>
  </si>
  <si>
    <t>ARKANSAS HEART HOSPITAL LLC</t>
  </si>
  <si>
    <t>KRUGER, JONATHAN</t>
  </si>
  <si>
    <t>ROBINSON, TRACEY</t>
  </si>
  <si>
    <t>NARDELLA, FRANCIS</t>
  </si>
  <si>
    <t>BUTTON, FRANK</t>
  </si>
  <si>
    <t>CARSON, BLAINE</t>
  </si>
  <si>
    <t>BUNCH, RYAN</t>
  </si>
  <si>
    <t>TORRES SANVICENTE, CARINA</t>
  </si>
  <si>
    <t>WOOD, CASSANDRA</t>
  </si>
  <si>
    <t>ZAPATA VARGAS, DANIEL</t>
  </si>
  <si>
    <t>AYDIN, AHMET</t>
  </si>
  <si>
    <t>LE, KEVIN</t>
  </si>
  <si>
    <t>MILLER, DOUGLAS</t>
  </si>
  <si>
    <t>MCDONALD, ERIC</t>
  </si>
  <si>
    <t>AGBABLI, AMI</t>
  </si>
  <si>
    <t>FREEMAN, JOSYLIN</t>
  </si>
  <si>
    <t>NGUYEN, LY</t>
  </si>
  <si>
    <t>MONKS, ASHTON</t>
  </si>
  <si>
    <t>MOORE, JAMES</t>
  </si>
  <si>
    <t>REED, DYLAN</t>
  </si>
  <si>
    <t>JONES, HEATHER</t>
  </si>
  <si>
    <t>PATEL, VARSHA</t>
  </si>
  <si>
    <t>KERNS, GEOFFREY</t>
  </si>
  <si>
    <t>EFIRD, LEAH</t>
  </si>
  <si>
    <t>PLATT, PHILLIP</t>
  </si>
  <si>
    <t>DIMOND, JAMIE</t>
  </si>
  <si>
    <t>HURST, DAVID</t>
  </si>
  <si>
    <t>OLSON, FRANCES</t>
  </si>
  <si>
    <t>SEELINGER, PAYTON</t>
  </si>
  <si>
    <t>XIAO, LUKANG</t>
  </si>
  <si>
    <t>RASMUSSEN, CONNOR</t>
  </si>
  <si>
    <t>SIDHU, SUKHMANI</t>
  </si>
  <si>
    <t>BAIONI, NICHOLAS</t>
  </si>
  <si>
    <t>MAIWAND, SAFA</t>
  </si>
  <si>
    <t>PATEL, PUNIT</t>
  </si>
  <si>
    <t>FRANTZ, ANGELA</t>
  </si>
  <si>
    <t>GRUBBS, KELLI</t>
  </si>
  <si>
    <t>MITCHELL, GEOFFREY</t>
  </si>
  <si>
    <t>NGUYEN, KEVIN</t>
  </si>
  <si>
    <t>HATTENHAUER, ALAYNA</t>
  </si>
  <si>
    <t>WILKIE, AUSTIN</t>
  </si>
  <si>
    <t>DALBY, ROBERT</t>
  </si>
  <si>
    <t>HINE, CRAIG</t>
  </si>
  <si>
    <t>PRINE, SARAH</t>
  </si>
  <si>
    <t>ATKINS, SARAH</t>
  </si>
  <si>
    <t>CARTER, HANNAH</t>
  </si>
  <si>
    <t>JONES, BRIGETTE</t>
  </si>
  <si>
    <t>DEBUSK, DANIEL</t>
  </si>
  <si>
    <t>VAN ZYL, ETTIENNE</t>
  </si>
  <si>
    <t>DICKSON, DENNIS</t>
  </si>
  <si>
    <t>HARP, KALEB</t>
  </si>
  <si>
    <t>GOTTSPONER, ADAM</t>
  </si>
  <si>
    <t>LEE, BENJAMIN</t>
  </si>
  <si>
    <t>HILL, TODD</t>
  </si>
  <si>
    <t>PATEL, BINAL</t>
  </si>
  <si>
    <t>SIGNORINO, JAMIE</t>
  </si>
  <si>
    <t>HART, JONATHAN</t>
  </si>
  <si>
    <t>SEBOURN, SEAN</t>
  </si>
  <si>
    <t>VAUGHAN, THOMAS</t>
  </si>
  <si>
    <t>MARSH PHARMACY LLC</t>
  </si>
  <si>
    <t>SCPG ARKANSAS LLC</t>
  </si>
  <si>
    <t>T&amp;J VENTURES LLC</t>
  </si>
  <si>
    <t>MEDMAN23, INC</t>
  </si>
  <si>
    <t>PRESCRIPTION DRUG STORE</t>
  </si>
  <si>
    <t>PPG STORE 7 LLC</t>
  </si>
  <si>
    <t>CARAWAY DRUG L.L.C</t>
  </si>
  <si>
    <t>GARNER FAMILY PHARMACY LLC</t>
  </si>
  <si>
    <t>CENTRAL ARKANSAS RADIATION THERAPY INSTITUTE INC</t>
  </si>
  <si>
    <t>GORE GREEN COUNTRY DRUG, INC.</t>
  </si>
  <si>
    <t>WHITE'S COMPOUNDING PHARMACY, LLC</t>
  </si>
  <si>
    <t>SMITH CALDWELL DRUG</t>
  </si>
  <si>
    <t>LANDMARK PHARMACY, LLC</t>
  </si>
  <si>
    <t>ALLIANCE HEALTHCARE SERVICES</t>
  </si>
  <si>
    <t>PALESTINE FAMILY PHARMACY LLC</t>
  </si>
  <si>
    <t>EAST ARKANSAS FAMILY HEALTH CENTER PHARMACY NO. 3, LLC</t>
  </si>
  <si>
    <t>SJD PHARMACY INC</t>
  </si>
  <si>
    <t>HECTOR PHARMACY, INC.</t>
  </si>
  <si>
    <t>New Provider</t>
  </si>
  <si>
    <t>MORRIS, MOHY</t>
  </si>
  <si>
    <t>WILLIS, GILES</t>
  </si>
  <si>
    <t>SCOTT, JOHN</t>
  </si>
  <si>
    <t>AGRAWAL, PRIYATA</t>
  </si>
  <si>
    <t>WEHNER, BRIANNE</t>
  </si>
  <si>
    <t xml:space="preserve"> </t>
  </si>
  <si>
    <t>KEESEE, MELISSA</t>
  </si>
  <si>
    <t>WYERICK, LINDSEY</t>
  </si>
  <si>
    <t>AWAN, MONAM</t>
  </si>
  <si>
    <t>KHAN, FATIMA</t>
  </si>
  <si>
    <t>ROBERTS, KENDRA</t>
  </si>
  <si>
    <t>KANE, KASEY</t>
  </si>
  <si>
    <t>BROWN, KRISTIN</t>
  </si>
  <si>
    <t>MARTIN, LEAH</t>
  </si>
  <si>
    <t>HENRY, DAWN</t>
  </si>
  <si>
    <t>SCARBROUGH, COURTNEY</t>
  </si>
  <si>
    <t>ARMENDARIZ, KAYLEE</t>
  </si>
  <si>
    <t>RODRIGUEZ, NATALIE</t>
  </si>
  <si>
    <t>MARTIN, EMILY</t>
  </si>
  <si>
    <t>DOUGLAS, MICHELLA</t>
  </si>
  <si>
    <t>SPILLER, GINGER</t>
  </si>
  <si>
    <t>BROOKS, CHAD</t>
  </si>
  <si>
    <t>NEIGHBORS, JENNIFER</t>
  </si>
  <si>
    <t>CHE, LEIA</t>
  </si>
  <si>
    <t>LUNDAY, CALEB</t>
  </si>
  <si>
    <t>BENNETT, ASHLEY</t>
  </si>
  <si>
    <t>KHAN, SHAMA</t>
  </si>
  <si>
    <t>CASTILO, REBECCA</t>
  </si>
  <si>
    <t>KELLER, CHRISTIE</t>
  </si>
  <si>
    <t>HANNER, WENDY</t>
  </si>
  <si>
    <t>COLLINS, ANDREA</t>
  </si>
  <si>
    <t>SIDHU, KEVIN</t>
  </si>
  <si>
    <t>WAMPLER, STEVE</t>
  </si>
  <si>
    <t>JAMES, STEVEN</t>
  </si>
  <si>
    <t>WALTON, MARTEGA</t>
  </si>
  <si>
    <t>CELSOR, MEAGAN</t>
  </si>
  <si>
    <t>WALKER, DANNY</t>
  </si>
  <si>
    <t>WELLMAN, TAMMY</t>
  </si>
  <si>
    <t>BRAWNER, MARTHA</t>
  </si>
  <si>
    <t>RINGGOLD, JENNIFER</t>
  </si>
  <si>
    <t>KNAPP, BROOKE</t>
  </si>
  <si>
    <t>GREEN, CASEY</t>
  </si>
  <si>
    <t>ENNIS, HEATHER</t>
  </si>
  <si>
    <t>SZISZAK, HALEY</t>
  </si>
  <si>
    <t>RAYBURN, BRIAN</t>
  </si>
  <si>
    <t>FEATHERSTON, ASHLEY</t>
  </si>
  <si>
    <t>BLACK, MEREDITH</t>
  </si>
  <si>
    <t>SAMARIN, MICHELLE</t>
  </si>
  <si>
    <t>KENT, MELODY</t>
  </si>
  <si>
    <t>JUMPER, LINDY</t>
  </si>
  <si>
    <t>RIDDLE, YULIYA</t>
  </si>
  <si>
    <t>DIGGS, MICAH</t>
  </si>
  <si>
    <t>AMMONS, JADE</t>
  </si>
  <si>
    <t>DIETSCHE, TRENT</t>
  </si>
  <si>
    <t>HARVEY, TREVOR</t>
  </si>
  <si>
    <t>CARAWAY, ERICA</t>
  </si>
  <si>
    <t>CAUTHEN, WILLIAM</t>
  </si>
  <si>
    <t>FITZ-GERALD, PATRICK</t>
  </si>
  <si>
    <t>GALE, BRENDI</t>
  </si>
  <si>
    <t>ACKLIN, PATRICIA</t>
  </si>
  <si>
    <t>GARDINER, LORI</t>
  </si>
  <si>
    <t>DEVER, JESSICA</t>
  </si>
  <si>
    <t>HENSON, BRANDI</t>
  </si>
  <si>
    <t>MORGAN, SANDY</t>
  </si>
  <si>
    <t>TOLLETT, SUNNI</t>
  </si>
  <si>
    <t>SIMMONS, JAMES</t>
  </si>
  <si>
    <t>KRISELL, GARRETT</t>
  </si>
  <si>
    <t>SMITH, KELLI</t>
  </si>
  <si>
    <t>MOORE, MARANDA</t>
  </si>
  <si>
    <t>ROCHELIN-CHERY, MARTINE</t>
  </si>
  <si>
    <t>SUTHERLAND, CAITLIN</t>
  </si>
  <si>
    <t>SIMS, FALUNDRUS</t>
  </si>
  <si>
    <t>FIKE, ELIZABETH</t>
  </si>
  <si>
    <t>VAN PELT, DUSTIN</t>
  </si>
  <si>
    <t>FITCH, THERESA</t>
  </si>
  <si>
    <t>LANGSTON, ROBERT</t>
  </si>
  <si>
    <t>HOUSTON, KIZZIE</t>
  </si>
  <si>
    <t>STEWART, ALLYSON</t>
  </si>
  <si>
    <t>TAYLOR, LETTIE</t>
  </si>
  <si>
    <t>OBRAZTSOVA, NATALIA</t>
  </si>
  <si>
    <t>BROWN, JOSEPH</t>
  </si>
  <si>
    <t>CATON, NICOLE</t>
  </si>
  <si>
    <t>EVANS, ASHLEY</t>
  </si>
  <si>
    <t>MILTON, SIMONE</t>
  </si>
  <si>
    <t>HAYES, MELISSA</t>
  </si>
  <si>
    <t>BENTLEY, SAMUEL</t>
  </si>
  <si>
    <t>BROADWAY, DIANA</t>
  </si>
  <si>
    <t>SARIC, TIFFANY</t>
  </si>
  <si>
    <t>MINNIS, JASMINE</t>
  </si>
  <si>
    <t>HANNUM, LAURA</t>
  </si>
  <si>
    <t>GAILEY, YULANDER</t>
  </si>
  <si>
    <t>NILL, KAREN</t>
  </si>
  <si>
    <t>WADDELL, ALISSA</t>
  </si>
  <si>
    <t>VERMILLION, CAMELLIA</t>
  </si>
  <si>
    <t>LOWERY, ALICIA</t>
  </si>
  <si>
    <t>WILKERSON, CRYSTAL</t>
  </si>
  <si>
    <t>CAMPBELL, AMY</t>
  </si>
  <si>
    <t>RASNIC, ALEXIS</t>
  </si>
  <si>
    <t>WILSON, ANASTASIA</t>
  </si>
  <si>
    <t>BLACKBURN, DAVID</t>
  </si>
  <si>
    <t>DYESS, LORRAINE</t>
  </si>
  <si>
    <t>FREEMAN, AMY</t>
  </si>
  <si>
    <t>KELFER, JOSH</t>
  </si>
  <si>
    <t>DEPPER, MARY</t>
  </si>
  <si>
    <t>MENDOZA, STEPHANIE</t>
  </si>
  <si>
    <t>INMAN, VLADYSLAVA</t>
  </si>
  <si>
    <t>CAMPBELL, DANIELLE</t>
  </si>
  <si>
    <t>STEVENS, KATHRYN</t>
  </si>
  <si>
    <t>GRIFFITH, RUTH</t>
  </si>
  <si>
    <t>GOPINATH, NITIN</t>
  </si>
  <si>
    <t>FIRMATURA, TODD</t>
  </si>
  <si>
    <t>DIXON, TONIA</t>
  </si>
  <si>
    <t>KANE, TERRANCE</t>
  </si>
  <si>
    <t>MCGRUDER, ROBERT</t>
  </si>
  <si>
    <t>WATSON, BRIAN</t>
  </si>
  <si>
    <t>CHORICE, KRISTIN</t>
  </si>
  <si>
    <t>BACCUS, BRANDY</t>
  </si>
  <si>
    <t>MOORE, GAIL</t>
  </si>
  <si>
    <t>BERRY, JONATHAN</t>
  </si>
  <si>
    <t>KISTNER, ERIN</t>
  </si>
  <si>
    <t>LAWSON, KRISTY</t>
  </si>
  <si>
    <t>HOLDEN, HEATHER</t>
  </si>
  <si>
    <t>DAY, HAYLIE</t>
  </si>
  <si>
    <t>ARMSTRONG, SANDRA</t>
  </si>
  <si>
    <t>LOCKARD, ALICIA</t>
  </si>
  <si>
    <t>JENNINGS, SASHA</t>
  </si>
  <si>
    <t>JENSEN, KIMBER</t>
  </si>
  <si>
    <t>CHAPMOND, AMBER</t>
  </si>
  <si>
    <t>HAYNES, ANGELA</t>
  </si>
  <si>
    <t>FERRERO CAICEDO, MONICA</t>
  </si>
  <si>
    <t>COOPER, CHRISTINA</t>
  </si>
  <si>
    <t>STEVENSON, SARAH</t>
  </si>
  <si>
    <t>GUTIERREZ, OMAR</t>
  </si>
  <si>
    <t>RIPPELMEYER, ELISE</t>
  </si>
  <si>
    <t>MILLS, BRITTNY</t>
  </si>
  <si>
    <t>MENDIETA, CARLA</t>
  </si>
  <si>
    <t>OSBURNE, LAUREN</t>
  </si>
  <si>
    <t>TARRANT, LACI</t>
  </si>
  <si>
    <t>ARCE, JENNIFER</t>
  </si>
  <si>
    <t>CRITTENDEN, WILLIAM</t>
  </si>
  <si>
    <t>COLLINS - VAZQUEZ ATECAS, LEIGH</t>
  </si>
  <si>
    <t>HITT, ALLISON</t>
  </si>
  <si>
    <t>O'STEEN, MISTY</t>
  </si>
  <si>
    <t>ELMQUIST, JARED</t>
  </si>
  <si>
    <t>BIGGERS, SADIE</t>
  </si>
  <si>
    <t>HALTER, TAYLOR</t>
  </si>
  <si>
    <t>WYCOUGH, SARAH</t>
  </si>
  <si>
    <t>SIMMONS, KAITLYN</t>
  </si>
  <si>
    <t>CLARK, JARED</t>
  </si>
  <si>
    <t>BROADWAY, KAYLA</t>
  </si>
  <si>
    <t>SUMMERS, MELISSA</t>
  </si>
  <si>
    <t>DILLARD, FELICIA</t>
  </si>
  <si>
    <t>BLACKARD, KATRINA</t>
  </si>
  <si>
    <t>GARNER, MINA</t>
  </si>
  <si>
    <t>FEATHERSTONE, MARY</t>
  </si>
  <si>
    <t>DOBOS, SIMONA</t>
  </si>
  <si>
    <t>HOLLOWAY, ARIELLE</t>
  </si>
  <si>
    <t>WILLIAMS, LYDIA</t>
  </si>
  <si>
    <t>MANN, SARAH</t>
  </si>
  <si>
    <t>RICHARD, SAMANTHA</t>
  </si>
  <si>
    <t>BROWN, REBECCA</t>
  </si>
  <si>
    <t>BEACHAM, LINDSAY</t>
  </si>
  <si>
    <t>MARCAK, MICHELLE</t>
  </si>
  <si>
    <t>SAVAGE, RICHARD</t>
  </si>
  <si>
    <t>DAILEY, SARAH</t>
  </si>
  <si>
    <t>STONE, SETH</t>
  </si>
  <si>
    <t>BEENE, BLAYNE</t>
  </si>
  <si>
    <t>WALLER-JOHNSON, KIMBERLY</t>
  </si>
  <si>
    <t>COLSON, MORGAN</t>
  </si>
  <si>
    <t>RUSSELL, JESSICA</t>
  </si>
  <si>
    <t>BAYS, JULIE</t>
  </si>
  <si>
    <t>POWELL, JARRETT</t>
  </si>
  <si>
    <t>NEZAKAT, SINA</t>
  </si>
  <si>
    <t>SHARP, MICHELLE</t>
  </si>
  <si>
    <t>WOMACK, BRANDON</t>
  </si>
  <si>
    <t>MOSS, LAUREN</t>
  </si>
  <si>
    <t>BEATTY, JOHN</t>
  </si>
  <si>
    <t>VALERIE, ELIZABETH</t>
  </si>
  <si>
    <t>WOLF, KAYLA</t>
  </si>
  <si>
    <t>HOWELL, JAMI</t>
  </si>
  <si>
    <t>FORTE, CANDICE</t>
  </si>
  <si>
    <t>NOEL, DAPHNEE</t>
  </si>
  <si>
    <t>CAMERON, NABIL</t>
  </si>
  <si>
    <t>SUTLIFF, DIANNA</t>
  </si>
  <si>
    <t>MCDANIEL, KAITLIN</t>
  </si>
  <si>
    <t>ENGLISH, DARRELL</t>
  </si>
  <si>
    <t>RODEN, PAUL</t>
  </si>
  <si>
    <t>GLADDEN, NATHAN</t>
  </si>
  <si>
    <t>ROSNERMANZ, HAYLEY</t>
  </si>
  <si>
    <t>CISNEROS, JAMIE</t>
  </si>
  <si>
    <t>CHRISTENSEN, EMILY</t>
  </si>
  <si>
    <t>JACKSON, BROOKLYN</t>
  </si>
  <si>
    <t>COX, HANNA</t>
  </si>
  <si>
    <t>SMITHERMAN, ASHTON</t>
  </si>
  <si>
    <t>CHEEMA, RAFAY</t>
  </si>
  <si>
    <t>SANDOR, CHARLES</t>
  </si>
  <si>
    <t>BOQUIN, JANA</t>
  </si>
  <si>
    <t>ROPER, JESSICA</t>
  </si>
  <si>
    <t>BOYDSTUN, KENT</t>
  </si>
  <si>
    <t>TUCKER, ASHLEY</t>
  </si>
  <si>
    <t>COUNLEY, SHAWNA</t>
  </si>
  <si>
    <t>MITCHELL, RACHEAL</t>
  </si>
  <si>
    <t>BARONE, CLAUDIA</t>
  </si>
  <si>
    <t>KREMERS, SEAN</t>
  </si>
  <si>
    <t>CASTLE, SHANNON</t>
  </si>
  <si>
    <t>CHISM, TONY</t>
  </si>
  <si>
    <t>YAUILLA, REBECCA</t>
  </si>
  <si>
    <t>WILLIAMS, GABRIELLE</t>
  </si>
  <si>
    <t>NORRIS, DONNA</t>
  </si>
  <si>
    <t>MEARS, LANA</t>
  </si>
  <si>
    <t>BOECKMANN, NATALIE</t>
  </si>
  <si>
    <t>SHEMWELL, JOSEPH</t>
  </si>
  <si>
    <t>WALTON-CONNER, CHELSEA</t>
  </si>
  <si>
    <t>MCQUAY, ELIZABETH</t>
  </si>
  <si>
    <t>VALOVICH, JENNA</t>
  </si>
  <si>
    <t>MUNN, MICHAEL</t>
  </si>
  <si>
    <t>BAIRD, CANDACE</t>
  </si>
  <si>
    <t>WELLS, MARANDA</t>
  </si>
  <si>
    <t>ANDERS, CHRISTY</t>
  </si>
  <si>
    <t>PRITCHARD, CASEY</t>
  </si>
  <si>
    <t>ERWIN, HEATHER</t>
  </si>
  <si>
    <t>WOMACK, JIMMY</t>
  </si>
  <si>
    <t>BAKER, ANNELISE</t>
  </si>
  <si>
    <t>VOCQUE, TABATHA</t>
  </si>
  <si>
    <t>GRAY, CAMDIN</t>
  </si>
  <si>
    <t>JAGANATH, YASTHIL</t>
  </si>
  <si>
    <t>WYNN, CAROL</t>
  </si>
  <si>
    <t>WHITE, AUTUMN</t>
  </si>
  <si>
    <t>BERRY, DENNIS</t>
  </si>
  <si>
    <t>HOPE, JESSACA</t>
  </si>
  <si>
    <t>GAGE, ALLISON</t>
  </si>
  <si>
    <t>GRAVES, CHRISTY</t>
  </si>
  <si>
    <t>LAFLORA, KIMBERLY</t>
  </si>
  <si>
    <t>VAUGHN, PAIGE</t>
  </si>
  <si>
    <t>FARRIS, MICHAEL</t>
  </si>
  <si>
    <t>HALL, JOSHUA</t>
  </si>
  <si>
    <t>STOKES, KEITH</t>
  </si>
  <si>
    <t>HELM, CHASE</t>
  </si>
  <si>
    <t>HALE, DUSTIN</t>
  </si>
  <si>
    <t>TILLMAN-WILSON, QUE'LINDA</t>
  </si>
  <si>
    <t>MARENGO, KELLI</t>
  </si>
  <si>
    <t>PIERCE, CORTINA</t>
  </si>
  <si>
    <t>DAWSON, DALE</t>
  </si>
  <si>
    <t>HARDIN, KIMBERLY</t>
  </si>
  <si>
    <t>SUMNER, MONICA</t>
  </si>
  <si>
    <t>LAWS, TAMARA</t>
  </si>
  <si>
    <t>RICHARDSON, JENNA</t>
  </si>
  <si>
    <t>ARMAH, ELHAM</t>
  </si>
  <si>
    <t>LESTER, JASMINE</t>
  </si>
  <si>
    <t>SELF, MARGARET</t>
  </si>
  <si>
    <t>ROSS, KATHERINE</t>
  </si>
  <si>
    <t>EDINGTON, SHARENA</t>
  </si>
  <si>
    <t>SIDDONS, UPTON</t>
  </si>
  <si>
    <t>RAFAILOVICH-SOKOLOV, ARYEH</t>
  </si>
  <si>
    <t>SEIFERT, GARY</t>
  </si>
  <si>
    <t>HEMPHILL, EMILY</t>
  </si>
  <si>
    <t>JOHNSON, RACHEL</t>
  </si>
  <si>
    <t>WARD, AINDREA</t>
  </si>
  <si>
    <t>ROBINSON, JYRISSA</t>
  </si>
  <si>
    <t>APPLEGATE, TOSHA</t>
  </si>
  <si>
    <t>KRAUS, CARLA</t>
  </si>
  <si>
    <t>DURHAM, CYNTHIA</t>
  </si>
  <si>
    <t>MOORE, JORDAN</t>
  </si>
  <si>
    <t>DAVENPORT, KENNETH</t>
  </si>
  <si>
    <t>BLACK, NICOLE</t>
  </si>
  <si>
    <t>DICKINSON, KRISTEN</t>
  </si>
  <si>
    <t>DENTON, ASHLEY</t>
  </si>
  <si>
    <t>BLACK, LORI</t>
  </si>
  <si>
    <t>HARTZ, ELIZABETH</t>
  </si>
  <si>
    <t>SANDEFUR, JACOB</t>
  </si>
  <si>
    <t>SABINO, TASHA</t>
  </si>
  <si>
    <t>STRANGE, AUBREY</t>
  </si>
  <si>
    <t>KINMAN, ERIKA</t>
  </si>
  <si>
    <t>WINEMILLER, CHELSEA</t>
  </si>
  <si>
    <t>MADDOX, ANTHONY</t>
  </si>
  <si>
    <t>EBERHARD, COURTNEY</t>
  </si>
  <si>
    <t>BOWEN, LINDA</t>
  </si>
  <si>
    <t>SEE, LINDSEY</t>
  </si>
  <si>
    <t>MAYNOR, WILMA</t>
  </si>
  <si>
    <t>CASSIDY, TOMMIE</t>
  </si>
  <si>
    <t>HUNT, KEIAH</t>
  </si>
  <si>
    <t>HOWARD, TERI</t>
  </si>
  <si>
    <t>STREET, VIKTORIYA</t>
  </si>
  <si>
    <t>PASSARELLO, SARAH</t>
  </si>
  <si>
    <t>BRIDGES, BRAD</t>
  </si>
  <si>
    <t>FERRY, JENNIFER</t>
  </si>
  <si>
    <t>FRANCOIS, SADE ANITA</t>
  </si>
  <si>
    <t>LYON, JOSHUA</t>
  </si>
  <si>
    <t>ABULFARAJ, MAHER</t>
  </si>
  <si>
    <t>LIU, DANIEL</t>
  </si>
  <si>
    <t>YELURU, AJITHA</t>
  </si>
  <si>
    <t>LOE, WILLIAM</t>
  </si>
  <si>
    <t>HOLSTEAD, JULIE</t>
  </si>
  <si>
    <t>CUNNINGHAM, CAITLIN</t>
  </si>
  <si>
    <t>MARTIN, PHOEBE</t>
  </si>
  <si>
    <t>MURPHY, ANN</t>
  </si>
  <si>
    <t>NGUYEN, CINDY</t>
  </si>
  <si>
    <t>DIPONIO, ANGELA</t>
  </si>
  <si>
    <t>MCDOWELL, KYLIE</t>
  </si>
  <si>
    <t>LAMOUSIN, JAMES</t>
  </si>
  <si>
    <t>ROBERTS, LINDSEY</t>
  </si>
  <si>
    <t>PRINCE, JUDY</t>
  </si>
  <si>
    <t>FULLEN, CHRYSTAL</t>
  </si>
  <si>
    <t>TAYLOR, ASHLEY</t>
  </si>
  <si>
    <t>NARAYAN, DWAYNE</t>
  </si>
  <si>
    <t>NOLAN, JON</t>
  </si>
  <si>
    <t>STEWART, HAYLEY</t>
  </si>
  <si>
    <t>HENKEL, KATHERINE</t>
  </si>
  <si>
    <t>COOK, ARTHUR</t>
  </si>
  <si>
    <t>HART, HANNAH</t>
  </si>
  <si>
    <t>MOORE, CAROL</t>
  </si>
  <si>
    <t>FAY, JACOB</t>
  </si>
  <si>
    <t>HURWITZ, STEPHEN</t>
  </si>
  <si>
    <t>BUCKLEY, CHERIE</t>
  </si>
  <si>
    <t>GLOVER, CHELSEA</t>
  </si>
  <si>
    <t>HASTINGS, TESSA</t>
  </si>
  <si>
    <t>MOSELEY, LESLIE</t>
  </si>
  <si>
    <t>JOHNSTON, SETH</t>
  </si>
  <si>
    <t>STANFILL, ALEXANDRA</t>
  </si>
  <si>
    <t>REID, ALISYN</t>
  </si>
  <si>
    <t>O'DONOVAN, MARY</t>
  </si>
  <si>
    <t>WILLIAMS, AMY</t>
  </si>
  <si>
    <t>JENNINGS, DAVID</t>
  </si>
  <si>
    <t>ALLBRITTON, SHAWNNA</t>
  </si>
  <si>
    <t>SELL, DOUGLAS</t>
  </si>
  <si>
    <t>CURLIN, CHARITY</t>
  </si>
  <si>
    <t>SULLIVAN, JAN</t>
  </si>
  <si>
    <t>FOWERS, DANIELLE</t>
  </si>
  <si>
    <t>VANLEY, BREE</t>
  </si>
  <si>
    <t>STOKES, KATHERINE</t>
  </si>
  <si>
    <t>YODER, JOSEPH</t>
  </si>
  <si>
    <t>RENCK, GREGORY</t>
  </si>
  <si>
    <t>DICKSON, ANTHONEY</t>
  </si>
  <si>
    <t>MCCUTCHEN, MAKENZIE</t>
  </si>
  <si>
    <t>WARREN, SUSAN</t>
  </si>
  <si>
    <t>SCUDDER, MACI</t>
  </si>
  <si>
    <t>TRUJILLO, CECILLA</t>
  </si>
  <si>
    <t>STELMACH, HANS</t>
  </si>
  <si>
    <t>DOAK, EMILY</t>
  </si>
  <si>
    <t>SUTTER, PAIGE</t>
  </si>
  <si>
    <t>HENDERSON, MITZI</t>
  </si>
  <si>
    <t>WATERMAN, SUSAN</t>
  </si>
  <si>
    <t>HUNTER, HOLLY</t>
  </si>
  <si>
    <t>GLASS, SUMMER</t>
  </si>
  <si>
    <t>ANDERSON, LAUREN</t>
  </si>
  <si>
    <t>COX, NEELEY</t>
  </si>
  <si>
    <t>DAVIS, LAUREN</t>
  </si>
  <si>
    <t>MYERS, JENNA</t>
  </si>
  <si>
    <t>NUESSEN, JESSICA</t>
  </si>
  <si>
    <t>SHEPHARD, JOY</t>
  </si>
  <si>
    <t>FRANKE, KATI</t>
  </si>
  <si>
    <t>PERRY, JESSICA</t>
  </si>
  <si>
    <t>HERTEL, INDIA</t>
  </si>
  <si>
    <t>PAHLS, TAYLOR</t>
  </si>
  <si>
    <t>TANAKA, KIRSTIE</t>
  </si>
  <si>
    <t>LOVICK, BRITTANY</t>
  </si>
  <si>
    <t>HAYNES, ROCKY</t>
  </si>
  <si>
    <t>AROMIN, JOURDAN</t>
  </si>
  <si>
    <t>ROGOVER, KAYLA</t>
  </si>
  <si>
    <t>GIBSON, MIRANDA</t>
  </si>
  <si>
    <t>BANKS, MARY</t>
  </si>
  <si>
    <t>MULLIS, ANNA</t>
  </si>
  <si>
    <t>DUNN-MCKINLEY, CYDELLA</t>
  </si>
  <si>
    <t>WILSON, ANNA</t>
  </si>
  <si>
    <t>JACKSON, GRACE</t>
  </si>
  <si>
    <t>MEEKS, MARY</t>
  </si>
  <si>
    <t>JOHNSON, VERONICA</t>
  </si>
  <si>
    <t>ROPP, RYAN</t>
  </si>
  <si>
    <t>HILL, NICOLE</t>
  </si>
  <si>
    <t>NEUBAUER, SARAH</t>
  </si>
  <si>
    <t>CARLSON, AMANDA</t>
  </si>
  <si>
    <t>RAHMAN, SABREEN</t>
  </si>
  <si>
    <t>BOYERS, EMILY</t>
  </si>
  <si>
    <t>KING, ESTEL</t>
  </si>
  <si>
    <t>PARIS, NICOLE</t>
  </si>
  <si>
    <t>CATES, AMY</t>
  </si>
  <si>
    <t>LIUBICICH, JEFFREY</t>
  </si>
  <si>
    <t>STIPP, ADDYSON</t>
  </si>
  <si>
    <t>CHANNING, CARIN</t>
  </si>
  <si>
    <t>DORN, NICHOLLE</t>
  </si>
  <si>
    <t>MCINTYRE, JEANNETTE</t>
  </si>
  <si>
    <t>SOULE, JESSICA</t>
  </si>
  <si>
    <t>ROBINSON, GEORGIANA</t>
  </si>
  <si>
    <t>COUNTS, ASHLEY</t>
  </si>
  <si>
    <t>POSEY, MICHELLE</t>
  </si>
  <si>
    <t>HESSELBEIN, SHALAE</t>
  </si>
  <si>
    <t>DAVIES, VICTORIA</t>
  </si>
  <si>
    <t>HAMMONS, KELSIE</t>
  </si>
  <si>
    <t>HOLLADAY, DEIRDRE</t>
  </si>
  <si>
    <t>INGRAM, BRIDGET</t>
  </si>
  <si>
    <t>HUBBARD, DONALD</t>
  </si>
  <si>
    <t>TRIPP, MARY</t>
  </si>
  <si>
    <t>GRUMME RODRIGUEZ, KAREN</t>
  </si>
  <si>
    <t>GATELY, AUDRA</t>
  </si>
  <si>
    <t>MAKWANA, MAYUR</t>
  </si>
  <si>
    <t>PERRYMAN, ASHLYN</t>
  </si>
  <si>
    <t>GRIFFITH, TAYLOR</t>
  </si>
  <si>
    <t>RYDER, MEGHAN</t>
  </si>
  <si>
    <t>MARTIN, WILLIAM</t>
  </si>
  <si>
    <t>BENTON, CRISTY</t>
  </si>
  <si>
    <t>TALHELM, PAIGE</t>
  </si>
  <si>
    <t>DENNIS, CHARLETTA</t>
  </si>
  <si>
    <t>KOLBE, ANH DAO</t>
  </si>
  <si>
    <t>BELL, BROOKE</t>
  </si>
  <si>
    <t>BOS, JON</t>
  </si>
  <si>
    <t>MISENHEIMER, CAITLIN</t>
  </si>
  <si>
    <t>MURRAY, SARAH</t>
  </si>
  <si>
    <t>RIAL, DENISE</t>
  </si>
  <si>
    <t>CLAY, SIERRA</t>
  </si>
  <si>
    <t>GREEN, MADISON</t>
  </si>
  <si>
    <t>MATAMOROS, JULIA</t>
  </si>
  <si>
    <t>OZANICH, CHRISTINA</t>
  </si>
  <si>
    <t>HUCKABAY, BRITTNI</t>
  </si>
  <si>
    <t>STOKENBURY, ARTHUR</t>
  </si>
  <si>
    <t>STEELE, CHELSI</t>
  </si>
  <si>
    <t>FRY, RODNEY</t>
  </si>
  <si>
    <t>VANGILST, DORCAS</t>
  </si>
  <si>
    <t>BURGER, STEPHEN</t>
  </si>
  <si>
    <t>LIVINGSTON, BRITTANY</t>
  </si>
  <si>
    <t>BUTLER, SAMANTHA</t>
  </si>
  <si>
    <t>WELLS, JESSICA</t>
  </si>
  <si>
    <t>MOORE, SARAH</t>
  </si>
  <si>
    <t>WOODRUFF, PEYTON</t>
  </si>
  <si>
    <t>FELKER, CHRISTINA</t>
  </si>
  <si>
    <t>ISAAC, LUCIEN NAHUM</t>
  </si>
  <si>
    <t>JENNINGS-HOOD, HELEN</t>
  </si>
  <si>
    <t>SUTTON, SHERI'</t>
  </si>
  <si>
    <t>BROWN-BENSON, BRANDI</t>
  </si>
  <si>
    <t>DYKES, DEWEY</t>
  </si>
  <si>
    <t>MEEKER, LESLIE</t>
  </si>
  <si>
    <t>GOODWIN, KRISTY</t>
  </si>
  <si>
    <t>STRICKLAND, MATTHEW</t>
  </si>
  <si>
    <t>PAYNE, JENNIFER</t>
  </si>
  <si>
    <t>BLEVINS, CHEYENNE</t>
  </si>
  <si>
    <t>STARLING, JAIME</t>
  </si>
  <si>
    <t>QUARLES, ANTHONY</t>
  </si>
  <si>
    <t>CAO, MICHAEL</t>
  </si>
  <si>
    <t>DUHAIME, GANIECE</t>
  </si>
  <si>
    <t>ALEXANDER, LAQUINDA</t>
  </si>
  <si>
    <t>BROWN, AUSTIN</t>
  </si>
  <si>
    <t>DEYO, MICHAEL</t>
  </si>
  <si>
    <t>GRIM, JENNIFER</t>
  </si>
  <si>
    <t>THOMAS, STACEY</t>
  </si>
  <si>
    <t>GRIFFIN, CHRISTINA</t>
  </si>
  <si>
    <t>ALBEY, KELLYE</t>
  </si>
  <si>
    <t>LEWIS, SAVANNAH</t>
  </si>
  <si>
    <t>BUCKLEY, FINOLA</t>
  </si>
  <si>
    <t>HENSON, JEREMY</t>
  </si>
  <si>
    <t>NEGRON, IRIS</t>
  </si>
  <si>
    <t>BLACKBURN, AMBER</t>
  </si>
  <si>
    <t>BARTLETT, JOYLYN</t>
  </si>
  <si>
    <t>DEWBRE, KATHY</t>
  </si>
  <si>
    <t>BUSHEY, SAMANTHA</t>
  </si>
  <si>
    <t>TURNER, ROSHARON</t>
  </si>
  <si>
    <t>KEMPER, ROBERT</t>
  </si>
  <si>
    <t>HAWKINS, STEPHANIE</t>
  </si>
  <si>
    <t>DAVIS, TARA</t>
  </si>
  <si>
    <t>O'BOYLE, BONNIE</t>
  </si>
  <si>
    <t>GARRARD, SHEENA</t>
  </si>
  <si>
    <t>SIMON, NICOLE</t>
  </si>
  <si>
    <t>SCOTT, SAVANNA</t>
  </si>
  <si>
    <t>TURNER, JENNIFER</t>
  </si>
  <si>
    <t>CAVES, LESLIE</t>
  </si>
  <si>
    <t>CLEMMONS, NICHOLAS</t>
  </si>
  <si>
    <t>BURNS, JOSHUA</t>
  </si>
  <si>
    <t>DUNCAN, JOSHUA</t>
  </si>
  <si>
    <t>BLACK, NICKOLAS</t>
  </si>
  <si>
    <t>ARMENTEROS, JESSICA</t>
  </si>
  <si>
    <t>PARKER, CHARIS</t>
  </si>
  <si>
    <t>WOODS, JAMIE</t>
  </si>
  <si>
    <t>BINKOWSKI, ALEXANDRIA</t>
  </si>
  <si>
    <t>SEGRAVES, BRIANNA</t>
  </si>
  <si>
    <t>LEWIS, SHAR'DAE</t>
  </si>
  <si>
    <t>WALTERS, ROBERTA</t>
  </si>
  <si>
    <t>SIMPSON, DENESHIA</t>
  </si>
  <si>
    <t>BROWN, MARIAH</t>
  </si>
  <si>
    <t>RODGERS, GLENNA</t>
  </si>
  <si>
    <t>HARRINGTON, JENNIFER</t>
  </si>
  <si>
    <t>LUMSEY, RASHEEDA</t>
  </si>
  <si>
    <t>TOMBLYN, MICHAEL</t>
  </si>
  <si>
    <t>MOSCOSO MARTINEZ, SANTIAGO</t>
  </si>
  <si>
    <t>MALLORY, MATTHEW</t>
  </si>
  <si>
    <t>WONG, GORDON</t>
  </si>
  <si>
    <t>AL HADIDI, SAMER</t>
  </si>
  <si>
    <t>MALAPATI, SINDHU</t>
  </si>
  <si>
    <t>WOLFE, ADAM</t>
  </si>
  <si>
    <t>SHARMA, ANKUR</t>
  </si>
  <si>
    <t>XU, KAREN</t>
  </si>
  <si>
    <t>SCHWARTZ, DAVID</t>
  </si>
  <si>
    <t>MUTHUSAMY, PURUSHOTHAMAN</t>
  </si>
  <si>
    <t>TARUN, TUSHAR</t>
  </si>
  <si>
    <t>BEEDUPALLI, JAGAN</t>
  </si>
  <si>
    <t>RAFIQUE, MUHAMMAD</t>
  </si>
  <si>
    <t>GURUCHANDRASEKAR, SANCHITA</t>
  </si>
  <si>
    <t>PATEL, KRUTI</t>
  </si>
  <si>
    <t>ARTHUR, LINDSAY</t>
  </si>
  <si>
    <t>SUNKARA, ANUSHA</t>
  </si>
  <si>
    <t>GRANDY, SCARLETT</t>
  </si>
  <si>
    <t>ALEXANDER, TIFFANY</t>
  </si>
  <si>
    <t>MARQUETTE, MARY</t>
  </si>
  <si>
    <t>WHATLEY, SHANNON</t>
  </si>
  <si>
    <t>AUGHENBAUGH, ASHLEY</t>
  </si>
  <si>
    <t>ADDY, SOPHIA</t>
  </si>
  <si>
    <t>SALMAN, ZAFIRAH</t>
  </si>
  <si>
    <t>FLOREZ, JAMES</t>
  </si>
  <si>
    <t>HIGGINS, PATRICK</t>
  </si>
  <si>
    <t>HOLT, ANDREW</t>
  </si>
  <si>
    <t>WILLIAMS, GEORGE</t>
  </si>
  <si>
    <t>BOSTAJI, MUHAMMAD</t>
  </si>
  <si>
    <t>RAMOS RAMIREZ, MANUEL</t>
  </si>
  <si>
    <t>KHAN, JUNAID</t>
  </si>
  <si>
    <t>MACAULEY, PRECIOUS</t>
  </si>
  <si>
    <t>PETERS, JARMIL</t>
  </si>
  <si>
    <t>MOTAHARI, HOOMAN</t>
  </si>
  <si>
    <t>FREESE, JURHEE</t>
  </si>
  <si>
    <t>DELANEY FREEDMAN, ANGELA</t>
  </si>
  <si>
    <t>MAK, DANIEL</t>
  </si>
  <si>
    <t>SHAFIQ, TABINDA</t>
  </si>
  <si>
    <t>CHANDRA REDDY, SOWMYA</t>
  </si>
  <si>
    <t>TAMHANE, SHRIKANT</t>
  </si>
  <si>
    <t>AKINSEYE, LEAH</t>
  </si>
  <si>
    <t>GUPTA, ALISHA</t>
  </si>
  <si>
    <t>JARRETT, KENNETH</t>
  </si>
  <si>
    <t>HUDSON, EVA</t>
  </si>
  <si>
    <t>RAFIEETARY, SALAR</t>
  </si>
  <si>
    <t>BONE, LOGAN</t>
  </si>
  <si>
    <t>GHAFFARIEH, ALIREZA</t>
  </si>
  <si>
    <t>LARSON, JESSICA</t>
  </si>
  <si>
    <t>DRYDEN, JENNIFER</t>
  </si>
  <si>
    <t>FRIDAY, CAMILLE</t>
  </si>
  <si>
    <t>SULLIVAN, SCOTT</t>
  </si>
  <si>
    <t>AVILEZ, ANNIE</t>
  </si>
  <si>
    <t>ZACHRY, CURTIS</t>
  </si>
  <si>
    <t>NGUYEN, THUY DUNG</t>
  </si>
  <si>
    <t>VAN HORN, HANNAH</t>
  </si>
  <si>
    <t>MCWHORTER, RICHARD</t>
  </si>
  <si>
    <t>HAN, DONGYEON</t>
  </si>
  <si>
    <t>VICENA, JOSHUA</t>
  </si>
  <si>
    <t>ADAMS, CYRUS</t>
  </si>
  <si>
    <t>UMBREIT, ERIC</t>
  </si>
  <si>
    <t>KILLIAN, MARY</t>
  </si>
  <si>
    <t>CAMPBELL, CHRISTOPHER</t>
  </si>
  <si>
    <t>RILEY, JULIE</t>
  </si>
  <si>
    <t>ORTIZ-HERNANDEZ, VANESSA</t>
  </si>
  <si>
    <t>BARBER, AUSTIN</t>
  </si>
  <si>
    <t>JOHNSTON, CARL</t>
  </si>
  <si>
    <t>SHING, DEVYN</t>
  </si>
  <si>
    <t>CHU, HENRY</t>
  </si>
  <si>
    <t>BIRD, DANIEL</t>
  </si>
  <si>
    <t>REMOVE</t>
  </si>
  <si>
    <t>WILLIFORD, ZAQUIARY</t>
  </si>
  <si>
    <t>DAO, ANNA</t>
  </si>
  <si>
    <t>CRAWFORD, CAROLINE</t>
  </si>
  <si>
    <t>GARIGA, NIRUPA</t>
  </si>
  <si>
    <t>POWELL, JORDAN</t>
  </si>
  <si>
    <t>MURAD, MUHAMMAD</t>
  </si>
  <si>
    <t>MATTHEWS, HENRY</t>
  </si>
  <si>
    <t>MARTIN, LAUREN</t>
  </si>
  <si>
    <t>DUPREE, JAMES</t>
  </si>
  <si>
    <t>THAO, LONG</t>
  </si>
  <si>
    <t>PHAM, LYNHTHY</t>
  </si>
  <si>
    <t>RIDDLE, RUFUS</t>
  </si>
  <si>
    <t>DOYLE, ZACHARY</t>
  </si>
  <si>
    <t>CARROCCIO, ISAAC</t>
  </si>
  <si>
    <t>LEONARD, ETHAN</t>
  </si>
  <si>
    <t>TOOLE, DREW</t>
  </si>
  <si>
    <t>BUSHAY, TERRY</t>
  </si>
  <si>
    <t>CARD, CAMELLA</t>
  </si>
  <si>
    <t>SMITH, NICOLET</t>
  </si>
  <si>
    <t>SPARKS, JACOB</t>
  </si>
  <si>
    <t>GARCES, MIKAEL</t>
  </si>
  <si>
    <t>RIDENOUR, LLOYD</t>
  </si>
  <si>
    <t>NARITA, LUCIAN</t>
  </si>
  <si>
    <t>MCDANIELS, MICHAEL</t>
  </si>
  <si>
    <t>BAINS, SARITA</t>
  </si>
  <si>
    <t>OUDIN, CAROLINE</t>
  </si>
  <si>
    <t>MALLETT, MARK</t>
  </si>
  <si>
    <t>MATONE, TANNER</t>
  </si>
  <si>
    <t>ASHABRANNER, SLOAN</t>
  </si>
  <si>
    <t>CHRISTIAN, JAMES</t>
  </si>
  <si>
    <t>BREIT, MATTHEW</t>
  </si>
  <si>
    <t>PENDLETON GREENE, MELODY</t>
  </si>
  <si>
    <t>PATEL, NIKITA</t>
  </si>
  <si>
    <t>FULMER, CHAD</t>
  </si>
  <si>
    <t>EVANS, LEAH</t>
  </si>
  <si>
    <t>SMITH, VENETIA</t>
  </si>
  <si>
    <t>CHAUNCY, CANDACE</t>
  </si>
  <si>
    <t>EVANS, SARA</t>
  </si>
  <si>
    <t>SANDERS, KAYLA</t>
  </si>
  <si>
    <t>GAINES, MEREDITH</t>
  </si>
  <si>
    <t>EDGMON, ERIN</t>
  </si>
  <si>
    <t>WHITE, KATELYN</t>
  </si>
  <si>
    <t>REYNOLDS, DANIELLE</t>
  </si>
  <si>
    <t>BEYER, ANGELA</t>
  </si>
  <si>
    <t>LOE, ASHLEY</t>
  </si>
  <si>
    <t>GAMBLE, VICTORIA</t>
  </si>
  <si>
    <t>AUGUSTA, TRACIE</t>
  </si>
  <si>
    <t>BROWN, BRITTANY</t>
  </si>
  <si>
    <t>RUIZ GONZALEZ, HELBERT</t>
  </si>
  <si>
    <t>BURK, HALEY</t>
  </si>
  <si>
    <t>WILKES, LAUREN</t>
  </si>
  <si>
    <t>NERREN, JAYNEE</t>
  </si>
  <si>
    <t>NEUDECKER, ELIZABETH</t>
  </si>
  <si>
    <t>TAYLOR-BUFFORD, TAMMY</t>
  </si>
  <si>
    <t>MANLEY, KATHERINE</t>
  </si>
  <si>
    <t>CHI ST. VINCENT INFIRMARY</t>
  </si>
  <si>
    <t>FRESHLY RENEWED TRANSITIONAL</t>
  </si>
  <si>
    <t>MALCOM, KELLY</t>
  </si>
  <si>
    <t>BUTTERWORTH, JULIE</t>
  </si>
  <si>
    <t>MCKAMEY, CAROLYN</t>
  </si>
  <si>
    <t>CRENSHAW, MEAGAN</t>
  </si>
  <si>
    <t>BEHRMAN, KARLYE</t>
  </si>
  <si>
    <t>STREIT, NANCY</t>
  </si>
  <si>
    <t>YOUNG, QIANA</t>
  </si>
  <si>
    <t>CODAY, MATHILDA</t>
  </si>
  <si>
    <t>BRAWNER, CHELSEA</t>
  </si>
  <si>
    <t>MERRITT, ANITA</t>
  </si>
  <si>
    <t>KIRKWOOD, REDA</t>
  </si>
  <si>
    <t>CREEKSIDE HEALTH AND REHABILITATION, LLC</t>
  </si>
  <si>
    <t>BARROW HEALTHCARE LLC</t>
  </si>
  <si>
    <t>LINCO HEALTH, INC.</t>
  </si>
  <si>
    <t>ARKANSAS METHODIST HOSPITAL CORPORATION</t>
  </si>
  <si>
    <t>STAR CITY SNF OPERATIONS, LLC</t>
  </si>
  <si>
    <t>WEST MEMPHIS OPERATORS LLC</t>
  </si>
  <si>
    <t>ALLAY HEALTHCARE LLC</t>
  </si>
  <si>
    <t>HIGHLANDS OF BELLA VISTA HEALTH &amp; REHAB LLC</t>
  </si>
  <si>
    <t>VALLEY RANCH HEALTHCARE LLC</t>
  </si>
  <si>
    <t>ALMA NURSING AND REHAB LLC</t>
  </si>
  <si>
    <t>LEWIS, LELA</t>
  </si>
  <si>
    <t>EVEREST REHABILITATION HOSPITAL BENTONVILLE, LLC</t>
  </si>
  <si>
    <t>MERCY REHABILITATION HOSPITAL, LLC</t>
  </si>
  <si>
    <t>MAINLINE PHARMACY SERVICES INC</t>
  </si>
  <si>
    <t>ST. FRANCIS DISCOUNT PHARMACY LLC</t>
  </si>
  <si>
    <t>HARRISBURG FAMILY PHARMACY</t>
  </si>
  <si>
    <t>PHARMCARE USA OF ARKANSAS, LLC</t>
  </si>
  <si>
    <t>HIGHLANDS ONCOLOGY GROUP, PA</t>
  </si>
  <si>
    <t>PRUETT'S FOOD, INC.</t>
  </si>
  <si>
    <t>BAPTIST MEMORIAL MEDICAL GROUP INC</t>
  </si>
  <si>
    <t>MINDEN FAMILY PHARMACY LLC</t>
  </si>
  <si>
    <t>RPCS, INC.</t>
  </si>
  <si>
    <t>GOOD GRACES</t>
  </si>
  <si>
    <t>THE DAILY DOSE PHARMACY LLC</t>
  </si>
  <si>
    <t>WALLING DRUG, LLC</t>
  </si>
  <si>
    <t>HAIRE DRUG CENTER LLC</t>
  </si>
  <si>
    <t>PLAZA PHARMACY LLC</t>
  </si>
  <si>
    <t>BENSONS PHARMACY II</t>
  </si>
  <si>
    <t>MD CLINICS LLC</t>
  </si>
  <si>
    <t>MALVERN FAMILY PHARMACY LLC</t>
  </si>
  <si>
    <t>DEBBIE'S FAMILY PHARMACY, INC.</t>
  </si>
  <si>
    <t>GURDON PHARMACY LLC</t>
  </si>
  <si>
    <t>ST. BERNARDS HOSPITAL INC</t>
  </si>
  <si>
    <t>EAST TEXAS BORDER HEALTH CLINIC</t>
  </si>
  <si>
    <t>NB PHARMACY, LLC</t>
  </si>
  <si>
    <t>RXRN HEALTH</t>
  </si>
  <si>
    <t>SPECIALTY CARE RX LLC</t>
  </si>
  <si>
    <t>SCPG MISSISSIPPI LLC</t>
  </si>
  <si>
    <t>RED RIVER PHARMACY OF JONESBORO LLC</t>
  </si>
  <si>
    <t>BSRX SERVICES LLC</t>
  </si>
  <si>
    <t>AVITA DRUGS TENNESSEE, LLC</t>
  </si>
  <si>
    <t>HOLIDAY ISLAND PHARMACY, LLC</t>
  </si>
  <si>
    <t>SCPG TENNESSEE LLC</t>
  </si>
  <si>
    <t>3 BROTHERS PHARMACY LLC</t>
  </si>
  <si>
    <t>RXEAGLE LLC</t>
  </si>
  <si>
    <t>BEEBE DRUG INC</t>
  </si>
  <si>
    <t>SHERIDAN FAMILY PHARMACY LLC</t>
  </si>
  <si>
    <t>DRUG ROOM INC</t>
  </si>
  <si>
    <t>CANADA, INC.</t>
  </si>
  <si>
    <t>CYF PHARMACY, LLC</t>
  </si>
  <si>
    <t>CARROUTHRX</t>
  </si>
  <si>
    <t>ALLCARE CORRECTIONAL LLC</t>
  </si>
  <si>
    <t>HARVEY PHARMACY LLC</t>
  </si>
  <si>
    <t>QUESS PHARMACY INC.</t>
  </si>
  <si>
    <t>PAULK, LAUREN</t>
  </si>
  <si>
    <t>NAMBUSI, RACHAEL</t>
  </si>
  <si>
    <t>PARISH, MICHELLE</t>
  </si>
  <si>
    <t>HULS, BRITTANY</t>
  </si>
  <si>
    <t>PARKER, VIRGINIA</t>
  </si>
  <si>
    <t>SHRIVES, ASHLEY</t>
  </si>
  <si>
    <t>MAUPIN, LEROY</t>
  </si>
  <si>
    <t>WELLS, STEVEN</t>
  </si>
  <si>
    <t>GLOVER, JULIE</t>
  </si>
  <si>
    <t>JACKSON, KIERRA</t>
  </si>
  <si>
    <t>LUSTER, ERIC</t>
  </si>
  <si>
    <t>DUNHAM, KATHERINE</t>
  </si>
  <si>
    <t>PHIPPS, CRYSTAL</t>
  </si>
  <si>
    <t>BEAN, BRIAN</t>
  </si>
  <si>
    <t>BRUNER, TARA</t>
  </si>
  <si>
    <t>CRUCE, MEGAN</t>
  </si>
  <si>
    <t>THOMAS, JEFF</t>
  </si>
  <si>
    <t>GOODMAN, AMBER</t>
  </si>
  <si>
    <t>HANEY, MELANIE</t>
  </si>
  <si>
    <t>THRASH, ELAINE</t>
  </si>
  <si>
    <t>COSSEY, LEAH</t>
  </si>
  <si>
    <t>HOWELL, SARAH</t>
  </si>
  <si>
    <t>CHEVES, ANGELA</t>
  </si>
  <si>
    <t>SMITH, STARLA</t>
  </si>
  <si>
    <t>CURTIS, RACHAEL</t>
  </si>
  <si>
    <t>KENDRICK, GREGORY</t>
  </si>
  <si>
    <t>GRAY, GEORGE</t>
  </si>
  <si>
    <t>PURIFOY, JODY</t>
  </si>
  <si>
    <t>MCCLINTON, ERNEST</t>
  </si>
  <si>
    <t>MCCRADY, KATHERINE</t>
  </si>
  <si>
    <t>CALDWELL, TOMMY</t>
  </si>
  <si>
    <t>PRUITT, MATTHEW</t>
  </si>
  <si>
    <t>EASTON, VERONICA</t>
  </si>
  <si>
    <t>DRAPER, VIRGINIA</t>
  </si>
  <si>
    <t>SMITH, AARON</t>
  </si>
  <si>
    <t>HENSON, LAUREN</t>
  </si>
  <si>
    <t>AGRE, KELSEY</t>
  </si>
  <si>
    <t>GEBHARDT, FAITH</t>
  </si>
  <si>
    <t>CEARLEY, BRYAN</t>
  </si>
  <si>
    <t>MCCUTCHEON, ADRIENNE</t>
  </si>
  <si>
    <t>HILL, LACY</t>
  </si>
  <si>
    <t>MITCHELL, MICHAEL</t>
  </si>
  <si>
    <t>LAMBERT, COURTNEY</t>
  </si>
  <si>
    <t>IVY, LISA</t>
  </si>
  <si>
    <t>CLIFTON, SHELLY</t>
  </si>
  <si>
    <t>MCCLINTOCK, JACOB</t>
  </si>
  <si>
    <t>MCMELLON, STEPHANIE</t>
  </si>
  <si>
    <t>DODDS, BRANDON</t>
  </si>
  <si>
    <t>CROCKER, ALEXANDRIA</t>
  </si>
  <si>
    <t>WEST, JUSTICE</t>
  </si>
  <si>
    <t>COOPER, NATALIE</t>
  </si>
  <si>
    <t>WALLS, BROOKE</t>
  </si>
  <si>
    <t>BENAVIDES, KELSIE</t>
  </si>
  <si>
    <t>GARTNER, REBECCA</t>
  </si>
  <si>
    <t>VALENTINE, MICHAEL</t>
  </si>
  <si>
    <t>KAJITANI, KARI</t>
  </si>
  <si>
    <t>TOUCHTON, JASON</t>
  </si>
  <si>
    <t>RAINWATER, LAUREN</t>
  </si>
  <si>
    <t>RODGERS, MATTHEW</t>
  </si>
  <si>
    <t>PAYNE, LAKYN</t>
  </si>
  <si>
    <t>GOLLIVER, MELANIE</t>
  </si>
  <si>
    <t>TOON, MEGAN</t>
  </si>
  <si>
    <t>BAKER, MAKAYA</t>
  </si>
  <si>
    <t>ALAM, EJAZ</t>
  </si>
  <si>
    <t>STAGGS, EMILY</t>
  </si>
  <si>
    <t>BREWER, MEREDITH</t>
  </si>
  <si>
    <t>AHMED, MOHANNED</t>
  </si>
  <si>
    <t>JARCAIG, ERICA</t>
  </si>
  <si>
    <t>JEANE, HANNAH</t>
  </si>
  <si>
    <t>SANDUSKY, TARA</t>
  </si>
  <si>
    <t>WELTER, KAYLEN</t>
  </si>
  <si>
    <t>BODENHAMER, JODI</t>
  </si>
  <si>
    <t>MCMULLEN, BRITNEY</t>
  </si>
  <si>
    <t>KYER, AARON</t>
  </si>
  <si>
    <t>TORRENCE, LEAMON</t>
  </si>
  <si>
    <t>THOMAS, JOSEPH</t>
  </si>
  <si>
    <t>COCHRAN, ERANESHA</t>
  </si>
  <si>
    <t>WALKER, KANDICE</t>
  </si>
  <si>
    <t>THOMPSON, KRISTY</t>
  </si>
  <si>
    <t>STOREY, MORGAN</t>
  </si>
  <si>
    <t>MCGEHEE, WESLEY</t>
  </si>
  <si>
    <t>CARRELL, SHAWN</t>
  </si>
  <si>
    <t>HAGEMAN, SUSAN</t>
  </si>
  <si>
    <t>COLE, MACKENZIE</t>
  </si>
  <si>
    <t>WRIGHT, KATHRYN</t>
  </si>
  <si>
    <t>ANDERSON, AMANDA</t>
  </si>
  <si>
    <t>LONG, ASHLEY</t>
  </si>
  <si>
    <t>HEAD, JOHN</t>
  </si>
  <si>
    <t>FULLER, MEGAN</t>
  </si>
  <si>
    <t>GULLEY, ANGEL</t>
  </si>
  <si>
    <t>DEVALL, LAURA</t>
  </si>
  <si>
    <t>GRIGG, SARA</t>
  </si>
  <si>
    <t>BERRY, MARTHA</t>
  </si>
  <si>
    <t>BURNS, ANGELA</t>
  </si>
  <si>
    <t>LAWRENCE, LARA</t>
  </si>
  <si>
    <t>TEAGUE, TIFFANY</t>
  </si>
  <si>
    <t>SCOTT, BILLIE</t>
  </si>
  <si>
    <t>LEWIS, JENNIFER</t>
  </si>
  <si>
    <t>TOON, KATHLEEN</t>
  </si>
  <si>
    <t>CHANCELLOR, TANYA</t>
  </si>
  <si>
    <t>OSBORN, ANGELA</t>
  </si>
  <si>
    <t>DIEP, LINDA</t>
  </si>
  <si>
    <t>MURPHY, KYLA</t>
  </si>
  <si>
    <t>GATELEY, SUSAN</t>
  </si>
  <si>
    <t>PHILLIPS, RICHARD</t>
  </si>
  <si>
    <t>NEWMAN, STEPHANIE</t>
  </si>
  <si>
    <t>LAMBERT, JENNIFER</t>
  </si>
  <si>
    <t>NORTH-FLANAGAN, STACY</t>
  </si>
  <si>
    <t>PARTIN, JUSTIN</t>
  </si>
  <si>
    <t>REYNOLDS, BRITTANY</t>
  </si>
  <si>
    <t>MAR, JAMIE</t>
  </si>
  <si>
    <t>MILLER, MARISSA</t>
  </si>
  <si>
    <t>PEJSA, STACEY</t>
  </si>
  <si>
    <t>SHIPMAN, DEBORAH</t>
  </si>
  <si>
    <t>HILL, CARLA</t>
  </si>
  <si>
    <t>SMEDLEY, DAWN</t>
  </si>
  <si>
    <t>WARGO, TIFFANY</t>
  </si>
  <si>
    <t>CONNERLY, ABIGAIL</t>
  </si>
  <si>
    <t>ROSS, LEAH</t>
  </si>
  <si>
    <t>YAP, JOSHUA</t>
  </si>
  <si>
    <t>MULLINS-MOATS, MARGARET</t>
  </si>
  <si>
    <t>MATLOCK, ALEX</t>
  </si>
  <si>
    <t>QEDAN, SAMAR</t>
  </si>
  <si>
    <t>STUCKEY, JESSIE</t>
  </si>
  <si>
    <t>TYLER, HALEY</t>
  </si>
  <si>
    <t>RICHARD, CHRISTY</t>
  </si>
  <si>
    <t>NORWOOD, JOHN</t>
  </si>
  <si>
    <t>STAGE, PATRICK</t>
  </si>
  <si>
    <t>PIKER, JEANETTE</t>
  </si>
  <si>
    <t>TANGELLA, SUDHEER</t>
  </si>
  <si>
    <t>FOLEY, JOSEPH</t>
  </si>
  <si>
    <t>WILLIAMS, CODY</t>
  </si>
  <si>
    <t>CLUTE, LESIA</t>
  </si>
  <si>
    <t>HUTCHINS, LINDSAY</t>
  </si>
  <si>
    <t>FRIZZELL, JARRETT</t>
  </si>
  <si>
    <t>JOHNSON, DWIGHT</t>
  </si>
  <si>
    <t>BROWN, ROLAND</t>
  </si>
  <si>
    <t>VARLAS, PANTELHS</t>
  </si>
  <si>
    <t>HARRIS, STACY</t>
  </si>
  <si>
    <t>WHITEFIELD, LESLIE</t>
  </si>
  <si>
    <t>GOODNIGHT, GRETCHEN</t>
  </si>
  <si>
    <t>TACKETT, TONI</t>
  </si>
  <si>
    <t>SHARP, LINDSEY</t>
  </si>
  <si>
    <t>BROWN, ELISABETH</t>
  </si>
  <si>
    <t>STEWART, KAITLEN</t>
  </si>
  <si>
    <t>BEARDEN, SHANNON</t>
  </si>
  <si>
    <t>JOHNSON, CAMIKA</t>
  </si>
  <si>
    <t>JOHNSON, FELICIA</t>
  </si>
  <si>
    <t>MONEY, BROOKE</t>
  </si>
  <si>
    <t>BETTIS, PENNY</t>
  </si>
  <si>
    <t>FRANCO, MIRANDA</t>
  </si>
  <si>
    <t>BAGWELL, CHARLENA</t>
  </si>
  <si>
    <t>SHEDD, LEONUS</t>
  </si>
  <si>
    <t>REDDY, VIJAYABHASKER</t>
  </si>
  <si>
    <t>SCARBROUGH, TAD</t>
  </si>
  <si>
    <t>ESPINO, ERWIN</t>
  </si>
  <si>
    <t>FLETCHER, BRANDI</t>
  </si>
  <si>
    <t>CHICK, MELISSA</t>
  </si>
  <si>
    <t>LOVE, CASSANDRA</t>
  </si>
  <si>
    <t>TILLEY, ZACHARY</t>
  </si>
  <si>
    <t>CRANFORD, ANNDI</t>
  </si>
  <si>
    <t>BOURNE, LINDSEY</t>
  </si>
  <si>
    <t>BROCK, KRISTOL</t>
  </si>
  <si>
    <t>OWEN, JEREMY</t>
  </si>
  <si>
    <t>MURRELL, LENISE</t>
  </si>
  <si>
    <t>YEAGER-BOCK, ANGY</t>
  </si>
  <si>
    <t>JANSEN, PHILIP</t>
  </si>
  <si>
    <t>BRISTER, MATTHEW</t>
  </si>
  <si>
    <t>ESTRADA-FLORES, PANFILO</t>
  </si>
  <si>
    <t>CHASTAIN, EMILY</t>
  </si>
  <si>
    <t>RICKER, DANNY</t>
  </si>
  <si>
    <t>SPARLING, MADELINE</t>
  </si>
  <si>
    <t>DILLARD, PAULA</t>
  </si>
  <si>
    <t>GRANT, GRAYSON</t>
  </si>
  <si>
    <t>JONES, KRISTINA</t>
  </si>
  <si>
    <t>MOSCHNER, JESSICA</t>
  </si>
  <si>
    <t>TYREE, EMILY</t>
  </si>
  <si>
    <t>DUTTON, KATHRYN</t>
  </si>
  <si>
    <t>SCHILLING, JONATHAN</t>
  </si>
  <si>
    <t>REED, ASHLEY</t>
  </si>
  <si>
    <t>DANIEL, JESSICA</t>
  </si>
  <si>
    <t>COBB, NATALIE</t>
  </si>
  <si>
    <t>DYCUS, TAYLOR</t>
  </si>
  <si>
    <t>OGHINA, OKEYO</t>
  </si>
  <si>
    <t>JULIAN, JENNIFER</t>
  </si>
  <si>
    <t>GRAVES, CALLIE</t>
  </si>
  <si>
    <t>ZEPEDA, JACK</t>
  </si>
  <si>
    <t>THOMAS, LAUREN</t>
  </si>
  <si>
    <t>MOODY, AMBER</t>
  </si>
  <si>
    <t>CARLYLE, BENJAMIN</t>
  </si>
  <si>
    <t>LINDLEY, DANIELLE</t>
  </si>
  <si>
    <t>GRAMLING, MELANIE</t>
  </si>
  <si>
    <t>LARBEY, JESSE</t>
  </si>
  <si>
    <t>LEYTON GREEN, LAURA</t>
  </si>
  <si>
    <t>KERLEY, LESA</t>
  </si>
  <si>
    <t>BARRETT, CHARLOTTE</t>
  </si>
  <si>
    <t>MCFARLAND, KENDALL</t>
  </si>
  <si>
    <t>SNIDER, MACIE</t>
  </si>
  <si>
    <t>SHELTON, ASHLEY</t>
  </si>
  <si>
    <t>JONES, JOEL</t>
  </si>
  <si>
    <t>QUALLS, MELISSA</t>
  </si>
  <si>
    <t>SMITH WADE, JENELL</t>
  </si>
  <si>
    <t>EKWEALOR, LINDA</t>
  </si>
  <si>
    <t>JOINER, PRISCILLA</t>
  </si>
  <si>
    <t>FERGUSON, RANDI</t>
  </si>
  <si>
    <t>THITOFF, JILL</t>
  </si>
  <si>
    <t>GREGORY, TAYLOR</t>
  </si>
  <si>
    <t>SHELBY, VALERIE</t>
  </si>
  <si>
    <t>CASTSTEEL, DEANA</t>
  </si>
  <si>
    <t>CULBREATH, SARA</t>
  </si>
  <si>
    <t>DAVENPORT, JENNIFER</t>
  </si>
  <si>
    <t>KELLAR, MEGAN</t>
  </si>
  <si>
    <t>CHEATHAM, DANIEL</t>
  </si>
  <si>
    <t>GRADDY, JESSICA</t>
  </si>
  <si>
    <t>WILLIAMS, ALICIA</t>
  </si>
  <si>
    <t>ROWE, BRENDA</t>
  </si>
  <si>
    <t>KALKWARF, SHANNON</t>
  </si>
  <si>
    <t>ROBERTS, ALLISON</t>
  </si>
  <si>
    <t>POOLE, CALLIE</t>
  </si>
  <si>
    <t>VINSON, JADE</t>
  </si>
  <si>
    <t>POWERS, JORDAN</t>
  </si>
  <si>
    <t>RYE, RANDE</t>
  </si>
  <si>
    <t>LOMO, DORCAS</t>
  </si>
  <si>
    <t>HUNT, LAUREN</t>
  </si>
  <si>
    <t>OSUNA, KARA</t>
  </si>
  <si>
    <t>DRAPCHO, CONNIE</t>
  </si>
  <si>
    <t>CHEERLA, RAJALAKSHMI</t>
  </si>
  <si>
    <t>MAY, FELICIA</t>
  </si>
  <si>
    <t>SOCHANSKA, ADA</t>
  </si>
  <si>
    <t>PETITJEAN, JASON</t>
  </si>
  <si>
    <t>JOHNSON, CYNTHIA</t>
  </si>
  <si>
    <t>MORGAN, VINCENT</t>
  </si>
  <si>
    <t>WORTHAM, RICHELLE</t>
  </si>
  <si>
    <t>GRAVES, KIM</t>
  </si>
  <si>
    <t>ELEGBE, OLUGBEMI</t>
  </si>
  <si>
    <t>BRASHEAR, STEPHANIE</t>
  </si>
  <si>
    <t>CATO, GINNY</t>
  </si>
  <si>
    <t>STRICKLIN, AMY</t>
  </si>
  <si>
    <t>JOKERST, THOMAS</t>
  </si>
  <si>
    <t>JOHNSON, WINDELL</t>
  </si>
  <si>
    <t>COMELLA, SHAUNA</t>
  </si>
  <si>
    <t>HINDMAN, ALISIA</t>
  </si>
  <si>
    <t>HARDER, MEAGHAN</t>
  </si>
  <si>
    <t>DUKES-SCOTT, TERESA</t>
  </si>
  <si>
    <t>BROWN-BEBOW, VERONA</t>
  </si>
  <si>
    <t>CUPAN, MEAGAN</t>
  </si>
  <si>
    <t>SCOTT, MORGAN</t>
  </si>
  <si>
    <t>HARRIS, COURTNEY</t>
  </si>
  <si>
    <t>BOND, KAYLA</t>
  </si>
  <si>
    <t>DUNN, KRISTIN</t>
  </si>
  <si>
    <t>WEATHERFORD, SARAH</t>
  </si>
  <si>
    <t>THORNTON, BRANDON</t>
  </si>
  <si>
    <t>DEATON, COURTNEY</t>
  </si>
  <si>
    <t>RABB, ALESHA</t>
  </si>
  <si>
    <t>COX, ROBIN</t>
  </si>
  <si>
    <t>DANIEL, THOMAS</t>
  </si>
  <si>
    <t>TIDWELL, STACY</t>
  </si>
  <si>
    <t>SAMUEL, RACHEL</t>
  </si>
  <si>
    <t>BERRY, IRIS</t>
  </si>
  <si>
    <t>WALKER, SOMMER</t>
  </si>
  <si>
    <t>COOPER, BRANDY</t>
  </si>
  <si>
    <t>WALLER, PATRICIA</t>
  </si>
  <si>
    <t>HESTER, HOLLY</t>
  </si>
  <si>
    <t>HAYES, MORGAN</t>
  </si>
  <si>
    <t>HOLLAND, MICHELE</t>
  </si>
  <si>
    <t>STORAY, ERMA</t>
  </si>
  <si>
    <t>CRANFORD, HARROL</t>
  </si>
  <si>
    <t>SHIPMAN, LELA</t>
  </si>
  <si>
    <t>MILLER, SHANNON</t>
  </si>
  <si>
    <t>MANCHESTER, HEATHER</t>
  </si>
  <si>
    <t>BANGASH, KAYHAN</t>
  </si>
  <si>
    <t>PARKER, KATHRYN</t>
  </si>
  <si>
    <t>BLAND, SCOTT</t>
  </si>
  <si>
    <t>HURT, DAWN</t>
  </si>
  <si>
    <t>CHREENE, ROBYN</t>
  </si>
  <si>
    <t>PATEL, ROHAN</t>
  </si>
  <si>
    <t>DRAIN, COURTNEY</t>
  </si>
  <si>
    <t>LA VOY, TIMOTHY</t>
  </si>
  <si>
    <t>MARLOW, KEREEM</t>
  </si>
  <si>
    <t>ANSTON, ANTHONY</t>
  </si>
  <si>
    <t>BISEK, BRANDYE</t>
  </si>
  <si>
    <t>DICKEY, GINA</t>
  </si>
  <si>
    <t>HEWLETT, JILLIAN</t>
  </si>
  <si>
    <t>MILLER, RACHANA</t>
  </si>
  <si>
    <t>WHITAKER, LYNDSEY</t>
  </si>
  <si>
    <t>NOLEN, ABBY</t>
  </si>
  <si>
    <t>SISSON, LOGAN</t>
  </si>
  <si>
    <t>HARVEY, DARBY</t>
  </si>
  <si>
    <t>COLLINS, SHALESE</t>
  </si>
  <si>
    <t>CAGLE, HANNAH</t>
  </si>
  <si>
    <t>YUSTANA, NEONI</t>
  </si>
  <si>
    <t>SADLER, JENNIFER</t>
  </si>
  <si>
    <t>OSTER, CALEB</t>
  </si>
  <si>
    <t>BRYANT, TIMOTHY</t>
  </si>
  <si>
    <t>BRANHAM, MEGHANN</t>
  </si>
  <si>
    <t>DARNELL, SUSAN</t>
  </si>
  <si>
    <t>HARVEY, MADELINE</t>
  </si>
  <si>
    <t>HOWE, CLINT</t>
  </si>
  <si>
    <t>BEAM, LAURIE</t>
  </si>
  <si>
    <t>QUADE, DEBORAH</t>
  </si>
  <si>
    <t>YATES, ERICA</t>
  </si>
  <si>
    <t>RANDOLPH, BRION</t>
  </si>
  <si>
    <t>HENSON, VENETTA</t>
  </si>
  <si>
    <t>KRISHT, MELISSA</t>
  </si>
  <si>
    <t>MCGHEE, APRIL</t>
  </si>
  <si>
    <t>HENRY, KARSON</t>
  </si>
  <si>
    <t>DEWEY, DALTON</t>
  </si>
  <si>
    <t>MORALES, AUTUMN</t>
  </si>
  <si>
    <t>VINACCO, KIMBERLY</t>
  </si>
  <si>
    <t>STACY, LINDSEY</t>
  </si>
  <si>
    <t>RANDOLPH, TERESA</t>
  </si>
  <si>
    <t>KIMBRELL, SUSAN</t>
  </si>
  <si>
    <t>HOLLOWAY, JESSICA</t>
  </si>
  <si>
    <t>KELESHIAN, HAGOP</t>
  </si>
  <si>
    <t>DAVIS, ALESIA</t>
  </si>
  <si>
    <t>SLENCAK, JENNIFER</t>
  </si>
  <si>
    <t>JOEST, HALEIGH</t>
  </si>
  <si>
    <t>ROWLAND, KRISTINE</t>
  </si>
  <si>
    <t>PORTERFIELD, HEATHER</t>
  </si>
  <si>
    <t>BURROW, JAMES</t>
  </si>
  <si>
    <t>OTT HEASLEY, SUSAN</t>
  </si>
  <si>
    <t>MEDLIN, KYLE</t>
  </si>
  <si>
    <t>SEXTON, EMILY</t>
  </si>
  <si>
    <t>KOTAPATI, SUJIT KUMAR</t>
  </si>
  <si>
    <t>WASHAM, GARY</t>
  </si>
  <si>
    <t>FERGUSON, ROBERT</t>
  </si>
  <si>
    <t>OLADIPO, SIFAU</t>
  </si>
  <si>
    <t>RAY, CANDRA</t>
  </si>
  <si>
    <t>SIX, RACHEL</t>
  </si>
  <si>
    <t>MENARD, JOHN</t>
  </si>
  <si>
    <t>COLLINS, BETHANY</t>
  </si>
  <si>
    <t>HOWE, TRACI</t>
  </si>
  <si>
    <t>MILAM, KATHLEEN</t>
  </si>
  <si>
    <t>CARROLL, MATTHEW</t>
  </si>
  <si>
    <t>MENSAH, ALEX</t>
  </si>
  <si>
    <t>HOBSON, HALEY</t>
  </si>
  <si>
    <t>DITTO, HEATHER</t>
  </si>
  <si>
    <t>DORRIS, DAVID</t>
  </si>
  <si>
    <t>WINKELMEYER, CASSIE</t>
  </si>
  <si>
    <t>DELOACH, KAMLYN</t>
  </si>
  <si>
    <t>HERNANDEZ MORRIS, ALMA</t>
  </si>
  <si>
    <t>TANDON, ANAMIKA</t>
  </si>
  <si>
    <t>CALVERT, BRITTANY</t>
  </si>
  <si>
    <t>TUDOREANU, RALUCA</t>
  </si>
  <si>
    <t>DAUGHERTY, KIERSTIN</t>
  </si>
  <si>
    <t>FAGGION, ASHLEY</t>
  </si>
  <si>
    <t>TURNBOW, JENNIFER</t>
  </si>
  <si>
    <t>GARNER, PENNY</t>
  </si>
  <si>
    <t>NIX, HEATHER</t>
  </si>
  <si>
    <t>BURNS, KASSY</t>
  </si>
  <si>
    <t>HINRICHS, KELSEY</t>
  </si>
  <si>
    <t>HUMPHREY, HEATHER</t>
  </si>
  <si>
    <t>GRIFFETH, SUSAN</t>
  </si>
  <si>
    <t>CUNNINGHAM, WESLEY</t>
  </si>
  <si>
    <t>HUTCHISON, KATHRYN</t>
  </si>
  <si>
    <t>HOLIFIELD, ANGIE</t>
  </si>
  <si>
    <t>ADERHOLT, AUDIE</t>
  </si>
  <si>
    <t>GOOCH, COURTENEY</t>
  </si>
  <si>
    <t>LEONARD, KATHERINE</t>
  </si>
  <si>
    <t>NAST, ARIELLE</t>
  </si>
  <si>
    <t>BOHON, ANGELA</t>
  </si>
  <si>
    <t>PUTMAN, SHANNON</t>
  </si>
  <si>
    <t>HALL, CINDY</t>
  </si>
  <si>
    <t>BOLEN, MELANIE</t>
  </si>
  <si>
    <t>BRANCH, KILEY</t>
  </si>
  <si>
    <t>GONZALEZ, DIANA</t>
  </si>
  <si>
    <t>MEZA, ERIKA</t>
  </si>
  <si>
    <t>EBEL, SUSAN</t>
  </si>
  <si>
    <t>GARIBALDI, BYRON</t>
  </si>
  <si>
    <t>FORBES, BRITTANY</t>
  </si>
  <si>
    <t>PRINNER, KATHLEEN</t>
  </si>
  <si>
    <t>HAYES, SHEILA</t>
  </si>
  <si>
    <t>RENFRO, KIRK</t>
  </si>
  <si>
    <t>SELLERS, AMANDA</t>
  </si>
  <si>
    <t>HODGES, JOSH</t>
  </si>
  <si>
    <t>CLEOUS, KATELYN</t>
  </si>
  <si>
    <t>ERTOLACCI, DOMINIQUE</t>
  </si>
  <si>
    <t>SHEETS, LINDSAY</t>
  </si>
  <si>
    <t>CARNES, MARY</t>
  </si>
  <si>
    <t>ROBERTS, GWENDOLYN</t>
  </si>
  <si>
    <t>ADAM, ASHLEY</t>
  </si>
  <si>
    <t>WALTER, MATTHEW</t>
  </si>
  <si>
    <t>VISWANATHAN, KARTHIKEYAN</t>
  </si>
  <si>
    <t>MORROW, JESSICA</t>
  </si>
  <si>
    <t>STROUD, CODY</t>
  </si>
  <si>
    <t>BETHELL, MAGGIE</t>
  </si>
  <si>
    <t>KINCAID, KIMBERLY</t>
  </si>
  <si>
    <t>BULL, AMANDA</t>
  </si>
  <si>
    <t>WIKOFF, CASSIDY</t>
  </si>
  <si>
    <t>BOOKER, SHANNON</t>
  </si>
  <si>
    <t>WARD, CONNIE</t>
  </si>
  <si>
    <t>LONE, SAMEA</t>
  </si>
  <si>
    <t>PEDERSON, SARAH</t>
  </si>
  <si>
    <t>STOGNER, MEREDITH</t>
  </si>
  <si>
    <t>SHELBY, CARA</t>
  </si>
  <si>
    <t>HICKS, FREDDIE</t>
  </si>
  <si>
    <t>LONDON, MAEGAN</t>
  </si>
  <si>
    <t>ARNOLD, SHEA</t>
  </si>
  <si>
    <t>ODOM, EMILEE</t>
  </si>
  <si>
    <t>BENNETT, REGINA</t>
  </si>
  <si>
    <t>RENNIE, TANYA</t>
  </si>
  <si>
    <t>JERKINS, MICHAEL</t>
  </si>
  <si>
    <t>GORAYA, MUHAMMAD</t>
  </si>
  <si>
    <t>HAMLIN, RYAN</t>
  </si>
  <si>
    <t>ROBERTSON, MEREDITH</t>
  </si>
  <si>
    <t>PENNINGTON, CHRISTINE</t>
  </si>
  <si>
    <t>GUEYE, COURTNEY</t>
  </si>
  <si>
    <t>OWENS, JAMES</t>
  </si>
  <si>
    <t>HULL, JENNA</t>
  </si>
  <si>
    <t>FOWLER, ERICA</t>
  </si>
  <si>
    <t>ADAMS, CHRISTINA</t>
  </si>
  <si>
    <t>HOPKINS, DAVID</t>
  </si>
  <si>
    <t>OUNPRASEUTH, YONG</t>
  </si>
  <si>
    <t>VOSS, LEE</t>
  </si>
  <si>
    <t>DOLLAR, PAMELA</t>
  </si>
  <si>
    <t>KILLOUGH, LARRY</t>
  </si>
  <si>
    <t>MCDANIEL, SUSAN</t>
  </si>
  <si>
    <t>MIDDLETON, CADEN</t>
  </si>
  <si>
    <t>IRWIN, CARRIE</t>
  </si>
  <si>
    <t>VALIANI, SALIMA</t>
  </si>
  <si>
    <t>DAVENPORT, CLARISSA</t>
  </si>
  <si>
    <t>LATHAM, MARY</t>
  </si>
  <si>
    <t>FARRIS, HAILEY</t>
  </si>
  <si>
    <t>JOHNSTON, SARAH</t>
  </si>
  <si>
    <t>LOAR, JENIFER</t>
  </si>
  <si>
    <t>YOUNG, RACHEL</t>
  </si>
  <si>
    <t>MOODY, MICAH</t>
  </si>
  <si>
    <t>ARCHER, VIRGINIA</t>
  </si>
  <si>
    <t>ARMER, KENDRA</t>
  </si>
  <si>
    <t>DEHART, HALEY</t>
  </si>
  <si>
    <t>STICKLE, PATRICK</t>
  </si>
  <si>
    <t>ICAZA, RAMIRO</t>
  </si>
  <si>
    <t>RAY, ZACHARY</t>
  </si>
  <si>
    <t>HATCH, AIMEE</t>
  </si>
  <si>
    <t>MATURANA GONZALEZ, MIGUEL</t>
  </si>
  <si>
    <t>GLENN, STEPHANIE</t>
  </si>
  <si>
    <t>REGNAS, AMY</t>
  </si>
  <si>
    <t>BARNARD, JOSEPH</t>
  </si>
  <si>
    <t>BAKER, ALEX</t>
  </si>
  <si>
    <t>ALLEN, MADELINE</t>
  </si>
  <si>
    <t>MCDONALD, SHELBY</t>
  </si>
  <si>
    <t>MURACH, KYNDAL</t>
  </si>
  <si>
    <t>SMITH, AUDREY</t>
  </si>
  <si>
    <t>LIGA, ELVIRA</t>
  </si>
  <si>
    <t>SLAUGHTER, SANDRA</t>
  </si>
  <si>
    <t>BUTLER, BRETT</t>
  </si>
  <si>
    <t>HOLDER, KENNETH</t>
  </si>
  <si>
    <t>BAKER, STEFANIE</t>
  </si>
  <si>
    <t>HOLT, MATTHEW</t>
  </si>
  <si>
    <t>JOHN, RAVONNE</t>
  </si>
  <si>
    <t>WILFORD, BOONE</t>
  </si>
  <si>
    <t>KELLY, LAURA</t>
  </si>
  <si>
    <t>MARTIN, KAYLA</t>
  </si>
  <si>
    <t>HESKETT, TIA</t>
  </si>
  <si>
    <t>MAULDIN, BRITTANY</t>
  </si>
  <si>
    <t>NORTON, MORGAN</t>
  </si>
  <si>
    <t>DE SAINT-FELIX, DOUGLAS</t>
  </si>
  <si>
    <t>JONES, JEFFREY</t>
  </si>
  <si>
    <t>REED, JEREMY</t>
  </si>
  <si>
    <t>SILVERI, PAUL</t>
  </si>
  <si>
    <t>DRISKILL, MICHELLE</t>
  </si>
  <si>
    <t>CASTON, TAYLOR</t>
  </si>
  <si>
    <t>STAPLETON, MARSHA</t>
  </si>
  <si>
    <t>ALTURKMANI, HANI</t>
  </si>
  <si>
    <t>GORDON, MANDY</t>
  </si>
  <si>
    <t>NOUANSAVANE, KHEM</t>
  </si>
  <si>
    <t>KADHIM, ZUHAL</t>
  </si>
  <si>
    <t>WARD, REBEKAH</t>
  </si>
  <si>
    <t>BASS, BRYCE</t>
  </si>
  <si>
    <t>TURNER, JULIA</t>
  </si>
  <si>
    <t>GODSEY, KAYLA</t>
  </si>
  <si>
    <t>NALLEY, LUCAS</t>
  </si>
  <si>
    <t>FIELDS, LYDIA</t>
  </si>
  <si>
    <t>ERLY, DOMINIQUE</t>
  </si>
  <si>
    <t>HAMMETT, CAROLE</t>
  </si>
  <si>
    <t>TOUSANT, ROMONDA</t>
  </si>
  <si>
    <t>GOLDEN, CHERYL</t>
  </si>
  <si>
    <t>DURAIRAJ, VIKRAM</t>
  </si>
  <si>
    <t>MASON, ROGER</t>
  </si>
  <si>
    <t>LONG, STEPHANIE</t>
  </si>
  <si>
    <t>DAVIS, DANIEL</t>
  </si>
  <si>
    <t>NUTT, APRIL</t>
  </si>
  <si>
    <t>GUILLO, BROOKE</t>
  </si>
  <si>
    <t>SPEARS, MARK</t>
  </si>
  <si>
    <t>MARTIN, MONICA</t>
  </si>
  <si>
    <t>WEBSTER, CODY</t>
  </si>
  <si>
    <t>MCCULLOUGH, SUSAN</t>
  </si>
  <si>
    <t>FORD, MELINDA</t>
  </si>
  <si>
    <t>MORRIS, CASEY</t>
  </si>
  <si>
    <t>HOCKADAY, HOLLY</t>
  </si>
  <si>
    <t>BRINSON, MICHAEL</t>
  </si>
  <si>
    <t>WARE, DAVID</t>
  </si>
  <si>
    <t>KHEMKA, SANJAY</t>
  </si>
  <si>
    <t>WHELCHEL, VICKY</t>
  </si>
  <si>
    <t>FITZGERALD, DEENA</t>
  </si>
  <si>
    <t>MACK, RICKEY</t>
  </si>
  <si>
    <t>LARYEA, MELINDA</t>
  </si>
  <si>
    <t>WETHERINGTON, RACHEL</t>
  </si>
  <si>
    <t>GREEN, LYNDA</t>
  </si>
  <si>
    <t>SHOLAKH, ALBERT</t>
  </si>
  <si>
    <t>BARNES, SHERRY</t>
  </si>
  <si>
    <t>BOOKER, TIMOTHY</t>
  </si>
  <si>
    <t>MORRIS, MEGAN</t>
  </si>
  <si>
    <t>OLIVER, WHITNEY</t>
  </si>
  <si>
    <t>MCARTHUR, AUTUMN</t>
  </si>
  <si>
    <t>WILLIAMS, BRITTEN</t>
  </si>
  <si>
    <t>LUPER, REBECCA</t>
  </si>
  <si>
    <t>OWEN, DIANNA</t>
  </si>
  <si>
    <t>STAGGS, JOE</t>
  </si>
  <si>
    <t>TART, JOANN</t>
  </si>
  <si>
    <t>CRAWLEY, CHEREE</t>
  </si>
  <si>
    <t>MCGEE, ERIN</t>
  </si>
  <si>
    <t>PUGSLEY, ANGELA</t>
  </si>
  <si>
    <t>SHEPHERD, KATELIN</t>
  </si>
  <si>
    <t>MADAKA, BRANDI</t>
  </si>
  <si>
    <t>EWING, LAUREN</t>
  </si>
  <si>
    <t>TWIST, HOPE</t>
  </si>
  <si>
    <t>KEETON, MELLISSA</t>
  </si>
  <si>
    <t>SMITHSON, LORETTA</t>
  </si>
  <si>
    <t>TINDELL, BRANDIE</t>
  </si>
  <si>
    <t>DOUGLAS, LORI</t>
  </si>
  <si>
    <t>HOLMES, ELIZABETH</t>
  </si>
  <si>
    <t>FOSTER, STEPHEN</t>
  </si>
  <si>
    <t>BARTSCH, TARA</t>
  </si>
  <si>
    <t>REANO, AMY</t>
  </si>
  <si>
    <t>OCHOA, TABITHA</t>
  </si>
  <si>
    <t>TANNER, RONALD</t>
  </si>
  <si>
    <t>PARKER, CHARLES</t>
  </si>
  <si>
    <t>WARD, WESLEY</t>
  </si>
  <si>
    <t>BOTTERWECK, REBECCA</t>
  </si>
  <si>
    <t>UMLAND, JARED</t>
  </si>
  <si>
    <t>SNOW, TONJA</t>
  </si>
  <si>
    <t>CHAPMAN, JENNIFER</t>
  </si>
  <si>
    <t>BAREMORE, AMY</t>
  </si>
  <si>
    <t>CHILDERS, MELISSA</t>
  </si>
  <si>
    <t>HALE, DANA</t>
  </si>
  <si>
    <t>BROSNAN, PAULA</t>
  </si>
  <si>
    <t>STEINHOFF, NATALIE</t>
  </si>
  <si>
    <t>AYESH, WALEED</t>
  </si>
  <si>
    <t>LAMB, LINO</t>
  </si>
  <si>
    <t>HART, WENDY</t>
  </si>
  <si>
    <t>ALDRIDGE, WAKETTA</t>
  </si>
  <si>
    <t>CASH, SHERYL</t>
  </si>
  <si>
    <t>MCINTOSH, LINDA</t>
  </si>
  <si>
    <t>STEWART, ANGELA</t>
  </si>
  <si>
    <t>HENEGAR, EDWARD</t>
  </si>
  <si>
    <t>LAW, MATTHEW</t>
  </si>
  <si>
    <t>COWAN, CECIL</t>
  </si>
  <si>
    <t>MIKUS, STEPHEN</t>
  </si>
  <si>
    <t>IVY, ANGELA</t>
  </si>
  <si>
    <t>GREGORY, KELSEY</t>
  </si>
  <si>
    <t>SHAIDE, RENEE</t>
  </si>
  <si>
    <t>VALMONT, CANDICE</t>
  </si>
  <si>
    <t>CHARLES, ELIZABETH</t>
  </si>
  <si>
    <t>WAGONER, STEPHANIE</t>
  </si>
  <si>
    <t>RICHARDS, SHELBY</t>
  </si>
  <si>
    <t>LEWELLING, TERRI</t>
  </si>
  <si>
    <t>VAELA, PADMA</t>
  </si>
  <si>
    <t>VILLAGRA-DIAZ, MIGUEL</t>
  </si>
  <si>
    <t>GILBERT, SHERRY</t>
  </si>
  <si>
    <t>MCKELLER, SHANNA</t>
  </si>
  <si>
    <t>STEPHENS, LORA</t>
  </si>
  <si>
    <t>CASPER, JUSTIN</t>
  </si>
  <si>
    <t>BROWN, CARISSA</t>
  </si>
  <si>
    <t>MCCRARY, RACHEL</t>
  </si>
  <si>
    <t>FRITSCHE, OLIVIA</t>
  </si>
  <si>
    <t>FRANKLIN, DIANA</t>
  </si>
  <si>
    <t>RENO, JANA</t>
  </si>
  <si>
    <t>MANGRUM, ASHLEIGH</t>
  </si>
  <si>
    <t>HUNT, APRIL</t>
  </si>
  <si>
    <t>WHEAT, EMILY</t>
  </si>
  <si>
    <t>WALTON, PATRICK</t>
  </si>
  <si>
    <t>BACKOFEN, GREGORY</t>
  </si>
  <si>
    <t>MOORE, BAILIE</t>
  </si>
  <si>
    <t>WOOTEN, GEORGIA</t>
  </si>
  <si>
    <t>WARD, CANDY</t>
  </si>
  <si>
    <t>HART, LAUREN</t>
  </si>
  <si>
    <t>BURTON, MANDY</t>
  </si>
  <si>
    <t>WILLIAMS, CHANTANEY</t>
  </si>
  <si>
    <t>BROOKS, TABITHA</t>
  </si>
  <si>
    <t>GILMORE, LISA</t>
  </si>
  <si>
    <t>MILLER, SHARONDA</t>
  </si>
  <si>
    <t>MASTERS, AMANDA</t>
  </si>
  <si>
    <t>FALWELL, VANESSA</t>
  </si>
  <si>
    <t>PLAUCHE, RAELYN</t>
  </si>
  <si>
    <t>PAULOVICH, MALEAH</t>
  </si>
  <si>
    <t>CHAPMAN, MICHELLE</t>
  </si>
  <si>
    <t>ROBINSON, CANDACE</t>
  </si>
  <si>
    <t>FALLS, NATHAN</t>
  </si>
  <si>
    <t>LOUDERMILK, VICTORIA</t>
  </si>
  <si>
    <t>JOHNSTONE, MARY</t>
  </si>
  <si>
    <t>ARRIAZA, JUSTINA</t>
  </si>
  <si>
    <t>HEAD, THOMAS</t>
  </si>
  <si>
    <t>VASKE, RACHEL</t>
  </si>
  <si>
    <t>NEWLIN, KRISTAL</t>
  </si>
  <si>
    <t>BUTLER, DAVID</t>
  </si>
  <si>
    <t>CANADA, JANET</t>
  </si>
  <si>
    <t>HUMPHREY, LANDON</t>
  </si>
  <si>
    <t>SHIPP, SABRINA</t>
  </si>
  <si>
    <t>SHAHID, MALIK</t>
  </si>
  <si>
    <t>BROCK, CASEY</t>
  </si>
  <si>
    <t>MASON, KATHERINE</t>
  </si>
  <si>
    <t>STICKLEY, KIMBERLY</t>
  </si>
  <si>
    <t>LAZURE, KATHRYN</t>
  </si>
  <si>
    <t>ADAMS, TANYA</t>
  </si>
  <si>
    <t>CLAYPOOL, KYLEE</t>
  </si>
  <si>
    <t>WILLIAMS, KAITLYNN</t>
  </si>
  <si>
    <t>NIXON, COURTNEY</t>
  </si>
  <si>
    <t>FLESZAR, TABETHA</t>
  </si>
  <si>
    <t>BALL, ROBIN</t>
  </si>
  <si>
    <t>BYARS, NATALIE</t>
  </si>
  <si>
    <t>SMITH, REBEL</t>
  </si>
  <si>
    <t>HUBLEY, ROBERT</t>
  </si>
  <si>
    <t>TURNER, ROBERT</t>
  </si>
  <si>
    <t>HAYES, DANIELLE</t>
  </si>
  <si>
    <t>PITTS, TEKIMA</t>
  </si>
  <si>
    <t>TERRY, MEGAN</t>
  </si>
  <si>
    <t>JONES, AMANDA</t>
  </si>
  <si>
    <t>DUGAN, ANDREW</t>
  </si>
  <si>
    <t>MOORE, HOLLY</t>
  </si>
  <si>
    <t>LOMAX, KATELYN</t>
  </si>
  <si>
    <t>LOWRY, SHELLY</t>
  </si>
  <si>
    <t>SANCHEZ, MARIA ROSAL</t>
  </si>
  <si>
    <t>FORRESTER, SHEILA</t>
  </si>
  <si>
    <t>ROSSON, PEGGY</t>
  </si>
  <si>
    <t>ANDERSON, RYAN</t>
  </si>
  <si>
    <t>CLIFTON, ADDIE</t>
  </si>
  <si>
    <t>JOHNSON-MCFARLAND, MARILYN</t>
  </si>
  <si>
    <t>PLATA, MARIA ISABELLE</t>
  </si>
  <si>
    <t>HALL, KORI</t>
  </si>
  <si>
    <t>HENDREN, MICHAEL</t>
  </si>
  <si>
    <t>PHILLIPS, TRACY</t>
  </si>
  <si>
    <t>WOODARD, JESSICA</t>
  </si>
  <si>
    <t>MERRILL, BRANDON</t>
  </si>
  <si>
    <t>LONG, DOUGLAS</t>
  </si>
  <si>
    <t>JERNIGAN, WAYNE</t>
  </si>
  <si>
    <t>IPAYE-ADEBIYI, PRUDENCE</t>
  </si>
  <si>
    <t>SMITH, MARQUITTA</t>
  </si>
  <si>
    <t>NGUYEN, DIEM-QUYNH</t>
  </si>
  <si>
    <t>HARROD, KAYLA</t>
  </si>
  <si>
    <t>BAU, TERESA</t>
  </si>
  <si>
    <t>HALL, KELI</t>
  </si>
  <si>
    <t>PIATT, JOHN</t>
  </si>
  <si>
    <t>BREAU, HANNAH</t>
  </si>
  <si>
    <t>COSTANTINO, COREY</t>
  </si>
  <si>
    <t>COCHRAN, SHELBY</t>
  </si>
  <si>
    <t>HUDDLESTON, KRYSTEL</t>
  </si>
  <si>
    <t>GUY, ANGELA</t>
  </si>
  <si>
    <t>CRACRAFT, CHANDLER</t>
  </si>
  <si>
    <t>BONNER, JIMMY</t>
  </si>
  <si>
    <t>TAYLOR, KELLY</t>
  </si>
  <si>
    <t>KANNEGANTI, PRAVEEN</t>
  </si>
  <si>
    <t>DHALIWAL, JASPREET</t>
  </si>
  <si>
    <t>CHAPMAN, ALLISON</t>
  </si>
  <si>
    <t>HALE, JAMIE</t>
  </si>
  <si>
    <t>COMBS, NATALYE</t>
  </si>
  <si>
    <t>MABRY, MELANIE</t>
  </si>
  <si>
    <t>DAVIS, MALLORY</t>
  </si>
  <si>
    <t>ARREDONDO ARRIOLA, GABRIEL</t>
  </si>
  <si>
    <t>SIDDIQUI, SHAGUFTA</t>
  </si>
  <si>
    <t>HOWARD, DON</t>
  </si>
  <si>
    <t>WRIGHT, KELLY</t>
  </si>
  <si>
    <t>BARCAFER, WILLIAM</t>
  </si>
  <si>
    <t>BRANSCUM, ALISA</t>
  </si>
  <si>
    <t>LAVENDER, CHARLES</t>
  </si>
  <si>
    <t>PHILLIPS, SUSAN</t>
  </si>
  <si>
    <t>MCKINNEY, EMILY</t>
  </si>
  <si>
    <t>HINTON, KENDALL</t>
  </si>
  <si>
    <t>STEPHENS, KATHRYN</t>
  </si>
  <si>
    <t>RUSH, KIMBERLEE</t>
  </si>
  <si>
    <t>TAHER, RAMEZ</t>
  </si>
  <si>
    <t>CRIGGER, STACEY</t>
  </si>
  <si>
    <t>SHOCKLEY, LEIGH</t>
  </si>
  <si>
    <t>DAVIS, TONYA</t>
  </si>
  <si>
    <t>SIMS, SHEA</t>
  </si>
  <si>
    <t>NOBLE, ROBERT</t>
  </si>
  <si>
    <t>KEESE, CALEB</t>
  </si>
  <si>
    <t>REYNOLDS, KACEE</t>
  </si>
  <si>
    <t>RITTMAN, STEPHANIE</t>
  </si>
  <si>
    <t>HURD, LISA</t>
  </si>
  <si>
    <t>DOUGAN, JEREMY</t>
  </si>
  <si>
    <t>PORANDLA, MURALIKRISHNA</t>
  </si>
  <si>
    <t>RAYBURN, KATIA</t>
  </si>
  <si>
    <t>MATTESON, KARA</t>
  </si>
  <si>
    <t>COOPER, MARGARET</t>
  </si>
  <si>
    <t>MAKKAR, ABHILASH</t>
  </si>
  <si>
    <t>HIDA, SVEN</t>
  </si>
  <si>
    <t>HAYS, NOLA</t>
  </si>
  <si>
    <t>BAUER, JOANN</t>
  </si>
  <si>
    <t>BRECHEISEN, JAMES</t>
  </si>
  <si>
    <t>DAY, KRISTY</t>
  </si>
  <si>
    <t>MARTIN, HEATHER</t>
  </si>
  <si>
    <t>GARNER, AMBER</t>
  </si>
  <si>
    <t>MCCAIN, KELLY</t>
  </si>
  <si>
    <t>LEMMON, JENNIFER</t>
  </si>
  <si>
    <t>MASON, KAITLYN</t>
  </si>
  <si>
    <t>SPARKS, ALLIE</t>
  </si>
  <si>
    <t>HARTWICK, MISTY</t>
  </si>
  <si>
    <t>BEVILL, TASHINA</t>
  </si>
  <si>
    <t>CUDWORTH, KIMBERLY</t>
  </si>
  <si>
    <t>JARVIS, ELIZABETH</t>
  </si>
  <si>
    <t>KING, GEORGE</t>
  </si>
  <si>
    <t>ADAMU, NANA-AISHATU</t>
  </si>
  <si>
    <t>CASEY, JAMIE</t>
  </si>
  <si>
    <t>SANTIAGO, MEGAN</t>
  </si>
  <si>
    <t>SCHORER, SUSAN</t>
  </si>
  <si>
    <t>OLIVER, MARGARET</t>
  </si>
  <si>
    <t>BARROW, ROBERT</t>
  </si>
  <si>
    <t>BROWN, AMY</t>
  </si>
  <si>
    <t>PEACE, CARLA</t>
  </si>
  <si>
    <t>GROOVER, TROY</t>
  </si>
  <si>
    <t>VALMONT, IAN</t>
  </si>
  <si>
    <t>THESSING, SYDNIE</t>
  </si>
  <si>
    <t>COLLINS, KRYSTAL</t>
  </si>
  <si>
    <t>BRANDON, SHERRY</t>
  </si>
  <si>
    <t>CARROLL, DARNISHA</t>
  </si>
  <si>
    <t>HUMPHREY, DAVID</t>
  </si>
  <si>
    <t>MEYER, JULIA</t>
  </si>
  <si>
    <t>ROTHROCK-HELTEMES, HEATHER</t>
  </si>
  <si>
    <t>VANN, SARA</t>
  </si>
  <si>
    <t>REED-SCHMID, JESSICA</t>
  </si>
  <si>
    <t>PIKE, ANGELA</t>
  </si>
  <si>
    <t>RUSSELL, DEVIN</t>
  </si>
  <si>
    <t>XU, JACK</t>
  </si>
  <si>
    <t>REICH, RACHEL</t>
  </si>
  <si>
    <t>WALLS, RENEE</t>
  </si>
  <si>
    <t>MONK, GLEN</t>
  </si>
  <si>
    <t>MILLER, MARSHA</t>
  </si>
  <si>
    <t>HENSLEY-SEAMON, VIRGINIA</t>
  </si>
  <si>
    <t>RODRIGUEZ, MIGUEL</t>
  </si>
  <si>
    <t>GORDON, RACHEL</t>
  </si>
  <si>
    <t>SPOHNHOLTZ, CAITLIN</t>
  </si>
  <si>
    <t>WILLIAMS-BROWN, HOPE</t>
  </si>
  <si>
    <t>COLE, BARBARA</t>
  </si>
  <si>
    <t>BENTON, BRITTANY</t>
  </si>
  <si>
    <t>DE BOOM, MALLORY</t>
  </si>
  <si>
    <t>ZITTERMAN, JOSEPH</t>
  </si>
  <si>
    <t>PEERY, TERRY</t>
  </si>
  <si>
    <t>GIGLIO, RITA</t>
  </si>
  <si>
    <t>ALLEN, CRYSTAL</t>
  </si>
  <si>
    <t>DAVIS, ASHLIE</t>
  </si>
  <si>
    <t>TAPER, DORLISA</t>
  </si>
  <si>
    <t>TRAVIS, MANDI</t>
  </si>
  <si>
    <t>TRIBBEY, DONALD</t>
  </si>
  <si>
    <t>KEFFER, VICKIE</t>
  </si>
  <si>
    <t>CALDWELL, KANISHER</t>
  </si>
  <si>
    <t>NEAL, TYLER</t>
  </si>
  <si>
    <t>MCGHEE, AMBER</t>
  </si>
  <si>
    <t>WEBB, MEGAN</t>
  </si>
  <si>
    <t>ANDERSON, JOANNE</t>
  </si>
  <si>
    <t>HOCUTT, JENNIFER</t>
  </si>
  <si>
    <t>ANDREWS, LAUREN</t>
  </si>
  <si>
    <t>HARRIS, WHITNEY</t>
  </si>
  <si>
    <t>LYDOLPH, WYATT</t>
  </si>
  <si>
    <t>FERNANDEZ, BLAKE</t>
  </si>
  <si>
    <t>VARGAS, LESLI</t>
  </si>
  <si>
    <t>RANDLE, SHARONDA</t>
  </si>
  <si>
    <t>SPARKS, KEELY</t>
  </si>
  <si>
    <t>ROSEBERRY, HOLLIE</t>
  </si>
  <si>
    <t>MATTHEWS, JESSICA</t>
  </si>
  <si>
    <t>NORMAN, BILINDA</t>
  </si>
  <si>
    <t>CARVER, CATHERINE</t>
  </si>
  <si>
    <t>MYERS, HALEIGH</t>
  </si>
  <si>
    <t>LOCKE, NICHOLAS</t>
  </si>
  <si>
    <t>REDDICK, JORDAN</t>
  </si>
  <si>
    <t>FAIRCHILD, DEBORAH</t>
  </si>
  <si>
    <t>SIMMONS, SANDRA</t>
  </si>
  <si>
    <t>OSBORNE, DEVRON</t>
  </si>
  <si>
    <t>LOETSCHER, KATIE</t>
  </si>
  <si>
    <t>EOFF, ELIZABETH</t>
  </si>
  <si>
    <t>MUNN, BRANDEE</t>
  </si>
  <si>
    <t>POWELL, KIMBERLY</t>
  </si>
  <si>
    <t>WILLIAMS, VONZELL</t>
  </si>
  <si>
    <t>ALLEN, GARRY</t>
  </si>
  <si>
    <t>MCCRARY, ASHLEY</t>
  </si>
  <si>
    <t>METCALF, JESSICA</t>
  </si>
  <si>
    <t>GREER, RALONDA</t>
  </si>
  <si>
    <t>RAMSEY, DONNA</t>
  </si>
  <si>
    <t>LAFLEUR-SIMPSON, PAIGE</t>
  </si>
  <si>
    <t>ELDRIDGE, CHARLES</t>
  </si>
  <si>
    <t>PATEL, PARESH</t>
  </si>
  <si>
    <t>VENABLE, ROBERT</t>
  </si>
  <si>
    <t>IRIZARRY, TIMOTHY</t>
  </si>
  <si>
    <t>KARIMIAN, AMIR</t>
  </si>
  <si>
    <t>DICKEY, LAURA</t>
  </si>
  <si>
    <t>MYEARS, KYLI</t>
  </si>
  <si>
    <t>OSBORNE, JOMO</t>
  </si>
  <si>
    <t>MULINDWA, DEO</t>
  </si>
  <si>
    <t>ELLIS, BARBARA</t>
  </si>
  <si>
    <t>GROSS, ASHLEY</t>
  </si>
  <si>
    <t>WHITFIELD, SABRINA</t>
  </si>
  <si>
    <t>BARNETT, JESSE</t>
  </si>
  <si>
    <t>PORTER, PATRICIA</t>
  </si>
  <si>
    <t>MCLAUGHLIN, NATHAN</t>
  </si>
  <si>
    <t>GOFORTH, MIRANDA</t>
  </si>
  <si>
    <t>ANTOON, PATRICK</t>
  </si>
  <si>
    <t>ABRAHAM, RENNY</t>
  </si>
  <si>
    <t>TATUM, TAMMY</t>
  </si>
  <si>
    <t>KETCHER, RACHEL</t>
  </si>
  <si>
    <t>BERNARD, TAIRA</t>
  </si>
  <si>
    <t>NEWTON, HAILEY</t>
  </si>
  <si>
    <t>BRANNON, TANNER</t>
  </si>
  <si>
    <t>LOGGAINS, BENTON</t>
  </si>
  <si>
    <t>CORPUS, MICHAEL</t>
  </si>
  <si>
    <t>MAHANA, BRIAN</t>
  </si>
  <si>
    <t>FULLER, MARSHAL</t>
  </si>
  <si>
    <t>CAVENDER, COURTNEY</t>
  </si>
  <si>
    <t>MCKNIGHT, LISA</t>
  </si>
  <si>
    <t>BROWN, ROZA</t>
  </si>
  <si>
    <t>FEATHER, CALLIE</t>
  </si>
  <si>
    <t>SCHADE, JANA</t>
  </si>
  <si>
    <t>CONEY, L.</t>
  </si>
  <si>
    <t>ZIMMERMAN, JAMIE</t>
  </si>
  <si>
    <t>DHANARAJA, AMIRTHARAJ</t>
  </si>
  <si>
    <t>SIMON, EMILY</t>
  </si>
  <si>
    <t>SMITH, SHANNON</t>
  </si>
  <si>
    <t>POOLE, TRACY</t>
  </si>
  <si>
    <t>LAMM, HANNAH</t>
  </si>
  <si>
    <t>SENSIBA, KARINE</t>
  </si>
  <si>
    <t>CHEN, XUANBO</t>
  </si>
  <si>
    <t>CARTER, DON</t>
  </si>
  <si>
    <t>DUDLEY, RETHA</t>
  </si>
  <si>
    <t>REDDY, KRISHNA</t>
  </si>
  <si>
    <t>SUMMERHILL, JEFFREY</t>
  </si>
  <si>
    <t>UNDERWOOD, SARA</t>
  </si>
  <si>
    <t>O'SULLIVAN, SENUSHI</t>
  </si>
  <si>
    <t>MEZIERE, CRYSTAL</t>
  </si>
  <si>
    <t>MCCLURE, AMANDA</t>
  </si>
  <si>
    <t>FENDER, BRIDGETTE</t>
  </si>
  <si>
    <t>MILLS, HALEY</t>
  </si>
  <si>
    <t>HIGHFILL, SARAH</t>
  </si>
  <si>
    <t>KHAN, IQTIDAR</t>
  </si>
  <si>
    <t>MILSTEAD, CHRISTOPHER</t>
  </si>
  <si>
    <t>METCALF, ANGELA</t>
  </si>
  <si>
    <t>SPENCE, LEISA</t>
  </si>
  <si>
    <t>SNAVELY, SAMANTHA</t>
  </si>
  <si>
    <t>NGUYEN, LYNN</t>
  </si>
  <si>
    <t>WILHITE, KARA</t>
  </si>
  <si>
    <t>FAUGHN, PHILIP</t>
  </si>
  <si>
    <t>JONES, DANA</t>
  </si>
  <si>
    <t>BARTON, TAYLOR</t>
  </si>
  <si>
    <t>SULLIVAN, CHRISTINA</t>
  </si>
  <si>
    <t>SINGH, JASLEEN</t>
  </si>
  <si>
    <t>MCDANIELS, ROBERT</t>
  </si>
  <si>
    <t>MARTIN, VINCE</t>
  </si>
  <si>
    <t>KUMAR, ANIL</t>
  </si>
  <si>
    <t>PARKS, JOHN</t>
  </si>
  <si>
    <t>TUCK, TEYONI</t>
  </si>
  <si>
    <t>KNEFATI, MOHAMMED</t>
  </si>
  <si>
    <t>ALFANO, ROSE</t>
  </si>
  <si>
    <t>HOLLOWAY, RICHARD</t>
  </si>
  <si>
    <t>AMICK, MELANIE</t>
  </si>
  <si>
    <t>WEBB, TWILA</t>
  </si>
  <si>
    <t>LUEKEN, CARLEY</t>
  </si>
  <si>
    <t>COX, AARON</t>
  </si>
  <si>
    <t>PIERCE, MARGARET</t>
  </si>
  <si>
    <t>CARLSON, LEAH</t>
  </si>
  <si>
    <t>FRIEDL, AMANDA</t>
  </si>
  <si>
    <t>YOUNG, GERALDINE</t>
  </si>
  <si>
    <t>SHAKIR, MUHAMMAD</t>
  </si>
  <si>
    <t>DADI, NEELAKANTA</t>
  </si>
  <si>
    <t>GRAVETTE, JENNIFER</t>
  </si>
  <si>
    <t>SCHERER, ALISSA</t>
  </si>
  <si>
    <t>HALLBAUER, ASHLEY</t>
  </si>
  <si>
    <t>CRUCE, CHARLIE</t>
  </si>
  <si>
    <t>LIU, SOUDARATH</t>
  </si>
  <si>
    <t>WADE, LATRESHA</t>
  </si>
  <si>
    <t>SCHREKENHOFER, ABBY</t>
  </si>
  <si>
    <t>KELLY, ROSINE</t>
  </si>
  <si>
    <t>MANOS, JENNIFER</t>
  </si>
  <si>
    <t>NICHOLS, MAREE</t>
  </si>
  <si>
    <t>HARRINGTON, KOURTNEY</t>
  </si>
  <si>
    <t>BRUMLEY, TIFFANY</t>
  </si>
  <si>
    <t>HOLLADAY, TRACY</t>
  </si>
  <si>
    <t>SHAMIM, AINNY</t>
  </si>
  <si>
    <t>AMES, MINDY</t>
  </si>
  <si>
    <t>WEBB, AMBER</t>
  </si>
  <si>
    <t>CRUTHIS, LEAH</t>
  </si>
  <si>
    <t>EATON, SARAH</t>
  </si>
  <si>
    <t>PHILLIPS, COLIN</t>
  </si>
  <si>
    <t>RICHARDSON, AMY</t>
  </si>
  <si>
    <t>GRAY, COURTNEY</t>
  </si>
  <si>
    <t>COLZANI-COHEN-DEUTSCH, JOANA</t>
  </si>
  <si>
    <t>STEWART, CHARLA</t>
  </si>
  <si>
    <t>BALLARD, MALLORY</t>
  </si>
  <si>
    <t>EDWARDS, LYSSA</t>
  </si>
  <si>
    <t>KING, SANDY</t>
  </si>
  <si>
    <t>SOOK, TONYA</t>
  </si>
  <si>
    <t>MURPHY, GRACEN</t>
  </si>
  <si>
    <t>WILLIAMS, KAREN</t>
  </si>
  <si>
    <t>PATRICK, PAIGE</t>
  </si>
  <si>
    <t>ROBINS, LARRY</t>
  </si>
  <si>
    <t>LANCE, LAUREN</t>
  </si>
  <si>
    <t>ROBINSON, CYNTHIA</t>
  </si>
  <si>
    <t>WARD, SAMUEL</t>
  </si>
  <si>
    <t>MCCALL, TINA</t>
  </si>
  <si>
    <t>STEELY, HEATHER</t>
  </si>
  <si>
    <t>NEW, MELANIE</t>
  </si>
  <si>
    <t>COX, JENNIFER</t>
  </si>
  <si>
    <t>BISHOP, KELLIE</t>
  </si>
  <si>
    <t>JOHNSON, SHELLY</t>
  </si>
  <si>
    <t>COPELAND, JAVONNIA</t>
  </si>
  <si>
    <t>CARMICHAEL, BAILLIE</t>
  </si>
  <si>
    <t>SIMMONS, MARIAH</t>
  </si>
  <si>
    <t>VU, KATIE</t>
  </si>
  <si>
    <t>CLUCK, ROBERT</t>
  </si>
  <si>
    <t>ZENO, LILA</t>
  </si>
  <si>
    <t>POUNDERS SAJOVITZ, LISA</t>
  </si>
  <si>
    <t>THOMAS, VIRGINIA</t>
  </si>
  <si>
    <t>DAVIS, KEVIN</t>
  </si>
  <si>
    <t>ECKERT, GLENDA</t>
  </si>
  <si>
    <t>TRACY, NEIL</t>
  </si>
  <si>
    <t>EDWARDS, LAUREN</t>
  </si>
  <si>
    <t>GRILLS, JEFFREY</t>
  </si>
  <si>
    <t>HERBERT, RALPH</t>
  </si>
  <si>
    <t>FUNMAKER, ADRIANNE</t>
  </si>
  <si>
    <t>VAIL, ALEXANDRIA</t>
  </si>
  <si>
    <t>SCHMITZ, SUSAN</t>
  </si>
  <si>
    <t>MARRET, JONNA</t>
  </si>
  <si>
    <t>SOUTHARD, RYAN</t>
  </si>
  <si>
    <t>GRIBBLE, EMILY</t>
  </si>
  <si>
    <t>WHITE, MELISSA</t>
  </si>
  <si>
    <t>DAVIS, LYNN</t>
  </si>
  <si>
    <t>JORDAN, CONSTANCE</t>
  </si>
  <si>
    <t>WEBB, JENNIGALE</t>
  </si>
  <si>
    <t>PUCKETT, SALLY</t>
  </si>
  <si>
    <t>EVANS, KRISTIN</t>
  </si>
  <si>
    <t>CARROLL, LAURA</t>
  </si>
  <si>
    <t>HADLEY, MATTHEW</t>
  </si>
  <si>
    <t>MORRISON, CAROLINE</t>
  </si>
  <si>
    <t>SMITH, JULIA</t>
  </si>
  <si>
    <t>FITZHUGH, WELLESLEY</t>
  </si>
  <si>
    <t>ALSAEK, YASER</t>
  </si>
  <si>
    <t>MEENA, KELLEY</t>
  </si>
  <si>
    <t>LIBOIRON, MIREILLE</t>
  </si>
  <si>
    <t>RUMPEL, JENNIFER</t>
  </si>
  <si>
    <t>LAROCCA, ANNA</t>
  </si>
  <si>
    <t>NEVALA, KAYLA</t>
  </si>
  <si>
    <t>KO, JULIE</t>
  </si>
  <si>
    <t>EARNEST-HASTINGS, SHELBY</t>
  </si>
  <si>
    <t>ONARECKER, MALLORY</t>
  </si>
  <si>
    <t>RUPPERT, EMILY</t>
  </si>
  <si>
    <t>CARMICHAEL, TAYLOR</t>
  </si>
  <si>
    <t>AYERS, PATRICK</t>
  </si>
  <si>
    <t>SMITH, CHRISTOPHER</t>
  </si>
  <si>
    <t>CHACKO, JEFFREY</t>
  </si>
  <si>
    <t>JONES, KATIE</t>
  </si>
  <si>
    <t>BAXENDALE, HANNA</t>
  </si>
  <si>
    <t>MOURANI, PETER</t>
  </si>
  <si>
    <t>SHUMATE, HALEIGH</t>
  </si>
  <si>
    <t>MORGAN, JUSTIN</t>
  </si>
  <si>
    <t>ARONSON, ELIZABETH</t>
  </si>
  <si>
    <t>SMITH, MEAGAN</t>
  </si>
  <si>
    <t>LI, TING</t>
  </si>
  <si>
    <t>JANSEN, ANDREA</t>
  </si>
  <si>
    <t>DAVIS, MARLENE</t>
  </si>
  <si>
    <t>HILL, SHANON</t>
  </si>
  <si>
    <t>POST, LINDA</t>
  </si>
  <si>
    <t>DARDEN, PAUL</t>
  </si>
  <si>
    <t>LISENBY, KELLIE</t>
  </si>
  <si>
    <t>STICKLER, KATIE</t>
  </si>
  <si>
    <t>THIBODAUX, JULIE</t>
  </si>
  <si>
    <t>JONES, VICKIE</t>
  </si>
  <si>
    <t>SHEAGREN, PAULETTE</t>
  </si>
  <si>
    <t>LIVINGSTON, JENNIFER</t>
  </si>
  <si>
    <t>GOMEZ POMAR, ENRIQUE</t>
  </si>
  <si>
    <t>DOUGLAS, TAMERA</t>
  </si>
  <si>
    <t>WALKER, AMBER</t>
  </si>
  <si>
    <t>FLETCHER, KENDRA</t>
  </si>
  <si>
    <t>JOHNSON, HEATHER</t>
  </si>
  <si>
    <t>CARPENTER, CYNTHIA</t>
  </si>
  <si>
    <t>FRAZE, STEPHANIE</t>
  </si>
  <si>
    <t>LOWE, ANGELA</t>
  </si>
  <si>
    <t>TRAVIS, KATHERINE</t>
  </si>
  <si>
    <t>GOODSON, KRISTI</t>
  </si>
  <si>
    <t>INGLE, JULIE</t>
  </si>
  <si>
    <t>HOWARD, LAUREN</t>
  </si>
  <si>
    <t>WHALEY, STEPHEN</t>
  </si>
  <si>
    <t>DARDANELLE REGIONAL, LLC</t>
  </si>
  <si>
    <t>QUAPAW HOUSE, INC.</t>
  </si>
  <si>
    <t>STIGLER HEALTH AND WELLNESS CENTER INC</t>
  </si>
  <si>
    <t>HARBOR HOUSE INCORPORATED OF FORT SMITH ARKANSAS</t>
  </si>
  <si>
    <t>CAMARGO, LAURA</t>
  </si>
  <si>
    <t>JORDAN, DAVID</t>
  </si>
  <si>
    <t>BROWN, RACHEL</t>
  </si>
  <si>
    <t>STEWART, JILLIAN</t>
  </si>
  <si>
    <t>RAWLS, JENNIFER</t>
  </si>
  <si>
    <t>JUNE, LEA</t>
  </si>
  <si>
    <t>HAMILTON, STEPHANIE</t>
  </si>
  <si>
    <t>DAVIS, MANDY</t>
  </si>
  <si>
    <t>DARLING, KATHERINE</t>
  </si>
  <si>
    <t>KITTRELL, ALBERT</t>
  </si>
  <si>
    <t>HIGDON, AMY</t>
  </si>
  <si>
    <t>WILLIAMS, DANA</t>
  </si>
  <si>
    <t>CLARKE, LARRY</t>
  </si>
  <si>
    <t>COPELAND, TERA</t>
  </si>
  <si>
    <t>AYTCH, LAKIA</t>
  </si>
  <si>
    <t>ENDICOTT, MELISSA</t>
  </si>
  <si>
    <t>YOUNGER, JUST</t>
  </si>
  <si>
    <t>KRULIN, GREGORY</t>
  </si>
  <si>
    <t>FUDOLI, JAMES</t>
  </si>
  <si>
    <t>HANNAH, AARON</t>
  </si>
  <si>
    <t>MARTIN, JESSICA</t>
  </si>
  <si>
    <t>REID, JANA</t>
  </si>
  <si>
    <t>LONG, KACY</t>
  </si>
  <si>
    <t>FARMER, ELIZABETH</t>
  </si>
  <si>
    <t>CHANEY, JILL</t>
  </si>
  <si>
    <t>ANDREWS, JASON</t>
  </si>
  <si>
    <t>SCHROER, ANNETTE</t>
  </si>
  <si>
    <t>BYFORD, DENISE</t>
  </si>
  <si>
    <t>YOUNG, RONALD</t>
  </si>
  <si>
    <t>HANCE, JOANNIE</t>
  </si>
  <si>
    <t>PAAL, MARY</t>
  </si>
  <si>
    <t>WILLIAMS, BIRKES</t>
  </si>
  <si>
    <t>ENGELBERG, DALE</t>
  </si>
  <si>
    <t>RUNYAN, PHILLIP</t>
  </si>
  <si>
    <t>SPARGO, TIFFANY</t>
  </si>
  <si>
    <t>CALLAWAY GENTRY, KIMBERLY</t>
  </si>
  <si>
    <t>CONROY, SHEILA</t>
  </si>
  <si>
    <t>CONYEARS, GABRIELLE</t>
  </si>
  <si>
    <t>WEIMER, KAREN</t>
  </si>
  <si>
    <t>SNODGRASS, AMY</t>
  </si>
  <si>
    <t>WEBB, GERALD</t>
  </si>
  <si>
    <t>BUSH, KIMBERLY</t>
  </si>
  <si>
    <t>DUNN, LAURA</t>
  </si>
  <si>
    <t>LOUGIN, CRYSTAL</t>
  </si>
  <si>
    <t>YARNELL, KATHERINE</t>
  </si>
  <si>
    <t>MCDANIEL, VON</t>
  </si>
  <si>
    <t>HOLMES, EMILY</t>
  </si>
  <si>
    <t>MCTIGRIT, KELLI</t>
  </si>
  <si>
    <t>MCFADDEN, SAMANTHA</t>
  </si>
  <si>
    <t>REYNOLDS, KATHERINE</t>
  </si>
  <si>
    <t>SHAVERS, GELETTA</t>
  </si>
  <si>
    <t>MESSER, MICHELLE</t>
  </si>
  <si>
    <t>CHAPMAN, TAYLOR</t>
  </si>
  <si>
    <t>TREAT, LAURA</t>
  </si>
  <si>
    <t>RICHARDSON, SHARADY</t>
  </si>
  <si>
    <t>BOHANNON, STEPHANIE</t>
  </si>
  <si>
    <t>OWINGS, RICHARD</t>
  </si>
  <si>
    <t>SIGEL, MELISSA</t>
  </si>
  <si>
    <t>EDWARDS, BRANDI</t>
  </si>
  <si>
    <t>SMILEY, CHRISTIAN</t>
  </si>
  <si>
    <t>BELIN, MICHAEL</t>
  </si>
  <si>
    <t>SAULSBERRY, LASHANDRA</t>
  </si>
  <si>
    <t>LAFLORA, TONIKA</t>
  </si>
  <si>
    <t>GUINN, CANDANCE</t>
  </si>
  <si>
    <t>POLLARD, AMY</t>
  </si>
  <si>
    <t>GOODHEART, CHERYL</t>
  </si>
  <si>
    <t>SHEPPARD, DONNA</t>
  </si>
  <si>
    <t>CHANCE, MARY</t>
  </si>
  <si>
    <t>MORRIS, AMANDA</t>
  </si>
  <si>
    <t>MARTIN, HOLLY</t>
  </si>
  <si>
    <t>COOPER DAY, SHELBY</t>
  </si>
  <si>
    <t>REASON, ALTERA</t>
  </si>
  <si>
    <t>HORTON, SHELLY</t>
  </si>
  <si>
    <t>TERRY, ROBIN</t>
  </si>
  <si>
    <t>CAFFEE, JENNIFER</t>
  </si>
  <si>
    <t>BOWEN, MEREDITH</t>
  </si>
  <si>
    <t>WILLIAMS, NAKIA</t>
  </si>
  <si>
    <t>LY, TIA</t>
  </si>
  <si>
    <t>MEDLEY, MEAGAN</t>
  </si>
  <si>
    <t>ELAM, CARRIE</t>
  </si>
  <si>
    <t>HARBER, HARLEY</t>
  </si>
  <si>
    <t>TODD, KAREN</t>
  </si>
  <si>
    <t>FLORES, SCHANTZ</t>
  </si>
  <si>
    <t>SYLVESTER, RICHARD</t>
  </si>
  <si>
    <t>GARNER, REIANNA</t>
  </si>
  <si>
    <t>SWEATMAN, ALLISON</t>
  </si>
  <si>
    <t>RAMSEY, SAMANTHA</t>
  </si>
  <si>
    <t>EUDY, RUTH</t>
  </si>
  <si>
    <t>WOODSON, REBECCA</t>
  </si>
  <si>
    <t>GREEN, LACY</t>
  </si>
  <si>
    <t>JOHNSON, CAITLYN</t>
  </si>
  <si>
    <t>STAUSS, KIMBERLY</t>
  </si>
  <si>
    <t>MONTGOMERY, WILLIAM</t>
  </si>
  <si>
    <t>KRAMER, TERESA</t>
  </si>
  <si>
    <t>PRICE, CYNTHIA</t>
  </si>
  <si>
    <t>BROADWAY, AMBER</t>
  </si>
  <si>
    <t>HOUT, APRIL</t>
  </si>
  <si>
    <t>SIEGLER, WILBY</t>
  </si>
  <si>
    <t>MOON, JENNIFER</t>
  </si>
  <si>
    <t>GARDNER, KAITLYN</t>
  </si>
  <si>
    <t>HOFFMAN, BETTYE</t>
  </si>
  <si>
    <t>MERRINGER, MARILOU</t>
  </si>
  <si>
    <t>HALL, MELISSA</t>
  </si>
  <si>
    <t>DINGLER, ERIC</t>
  </si>
  <si>
    <t>MORGAN, WILLICA</t>
  </si>
  <si>
    <t>FEINGOLD, SARA</t>
  </si>
  <si>
    <t>PARNHAM, MARY</t>
  </si>
  <si>
    <t>ATKINSON, AMY</t>
  </si>
  <si>
    <t>HARRIS, ASHLEY</t>
  </si>
  <si>
    <t>VANSELL, KELLY</t>
  </si>
  <si>
    <t>HUBBELL, KALLIE</t>
  </si>
  <si>
    <t>HICKS-MASTER, ANGIE</t>
  </si>
  <si>
    <t>PRUITT, BRITTANY</t>
  </si>
  <si>
    <t>BERKEMEYER, BRIAN</t>
  </si>
  <si>
    <t>STATLER, MADOLYN</t>
  </si>
  <si>
    <t>DAVIS, MARION</t>
  </si>
  <si>
    <t>IGWE, OLAEDO</t>
  </si>
  <si>
    <t>BRADLEY, HEATH</t>
  </si>
  <si>
    <t>CROUCH, ROBERT</t>
  </si>
  <si>
    <t>CLEMENTS, TODD</t>
  </si>
  <si>
    <t>BANCEROWSKI, JUDY</t>
  </si>
  <si>
    <t>BUCOLO, ELIZABETH</t>
  </si>
  <si>
    <t>WATSON-GRIFFIN, ANGIE</t>
  </si>
  <si>
    <t>MARTS, AMBER</t>
  </si>
  <si>
    <t>KEY, MONTOYIA</t>
  </si>
  <si>
    <t>FONTENOY, SERENA</t>
  </si>
  <si>
    <t>EVERHART, ROXANNE</t>
  </si>
  <si>
    <t>CLIFTON, LYNNE</t>
  </si>
  <si>
    <t>EDDINS, JAMES</t>
  </si>
  <si>
    <t>BREWER, SHAE</t>
  </si>
  <si>
    <t>HARTMAN, KAITLIN</t>
  </si>
  <si>
    <t>TURIC, TONYA</t>
  </si>
  <si>
    <t>YARBERRY, ALISHA</t>
  </si>
  <si>
    <t>ANTHONY, AMELIA</t>
  </si>
  <si>
    <t>CARMICHAEL, JAYCEE</t>
  </si>
  <si>
    <t>CHALUPKA, STACIE</t>
  </si>
  <si>
    <t>TESTERMAN, PAULA</t>
  </si>
  <si>
    <t>GARCIA, KATHERINE</t>
  </si>
  <si>
    <t>SHERRILL, KATELYN</t>
  </si>
  <si>
    <t>ROUTT, JOSHUA</t>
  </si>
  <si>
    <t>CZERWINSKI, JERI</t>
  </si>
  <si>
    <t>PITMAN, SEAN</t>
  </si>
  <si>
    <t>CONRAD, ASHLEY</t>
  </si>
  <si>
    <t>PITTMAN, ALYSON</t>
  </si>
  <si>
    <t>MARTIN, CALLI</t>
  </si>
  <si>
    <t>FRAZIER-HENSON, ANGELIA</t>
  </si>
  <si>
    <t>WATKINS, CHAQUARA</t>
  </si>
  <si>
    <t>MOON, BOBBI</t>
  </si>
  <si>
    <t>PALAS, SEAN</t>
  </si>
  <si>
    <t>BRUMFIELD, JOE</t>
  </si>
  <si>
    <t>JONES, JACK</t>
  </si>
  <si>
    <t>DAVISON, MARY CATHERINE</t>
  </si>
  <si>
    <t>MCKOWN, GARRETT</t>
  </si>
  <si>
    <t>MADILL, JONATHAN</t>
  </si>
  <si>
    <t>HOPKINS, LOYCE</t>
  </si>
  <si>
    <t>HANNAH, SHARNAE</t>
  </si>
  <si>
    <t>CALDWELL, KRISTAL</t>
  </si>
  <si>
    <t>SCOTT, JESSICA</t>
  </si>
  <si>
    <t>LEE-FARSEE, KALISHI</t>
  </si>
  <si>
    <t>KENNEDY, CHELSIE</t>
  </si>
  <si>
    <t>OLSON, SAMUEL</t>
  </si>
  <si>
    <t>GRILLO, RACHEL</t>
  </si>
  <si>
    <t>ECHOLS, MOLLY</t>
  </si>
  <si>
    <t>POLK, JESSICA</t>
  </si>
  <si>
    <t>COUGILL, MADISON</t>
  </si>
  <si>
    <t>NGUYEN-DRIVER, MINA</t>
  </si>
  <si>
    <t>STEWART, BENJAMIN</t>
  </si>
  <si>
    <t>HOWARD, LEIGHANN</t>
  </si>
  <si>
    <t>HILL, CARRIE</t>
  </si>
  <si>
    <t>VANDEMARK, WENDY</t>
  </si>
  <si>
    <t>HARRIS-BRASHEARS, TRACY</t>
  </si>
  <si>
    <t>BACLAWSKI, JACQUELINE</t>
  </si>
  <si>
    <t>DEJOHN, TARA</t>
  </si>
  <si>
    <t>WYSONG-HARDER, ALYSON</t>
  </si>
  <si>
    <t>MANDAL-BLASIO, REBECCA</t>
  </si>
  <si>
    <t>FOWLER, NATASHA</t>
  </si>
  <si>
    <t>BROWN, CONNIE</t>
  </si>
  <si>
    <t>SANDERS, ALEXIS</t>
  </si>
  <si>
    <t>TEAGUE, JONATHAN</t>
  </si>
  <si>
    <t>FRIX-RHYNE, CARLY</t>
  </si>
  <si>
    <t>SCHROEDER, AMANDA</t>
  </si>
  <si>
    <t>HITCHCOCK, AMY</t>
  </si>
  <si>
    <t>STEVENS, LORI</t>
  </si>
  <si>
    <t>MORAIN, SHELBY</t>
  </si>
  <si>
    <t>GREEN, JESSIE</t>
  </si>
  <si>
    <t>FERGERSON, CHERYL</t>
  </si>
  <si>
    <t>DAVIS, MOLLIE</t>
  </si>
  <si>
    <t>KIRKPATRICK, KEVIN</t>
  </si>
  <si>
    <t>TINSMAN, GALE</t>
  </si>
  <si>
    <t>BOOTH, HANNAH</t>
  </si>
  <si>
    <t>BROOKS, ANA</t>
  </si>
  <si>
    <t>COOK, HAYLEE</t>
  </si>
  <si>
    <t>WADDELL, JONATHAN</t>
  </si>
  <si>
    <t>WILLIAMS, CINDY</t>
  </si>
  <si>
    <t>ADAY, LAURA</t>
  </si>
  <si>
    <t>PORTER, VICTORIA</t>
  </si>
  <si>
    <t>DEL BUSTO, STEVIE</t>
  </si>
  <si>
    <t>SHARP, SAMANTHA</t>
  </si>
  <si>
    <t>KEARNEY, ARRON</t>
  </si>
  <si>
    <t>PAGE, LORI</t>
  </si>
  <si>
    <t>BRATTON, MEGHAN</t>
  </si>
  <si>
    <t>ADAMS, KRISTY</t>
  </si>
  <si>
    <t>CONROY, JULIA</t>
  </si>
  <si>
    <t>ROBBINS, DONNA</t>
  </si>
  <si>
    <t>CLARK, TOMEIKA</t>
  </si>
  <si>
    <t>TEIS, EVE</t>
  </si>
  <si>
    <t>HARPER, MIA</t>
  </si>
  <si>
    <t>MECKFESSEL, CARA</t>
  </si>
  <si>
    <t>PETTIS, CATHY</t>
  </si>
  <si>
    <t>LAMBERT, KIMBERLEY</t>
  </si>
  <si>
    <t>PICKROM, TEQULIA</t>
  </si>
  <si>
    <t>IRBY, ROBERT</t>
  </si>
  <si>
    <t>POULOS, MISTI</t>
  </si>
  <si>
    <t>PATTERSON, LESLIE</t>
  </si>
  <si>
    <t>TUGGLE, MARCIE</t>
  </si>
  <si>
    <t>WITT, SAMANTHA</t>
  </si>
  <si>
    <t>MILLER, TIARA</t>
  </si>
  <si>
    <t>SPERLING, LOREN</t>
  </si>
  <si>
    <t>BALLINGER, THALIA</t>
  </si>
  <si>
    <t>BAIRD, CHARLES</t>
  </si>
  <si>
    <t>EMERY, CASEY</t>
  </si>
  <si>
    <t>NARLESKY, MATTHEW</t>
  </si>
  <si>
    <t>HINDMAN, MARGARET</t>
  </si>
  <si>
    <t>THOMAS, TONI</t>
  </si>
  <si>
    <t>ALLEN, CASONDRA</t>
  </si>
  <si>
    <t>MCGEHEE, ROBERT</t>
  </si>
  <si>
    <t>JEWELL, MELINDA</t>
  </si>
  <si>
    <t>CONNER, GARRICK</t>
  </si>
  <si>
    <t>REEL, MATTHEW</t>
  </si>
  <si>
    <t>BREWER, MORGAN</t>
  </si>
  <si>
    <t>KNIGHT, ANNA</t>
  </si>
  <si>
    <t>KING, VALERIA</t>
  </si>
  <si>
    <t>LILES, REBECCA</t>
  </si>
  <si>
    <t>ROBINSON, KIMBERLY</t>
  </si>
  <si>
    <t>ALLEN, BRENNA</t>
  </si>
  <si>
    <t>TIMMERMAN, ALYSSA</t>
  </si>
  <si>
    <t>LONGINOTTI, MARIA</t>
  </si>
  <si>
    <t>TREAT, ANN</t>
  </si>
  <si>
    <t>MONTGOMERY, ZARNEZ</t>
  </si>
  <si>
    <t>KASWORM, LAKOTA</t>
  </si>
  <si>
    <t>HENRY, GWENDOLYN</t>
  </si>
  <si>
    <t>DAVIS, JASMIN</t>
  </si>
  <si>
    <t>FERGUSON, REBECCA</t>
  </si>
  <si>
    <t>MCCOY, BRANDI</t>
  </si>
  <si>
    <t>VINSON, ERICA</t>
  </si>
  <si>
    <t>KUEHN, HEIDI</t>
  </si>
  <si>
    <t>LEVIN, HAILEY</t>
  </si>
  <si>
    <t>GLIDEWELL, LESLIE</t>
  </si>
  <si>
    <t>BEAUFFORD, LAURA</t>
  </si>
  <si>
    <t>NEAL, PARRISH</t>
  </si>
  <si>
    <t>ROBERSON, ANGELA</t>
  </si>
  <si>
    <t>SHELBY, TAYLOR</t>
  </si>
  <si>
    <t>DUREY, MINDY</t>
  </si>
  <si>
    <t>DAWSON, STANLEY</t>
  </si>
  <si>
    <t>CUNNINGHAM, BRANDY</t>
  </si>
  <si>
    <t>SOWELL, KIRSTEN</t>
  </si>
  <si>
    <t>MADDOX, WILLIAM</t>
  </si>
  <si>
    <t>FRANCIS, TORI</t>
  </si>
  <si>
    <t>JAMES, THERESA</t>
  </si>
  <si>
    <t>LEEKER, TIFFANY</t>
  </si>
  <si>
    <t>MAYHALL, DANNA</t>
  </si>
  <si>
    <t>LAYE, CHULYNDRIA</t>
  </si>
  <si>
    <t>MCKENZIE, ASHLEY</t>
  </si>
  <si>
    <t>WILBURN, ELISSA</t>
  </si>
  <si>
    <t>SANSON, WILLIAM</t>
  </si>
  <si>
    <t>LOWRY, PATRICK</t>
  </si>
  <si>
    <t>HEATHERLY, JOE</t>
  </si>
  <si>
    <t>AGUD, HOLLY</t>
  </si>
  <si>
    <t>WITTHUHN, MANDY</t>
  </si>
  <si>
    <t>MILLS, LINDSEY</t>
  </si>
  <si>
    <t>LIEURANCE, JENEE</t>
  </si>
  <si>
    <t>BAILEY, LISA</t>
  </si>
  <si>
    <t>DAVIS-MOORE, DENISE</t>
  </si>
  <si>
    <t>DRAPER MATTELIN, CAITLIN</t>
  </si>
  <si>
    <t>YANCEY-WARD, BROOKE</t>
  </si>
  <si>
    <t>SHUMAKE, MEGAN</t>
  </si>
  <si>
    <t>ROBINSON, AMANDA</t>
  </si>
  <si>
    <t>BLAYLOCK, ROBYN</t>
  </si>
  <si>
    <t>VAN HOOK, SARAH</t>
  </si>
  <si>
    <t>GILMER, CARLISA</t>
  </si>
  <si>
    <t>CHAMBERS, TONYA</t>
  </si>
  <si>
    <t>SNIDER, MARY</t>
  </si>
  <si>
    <t>EARNHART, ASHLEY</t>
  </si>
  <si>
    <t>CANTRELL, RACHEL</t>
  </si>
  <si>
    <t>GREGORY, EMILY</t>
  </si>
  <si>
    <t>LYNCH, STACEY</t>
  </si>
  <si>
    <t>WARE, CASHEENA</t>
  </si>
  <si>
    <t>SANGHERA, ALEXIS</t>
  </si>
  <si>
    <t>WHITE, KAYLA</t>
  </si>
  <si>
    <t>MAYS, CATHERINE</t>
  </si>
  <si>
    <t>MUSGROVE, JESSICA</t>
  </si>
  <si>
    <t>WHITNEY, MEGAN</t>
  </si>
  <si>
    <t>DENEEN, TODD</t>
  </si>
  <si>
    <t>ERMERT, AARON</t>
  </si>
  <si>
    <t>RIELS-BUSSMANN, ALLISON</t>
  </si>
  <si>
    <t>RENUART, CHRISTINE</t>
  </si>
  <si>
    <t>HALLMANN, SARAH</t>
  </si>
  <si>
    <t>TIPPING, DANIELLE</t>
  </si>
  <si>
    <t>BANKS, KNIKIAH</t>
  </si>
  <si>
    <t>SMITH, AWANNA</t>
  </si>
  <si>
    <t>TAUTE, CONNIE</t>
  </si>
  <si>
    <t>KIRKPATRICK, BRIAN</t>
  </si>
  <si>
    <t>PALAS, REBECCA</t>
  </si>
  <si>
    <t>DE SAMBOURG, HOLLY</t>
  </si>
  <si>
    <t>JONES-WASHINGTON, GAYE</t>
  </si>
  <si>
    <t>MITCHELL, NANCY</t>
  </si>
  <si>
    <t>MAREZ, JESSICA</t>
  </si>
  <si>
    <t>LANE, CRYSTAL</t>
  </si>
  <si>
    <t>BUNTING, NANCY</t>
  </si>
  <si>
    <t>HENDERSON, DENA</t>
  </si>
  <si>
    <t>VALLEY, CATHERINE</t>
  </si>
  <si>
    <t>ADAMS, KATRINA</t>
  </si>
  <si>
    <t>ERICKSON, JERRY</t>
  </si>
  <si>
    <t>HOLLOWAY, BRADFORD</t>
  </si>
  <si>
    <t>BURTON, MYSTI</t>
  </si>
  <si>
    <t>FULLEN, ALLISON</t>
  </si>
  <si>
    <t>HORTON, ELESHA</t>
  </si>
  <si>
    <t>HANKS, STEPHANIE</t>
  </si>
  <si>
    <t>CLOUD, TIFFANY</t>
  </si>
  <si>
    <t>YERTON, ROBERT</t>
  </si>
  <si>
    <t>MCLEAIN, MELANIE</t>
  </si>
  <si>
    <t>BOURNE, SHELBY</t>
  </si>
  <si>
    <t>SANDERS, KATIE</t>
  </si>
  <si>
    <t>YANCEY, KIARA</t>
  </si>
  <si>
    <t>WOLFE, MAKENZIE</t>
  </si>
  <si>
    <t>PEEK, SARAH</t>
  </si>
  <si>
    <t>BAIRD, MEGAN</t>
  </si>
  <si>
    <t>TARVIN, LAURA</t>
  </si>
  <si>
    <t>TILLEY, HANNAH</t>
  </si>
  <si>
    <t>BIRTCHER, MARY</t>
  </si>
  <si>
    <t>SHINN, ANGELA</t>
  </si>
  <si>
    <t>STEELE-WREN, STEPHANIE</t>
  </si>
  <si>
    <t>MCCLAIN, CYDNEY</t>
  </si>
  <si>
    <t>SAUCEDO, KRIZANA</t>
  </si>
  <si>
    <t>BURLESON, JENNIFER</t>
  </si>
  <si>
    <t>WEBB, RYANN</t>
  </si>
  <si>
    <t>WALLACE, ALLISON</t>
  </si>
  <si>
    <t>WILSON, CASSIDY</t>
  </si>
  <si>
    <t>SMARINSKY, EVAN</t>
  </si>
  <si>
    <t>SPIOTTO, ERNEST</t>
  </si>
  <si>
    <t>WHEELER, SUSON</t>
  </si>
  <si>
    <t>KUNZ, JUSTIN</t>
  </si>
  <si>
    <t>BAKER, SHARON</t>
  </si>
  <si>
    <t>BURROUGHS, KELLI</t>
  </si>
  <si>
    <t>LONG, CARI</t>
  </si>
  <si>
    <t>STORMENT, REBECCA</t>
  </si>
  <si>
    <t>GODFREY, MICHAEL</t>
  </si>
  <si>
    <t>DUNCAN, CHERIE</t>
  </si>
  <si>
    <t>BACON-LATINA, COURTNEY</t>
  </si>
  <si>
    <t>TAYLOR, REBEKAH</t>
  </si>
  <si>
    <t>BOLAN, CASANDRA</t>
  </si>
  <si>
    <t>SLINKARD, MADISON</t>
  </si>
  <si>
    <t>TONYMON, SUSAN</t>
  </si>
  <si>
    <t>GRAY, PAMELA</t>
  </si>
  <si>
    <t>HAYES-HUDSPETH, MARTHA</t>
  </si>
  <si>
    <t>BLACKWELL, SADIE</t>
  </si>
  <si>
    <t>SPEARS, KARI</t>
  </si>
  <si>
    <t>COCHRAN, DARLENA</t>
  </si>
  <si>
    <t>TAYLOR, ERICA</t>
  </si>
  <si>
    <t>FRENCH, HALEY</t>
  </si>
  <si>
    <t>LUNDQUIST, JON</t>
  </si>
  <si>
    <t>HAWES, JENNIFER</t>
  </si>
  <si>
    <t>LINN, DUSTY</t>
  </si>
  <si>
    <t>PALEN, CINDY</t>
  </si>
  <si>
    <t>SNIPE, HOLLY</t>
  </si>
  <si>
    <t>WILSON, JASON</t>
  </si>
  <si>
    <t>DONOVAN, ANDREW</t>
  </si>
  <si>
    <t>MONTGOMERY, ERIN</t>
  </si>
  <si>
    <t>HELM, MISHA</t>
  </si>
  <si>
    <t>SCHMIDT KONEN, CARRIE</t>
  </si>
  <si>
    <t>RONGEY, SUSANNA</t>
  </si>
  <si>
    <t>AUSTIN, ZACHARY</t>
  </si>
  <si>
    <t>SMITH, FORREST</t>
  </si>
  <si>
    <t>PROWELL, JOYCE</t>
  </si>
  <si>
    <t>BALTZ, LESLI</t>
  </si>
  <si>
    <t>READ, DANIEL</t>
  </si>
  <si>
    <t>JACKSON, SHERYL</t>
  </si>
  <si>
    <t>FIELDS, BRENDA</t>
  </si>
  <si>
    <t>FARRIS, DAVID</t>
  </si>
  <si>
    <t>PORTER, CHRIS</t>
  </si>
  <si>
    <t>LESHINSKI, PAUL</t>
  </si>
  <si>
    <t>COOK, MELISSA</t>
  </si>
  <si>
    <t>ALDRIDGE, TRENTON</t>
  </si>
  <si>
    <t>ADAMS, BRIAN</t>
  </si>
  <si>
    <t>WEAVER, MARK</t>
  </si>
  <si>
    <t>CHAVEZ, ANALISA</t>
  </si>
  <si>
    <t>TOLLETT, CHELSEA</t>
  </si>
  <si>
    <t>ROESLER, MAUREEN</t>
  </si>
  <si>
    <t>CHAMBERS, DEVEN</t>
  </si>
  <si>
    <t>MARTIN, KRISTIN</t>
  </si>
  <si>
    <t>PETERSON, PAUL</t>
  </si>
  <si>
    <t>TILLMAN, DEVONNA</t>
  </si>
  <si>
    <t>ROOT, JOSHUA</t>
  </si>
  <si>
    <t>WALLACE, FANNIE</t>
  </si>
  <si>
    <t>STALNAKER, CARISSA</t>
  </si>
  <si>
    <t>HOLLINGSWORTH, HEATHER</t>
  </si>
  <si>
    <t>GIBSON, SALLY</t>
  </si>
  <si>
    <t>HARDY, TERESA</t>
  </si>
  <si>
    <t>DUNN, DEANNA</t>
  </si>
  <si>
    <t>BRANDON, LESLIE</t>
  </si>
  <si>
    <t>RUGER, ANNA</t>
  </si>
  <si>
    <t>SPEED, DARRELL</t>
  </si>
  <si>
    <t>KUPERMAN, DAVID</t>
  </si>
  <si>
    <t>NEDZI, LUCIEN</t>
  </si>
  <si>
    <t>PORTER, MIRIAM</t>
  </si>
  <si>
    <t>MACKEY, JAMES</t>
  </si>
  <si>
    <t>TU, SHI-MING</t>
  </si>
  <si>
    <t>WILLIAMS, KAYLA</t>
  </si>
  <si>
    <t>OSBORN, JUDY</t>
  </si>
  <si>
    <t>CAMPBELL JIMENEZ, BRIAN</t>
  </si>
  <si>
    <t>GODBOLE, ABHIJIT</t>
  </si>
  <si>
    <t>ADVANCED NURSING AND REHAB OF ELDORADO LLC</t>
  </si>
  <si>
    <t>JOHN ASHLEY DRIVE OPERATING LLC</t>
  </si>
  <si>
    <t>DOLLARWAY ROAD OPERATING LLC</t>
  </si>
  <si>
    <t>SOUTH DIXIELAND ROAD OPERATING LLC</t>
  </si>
  <si>
    <t>NORTH STREET OPERATING LLC</t>
  </si>
  <si>
    <t>CUMBERLAND STREET OPERATING LLC</t>
  </si>
  <si>
    <t>SUPERIOR HEALTH &amp; REHAB LLC</t>
  </si>
  <si>
    <t>OAK GROVE STREET OPERATING LLC</t>
  </si>
  <si>
    <t>WEST MARKHAM STREET OPERATING LLC</t>
  </si>
  <si>
    <t>CLHP OPERATIONS, LLC</t>
  </si>
  <si>
    <t>HILLCREST HEALTHCARE, LLC</t>
  </si>
  <si>
    <t>WEST DIXON ROAD OPERATING LLC</t>
  </si>
  <si>
    <t>LINDLEY LANE OPERATING LLC</t>
  </si>
  <si>
    <t>RILEY DRIVE OPERATING LLC</t>
  </si>
  <si>
    <t>GOLF LINKS ROAD OPERATING LLC</t>
  </si>
  <si>
    <t>WHEELER AVENUE OPERATING LLC</t>
  </si>
  <si>
    <t>SOOMRO, ARMAGHAN</t>
  </si>
  <si>
    <t>MURPHY, BRUCE</t>
  </si>
  <si>
    <t>LOGUIDICE, MICHAEL</t>
  </si>
  <si>
    <t>ARZOLA, FERNANDO</t>
  </si>
  <si>
    <t>CRAWFORD, RICHARD</t>
  </si>
  <si>
    <t>ALMADDAH, NUREDDIN</t>
  </si>
  <si>
    <t>SOTOMORA, RICARDO</t>
  </si>
  <si>
    <t>THIHALOLIPAVAN, SUDARONE</t>
  </si>
  <si>
    <t>SIVAKUMAR, KALAIVANI</t>
  </si>
  <si>
    <t>TALBERT, TIMOTHY</t>
  </si>
  <si>
    <t>KOBAYASHI, AKIHIRO</t>
  </si>
  <si>
    <t>SKINNER, KRISTINA</t>
  </si>
  <si>
    <t>BEG, FAHEEMULLAH</t>
  </si>
  <si>
    <t>HUTCHINS, STEVEN</t>
  </si>
  <si>
    <t>FURNISS-ROBERTS, JULIA</t>
  </si>
  <si>
    <t>SMITH, LINDA</t>
  </si>
  <si>
    <t>GUNTER, MARCUS</t>
  </si>
  <si>
    <t>PAGAN, MEGAN</t>
  </si>
  <si>
    <t>BOECKMANN, KATHEY</t>
  </si>
  <si>
    <t>CHALONER, PATRICIA</t>
  </si>
  <si>
    <t>BLAYLOCK, JOSHUA</t>
  </si>
  <si>
    <t>JOHNSON, ABIGAIL</t>
  </si>
  <si>
    <t>BUTLER, TINA</t>
  </si>
  <si>
    <t>AKBARY, FAUZIA</t>
  </si>
  <si>
    <t>CROUCH, SAMANTHA</t>
  </si>
  <si>
    <t>MOHLMAN, KATIE</t>
  </si>
  <si>
    <t>SMITH, KIM</t>
  </si>
  <si>
    <t>SCHERREY, ELIZABETH</t>
  </si>
  <si>
    <t>HOLMBLAD, KRISTEL</t>
  </si>
  <si>
    <t>RADHAKRISHNAN, MUTHUKUMAR</t>
  </si>
  <si>
    <t>ZEB, HASSAN</t>
  </si>
  <si>
    <t>MALIK, AHMAR</t>
  </si>
  <si>
    <t>RAGHAVAN, DEEPA</t>
  </si>
  <si>
    <t>GHAZALA, ZENA</t>
  </si>
  <si>
    <t>ALI, MUHAMMAD</t>
  </si>
  <si>
    <t>GWIN, EDWARD</t>
  </si>
  <si>
    <t>PATIL, MONALI</t>
  </si>
  <si>
    <t>MILLER, GENA</t>
  </si>
  <si>
    <t>EDEM, DINESH LAXMINARA</t>
  </si>
  <si>
    <t>JAVAID, MARIA</t>
  </si>
  <si>
    <t>KUMAR, SAUMYA</t>
  </si>
  <si>
    <t>RIAZ, NASHMIA</t>
  </si>
  <si>
    <t>PHC-CLEVELAND LLC</t>
  </si>
  <si>
    <t>COOPER, MEGAN</t>
  </si>
  <si>
    <t>BASZIS, KEVIN</t>
  </si>
  <si>
    <t>KITCHAROENSAKKUL, MALEEWAN</t>
  </si>
  <si>
    <t>TAGHIZADEH KHAMESI, MOJDEH</t>
  </si>
  <si>
    <t>JOHNSON, JEFFERY</t>
  </si>
  <si>
    <t>NORRIS, MICHAEL</t>
  </si>
  <si>
    <t>CALLOWAY, STEFAN</t>
  </si>
  <si>
    <t>CRISWELL, LAUREN</t>
  </si>
  <si>
    <t>WILLIAMS, SUSAN</t>
  </si>
  <si>
    <t>HOLDEN, EMMA</t>
  </si>
  <si>
    <t>TINSLEY, TYLER</t>
  </si>
  <si>
    <t>GEORGE, LINDSEY</t>
  </si>
  <si>
    <t>ROWLAND, LAUREN</t>
  </si>
  <si>
    <t>LEGG, MELINDA</t>
  </si>
  <si>
    <t>DILLARD, CASEY</t>
  </si>
  <si>
    <t>BUCKINGHAM, JAMIE</t>
  </si>
  <si>
    <t>TEAGUE, RANDALL</t>
  </si>
  <si>
    <t>DAIBER, TRENT</t>
  </si>
  <si>
    <t>ASHE, STEPHEN</t>
  </si>
  <si>
    <t>BOWEN, JACOB</t>
  </si>
  <si>
    <t>SACHSE, NICHOLAS</t>
  </si>
  <si>
    <t>BARBER, LAURIE</t>
  </si>
  <si>
    <t>NORD, RUTVI</t>
  </si>
  <si>
    <t>FERGUSON, RICKY</t>
  </si>
  <si>
    <t>DUDLEY, JIM</t>
  </si>
  <si>
    <t>JORDAN, DOUGLAS</t>
  </si>
  <si>
    <t>ROBERTS, BOB</t>
  </si>
  <si>
    <t>GAULDIN, DONALD</t>
  </si>
  <si>
    <t>KING, BENJAMIN</t>
  </si>
  <si>
    <t>COHRS, JACKIE</t>
  </si>
  <si>
    <t>CLIFTON, ERNEST</t>
  </si>
  <si>
    <t>WILLIAMS, HOLLY</t>
  </si>
  <si>
    <t>KATZ, MATTHEW</t>
  </si>
  <si>
    <t>COLE, ADAM</t>
  </si>
  <si>
    <t>JACKSON, STEPHEN</t>
  </si>
  <si>
    <t>DAVIS, EVAN</t>
  </si>
  <si>
    <t>MCLAUGHLIN, BRITTANY</t>
  </si>
  <si>
    <t>HARGIS, KYLE</t>
  </si>
  <si>
    <t>SMITH, JACOB</t>
  </si>
  <si>
    <t>BYLAND, RACHEL</t>
  </si>
  <si>
    <t>NOLAND, CHARLES</t>
  </si>
  <si>
    <t>PARSONS, ERICA</t>
  </si>
  <si>
    <t>EGGENBERGER, MATTHEW</t>
  </si>
  <si>
    <t>BRUMLEY, ABBEY</t>
  </si>
  <si>
    <t>PATEL, SUJALKUMAR</t>
  </si>
  <si>
    <t>HENRY, AISHA</t>
  </si>
  <si>
    <t>DOZIER, ALEXANDER</t>
  </si>
  <si>
    <t>RHOADS, DUSTIN</t>
  </si>
  <si>
    <t>SHOCKLEY, ELIZABETH</t>
  </si>
  <si>
    <t>HARRIS, MARK</t>
  </si>
  <si>
    <t>SCHMIDT, ANNE</t>
  </si>
  <si>
    <t>PARK, DAVID</t>
  </si>
  <si>
    <t>KHAN, SHEBA</t>
  </si>
  <si>
    <t>RILEY, NAKITA</t>
  </si>
  <si>
    <t>EUBANKS, TERRI</t>
  </si>
  <si>
    <t>MESSENGER, ANNA MARIE</t>
  </si>
  <si>
    <t>HALL, MOLLY</t>
  </si>
  <si>
    <t>MAYFIELD, JACOB</t>
  </si>
  <si>
    <t>SCHMIDT, DENNIS</t>
  </si>
  <si>
    <t>SHERWOOD, CARISSA</t>
  </si>
  <si>
    <t>MCPHERSON, BRYCE</t>
  </si>
  <si>
    <t>DOLLAR, NICK</t>
  </si>
  <si>
    <t>KARAN, KUNAL</t>
  </si>
  <si>
    <t>STRICKLIN, RUSSELL</t>
  </si>
  <si>
    <t>PANOUSIS, PARASKEVI</t>
  </si>
  <si>
    <t>COLLAZO, AUSTIN</t>
  </si>
  <si>
    <t>ASHLEY, DAVID</t>
  </si>
  <si>
    <t>MCDONALD, MATTHEW</t>
  </si>
  <si>
    <t>NGUYEN, VAN ANH</t>
  </si>
  <si>
    <t>SCARBROUGH, EVAN</t>
  </si>
  <si>
    <t>MACARAEG, MARIA</t>
  </si>
  <si>
    <t>MCMILLON, HANNAH</t>
  </si>
  <si>
    <t>LITTLER, MACY</t>
  </si>
  <si>
    <t>BAIN, JOHN</t>
  </si>
  <si>
    <t>GOLDTRAP, ROBERT</t>
  </si>
  <si>
    <t>HARVEY GRINNIS, DALEY</t>
  </si>
  <si>
    <t>NICHOLS-GREGORY, WENDI</t>
  </si>
  <si>
    <t>BHANDAL, SUKHMANDEEP</t>
  </si>
  <si>
    <t>MILLER, ERICKA</t>
  </si>
  <si>
    <t>PHILLIPS, BRIANNA</t>
  </si>
  <si>
    <t>AMINI, ARIANNA</t>
  </si>
  <si>
    <t>PULLAT, ANAND</t>
  </si>
  <si>
    <t>JAMISON, LUKE</t>
  </si>
  <si>
    <t>HARDGRAVE, NATALIA</t>
  </si>
  <si>
    <t>LEE, RUBY</t>
  </si>
  <si>
    <t>LINSON, PAIGE</t>
  </si>
  <si>
    <t>ROWLAN, JEFFREY</t>
  </si>
  <si>
    <t>FAWCETT, JACK</t>
  </si>
  <si>
    <t>BENNETT, ADAM</t>
  </si>
  <si>
    <t>WAMBLE, SUSAN</t>
  </si>
  <si>
    <t>GOODMAN, JOSIANA</t>
  </si>
  <si>
    <t>MCBETH, SUSAN</t>
  </si>
  <si>
    <t>LANGSTON, JACOB</t>
  </si>
  <si>
    <t>ROBLEE, JAMES</t>
  </si>
  <si>
    <t>MAXWELL, SKYLAR</t>
  </si>
  <si>
    <t>STEWART, SAVANAH</t>
  </si>
  <si>
    <t>CRABTREE, KRISTEN</t>
  </si>
  <si>
    <t>HERROD, ROBERT</t>
  </si>
  <si>
    <t>DOHERTY, MARK</t>
  </si>
  <si>
    <t>MILLER PHARMACY SERVICES LLC</t>
  </si>
  <si>
    <t>NASHVILLE FAMILY PHARMACY LLC</t>
  </si>
  <si>
    <t>WP MALONE INC</t>
  </si>
  <si>
    <t>HOME I.V. SPECIALISTS, INC.</t>
  </si>
  <si>
    <t>DON'S PHARMACY, INC</t>
  </si>
  <si>
    <t>HEALTH-WAY PHARMACY, INC.</t>
  </si>
  <si>
    <t>OPTION CARE ENTERPRISES, INC.</t>
  </si>
  <si>
    <t>KABAFUSION AR, LLC</t>
  </si>
  <si>
    <t>THE WEST CLINIC, PLLC</t>
  </si>
  <si>
    <t>MVP HEALTH SYSTEMS, LLC.</t>
  </si>
  <si>
    <t>KEENAN, RICHARD</t>
  </si>
  <si>
    <t>PITTMAN, AMANDA</t>
  </si>
  <si>
    <t>CROSSETT, ZACHARY</t>
  </si>
  <si>
    <t>MORROW, DIANE</t>
  </si>
  <si>
    <t>FASHANU, OLUWAFUNTO</t>
  </si>
  <si>
    <t>PERRIN, NATHAN</t>
  </si>
  <si>
    <t>WILLIAMSON, JOHN</t>
  </si>
  <si>
    <t>MANES, KELLIE</t>
  </si>
  <si>
    <t>JABALY, NASTASYA</t>
  </si>
  <si>
    <t>LEIBROCK, HAYDEN</t>
  </si>
  <si>
    <t>THOMPSON, ALEXANDRA</t>
  </si>
  <si>
    <t>BOWEN, SABRINA</t>
  </si>
  <si>
    <t>BAILEY, JOHN</t>
  </si>
  <si>
    <t>TURNER, MEGHAN</t>
  </si>
  <si>
    <t>POLEY, JAN</t>
  </si>
  <si>
    <t>BARNETT, DYLAN</t>
  </si>
  <si>
    <t>WILHITE, ABIGAIL</t>
  </si>
  <si>
    <t>DIETZ, COURTNEY</t>
  </si>
  <si>
    <t>TEBAY, ASHLEY</t>
  </si>
  <si>
    <t>TULLIS, JAMES</t>
  </si>
  <si>
    <t>QUINTANA, HALEY</t>
  </si>
  <si>
    <t>LUNSFORD, JESSICA</t>
  </si>
  <si>
    <t>ROCHELIN, DAVID</t>
  </si>
  <si>
    <t>ASSEM, SARAH</t>
  </si>
  <si>
    <t>BURKS, JARED</t>
  </si>
  <si>
    <t>BARNETT, BRITTANY</t>
  </si>
  <si>
    <t>KEEL, MITCHELL</t>
  </si>
  <si>
    <t>WATKINS, ANNA</t>
  </si>
  <si>
    <t>GOODWIN, RACHAEL</t>
  </si>
  <si>
    <t>JAMES, DANIELLE</t>
  </si>
  <si>
    <t>CHERRY, MEGAN</t>
  </si>
  <si>
    <t>RADDLE, CACEE</t>
  </si>
  <si>
    <t>ASKEW, EMILY</t>
  </si>
  <si>
    <t>MERLINO, DEMI</t>
  </si>
  <si>
    <t>GAVIN, CASSIDY</t>
  </si>
  <si>
    <t>THURMAN, CASANDRA</t>
  </si>
  <si>
    <t>BUSCH, CAITLIN</t>
  </si>
  <si>
    <t>HARRISON, MEGAN</t>
  </si>
  <si>
    <t>BARNES, ELIZABETH</t>
  </si>
  <si>
    <t>NOBLES, MONICA</t>
  </si>
  <si>
    <t>STARK, CHARLOTTE</t>
  </si>
  <si>
    <t>KOCH, SEAN</t>
  </si>
  <si>
    <t>SWAYZE, JORDAN</t>
  </si>
  <si>
    <t>FURMAN, KIRSTIN</t>
  </si>
  <si>
    <t>NGUYEN, KIMBERLY</t>
  </si>
  <si>
    <t>DANIEL, ANNA</t>
  </si>
  <si>
    <t>WILLIAMS, KARA</t>
  </si>
  <si>
    <t>CASTRO, LISA</t>
  </si>
  <si>
    <t>BREWER, AMANDA</t>
  </si>
  <si>
    <t>ADAMS, KAYLA</t>
  </si>
  <si>
    <t>ROSS, KENNETH</t>
  </si>
  <si>
    <t>PADILLA RAMOS, ALAN</t>
  </si>
  <si>
    <t>CAMPBELL, KARI</t>
  </si>
  <si>
    <t>MCCOY, LISA</t>
  </si>
  <si>
    <t>MITCHELL, ALI</t>
  </si>
  <si>
    <t>DUNN, LAUREN</t>
  </si>
  <si>
    <t>LYDOLPH, JULIE</t>
  </si>
  <si>
    <t>CALLAHAN, JENNIFER</t>
  </si>
  <si>
    <t>HOLLOWOA, KATIE</t>
  </si>
  <si>
    <t>DARBY, GAIL</t>
  </si>
  <si>
    <t>MANYAM, SWAPNA</t>
  </si>
  <si>
    <t>FREAKLEY, MELISSA</t>
  </si>
  <si>
    <t>TEMPLE, JORDYN</t>
  </si>
  <si>
    <t>GREENO-FLETCHER, JENNIFER</t>
  </si>
  <si>
    <t>KANCHERLA, KALYAN</t>
  </si>
  <si>
    <t>CAMERON, MICHELLE</t>
  </si>
  <si>
    <t>SALE, AMANDA</t>
  </si>
  <si>
    <t>REAMS, EMILY</t>
  </si>
  <si>
    <t>KELLEY, DAVID</t>
  </si>
  <si>
    <t>VAUGHAN, EMILY</t>
  </si>
  <si>
    <t>MICHALEK, FERRIN</t>
  </si>
  <si>
    <t>BENLAMHIDI, SIDI YASSINE</t>
  </si>
  <si>
    <t>PRICE, SHYANNE</t>
  </si>
  <si>
    <t>CHISNALL, HAIDEN</t>
  </si>
  <si>
    <t>MCCANN, ELIZABETH</t>
  </si>
  <si>
    <t>CANNON, ASHLEY</t>
  </si>
  <si>
    <t>RIDDLE, JASMINE</t>
  </si>
  <si>
    <t>BURTON, CHELSEY</t>
  </si>
  <si>
    <t>MILLS, BENJAMIN</t>
  </si>
  <si>
    <t>CONWAY, ANNIE</t>
  </si>
  <si>
    <t>PACE, STEPHEN</t>
  </si>
  <si>
    <t>WILSON, KIMBERLY</t>
  </si>
  <si>
    <t>CARVER, DOMINICQUE</t>
  </si>
  <si>
    <t>HOLLOWAY, GINGER</t>
  </si>
  <si>
    <t>QUATTLEBAUM, PAULA</t>
  </si>
  <si>
    <t>PATTERSON, MELINDA</t>
  </si>
  <si>
    <t>GAGE, KATIE</t>
  </si>
  <si>
    <t>PETERSON, ALEXANDRIA</t>
  </si>
  <si>
    <t>GOODWIN CHIGUMIRA, KAETHE</t>
  </si>
  <si>
    <t>GLOVER, ASHLEY</t>
  </si>
  <si>
    <t>COCHRAN, STACI</t>
  </si>
  <si>
    <t>MARTIN, BENJAMIN</t>
  </si>
  <si>
    <t>SANDERSON, SHAUNA</t>
  </si>
  <si>
    <t>BARAJAS, CHARLOTTE</t>
  </si>
  <si>
    <t>COATES, JOHN</t>
  </si>
  <si>
    <t>SAYANI, SANIA</t>
  </si>
  <si>
    <t>ROBERTS, TAYLOR</t>
  </si>
  <si>
    <t>ALLEN, MOLLY</t>
  </si>
  <si>
    <t>MAYFIELD, CHRISTOPHER</t>
  </si>
  <si>
    <t>COPE, TAYLOR</t>
  </si>
  <si>
    <t>WRIGHT, MEERA</t>
  </si>
  <si>
    <t>THOMPSON, BECK</t>
  </si>
  <si>
    <t>HARPER, JESSICA</t>
  </si>
  <si>
    <t>GRIFFY, BALLINA</t>
  </si>
  <si>
    <t>MCDANIELS, BRITTANY</t>
  </si>
  <si>
    <t>RAHMANY, ZALMI</t>
  </si>
  <si>
    <t>GUNNELS, TRINT</t>
  </si>
  <si>
    <t>HASE-LIPTON, VIVIAN</t>
  </si>
  <si>
    <t>SUAREZ, EDWIN</t>
  </si>
  <si>
    <t>EARLY, ASHLEY</t>
  </si>
  <si>
    <t>MOSS, DANA</t>
  </si>
  <si>
    <t>HOLDEN, BROOKE</t>
  </si>
  <si>
    <t>LUTZ, BAILEE</t>
  </si>
  <si>
    <t>HICKS, TRENT</t>
  </si>
  <si>
    <t>KIMBROUGH, JUNE</t>
  </si>
  <si>
    <t>HIDDLE, KAITLIN</t>
  </si>
  <si>
    <t>LAU, ONNA</t>
  </si>
  <si>
    <t>DEAL, VICTORIA</t>
  </si>
  <si>
    <t>ROBERTS, JESSICA</t>
  </si>
  <si>
    <t>BEGGS, ZACHARY</t>
  </si>
  <si>
    <t>SALAH, HUSAM</t>
  </si>
  <si>
    <t>GARDNER, JULIE</t>
  </si>
  <si>
    <t>MANEM, RAVEENA</t>
  </si>
  <si>
    <t>KAREEM, OLUFADEJIMI</t>
  </si>
  <si>
    <t>IQBAL, JAVED</t>
  </si>
  <si>
    <t>MOUSA, HEBA</t>
  </si>
  <si>
    <t>TOLHURST, HOLLY</t>
  </si>
  <si>
    <t>PHILLIPS, MICHAL</t>
  </si>
  <si>
    <t>MOHADJER, ASHLEY</t>
  </si>
  <si>
    <t>MANEM, NIKITHA</t>
  </si>
  <si>
    <t>NEAL, LAURA</t>
  </si>
  <si>
    <t>YOUNG, DAKOTA</t>
  </si>
  <si>
    <t>COLLIE, LESLIE</t>
  </si>
  <si>
    <t>GUTTING, JESSICA</t>
  </si>
  <si>
    <t>WALTON, HEATHER</t>
  </si>
  <si>
    <t>LINDER, ZANNA</t>
  </si>
  <si>
    <t>STOLZ, CARRIE</t>
  </si>
  <si>
    <t>RAY, TANJA</t>
  </si>
  <si>
    <t>YOUNG, LAURA</t>
  </si>
  <si>
    <t>EAGLE, STEPHANIE</t>
  </si>
  <si>
    <t>BROOKS, JULIE</t>
  </si>
  <si>
    <t>FOX, DAVID</t>
  </si>
  <si>
    <t>STROBEL, AARON</t>
  </si>
  <si>
    <t>TURAY, ACHMED</t>
  </si>
  <si>
    <t>BURNETT, CINDY</t>
  </si>
  <si>
    <t>FOON, JESSICA</t>
  </si>
  <si>
    <t>TRANGLE, JERAN</t>
  </si>
  <si>
    <t>LOCKEBY, HANNAH</t>
  </si>
  <si>
    <t>STEWART, CARA</t>
  </si>
  <si>
    <t>BALLARD, PAULA</t>
  </si>
  <si>
    <t>MOSES, MATTHEW</t>
  </si>
  <si>
    <t>MCELROY, JENNIFER</t>
  </si>
  <si>
    <t>BRYANT, WAYNE</t>
  </si>
  <si>
    <t>MORRIS, NATORRIE</t>
  </si>
  <si>
    <t>ARAVIND, SAHANA</t>
  </si>
  <si>
    <t>VANNATTER, MISTIE</t>
  </si>
  <si>
    <t>ELLIS, WILLIAM</t>
  </si>
  <si>
    <t>DAVIS, ERIN</t>
  </si>
  <si>
    <t>OSBORNE, EMILY</t>
  </si>
  <si>
    <t>PERKINS, KATHERINE</t>
  </si>
  <si>
    <t>RUPLE, TAYLOR</t>
  </si>
  <si>
    <t>OFFICER, LAUREN</t>
  </si>
  <si>
    <t>AL-WADEI, MOHAMMED</t>
  </si>
  <si>
    <t>SHEPHERD, KRISTEN</t>
  </si>
  <si>
    <t>ALBASHAIREH, ARWA</t>
  </si>
  <si>
    <t>JONES, VALORIE</t>
  </si>
  <si>
    <t>SULLIVAN, ANNA</t>
  </si>
  <si>
    <t>BRAUN, LISA</t>
  </si>
  <si>
    <t>JUSTICE, SETH</t>
  </si>
  <si>
    <t>GOSSETT, NATALIE</t>
  </si>
  <si>
    <t>ANANDAM, ANIL</t>
  </si>
  <si>
    <t>LEVOY, CRAIG</t>
  </si>
  <si>
    <t>MCBROOM, ZACHARY</t>
  </si>
  <si>
    <t>GARLAND, BRIAN</t>
  </si>
  <si>
    <t>MACCALLUM, GABRIELLE</t>
  </si>
  <si>
    <t>ROBERTSON, KASSIE</t>
  </si>
  <si>
    <t>HEWITT, ASHLEY</t>
  </si>
  <si>
    <t>BENAVIDES, CATHY</t>
  </si>
  <si>
    <t>POPE, KRISTI</t>
  </si>
  <si>
    <t>ENDERLIN, EMILY</t>
  </si>
  <si>
    <t>MCCARTY, KELLY</t>
  </si>
  <si>
    <t>MASTER, KELSEY</t>
  </si>
  <si>
    <t>OROZCO, RACHEL</t>
  </si>
  <si>
    <t>WADE, BRITTANY</t>
  </si>
  <si>
    <t>RICHARDSON, TAYLOR</t>
  </si>
  <si>
    <t>FLEEGER, JESSICA</t>
  </si>
  <si>
    <t>COURTNEY, PEYTON</t>
  </si>
  <si>
    <t>RENO, ADAM</t>
  </si>
  <si>
    <t>ALDERSON, LANE</t>
  </si>
  <si>
    <t>GEILING, ZACHARY</t>
  </si>
  <si>
    <t>GORHAM, MEGAN</t>
  </si>
  <si>
    <t>ANDERSON, RANDA</t>
  </si>
  <si>
    <t>HARTSHORN, MICHELLE</t>
  </si>
  <si>
    <t>BENNETT, SUN</t>
  </si>
  <si>
    <t>SHIELDS, VANESSA</t>
  </si>
  <si>
    <t>SPURLING, ANDREA</t>
  </si>
  <si>
    <t>MONTGOMERY, ANNE</t>
  </si>
  <si>
    <t>GONZALEZ, ANNELISE</t>
  </si>
  <si>
    <t>HERMAN, DESIREE</t>
  </si>
  <si>
    <t>FOY, ROBERT</t>
  </si>
  <si>
    <t>HORWITZ, DAVID</t>
  </si>
  <si>
    <t>TUBBS, LASHARON</t>
  </si>
  <si>
    <t>BLOCK, JOSHUA</t>
  </si>
  <si>
    <t>GORDON, KATRENA</t>
  </si>
  <si>
    <t>TERRY, JENNIFER</t>
  </si>
  <si>
    <t>APONTE, CHRIS</t>
  </si>
  <si>
    <t>MAYFIELD, KELLI</t>
  </si>
  <si>
    <t>CLARK, MANDY</t>
  </si>
  <si>
    <t>CURRAN, KELLY</t>
  </si>
  <si>
    <t>HAY, JENNIFER</t>
  </si>
  <si>
    <t>UYYALA, DASARADHA</t>
  </si>
  <si>
    <t>KAISER, SHAUN</t>
  </si>
  <si>
    <t>EKDAHL, RACHEL</t>
  </si>
  <si>
    <t>MCCURDY, ULRICHE</t>
  </si>
  <si>
    <t>BEWAJI, OLUWATOSIN</t>
  </si>
  <si>
    <t>HICKS, DEVIN</t>
  </si>
  <si>
    <t>SCARBROUGH, MEGAN</t>
  </si>
  <si>
    <t>MCCARSON, KRYSTLE</t>
  </si>
  <si>
    <t>THACKER, AMBER</t>
  </si>
  <si>
    <t>CHEDID, ALICE</t>
  </si>
  <si>
    <t>FRYAR, CIARA</t>
  </si>
  <si>
    <t>BROWN, TARA</t>
  </si>
  <si>
    <t>LUMINA REVENUE CYCLE MANAGEMENT LLC</t>
  </si>
  <si>
    <t>DELTA FAMILY HEALTH AND FITNESS CENTER FOR CHILDREN, INC.</t>
  </si>
  <si>
    <t>PINEY RIDGE TREATMENT CENTER, LLC</t>
  </si>
  <si>
    <t>COVENANT RECOVERY INC</t>
  </si>
  <si>
    <t>YOUTH HOME INC</t>
  </si>
  <si>
    <t>SMITH, ANGELA</t>
  </si>
  <si>
    <t>LINN, ALANA</t>
  </si>
  <si>
    <t>VALENZUELA, JUAN</t>
  </si>
  <si>
    <t>HANSON, LEAH</t>
  </si>
  <si>
    <t>LOFTIS, NORA</t>
  </si>
  <si>
    <t>ZAPPALORTA, GEORGE</t>
  </si>
  <si>
    <t>GRAHAM, ALEXIS</t>
  </si>
  <si>
    <t>REA, ALLISON</t>
  </si>
  <si>
    <t>COOK, STEPHANIE</t>
  </si>
  <si>
    <t>TUCKER, JESSICA</t>
  </si>
  <si>
    <t>SEAY, ASHLEE</t>
  </si>
  <si>
    <t>DOVE, AUTUMN</t>
  </si>
  <si>
    <t>AMOS, WILMER</t>
  </si>
  <si>
    <t>HIMES, MOLLY</t>
  </si>
  <si>
    <t>MYERS, DORETHA</t>
  </si>
  <si>
    <t>BALCH, JENNIFER</t>
  </si>
  <si>
    <t>MARTIN, KATIE</t>
  </si>
  <si>
    <t>CROSS, KENJARVIS</t>
  </si>
  <si>
    <t>LONG, BETHANY</t>
  </si>
  <si>
    <t>HART, LISA</t>
  </si>
  <si>
    <t>SCURRY, TANYA</t>
  </si>
  <si>
    <t>SIMPSON, RACHEL</t>
  </si>
  <si>
    <t>WERTZ, JUSTIN</t>
  </si>
  <si>
    <t>SCHMITZ, DIANA</t>
  </si>
  <si>
    <t>PRADHAN, TANIYA</t>
  </si>
  <si>
    <t>JACKSON, KRISTIN</t>
  </si>
  <si>
    <t>MAINARD, PAULA</t>
  </si>
  <si>
    <t>LEA, PAYTON</t>
  </si>
  <si>
    <t>CARTER, MYRIAM</t>
  </si>
  <si>
    <t>FOX, HEATHER</t>
  </si>
  <si>
    <t>BANKS, MARGARET</t>
  </si>
  <si>
    <t>ALEXANDER, MADISON</t>
  </si>
  <si>
    <t>MCCOOL, ALISHA</t>
  </si>
  <si>
    <t>IRWIN, COURTNEY</t>
  </si>
  <si>
    <t>WYLIE, ERIN</t>
  </si>
  <si>
    <t>OBREGON, FABIOLA</t>
  </si>
  <si>
    <t>FRIEND, KELSEY</t>
  </si>
  <si>
    <t>MILLER, LOREN</t>
  </si>
  <si>
    <t>CRAFT, GUYLA</t>
  </si>
  <si>
    <t>BERNARD, ERIKA</t>
  </si>
  <si>
    <t>STEFFAN, ANNA</t>
  </si>
  <si>
    <t>MASSEY, TERRI</t>
  </si>
  <si>
    <t>JOHNSON, ASHLEY</t>
  </si>
  <si>
    <t>LOCKERT, ASHLEY</t>
  </si>
  <si>
    <t>PAPASAN, MICHAELA</t>
  </si>
  <si>
    <t>HILL, ALEXIS</t>
  </si>
  <si>
    <t>LANKFORD, CHRISTOPHER</t>
  </si>
  <si>
    <t>BOTTOMS, NATASHIA</t>
  </si>
  <si>
    <t>OPIYO, AUBREE</t>
  </si>
  <si>
    <t>EALY, VALORIA</t>
  </si>
  <si>
    <t>LIPSKY, SARAH</t>
  </si>
  <si>
    <t>POWELL, ALICIA</t>
  </si>
  <si>
    <t>PAGE, MORGAN</t>
  </si>
  <si>
    <t>NOVOTNY, MARISSA</t>
  </si>
  <si>
    <t>COLLINS, JENNA</t>
  </si>
  <si>
    <t>GORE, SARAH</t>
  </si>
  <si>
    <t>EVANS-HAMMOND, JAMES</t>
  </si>
  <si>
    <t>WILLIAMS, TONIE</t>
  </si>
  <si>
    <t>DECOSTER, VAUGHN</t>
  </si>
  <si>
    <t>JACKSON, WHITNEY</t>
  </si>
  <si>
    <t>COX, KRISTEN</t>
  </si>
  <si>
    <t>YADA, KIMBERLY</t>
  </si>
  <si>
    <t>BROWN, ANGELA</t>
  </si>
  <si>
    <t>RICHISON, ABIGAIL</t>
  </si>
  <si>
    <t>GRIFFITH, KELLEY</t>
  </si>
  <si>
    <t>MAXWELL, ANDROMEDA</t>
  </si>
  <si>
    <t>LAZENBY, ALENA</t>
  </si>
  <si>
    <t>MILLER, TABATHA</t>
  </si>
  <si>
    <t>PICKARTZ, KAYLEE</t>
  </si>
  <si>
    <t>MOONEY, BRIAN</t>
  </si>
  <si>
    <t>MASKREY, CAITI</t>
  </si>
  <si>
    <t>KOTHARI, KHYATI</t>
  </si>
  <si>
    <t>KAMBLE, NITIN</t>
  </si>
  <si>
    <t>YATES, MORGAN</t>
  </si>
  <si>
    <t>KIMBALL, SHARI</t>
  </si>
  <si>
    <t>ORTEGA, MELINDA</t>
  </si>
  <si>
    <t>RUSSELL, JILLIAN</t>
  </si>
  <si>
    <t>WILSON, RAYLON</t>
  </si>
  <si>
    <t>WINTROATH, SHONDA</t>
  </si>
  <si>
    <t>DANIELL, JESSICA</t>
  </si>
  <si>
    <t>KENNINGTON, JESSICA</t>
  </si>
  <si>
    <t>SALMON, LESLIE</t>
  </si>
  <si>
    <t>FOWLER, JACQUELYN</t>
  </si>
  <si>
    <t>WORKMAN, MARY</t>
  </si>
  <si>
    <t>HEVERLING, CHRISTOPHER</t>
  </si>
  <si>
    <t>SHELTON, MALLORY</t>
  </si>
  <si>
    <t>HEMPHILL, HERBERT</t>
  </si>
  <si>
    <t>GRIGGS, LISA</t>
  </si>
  <si>
    <t>SIKES, JEFFERY</t>
  </si>
  <si>
    <t>EASON, KAREN</t>
  </si>
  <si>
    <t>HERRON, SHANECE</t>
  </si>
  <si>
    <t>TOLBERT, MARIOUS</t>
  </si>
  <si>
    <t>WARNICK, KYLA</t>
  </si>
  <si>
    <t>YAM, FAITH</t>
  </si>
  <si>
    <t>LAMMERS, KELLEY</t>
  </si>
  <si>
    <t>HALL, SUSAN</t>
  </si>
  <si>
    <t>BILLINGSLEY, LYNLEY</t>
  </si>
  <si>
    <t>JORDAN, EBONY</t>
  </si>
  <si>
    <t>TOOMER, RACHEL</t>
  </si>
  <si>
    <t>VENTURA, SAIDA</t>
  </si>
  <si>
    <t>HORTON, DEBORAH</t>
  </si>
  <si>
    <t>BLACK, JEANNEKA</t>
  </si>
  <si>
    <t>YOUNG, KATELYNN</t>
  </si>
  <si>
    <t>JACKSON, LUKE</t>
  </si>
  <si>
    <t>FORD, CHARLANDA</t>
  </si>
  <si>
    <t>FISHER, AMY</t>
  </si>
  <si>
    <t>ANDERSON-ALLEN, MONICA</t>
  </si>
  <si>
    <t>WELSH, DINA</t>
  </si>
  <si>
    <t>STUCKEY, LAKISHA</t>
  </si>
  <si>
    <t>STREET, KATI</t>
  </si>
  <si>
    <t>DOWNEY-RUTLEDGE, JENNIFER</t>
  </si>
  <si>
    <t>GILLIAM, HOLLY</t>
  </si>
  <si>
    <t>ANTIN, KATHRYN</t>
  </si>
  <si>
    <t>PAAPE, HAYLEY</t>
  </si>
  <si>
    <t>CHEAIRS, BECKY</t>
  </si>
  <si>
    <t>O'DELL, GABRIELA</t>
  </si>
  <si>
    <t>WARD-GEORGE, MELISSA</t>
  </si>
  <si>
    <t>CARLILE, ANDREA</t>
  </si>
  <si>
    <t>BOSOLD, ERIKA</t>
  </si>
  <si>
    <t>VINES, KYLA</t>
  </si>
  <si>
    <t>DAVIS, JOHNNY</t>
  </si>
  <si>
    <t>DRYE, KELLY</t>
  </si>
  <si>
    <t>SHEPHERD, SHERITA</t>
  </si>
  <si>
    <t>MARTIN-HICKMAN, MONIQUE</t>
  </si>
  <si>
    <t>CURRY, KADE</t>
  </si>
  <si>
    <t>SMITH, MAEKELLIE</t>
  </si>
  <si>
    <t>BELL, TRATESHA</t>
  </si>
  <si>
    <t>JAMES, SCOTTIE</t>
  </si>
  <si>
    <t>DUNN, NINA</t>
  </si>
  <si>
    <t>THOMAS, CAROLYN</t>
  </si>
  <si>
    <t>CUELLAR, LINDSEY</t>
  </si>
  <si>
    <t>CARROLL, KACIE</t>
  </si>
  <si>
    <t>COLLINS, COREY</t>
  </si>
  <si>
    <t>HEARD, SARAH</t>
  </si>
  <si>
    <t>TANCIBOK, GREGORY</t>
  </si>
  <si>
    <t>TRUSSELL, VENETIA</t>
  </si>
  <si>
    <t>DALTON, DAVID</t>
  </si>
  <si>
    <t>GONDER-MCDONALD, PORSHA</t>
  </si>
  <si>
    <t>PARKER, CHEYENNE</t>
  </si>
  <si>
    <t>RUCKER, CASSIDY</t>
  </si>
  <si>
    <t>CASEBOLT, RACHEL</t>
  </si>
  <si>
    <t>FAUGHT, ANDREW</t>
  </si>
  <si>
    <t>MITCHELL, ELIZABETH</t>
  </si>
  <si>
    <t>ALLEN, KELSEY</t>
  </si>
  <si>
    <t>GENTILLE SANCHEZ, CESAR</t>
  </si>
  <si>
    <t>ROSS, MITCHELL</t>
  </si>
  <si>
    <t>SINGH, SUNNY R K</t>
  </si>
  <si>
    <t>MIDDLETON, DEREK</t>
  </si>
  <si>
    <t>MORGAN, HOWARD</t>
  </si>
  <si>
    <t>PATEL, MAUSAM</t>
  </si>
  <si>
    <t>SAMANTA, SANTANU</t>
  </si>
  <si>
    <t>SAGER, KRISTEN</t>
  </si>
  <si>
    <t>EAST POINT HEALTH OPCO LLC</t>
  </si>
  <si>
    <t>CROSSETT HEALTHCARE LLC</t>
  </si>
  <si>
    <t>YELLVILLE HEALTHCARE LLC</t>
  </si>
  <si>
    <t>WALDRON NURSING OPCO LLC</t>
  </si>
  <si>
    <t>BRINKLEY HEALTHCARE LLC</t>
  </si>
  <si>
    <t>COTTAGE LANE HEALTH OPCO LLC</t>
  </si>
  <si>
    <t>PREMIER WELLNESS LLC</t>
  </si>
  <si>
    <t>HARRISON HEALTHCARE LLC</t>
  </si>
  <si>
    <t>GLENWOOD HEALTHCARE LLC</t>
  </si>
  <si>
    <t>PINE HILLS HEALTHCARE LLC</t>
  </si>
  <si>
    <t>HOT SPRINGS NURSING AND REHABILITATION - A WATERS COMMUNITY, LLC</t>
  </si>
  <si>
    <t>WOODS HEALTHCARE LLC</t>
  </si>
  <si>
    <t>HIGHLANDS OF LITTLE ROCK SOUTH CUMBERLAND HOLDINGS LLC</t>
  </si>
  <si>
    <t>CANYON SPRINGS HEALTHCARE LLC</t>
  </si>
  <si>
    <t>SEVEN SPRINGS HEALTHCARE LLC</t>
  </si>
  <si>
    <t>MOUNT VISTA HEALTHCARE LLC</t>
  </si>
  <si>
    <t>MIDTOWN POST ACUTE AND REHABILITATION - A WATERS COMMUNITY, LLC</t>
  </si>
  <si>
    <t>STONEGATE HEALTHCARE LLC</t>
  </si>
  <si>
    <t>LEBARON, LINNEA</t>
  </si>
  <si>
    <t>QASIM, AMNA</t>
  </si>
  <si>
    <t>BIGG, HUGH</t>
  </si>
  <si>
    <t>AWAR, LENA</t>
  </si>
  <si>
    <t>KHAN, BABAR</t>
  </si>
  <si>
    <t>CUNNINGHAM, TYLER</t>
  </si>
  <si>
    <t>KHAN, SANIA</t>
  </si>
  <si>
    <t>PEARCE, ALBERT</t>
  </si>
  <si>
    <t>TRIPATHI, AVNISH</t>
  </si>
  <si>
    <t>ORCUTT, JEFFREY</t>
  </si>
  <si>
    <t>YEDLAPATI, NEERAJA</t>
  </si>
  <si>
    <t>DACHEPALLY, RASHMITHA</t>
  </si>
  <si>
    <t>WARE, MELANIE</t>
  </si>
  <si>
    <t>WHITCOMBE, DAYNA</t>
  </si>
  <si>
    <t>COBB, BRIAN</t>
  </si>
  <si>
    <t>WEAVER, GEORGIANN</t>
  </si>
  <si>
    <t>GHOLSON, RYAN</t>
  </si>
  <si>
    <t>DICKENS, JOEL</t>
  </si>
  <si>
    <t>SALYER, TAYLOR</t>
  </si>
  <si>
    <t>MCKINNEY, MEREDITH</t>
  </si>
  <si>
    <t>WENDEL, MICHAEL</t>
  </si>
  <si>
    <t>CAMPBELL, MICHAEL</t>
  </si>
  <si>
    <t>BELL, JESSICA</t>
  </si>
  <si>
    <t>CHAPMAN, CONSTANCE</t>
  </si>
  <si>
    <t>GHAHREMANI, TAYLOR</t>
  </si>
  <si>
    <t>CLARIDGE, CAITLIN</t>
  </si>
  <si>
    <t>GREEN, JASON</t>
  </si>
  <si>
    <t>AWAD, SAMAH</t>
  </si>
  <si>
    <t>ISMAIL, AMR</t>
  </si>
  <si>
    <t>VAITHILINGAM, SIDDHARTHAN</t>
  </si>
  <si>
    <t>SHAHID, MUHAMMAD</t>
  </si>
  <si>
    <t>AZIM, ALI</t>
  </si>
  <si>
    <t>PALAGIRI, RAGA DEEPAK REDDY</t>
  </si>
  <si>
    <t>VEMULA, BHAVANA</t>
  </si>
  <si>
    <t>THUMMA, SOUMYA</t>
  </si>
  <si>
    <t>UNITY HEALTH - NEWPORT</t>
  </si>
  <si>
    <t>BREWER, ROBERT</t>
  </si>
  <si>
    <t>BROWN, AMANDA</t>
  </si>
  <si>
    <t>LAO, PRISCILLA APRIL</t>
  </si>
  <si>
    <t>STEWART, MELLINDA</t>
  </si>
  <si>
    <t>MILLS, SHALYNN</t>
  </si>
  <si>
    <t>KORNHAUSER, TOM</t>
  </si>
  <si>
    <t>RAMEY, KATHERINE</t>
  </si>
  <si>
    <t>DECLUE, CAITLYN</t>
  </si>
  <si>
    <t>SOIBELMANN TETELBOM, PEDRO</t>
  </si>
  <si>
    <t>FONG, JOSEPH</t>
  </si>
  <si>
    <t>WALTERS, GEORGE</t>
  </si>
  <si>
    <t>DECLUE, NATHAN</t>
  </si>
  <si>
    <t>NOGUERA, CYNTHIA</t>
  </si>
  <si>
    <t>PAKRAVAN, MOHAMMAD</t>
  </si>
  <si>
    <t>TURNER, ALEXANDRA</t>
  </si>
  <si>
    <t>PATEL, KHUSHBU</t>
  </si>
  <si>
    <t>NGUYEN, BRITTNEY</t>
  </si>
  <si>
    <t>WALTERS, RUSTIN</t>
  </si>
  <si>
    <t>HOUSTON, BRADLEY</t>
  </si>
  <si>
    <t>CURLIN, JONATHAN</t>
  </si>
  <si>
    <t>NAGRAMPA, JANETTE</t>
  </si>
  <si>
    <t>ATTIA, SHERIF</t>
  </si>
  <si>
    <t>BOLDING, TARUNA</t>
  </si>
  <si>
    <t>LEWIS, RODNEY</t>
  </si>
  <si>
    <t>KHALIL, ANNE</t>
  </si>
  <si>
    <t>DAVIS, AKIA</t>
  </si>
  <si>
    <t>DAVIS, LARRY</t>
  </si>
  <si>
    <t>SITZMAN, MACKENZIE</t>
  </si>
  <si>
    <t>MOON, DANIEL</t>
  </si>
  <si>
    <t>RAGAN, DYLAN</t>
  </si>
  <si>
    <t>JONES, CHRISTOPHER</t>
  </si>
  <si>
    <t>JOHNSON, DERRICK</t>
  </si>
  <si>
    <t>BLOUNT, CHYRELLE</t>
  </si>
  <si>
    <t>MITCHELL, BRITTANY</t>
  </si>
  <si>
    <t>BRYANT, CAMRYN</t>
  </si>
  <si>
    <t>PERRY, DREW</t>
  </si>
  <si>
    <t>SIDAROUS, NANCY</t>
  </si>
  <si>
    <t>COLEMAN, ZACHARY</t>
  </si>
  <si>
    <t>PEARSON, PARKER</t>
  </si>
  <si>
    <t>DANLEY, BRENT</t>
  </si>
  <si>
    <t>MITCHELL, LOUIS</t>
  </si>
  <si>
    <t>SCROGGINS, JESSICA</t>
  </si>
  <si>
    <t>JEFFERSON, TAKIYA</t>
  </si>
  <si>
    <t>PINKERTON, JACOB</t>
  </si>
  <si>
    <t>COOPER, EDWARD</t>
  </si>
  <si>
    <t>SHING, ALEXANDER</t>
  </si>
  <si>
    <t>WRIGHT, ASIA-BRYANNE</t>
  </si>
  <si>
    <t>MCREYNOLDS, GRAYSON</t>
  </si>
  <si>
    <t>O'SULLIVAN, RYAN</t>
  </si>
  <si>
    <t>EISENBERG, NICOLE</t>
  </si>
  <si>
    <t>IBRAHIM, CHRIS</t>
  </si>
  <si>
    <t>POWELL, CREIGHTON</t>
  </si>
  <si>
    <t>HOPKINS, JONATHAN</t>
  </si>
  <si>
    <t>JANG, PETER</t>
  </si>
  <si>
    <t>PYLE, GREGORY</t>
  </si>
  <si>
    <t>CARDINAL HEALTH 132, LLC</t>
  </si>
  <si>
    <t>LAKE VILLAGE DRUGSTORE, INC.</t>
  </si>
  <si>
    <t>RIVER VALLEY PRIMARY CARE</t>
  </si>
  <si>
    <t>MEDI-QUIK PHARMACY INC</t>
  </si>
  <si>
    <t>PATEL, TANVI</t>
  </si>
  <si>
    <t>Objector reason</t>
  </si>
  <si>
    <t>GRAY, MARINA</t>
  </si>
  <si>
    <t>Unanimity</t>
  </si>
  <si>
    <t>LUSTER, JERRICA</t>
  </si>
  <si>
    <t>SPRADLEY, THOMAS</t>
  </si>
  <si>
    <t>MITCHELL, HEATH</t>
  </si>
  <si>
    <t>FRANK, STEPHEN</t>
  </si>
  <si>
    <t>HOLTHOFF, EMILY</t>
  </si>
  <si>
    <t>WILLIAMS, TOYNICKA</t>
  </si>
  <si>
    <t>SCHILLER, LAUREN</t>
  </si>
  <si>
    <t>STANLEY, MARC</t>
  </si>
  <si>
    <t>GARLAND, AUBREY</t>
  </si>
  <si>
    <t>STEVASAROVA, AKSINIYA</t>
  </si>
  <si>
    <t>TILLEY, CLARE</t>
  </si>
  <si>
    <t>DANIEL, DEVIN</t>
  </si>
  <si>
    <t>ERICKSON, LIESA</t>
  </si>
  <si>
    <t>MOHR, SYDNIE</t>
  </si>
  <si>
    <t>BOLT, JACOB</t>
  </si>
  <si>
    <t>SHRIVASTAVA, TRILOK</t>
  </si>
  <si>
    <t>BACHU, RAMYA</t>
  </si>
  <si>
    <t>RAYBURN, CONNOR</t>
  </si>
  <si>
    <t>STEPHENS, ALYSSA</t>
  </si>
  <si>
    <t>ERVIN, MALLORY</t>
  </si>
  <si>
    <t>ULLAH, MUSKA</t>
  </si>
  <si>
    <t>BOWEN, LAUREN</t>
  </si>
  <si>
    <t>VUJJINI, VIKAS</t>
  </si>
  <si>
    <t>GARNER, WESLEY</t>
  </si>
  <si>
    <t>DAVIS, HILLARY</t>
  </si>
  <si>
    <t>BRIDGFORTH, JOHN</t>
  </si>
  <si>
    <t>ALLEN-DOYLE, CHRISTINA</t>
  </si>
  <si>
    <t>GARRETT, JENNEY</t>
  </si>
  <si>
    <t>SAGER, SAMANTHA</t>
  </si>
  <si>
    <t>BLASENGAME, JO</t>
  </si>
  <si>
    <t>SMITH, KATE</t>
  </si>
  <si>
    <t>LELIEVRE, CRISTY</t>
  </si>
  <si>
    <t>SYED, ANUM</t>
  </si>
  <si>
    <t>MUSE, REAGAN</t>
  </si>
  <si>
    <t>PEEPLES, NATALIE</t>
  </si>
  <si>
    <t>CAIN, JOANN</t>
  </si>
  <si>
    <t>WHEELER, BRENNAN</t>
  </si>
  <si>
    <t>STAFFORD, ANNE</t>
  </si>
  <si>
    <t>JOHNSON, LEIGH</t>
  </si>
  <si>
    <t>BEG, MOEEZULLAH</t>
  </si>
  <si>
    <t>TERRELL, KAITLYN</t>
  </si>
  <si>
    <t>NEAL, JAIMIE</t>
  </si>
  <si>
    <t>DUNN BARNETT, ALEXANDRIA</t>
  </si>
  <si>
    <t>BIDDLE, JENNIFER</t>
  </si>
  <si>
    <t>UDEH, HILLARY</t>
  </si>
  <si>
    <t>JACKSON, CAITLIN</t>
  </si>
  <si>
    <t>VAN DAM, KARLEE</t>
  </si>
  <si>
    <t>JUSTICE, MELINDA</t>
  </si>
  <si>
    <t>JEFFRIES, KRISTYN</t>
  </si>
  <si>
    <t>CORLEY, VICTORIA</t>
  </si>
  <si>
    <t>BARNES, SARAH</t>
  </si>
  <si>
    <t>EPPS, STEPHEN</t>
  </si>
  <si>
    <t>READ, KERI</t>
  </si>
  <si>
    <t>MANCHALA, VENKATA</t>
  </si>
  <si>
    <t>DUMPA, VIKRAMADITYA</t>
  </si>
  <si>
    <t>HAMMO, ABDEL-HAI</t>
  </si>
  <si>
    <t>Not on previous list</t>
  </si>
  <si>
    <t>HOWARTH-REYNOLDS, DEANNA</t>
  </si>
  <si>
    <t>QUIGLEY, BRIAN</t>
  </si>
  <si>
    <t>ADAMS, STACY</t>
  </si>
  <si>
    <t>KAZMERICK, SHANNON</t>
  </si>
  <si>
    <t>EUGENIO, NICOLE</t>
  </si>
  <si>
    <t>AHMED, AISHA</t>
  </si>
  <si>
    <t>ROBINSON, KAYLEE</t>
  </si>
  <si>
    <t>LUSHER, DAVID</t>
  </si>
  <si>
    <t>CARNEY, ROBERT</t>
  </si>
  <si>
    <t>NABORS, VENUS</t>
  </si>
  <si>
    <t>LOCKEY, RENEE</t>
  </si>
  <si>
    <t>HOWERTON ENGLES, MARSHA</t>
  </si>
  <si>
    <t>LUCKETT, MARC</t>
  </si>
  <si>
    <t>EID, ANAS</t>
  </si>
  <si>
    <t>AL-JABERI, LINA</t>
  </si>
  <si>
    <t>ROLLAND, MASHAE</t>
  </si>
  <si>
    <t>ZETO, ALAN</t>
  </si>
  <si>
    <t>STEPHENS, BRITTANY</t>
  </si>
  <si>
    <t>COOPER, SHANNON</t>
  </si>
  <si>
    <t>LOWE, PAMELA</t>
  </si>
  <si>
    <t>VORUGANTI, DINESH</t>
  </si>
  <si>
    <t>WESTBROOK, JESSICA</t>
  </si>
  <si>
    <t>KNOTT, SHERYL</t>
  </si>
  <si>
    <t>WILLIAMS, BETHANY</t>
  </si>
  <si>
    <t>MASSA, MOOREA</t>
  </si>
  <si>
    <t>MCCAULEY, MARY</t>
  </si>
  <si>
    <t>HERNANDEZ, LAURA</t>
  </si>
  <si>
    <t>ARMSTRONG, MEG</t>
  </si>
  <si>
    <t>FRANK, LINDSAY</t>
  </si>
  <si>
    <t>HAMILTON, JAYCE</t>
  </si>
  <si>
    <t>MONHOLLEN, KAITLYN</t>
  </si>
  <si>
    <t>ENGELBERGER, CYRECE</t>
  </si>
  <si>
    <t>ROGERS, COLLENE</t>
  </si>
  <si>
    <t>BURGER, BARRETT</t>
  </si>
  <si>
    <t>CONE, ELISHA</t>
  </si>
  <si>
    <t>KAUFMAN, CASSIE</t>
  </si>
  <si>
    <t>HART, LAURA</t>
  </si>
  <si>
    <t>CHELLAPPAN, SREE</t>
  </si>
  <si>
    <t>GARCIA, THERESIA</t>
  </si>
  <si>
    <t>SIMON, CLAY</t>
  </si>
  <si>
    <t>DECKER, KATHLEEN</t>
  </si>
  <si>
    <t>ELLIS, DESTINEY</t>
  </si>
  <si>
    <t>STAGGS, MARY</t>
  </si>
  <si>
    <t>ODOM, DIANNA</t>
  </si>
  <si>
    <t>PITTS, GULNAR</t>
  </si>
  <si>
    <t>LOCKHART WRIGHT, TRACEY</t>
  </si>
  <si>
    <t>FINCH, ADAM</t>
  </si>
  <si>
    <t>BOWDEN, LAUREN</t>
  </si>
  <si>
    <t>PENNINGTON, HARLEE</t>
  </si>
  <si>
    <t>GARCIA SAENZ DE SICILIA, MAURICIO</t>
  </si>
  <si>
    <t>CECIL, JESSIE</t>
  </si>
  <si>
    <t>BARNES, DIANNA</t>
  </si>
  <si>
    <t>FRICK, JESSICA</t>
  </si>
  <si>
    <t>NADAGOUNDLA, CHITRA</t>
  </si>
  <si>
    <t>WYRICK, MORGAN</t>
  </si>
  <si>
    <t>GOOD, TIFFANY</t>
  </si>
  <si>
    <t>LAI, HUGO</t>
  </si>
  <si>
    <t>HASSAN, KHALED</t>
  </si>
  <si>
    <t>DANIEL, SABRINA</t>
  </si>
  <si>
    <t>GOBER, CONSTANCE</t>
  </si>
  <si>
    <t>SCROGGINS, MAGGI</t>
  </si>
  <si>
    <t>TURBEVILLE, ELIZABETH</t>
  </si>
  <si>
    <t>PERRYMAN, DENNIS</t>
  </si>
  <si>
    <t>BAKER, JOSEPH</t>
  </si>
  <si>
    <t>ANANTHA NARAYANAN, MAHESH</t>
  </si>
  <si>
    <t>NANDY, SHAMI</t>
  </si>
  <si>
    <t>KABEMBA TSHITENGE, SARAH</t>
  </si>
  <si>
    <t>KOEKEMOER, MANDY</t>
  </si>
  <si>
    <t>FRAZIER, DESTINY</t>
  </si>
  <si>
    <t>STRACK, ELIZABETH</t>
  </si>
  <si>
    <t>LOFTIS, ASHLEY</t>
  </si>
  <si>
    <t>PATEL, DHARA</t>
  </si>
  <si>
    <t>RUSSELL, TIERNEY</t>
  </si>
  <si>
    <t>BOUNDS, ABIGAIL</t>
  </si>
  <si>
    <t>JACOBS, SANDEE</t>
  </si>
  <si>
    <t>GIBBS, MELISSA</t>
  </si>
  <si>
    <t>AUSTIN, JALESIA</t>
  </si>
  <si>
    <t>CROSSE-SUMLIN, MARIE</t>
  </si>
  <si>
    <t>HARRINGTON, SARAH</t>
  </si>
  <si>
    <t>PARKER, SARAH</t>
  </si>
  <si>
    <t>SHAH, JAINIL</t>
  </si>
  <si>
    <t>HESSLING, SHANA</t>
  </si>
  <si>
    <t>LOWMAN, MELISSA</t>
  </si>
  <si>
    <t>ANDRYKA, MICHAEL</t>
  </si>
  <si>
    <t>WAYMACK, HAEDEN</t>
  </si>
  <si>
    <t>HAYNES, JACKSON</t>
  </si>
  <si>
    <t>RAMIREZ, PAUL</t>
  </si>
  <si>
    <t>ATREYA, AURAS</t>
  </si>
  <si>
    <t>NGUYEN, ERIC</t>
  </si>
  <si>
    <t>DEAN, KRISTINA</t>
  </si>
  <si>
    <t>DESHAZER, MICHELLE</t>
  </si>
  <si>
    <t>REID, AMANDA</t>
  </si>
  <si>
    <t>HOWERTON, WILLA</t>
  </si>
  <si>
    <t>FREEMAN, MEAGAN</t>
  </si>
  <si>
    <t>CURL, RANDY</t>
  </si>
  <si>
    <t>HAWAMDEH, HUSSAM</t>
  </si>
  <si>
    <t>MORRIS, ARNOLD</t>
  </si>
  <si>
    <t>O'ROURKE, JENNA</t>
  </si>
  <si>
    <t>COOK, BETHANY</t>
  </si>
  <si>
    <t>RAMZAN, AMELIA</t>
  </si>
  <si>
    <t>MAULDIN, RACHEL</t>
  </si>
  <si>
    <t>DONNELLY, SHERRY</t>
  </si>
  <si>
    <t>TAWADROUS, ZAKARIA</t>
  </si>
  <si>
    <t>KYLES, JOHNIA</t>
  </si>
  <si>
    <t>AVERY, CLAYTON</t>
  </si>
  <si>
    <t>ROGERS, MEAGAN</t>
  </si>
  <si>
    <t>RAFATNIA, ALI</t>
  </si>
  <si>
    <t>BENNETT, LISA</t>
  </si>
  <si>
    <t>KING, TARYN</t>
  </si>
  <si>
    <t>HARRIS, PEI</t>
  </si>
  <si>
    <t>JONES, REBECCA</t>
  </si>
  <si>
    <t>O'DELL, AUDRA</t>
  </si>
  <si>
    <t>JOSEPH, SHYNI</t>
  </si>
  <si>
    <t>BONE, HOPE</t>
  </si>
  <si>
    <t>JOHNSON, BREANN</t>
  </si>
  <si>
    <t>MAYNARD, BUFFY</t>
  </si>
  <si>
    <t>MCLOUD, HEATHER</t>
  </si>
  <si>
    <t>GONZALEZ, PAULA</t>
  </si>
  <si>
    <t>DORCELY, NESLY</t>
  </si>
  <si>
    <t>HAMMONDS-THOMAS, SHUNA</t>
  </si>
  <si>
    <t>OLIVER, DAVID</t>
  </si>
  <si>
    <t>JACELLARI, KEITHA</t>
  </si>
  <si>
    <t>FRESCURA, JOSEPH</t>
  </si>
  <si>
    <t>POLLOCK, BAILEY</t>
  </si>
  <si>
    <t>MCVAY, CHARISSA</t>
  </si>
  <si>
    <t>LEYBA, AMY</t>
  </si>
  <si>
    <t>ROBINSON, DENESHIA</t>
  </si>
  <si>
    <t>BRAWNER, LEANN</t>
  </si>
  <si>
    <t>PARISH, STEPHANIE</t>
  </si>
  <si>
    <t>MCNEESE, ASHTON</t>
  </si>
  <si>
    <t>JACKSON, SHAKEYAH</t>
  </si>
  <si>
    <t>DONSON, KRYSTAL</t>
  </si>
  <si>
    <t>MBAWUIKE, PRIMUS</t>
  </si>
  <si>
    <t>GRIJALDO, AMORY GODWIN</t>
  </si>
  <si>
    <t>BORST, JESSICA</t>
  </si>
  <si>
    <t>SANROMA, ALEXANDRA</t>
  </si>
  <si>
    <t>LENZEN, ROSS</t>
  </si>
  <si>
    <t>MCKEE, KINDRA</t>
  </si>
  <si>
    <t>SAVAGE, BRIAN</t>
  </si>
  <si>
    <t>BOYD, JENNIFER</t>
  </si>
  <si>
    <t>WEAVER, CASEY</t>
  </si>
  <si>
    <t>BLAYLOCK, HANNAH</t>
  </si>
  <si>
    <t>SHRABLE, SHANDLE</t>
  </si>
  <si>
    <t>MOORE, LINDSEY</t>
  </si>
  <si>
    <t>DAVIS, DEAUNNA</t>
  </si>
  <si>
    <t>FORJET, ELIZABETH</t>
  </si>
  <si>
    <t>BRUCE, AUDRAE</t>
  </si>
  <si>
    <t>KOPACZ, JESSICA</t>
  </si>
  <si>
    <t>ALBERTY, JOHN</t>
  </si>
  <si>
    <t>ADKISON, JACOB</t>
  </si>
  <si>
    <t>GORE, GLENDA</t>
  </si>
  <si>
    <t>WOLFE, SUSAN</t>
  </si>
  <si>
    <t>BOWMAN, GARTH</t>
  </si>
  <si>
    <t>BONEE, TRACY</t>
  </si>
  <si>
    <t>BICHALA, SHALINI</t>
  </si>
  <si>
    <t>KHAN, SHOAIB</t>
  </si>
  <si>
    <t>KITCHEN, DALLON</t>
  </si>
  <si>
    <t>RAMSEY, ANGELA</t>
  </si>
  <si>
    <t>FISHER, SYLVIE</t>
  </si>
  <si>
    <t>LOFTIN, KELSEY</t>
  </si>
  <si>
    <t>BROADBENT, REBECCA</t>
  </si>
  <si>
    <t>LEONARD, BRITTANY</t>
  </si>
  <si>
    <t>FRAZIER, TARYN</t>
  </si>
  <si>
    <t>HUMPHREYS, TY</t>
  </si>
  <si>
    <t>RANKIN, SHANTAE</t>
  </si>
  <si>
    <t>SHAW, CYNTHIA</t>
  </si>
  <si>
    <t>WRIGHT, MARY</t>
  </si>
  <si>
    <t>INSALACO, KIMBERLY</t>
  </si>
  <si>
    <t>ROBERTS, KYLEY</t>
  </si>
  <si>
    <t>ONCKEN, VICKY</t>
  </si>
  <si>
    <t>BURDEN, BELINDA</t>
  </si>
  <si>
    <t>WALKER, TAMARIO</t>
  </si>
  <si>
    <t>GROVE, MEGAN</t>
  </si>
  <si>
    <t>DAVIS, TIMOTHY</t>
  </si>
  <si>
    <t>MARLEY, TABITHA</t>
  </si>
  <si>
    <t>KUHN, SARAH</t>
  </si>
  <si>
    <t>SCOTT, NIKKI</t>
  </si>
  <si>
    <t>PETERS, BRANDI</t>
  </si>
  <si>
    <t>AYERS, RAVEN</t>
  </si>
  <si>
    <t>WINN, BENJAMIN</t>
  </si>
  <si>
    <t>MELLOW, KATHERINE</t>
  </si>
  <si>
    <t>ZIRBEL, LARA</t>
  </si>
  <si>
    <t>RANA, AAKASH</t>
  </si>
  <si>
    <t>AUTRY, CHEYANNE</t>
  </si>
  <si>
    <t>EDWARDS, SARAH</t>
  </si>
  <si>
    <t>FLOYD, SARAH</t>
  </si>
  <si>
    <t>MAYBERRY, HILLARY</t>
  </si>
  <si>
    <t>FORD, STARSHA</t>
  </si>
  <si>
    <t>FERGUSON, CARISSA</t>
  </si>
  <si>
    <t>CHAFFIN, ANDREA</t>
  </si>
  <si>
    <t>PATEL, PRIYA</t>
  </si>
  <si>
    <t>LECHNER, SARAH</t>
  </si>
  <si>
    <t>DUNAVANT, WILLIAM</t>
  </si>
  <si>
    <t>RAMPURE, RITESH</t>
  </si>
  <si>
    <t>SMITH, MYRA</t>
  </si>
  <si>
    <t>CADZOW, CARA</t>
  </si>
  <si>
    <t>REED, CHRISTY</t>
  </si>
  <si>
    <t>COOPER, MARY KATE</t>
  </si>
  <si>
    <t>RICHARD, KATRINA</t>
  </si>
  <si>
    <t>WOERNER, TERYN</t>
  </si>
  <si>
    <t>BRANDON, MICHAEL</t>
  </si>
  <si>
    <t>HAMBRECHT, AMANDA</t>
  </si>
  <si>
    <t>HAMRICK, SHELLY</t>
  </si>
  <si>
    <t>HUDSON-PYLE, BOBBIE</t>
  </si>
  <si>
    <t>USUWA, CHIZOBA</t>
  </si>
  <si>
    <t>WEST, DESA RAE</t>
  </si>
  <si>
    <t>KEE, MARY</t>
  </si>
  <si>
    <t>THOMAS, CONNIE</t>
  </si>
  <si>
    <t>HUNTER, KATHRYN</t>
  </si>
  <si>
    <t>SHITTU, MUHAMMED</t>
  </si>
  <si>
    <t>JOBE, NATALIE</t>
  </si>
  <si>
    <t>MALIK, NAZISH</t>
  </si>
  <si>
    <t>MADDEN, AMY</t>
  </si>
  <si>
    <t>BRUMLEY, ERICA</t>
  </si>
  <si>
    <t>WILLIAMS, KIMBERLY</t>
  </si>
  <si>
    <t>JALOU, JOUMA</t>
  </si>
  <si>
    <t>PAFFORD, TIARA</t>
  </si>
  <si>
    <t>KIMES, LESLIE</t>
  </si>
  <si>
    <t>PHILLIPS, CHELSIE</t>
  </si>
  <si>
    <t>LEE, ALEXIS</t>
  </si>
  <si>
    <t>GARCIA, KRISTIN</t>
  </si>
  <si>
    <t>JACKSON, LANELLE</t>
  </si>
  <si>
    <t>HIPPS, ALEKSI</t>
  </si>
  <si>
    <t>JACKSON, JESSICA</t>
  </si>
  <si>
    <t>SHELL, AMY</t>
  </si>
  <si>
    <t>GEORGE, LORI</t>
  </si>
  <si>
    <t>COX, CLINT</t>
  </si>
  <si>
    <t>DAVIS, ELIZABETH</t>
  </si>
  <si>
    <t>EICHHORN, ANGELA</t>
  </si>
  <si>
    <t>TUCKER, TERESA</t>
  </si>
  <si>
    <t>DICKEY, LISA</t>
  </si>
  <si>
    <t>MORGAN, VALERY</t>
  </si>
  <si>
    <t>JOHNSON, DELICA</t>
  </si>
  <si>
    <t>TODD, WILISA</t>
  </si>
  <si>
    <t>BEAM, KARRIE</t>
  </si>
  <si>
    <t>ARNOLD, SABRINA</t>
  </si>
  <si>
    <t>GREENE, ASHLEY</t>
  </si>
  <si>
    <t>WILLIAMS, GINA</t>
  </si>
  <si>
    <t>HUNTER, COURTLAND</t>
  </si>
  <si>
    <t>PARISH, DAYTON</t>
  </si>
  <si>
    <t>RITTMAN, TAYLOR</t>
  </si>
  <si>
    <t>HARDEN, HAILEY</t>
  </si>
  <si>
    <t>PARUCHURI, BINDUSRI</t>
  </si>
  <si>
    <t>DELOACH, ALLISON</t>
  </si>
  <si>
    <t>DEVAZIER, SAMANTHA</t>
  </si>
  <si>
    <t>KEEFER, CHARLES</t>
  </si>
  <si>
    <t>ELLIOTT, ROBIN</t>
  </si>
  <si>
    <t>TALLEY, CALLIE</t>
  </si>
  <si>
    <t>LONG, KATHERINE</t>
  </si>
  <si>
    <t>FRIEDLAND, AUBYN</t>
  </si>
  <si>
    <t>JONES, JAMYE</t>
  </si>
  <si>
    <t>FARST, KAREN</t>
  </si>
  <si>
    <t>CAMPBELL, CAMRY</t>
  </si>
  <si>
    <t>GOYAL, DEEPAK</t>
  </si>
  <si>
    <t>FAIR, BRITTANY</t>
  </si>
  <si>
    <t>PADILLA CHACON, FERNANDO</t>
  </si>
  <si>
    <t>GROSS, BUFFY</t>
  </si>
  <si>
    <t>GUY, TAMMY</t>
  </si>
  <si>
    <t>ABISAMRA, LAMIA</t>
  </si>
  <si>
    <t>AL SOUFI, ABDULMUTTALEB</t>
  </si>
  <si>
    <t>ISAAC, PEGGY</t>
  </si>
  <si>
    <t>ALLGOOD, AUTUMN</t>
  </si>
  <si>
    <t>STEELMAN, BRANDY</t>
  </si>
  <si>
    <t>CSONKA, JOSHUA</t>
  </si>
  <si>
    <t>CURTIS, CALLIE</t>
  </si>
  <si>
    <t>FORD, JORDAN</t>
  </si>
  <si>
    <t>WIDEMAN, SAMANTHA</t>
  </si>
  <si>
    <t>THOMPSON, PHYLLIS</t>
  </si>
  <si>
    <t>WAHLMEIER, LAUREN</t>
  </si>
  <si>
    <t>OLIVER, KARA</t>
  </si>
  <si>
    <t>DUNN, LINDSEY</t>
  </si>
  <si>
    <t>CRINER, ROGER</t>
  </si>
  <si>
    <t>RICO CRESCENCIO, JUAN CARLOS</t>
  </si>
  <si>
    <t>DAVIS, BRENNAN</t>
  </si>
  <si>
    <t>SHAVER, JULIA</t>
  </si>
  <si>
    <t>HAMILTON, CHELLIE</t>
  </si>
  <si>
    <t>GERMAN, KIMBERLY</t>
  </si>
  <si>
    <t>ROMENSKA, OLENA</t>
  </si>
  <si>
    <t>STEELE, CORI</t>
  </si>
  <si>
    <t>MAHAR, AMBER</t>
  </si>
  <si>
    <t>THOMPSON, COLBY</t>
  </si>
  <si>
    <t>PACK, JESSICA</t>
  </si>
  <si>
    <t>MYERS, SUSAN</t>
  </si>
  <si>
    <t>BARNES, ANGELA</t>
  </si>
  <si>
    <t>FITZHUGH, REBECCA</t>
  </si>
  <si>
    <t>BROWN, MINDY</t>
  </si>
  <si>
    <t>AVULAKUNTA, INDIRAPRIYA DARSHINI</t>
  </si>
  <si>
    <t>GARNER, DEENA</t>
  </si>
  <si>
    <t>JOHNSON, SWATI</t>
  </si>
  <si>
    <t>DRAKE, PAUL</t>
  </si>
  <si>
    <t>KONA, SASHI</t>
  </si>
  <si>
    <t>WINNINGHAM, VICTORIA</t>
  </si>
  <si>
    <t>SCARBROUGH, SYDNEY</t>
  </si>
  <si>
    <t>COTTRELL, LAKEICHA</t>
  </si>
  <si>
    <t>NYP, MICHAEL</t>
  </si>
  <si>
    <t>CRUZ, KATIE</t>
  </si>
  <si>
    <t>MONICAL, JAYNA</t>
  </si>
  <si>
    <t>NEMBHARD, SHANICA</t>
  </si>
  <si>
    <t>JENNINGS, BETHANY</t>
  </si>
  <si>
    <t>DELONG, RACHEL</t>
  </si>
  <si>
    <t>WARNER, ALEXANDRA</t>
  </si>
  <si>
    <t>MIDDLETON, SAMUEL</t>
  </si>
  <si>
    <t>YURT, MEHTAP</t>
  </si>
  <si>
    <t>CROCKER, CAROLINE</t>
  </si>
  <si>
    <t>RICHARDSON, JILLIAN</t>
  </si>
  <si>
    <t>JAGADESAN, BHUVANESHWARI</t>
  </si>
  <si>
    <t>HERNANDEZ, FRANK</t>
  </si>
  <si>
    <t>FRIGON, KIM FRANCES</t>
  </si>
  <si>
    <t>VETEN, AHMED</t>
  </si>
  <si>
    <t>BARNES, EMILY</t>
  </si>
  <si>
    <t>KORFF, STEPHANIE</t>
  </si>
  <si>
    <t>KAS-OSOKA, ORIAKU</t>
  </si>
  <si>
    <t>EL SAMRA, AHMAD</t>
  </si>
  <si>
    <t>GARRETT, CHRISTIAN</t>
  </si>
  <si>
    <t>BHAT, KIRAN</t>
  </si>
  <si>
    <t>HOUGH, ROBERT</t>
  </si>
  <si>
    <t>GUTMAN, JESSICA</t>
  </si>
  <si>
    <t>WADDELL, RYAN</t>
  </si>
  <si>
    <t>WEINER, SCOTT</t>
  </si>
  <si>
    <t>BRUZZINI, DANIEL</t>
  </si>
  <si>
    <t>THEOPHILOPOULOS, DEAN</t>
  </si>
  <si>
    <t>CHAWLA, VONITA</t>
  </si>
  <si>
    <t>SIDDIQUI, KHALID</t>
  </si>
  <si>
    <t>ALHADDAD, ZINA</t>
  </si>
  <si>
    <t>TROILLETT, ASHLEY</t>
  </si>
  <si>
    <t>SCOTT, ANGELA</t>
  </si>
  <si>
    <t>PALARCZYK, JENNIFER</t>
  </si>
  <si>
    <t>STEED, JOHN</t>
  </si>
  <si>
    <t>FISHER, LYNDSAY</t>
  </si>
  <si>
    <t>STEINBACH, WILLIAM</t>
  </si>
  <si>
    <t>STINSON, AZRIEL</t>
  </si>
  <si>
    <t>SAKARIA, RISHIKA</t>
  </si>
  <si>
    <t>HAWKS-PAREDES, AMANDA</t>
  </si>
  <si>
    <t>COLBURN, DUSTY</t>
  </si>
  <si>
    <t>STEWART, AUDRA</t>
  </si>
  <si>
    <t>HAMPTON, CURTIS</t>
  </si>
  <si>
    <t>CULPEPPER, CHRISTINE</t>
  </si>
  <si>
    <t>RIVERA, ALEXIS</t>
  </si>
  <si>
    <t>PUROHIT, AVINASH</t>
  </si>
  <si>
    <t>ROBERTS, AMANDA</t>
  </si>
  <si>
    <t>SANDER, EVAN</t>
  </si>
  <si>
    <t>GARCIA FERNANDEZ, MARIA</t>
  </si>
  <si>
    <t>WILSON, KEADREA</t>
  </si>
  <si>
    <t>STACK, JOHN</t>
  </si>
  <si>
    <t>DERRER, MEGAN</t>
  </si>
  <si>
    <t>HOLLOW CREEK TREATMENT CENTER LLC</t>
  </si>
  <si>
    <t>TRUE SELF RECOVERY LLC</t>
  </si>
  <si>
    <t>REVIVAL COUNSELING CENTER</t>
  </si>
  <si>
    <t>KNUTSON, THOMAS</t>
  </si>
  <si>
    <t>SKELTON, ANDREA</t>
  </si>
  <si>
    <t>ZEYLIKMAN, YURIY</t>
  </si>
  <si>
    <t>HESINGTON, AIRITY</t>
  </si>
  <si>
    <t>WILLIAMS, TERRY</t>
  </si>
  <si>
    <t>MEDLIN, AMBER</t>
  </si>
  <si>
    <t>RAMAGE, ERICA</t>
  </si>
  <si>
    <t>THOMASON, DEREK</t>
  </si>
  <si>
    <t>BURNETT, BROOKE</t>
  </si>
  <si>
    <t>MATHISEN, LESLEY</t>
  </si>
  <si>
    <t>MARTIN, BAILEE</t>
  </si>
  <si>
    <t>TUTT, ALISON</t>
  </si>
  <si>
    <t>SCOTT, SHELBYE</t>
  </si>
  <si>
    <t>KELLY, HILARY</t>
  </si>
  <si>
    <t>BAWEJA, PRIYANKA</t>
  </si>
  <si>
    <t>BUTZON, COLBY</t>
  </si>
  <si>
    <t>SCHOEN, LEAH</t>
  </si>
  <si>
    <t>DAVIS, AJAHI</t>
  </si>
  <si>
    <t>PATTERMANN, TORI</t>
  </si>
  <si>
    <t>REED, AMY</t>
  </si>
  <si>
    <t>HALL, SHAYLA</t>
  </si>
  <si>
    <t>ROLAND, MALCOLM</t>
  </si>
  <si>
    <t>MCKOWN, MARILYN</t>
  </si>
  <si>
    <t>BARRON, REBECCA</t>
  </si>
  <si>
    <t>FULCHER, CAROLYN</t>
  </si>
  <si>
    <t>MCDUFFIE, ALEXANDRA</t>
  </si>
  <si>
    <t>HOWARD, RACHEL</t>
  </si>
  <si>
    <t>MITCHELL, ANNA</t>
  </si>
  <si>
    <t>PIERCE, ELIZABETH</t>
  </si>
  <si>
    <t>NEAL, TIFFANY</t>
  </si>
  <si>
    <t>PERKINS, LALITA</t>
  </si>
  <si>
    <t>SHAW, VALERIE</t>
  </si>
  <si>
    <t>HADDIX, CAMILLIA</t>
  </si>
  <si>
    <t>HOWELL, TAMARA</t>
  </si>
  <si>
    <t>MATTISON, BROOK</t>
  </si>
  <si>
    <t>ALLEN-JONES, NEDRA</t>
  </si>
  <si>
    <t>WINGFIELD, RACHEL</t>
  </si>
  <si>
    <t>PATRICK, MCKENSY</t>
  </si>
  <si>
    <t>SWINTON JAMISON, AYANNA</t>
  </si>
  <si>
    <t>HAYMAN, DIEDRA</t>
  </si>
  <si>
    <t>YARBROUGH, HALEY</t>
  </si>
  <si>
    <t>REEP, SAVANNAH</t>
  </si>
  <si>
    <t>SMITH, KAITLYN</t>
  </si>
  <si>
    <t>WELLS, KIMBERLY</t>
  </si>
  <si>
    <t>TACKETT, KATHRYN</t>
  </si>
  <si>
    <t>JACOBS, JUDY</t>
  </si>
  <si>
    <t>TOWBIN, LUCY</t>
  </si>
  <si>
    <t>THOMPSON, GEORGE</t>
  </si>
  <si>
    <t>DAWSON, DANIELLE</t>
  </si>
  <si>
    <t>ADKISSON, GRACIE</t>
  </si>
  <si>
    <t>WARREN, CRYSTAL</t>
  </si>
  <si>
    <t>MACKEY, JASMINE</t>
  </si>
  <si>
    <t>BESLEY, JEHU</t>
  </si>
  <si>
    <t>WREN, ERIN</t>
  </si>
  <si>
    <t>FLAKE, ASHLEY</t>
  </si>
  <si>
    <t>CAMPBELL, JASON</t>
  </si>
  <si>
    <t>BROWN, NICOLE</t>
  </si>
  <si>
    <t>MARVIN, DAVID</t>
  </si>
  <si>
    <t>JACKSON, REBECCA</t>
  </si>
  <si>
    <t>WORTHINGTON, BRITTANY</t>
  </si>
  <si>
    <t>HOOPER, KENDRA</t>
  </si>
  <si>
    <t>DREEMUR, EMBER</t>
  </si>
  <si>
    <t>BRIDGER, GRAYSON</t>
  </si>
  <si>
    <t>MONTOYA, GREGORY</t>
  </si>
  <si>
    <t>IVEY, JAMI</t>
  </si>
  <si>
    <t>MACDONALD, LORINDA</t>
  </si>
  <si>
    <t>PATTERSON, LATONYA</t>
  </si>
  <si>
    <t>MOOG, JAMIE</t>
  </si>
  <si>
    <t>CHARLTON, TAMMY</t>
  </si>
  <si>
    <t>MASHIGIAN, EVAN</t>
  </si>
  <si>
    <t>BOOGAERTS, KIMBERLY</t>
  </si>
  <si>
    <t>LEE, LATONYA</t>
  </si>
  <si>
    <t>MURPHY, WILLIAM</t>
  </si>
  <si>
    <t>WILLIAMS, PAULETTE</t>
  </si>
  <si>
    <t>LINTON, BROOKLYN</t>
  </si>
  <si>
    <t>CESSNA, DRU</t>
  </si>
  <si>
    <t>HENNINGSEN, RACHEL</t>
  </si>
  <si>
    <t>DAVIDSON, DANA</t>
  </si>
  <si>
    <t>WATSON, ELEANOR</t>
  </si>
  <si>
    <t>HICKS, SHANNON</t>
  </si>
  <si>
    <t>BUTLER, SUZANNE</t>
  </si>
  <si>
    <t>YOPP, JUSTIN</t>
  </si>
  <si>
    <t>COCHRAN, MELISSA</t>
  </si>
  <si>
    <t>ROUGHTON, LACEY</t>
  </si>
  <si>
    <t>LONG, SHELLY</t>
  </si>
  <si>
    <t>RICHELSON, ELLIOTT</t>
  </si>
  <si>
    <t>ELLIS, MAVONNA</t>
  </si>
  <si>
    <t>WEAVER, BARBARA</t>
  </si>
  <si>
    <t>COX, HANNAH</t>
  </si>
  <si>
    <t>JOHNSON, LATISHA</t>
  </si>
  <si>
    <t>REIMONENQ-CURRY, DEVONDA</t>
  </si>
  <si>
    <t>ELSWICK, SUSAN</t>
  </si>
  <si>
    <t>RAFAELY, MOLLY</t>
  </si>
  <si>
    <t>TORNATORE, IAN</t>
  </si>
  <si>
    <t>FOX, LAURA</t>
  </si>
  <si>
    <t>LESTER, CORTNEY</t>
  </si>
  <si>
    <t>WALLACE, AMY</t>
  </si>
  <si>
    <t>WEBB, JUSTIN</t>
  </si>
  <si>
    <t>BERRY, HALEY</t>
  </si>
  <si>
    <t>MASSEY, MELANIE</t>
  </si>
  <si>
    <t>LANE, EMILY</t>
  </si>
  <si>
    <t>RATTON, RYLEE</t>
  </si>
  <si>
    <t>LANE, MEREDITH</t>
  </si>
  <si>
    <t>GREENE, MARCUS</t>
  </si>
  <si>
    <t>MEANS, RAYLIN</t>
  </si>
  <si>
    <t>PERRY, TAMMY</t>
  </si>
  <si>
    <t>BOLYARD, BRENT</t>
  </si>
  <si>
    <t>WILLIAMS, RODNEY</t>
  </si>
  <si>
    <t>QUINN, KYLE</t>
  </si>
  <si>
    <t>CARTER, CARRIE</t>
  </si>
  <si>
    <t>VIGUS, ELIZABETH</t>
  </si>
  <si>
    <t>THOMPSON, BAILLIE</t>
  </si>
  <si>
    <t>DALE, AVERY</t>
  </si>
  <si>
    <t>CANNON, HALEY</t>
  </si>
  <si>
    <t>BYLAK, SONJA</t>
  </si>
  <si>
    <t>SILVA, MARIA</t>
  </si>
  <si>
    <t>KENERSON, MOLLIE</t>
  </si>
  <si>
    <t>SHAW, NARONICA</t>
  </si>
  <si>
    <t>SPURLING, JAMI</t>
  </si>
  <si>
    <t>MARTIN, NICOLE</t>
  </si>
  <si>
    <t>RAMSFIELD, PAMELA</t>
  </si>
  <si>
    <t>ATCHLEY, AMANDA</t>
  </si>
  <si>
    <t>KING, MACKAYLA</t>
  </si>
  <si>
    <t>ADDERHOLT, JAYME</t>
  </si>
  <si>
    <t>HEPP, KIRSTEN</t>
  </si>
  <si>
    <t>NEISLER, KEVIN</t>
  </si>
  <si>
    <t>PEACOCK, FALLON</t>
  </si>
  <si>
    <t>RIOS-ROBLES, BRIANNA</t>
  </si>
  <si>
    <t>BROWN, ANNA</t>
  </si>
  <si>
    <t>BLEMMEL, CARLY</t>
  </si>
  <si>
    <t>LAMBERT, BRENESHA</t>
  </si>
  <si>
    <t>DOEDEN, STEPHANIE</t>
  </si>
  <si>
    <t>KIMBROUGH, MEREDITH</t>
  </si>
  <si>
    <t>SLONE, SETH</t>
  </si>
  <si>
    <t>KAEMPFE, TAMMY</t>
  </si>
  <si>
    <t>NELSON, LANA</t>
  </si>
  <si>
    <t>GINN, SUSAN</t>
  </si>
  <si>
    <t>FRIEND, SHANE</t>
  </si>
  <si>
    <t>WALKER, KRISTIN</t>
  </si>
  <si>
    <t>POWELL, WENDY</t>
  </si>
  <si>
    <t>LAURENCE, EVELYN</t>
  </si>
  <si>
    <t>ORTIZ MOWERY, COURTNIE</t>
  </si>
  <si>
    <t>RYAN, DEVINNE</t>
  </si>
  <si>
    <t>GLASS, TIFFANY</t>
  </si>
  <si>
    <t>LIN, AUSTIN</t>
  </si>
  <si>
    <t>THORNTON, CHRISTINA</t>
  </si>
  <si>
    <t>TEMPLETON, ARIEL</t>
  </si>
  <si>
    <t>MEEKER, GRETTA</t>
  </si>
  <si>
    <t>BREWER, SKYLER</t>
  </si>
  <si>
    <t>CLARK, OLIVIA</t>
  </si>
  <si>
    <t>JARVIS, HOLLY</t>
  </si>
  <si>
    <t>VANOVER, BEVERLY</t>
  </si>
  <si>
    <t>BRANDECKER, ELIZABETH</t>
  </si>
  <si>
    <t>WELCHER, DAVID</t>
  </si>
  <si>
    <t>BERNAL, CHARLES</t>
  </si>
  <si>
    <t>BENNING, KIMBERLY</t>
  </si>
  <si>
    <t>DOTSON, KARLA</t>
  </si>
  <si>
    <t>NULTY, COLLEEN</t>
  </si>
  <si>
    <t>TOUNZEN, SHELLEY</t>
  </si>
  <si>
    <t>RIVERS, RENISHA</t>
  </si>
  <si>
    <t>JOHNSON, ANNA</t>
  </si>
  <si>
    <t>MARTIN, DANIEL</t>
  </si>
  <si>
    <t>MEDLEY, HALLE</t>
  </si>
  <si>
    <t>BAKER, KAYLA</t>
  </si>
  <si>
    <t>SCOTT, CHRISTY</t>
  </si>
  <si>
    <t>JOHNSON, KRISTINA</t>
  </si>
  <si>
    <t>EBRON, ASHLEY</t>
  </si>
  <si>
    <t>TURNER, TIMOTHY</t>
  </si>
  <si>
    <t>DICKERSON, KAYLA</t>
  </si>
  <si>
    <t>PITCHFORD, KAITLYN</t>
  </si>
  <si>
    <t>COOKE, LAURA</t>
  </si>
  <si>
    <t>BEVELS, KAYLA</t>
  </si>
  <si>
    <t>INGRAM, JORDAN</t>
  </si>
  <si>
    <t>SHAW, AMY</t>
  </si>
  <si>
    <t>HARRIS, MARRISSA</t>
  </si>
  <si>
    <t>KIZZIAR, HALEY</t>
  </si>
  <si>
    <t>NAPLES, STEFFANIE</t>
  </si>
  <si>
    <t>SHAH, ASIM</t>
  </si>
  <si>
    <t>NELSON, KRISTA</t>
  </si>
  <si>
    <t>HAYDON, VERONICA</t>
  </si>
  <si>
    <t>EMMERT, KIRSTEN</t>
  </si>
  <si>
    <t>DELONG, JUSTINA</t>
  </si>
  <si>
    <t>RIFFLE, KATHERYNE</t>
  </si>
  <si>
    <t>PANNELL, JOCELYN</t>
  </si>
  <si>
    <t>WILSON, SANDY</t>
  </si>
  <si>
    <t>WHITTINGTON, CRYSTAL</t>
  </si>
  <si>
    <t>OLSON, HANNAH</t>
  </si>
  <si>
    <t>CLAY, LISA</t>
  </si>
  <si>
    <t>FAIRAIZL, CLEA</t>
  </si>
  <si>
    <t>NELSON, JENNIFER</t>
  </si>
  <si>
    <t>HEMMERT, ROGER</t>
  </si>
  <si>
    <t>DOBBINS, CANDANCE</t>
  </si>
  <si>
    <t>GARRISON, KAMI</t>
  </si>
  <si>
    <t>BAKER, JORDAN</t>
  </si>
  <si>
    <t>CORTES, NATALIE</t>
  </si>
  <si>
    <t>LAIN, TERRY</t>
  </si>
  <si>
    <t>WEAVER, TASHA</t>
  </si>
  <si>
    <t>ISOM, JENNIFER</t>
  </si>
  <si>
    <t>CORKEN, KYLEE</t>
  </si>
  <si>
    <t>DEREMO, JUSTIN</t>
  </si>
  <si>
    <t>WATSON-MCHALFFEY, ANGELLA</t>
  </si>
  <si>
    <t>HARRIS, BAILEY</t>
  </si>
  <si>
    <t>PETTY, JENIFER</t>
  </si>
  <si>
    <t>SHEAFFER, DANIEL</t>
  </si>
  <si>
    <t>WILLYARD, CARRIE</t>
  </si>
  <si>
    <t>LAMBERTSEN, MOLLY</t>
  </si>
  <si>
    <t>BARBER, RACHEL</t>
  </si>
  <si>
    <t>RODRIGUEZ, GABRIEL</t>
  </si>
  <si>
    <t>KOPPOLU, SIVA SUNDEEP</t>
  </si>
  <si>
    <t>CHASTAIN, SARA</t>
  </si>
  <si>
    <t>RIDGELL, LAKENYA</t>
  </si>
  <si>
    <t>CONNOR, CHELSEA</t>
  </si>
  <si>
    <t>SAFIER, HILLARY</t>
  </si>
  <si>
    <t>GILBRETH, MARISA</t>
  </si>
  <si>
    <t>DROMGOOLE, MCKENZIE</t>
  </si>
  <si>
    <t>MCCLUSKEY, DARIAN</t>
  </si>
  <si>
    <t>RAMSEY, ALEXANDRA</t>
  </si>
  <si>
    <t>FILES, BETHANY</t>
  </si>
  <si>
    <t>CARTER-SCOTT, SAMANTHA</t>
  </si>
  <si>
    <t>BLAND, CALLIE</t>
  </si>
  <si>
    <t>OWENS, JOHN</t>
  </si>
  <si>
    <t>HOWEY, ELIZABETH</t>
  </si>
  <si>
    <t>HICKINBOTHAM, TRENA</t>
  </si>
  <si>
    <t>MORALES, NANCY</t>
  </si>
  <si>
    <t>BUCK, CATHERINE</t>
  </si>
  <si>
    <t>HAIZLIP, MARCIA</t>
  </si>
  <si>
    <t>OKAI, OLIVIA</t>
  </si>
  <si>
    <t>KRETZER, JAMES</t>
  </si>
  <si>
    <t>EVANS, STEPHEN</t>
  </si>
  <si>
    <t>ELMORE, ALEXIS</t>
  </si>
  <si>
    <t>THOMPSON, DEMETRA</t>
  </si>
  <si>
    <t>OSMENT, KAITLYN</t>
  </si>
  <si>
    <t>GRAVES, TERRAH</t>
  </si>
  <si>
    <t>ADAUTO, SAMANTHA</t>
  </si>
  <si>
    <t>TAPP, SKY</t>
  </si>
  <si>
    <t>MYERS, JENNIFER</t>
  </si>
  <si>
    <t>STAGER, MARISSA</t>
  </si>
  <si>
    <t>QUATTLEBAUM, TYLER</t>
  </si>
  <si>
    <t>SHAW, BRETT</t>
  </si>
  <si>
    <t>HEITZER, ANDREW</t>
  </si>
  <si>
    <t>RAND, ANNA</t>
  </si>
  <si>
    <t>SHAW, BRITTANY</t>
  </si>
  <si>
    <t>MICHAEL, NANCY</t>
  </si>
  <si>
    <t>HOLOBOWICZ, AIDAN</t>
  </si>
  <si>
    <t>HUBBARD, SUZANNE</t>
  </si>
  <si>
    <t>HENDRICKS X, RACHEL</t>
  </si>
  <si>
    <t>KEMP, MADELYN</t>
  </si>
  <si>
    <t>ROBBINS, SARAH</t>
  </si>
  <si>
    <t>FREILING, ANDREA</t>
  </si>
  <si>
    <t>CONCEPCION, ANTHONY</t>
  </si>
  <si>
    <t>PHILLIPS, AUBRE</t>
  </si>
  <si>
    <t>OLIVER, JEREMY</t>
  </si>
  <si>
    <t>OVERTON, NATHAN</t>
  </si>
  <si>
    <t>FREUND, WADE</t>
  </si>
  <si>
    <t>DEFRIES, SARAH</t>
  </si>
  <si>
    <t>GIROUARD, ELIZABETH</t>
  </si>
  <si>
    <t>FAWBUSH, ALYSSA</t>
  </si>
  <si>
    <t>BOYETT, DONETTE</t>
  </si>
  <si>
    <t>HAYES, ROBERT</t>
  </si>
  <si>
    <t>REED, JORDAN</t>
  </si>
  <si>
    <t>ABEL, ANGELA</t>
  </si>
  <si>
    <t>MITCHELL, EVA</t>
  </si>
  <si>
    <t>CONNORS, ROBIN</t>
  </si>
  <si>
    <t>CARTER, CHELSEY</t>
  </si>
  <si>
    <t>STEWART, TIA</t>
  </si>
  <si>
    <t>STONE, SAMANTHA</t>
  </si>
  <si>
    <t>THAYER, RICHARD</t>
  </si>
  <si>
    <t>FREEMAN, TIMOTHY</t>
  </si>
  <si>
    <t>BIRD, MELINDA</t>
  </si>
  <si>
    <t>WILLIAMS, KRISTAN</t>
  </si>
  <si>
    <t>FEARS, LASHANDA</t>
  </si>
  <si>
    <t>KEENE, KRISTEN</t>
  </si>
  <si>
    <t>PLUMMER, NICOLE</t>
  </si>
  <si>
    <t>SCHUERMANN, TYLER</t>
  </si>
  <si>
    <t>BRAVE, CICELY</t>
  </si>
  <si>
    <t>FARLEY, MARY</t>
  </si>
  <si>
    <t>HOLMES, YVONNE</t>
  </si>
  <si>
    <t>GLOSE, JACOB</t>
  </si>
  <si>
    <t>GRAVES, REISHA</t>
  </si>
  <si>
    <t>GLOVER, HALEY</t>
  </si>
  <si>
    <t>LAWSON, KATRINA</t>
  </si>
  <si>
    <t>JONES, SAVANNAH</t>
  </si>
  <si>
    <t>HEFNER, KAYLEE</t>
  </si>
  <si>
    <t>HARRISON, SHELLEY</t>
  </si>
  <si>
    <t>BROWNE, KAREN</t>
  </si>
  <si>
    <t>MEALY, KRISTINA</t>
  </si>
  <si>
    <t>BARNETT, JAMIE</t>
  </si>
  <si>
    <t>SMITH, NYTISHA</t>
  </si>
  <si>
    <t>HENRY, LANA</t>
  </si>
  <si>
    <t>GRIFFIN, DANIELLE</t>
  </si>
  <si>
    <t>TURNIPSEED, BRIAN</t>
  </si>
  <si>
    <t>GILCREAST-SCOTT, ASHLEY</t>
  </si>
  <si>
    <t>BELL, JOHN</t>
  </si>
  <si>
    <t>PERRIN, SADIE</t>
  </si>
  <si>
    <t>STOUT, BRAD</t>
  </si>
  <si>
    <t>SEAY, TARA</t>
  </si>
  <si>
    <t>HANSARD, TAYLOR</t>
  </si>
  <si>
    <t>MALLETT, TOSHA</t>
  </si>
  <si>
    <t>BROCK, BRADLEY</t>
  </si>
  <si>
    <t>COURNOYER, ELIZABETH</t>
  </si>
  <si>
    <t>BLACK, TAYLOR</t>
  </si>
  <si>
    <t>GONZALEZ, JENNIFER</t>
  </si>
  <si>
    <t>SULLIVAN, BRITTANY</t>
  </si>
  <si>
    <t>GILLILAND, CARISSA</t>
  </si>
  <si>
    <t>BLACKSTON, TEAGAN</t>
  </si>
  <si>
    <t>STEPHENS, BREANNA</t>
  </si>
  <si>
    <t>ROBERTS, JOHN</t>
  </si>
  <si>
    <t>TURLEY, JENAE</t>
  </si>
  <si>
    <t>MAY, ALLISON</t>
  </si>
  <si>
    <t>FLYNN, STEPHANIE</t>
  </si>
  <si>
    <t>WILLIAMS, DANIEL</t>
  </si>
  <si>
    <t>DARNELL, LILY</t>
  </si>
  <si>
    <t>NEIGHBORS, AMY</t>
  </si>
  <si>
    <t>JACKSON, CLARISSA</t>
  </si>
  <si>
    <t>PETTWAY, ISIS</t>
  </si>
  <si>
    <t>BHARUCHA, NEZA</t>
  </si>
  <si>
    <t>SCHIBUK, LARRY</t>
  </si>
  <si>
    <t>KUPFERMAN, DOUGLAS</t>
  </si>
  <si>
    <t>READING, CLAUDIA</t>
  </si>
  <si>
    <t>TOLLESON, BENTON</t>
  </si>
  <si>
    <t>MATHEWS, CAROL</t>
  </si>
  <si>
    <t>MARTINEZ-SALAS, LUCERO</t>
  </si>
  <si>
    <t>POWELL, STEVEN</t>
  </si>
  <si>
    <t>DUDEN, SANDRA</t>
  </si>
  <si>
    <t>BURCHAM, RANDALL</t>
  </si>
  <si>
    <t>MCCORMACK, JAMES</t>
  </si>
  <si>
    <t>CRISPIN, SHANA</t>
  </si>
  <si>
    <t>ROBERTSON, APRIL</t>
  </si>
  <si>
    <t>TEMPLETON, CORDELL</t>
  </si>
  <si>
    <t>HERNDON, KODI</t>
  </si>
  <si>
    <t>HOWE, WILSON</t>
  </si>
  <si>
    <t>ELLISON, JAMES</t>
  </si>
  <si>
    <t>FAULKNER LAMB, JORDAN</t>
  </si>
  <si>
    <t>KEITH, CURTIS</t>
  </si>
  <si>
    <t>MCDONALD, DEVIN</t>
  </si>
  <si>
    <t>SCHLINKER, STEVEN</t>
  </si>
  <si>
    <t>SHARP, KIRSTEN</t>
  </si>
  <si>
    <t>GIPSON, VIRGINIA</t>
  </si>
  <si>
    <t>HOUSE, JENNIFER</t>
  </si>
  <si>
    <t>TISDALE, AUSTIN</t>
  </si>
  <si>
    <t>SLEAD, EMILY</t>
  </si>
  <si>
    <t>BLOCK, JAMIE</t>
  </si>
  <si>
    <t>TAGGART, FRANCHESA</t>
  </si>
  <si>
    <t>PUCCIO, JILLIAN</t>
  </si>
  <si>
    <t>WINGFIELD, SUANNA</t>
  </si>
  <si>
    <t>ALBERT, SARAH</t>
  </si>
  <si>
    <t>HARNER, CHRISTINA</t>
  </si>
  <si>
    <t>CLARK, KELSEY</t>
  </si>
  <si>
    <t>LUNA, CATHERYN</t>
  </si>
  <si>
    <t>TURNER, KEVIN</t>
  </si>
  <si>
    <t>DROST, BRITTNEY</t>
  </si>
  <si>
    <t>AUTRY, ALICIA</t>
  </si>
  <si>
    <t>WHITE, AMBER</t>
  </si>
  <si>
    <t>TIMMS, PADEN</t>
  </si>
  <si>
    <t>WATTS, SARAH</t>
  </si>
  <si>
    <t>WIATT, TRISHA</t>
  </si>
  <si>
    <t>CHEEK, HELEN</t>
  </si>
  <si>
    <t>WEIER, NILUKA</t>
  </si>
  <si>
    <t>BISSILA, HORTENSE</t>
  </si>
  <si>
    <t>HENSON, RONALD</t>
  </si>
  <si>
    <t>CURTIS, TINA</t>
  </si>
  <si>
    <t>POINTER, ANDREA</t>
  </si>
  <si>
    <t>GHOLSTON, ALLEN</t>
  </si>
  <si>
    <t>CARMICHAEL, FATIMAAH</t>
  </si>
  <si>
    <t>SHARON, RONI</t>
  </si>
  <si>
    <t>HARRIS, JAMES</t>
  </si>
  <si>
    <t>SORGE, AVA</t>
  </si>
  <si>
    <t>BECERRA, CHRISTINA</t>
  </si>
  <si>
    <t>PITTS, HANNAH</t>
  </si>
  <si>
    <t>YALAMANCHILI, SHANKAR</t>
  </si>
  <si>
    <t>STEELE, REUBEN</t>
  </si>
  <si>
    <t>PECAITIS, EMILY</t>
  </si>
  <si>
    <t>GOLLUBSKE, ERIN</t>
  </si>
  <si>
    <t>LEE, JOSIE</t>
  </si>
  <si>
    <t>MOSELEY, JAMES</t>
  </si>
  <si>
    <t>KING, KIMBERLY</t>
  </si>
  <si>
    <t>HARRIS, LONI</t>
  </si>
  <si>
    <t>MAYO, ROBERT</t>
  </si>
  <si>
    <t>DAVASHER, DEVON</t>
  </si>
  <si>
    <t>ISAAC, LEE</t>
  </si>
  <si>
    <t>CHARPENTIER, JOSHUA</t>
  </si>
  <si>
    <t>BARTON, WILLIAM</t>
  </si>
  <si>
    <t>HEDRICK, TAMELA</t>
  </si>
  <si>
    <t>DOUTHIT, BARI</t>
  </si>
  <si>
    <t>TUSANT, TABETHA</t>
  </si>
  <si>
    <t>PYRON, ANA</t>
  </si>
  <si>
    <t>LOCKRIDGE, DANIELLE</t>
  </si>
  <si>
    <t>SIMPSON, SABRINA</t>
  </si>
  <si>
    <t>DUNCAN, JULIE</t>
  </si>
  <si>
    <t>CRAIG, TRISHA</t>
  </si>
  <si>
    <t>GABRIEL, GENEVIEVE</t>
  </si>
  <si>
    <t>JONES, ABBY</t>
  </si>
  <si>
    <t>CARPENTER, REGINA</t>
  </si>
  <si>
    <t>WILLIAMS COLLINS, KIMBERLY</t>
  </si>
  <si>
    <t>WALTERS, SARA</t>
  </si>
  <si>
    <t>FAULKENBURY, ELIZABETH</t>
  </si>
  <si>
    <t>THEVENOT, KELLY</t>
  </si>
  <si>
    <t>HART, LARAMIE</t>
  </si>
  <si>
    <t>DEEPMALA, FNU</t>
  </si>
  <si>
    <t>MOUSA, MONICA</t>
  </si>
  <si>
    <t>ABUELEM, TAREK</t>
  </si>
  <si>
    <t>MAGGITT, CYNTHIA</t>
  </si>
  <si>
    <t>WILSON, EMILY</t>
  </si>
  <si>
    <t>DOWLER, BRITTNEY</t>
  </si>
  <si>
    <t>HOWARD, CHELBY</t>
  </si>
  <si>
    <t>JOHNSON, SHATORIA</t>
  </si>
  <si>
    <t>THOMAS, KAROLINE</t>
  </si>
  <si>
    <t>JONESHILL, DANE</t>
  </si>
  <si>
    <t>WOOD, KEISHA</t>
  </si>
  <si>
    <t>SMITH, SHERIEE</t>
  </si>
  <si>
    <t>BELL, SARAH</t>
  </si>
  <si>
    <t>HEIDELBERG KENNEY, REBECCA</t>
  </si>
  <si>
    <t>HIRONS, SARAH</t>
  </si>
  <si>
    <t>MCCRAY, MALISHA</t>
  </si>
  <si>
    <t>BEATON, KELLY</t>
  </si>
  <si>
    <t>VARNER, FERRELL</t>
  </si>
  <si>
    <t>MAXEY, MALORIE</t>
  </si>
  <si>
    <t>BOYDSTON, ERIN</t>
  </si>
  <si>
    <t>DAWSON, ALEXANDRI</t>
  </si>
  <si>
    <t>JAMES, DEBORAH</t>
  </si>
  <si>
    <t>BRUCE, AUGUST</t>
  </si>
  <si>
    <t>SCHMIDT, JENNY</t>
  </si>
  <si>
    <t>NEWMAN, EMILY</t>
  </si>
  <si>
    <t>BOWLING, LAUREN</t>
  </si>
  <si>
    <t>CLARY, ANDREKA</t>
  </si>
  <si>
    <t>WATSON, KRYSTEN</t>
  </si>
  <si>
    <t>CRUZ, ALISSON</t>
  </si>
  <si>
    <t>SMITH, HENRY</t>
  </si>
  <si>
    <t>HAYNES, ARIELLAH</t>
  </si>
  <si>
    <t>LEWIS, ABIGAIL</t>
  </si>
  <si>
    <t>SMITH, KATHERYN</t>
  </si>
  <si>
    <t>POTTS, NICOLE</t>
  </si>
  <si>
    <t>LEACH, HEATHER</t>
  </si>
  <si>
    <t>JACOBSEN, JASEN</t>
  </si>
  <si>
    <t>MAGALIT, EBERECHUKWU</t>
  </si>
  <si>
    <t>CABLE, BRANDON</t>
  </si>
  <si>
    <t>MONDRAGON, CECILIO</t>
  </si>
  <si>
    <t>HALE, ELIZABETH</t>
  </si>
  <si>
    <t>WEAVER, CHANEY</t>
  </si>
  <si>
    <t>STILLWELL, WHITNEY</t>
  </si>
  <si>
    <t>ROBERTSON, JUSTIN</t>
  </si>
  <si>
    <t>WELLS, LEANDER</t>
  </si>
  <si>
    <t>YOUNG, AMANDA</t>
  </si>
  <si>
    <t>BROCK, NICOLE</t>
  </si>
  <si>
    <t>CURTIS, SHARON</t>
  </si>
  <si>
    <t>BRYAN, CHANDLER</t>
  </si>
  <si>
    <t>HUNTER, SETH</t>
  </si>
  <si>
    <t>RUIZ, ANGELIA</t>
  </si>
  <si>
    <t>HELMS, JESSICA</t>
  </si>
  <si>
    <t>WALT, JULIUS</t>
  </si>
  <si>
    <t>OTEY, MEGAN</t>
  </si>
  <si>
    <t>NAVARRO, KENSLEY</t>
  </si>
  <si>
    <t>JOHNSTON, MELISSA</t>
  </si>
  <si>
    <t>ENGLAND, KRISTA</t>
  </si>
  <si>
    <t>COOPER, AUDRA</t>
  </si>
  <si>
    <t>VANDE HOEF, WAYLON</t>
  </si>
  <si>
    <t>KNACK, ALISON</t>
  </si>
  <si>
    <t>COLEY, DOMINIQUE</t>
  </si>
  <si>
    <t>GRANT, MARY</t>
  </si>
  <si>
    <t>DERR, DAVID</t>
  </si>
  <si>
    <t>NEFF, ELANOR</t>
  </si>
  <si>
    <t>NORMAN, CHRISTIN</t>
  </si>
  <si>
    <t>BOLDEN, BROOKE</t>
  </si>
  <si>
    <t>WEEMS, KALEIGH</t>
  </si>
  <si>
    <t>JEFFERY, TAYLOR</t>
  </si>
  <si>
    <t>RIDEAU, DEANDRIA</t>
  </si>
  <si>
    <t>ROBBINS, RICHARD</t>
  </si>
  <si>
    <t>PRESLEY, AMANDA</t>
  </si>
  <si>
    <t>BAILEY, CLAYTON</t>
  </si>
  <si>
    <t>RENAGHAN, THOMAS</t>
  </si>
  <si>
    <t>SEARCY, MARY</t>
  </si>
  <si>
    <t>STOWE, ZACHARY</t>
  </si>
  <si>
    <t>MCFARLAND, TIFFANY</t>
  </si>
  <si>
    <t>WYATT, DEMETRIC</t>
  </si>
  <si>
    <t>HILL, PAUL</t>
  </si>
  <si>
    <t>AMMONS, KRISTY</t>
  </si>
  <si>
    <t>BASCO, RENEE</t>
  </si>
  <si>
    <t>ATKINSON, MELISSA</t>
  </si>
  <si>
    <t>MOIX, KATHLEEN</t>
  </si>
  <si>
    <t>SWARTZ, JESSICA</t>
  </si>
  <si>
    <t>LAFLEUR, SYDNEY</t>
  </si>
  <si>
    <t>GLASS, LAWANDA</t>
  </si>
  <si>
    <t>RIEVERT, CATHERINE</t>
  </si>
  <si>
    <t>HANSON, EVAN</t>
  </si>
  <si>
    <t>MARTIN, RICHARD</t>
  </si>
  <si>
    <t>HICKS, JULIE</t>
  </si>
  <si>
    <t>ELSKEN, KRISTAN</t>
  </si>
  <si>
    <t>BECKTOLD, LIA</t>
  </si>
  <si>
    <t>MANNING, CATHERINE</t>
  </si>
  <si>
    <t>DUFAU, WILLIAM</t>
  </si>
  <si>
    <t>RAMIREZ, HILARY</t>
  </si>
  <si>
    <t>FERGUSON, JULIE</t>
  </si>
  <si>
    <t>PRINCE, BRODY</t>
  </si>
  <si>
    <t>MAGUIRE, ERIN</t>
  </si>
  <si>
    <t>NELSON, MEGHAN</t>
  </si>
  <si>
    <t>HOOD, AMANDA</t>
  </si>
  <si>
    <t>LIENHART, KAITLIN</t>
  </si>
  <si>
    <t>PATEL, NIMIT</t>
  </si>
  <si>
    <t>NEWTON, JANICE</t>
  </si>
  <si>
    <t>KNIGHT, CARLEY</t>
  </si>
  <si>
    <t>QUALLS, JUSTIN</t>
  </si>
  <si>
    <t>TURNER, KABRIANA</t>
  </si>
  <si>
    <t>GOUCHER, LINDSEY</t>
  </si>
  <si>
    <t>OWEN, CARLEY</t>
  </si>
  <si>
    <t>WALLER, JASON</t>
  </si>
  <si>
    <t>BAKER, JAX</t>
  </si>
  <si>
    <t>UMANA, WALTER</t>
  </si>
  <si>
    <t>MCCOY, LATOYA</t>
  </si>
  <si>
    <t>ERINGTON, EVELYN</t>
  </si>
  <si>
    <t>BIRDSONG, MACKENZIE</t>
  </si>
  <si>
    <t>RINCON, SARA</t>
  </si>
  <si>
    <t>BELTRAN, DIANA</t>
  </si>
  <si>
    <t>HAMILTON, CHERYL</t>
  </si>
  <si>
    <t>MILLER, MEAGAN</t>
  </si>
  <si>
    <t>CHANCE, JULIA</t>
  </si>
  <si>
    <t>CARTER, RHONDA</t>
  </si>
  <si>
    <t>GRIGSBY, ASHLEY</t>
  </si>
  <si>
    <t>YANG, ANGELICA</t>
  </si>
  <si>
    <t>PACE, KEEANNDASE</t>
  </si>
  <si>
    <t>BISHOP, ZAYNA</t>
  </si>
  <si>
    <t>HUDSON, TIARA</t>
  </si>
  <si>
    <t>PLOWMAN, DUSTIN</t>
  </si>
  <si>
    <t>SPEARS, AMANDA</t>
  </si>
  <si>
    <t>MILLS, AMY</t>
  </si>
  <si>
    <t>MORGAN, HEATHER</t>
  </si>
  <si>
    <t>PEARSON, RYAN</t>
  </si>
  <si>
    <t>PEREZ, AMY</t>
  </si>
  <si>
    <t>QURESHI, MUSHTAQ</t>
  </si>
  <si>
    <t>CARPENTER, LAURA</t>
  </si>
  <si>
    <t>CEASE, MADISON</t>
  </si>
  <si>
    <t>SCHERREY, MALLORY</t>
  </si>
  <si>
    <t>COHEN, RUTH</t>
  </si>
  <si>
    <t>SUTTERFIELD, KIMBERLY</t>
  </si>
  <si>
    <t>STRICKLAND, AMELIA</t>
  </si>
  <si>
    <t>CORR, CHERYL</t>
  </si>
  <si>
    <t>SNAVELY, ABBY</t>
  </si>
  <si>
    <t>BREEDING, MARIA</t>
  </si>
  <si>
    <t>MCRAE, KENDRA</t>
  </si>
  <si>
    <t>DEDEN, DEVON</t>
  </si>
  <si>
    <t>LASKER, CLEVELON</t>
  </si>
  <si>
    <t>HAWKINS, HEATHER</t>
  </si>
  <si>
    <t>YASUNAGA, REBECCA</t>
  </si>
  <si>
    <t>WILLIAMS, CHELSEA</t>
  </si>
  <si>
    <t>BACA, LILLI-ANNA</t>
  </si>
  <si>
    <t>ALI, DOLORES</t>
  </si>
  <si>
    <t>GLOVER, MADISON</t>
  </si>
  <si>
    <t>HORNER, JANEKA</t>
  </si>
  <si>
    <t>STEVENSON, AMANDA</t>
  </si>
  <si>
    <t>WOLCOTT, ALEXIS</t>
  </si>
  <si>
    <t>DEWOODY, TAYLOR</t>
  </si>
  <si>
    <t>KINMAN, BRITTANY</t>
  </si>
  <si>
    <t>ALEXANDER, EMILY</t>
  </si>
  <si>
    <t>ALBRIGHT, AVERIE</t>
  </si>
  <si>
    <t>EVANTS, BRIANNA</t>
  </si>
  <si>
    <t>SCHADE, CONNIE</t>
  </si>
  <si>
    <t>SUTTER, DEEANN</t>
  </si>
  <si>
    <t>HARWELL, NEAL</t>
  </si>
  <si>
    <t>SORROWS, JILL</t>
  </si>
  <si>
    <t>RAMOS, SAMUEL</t>
  </si>
  <si>
    <t>WARKENTIEN, SAMANTHA</t>
  </si>
  <si>
    <t>SMITH-JOHNSON, KENNETHYA</t>
  </si>
  <si>
    <t>MADDUX, CHRISSOM</t>
  </si>
  <si>
    <t>PROVAZNIK, DOUGLAS</t>
  </si>
  <si>
    <t>ALSUP, TATUM</t>
  </si>
  <si>
    <t>TAYLOR, JANET</t>
  </si>
  <si>
    <t>JEFFREY, JESSICA</t>
  </si>
  <si>
    <t>WALKER, MARQUIS</t>
  </si>
  <si>
    <t>RUSSELL, MALARIE</t>
  </si>
  <si>
    <t>SLATON, CHAYLA</t>
  </si>
  <si>
    <t>LYLE, CRYSTAL</t>
  </si>
  <si>
    <t>BOWMAN, SIDNEY</t>
  </si>
  <si>
    <t>BLACK, HALEY</t>
  </si>
  <si>
    <t>KENDALL, SARAH</t>
  </si>
  <si>
    <t>KAPOOR, KALVIN</t>
  </si>
  <si>
    <t>NEWMAN, SARAH</t>
  </si>
  <si>
    <t>LISSUZZO, CRYSTAL</t>
  </si>
  <si>
    <t>CANNON, TANYA</t>
  </si>
  <si>
    <t>TATE, REKEKA</t>
  </si>
  <si>
    <t>CORRON, HANNAH</t>
  </si>
  <si>
    <t>MORNINGSTAR, JOSEPH</t>
  </si>
  <si>
    <t>NICHOLS, CHERRIE</t>
  </si>
  <si>
    <t>STEWART, BRITTANY</t>
  </si>
  <si>
    <t>BASS, ALLISON</t>
  </si>
  <si>
    <t>GREENBERG, LESLIE</t>
  </si>
  <si>
    <t>CALDWELL, AMANDA</t>
  </si>
  <si>
    <t>PEGG, KIMBERLEY</t>
  </si>
  <si>
    <t>PRICE, TIFFANY</t>
  </si>
  <si>
    <t>HAMMONS, BREANNA</t>
  </si>
  <si>
    <t>SMITH, KYLER</t>
  </si>
  <si>
    <t>MATEO RODRIGUEZ, FRIDA</t>
  </si>
  <si>
    <t>EUTSLER, PRESLEY</t>
  </si>
  <si>
    <t>MAGDALENO, BRITNI</t>
  </si>
  <si>
    <t>NAZARIAN, SARKIS</t>
  </si>
  <si>
    <t>POE, NIKKI</t>
  </si>
  <si>
    <t>HALL, CARRIE</t>
  </si>
  <si>
    <t>TOM, KELSEY</t>
  </si>
  <si>
    <t>WORTHEN, LAURA</t>
  </si>
  <si>
    <t>ALVETI, MALLORY</t>
  </si>
  <si>
    <t>DURAN, MADISON</t>
  </si>
  <si>
    <t>SMITH-STEWARD FASON, CHANTE</t>
  </si>
  <si>
    <t>COWAN, RONALD</t>
  </si>
  <si>
    <t>MCFARLAND, JENNIFER</t>
  </si>
  <si>
    <t>SPURGAT, STEPHANIE</t>
  </si>
  <si>
    <t>KREULEN, KYLE</t>
  </si>
  <si>
    <t>RICE, CANDACE</t>
  </si>
  <si>
    <t>POOL, LINDSAY</t>
  </si>
  <si>
    <t>BRIGHT, JAMES</t>
  </si>
  <si>
    <t>SHARP, KATIANNE</t>
  </si>
  <si>
    <t>MITZEL, AMANDA</t>
  </si>
  <si>
    <t>DEAN, LAKIN</t>
  </si>
  <si>
    <t>CAVELL, HANNAH</t>
  </si>
  <si>
    <t>LINVILLE, TIERNEY</t>
  </si>
  <si>
    <t>POWELL, BIANCA</t>
  </si>
  <si>
    <t>HARMON, STEVEN</t>
  </si>
  <si>
    <t>DUNCAN, STEPHANIE</t>
  </si>
  <si>
    <t>MICHALAK, SOPHIA</t>
  </si>
  <si>
    <t>ABEL, JENNIFER</t>
  </si>
  <si>
    <t>CALVERT, MAEGAN</t>
  </si>
  <si>
    <t>HALCOMB, MEAGAN</t>
  </si>
  <si>
    <t>FRIEDMAN, MARK</t>
  </si>
  <si>
    <t>VYAS, SANKET</t>
  </si>
  <si>
    <t>NEWMAN, MARTHA</t>
  </si>
  <si>
    <t>BRENNER, SCOTT</t>
  </si>
  <si>
    <t>HAECKEL, RHAMSIE</t>
  </si>
  <si>
    <t>EVANS, ALENA</t>
  </si>
  <si>
    <t>JONES, GWENYTH</t>
  </si>
  <si>
    <t>MORMON, SHANTE</t>
  </si>
  <si>
    <t>THOMPSON, JASON</t>
  </si>
  <si>
    <t>MCCLAIN, MOLLEE</t>
  </si>
  <si>
    <t>KROUT, KELLY</t>
  </si>
  <si>
    <t>LATHROP, CATHERINE</t>
  </si>
  <si>
    <t>CATES, JASON</t>
  </si>
  <si>
    <t>MCVAY, ANNE</t>
  </si>
  <si>
    <t>OLAIYA, OLULEKE</t>
  </si>
  <si>
    <t>HARNESS, JAIME</t>
  </si>
  <si>
    <t>STILES, SHARLA</t>
  </si>
  <si>
    <t>GARRETT-PRUETT, EMILY</t>
  </si>
  <si>
    <t>MANWEILER, MACKENZIE</t>
  </si>
  <si>
    <t>STEPHENS, MCKINSEY</t>
  </si>
  <si>
    <t>STEWART, SHANNAN</t>
  </si>
  <si>
    <t>BURT, JOSEPH</t>
  </si>
  <si>
    <t>KOICHI, JACQUELINE</t>
  </si>
  <si>
    <t>WILLIAMS, JORDAN</t>
  </si>
  <si>
    <t>GALLOWAY, STEPHANIE</t>
  </si>
  <si>
    <t>HART, HAYLIE</t>
  </si>
  <si>
    <t>BEERMAN, MEAGAN</t>
  </si>
  <si>
    <t>HENRY, MEGAN</t>
  </si>
  <si>
    <t>GAGE, MARK</t>
  </si>
  <si>
    <t>GLOVER, MARK</t>
  </si>
  <si>
    <t>LAVIE, THOMAS</t>
  </si>
  <si>
    <t>DAVENPORT, JODIE</t>
  </si>
  <si>
    <t>MURRELL, MYRACLE</t>
  </si>
  <si>
    <t>HOLY, EVELYN</t>
  </si>
  <si>
    <t>CAMP, BRENNA</t>
  </si>
  <si>
    <t>ARKELL, KATHERINE</t>
  </si>
  <si>
    <t>GARNER, APRIL</t>
  </si>
  <si>
    <t>CONNER, SONJA</t>
  </si>
  <si>
    <t>DAVENPORT, MCKENZIE</t>
  </si>
  <si>
    <t>KENNEDY, CHRISTAL</t>
  </si>
  <si>
    <t>EVANS, POIEMA</t>
  </si>
  <si>
    <t>CLEVENGER, MICHAEL</t>
  </si>
  <si>
    <t>HUETER, JOHN</t>
  </si>
  <si>
    <t>TALBERT, ANDRE</t>
  </si>
  <si>
    <t>WELBORN, SARAH</t>
  </si>
  <si>
    <t>SCOTT, CHAROLETTE</t>
  </si>
  <si>
    <t>SENGEL, VYVYJANE</t>
  </si>
  <si>
    <t>MARCUS, ROBERT</t>
  </si>
  <si>
    <t>KHAN, SUPRIYA</t>
  </si>
  <si>
    <t>CUVIELLO, ANDREA</t>
  </si>
  <si>
    <t>RUSSO, SUZANNE</t>
  </si>
  <si>
    <t>WHITEHURST, JAMES</t>
  </si>
  <si>
    <t>ATWAL, DINESH</t>
  </si>
  <si>
    <t>MORRIS, EUGENE</t>
  </si>
  <si>
    <t>KO, STEPHEN</t>
  </si>
  <si>
    <t>STONE, PAMELA</t>
  </si>
  <si>
    <t>SPILLMAN, MONIQUE</t>
  </si>
  <si>
    <t>OGUNSESAN, YETUNDE</t>
  </si>
  <si>
    <t>WARE, RUSSELL</t>
  </si>
  <si>
    <t>RAO, ARUN</t>
  </si>
  <si>
    <t>NELSON, MARQUITA</t>
  </si>
  <si>
    <t>WAKIM, JAD</t>
  </si>
  <si>
    <t>BARFIELD, RAYMOND</t>
  </si>
  <si>
    <t>NAIK, SWATI</t>
  </si>
  <si>
    <t>BAGCHI, ADITI</t>
  </si>
  <si>
    <t>NABHANI, THOMAS</t>
  </si>
  <si>
    <t>PARIKH, RICHA</t>
  </si>
  <si>
    <t>GADDAM, MAMATHA</t>
  </si>
  <si>
    <t>MUGHAL, TARIQ</t>
  </si>
  <si>
    <t>JOSEPH, JACINTH</t>
  </si>
  <si>
    <t>OVE, ROGER</t>
  </si>
  <si>
    <t>MOREIRA RIDSDALE, DANIEL</t>
  </si>
  <si>
    <t>MIRRO, JOSEPH</t>
  </si>
  <si>
    <t>GARREN, JOSHUA</t>
  </si>
  <si>
    <t>SIMS, JOHN</t>
  </si>
  <si>
    <t>BERTRAND, KELSEY</t>
  </si>
  <si>
    <t>MAZHER, SYED</t>
  </si>
  <si>
    <t>SCHNEIDER, JOSEPH</t>
  </si>
  <si>
    <t>OGU, UGOCHI</t>
  </si>
  <si>
    <t>KEENAN, CAMILLE</t>
  </si>
  <si>
    <t>MALATY, ESSAM</t>
  </si>
  <si>
    <t>JESUDAS, ROHITH</t>
  </si>
  <si>
    <t>ROBERTSON, YARA</t>
  </si>
  <si>
    <t>CUNNINGHAM, MELODY</t>
  </si>
  <si>
    <t>NADEN, GREGORY</t>
  </si>
  <si>
    <t>VIOLA, SHELTON</t>
  </si>
  <si>
    <t>DIXON, STEPHANIE</t>
  </si>
  <si>
    <t>GUPTA, NARESH</t>
  </si>
  <si>
    <t>PATEL, ABHILASHA</t>
  </si>
  <si>
    <t>WAHEED, SARAH</t>
  </si>
  <si>
    <t>MATTHEWS, CHARLES</t>
  </si>
  <si>
    <t>KANE, JAVIER</t>
  </si>
  <si>
    <t>SANTOS HORTA, ERIKA</t>
  </si>
  <si>
    <t>ORCUTT, SONIA</t>
  </si>
  <si>
    <t>OBULAREDDY, SRI</t>
  </si>
  <si>
    <t>JILLELLA, ANUSHA</t>
  </si>
  <si>
    <t>MAVROS, MICHAIL</t>
  </si>
  <si>
    <t>APPELL, LAUREN</t>
  </si>
  <si>
    <t>FOX, ELIZABETH</t>
  </si>
  <si>
    <t>RUIZ, MARIA</t>
  </si>
  <si>
    <t>THOTA, SWAPNA</t>
  </si>
  <si>
    <t>FAISAL, ANNUM</t>
  </si>
  <si>
    <t>GRAHAM, RICHARD</t>
  </si>
  <si>
    <t>DILAWARI, ASMA</t>
  </si>
  <si>
    <t>BHOOPALAN, SENTHIL VELAN</t>
  </si>
  <si>
    <t>TAYLOR, DAPHANIE</t>
  </si>
  <si>
    <t>BITAR, NAJAT</t>
  </si>
  <si>
    <t>SKAPEK, STEPHEN</t>
  </si>
  <si>
    <t>LANINGHAM, FRED</t>
  </si>
  <si>
    <t>YOO, MIN</t>
  </si>
  <si>
    <t>WELLIKOFF, SARADASRI</t>
  </si>
  <si>
    <t>MARK, RUFUS</t>
  </si>
  <si>
    <t>NADEEM, SAHBA</t>
  </si>
  <si>
    <t>3P PARTNERS LLC</t>
  </si>
  <si>
    <t>GARDNER NURSING OPCO LLC</t>
  </si>
  <si>
    <t>WILLOWBEND HEALTH AND REHABILITATION LLC</t>
  </si>
  <si>
    <t>OAKDALE NURSING OPCO LLC</t>
  </si>
  <si>
    <t>ST JOHN'S PLACE OF ARKANSAS, LLC</t>
  </si>
  <si>
    <t>SOUTHERN PINES HEALTH OPCO LLC</t>
  </si>
  <si>
    <t>NASHVILLE NURSING OPCO LLC</t>
  </si>
  <si>
    <t>LONOKECO OPS, INC.</t>
  </si>
  <si>
    <t>CONWAY CARDIOVASCULAR SURGERY CENTER, LLC</t>
  </si>
  <si>
    <t>WAVERLEY - ARKANSAS, INC.</t>
  </si>
  <si>
    <t>MALVERN HEALTH AND REHAB LLC</t>
  </si>
  <si>
    <t>COURTYARD ARKADELPHIA HEALTHCARE LLC</t>
  </si>
  <si>
    <t>DIERKS HEALTH OPCO LLC</t>
  </si>
  <si>
    <t>OZARK SNF OPERATIONS LLC</t>
  </si>
  <si>
    <t>LAKEWOOD THERAPY AND LIVING CENTER OPCO LLC</t>
  </si>
  <si>
    <t>VILLAGE SPRINGS HEALTH OPCO LLC</t>
  </si>
  <si>
    <t>THREE RIVERS SNF OPERATIONS LLC</t>
  </si>
  <si>
    <t>GARDNER HEALTH, LLC</t>
  </si>
  <si>
    <t>MOJADIDI, MOHAMMAD</t>
  </si>
  <si>
    <t>ELLICHMAN, JONATHAN</t>
  </si>
  <si>
    <t>GOULBOURNE, CLIVE</t>
  </si>
  <si>
    <t>KASSIER, ADNAN</t>
  </si>
  <si>
    <t>ILONZE, ONYEDIKA</t>
  </si>
  <si>
    <t>ASSI, NIZAR</t>
  </si>
  <si>
    <t>GERLACH, PAUL</t>
  </si>
  <si>
    <t>IMAMURA, MICHIAKI</t>
  </si>
  <si>
    <t>FLAUTT, THOMAS</t>
  </si>
  <si>
    <t>AMIN, NOMISHA</t>
  </si>
  <si>
    <t>DUONG, VINH</t>
  </si>
  <si>
    <t>MUKHOPADHYAY, EKANKA</t>
  </si>
  <si>
    <t>LEMAY, THOMAS</t>
  </si>
  <si>
    <t>MOLAVI, BEHZAD</t>
  </si>
  <si>
    <t>NISSENBAUM, ELIOT</t>
  </si>
  <si>
    <t>VARGA, ZOLTAN</t>
  </si>
  <si>
    <t>SANCHEZ, JOSE</t>
  </si>
  <si>
    <t>CASEY, MICHAEL</t>
  </si>
  <si>
    <t>MATHENEY, ROBERT</t>
  </si>
  <si>
    <t>BOB-MANUEL, TAMUNOINEMI</t>
  </si>
  <si>
    <t>PATEL, RAJ</t>
  </si>
  <si>
    <t>BITAR, JAY</t>
  </si>
  <si>
    <t>KIM, FRANK</t>
  </si>
  <si>
    <t>BLANKENSHIP, JOE</t>
  </si>
  <si>
    <t>WATTS, THOMAS</t>
  </si>
  <si>
    <t>RANSOM, JOHN</t>
  </si>
  <si>
    <t>HAVDALA, JACK</t>
  </si>
  <si>
    <t>ESTRADA, MARTHA</t>
  </si>
  <si>
    <t>PATEL, KUNAL</t>
  </si>
  <si>
    <t>BURDINE, LYLE</t>
  </si>
  <si>
    <t>KADAVATH, SABEEDA</t>
  </si>
  <si>
    <t>NAFICY, SEPEHRE</t>
  </si>
  <si>
    <t>BLANCO, CARLOS</t>
  </si>
  <si>
    <t>RHEA, ISAAC</t>
  </si>
  <si>
    <t>FAHDI, IBRAHIM</t>
  </si>
  <si>
    <t>HINKLE, KEVIN</t>
  </si>
  <si>
    <t>DIBU, GEORGE</t>
  </si>
  <si>
    <t>NARISETTY, KEERTHY</t>
  </si>
  <si>
    <t>MALLAVARAPU, CHRISTOPHER</t>
  </si>
  <si>
    <t>ARUNAKUL, NARIN</t>
  </si>
  <si>
    <t>SPANGLER, ALISON</t>
  </si>
  <si>
    <t>DOBIES, DAVID</t>
  </si>
  <si>
    <t>DENEKE, MATTHEW</t>
  </si>
  <si>
    <t>NAYYAR, MANNU</t>
  </si>
  <si>
    <t>BOMB, RITIN</t>
  </si>
  <si>
    <t>ORELLANA-BARRIOS, MENFIL</t>
  </si>
  <si>
    <t>BHAMA, JAY</t>
  </si>
  <si>
    <t>POKHREL, NARAYAN</t>
  </si>
  <si>
    <t>VENINCASA, MICHAEL</t>
  </si>
  <si>
    <t>HUSSEIN, AHMED</t>
  </si>
  <si>
    <t>GUPTA, PUNKAJ</t>
  </si>
  <si>
    <t>MCCLENDON, ERIC</t>
  </si>
  <si>
    <t>CABRERA, ANTONIO</t>
  </si>
  <si>
    <t>GIORGAKIS, EMMANOUIL</t>
  </si>
  <si>
    <t>MARTINEZ-RUMAYOR, ABELARDO</t>
  </si>
  <si>
    <t>GOOTY, VASU</t>
  </si>
  <si>
    <t>SIERRA, FRANCISCO</t>
  </si>
  <si>
    <t>AUDE, YAMIL</t>
  </si>
  <si>
    <t>CHAHOUD, GEORGES</t>
  </si>
  <si>
    <t>KHAN, QAISAR</t>
  </si>
  <si>
    <t>UGONABO, IFEOMA</t>
  </si>
  <si>
    <t>ENNS, MICHAEL</t>
  </si>
  <si>
    <t>AUNG, HTIN</t>
  </si>
  <si>
    <t>MONKS, BRIAN</t>
  </si>
  <si>
    <t>MARTIN, HANNAH</t>
  </si>
  <si>
    <t>LANG, DAVID</t>
  </si>
  <si>
    <t>WILLIAMS, LORI</t>
  </si>
  <si>
    <t>FARLEY, WAYNE</t>
  </si>
  <si>
    <t>ANDREOIU, CAREY</t>
  </si>
  <si>
    <t>GRAHAM, RETA</t>
  </si>
  <si>
    <t>GIBBS, CHARLES</t>
  </si>
  <si>
    <t>TIETJEN, DEBORAH</t>
  </si>
  <si>
    <t>PRICE, FAITH</t>
  </si>
  <si>
    <t>WESTPHAL, LYNN</t>
  </si>
  <si>
    <t>JOHNSON, JUSTINE</t>
  </si>
  <si>
    <t>SMITH RAYFORD, EDITH</t>
  </si>
  <si>
    <t>STAVE, MADISON</t>
  </si>
  <si>
    <t>ROELANDS, JENNIFER</t>
  </si>
  <si>
    <t>BLEY, CAITLIN</t>
  </si>
  <si>
    <t>CAMPBELL, RWANDA</t>
  </si>
  <si>
    <t>STALLINGS, SHAWN</t>
  </si>
  <si>
    <t>KELLEY, JANET</t>
  </si>
  <si>
    <t>HASIK, KARL</t>
  </si>
  <si>
    <t>LA ROSA DE LOS RIOS, MAURICIO</t>
  </si>
  <si>
    <t>RHODES, TAMICA</t>
  </si>
  <si>
    <t>THOT, WILLIAM</t>
  </si>
  <si>
    <t>CHAMBERLAIN, MARY</t>
  </si>
  <si>
    <t>LARSON, MICHELLE</t>
  </si>
  <si>
    <t>SASAN, FAHIMEH</t>
  </si>
  <si>
    <t>STANLEY-CHRISTIAN, HEATHER</t>
  </si>
  <si>
    <t>FINDLAY, NICOLE</t>
  </si>
  <si>
    <t>SWAILES, ALEXA</t>
  </si>
  <si>
    <t>JOHNSON, TRACI</t>
  </si>
  <si>
    <t>EGU, OBILOH</t>
  </si>
  <si>
    <t>LEWIS, TORRANCE</t>
  </si>
  <si>
    <t>HERTLER, KRISTIN</t>
  </si>
  <si>
    <t>UNDERWOOD, JENNY</t>
  </si>
  <si>
    <t>EDWARDS, TRACY</t>
  </si>
  <si>
    <t>YOUNG, JEROME</t>
  </si>
  <si>
    <t>SHIN, SHARON</t>
  </si>
  <si>
    <t>DEROCHE, MICHAEL</t>
  </si>
  <si>
    <t>TINKER, CORY</t>
  </si>
  <si>
    <t>ORLANDO, JAMES</t>
  </si>
  <si>
    <t>SCHORGE, JOHN</t>
  </si>
  <si>
    <t>CARTER, URSULA</t>
  </si>
  <si>
    <t>APPLEWHITE, LIAT</t>
  </si>
  <si>
    <t>DORSETT, KATHERINE</t>
  </si>
  <si>
    <t>HORTON, AMANDA</t>
  </si>
  <si>
    <t>HAERI, SINA</t>
  </si>
  <si>
    <t>BEAUCHAMP, LUANNA</t>
  </si>
  <si>
    <t>DEANGELIS, ABIGAIL</t>
  </si>
  <si>
    <t>MABE, ADAM</t>
  </si>
  <si>
    <t>WALKER, CHRISTIE</t>
  </si>
  <si>
    <t>KNIGHT, MORGAN</t>
  </si>
  <si>
    <t>ALSADEN, IMAN</t>
  </si>
  <si>
    <t>WALKER, ARMIE</t>
  </si>
  <si>
    <t>TREST, ELIZABETH</t>
  </si>
  <si>
    <t>KHANJAR, SAMIR</t>
  </si>
  <si>
    <t>GRAY, JEAN</t>
  </si>
  <si>
    <t>ABDU, ADIO</t>
  </si>
  <si>
    <t>COOPER, AMBER</t>
  </si>
  <si>
    <t>MACDONALD, ERIN</t>
  </si>
  <si>
    <t>SAWYER, KIMBERLY</t>
  </si>
  <si>
    <t>GIOIA-FLYNT, LYNDA</t>
  </si>
  <si>
    <t>WYATT, PAMELA</t>
  </si>
  <si>
    <t>BASHUK, STEPHEN</t>
  </si>
  <si>
    <t>FRANK, EMMA</t>
  </si>
  <si>
    <t>HURDLE, QUINIECE</t>
  </si>
  <si>
    <t>LARSEN, JONATHAN</t>
  </si>
  <si>
    <t>WRIGHT, BENNY</t>
  </si>
  <si>
    <t>MCGHEE, VERA</t>
  </si>
  <si>
    <t>COX, MICHAEL</t>
  </si>
  <si>
    <t>MOGRI, IDREES</t>
  </si>
  <si>
    <t>IRUKULLA, PAVAN</t>
  </si>
  <si>
    <t>WOODS, STEVEN</t>
  </si>
  <si>
    <t>DAVILA, DAVID</t>
  </si>
  <si>
    <t>NELSON, JEFFERY</t>
  </si>
  <si>
    <t>KINNICK, JED</t>
  </si>
  <si>
    <t>MATTOX, ANTHONY</t>
  </si>
  <si>
    <t>PAN, THORIS</t>
  </si>
  <si>
    <t>SHARMA, DIKSHYA</t>
  </si>
  <si>
    <t>TURKEN, ARTHUR</t>
  </si>
  <si>
    <t>ANAND, VIKRAM</t>
  </si>
  <si>
    <t>CHAI, SANDRA</t>
  </si>
  <si>
    <t>SCHELLHASE, DENNIS</t>
  </si>
  <si>
    <t>BARBER, LAURA</t>
  </si>
  <si>
    <t>AKIL, NOUR</t>
  </si>
  <si>
    <t>FOLB, LEAH</t>
  </si>
  <si>
    <t>KASINA, SRINIVASA VENKATA</t>
  </si>
  <si>
    <t>MAGSINO, CESAR</t>
  </si>
  <si>
    <t>DANISH, ROBERT</t>
  </si>
  <si>
    <t>TSAO, CECILLIA</t>
  </si>
  <si>
    <t>ROMAN, FARID</t>
  </si>
  <si>
    <t>RECOVERY HEALTH SYSTEMS</t>
  </si>
  <si>
    <t>SHRINERS HOSPITALS FOR CHILDREN</t>
  </si>
  <si>
    <t>CENTERS FOR YOUTH AND FAMILIES</t>
  </si>
  <si>
    <t>LUEBKER, SARAH</t>
  </si>
  <si>
    <t>DOWELL, SHARON</t>
  </si>
  <si>
    <t>AWOBOKUN, OLUYEMISI</t>
  </si>
  <si>
    <t>LILES, CLEMIT</t>
  </si>
  <si>
    <t>ROBERTS, ROGER</t>
  </si>
  <si>
    <t>CRIGER, GRANT</t>
  </si>
  <si>
    <t>BUTTON, JENNIFER</t>
  </si>
  <si>
    <t>WOODALL, HAYLEY</t>
  </si>
  <si>
    <t>HUCKABY, SAVANNAH</t>
  </si>
  <si>
    <t>ROLES, RYANN</t>
  </si>
  <si>
    <t>WADOLOWSKI, LISA</t>
  </si>
  <si>
    <t>NANJI, ARTEE</t>
  </si>
  <si>
    <t>WRIGHT, CLAIRE</t>
  </si>
  <si>
    <t>TAYLOR, NICHOLAS</t>
  </si>
  <si>
    <t>RASHEED, CHAWAN</t>
  </si>
  <si>
    <t>LEWIS, ERYN</t>
  </si>
  <si>
    <t>BELL, DARREN</t>
  </si>
  <si>
    <t>HOGAN, CATHERINE</t>
  </si>
  <si>
    <t>VESTAL, ROBERT</t>
  </si>
  <si>
    <t>ENOCHS-WILSON, MAYGEN</t>
  </si>
  <si>
    <t>WESBERRY, JESS</t>
  </si>
  <si>
    <t>CAPPS, DWIGHT</t>
  </si>
  <si>
    <t>MOONEY, TIFFANY</t>
  </si>
  <si>
    <t>RAYBORN, ELYSE</t>
  </si>
  <si>
    <t>UPTON, JAMES</t>
  </si>
  <si>
    <t>YANG, CHENYING</t>
  </si>
  <si>
    <t>MUSAYEVA, AYTAN</t>
  </si>
  <si>
    <t>SILDIRYAN, LORIG</t>
  </si>
  <si>
    <t>SMOAK, SONYA</t>
  </si>
  <si>
    <t>SARKISIAN, STEVEN</t>
  </si>
  <si>
    <t>HOOD, MICHAEL</t>
  </si>
  <si>
    <t>KELLEY, LAUREL</t>
  </si>
  <si>
    <t>ROBERTSON, JILL</t>
  </si>
  <si>
    <t>WEBB, ANNETTE</t>
  </si>
  <si>
    <t>HOLTORF, HANNAH</t>
  </si>
  <si>
    <t>MOORE, ALISON</t>
  </si>
  <si>
    <t>HOY, KELLY</t>
  </si>
  <si>
    <t>ELLIS, BRITTANY</t>
  </si>
  <si>
    <t>ZACHRY, BAILEY</t>
  </si>
  <si>
    <t>DAVIS, DAVID</t>
  </si>
  <si>
    <t>ADAMS, KRISTIN</t>
  </si>
  <si>
    <t>MITCHELL, SHERMITA</t>
  </si>
  <si>
    <t>DILLARD, JENNIFER</t>
  </si>
  <si>
    <t>BONAFFINI, SARAH</t>
  </si>
  <si>
    <t>WONG GRIBBLE, MARGARET</t>
  </si>
  <si>
    <t>CONNOR, CHARLES</t>
  </si>
  <si>
    <t>MAXEY, SARAH</t>
  </si>
  <si>
    <t>HARDGRAVES, JAMES</t>
  </si>
  <si>
    <t>FORD, JOSHUA</t>
  </si>
  <si>
    <t>FIDDLER, PATRICK</t>
  </si>
  <si>
    <t>MORMON, PAUL</t>
  </si>
  <si>
    <t>PIGOTT, CODY</t>
  </si>
  <si>
    <t>HABA, DAVID</t>
  </si>
  <si>
    <t>GARNER, TORRIE</t>
  </si>
  <si>
    <t>JAMES, MARY</t>
  </si>
  <si>
    <t>HEARN, BRILEY</t>
  </si>
  <si>
    <t>NOH, ADA</t>
  </si>
  <si>
    <t>MILAM, ANGELA</t>
  </si>
  <si>
    <t>HEBERT, DANIELLE</t>
  </si>
  <si>
    <t>HINES, SARAH</t>
  </si>
  <si>
    <t>MAJEWSKI, WOJCIECH</t>
  </si>
  <si>
    <t>KIRZHNER, MARIA</t>
  </si>
  <si>
    <t>RIXON, ANDREW</t>
  </si>
  <si>
    <t>MCGEE, ASHLEY</t>
  </si>
  <si>
    <t>ABURIME, OSEMELU</t>
  </si>
  <si>
    <t>KIRK, ABAGAIL</t>
  </si>
  <si>
    <t>ALLEN, KORY</t>
  </si>
  <si>
    <t>UPADHYAY, JYOTI</t>
  </si>
  <si>
    <t>RENFROE, DOYLE</t>
  </si>
  <si>
    <t>COLLI, JANET</t>
  </si>
  <si>
    <t>HOGAN, ROSS</t>
  </si>
  <si>
    <t>MYNATT, RICHARD</t>
  </si>
  <si>
    <t>KIM, CHRISTINA</t>
  </si>
  <si>
    <t>MOREIRA, SERGIO</t>
  </si>
  <si>
    <t>CLAYBROOK, DOUGLAS</t>
  </si>
  <si>
    <t>MINEVICH, EUGENE</t>
  </si>
  <si>
    <t>ABBOTT, ALEX</t>
  </si>
  <si>
    <t>CROW, LOUIS</t>
  </si>
  <si>
    <t>RODGERS, ALEXANDER</t>
  </si>
  <si>
    <t>WALKER, ADDISON</t>
  </si>
  <si>
    <t>SELF-PIKE, JILL</t>
  </si>
  <si>
    <t>GUIRGUIS, NICOLE</t>
  </si>
  <si>
    <t>BRUDI, JOSHUA</t>
  </si>
  <si>
    <t>DONALDSON, NICOLE</t>
  </si>
  <si>
    <t>LLOYD, ANSLEE</t>
  </si>
  <si>
    <t>WISENER, JAMES</t>
  </si>
  <si>
    <t>SOLERA, KURT</t>
  </si>
  <si>
    <t>BAKER, MORTON</t>
  </si>
  <si>
    <t>GRUEN, TODD</t>
  </si>
  <si>
    <t>MEHAFFY, CAROLINE</t>
  </si>
  <si>
    <t>PHILLIPS, MATTHEW</t>
  </si>
  <si>
    <t>CHANG, ZHANTEIN</t>
  </si>
  <si>
    <t>HUANG, GEOFFREY</t>
  </si>
  <si>
    <t>HURD, HERMAN</t>
  </si>
  <si>
    <t>ISBELL, JOHN</t>
  </si>
  <si>
    <t>CAMPBELL, RANDALL</t>
  </si>
  <si>
    <t>MASON, ROBERT</t>
  </si>
  <si>
    <t>SHEKARI, FIROOZEH</t>
  </si>
  <si>
    <t>AUPREY, JACOB</t>
  </si>
  <si>
    <t>HYSER, KIRSTAN</t>
  </si>
  <si>
    <t>BAGHAEI, FARBOD</t>
  </si>
  <si>
    <t>FITZHUGH, SEAN</t>
  </si>
  <si>
    <t>CABE, HANNAH</t>
  </si>
  <si>
    <t>KING, SARAH</t>
  </si>
  <si>
    <t>GRAHAM, RONTAE</t>
  </si>
  <si>
    <t>SCHNEIDER, WERNER</t>
  </si>
  <si>
    <t>BALISTERRI, ALEXIS</t>
  </si>
  <si>
    <t>WRIGHT, ALLISON</t>
  </si>
  <si>
    <t>SORRELLS, CLAYTON</t>
  </si>
  <si>
    <t>SHARKS, ERIC</t>
  </si>
  <si>
    <t>ROBLEE, MACKENZIE</t>
  </si>
  <si>
    <t>DECKELMAN, BRADLEY</t>
  </si>
  <si>
    <t>LOVELACE, BRITTEN</t>
  </si>
  <si>
    <t>KOCH, JOSEPHINE</t>
  </si>
  <si>
    <t>TALIAFERRO, MADISON</t>
  </si>
  <si>
    <t>RAWLS, HUNTER</t>
  </si>
  <si>
    <t>MILLER, GABRIELLE</t>
  </si>
  <si>
    <t>BISHOP, RACHEL</t>
  </si>
  <si>
    <t>WEST, WILLIAM</t>
  </si>
  <si>
    <t>MORLEDGE, GEORGE</t>
  </si>
  <si>
    <t>WOERNER, JENNIFER</t>
  </si>
  <si>
    <t>MACNAUGHTON, JON</t>
  </si>
  <si>
    <t>MARCANTONI, HENRY</t>
  </si>
  <si>
    <t>GHALI, GHALI</t>
  </si>
  <si>
    <t>MCRAE, JOSEPH</t>
  </si>
  <si>
    <t>BEETSTRA, STEPHEN</t>
  </si>
  <si>
    <t>CLARO, WANDA</t>
  </si>
  <si>
    <t>STANLEY, PETER</t>
  </si>
  <si>
    <t>HAMILTON, EVAN</t>
  </si>
  <si>
    <t>CHRISMAN, JAMES</t>
  </si>
  <si>
    <t>BREARD, BRANDON</t>
  </si>
  <si>
    <t>HUGGINS, LESLEE</t>
  </si>
  <si>
    <t>MOREHOUSE COMMUNITY MEDICAL CENTERS, INC.</t>
  </si>
  <si>
    <t>ALLEN AND BAUM PHARMACY SERVICES LLC</t>
  </si>
  <si>
    <t>GENOA HEALTHCARE LLC</t>
  </si>
  <si>
    <t>DANVILLE PHARMACY LLC</t>
  </si>
  <si>
    <t>HOME I V SPECIALISTS INC</t>
  </si>
  <si>
    <t>GBB LLC</t>
  </si>
  <si>
    <t>DOCS HOMETOWN PHARMACY LLC</t>
  </si>
  <si>
    <t>COMMUNITY RX</t>
  </si>
  <si>
    <t>TARA PHARMACY SE, LLC</t>
  </si>
  <si>
    <t>ARKANSAS UROLOGY, P.A.</t>
  </si>
  <si>
    <t>UROLOGY GROUP PC</t>
  </si>
  <si>
    <t>19TH MDSS SGSR</t>
  </si>
  <si>
    <t>TRISTATE INFUSION, LLC</t>
  </si>
  <si>
    <t>SMITH DRUG AND COMPOUNDING, INC.</t>
  </si>
  <si>
    <t>INFUSION PARTNERS, LLC</t>
  </si>
  <si>
    <t>NAVAL HOSPITAL PENSACOLA</t>
  </si>
  <si>
    <t>SOUTHEAST UROLOGY NETWORK PC</t>
  </si>
  <si>
    <t>CITY DRUG CO, INC.</t>
  </si>
  <si>
    <t>LAKE CITY DRUG LLC</t>
  </si>
  <si>
    <t>AINSWORTH PHARMACY GROUP LLC</t>
  </si>
  <si>
    <t>DLSN LLC</t>
  </si>
  <si>
    <t>HARBORTOWNRX PHARMACY LLC</t>
  </si>
  <si>
    <t>CARL'S HOMETOWN PHARMACY LLC</t>
  </si>
  <si>
    <t>LITTLE ROCK VAMC</t>
  </si>
  <si>
    <t>SIDAROUS, LLC</t>
  </si>
  <si>
    <t>CONWAY HEMATOLOGY ONCOLOGY PLLC</t>
  </si>
  <si>
    <t>LITTLE ROCK INFUSION SERVICES, LLC</t>
  </si>
  <si>
    <t>MEMPHIS VAMC</t>
  </si>
  <si>
    <t>CLINICAL SPECIALTY INFUSIONS OF DALLAS LLC</t>
  </si>
  <si>
    <t>ADULT AND PEDIATRIC FOOT CENTER, LLC</t>
  </si>
  <si>
    <t>PHARMACY OF SHANNON HILLS LLC</t>
  </si>
  <si>
    <t>BCP1, LLC LONG TERM CARE</t>
  </si>
  <si>
    <t>2 ND MEDICAL GROUP SGSL</t>
  </si>
  <si>
    <t>THE APOTHECARY SHOPPE OF NORTHEAST ARKANSAS LLC</t>
  </si>
  <si>
    <t>BUNDY FAMILY PHARMACY LLC</t>
  </si>
  <si>
    <t>CONSOLIDATED MEDICAL PRACTICES OF MEMPHIS,PLLC</t>
  </si>
  <si>
    <t>PHARM Z LLC</t>
  </si>
  <si>
    <t>FAYETTEVILLE VAMC</t>
  </si>
  <si>
    <t>AMERITA, INC.</t>
  </si>
  <si>
    <t>PHIPPS PHARMACY INC</t>
  </si>
  <si>
    <t>FOOD MERCHANTS, LLC</t>
  </si>
  <si>
    <t>WESTVILLE DRUG COMPANY LLC</t>
  </si>
  <si>
    <t>KIRBY WHITTEN PHARMACY, INC.</t>
  </si>
  <si>
    <t>LUKE PILL LLC</t>
  </si>
  <si>
    <t>PARISH PHARMACY INC</t>
  </si>
  <si>
    <t>ARLINGTON APOTHECARY INC</t>
  </si>
  <si>
    <t>RED RIVER PHARMACY OF LITTLE ROCK</t>
  </si>
  <si>
    <t>TAYLOR PHARMACIES</t>
  </si>
  <si>
    <t>PARTEE FRANCHISE, LLC</t>
  </si>
  <si>
    <t>SCPG LOUISIANA LLC</t>
  </si>
  <si>
    <t>WOODSON PHARMACY LLC</t>
  </si>
  <si>
    <t>KEVIN J COLLINS MD PA</t>
  </si>
  <si>
    <t>JCL INVESTMENTS INC</t>
  </si>
  <si>
    <t>CAPITOL CITY FAMILY HEALTH CENTER, INCORPORATED</t>
  </si>
  <si>
    <t>EASTSIDE PHARMACY INC</t>
  </si>
  <si>
    <t>J J J SMITH, INC</t>
  </si>
  <si>
    <t>OGNIBENE CLINICS</t>
  </si>
  <si>
    <t>CENTRAL ARKANSAS HEMATOLOGY AND ONCOLOGY CLINIC, PA</t>
  </si>
  <si>
    <t>OZARK SPECIALTY PHARMACY AND HOME INFUSION, LLC</t>
  </si>
  <si>
    <t>IDABEL EXPRESS PHARMACY, LLC</t>
  </si>
  <si>
    <t>BRIAN SHWER, DPM</t>
  </si>
  <si>
    <t>2ND MEDICAL GROUP SGSL</t>
  </si>
  <si>
    <t>SALGADO, LIAM</t>
  </si>
  <si>
    <t>COX, SHAUNA</t>
  </si>
  <si>
    <t>KELLER, KRISTINA</t>
  </si>
  <si>
    <t>HARRIS, DEBRA</t>
  </si>
  <si>
    <t>WALKER, TAYLOR</t>
  </si>
  <si>
    <t>RUSSELL, LARRY</t>
  </si>
  <si>
    <t>HILLMAN, BRADLEY</t>
  </si>
  <si>
    <t>BILLINGS, JONATHAN</t>
  </si>
  <si>
    <t>YANG, SANGKI</t>
  </si>
  <si>
    <t>Finalized 2024 Round 1 Provider Type-NPI list</t>
  </si>
  <si>
    <t>NUESKE, LAUREN</t>
  </si>
  <si>
    <t>HEFNER, DAVID</t>
  </si>
  <si>
    <t>CHANCELLOR, CRYSTAL</t>
  </si>
  <si>
    <t>HART, AUDRA</t>
  </si>
  <si>
    <t>PRITCHETT, HAROLD</t>
  </si>
  <si>
    <t>SHANKS, ALYSSA</t>
  </si>
  <si>
    <t>HELBIG, CLAUDIA</t>
  </si>
  <si>
    <t>LANGENKAMP, BRIANNA</t>
  </si>
  <si>
    <t>HODGE, ANN</t>
  </si>
  <si>
    <t>FUSTER, JULIA</t>
  </si>
  <si>
    <t>DOWELL, GARRISON</t>
  </si>
  <si>
    <t>PRIME, JASMINE</t>
  </si>
  <si>
    <t>FERGUSON, AMELIA</t>
  </si>
  <si>
    <t>DUVALL, SAMANTHA</t>
  </si>
  <si>
    <t>ZASTOUPIL, LAURYN</t>
  </si>
  <si>
    <t>MOORE, KARLEY</t>
  </si>
  <si>
    <t>DUKE, BRANDON</t>
  </si>
  <si>
    <t>GRIHALVA, CHRISTY</t>
  </si>
  <si>
    <t>GRUSE, EMILEE</t>
  </si>
  <si>
    <t xml:space="preserve">, </t>
  </si>
  <si>
    <t>COLLINS, AVERY</t>
  </si>
  <si>
    <t>JARRETT, CAROLINE</t>
  </si>
  <si>
    <t>MARTIN, RODNEYSHA</t>
  </si>
  <si>
    <t>MENLEY, BARBARA</t>
  </si>
  <si>
    <t>HILL, KERRY</t>
  </si>
  <si>
    <t>RASHEED, ANUM</t>
  </si>
  <si>
    <t>URTEAGA, CASSIE</t>
  </si>
  <si>
    <t>KREBS, LAUREN</t>
  </si>
  <si>
    <t>STUBBS, JASON</t>
  </si>
  <si>
    <t>FEATHERSTON, TONNY</t>
  </si>
  <si>
    <t>CHEN, STEPHANIE</t>
  </si>
  <si>
    <t>COHEN, JEREMY</t>
  </si>
  <si>
    <t>LINDSEY, JOSHUA</t>
  </si>
  <si>
    <t>DODGE, ERIN</t>
  </si>
  <si>
    <t>BUCKNER, KAYLEE</t>
  </si>
  <si>
    <t>MYGATT, CHRISTOPHER</t>
  </si>
  <si>
    <t>WILHITE, JUSTIN</t>
  </si>
  <si>
    <t>DYSON, ELLE</t>
  </si>
  <si>
    <t>TINER, ALLISON</t>
  </si>
  <si>
    <t>JORDAN, CHRISTOPHER</t>
  </si>
  <si>
    <t>AMIDI, AMIR</t>
  </si>
  <si>
    <t>PEAD, GWEN</t>
  </si>
  <si>
    <t>FREEMAN, KRISTIN</t>
  </si>
  <si>
    <t>PILGRIM, ALEXIS</t>
  </si>
  <si>
    <t>CHINTA, VISWANATH</t>
  </si>
  <si>
    <t>HODGES, PAMELA</t>
  </si>
  <si>
    <t>SHERRILL, JARRETT</t>
  </si>
  <si>
    <t>BRANDON, JOSHUA</t>
  </si>
  <si>
    <t>SULLIVAN, ELIZABETH</t>
  </si>
  <si>
    <t>WLLIAMS, PAYTON</t>
  </si>
  <si>
    <t>VAISLER, RYAN</t>
  </si>
  <si>
    <t>BURKS, KIRSTEN</t>
  </si>
  <si>
    <t>FAUST, JARRET</t>
  </si>
  <si>
    <t>BATY, TIMOTHY</t>
  </si>
  <si>
    <t>SHAFFER, ELIZABETH</t>
  </si>
  <si>
    <t>KUO PECK, KAREN</t>
  </si>
  <si>
    <t>JAMISON, NERIE</t>
  </si>
  <si>
    <t>THOMPSON, LAUREN</t>
  </si>
  <si>
    <t>CAIN, LESLIE</t>
  </si>
  <si>
    <t>DIPASUPIL, MARC</t>
  </si>
  <si>
    <t>STRINGFELLOW, SAMUEL</t>
  </si>
  <si>
    <t>BELL, GREGORY</t>
  </si>
  <si>
    <t>ROLAND, CHRISTINA</t>
  </si>
  <si>
    <t>NORDMEYER, LINDSAY</t>
  </si>
  <si>
    <t>CHAMBERS, SARAH</t>
  </si>
  <si>
    <t>ITALIA, HIRENKUMAR</t>
  </si>
  <si>
    <t>REED, RAELYNN</t>
  </si>
  <si>
    <t>SIMON, BALA</t>
  </si>
  <si>
    <t>LOFTUS, ALLISON</t>
  </si>
  <si>
    <t>LANE, JONMARK</t>
  </si>
  <si>
    <t>MURPHY, CHESLEY</t>
  </si>
  <si>
    <t>RIMKA, REBECCA</t>
  </si>
  <si>
    <t>PENNINGTON, JONATHAN</t>
  </si>
  <si>
    <t>BAKER, JOVAN</t>
  </si>
  <si>
    <t>SASSAMAN, KALLI</t>
  </si>
  <si>
    <t>LEIS, CRISTINA</t>
  </si>
  <si>
    <t>MORTON, CAROLINE</t>
  </si>
  <si>
    <t>CESARSKI, KAYLIN</t>
  </si>
  <si>
    <t>HENNON, MARCUS</t>
  </si>
  <si>
    <t>BROWNE, GRACE</t>
  </si>
  <si>
    <t>BOURGEOIS, LEONARD</t>
  </si>
  <si>
    <t>STEPHENS, CHASTITY</t>
  </si>
  <si>
    <t>STEWART, EMMA</t>
  </si>
  <si>
    <t>BEVILL, LOGAN</t>
  </si>
  <si>
    <t>MOORE, ALICIA</t>
  </si>
  <si>
    <t>VOGNET, JESSICA</t>
  </si>
  <si>
    <t>GIBBONS, NORA</t>
  </si>
  <si>
    <t>RIVERA CRUZ, RAQUEL</t>
  </si>
  <si>
    <t>HOLT, BILLY</t>
  </si>
  <si>
    <t>REED, BRADLEY</t>
  </si>
  <si>
    <t>HAYES, MORIAH</t>
  </si>
  <si>
    <t>FLAKE, KIMBERLY</t>
  </si>
  <si>
    <t>MURPHY, ROBIN</t>
  </si>
  <si>
    <t>DONNELL-HIGGINS, JENIFER</t>
  </si>
  <si>
    <t>BUTLER, HEATHER</t>
  </si>
  <si>
    <t>SMITH, NICHOLE</t>
  </si>
  <si>
    <t>ZEAGLER, NATALYA</t>
  </si>
  <si>
    <t>HILL, MIMI</t>
  </si>
  <si>
    <t>KUDLA, SONIA</t>
  </si>
  <si>
    <t>CROSS-MONTGOMERY, ALEXIS</t>
  </si>
  <si>
    <t>GORDON, JENNIFER</t>
  </si>
  <si>
    <t>BUKHARI, AVESAHMED</t>
  </si>
  <si>
    <t>GUY, JAMES</t>
  </si>
  <si>
    <t>RATHKE, MELANIE</t>
  </si>
  <si>
    <t>THURLBY, SAGE</t>
  </si>
  <si>
    <t>BEAUREGARD, JUDITH</t>
  </si>
  <si>
    <t>MOTHERSHEAD, LUCY</t>
  </si>
  <si>
    <t>ALEXANDER, ANN-MARIE</t>
  </si>
  <si>
    <t>HUTSON, ELIZABETH</t>
  </si>
  <si>
    <t>SHAVER, JEN</t>
  </si>
  <si>
    <t>RIELS, GLYNN</t>
  </si>
  <si>
    <t>DOPPALAPUDI, UMESH KRISHNA</t>
  </si>
  <si>
    <t>POTTER, KIM</t>
  </si>
  <si>
    <t>THIEBAUD, JEFFREY</t>
  </si>
  <si>
    <t>MITCHELL, JENNY</t>
  </si>
  <si>
    <t>STARNES, DAVID</t>
  </si>
  <si>
    <t>BLAY CANTRELL, INGRID</t>
  </si>
  <si>
    <t>DIAZ, KRISTINA</t>
  </si>
  <si>
    <t>LOPEZ-GONZALEZ, DIORELLA</t>
  </si>
  <si>
    <t>BALTZ, JOHN</t>
  </si>
  <si>
    <t>BRYSON, ANDREW</t>
  </si>
  <si>
    <t>NDULUE, JIDEOFOR</t>
  </si>
  <si>
    <t>DUNAVANT, AMANDA</t>
  </si>
  <si>
    <t>BRUCE, ASHLEY</t>
  </si>
  <si>
    <t>AHZAM, MUHAMMAD</t>
  </si>
  <si>
    <t>JONES, JAHNNELIZ</t>
  </si>
  <si>
    <t>PRESTON, CLAYTON</t>
  </si>
  <si>
    <t>ANDERSON ONGERS, TIFFANY</t>
  </si>
  <si>
    <t>DESAI, VAIBHAV</t>
  </si>
  <si>
    <t>CRUZ, DYLAN</t>
  </si>
  <si>
    <t>SADLER, COREY</t>
  </si>
  <si>
    <t>YOUNG, LACEY</t>
  </si>
  <si>
    <t>TENG, HOLLY</t>
  </si>
  <si>
    <t>MITCHELL, J</t>
  </si>
  <si>
    <t>DODSON, JOY</t>
  </si>
  <si>
    <t>HENRY, JAMES</t>
  </si>
  <si>
    <t>DALE, GRACEN</t>
  </si>
  <si>
    <t>FARMER, YEN</t>
  </si>
  <si>
    <t>KROB, TRACIE</t>
  </si>
  <si>
    <t>LAMBERT-FOWLER, SHARONTE</t>
  </si>
  <si>
    <t>LOVE, ALBREY</t>
  </si>
  <si>
    <t>ADULT &amp; TEEN CHALLENGE OF ARKANSAS</t>
  </si>
  <si>
    <t>ACTSS A COMMON THREAD SUPPORTIVE SERVICES</t>
  </si>
  <si>
    <t>MAZZARIELLO, MARIAH</t>
  </si>
  <si>
    <t>TRUAX, ELIZABETH</t>
  </si>
  <si>
    <t>WHITESIDE, MARA</t>
  </si>
  <si>
    <t>ADAMS, DESTINY</t>
  </si>
  <si>
    <t>HOGAN, RUTH</t>
  </si>
  <si>
    <t>QUILLEN, RODNEY</t>
  </si>
  <si>
    <t>SULLIVAN, SUMMER</t>
  </si>
  <si>
    <t>JOSEPH, SHEILA</t>
  </si>
  <si>
    <t>PIZZITOLA, KELLY</t>
  </si>
  <si>
    <t>LEWIS, SABRINA</t>
  </si>
  <si>
    <t>HENDRIX, DAVID</t>
  </si>
  <si>
    <t>JOHNSTON, STEPHANIE</t>
  </si>
  <si>
    <t>BRAND, NICHOLE</t>
  </si>
  <si>
    <t>KENNEDY, DANIELLE</t>
  </si>
  <si>
    <t>MOON, HAZEL</t>
  </si>
  <si>
    <t>BLOCK, DONALD</t>
  </si>
  <si>
    <t>KIBBY, PAUL</t>
  </si>
  <si>
    <t>VINTI, HEATHER</t>
  </si>
  <si>
    <t>MONTGOMERY, BROOKLYN</t>
  </si>
  <si>
    <t>NEAL, CHELSEA</t>
  </si>
  <si>
    <t>WALLIS, ANGEL</t>
  </si>
  <si>
    <t>NEMETH, JEFFREY</t>
  </si>
  <si>
    <t>WESTHOVEN, VENETTE</t>
  </si>
  <si>
    <t>STRINGFELLOW, ASTRID</t>
  </si>
  <si>
    <t>LANGSTON, LINDSEY</t>
  </si>
  <si>
    <t>GOUCHER, PAMELA</t>
  </si>
  <si>
    <t>WASHINGTON, KRISTI</t>
  </si>
  <si>
    <t>GRACE, MARIA</t>
  </si>
  <si>
    <t>WALDEN, JENNIFER</t>
  </si>
  <si>
    <t>SMITH, DALISHA</t>
  </si>
  <si>
    <t>ABANATHY, KIMBERLY</t>
  </si>
  <si>
    <t>TAYLOR, GRACE</t>
  </si>
  <si>
    <t>STATON, KRISTY</t>
  </si>
  <si>
    <t>POTTER, LESLIE</t>
  </si>
  <si>
    <t>LANGLEY, REBECCA</t>
  </si>
  <si>
    <t>GALVAN, LESLIE</t>
  </si>
  <si>
    <t>HOFFPAUIR, THOMAS</t>
  </si>
  <si>
    <t>LAVINE, ASHLEY</t>
  </si>
  <si>
    <t>HENDERSON, LAQUINTHA</t>
  </si>
  <si>
    <t>MCMAHON, ANDREA</t>
  </si>
  <si>
    <t>BIRD, CATELYN</t>
  </si>
  <si>
    <t>WAGNER, LINDSEY</t>
  </si>
  <si>
    <t>TINNON, RAENA</t>
  </si>
  <si>
    <t>KENNEDY, CAROL</t>
  </si>
  <si>
    <t>HARDAGE, VANESSA</t>
  </si>
  <si>
    <t>GOFF, RACHEL</t>
  </si>
  <si>
    <t>ROSALES RODRIGUEZ, JERAMIE</t>
  </si>
  <si>
    <t>GEBHART, ANDREW</t>
  </si>
  <si>
    <t>MCCLATCHY, STEVEN</t>
  </si>
  <si>
    <t>BLOODWORTH, GRACE</t>
  </si>
  <si>
    <t>TAMBOLI, CYRUS</t>
  </si>
  <si>
    <t>COLE, TIFFANY</t>
  </si>
  <si>
    <t>RUSSELL, JOANNA</t>
  </si>
  <si>
    <t>BARRIOS, TRACI</t>
  </si>
  <si>
    <t>SEED, JASON</t>
  </si>
  <si>
    <t>CARR, BRANDEN</t>
  </si>
  <si>
    <t>COOK, BRIANNA</t>
  </si>
  <si>
    <t>BRANNAN, CORY</t>
  </si>
  <si>
    <t>OVERLEY, MICHAELA</t>
  </si>
  <si>
    <t>BARKER, KATELYN</t>
  </si>
  <si>
    <t>BANKS, JAVANA</t>
  </si>
  <si>
    <t>NORTHERN, JENNIFER</t>
  </si>
  <si>
    <t>LEGERE, KATELYN</t>
  </si>
  <si>
    <t>CARTER, KAYLA</t>
  </si>
  <si>
    <t>ARCANA, DAVID</t>
  </si>
  <si>
    <t>CASSELL, NATALIE</t>
  </si>
  <si>
    <t>GRUBBS, JODIEE</t>
  </si>
  <si>
    <t>WILLIAMS, AMANDA</t>
  </si>
  <si>
    <t>LEVERETTE, AARON</t>
  </si>
  <si>
    <t>VICTORY-MCDANIEL, KERI</t>
  </si>
  <si>
    <t>DAVIS, MELANIE</t>
  </si>
  <si>
    <t>MILLER, JULIE</t>
  </si>
  <si>
    <t>CHATMAN, DEVIN</t>
  </si>
  <si>
    <t>CAULEY, SHERYL</t>
  </si>
  <si>
    <t>CARTER, SUSANNE</t>
  </si>
  <si>
    <t>WHITE, JORDAN</t>
  </si>
  <si>
    <t>BALKENBUSH, MELISSA</t>
  </si>
  <si>
    <t>AUDRY, JEDD</t>
  </si>
  <si>
    <t>TIPTON, MEAGHAN</t>
  </si>
  <si>
    <t>ESSEX, DANITIL</t>
  </si>
  <si>
    <t>JOHNSON (OWENS), SUZANNA</t>
  </si>
  <si>
    <t>ACOSTA, MEGAN</t>
  </si>
  <si>
    <t>PETTYJOHN, GINAH</t>
  </si>
  <si>
    <t>ALEXANDER, CORI</t>
  </si>
  <si>
    <t>SADICON, JUELLA</t>
  </si>
  <si>
    <t>GRODBERG, DAVID</t>
  </si>
  <si>
    <t>WATTERS, ELIZABETH</t>
  </si>
  <si>
    <t>BLAIR, TAYLOR</t>
  </si>
  <si>
    <t>WEBER, BIANCA</t>
  </si>
  <si>
    <t>POINDEXTER, NATASHA</t>
  </si>
  <si>
    <t>BOYDSTUN, KATIE</t>
  </si>
  <si>
    <t>SHEPARD, GARRETT</t>
  </si>
  <si>
    <t>BONCHEFF, KRISTA</t>
  </si>
  <si>
    <t>JOHNSTON, SANDRA</t>
  </si>
  <si>
    <t>O'GARY, BRIAN</t>
  </si>
  <si>
    <t>DOBBINS, CORY</t>
  </si>
  <si>
    <t>MELTON, ERIN</t>
  </si>
  <si>
    <t>DICKSON, AMY</t>
  </si>
  <si>
    <t>COLTON, DOUGLAS</t>
  </si>
  <si>
    <t>SHAW, DEENA</t>
  </si>
  <si>
    <t>HOOPER, MELISSA</t>
  </si>
  <si>
    <t>JUDAH, MATTHEW</t>
  </si>
  <si>
    <t>CENTER, BARBARA</t>
  </si>
  <si>
    <t>SMITH, AMBER</t>
  </si>
  <si>
    <t>OWENS, RODNEY</t>
  </si>
  <si>
    <t>MCCAULEY, NICOLE</t>
  </si>
  <si>
    <t>SCHOEN, SYDNEY</t>
  </si>
  <si>
    <t>STOVESAND, DEBORAH</t>
  </si>
  <si>
    <t>PARKER, JEFF</t>
  </si>
  <si>
    <t>CHARDAVOYNE, JOHN</t>
  </si>
  <si>
    <t>REED, MADELINE</t>
  </si>
  <si>
    <t>RUSSELL, CHRISTOPHER</t>
  </si>
  <si>
    <t>BARNES, BRITTANY</t>
  </si>
  <si>
    <t>HOLLIDAY, KARMESHA</t>
  </si>
  <si>
    <t>COKER, CATHERINE</t>
  </si>
  <si>
    <t>MONCRIEF, ELLEN</t>
  </si>
  <si>
    <t>BRINKLEY, TODD</t>
  </si>
  <si>
    <t>PINTO, YAJAIRA</t>
  </si>
  <si>
    <t>CARR, ALISON</t>
  </si>
  <si>
    <t>WARDLAW, ASHLEY</t>
  </si>
  <si>
    <t>KERN, MATTHEW</t>
  </si>
  <si>
    <t>CREECY, JUDITH</t>
  </si>
  <si>
    <t>HILL, TRENESHA</t>
  </si>
  <si>
    <t>ATKINSON, TYLER</t>
  </si>
  <si>
    <t>DUNN, AMDANA</t>
  </si>
  <si>
    <t>MALBICA, KATHRYN</t>
  </si>
  <si>
    <t>GRISSOM-TATROE, TONYA</t>
  </si>
  <si>
    <t>GRANBERRY, TAMEKA</t>
  </si>
  <si>
    <t>ELDRIDGE, ANA</t>
  </si>
  <si>
    <t>WILLIAMS, LESLIE</t>
  </si>
  <si>
    <t>SHERMAN, EDITH</t>
  </si>
  <si>
    <t>PALMER, HAILEY</t>
  </si>
  <si>
    <t>LEKIC, DASHA</t>
  </si>
  <si>
    <t>YOUNG, TAELOR</t>
  </si>
  <si>
    <t>GORDON, JAMIE</t>
  </si>
  <si>
    <t>WALTERS, CAITLYN</t>
  </si>
  <si>
    <t>FLOWERS, KAYLA</t>
  </si>
  <si>
    <t>RANKIN, KATHLEEN</t>
  </si>
  <si>
    <t>RICHARDSON, WHITLEY</t>
  </si>
  <si>
    <t>BULL, CHELSEY</t>
  </si>
  <si>
    <t>COTTRELL, CODY</t>
  </si>
  <si>
    <t>RANDY, KRISTIN</t>
  </si>
  <si>
    <t>LUTHER, BRIANNA</t>
  </si>
  <si>
    <t>LEWIS, LATONIA</t>
  </si>
  <si>
    <t>BAUER, NATALIE</t>
  </si>
  <si>
    <t>NELSON, PATRICIA</t>
  </si>
  <si>
    <t>BROWN, ELIZABETH</t>
  </si>
  <si>
    <t>HANSON, DANIELLE</t>
  </si>
  <si>
    <t>NULL</t>
  </si>
  <si>
    <t>JONES, KILEY</t>
  </si>
  <si>
    <t>RODRIGUEZ, JAMIE</t>
  </si>
  <si>
    <t>LESTER, SARA</t>
  </si>
  <si>
    <t>DENSON, MEGAN</t>
  </si>
  <si>
    <t>BRICE, CHANTAL</t>
  </si>
  <si>
    <t>HILL, GRACE</t>
  </si>
  <si>
    <t>BAKER, LILA</t>
  </si>
  <si>
    <t>BAUMAN, KAILEE</t>
  </si>
  <si>
    <t>YORK, MAYLYNN</t>
  </si>
  <si>
    <t>NAMIR, DAVID</t>
  </si>
  <si>
    <t>HOLLMANN, GEMMA</t>
  </si>
  <si>
    <t>HINSON, KAYLEE</t>
  </si>
  <si>
    <t>TONKIN, DAVID</t>
  </si>
  <si>
    <t>LADD, JEFFREY</t>
  </si>
  <si>
    <t>DARGO, JONATHAN</t>
  </si>
  <si>
    <t>EVERS, PATRICIA</t>
  </si>
  <si>
    <t>FOUSHEE, KYLE</t>
  </si>
  <si>
    <t>ROGERS, ALYSSA</t>
  </si>
  <si>
    <t>PEELER-TURNER, ALICIA</t>
  </si>
  <si>
    <t>PARKER, LORETTA</t>
  </si>
  <si>
    <t>HOLYFIELD, ANGELA</t>
  </si>
  <si>
    <t>ADAMS, KATIE</t>
  </si>
  <si>
    <t>MANN, SARA</t>
  </si>
  <si>
    <t>ROBLE, HANNAH</t>
  </si>
  <si>
    <t>GORDON, CHLOE</t>
  </si>
  <si>
    <t>BIAZO, HAROLD</t>
  </si>
  <si>
    <t>METCALF, KENDRA</t>
  </si>
  <si>
    <t>HARPER, REBECCA</t>
  </si>
  <si>
    <t>ELLIS, JOEL</t>
  </si>
  <si>
    <t>ZUMBRO, SAVANNAH</t>
  </si>
  <si>
    <t>ARNOLD, EMILY</t>
  </si>
  <si>
    <t>LIETZKE, COURTNEY</t>
  </si>
  <si>
    <t>DUER BARNARD, JENNIFER</t>
  </si>
  <si>
    <t>BOGAN, SHAYLA</t>
  </si>
  <si>
    <t>TEAS, MOLLIE</t>
  </si>
  <si>
    <t>BOAZ, HANNAH</t>
  </si>
  <si>
    <t>BOWMAN, VALARIE</t>
  </si>
  <si>
    <t>COLLINS, CORYN</t>
  </si>
  <si>
    <t>BERRY, PENNIE</t>
  </si>
  <si>
    <t>HOWERTON, ROBIN</t>
  </si>
  <si>
    <t>PRICE, WHITNEY</t>
  </si>
  <si>
    <t>DUNHAM, JOSHUA</t>
  </si>
  <si>
    <t>MCKINNEY, KAMRYN</t>
  </si>
  <si>
    <t>HILL, MAGGIE</t>
  </si>
  <si>
    <t>TOWNSEND-BELL, PAMELA</t>
  </si>
  <si>
    <t>CROSBY, KAITLYN</t>
  </si>
  <si>
    <t>EDWARDS, ALEX</t>
  </si>
  <si>
    <t>LEATHERWOOD, KIRSTEN</t>
  </si>
  <si>
    <t>MCLAIN, ANGELA</t>
  </si>
  <si>
    <t>ADAMS, ALLISON</t>
  </si>
  <si>
    <t>USCHMANN, HARTMUT</t>
  </si>
  <si>
    <t>DAWSON, KRISTY</t>
  </si>
  <si>
    <t>FUTCH, JENNI</t>
  </si>
  <si>
    <t>KEEN, LEIGHTON</t>
  </si>
  <si>
    <t>CALLAWAY, AMBER</t>
  </si>
  <si>
    <t>PIAZZA, CATHERINE</t>
  </si>
  <si>
    <t>BATCHELOR, BETHANY</t>
  </si>
  <si>
    <t>KNIGHTEN, JOHNNY</t>
  </si>
  <si>
    <t>WHITE, TERESA</t>
  </si>
  <si>
    <t>SWENSON, KARLEE</t>
  </si>
  <si>
    <t>BELK, HARLI</t>
  </si>
  <si>
    <t>WHITE, TYLER</t>
  </si>
  <si>
    <t>PURVIS, PAMELA</t>
  </si>
  <si>
    <t>LACHNEY, CAITLIN</t>
  </si>
  <si>
    <t>THIELKE, JARED</t>
  </si>
  <si>
    <t>BERRY, AMBER</t>
  </si>
  <si>
    <t>DAVIS, CODY</t>
  </si>
  <si>
    <t>MADDOX, JENNIFER</t>
  </si>
  <si>
    <t>LEE, WEN-YA</t>
  </si>
  <si>
    <t>NOTO, JOSEPH</t>
  </si>
  <si>
    <t>KUBICEK, ANDREA</t>
  </si>
  <si>
    <t>WOOD, SHEA</t>
  </si>
  <si>
    <t>FIXLER, BROOKE</t>
  </si>
  <si>
    <t>BEAVERS, ANDREW</t>
  </si>
  <si>
    <t>DODSON, DANA</t>
  </si>
  <si>
    <t>SABIN, GABRIELLA</t>
  </si>
  <si>
    <t>GARCIA, GUADALUPE</t>
  </si>
  <si>
    <t>ABBOTT, CHELSEY</t>
  </si>
  <si>
    <t>INSELL, CHRISTOPHER</t>
  </si>
  <si>
    <t>HENTHORN, ZANE</t>
  </si>
  <si>
    <t>PULLEY, SAMANTHA</t>
  </si>
  <si>
    <t>UBBEN, KATIE</t>
  </si>
  <si>
    <t>LAMBERT, CLINTON</t>
  </si>
  <si>
    <t>HUMPHREY, ELIZABETH</t>
  </si>
  <si>
    <t>POTEET, ABBY</t>
  </si>
  <si>
    <t>BOLTE, BRIANNA</t>
  </si>
  <si>
    <t>CREEK, CIERRA</t>
  </si>
  <si>
    <t>WOOTEN, YVONNE</t>
  </si>
  <si>
    <t>BURGE, HANNA</t>
  </si>
  <si>
    <t>VANDEVER, DYLAN</t>
  </si>
  <si>
    <t>BAKEWELL, EMILY</t>
  </si>
  <si>
    <t>SKROCKI, AIRIE</t>
  </si>
  <si>
    <t>ARNOLD, BRANDIE</t>
  </si>
  <si>
    <t>NEWTON, ELIZABETH</t>
  </si>
  <si>
    <t>RICKETTS, PATRICIA</t>
  </si>
  <si>
    <t>DELEON, BRANDI</t>
  </si>
  <si>
    <t>HAYES, AUSTIN</t>
  </si>
  <si>
    <t>REEVES, ALICIA</t>
  </si>
  <si>
    <t>GRAY, LAUREN</t>
  </si>
  <si>
    <t>UPDEGROVE, BRITTANY</t>
  </si>
  <si>
    <t>EAST, JODI</t>
  </si>
  <si>
    <t>MASON, LINDSEY</t>
  </si>
  <si>
    <t>GORDON, DEIRDRA</t>
  </si>
  <si>
    <t>THEISEN, LYDIA</t>
  </si>
  <si>
    <t>FOOTE, RAYMOND</t>
  </si>
  <si>
    <t>BROWN, ALEXANDRA</t>
  </si>
  <si>
    <t>HUTCHENS, SEAN</t>
  </si>
  <si>
    <t>KUMARAN, MUTHU</t>
  </si>
  <si>
    <t>CORDOVA, JAMES</t>
  </si>
  <si>
    <t>AHMED, HIBA</t>
  </si>
  <si>
    <t>WILLOWS, BROOKE</t>
  </si>
  <si>
    <t>PORTA, JENNIFER</t>
  </si>
  <si>
    <t>KENNEDY, KATHRYN</t>
  </si>
  <si>
    <t>ITTLEMAN, BENJAMIN</t>
  </si>
  <si>
    <t>MALKAWI, ABDALLAH</t>
  </si>
  <si>
    <t>FIEDOREK, DANIEL</t>
  </si>
  <si>
    <t>PARASHAR, NIRBHAY</t>
  </si>
  <si>
    <t>YANG, YANG</t>
  </si>
  <si>
    <t>VIPPARTHY, SHARATH</t>
  </si>
  <si>
    <t>OZA, SAMEER</t>
  </si>
  <si>
    <t>JOHNSON, CHRISTEN</t>
  </si>
  <si>
    <t>CALAWAY, SHALYN</t>
  </si>
  <si>
    <t>BALFANZ, EMMA</t>
  </si>
  <si>
    <t>TAYLOR, KAITLYN</t>
  </si>
  <si>
    <t>PURDY, MACKENZIE</t>
  </si>
  <si>
    <t>STREBECK, RYAN</t>
  </si>
  <si>
    <t>HY, MARIA</t>
  </si>
  <si>
    <t>CONNER, MARCIA</t>
  </si>
  <si>
    <t>STANLEY, RUSSELL</t>
  </si>
  <si>
    <t>MAUTNER, AMBER</t>
  </si>
  <si>
    <t>AMAYA, SHARAI</t>
  </si>
  <si>
    <t>RHEE, JULIE</t>
  </si>
  <si>
    <t>YIBIRIN PELUFFO, EDMUNDO</t>
  </si>
  <si>
    <t>WATERS, ANTAY</t>
  </si>
  <si>
    <t>ASKINS, SARA</t>
  </si>
  <si>
    <t>TUTER-SPITZLEY, SHANON</t>
  </si>
  <si>
    <t>HILTON, CATHERINE</t>
  </si>
  <si>
    <t>FIXLER, JOSEPH</t>
  </si>
  <si>
    <t>MAGARELLI MD PHD, PAUL</t>
  </si>
  <si>
    <t>CAIN, KRISTEN</t>
  </si>
  <si>
    <t>PEDROSO, JASMINE</t>
  </si>
  <si>
    <t>MABINI, CHRISTOPHER-ARMAND</t>
  </si>
  <si>
    <t>GAYLE, JOVAN</t>
  </si>
  <si>
    <t>ANKIREDDYPALLI, ANVITHA</t>
  </si>
  <si>
    <t>SMITH, WHITNEY</t>
  </si>
  <si>
    <t>EL AYASH, HEBA</t>
  </si>
  <si>
    <t>CRAIN, EMILY</t>
  </si>
  <si>
    <t>MOUSA, MOHAMMAD</t>
  </si>
  <si>
    <t>MID-DELTA HEALTH SYSTEMS, INC.</t>
  </si>
  <si>
    <t>ACCESS MEDICAL CLINIC ARKANSAS LLC</t>
  </si>
  <si>
    <t>SEVIER COUNTY MEDICAL CENTER</t>
  </si>
  <si>
    <t>SOUTH ARKANSAS REGIONAL HOSPITAL LLC</t>
  </si>
  <si>
    <t>SONNTAG, CHRISTOPHER</t>
  </si>
  <si>
    <t>KAMBHATLA, SOUMYASRI</t>
  </si>
  <si>
    <t>GONZALEZ, DANIEL</t>
  </si>
  <si>
    <t>HENRY, WILLIAM</t>
  </si>
  <si>
    <t>HANNA, MYRNA</t>
  </si>
  <si>
    <t>NEWTON, MORGAN</t>
  </si>
  <si>
    <t>KENNEDY, ALICE</t>
  </si>
  <si>
    <t>WILSON, BRADEN</t>
  </si>
  <si>
    <t>NUGENT, JOEY</t>
  </si>
  <si>
    <t>FAIRCHILD, HANNAH</t>
  </si>
  <si>
    <t>GILLETTE, WESLEY</t>
  </si>
  <si>
    <t>HUBBELL, MARGARET</t>
  </si>
  <si>
    <t>STANTON, COLE</t>
  </si>
  <si>
    <t>BLUBAUM, ALEKSANDAR</t>
  </si>
  <si>
    <t>LANGFORD, BRIAN</t>
  </si>
  <si>
    <t>HANBERRY, JORDAN</t>
  </si>
  <si>
    <t>GREEN, NATHAN</t>
  </si>
  <si>
    <t>SU, RUTHIE</t>
  </si>
  <si>
    <t>FREEMAN, ERIN</t>
  </si>
  <si>
    <t>BROWN, RACHELLE</t>
  </si>
  <si>
    <t>ROSS, JOHN</t>
  </si>
  <si>
    <t>RICKETTS, ANDREW</t>
  </si>
  <si>
    <t>VIEGAS, CRYSTAL</t>
  </si>
  <si>
    <t>JOHNSON, VEDNA</t>
  </si>
  <si>
    <t>MENDES, ANNA</t>
  </si>
  <si>
    <t>NORD, NATALIE</t>
  </si>
  <si>
    <t>OLIVER, ALEXANDRIA</t>
  </si>
  <si>
    <t>FLEEMAN, CARL</t>
  </si>
  <si>
    <t>GIBSON, KURT</t>
  </si>
  <si>
    <t>COTO MEJIA, NINA</t>
  </si>
  <si>
    <t>PEKAR, ZACHARY</t>
  </si>
  <si>
    <t>DMYTRUK, VYACHESLAV</t>
  </si>
  <si>
    <t>GOODSON, KAYLA</t>
  </si>
  <si>
    <t>SIZEMORE, RACHEL</t>
  </si>
  <si>
    <t>MARSH, JORDAN</t>
  </si>
  <si>
    <t>SCHIRO, COURTNEY</t>
  </si>
  <si>
    <t>WALSH, MARIE</t>
  </si>
  <si>
    <t>MORRIS, ADRIENNE</t>
  </si>
  <si>
    <t>ARNOULT, EMILY</t>
  </si>
  <si>
    <t>JOHNSON, LEAH</t>
  </si>
  <si>
    <t>BOZARTH, CHANDLER</t>
  </si>
  <si>
    <t>SPAULDING, PENNY</t>
  </si>
  <si>
    <t>WINKLER, CALEB</t>
  </si>
  <si>
    <t>HADDOCK, TATYANA</t>
  </si>
  <si>
    <t>SAFARI, ADAM</t>
  </si>
  <si>
    <t>ROBERTS, LAURA</t>
  </si>
  <si>
    <t>MCDONALD, DAVID</t>
  </si>
  <si>
    <t>WALKER, MICHELLE</t>
  </si>
  <si>
    <t>GORMAN, KRISTI</t>
  </si>
  <si>
    <t>LOFTIS, LISA</t>
  </si>
  <si>
    <t>GRIFFIN, FRANK</t>
  </si>
  <si>
    <t>OKOLI, ASHLY</t>
  </si>
  <si>
    <t>COOPER, JARED</t>
  </si>
  <si>
    <t>BOSKUS, JULIANNA</t>
  </si>
  <si>
    <t>SWANN, SAMUEL</t>
  </si>
  <si>
    <t>SWIDERSKI, BRITTANY</t>
  </si>
  <si>
    <t>JAFARIAN, JOHN</t>
  </si>
  <si>
    <t>RICKER, KAREN</t>
  </si>
  <si>
    <t>ROBERTS, DREW</t>
  </si>
  <si>
    <t>GOGGANS, GREGORY</t>
  </si>
  <si>
    <t>CAVE CITY PHARMACY, PLLC</t>
  </si>
  <si>
    <t>PHARMCARE USA OF MEMPHIS, INC</t>
  </si>
  <si>
    <t>HNK PHARM, PLLC</t>
  </si>
  <si>
    <t>SEMO DRUGS INC</t>
  </si>
  <si>
    <t>CLARKS FAMILY PHARMACY</t>
  </si>
  <si>
    <t>DAMASCUS RX, LLC</t>
  </si>
  <si>
    <t>UROLOGY AMERICA MSO,LLC</t>
  </si>
  <si>
    <t>New Provder</t>
  </si>
  <si>
    <t>Majority vote</t>
  </si>
  <si>
    <t>(DEACTIVATED NPI)</t>
  </si>
  <si>
    <t>Deceased</t>
  </si>
  <si>
    <t>Deactivated</t>
  </si>
  <si>
    <t>New Provder, New Provder</t>
  </si>
  <si>
    <t>Adult Hospitalist. https://www.stbernards.info/providers/profile/trey-pritchett/</t>
  </si>
  <si>
    <t>Works in Ortho at UAMS. https://www.linkedin.com/in/claudia-helbig-21039213b</t>
  </si>
  <si>
    <t>ADULT &amp; TEEN CHALLENGE OF ARKANSAS ()</t>
  </si>
  <si>
    <t>ACTSS A COMMON THREAD SUPPORTIVE SERVICES ()</t>
  </si>
  <si>
    <t>Nurse prac, not doing BH. NPPES lists at correctional unit.</t>
  </si>
  <si>
    <t>Not on previous list, New Provder</t>
  </si>
  <si>
    <t>Nurse prac, not doing BH</t>
  </si>
  <si>
    <t>Nurse prac, Access Medical</t>
  </si>
  <si>
    <t>Licensed Revoked</t>
  </si>
  <si>
    <t>LPC licesne P1512135 shows active per ABECMFT</t>
  </si>
  <si>
    <t>Nurse Prac, Access Medical</t>
  </si>
  <si>
    <t>Nurse prac, family med practice location</t>
  </si>
  <si>
    <t>Speech Language Pathologist, not BH</t>
  </si>
  <si>
    <t>Physical Therapy, not BH</t>
  </si>
  <si>
    <t>Nurse prac, not doing BH https://www.archildrens.org/find-a-doctor/Laura-Jones-K32Q0VS1RX</t>
  </si>
  <si>
    <t>Speech and Physical Therapy, not BH</t>
  </si>
  <si>
    <t>Nephrologist, not oncologist. No longer in Fort Smith according to Mercy website</t>
  </si>
  <si>
    <t>BROWN, GARRY</t>
  </si>
  <si>
    <t xml:space="preserve">Bolivar, MO is outside service area. </t>
  </si>
  <si>
    <t>New provider, provider's NPI not on previous list, New Provder</t>
  </si>
  <si>
    <t>PODDAR, NISHANT</t>
  </si>
  <si>
    <t>Bollwin, MO is outside service area. https://www.mercy.net/practice/mercy-oncology-and-hematology-clayton-clarkson/</t>
  </si>
  <si>
    <t>Moved out of state. https://www.care.piedmont.org/provider/Christopher+J+Jean-Louis/1923341</t>
  </si>
  <si>
    <t>MAGNOLIA SQUARE NURSING AND REHABILITATION CENTER LLC ()</t>
  </si>
  <si>
    <t>Changed Ownership. New GNPI 1306394077</t>
  </si>
  <si>
    <t>Kidney and other transplant specialist, not cardiology https://uamshealth.com/provider/raj-b-patel/.</t>
  </si>
  <si>
    <t>Kidney and other transplant specialist, not cardiology  https://news.uams.edu/2023/01/10/transplant-surgeon-martha-estrada-m-d-joins-uams/</t>
  </si>
  <si>
    <t>Kidney and other transplant specialist, not cardiology  https://uamshealth.com/provider/lyle-j-burdine/</t>
  </si>
  <si>
    <t>Gastroenterologist  https://uamshealth.com/provider/matthew-g-deneke/</t>
  </si>
  <si>
    <t>Liver transplant specialist, not cardiology. https://uamshealth.com/provider/emmanouil-giorgakis/</t>
  </si>
  <si>
    <t>Vascular and interventional radiology specialist, not cardiology. https://www.lrfamilydentalcare.com/dr-michael-enns.html</t>
  </si>
  <si>
    <t>Out of Area. https://www.dallaspacc.com/drhumayunanjum/</t>
  </si>
  <si>
    <t>Per NPPES site, prov in Dallas TX, Bowie Co which is contiguous.</t>
  </si>
  <si>
    <t>Border state - through far</t>
  </si>
  <si>
    <t>Out of Area and not a pulmonologist. https://www.mercy.net/doctor/michael-jay-cox-md/</t>
  </si>
  <si>
    <t>Not a Pulmonologist, Anesthesiology. https://www.archildrens.org/find-a-doctor/Jed-Kinnick-008YK7K96</t>
  </si>
  <si>
    <t>Out of Area. https://www.christushealth.org/find-a-doctor/donghong-zhang-77435</t>
  </si>
  <si>
    <t>Provider left area. https://www.riversideonline.com/find-a-doctor/find-a-doctor-results/dikshya-sharma</t>
  </si>
  <si>
    <t>Provider left area. https://www.mercy.net/doctor/michael-scott-plisco-md/</t>
  </si>
  <si>
    <t>New provider, provider's NPI not on previous list</t>
  </si>
  <si>
    <t>PLACZEK, ANDREA</t>
  </si>
  <si>
    <t>Per NPPES site, radiology/diagnostic radiology</t>
  </si>
  <si>
    <t>MID-DELTA HEALTH SYSTEMS, INC. ()</t>
  </si>
  <si>
    <t>ST FRANCIS HOUSE NWA, INC (COMMUNITY CLINIC FAYETTEVILLE HIGH SCHOOL)</t>
  </si>
  <si>
    <t>ACCESS MEDICAL CLINIC ARKANSAS LLC ()</t>
  </si>
  <si>
    <t>Substance Use Rehab Facility, not Hospital. Belongs in C030, not C160</t>
  </si>
  <si>
    <t>SEVIER COUNTY MEDICAL CENTER ()</t>
  </si>
  <si>
    <t>PINEY RIDGE TREATMENT CENTER, LLC ()</t>
  </si>
  <si>
    <t>RTF taxonomy. Belongs in C030 not C160</t>
  </si>
  <si>
    <t>RTF, not Hospital based on taxonomy. Belongs in C030 not C160.</t>
  </si>
  <si>
    <t>SOUTH ARKANSAS REGIONAL HOSPITAL LLC ()</t>
  </si>
  <si>
    <t>Out of Area. https://novarheum.com/bio.html</t>
  </si>
  <si>
    <t>Out of Area. https://www.linkedin.com/in/anjali-patwardhan-11631757</t>
  </si>
  <si>
    <t>Plastic Surgeon, not  vision related specialist. https://www.majewskiplasticsurgery.com/dr-w-tomasz-majewski</t>
  </si>
  <si>
    <t>Out of Area</t>
  </si>
  <si>
    <t>Out of Area. https://providers.hf.org/provider/Matei+Andreoiu/930188</t>
  </si>
  <si>
    <t>Out of Area. https://www.uchealth.com/en/provider-profiles/kamel-mohamed-1699903740</t>
  </si>
  <si>
    <t>License Expired</t>
  </si>
  <si>
    <t>Per NPPES site, licensed in TX</t>
  </si>
  <si>
    <t>Provider is retired</t>
  </si>
  <si>
    <t>New Provider, New Provder</t>
  </si>
  <si>
    <t>Per NPPES site, prov licensed in AR.</t>
  </si>
  <si>
    <t>PTNP process exists because the NPI Registry is not perfect</t>
  </si>
  <si>
    <t>DR. SHIRLEY REID, DDS ()</t>
  </si>
  <si>
    <t>Incorrect NPI, not an individual NPI</t>
  </si>
  <si>
    <t xml:space="preserve">NPI Registry check tallies </t>
  </si>
  <si>
    <t>Incorrect Name</t>
  </si>
  <si>
    <t>Name is a correct match with NPI, Per NPPES site, prov name correct.</t>
  </si>
  <si>
    <t>T SCOTT ALLEN DDS MS ()</t>
  </si>
  <si>
    <t>NPI Listed as not in service</t>
  </si>
  <si>
    <t>NPI is correct</t>
  </si>
  <si>
    <t>Outside Service Area</t>
  </si>
  <si>
    <t>DANNY R. COOK, D.D.S., P.A. ()</t>
  </si>
  <si>
    <t>COOK, DANNY</t>
  </si>
  <si>
    <t>RONALD N HESSER DDS PC ()</t>
  </si>
  <si>
    <t>PATRICK P MOSELEY FAMILY DENTISTRY ()</t>
  </si>
  <si>
    <t>Per NPPES site, prov active</t>
  </si>
  <si>
    <t>Name is correct, Per NPPES site, correct</t>
  </si>
  <si>
    <t>SAOMS INC. ()</t>
  </si>
  <si>
    <t>FORREST L MOUDY DDS PA INC (FORREST L MOUDY DDS)</t>
  </si>
  <si>
    <t>MICHAEL W. COOPER, D.D.S., P.A. ()</t>
  </si>
  <si>
    <t>CENTRAL ARKANSAS DENTAL ASSOCIATES, INC. ()</t>
  </si>
  <si>
    <t>Provider retired</t>
  </si>
  <si>
    <t>Objector reason contradictory</t>
  </si>
  <si>
    <t>C. MICHAEL WISE DDS PA ()</t>
  </si>
  <si>
    <t>CARMELLA M. KNOERNSCHILD, DDS, PA (CARMELLA MONTEZ)</t>
  </si>
  <si>
    <t>Within Service Area, Per NPPS site, prov licensed in Desoto County - contiguous.</t>
  </si>
  <si>
    <t>J R BERRY DDS PC ()</t>
  </si>
  <si>
    <t>DR MITCHELL R HARPER ()</t>
  </si>
  <si>
    <t>Per NPPES site, prov licensed in AR</t>
  </si>
  <si>
    <t>Within Service Area, Per NPPES site, prov licensed in AR</t>
  </si>
  <si>
    <t>Within Service Area, Per NPPES site, prov name correct.</t>
  </si>
  <si>
    <t>DR. CHESTER V. CLARK, JR. D.D.S., M.P.H., P.C. (AMITY GENTLE DENTAL)</t>
  </si>
  <si>
    <t>Provider is  retired</t>
  </si>
  <si>
    <t>2023 Round 2 Finalized List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</si>
</sst>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Calibri"/>
      <family val="2"/>
      <scheme val="minor"/>
    </font>
    <font>
      <b/>
      <u/>
      <sz val="20"/>
      <color theme="1"/>
      <name val="Calibri"/>
      <family val="2"/>
      <scheme val="minor"/>
    </font>
    <font>
      <b/>
      <u/>
      <sz val="18"/>
      <color theme="0"/>
      <name val="Calibri"/>
      <family val="2"/>
      <scheme val="minor"/>
    </font>
    <font>
      <b/>
      <u/>
      <sz val="11"/>
      <color theme="1"/>
      <name val="Calibri"/>
      <family val="2"/>
      <scheme val="minor"/>
    </font>
    <font>
      <sz val="11"/>
      <color rgb="FF3F3F76"/>
      <name val="Calibri"/>
      <family val="2"/>
      <scheme val="minor"/>
    </font>
    <font>
      <b/>
      <sz val="11"/>
      <color theme="0"/>
      <name val="Calibri"/>
      <family val="2"/>
      <scheme val="minor"/>
    </font>
    <font>
      <b/>
      <sz val="14"/>
      <color theme="1"/>
      <name val="Calibri"/>
      <family val="2"/>
      <scheme val="minor"/>
    </font>
    <font>
      <b/>
      <i/>
      <sz val="14"/>
      <color theme="1"/>
      <name val="Calibri"/>
      <family val="2"/>
      <scheme val="minor"/>
    </font>
    <font>
      <b/>
      <sz val="14"/>
      <color theme="9"/>
      <name val="Calibri"/>
      <family val="2"/>
      <scheme val="minor"/>
    </font>
    <font>
      <b/>
      <sz val="14"/>
      <name val="Calibri"/>
      <family val="2"/>
      <scheme val="minor"/>
    </font>
    <font>
      <b/>
      <sz val="14"/>
      <color theme="5"/>
      <name val="Calibri"/>
      <family val="2"/>
      <scheme val="minor"/>
    </font>
  </fonts>
  <fills count="6">
    <fill>
      <patternFill patternType="none"/>
    </fill>
    <fill>
      <patternFill patternType="gray125"/>
    </fill>
    <fill>
      <patternFill patternType="solid">
        <fgColor rgb="FF00B0F0"/>
        <bgColor indexed="64"/>
      </patternFill>
    </fill>
    <fill>
      <patternFill patternType="solid">
        <fgColor rgb="FFFFCC99"/>
      </patternFill>
    </fill>
    <fill>
      <patternFill patternType="solid">
        <fgColor theme="8"/>
        <bgColor indexed="64"/>
      </patternFill>
    </fill>
    <fill>
      <patternFill patternType="solid">
        <fgColor theme="5"/>
        <bgColor indexed="64"/>
      </patternFill>
    </fill>
  </fills>
  <borders count="17">
    <border>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rgb="FF7F7F7F"/>
      </left>
      <right style="thin">
        <color rgb="FF7F7F7F"/>
      </right>
      <top style="thin">
        <color rgb="FF7F7F7F"/>
      </top>
      <bottom style="thin">
        <color rgb="FF7F7F7F"/>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4" fillId="3" borderId="12" applyNumberFormat="0" applyAlignment="0" applyProtection="0"/>
  </cellStyleXfs>
  <cellXfs count="34">
    <xf numFmtId="0" fontId="0" fillId="0" borderId="0" xfId="0"/>
    <xf numFmtId="0" fontId="0" fillId="0" borderId="0" xfId="0" applyAlignment="1">
      <alignment horizontal="left"/>
    </xf>
    <xf numFmtId="0" fontId="0" fillId="0" borderId="0" xfId="0" applyAlignment="1">
      <alignment vertical="center"/>
    </xf>
    <xf numFmtId="0" fontId="0" fillId="0" borderId="1" xfId="0" applyBorder="1" applyAlignment="1">
      <alignment vertical="center"/>
    </xf>
    <xf numFmtId="0" fontId="0" fillId="0" borderId="2" xfId="0" applyBorder="1" applyAlignment="1">
      <alignment vertical="center"/>
    </xf>
    <xf numFmtId="0" fontId="0" fillId="0" borderId="3" xfId="0" applyBorder="1" applyAlignment="1">
      <alignment vertical="center"/>
    </xf>
    <xf numFmtId="0" fontId="0" fillId="0" borderId="4" xfId="0" applyBorder="1" applyAlignment="1">
      <alignment vertical="center"/>
    </xf>
    <xf numFmtId="0" fontId="0" fillId="0" borderId="5" xfId="0" applyBorder="1" applyAlignment="1">
      <alignment vertical="center"/>
    </xf>
    <xf numFmtId="0" fontId="0" fillId="0" borderId="0" xfId="0" applyBorder="1" applyAlignment="1">
      <alignment vertical="center"/>
    </xf>
    <xf numFmtId="0" fontId="0" fillId="0" borderId="9" xfId="0" applyBorder="1" applyAlignment="1">
      <alignment vertical="center"/>
    </xf>
    <xf numFmtId="0" fontId="0" fillId="0" borderId="10" xfId="0" applyBorder="1" applyAlignment="1">
      <alignment vertical="center"/>
    </xf>
    <xf numFmtId="0" fontId="0" fillId="0" borderId="11" xfId="0" applyBorder="1" applyAlignment="1">
      <alignment vertical="center"/>
    </xf>
    <xf numFmtId="0" fontId="5" fillId="4" borderId="13" xfId="0" applyFont="1" applyFill="1" applyBorder="1" applyAlignment="1">
      <alignment vertical="top" wrapText="1"/>
    </xf>
    <xf numFmtId="0" fontId="5" fillId="4" borderId="14" xfId="0" applyFont="1" applyFill="1" applyBorder="1" applyAlignment="1">
      <alignment vertical="top" wrapText="1"/>
    </xf>
    <xf numFmtId="0" fontId="5" fillId="4" borderId="15" xfId="0" applyFont="1" applyFill="1" applyBorder="1" applyAlignment="1">
      <alignment vertical="top" wrapText="1"/>
    </xf>
    <xf numFmtId="0" fontId="0" fillId="0" borderId="0" xfId="0" applyAlignment="1">
      <alignment vertical="top" wrapText="1"/>
    </xf>
    <xf numFmtId="0" fontId="0" fillId="0" borderId="0" xfId="0" applyAlignment="1">
      <alignment wrapText="1"/>
    </xf>
    <xf numFmtId="0" fontId="5" fillId="5" borderId="14" xfId="1" applyFont="1" applyFill="1" applyBorder="1" applyAlignment="1">
      <alignment vertical="top" wrapText="1"/>
    </xf>
    <xf numFmtId="0" fontId="0" fillId="0" borderId="16" xfId="0" applyBorder="1"/>
    <xf numFmtId="0" fontId="0" fillId="0" borderId="0" xfId="0" applyNumberFormat="1" applyAlignment="1">
      <alignment horizontal="left"/>
    </xf>
    <xf numFmtId="0" fontId="1" fillId="0" borderId="0" xfId="0" applyFont="1" applyBorder="1" applyAlignment="1">
      <alignment horizontal="center" vertical="center"/>
    </xf>
    <xf numFmtId="0" fontId="2" fillId="2" borderId="6" xfId="0" applyFont="1" applyFill="1" applyBorder="1" applyAlignment="1">
      <alignment horizontal="left" vertical="center"/>
    </xf>
    <xf numFmtId="0" fontId="2" fillId="2" borderId="7" xfId="0" applyFont="1" applyFill="1" applyBorder="1" applyAlignment="1">
      <alignment horizontal="left" vertical="center"/>
    </xf>
    <xf numFmtId="0" fontId="2" fillId="2" borderId="8" xfId="0" applyFont="1" applyFill="1" applyBorder="1" applyAlignment="1">
      <alignment horizontal="left" vertical="center"/>
    </xf>
    <xf numFmtId="0" fontId="0" fillId="0" borderId="1" xfId="0" applyBorder="1" applyAlignment="1">
      <alignment horizontal="left" vertical="center" wrapText="1"/>
    </xf>
    <xf numFmtId="0" fontId="0" fillId="0" borderId="2" xfId="0" applyBorder="1" applyAlignment="1">
      <alignment horizontal="left" vertical="center" wrapText="1"/>
    </xf>
    <xf numFmtId="0" fontId="0" fillId="0" borderId="3" xfId="0" applyBorder="1" applyAlignment="1">
      <alignment horizontal="left" vertical="center" wrapText="1"/>
    </xf>
    <xf numFmtId="0" fontId="0" fillId="0" borderId="4" xfId="0" applyBorder="1" applyAlignment="1">
      <alignment horizontal="left" vertical="center" wrapText="1"/>
    </xf>
    <xf numFmtId="0" fontId="0" fillId="0" borderId="0" xfId="0" applyBorder="1" applyAlignment="1">
      <alignment horizontal="left" vertical="center" wrapText="1"/>
    </xf>
    <xf numFmtId="0" fontId="0" fillId="0" borderId="5" xfId="0" applyBorder="1" applyAlignment="1">
      <alignment horizontal="left" vertical="center" wrapText="1"/>
    </xf>
    <xf numFmtId="0" fontId="0" fillId="0" borderId="9" xfId="0" applyBorder="1" applyAlignment="1">
      <alignment horizontal="left" vertical="center" wrapText="1"/>
    </xf>
    <xf numFmtId="0" fontId="0" fillId="0" borderId="10" xfId="0" applyBorder="1" applyAlignment="1">
      <alignment horizontal="left" vertical="center" wrapText="1"/>
    </xf>
    <xf numFmtId="0" fontId="0" fillId="0" borderId="11" xfId="0" applyBorder="1" applyAlignment="1">
      <alignment horizontal="left" vertical="center" wrapText="1"/>
    </xf>
    <xf numFmtId="0" fontId="6" fillId="0" borderId="0" xfId="0" applyFont="1" applyAlignment="1">
      <alignment horizontal="left"/>
    </xf>
  </cellXfs>
  <cellStyles count="2">
    <cellStyle name="Input" xfId="1" builtinId="20"/>
    <cellStyle name="Normal" xfId="0" builtinId="0"/>
  </cellStyles>
  <dxfs count="18">
    <dxf>
      <numFmt numFmtId="0" formatCode="General"/>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left style="thin">
          <color indexed="64"/>
        </left>
        <right style="thin">
          <color indexed="64"/>
        </right>
        <top style="thin">
          <color indexed="64"/>
        </top>
        <bottom style="thin">
          <color indexed="64"/>
        </bottom>
        <vertical/>
        <horizontal/>
      </border>
    </dxf>
    <dxf>
      <border diagonalUp="0" diagonalDown="0" outline="0">
        <left/>
        <right/>
        <top style="thin">
          <color indexed="64"/>
        </top>
        <bottom style="thin">
          <color indexed="64"/>
        </bottom>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8"/>
        </patternFill>
      </fill>
      <alignment horizontal="general" vertical="top" textRotation="0" wrapText="1" indent="0" justifyLastLine="0" shrinkToFit="0" readingOrder="0"/>
      <border diagonalUp="0" diagonalDown="0" outline="0">
        <left style="thin">
          <color indexed="64"/>
        </left>
        <right style="thin">
          <color indexed="64"/>
        </right>
        <top/>
        <bottom/>
      </border>
    </dxf>
    <dxf>
      <numFmt numFmtId="0" formatCode="General"/>
      <alignment horizontal="left"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RHLD/Network%20Adequacy/PY2021-B%20PTNP%20Process%20Docs/Phase%20I-A%20(NPI%20Lists)/200_Initial_Provider_Type-NPI_Poo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Provider Classifications"/>
      <sheetName val="Removals"/>
      <sheetName val="TaxonomyMap"/>
      <sheetName val="Prior Round Dispositions"/>
    </sheetNames>
    <sheetDataSet>
      <sheetData sheetId="0" refreshError="1"/>
      <sheetData sheetId="1" refreshError="1"/>
      <sheetData sheetId="2" refreshError="1"/>
      <sheetData sheetId="3">
        <row r="1">
          <cell r="A1" t="str">
            <v>C010</v>
          </cell>
          <cell r="B1" t="str">
            <v>C020</v>
          </cell>
          <cell r="C1" t="str">
            <v>C030</v>
          </cell>
          <cell r="D1" t="str">
            <v>C040</v>
          </cell>
          <cell r="E1" t="str">
            <v>C050</v>
          </cell>
          <cell r="F1" t="str">
            <v>C060</v>
          </cell>
          <cell r="G1" t="str">
            <v>C070</v>
          </cell>
          <cell r="H1" t="str">
            <v>C080</v>
          </cell>
          <cell r="I1" t="str">
            <v>C090</v>
          </cell>
          <cell r="J1" t="str">
            <v>C100</v>
          </cell>
          <cell r="K1" t="str">
            <v>C110</v>
          </cell>
          <cell r="L1" t="str">
            <v>C120</v>
          </cell>
          <cell r="M1" t="str">
            <v>C130</v>
          </cell>
          <cell r="N1" t="str">
            <v>C140</v>
          </cell>
          <cell r="O1" t="str">
            <v>C150</v>
          </cell>
          <cell r="P1" t="str">
            <v>C160</v>
          </cell>
          <cell r="Q1" t="str">
            <v>C170</v>
          </cell>
          <cell r="R1" t="str">
            <v>C180</v>
          </cell>
          <cell r="S1" t="str">
            <v>C200</v>
          </cell>
          <cell r="T1" t="str">
            <v>C210</v>
          </cell>
          <cell r="U1" t="str">
            <v>C220</v>
          </cell>
          <cell r="V1" t="str">
            <v>C230</v>
          </cell>
          <cell r="W1" t="str">
            <v>C240</v>
          </cell>
          <cell r="X1" t="str">
            <v>C250</v>
          </cell>
          <cell r="Y1" t="str">
            <v>C260</v>
          </cell>
          <cell r="Z1" t="str">
            <v>C280</v>
          </cell>
        </row>
      </sheetData>
      <sheetData sheetId="4"/>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e2" displayName="Table2" ref="A1:E32133" totalsRowShown="0">
  <autoFilter ref="A1:E32133" xr:uid="{00000000-0009-0000-0100-000002000000}"/>
  <tableColumns count="5">
    <tableColumn id="1" xr3:uid="{00000000-0010-0000-0000-000001000000}" name="Criteria"/>
    <tableColumn id="2" xr3:uid="{00000000-0010-0000-0000-000002000000}" name="Description"/>
    <tableColumn id="5" xr3:uid="{00000000-0010-0000-0000-000005000000}" name="Source"/>
    <tableColumn id="3" xr3:uid="{00000000-0010-0000-0000-000003000000}" name="NPI" dataDxfId="17"/>
    <tableColumn id="4" xr3:uid="{00000000-0010-0000-0000-000004000000}" name="Name"/>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e1" displayName="Table1" ref="A2:O2120" totalsRowShown="0" headerRowDxfId="16" headerRowBorderDxfId="15" tableBorderDxfId="14" totalsRowBorderDxfId="13">
  <autoFilter ref="A2:O2120" xr:uid="{00000000-0009-0000-0100-000001000000}"/>
  <tableColumns count="15">
    <tableColumn id="1" xr3:uid="{00000000-0010-0000-0100-000001000000}" name="Criteria" dataDxfId="12"/>
    <tableColumn id="2" xr3:uid="{00000000-0010-0000-0100-000002000000}" name="Description" dataDxfId="11"/>
    <tableColumn id="3" xr3:uid="{00000000-0010-0000-0100-000003000000}" name="NPI" dataDxfId="10"/>
    <tableColumn id="4" xr3:uid="{00000000-0010-0000-0100-000004000000}" name="Action" dataDxfId="9"/>
    <tableColumn id="5" xr3:uid="{00000000-0010-0000-0100-000005000000}" name="CountRequesting" dataDxfId="8"/>
    <tableColumn id="6" xr3:uid="{00000000-0010-0000-0100-000006000000}" name="CountNewAction" dataDxfId="7"/>
    <tableColumn id="9" xr3:uid="{00000000-0010-0000-0100-000009000000}" name="CountAffirm" dataDxfId="6"/>
    <tableColumn id="7" xr3:uid="{00000000-0010-0000-0100-000007000000}" name="CountObject" dataDxfId="5"/>
    <tableColumn id="8" xr3:uid="{00000000-0010-0000-0100-000008000000}" name="CountContradictory" dataDxfId="4"/>
    <tableColumn id="10" xr3:uid="{00000000-0010-0000-0100-00000A000000}" name="Feedback Reason" dataDxfId="3"/>
    <tableColumn id="11" xr3:uid="{00000000-0010-0000-0100-00000B000000}" name="Agree Reason" dataDxfId="2"/>
    <tableColumn id="12" xr3:uid="{00000000-0010-0000-0100-00000C000000}" name="Object Reason" dataDxfId="1"/>
    <tableColumn id="13" xr3:uid="{00000000-0010-0000-0100-00000D000000}" name="Count for Action" dataDxfId="0"/>
    <tableColumn id="14" xr3:uid="{00000000-0010-0000-0100-00000E000000}" name="Accept Action?"/>
    <tableColumn id="15" xr3:uid="{00000000-0010-0000-0100-00000F000000}" name="Reason behind AID disposition"/>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P11"/>
  <sheetViews>
    <sheetView showGridLines="0" tabSelected="1" zoomScaleNormal="100" workbookViewId="0">
      <selection activeCell="C6" sqref="C6:O10"/>
    </sheetView>
  </sheetViews>
  <sheetFormatPr defaultColWidth="9.140625" defaultRowHeight="15" x14ac:dyDescent="0.25"/>
  <cols>
    <col min="1" max="7" width="9.140625" style="2"/>
    <col min="8" max="8" width="9.140625" style="2" customWidth="1"/>
    <col min="9" max="14" width="9.140625" style="2"/>
    <col min="15" max="15" width="24.85546875" style="2" customWidth="1"/>
    <col min="16" max="16384" width="9.140625" style="2"/>
  </cols>
  <sheetData>
    <row r="1" spans="2:16" thickBot="1" x14ac:dyDescent="0.35"/>
    <row r="2" spans="2:16" ht="14.45" x14ac:dyDescent="0.3">
      <c r="B2" s="3"/>
      <c r="C2" s="4"/>
      <c r="D2" s="4"/>
      <c r="E2" s="4"/>
      <c r="F2" s="4"/>
      <c r="G2" s="4"/>
      <c r="H2" s="4"/>
      <c r="I2" s="4"/>
      <c r="J2" s="4"/>
      <c r="K2" s="4"/>
      <c r="L2" s="4"/>
      <c r="M2" s="4"/>
      <c r="N2" s="4"/>
      <c r="O2" s="4"/>
      <c r="P2" s="5"/>
    </row>
    <row r="3" spans="2:16" ht="25.9" x14ac:dyDescent="0.3">
      <c r="B3" s="6"/>
      <c r="C3" s="20" t="s">
        <v>22878</v>
      </c>
      <c r="D3" s="20"/>
      <c r="E3" s="20"/>
      <c r="F3" s="20"/>
      <c r="G3" s="20"/>
      <c r="H3" s="20"/>
      <c r="I3" s="20"/>
      <c r="J3" s="20"/>
      <c r="K3" s="20"/>
      <c r="L3" s="20"/>
      <c r="M3" s="20"/>
      <c r="N3" s="20"/>
      <c r="O3" s="20"/>
      <c r="P3" s="7"/>
    </row>
    <row r="4" spans="2:16" thickBot="1" x14ac:dyDescent="0.35">
      <c r="B4" s="6"/>
      <c r="C4" s="8"/>
      <c r="D4" s="8"/>
      <c r="E4" s="8"/>
      <c r="F4" s="8"/>
      <c r="G4" s="8"/>
      <c r="H4" s="8"/>
      <c r="I4" s="8"/>
      <c r="J4" s="8"/>
      <c r="K4" s="8"/>
      <c r="L4" s="8"/>
      <c r="M4" s="8"/>
      <c r="N4" s="8"/>
      <c r="O4" s="8"/>
      <c r="P4" s="7"/>
    </row>
    <row r="5" spans="2:16" ht="24" thickBot="1" x14ac:dyDescent="0.35">
      <c r="B5" s="6"/>
      <c r="C5" s="21" t="s">
        <v>8422</v>
      </c>
      <c r="D5" s="22"/>
      <c r="E5" s="22"/>
      <c r="F5" s="22"/>
      <c r="G5" s="22"/>
      <c r="H5" s="22"/>
      <c r="I5" s="22"/>
      <c r="J5" s="22"/>
      <c r="K5" s="22"/>
      <c r="L5" s="22"/>
      <c r="M5" s="22"/>
      <c r="N5" s="22"/>
      <c r="O5" s="23"/>
      <c r="P5" s="7"/>
    </row>
    <row r="6" spans="2:16" ht="409.5" customHeight="1" x14ac:dyDescent="0.25">
      <c r="B6" s="6"/>
      <c r="C6" s="24" t="s">
        <v>8423</v>
      </c>
      <c r="D6" s="25"/>
      <c r="E6" s="25"/>
      <c r="F6" s="25"/>
      <c r="G6" s="25"/>
      <c r="H6" s="25"/>
      <c r="I6" s="25"/>
      <c r="J6" s="25"/>
      <c r="K6" s="25"/>
      <c r="L6" s="25"/>
      <c r="M6" s="25"/>
      <c r="N6" s="25"/>
      <c r="O6" s="26"/>
      <c r="P6" s="7"/>
    </row>
    <row r="7" spans="2:16" ht="16.5" customHeight="1" x14ac:dyDescent="0.25">
      <c r="B7" s="6"/>
      <c r="C7" s="27"/>
      <c r="D7" s="28"/>
      <c r="E7" s="28"/>
      <c r="F7" s="28"/>
      <c r="G7" s="28"/>
      <c r="H7" s="28"/>
      <c r="I7" s="28"/>
      <c r="J7" s="28"/>
      <c r="K7" s="28"/>
      <c r="L7" s="28"/>
      <c r="M7" s="28"/>
      <c r="N7" s="28"/>
      <c r="O7" s="29"/>
      <c r="P7" s="7"/>
    </row>
    <row r="8" spans="2:16" ht="16.5" customHeight="1" x14ac:dyDescent="0.25">
      <c r="B8" s="6"/>
      <c r="C8" s="27"/>
      <c r="D8" s="28"/>
      <c r="E8" s="28"/>
      <c r="F8" s="28"/>
      <c r="G8" s="28"/>
      <c r="H8" s="28"/>
      <c r="I8" s="28"/>
      <c r="J8" s="28"/>
      <c r="K8" s="28"/>
      <c r="L8" s="28"/>
      <c r="M8" s="28"/>
      <c r="N8" s="28"/>
      <c r="O8" s="29"/>
      <c r="P8" s="7"/>
    </row>
    <row r="9" spans="2:16" x14ac:dyDescent="0.25">
      <c r="B9" s="6"/>
      <c r="C9" s="27"/>
      <c r="D9" s="28"/>
      <c r="E9" s="28"/>
      <c r="F9" s="28"/>
      <c r="G9" s="28"/>
      <c r="H9" s="28"/>
      <c r="I9" s="28"/>
      <c r="J9" s="28"/>
      <c r="K9" s="28"/>
      <c r="L9" s="28"/>
      <c r="M9" s="28"/>
      <c r="N9" s="28"/>
      <c r="O9" s="29"/>
      <c r="P9" s="7"/>
    </row>
    <row r="10" spans="2:16" ht="15.75" thickBot="1" x14ac:dyDescent="0.3">
      <c r="B10" s="6"/>
      <c r="C10" s="30"/>
      <c r="D10" s="31"/>
      <c r="E10" s="31"/>
      <c r="F10" s="31"/>
      <c r="G10" s="31"/>
      <c r="H10" s="31"/>
      <c r="I10" s="31"/>
      <c r="J10" s="31"/>
      <c r="K10" s="31"/>
      <c r="L10" s="31"/>
      <c r="M10" s="31"/>
      <c r="N10" s="31"/>
      <c r="O10" s="32"/>
      <c r="P10" s="7"/>
    </row>
    <row r="11" spans="2:16" ht="75.75" customHeight="1" thickBot="1" x14ac:dyDescent="0.3">
      <c r="B11" s="9"/>
      <c r="C11" s="10"/>
      <c r="D11" s="10"/>
      <c r="E11" s="10"/>
      <c r="F11" s="10"/>
      <c r="G11" s="10"/>
      <c r="H11" s="10"/>
      <c r="I11" s="10"/>
      <c r="J11" s="10"/>
      <c r="K11" s="10"/>
      <c r="L11" s="10"/>
      <c r="M11" s="10"/>
      <c r="N11" s="10"/>
      <c r="O11" s="10"/>
      <c r="P11" s="11"/>
    </row>
  </sheetData>
  <mergeCells count="3">
    <mergeCell ref="C3:O3"/>
    <mergeCell ref="C5:O5"/>
    <mergeCell ref="C6:O10"/>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32133"/>
  <sheetViews>
    <sheetView zoomScale="85" zoomScaleNormal="85" workbookViewId="0">
      <selection activeCell="A2" sqref="A2"/>
    </sheetView>
  </sheetViews>
  <sheetFormatPr defaultRowHeight="15" x14ac:dyDescent="0.25"/>
  <cols>
    <col min="1" max="1" width="10.85546875" customWidth="1"/>
    <col min="2" max="2" width="69.28515625" customWidth="1"/>
    <col min="3" max="3" width="26" style="1" customWidth="1"/>
    <col min="4" max="4" width="11" bestFit="1" customWidth="1"/>
    <col min="5" max="5" width="57.28515625" bestFit="1" customWidth="1"/>
  </cols>
  <sheetData>
    <row r="1" spans="1:5" ht="14.45" x14ac:dyDescent="0.3">
      <c r="A1" t="s">
        <v>8420</v>
      </c>
      <c r="B1" t="s">
        <v>18</v>
      </c>
      <c r="C1" t="s">
        <v>8424</v>
      </c>
      <c r="D1" s="1" t="s">
        <v>0</v>
      </c>
      <c r="E1" t="s">
        <v>8421</v>
      </c>
    </row>
    <row r="2" spans="1:5" ht="14.45" x14ac:dyDescent="0.3">
      <c r="A2" t="s">
        <v>1</v>
      </c>
      <c r="B2" t="s">
        <v>19</v>
      </c>
      <c r="C2" t="s">
        <v>23490</v>
      </c>
      <c r="D2" t="str">
        <f>HYPERLINK("https://rhld.insurance.arkansas.gov/NPILookup?Npi=1003002510","1003002510")</f>
        <v>1003002510</v>
      </c>
      <c r="E2" t="s">
        <v>8292</v>
      </c>
    </row>
    <row r="3" spans="1:5" ht="14.45" x14ac:dyDescent="0.3">
      <c r="A3" t="s">
        <v>1</v>
      </c>
      <c r="B3" t="s">
        <v>19</v>
      </c>
      <c r="C3" t="s">
        <v>23490</v>
      </c>
      <c r="D3" t="str">
        <f>HYPERLINK("https://rhld.insurance.arkansas.gov/NPILookup?Npi=1003015348","1003015348")</f>
        <v>1003015348</v>
      </c>
      <c r="E3" t="s">
        <v>20</v>
      </c>
    </row>
    <row r="4" spans="1:5" ht="14.45" x14ac:dyDescent="0.3">
      <c r="A4" t="s">
        <v>1</v>
      </c>
      <c r="B4" t="s">
        <v>19</v>
      </c>
      <c r="C4" t="s">
        <v>23490</v>
      </c>
      <c r="D4" t="str">
        <f>HYPERLINK("https://rhld.insurance.arkansas.gov/NPILookup?Npi=1003038167","1003038167")</f>
        <v>1003038167</v>
      </c>
      <c r="E4" t="s">
        <v>21</v>
      </c>
    </row>
    <row r="5" spans="1:5" ht="14.45" x14ac:dyDescent="0.3">
      <c r="A5" t="s">
        <v>1</v>
      </c>
      <c r="B5" t="s">
        <v>19</v>
      </c>
      <c r="C5" t="s">
        <v>23490</v>
      </c>
      <c r="D5" t="str">
        <f>HYPERLINK("https://rhld.insurance.arkansas.gov/NPILookup?Npi=1003043936","1003043936")</f>
        <v>1003043936</v>
      </c>
      <c r="E5" t="s">
        <v>19307</v>
      </c>
    </row>
    <row r="6" spans="1:5" ht="14.45" x14ac:dyDescent="0.3">
      <c r="A6" t="s">
        <v>1</v>
      </c>
      <c r="B6" t="s">
        <v>19</v>
      </c>
      <c r="C6" t="s">
        <v>23490</v>
      </c>
      <c r="D6" t="str">
        <f>HYPERLINK("https://rhld.insurance.arkansas.gov/NPILookup?Npi=1003083205","1003083205")</f>
        <v>1003083205</v>
      </c>
      <c r="E6" t="s">
        <v>22</v>
      </c>
    </row>
    <row r="7" spans="1:5" ht="14.45" x14ac:dyDescent="0.3">
      <c r="A7" t="s">
        <v>1</v>
      </c>
      <c r="B7" t="s">
        <v>19</v>
      </c>
      <c r="C7" t="s">
        <v>23490</v>
      </c>
      <c r="D7" t="str">
        <f>HYPERLINK("https://rhld.insurance.arkansas.gov/NPILookup?Npi=1003084336","1003084336")</f>
        <v>1003084336</v>
      </c>
      <c r="E7" t="s">
        <v>23</v>
      </c>
    </row>
    <row r="8" spans="1:5" ht="14.45" x14ac:dyDescent="0.3">
      <c r="A8" t="s">
        <v>1</v>
      </c>
      <c r="B8" t="s">
        <v>19</v>
      </c>
      <c r="C8" t="s">
        <v>23490</v>
      </c>
      <c r="D8" t="str">
        <f>HYPERLINK("https://rhld.insurance.arkansas.gov/NPILookup?Npi=1003084617","1003084617")</f>
        <v>1003084617</v>
      </c>
      <c r="E8" t="s">
        <v>10580</v>
      </c>
    </row>
    <row r="9" spans="1:5" ht="14.45" x14ac:dyDescent="0.3">
      <c r="A9" t="s">
        <v>1</v>
      </c>
      <c r="B9" t="s">
        <v>19</v>
      </c>
      <c r="C9" t="s">
        <v>23490</v>
      </c>
      <c r="D9" t="str">
        <f>HYPERLINK("https://rhld.insurance.arkansas.gov/NPILookup?Npi=1003140963","1003140963")</f>
        <v>1003140963</v>
      </c>
      <c r="E9" t="s">
        <v>24</v>
      </c>
    </row>
    <row r="10" spans="1:5" ht="14.45" x14ac:dyDescent="0.3">
      <c r="A10" t="s">
        <v>1</v>
      </c>
      <c r="B10" t="s">
        <v>19</v>
      </c>
      <c r="C10" t="s">
        <v>23490</v>
      </c>
      <c r="D10" t="str">
        <f>HYPERLINK("https://rhld.insurance.arkansas.gov/NPILookup?Npi=1003162637","1003162637")</f>
        <v>1003162637</v>
      </c>
      <c r="E10" t="s">
        <v>13326</v>
      </c>
    </row>
    <row r="11" spans="1:5" ht="14.45" x14ac:dyDescent="0.3">
      <c r="A11" t="s">
        <v>1</v>
      </c>
      <c r="B11" t="s">
        <v>19</v>
      </c>
      <c r="C11" t="s">
        <v>23490</v>
      </c>
      <c r="D11" t="str">
        <f>HYPERLINK("https://rhld.insurance.arkansas.gov/NPILookup?Npi=1003171968","1003171968")</f>
        <v>1003171968</v>
      </c>
      <c r="E11" t="s">
        <v>18639</v>
      </c>
    </row>
    <row r="12" spans="1:5" ht="14.45" x14ac:dyDescent="0.3">
      <c r="A12" t="s">
        <v>1</v>
      </c>
      <c r="B12" t="s">
        <v>19</v>
      </c>
      <c r="C12" t="s">
        <v>23490</v>
      </c>
      <c r="D12" t="str">
        <f>HYPERLINK("https://rhld.insurance.arkansas.gov/NPILookup?Npi=1003182387","1003182387")</f>
        <v>1003182387</v>
      </c>
      <c r="E12" t="s">
        <v>25</v>
      </c>
    </row>
    <row r="13" spans="1:5" ht="14.45" x14ac:dyDescent="0.3">
      <c r="A13" t="s">
        <v>1</v>
      </c>
      <c r="B13" t="s">
        <v>19</v>
      </c>
      <c r="C13" t="s">
        <v>23490</v>
      </c>
      <c r="D13" t="str">
        <f>HYPERLINK("https://rhld.insurance.arkansas.gov/NPILookup?Npi=1003197542","1003197542")</f>
        <v>1003197542</v>
      </c>
      <c r="E13" t="s">
        <v>21436</v>
      </c>
    </row>
    <row r="14" spans="1:5" ht="14.45" x14ac:dyDescent="0.3">
      <c r="A14" t="s">
        <v>1</v>
      </c>
      <c r="B14" t="s">
        <v>19</v>
      </c>
      <c r="C14" t="s">
        <v>23490</v>
      </c>
      <c r="D14" t="str">
        <f>HYPERLINK("https://rhld.insurance.arkansas.gov/NPILookup?Npi=1003206657","1003206657")</f>
        <v>1003206657</v>
      </c>
      <c r="E14" t="s">
        <v>8425</v>
      </c>
    </row>
    <row r="15" spans="1:5" ht="14.45" x14ac:dyDescent="0.3">
      <c r="A15" t="s">
        <v>1</v>
      </c>
      <c r="B15" t="s">
        <v>19</v>
      </c>
      <c r="C15" t="s">
        <v>23490</v>
      </c>
      <c r="D15" t="str">
        <f>HYPERLINK("https://rhld.insurance.arkansas.gov/NPILookup?Npi=1003227166","1003227166")</f>
        <v>1003227166</v>
      </c>
      <c r="E15" t="s">
        <v>10581</v>
      </c>
    </row>
    <row r="16" spans="1:5" ht="14.45" x14ac:dyDescent="0.3">
      <c r="A16" t="s">
        <v>1</v>
      </c>
      <c r="B16" t="s">
        <v>19</v>
      </c>
      <c r="C16" t="s">
        <v>23490</v>
      </c>
      <c r="D16" t="str">
        <f>HYPERLINK("https://rhld.insurance.arkansas.gov/NPILookup?Npi=1003234105","1003234105")</f>
        <v>1003234105</v>
      </c>
      <c r="E16" t="s">
        <v>8426</v>
      </c>
    </row>
    <row r="17" spans="1:5" ht="14.45" x14ac:dyDescent="0.3">
      <c r="A17" t="s">
        <v>1</v>
      </c>
      <c r="B17" t="s">
        <v>19</v>
      </c>
      <c r="C17" t="s">
        <v>23490</v>
      </c>
      <c r="D17" t="str">
        <f>HYPERLINK("https://rhld.insurance.arkansas.gov/NPILookup?Npi=1003236217","1003236217")</f>
        <v>1003236217</v>
      </c>
      <c r="E17" t="s">
        <v>10582</v>
      </c>
    </row>
    <row r="18" spans="1:5" ht="14.45" x14ac:dyDescent="0.3">
      <c r="A18" t="s">
        <v>1</v>
      </c>
      <c r="B18" t="s">
        <v>19</v>
      </c>
      <c r="C18" t="s">
        <v>23490</v>
      </c>
      <c r="D18" t="str">
        <f>HYPERLINK("https://rhld.insurance.arkansas.gov/NPILookup?Npi=1003250945","1003250945")</f>
        <v>1003250945</v>
      </c>
      <c r="E18" t="s">
        <v>10583</v>
      </c>
    </row>
    <row r="19" spans="1:5" ht="14.45" x14ac:dyDescent="0.3">
      <c r="A19" t="s">
        <v>1</v>
      </c>
      <c r="B19" t="s">
        <v>19</v>
      </c>
      <c r="C19" t="s">
        <v>23490</v>
      </c>
      <c r="D19" t="str">
        <f>HYPERLINK("https://rhld.insurance.arkansas.gov/NPILookup?Npi=1003255985","1003255985")</f>
        <v>1003255985</v>
      </c>
      <c r="E19" t="s">
        <v>19308</v>
      </c>
    </row>
    <row r="20" spans="1:5" ht="14.45" x14ac:dyDescent="0.3">
      <c r="A20" t="s">
        <v>1</v>
      </c>
      <c r="B20" t="s">
        <v>19</v>
      </c>
      <c r="C20" t="s">
        <v>23490</v>
      </c>
      <c r="D20" t="str">
        <f>HYPERLINK("https://rhld.insurance.arkansas.gov/NPILookup?Npi=1003256496","1003256496")</f>
        <v>1003256496</v>
      </c>
      <c r="E20" t="s">
        <v>1288</v>
      </c>
    </row>
    <row r="21" spans="1:5" ht="14.45" x14ac:dyDescent="0.3">
      <c r="A21" t="s">
        <v>1</v>
      </c>
      <c r="B21" t="s">
        <v>19</v>
      </c>
      <c r="C21" t="s">
        <v>23490</v>
      </c>
      <c r="D21" t="str">
        <f>HYPERLINK("https://rhld.insurance.arkansas.gov/NPILookup?Npi=1003278052","1003278052")</f>
        <v>1003278052</v>
      </c>
      <c r="E21" t="s">
        <v>17373</v>
      </c>
    </row>
    <row r="22" spans="1:5" ht="14.45" x14ac:dyDescent="0.3">
      <c r="A22" t="s">
        <v>1</v>
      </c>
      <c r="B22" t="s">
        <v>19</v>
      </c>
      <c r="C22" t="s">
        <v>23490</v>
      </c>
      <c r="D22" t="str">
        <f>HYPERLINK("https://rhld.insurance.arkansas.gov/NPILookup?Npi=1003278144","1003278144")</f>
        <v>1003278144</v>
      </c>
      <c r="E22" t="s">
        <v>13327</v>
      </c>
    </row>
    <row r="23" spans="1:5" ht="14.45" x14ac:dyDescent="0.3">
      <c r="A23" t="s">
        <v>1</v>
      </c>
      <c r="B23" t="s">
        <v>19</v>
      </c>
      <c r="C23" t="s">
        <v>23490</v>
      </c>
      <c r="D23" t="str">
        <f>HYPERLINK("https://rhld.insurance.arkansas.gov/NPILookup?Npi=1003290826","1003290826")</f>
        <v>1003290826</v>
      </c>
      <c r="E23" t="s">
        <v>8428</v>
      </c>
    </row>
    <row r="24" spans="1:5" ht="14.45" x14ac:dyDescent="0.3">
      <c r="A24" t="s">
        <v>1</v>
      </c>
      <c r="B24" t="s">
        <v>19</v>
      </c>
      <c r="C24" t="s">
        <v>23490</v>
      </c>
      <c r="D24" t="str">
        <f>HYPERLINK("https://rhld.insurance.arkansas.gov/NPILookup?Npi=1003302639","1003302639")</f>
        <v>1003302639</v>
      </c>
      <c r="E24" t="s">
        <v>19309</v>
      </c>
    </row>
    <row r="25" spans="1:5" ht="14.45" x14ac:dyDescent="0.3">
      <c r="A25" t="s">
        <v>1</v>
      </c>
      <c r="B25" t="s">
        <v>19</v>
      </c>
      <c r="C25" t="s">
        <v>23490</v>
      </c>
      <c r="D25" t="str">
        <f>HYPERLINK("https://rhld.insurance.arkansas.gov/NPILookup?Npi=1003304213","1003304213")</f>
        <v>1003304213</v>
      </c>
      <c r="E25" t="s">
        <v>19310</v>
      </c>
    </row>
    <row r="26" spans="1:5" ht="14.45" x14ac:dyDescent="0.3">
      <c r="A26" t="s">
        <v>1</v>
      </c>
      <c r="B26" t="s">
        <v>19</v>
      </c>
      <c r="C26" t="s">
        <v>23490</v>
      </c>
      <c r="D26" t="str">
        <f>HYPERLINK("https://rhld.insurance.arkansas.gov/NPILookup?Npi=1003331356","1003331356")</f>
        <v>1003331356</v>
      </c>
      <c r="E26" t="s">
        <v>19311</v>
      </c>
    </row>
    <row r="27" spans="1:5" x14ac:dyDescent="0.25">
      <c r="A27" t="s">
        <v>1</v>
      </c>
      <c r="B27" t="s">
        <v>19</v>
      </c>
      <c r="C27" t="s">
        <v>23490</v>
      </c>
      <c r="D27" t="str">
        <f>HYPERLINK("https://rhld.insurance.arkansas.gov/NPILookup?Npi=1003331893","1003331893")</f>
        <v>1003331893</v>
      </c>
      <c r="E27" t="s">
        <v>14679</v>
      </c>
    </row>
    <row r="28" spans="1:5" x14ac:dyDescent="0.25">
      <c r="A28" t="s">
        <v>1</v>
      </c>
      <c r="B28" t="s">
        <v>19</v>
      </c>
      <c r="C28" t="s">
        <v>23490</v>
      </c>
      <c r="D28" t="str">
        <f>HYPERLINK("https://rhld.insurance.arkansas.gov/NPILookup?Npi=1003352444","1003352444")</f>
        <v>1003352444</v>
      </c>
      <c r="E28" t="s">
        <v>19312</v>
      </c>
    </row>
    <row r="29" spans="1:5" x14ac:dyDescent="0.25">
      <c r="A29" t="s">
        <v>1</v>
      </c>
      <c r="B29" t="s">
        <v>19</v>
      </c>
      <c r="C29" t="s">
        <v>23490</v>
      </c>
      <c r="D29" t="str">
        <f>HYPERLINK("https://rhld.insurance.arkansas.gov/NPILookup?Npi=1003354473","1003354473")</f>
        <v>1003354473</v>
      </c>
      <c r="E29" t="s">
        <v>17374</v>
      </c>
    </row>
    <row r="30" spans="1:5" x14ac:dyDescent="0.25">
      <c r="A30" t="s">
        <v>1</v>
      </c>
      <c r="B30" t="s">
        <v>19</v>
      </c>
      <c r="C30" t="s">
        <v>23490</v>
      </c>
      <c r="D30" t="str">
        <f>HYPERLINK("https://rhld.insurance.arkansas.gov/NPILookup?Npi=1003355447","1003355447")</f>
        <v>1003355447</v>
      </c>
      <c r="E30" t="s">
        <v>19313</v>
      </c>
    </row>
    <row r="31" spans="1:5" x14ac:dyDescent="0.25">
      <c r="A31" t="s">
        <v>1</v>
      </c>
      <c r="B31" t="s">
        <v>19</v>
      </c>
      <c r="C31" t="s">
        <v>23490</v>
      </c>
      <c r="D31" t="str">
        <f>HYPERLINK("https://rhld.insurance.arkansas.gov/NPILookup?Npi=1003381229","1003381229")</f>
        <v>1003381229</v>
      </c>
      <c r="E31" t="s">
        <v>13328</v>
      </c>
    </row>
    <row r="32" spans="1:5" x14ac:dyDescent="0.25">
      <c r="A32" t="s">
        <v>1</v>
      </c>
      <c r="B32" t="s">
        <v>19</v>
      </c>
      <c r="C32" t="s">
        <v>23490</v>
      </c>
      <c r="D32" t="str">
        <f>HYPERLINK("https://rhld.insurance.arkansas.gov/NPILookup?Npi=1003395427","1003395427")</f>
        <v>1003395427</v>
      </c>
      <c r="E32" t="s">
        <v>19314</v>
      </c>
    </row>
    <row r="33" spans="1:5" x14ac:dyDescent="0.25">
      <c r="A33" t="s">
        <v>1</v>
      </c>
      <c r="B33" t="s">
        <v>19</v>
      </c>
      <c r="C33" t="s">
        <v>23490</v>
      </c>
      <c r="D33" t="str">
        <f>HYPERLINK("https://rhld.insurance.arkansas.gov/NPILookup?Npi=1003406653","1003406653")</f>
        <v>1003406653</v>
      </c>
      <c r="E33" t="s">
        <v>18641</v>
      </c>
    </row>
    <row r="34" spans="1:5" x14ac:dyDescent="0.25">
      <c r="A34" t="s">
        <v>1</v>
      </c>
      <c r="B34" t="s">
        <v>19</v>
      </c>
      <c r="C34" t="s">
        <v>23490</v>
      </c>
      <c r="D34" t="str">
        <f>HYPERLINK("https://rhld.insurance.arkansas.gov/NPILookup?Npi=1003416421","1003416421")</f>
        <v>1003416421</v>
      </c>
      <c r="E34" t="s">
        <v>17826</v>
      </c>
    </row>
    <row r="35" spans="1:5" x14ac:dyDescent="0.25">
      <c r="A35" t="s">
        <v>1</v>
      </c>
      <c r="B35" t="s">
        <v>19</v>
      </c>
      <c r="C35" t="s">
        <v>23490</v>
      </c>
      <c r="D35" t="str">
        <f>HYPERLINK("https://rhld.insurance.arkansas.gov/NPILookup?Npi=1003424243","1003424243")</f>
        <v>1003424243</v>
      </c>
      <c r="E35" t="s">
        <v>17827</v>
      </c>
    </row>
    <row r="36" spans="1:5" x14ac:dyDescent="0.25">
      <c r="A36" t="s">
        <v>1</v>
      </c>
      <c r="B36" t="s">
        <v>19</v>
      </c>
      <c r="C36" t="s">
        <v>23490</v>
      </c>
      <c r="D36" t="str">
        <f>HYPERLINK("https://rhld.insurance.arkansas.gov/NPILookup?Npi=1003425315","1003425315")</f>
        <v>1003425315</v>
      </c>
      <c r="E36" t="s">
        <v>17828</v>
      </c>
    </row>
    <row r="37" spans="1:5" x14ac:dyDescent="0.25">
      <c r="A37" t="s">
        <v>1</v>
      </c>
      <c r="B37" t="s">
        <v>19</v>
      </c>
      <c r="C37" t="s">
        <v>23490</v>
      </c>
      <c r="D37" t="str">
        <f>HYPERLINK("https://rhld.insurance.arkansas.gov/NPILookup?Npi=1003442153","1003442153")</f>
        <v>1003442153</v>
      </c>
      <c r="E37" t="s">
        <v>21437</v>
      </c>
    </row>
    <row r="38" spans="1:5" x14ac:dyDescent="0.25">
      <c r="A38" t="s">
        <v>1</v>
      </c>
      <c r="B38" t="s">
        <v>19</v>
      </c>
      <c r="C38" t="s">
        <v>23490</v>
      </c>
      <c r="D38" t="str">
        <f>HYPERLINK("https://rhld.insurance.arkansas.gov/NPILookup?Npi=1003465618","1003465618")</f>
        <v>1003465618</v>
      </c>
      <c r="E38" t="s">
        <v>17375</v>
      </c>
    </row>
    <row r="39" spans="1:5" x14ac:dyDescent="0.25">
      <c r="A39" t="s">
        <v>1</v>
      </c>
      <c r="B39" t="s">
        <v>19</v>
      </c>
      <c r="C39" t="s">
        <v>23490</v>
      </c>
      <c r="D39" t="str">
        <f>HYPERLINK("https://rhld.insurance.arkansas.gov/NPILookup?Npi=1003477134","1003477134")</f>
        <v>1003477134</v>
      </c>
      <c r="E39" t="s">
        <v>19315</v>
      </c>
    </row>
    <row r="40" spans="1:5" x14ac:dyDescent="0.25">
      <c r="A40" t="s">
        <v>1</v>
      </c>
      <c r="B40" t="s">
        <v>19</v>
      </c>
      <c r="C40" t="s">
        <v>23490</v>
      </c>
      <c r="D40" t="str">
        <f>HYPERLINK("https://rhld.insurance.arkansas.gov/NPILookup?Npi=1003479957","1003479957")</f>
        <v>1003479957</v>
      </c>
      <c r="E40" t="s">
        <v>21360</v>
      </c>
    </row>
    <row r="41" spans="1:5" x14ac:dyDescent="0.25">
      <c r="A41" t="s">
        <v>1</v>
      </c>
      <c r="B41" t="s">
        <v>19</v>
      </c>
      <c r="C41" t="s">
        <v>23490</v>
      </c>
      <c r="D41" t="str">
        <f>HYPERLINK("https://rhld.insurance.arkansas.gov/NPILookup?Npi=1003485178","1003485178")</f>
        <v>1003485178</v>
      </c>
      <c r="E41" t="s">
        <v>19316</v>
      </c>
    </row>
    <row r="42" spans="1:5" x14ac:dyDescent="0.25">
      <c r="A42" t="s">
        <v>1</v>
      </c>
      <c r="B42" t="s">
        <v>19</v>
      </c>
      <c r="C42" t="s">
        <v>23490</v>
      </c>
      <c r="D42" t="str">
        <f>HYPERLINK("https://rhld.insurance.arkansas.gov/NPILookup?Npi=1003492059","1003492059")</f>
        <v>1003492059</v>
      </c>
      <c r="E42" t="s">
        <v>22879</v>
      </c>
    </row>
    <row r="43" spans="1:5" x14ac:dyDescent="0.25">
      <c r="A43" t="s">
        <v>1</v>
      </c>
      <c r="B43" t="s">
        <v>19</v>
      </c>
      <c r="C43" t="s">
        <v>23490</v>
      </c>
      <c r="D43" t="str">
        <f>HYPERLINK("https://rhld.insurance.arkansas.gov/NPILookup?Npi=1003492943","1003492943")</f>
        <v>1003492943</v>
      </c>
      <c r="E43" t="s">
        <v>18642</v>
      </c>
    </row>
    <row r="44" spans="1:5" x14ac:dyDescent="0.25">
      <c r="A44" t="s">
        <v>1</v>
      </c>
      <c r="B44" t="s">
        <v>19</v>
      </c>
      <c r="C44" t="s">
        <v>23490</v>
      </c>
      <c r="D44" t="str">
        <f>HYPERLINK("https://rhld.insurance.arkansas.gov/NPILookup?Npi=1003541327","1003541327")</f>
        <v>1003541327</v>
      </c>
      <c r="E44" t="s">
        <v>21438</v>
      </c>
    </row>
    <row r="45" spans="1:5" x14ac:dyDescent="0.25">
      <c r="A45" t="s">
        <v>1</v>
      </c>
      <c r="B45" t="s">
        <v>19</v>
      </c>
      <c r="C45" t="s">
        <v>23490</v>
      </c>
      <c r="D45" t="str">
        <f>HYPERLINK("https://rhld.insurance.arkansas.gov/NPILookup?Npi=1003553520","1003553520")</f>
        <v>1003553520</v>
      </c>
      <c r="E45" t="s">
        <v>20868</v>
      </c>
    </row>
    <row r="46" spans="1:5" x14ac:dyDescent="0.25">
      <c r="A46" t="s">
        <v>1</v>
      </c>
      <c r="B46" t="s">
        <v>19</v>
      </c>
      <c r="C46" t="s">
        <v>23490</v>
      </c>
      <c r="D46" t="str">
        <f>HYPERLINK("https://rhld.insurance.arkansas.gov/NPILookup?Npi=1003563271","1003563271")</f>
        <v>1003563271</v>
      </c>
      <c r="E46" t="s">
        <v>20869</v>
      </c>
    </row>
    <row r="47" spans="1:5" x14ac:dyDescent="0.25">
      <c r="A47" t="s">
        <v>1</v>
      </c>
      <c r="B47" t="s">
        <v>19</v>
      </c>
      <c r="C47" t="s">
        <v>23490</v>
      </c>
      <c r="D47" t="str">
        <f>HYPERLINK("https://rhld.insurance.arkansas.gov/NPILookup?Npi=1003564154","1003564154")</f>
        <v>1003564154</v>
      </c>
      <c r="E47" t="s">
        <v>19317</v>
      </c>
    </row>
    <row r="48" spans="1:5" x14ac:dyDescent="0.25">
      <c r="A48" t="s">
        <v>1</v>
      </c>
      <c r="B48" t="s">
        <v>19</v>
      </c>
      <c r="C48" t="s">
        <v>23490</v>
      </c>
      <c r="D48" t="str">
        <f>HYPERLINK("https://rhld.insurance.arkansas.gov/NPILookup?Npi=1003579418","1003579418")</f>
        <v>1003579418</v>
      </c>
      <c r="E48" t="s">
        <v>19318</v>
      </c>
    </row>
    <row r="49" spans="1:5" x14ac:dyDescent="0.25">
      <c r="A49" t="s">
        <v>1</v>
      </c>
      <c r="B49" t="s">
        <v>19</v>
      </c>
      <c r="C49" t="s">
        <v>23490</v>
      </c>
      <c r="D49" t="str">
        <f>HYPERLINK("https://rhld.insurance.arkansas.gov/NPILookup?Npi=1003583147","1003583147")</f>
        <v>1003583147</v>
      </c>
      <c r="E49" t="s">
        <v>19319</v>
      </c>
    </row>
    <row r="50" spans="1:5" x14ac:dyDescent="0.25">
      <c r="A50" t="s">
        <v>1</v>
      </c>
      <c r="B50" t="s">
        <v>19</v>
      </c>
      <c r="C50" t="s">
        <v>23490</v>
      </c>
      <c r="D50" t="str">
        <f>HYPERLINK("https://rhld.insurance.arkansas.gov/NPILookup?Npi=1003800293","1003800293")</f>
        <v>1003800293</v>
      </c>
      <c r="E50" t="s">
        <v>27</v>
      </c>
    </row>
    <row r="51" spans="1:5" x14ac:dyDescent="0.25">
      <c r="A51" t="s">
        <v>1</v>
      </c>
      <c r="B51" t="s">
        <v>19</v>
      </c>
      <c r="C51" t="s">
        <v>23490</v>
      </c>
      <c r="D51" t="str">
        <f>HYPERLINK("https://rhld.insurance.arkansas.gov/NPILookup?Npi=1003802828","1003802828")</f>
        <v>1003802828</v>
      </c>
      <c r="E51" t="s">
        <v>28</v>
      </c>
    </row>
    <row r="52" spans="1:5" x14ac:dyDescent="0.25">
      <c r="A52" t="s">
        <v>1</v>
      </c>
      <c r="B52" t="s">
        <v>19</v>
      </c>
      <c r="C52" t="s">
        <v>23490</v>
      </c>
      <c r="D52" t="str">
        <f>HYPERLINK("https://rhld.insurance.arkansas.gov/NPILookup?Npi=1003803321","1003803321")</f>
        <v>1003803321</v>
      </c>
      <c r="E52" t="s">
        <v>29</v>
      </c>
    </row>
    <row r="53" spans="1:5" x14ac:dyDescent="0.25">
      <c r="A53" t="s">
        <v>1</v>
      </c>
      <c r="B53" t="s">
        <v>19</v>
      </c>
      <c r="C53" t="s">
        <v>23490</v>
      </c>
      <c r="D53" t="str">
        <f>HYPERLINK("https://rhld.insurance.arkansas.gov/NPILookup?Npi=1003803370","1003803370")</f>
        <v>1003803370</v>
      </c>
      <c r="E53" t="s">
        <v>30</v>
      </c>
    </row>
    <row r="54" spans="1:5" x14ac:dyDescent="0.25">
      <c r="A54" t="s">
        <v>1</v>
      </c>
      <c r="B54" t="s">
        <v>19</v>
      </c>
      <c r="C54" t="s">
        <v>23490</v>
      </c>
      <c r="D54" t="str">
        <f>HYPERLINK("https://rhld.insurance.arkansas.gov/NPILookup?Npi=1003810904","1003810904")</f>
        <v>1003810904</v>
      </c>
      <c r="E54" t="s">
        <v>31</v>
      </c>
    </row>
    <row r="55" spans="1:5" x14ac:dyDescent="0.25">
      <c r="A55" t="s">
        <v>1</v>
      </c>
      <c r="B55" t="s">
        <v>19</v>
      </c>
      <c r="C55" t="s">
        <v>23490</v>
      </c>
      <c r="D55" t="str">
        <f>HYPERLINK("https://rhld.insurance.arkansas.gov/NPILookup?Npi=1003815192","1003815192")</f>
        <v>1003815192</v>
      </c>
      <c r="E55" t="s">
        <v>32</v>
      </c>
    </row>
    <row r="56" spans="1:5" x14ac:dyDescent="0.25">
      <c r="A56" t="s">
        <v>1</v>
      </c>
      <c r="B56" t="s">
        <v>19</v>
      </c>
      <c r="C56" t="s">
        <v>23490</v>
      </c>
      <c r="D56" t="str">
        <f>HYPERLINK("https://rhld.insurance.arkansas.gov/NPILookup?Npi=1003820036","1003820036")</f>
        <v>1003820036</v>
      </c>
      <c r="E56" t="s">
        <v>33</v>
      </c>
    </row>
    <row r="57" spans="1:5" x14ac:dyDescent="0.25">
      <c r="A57" t="s">
        <v>1</v>
      </c>
      <c r="B57" t="s">
        <v>19</v>
      </c>
      <c r="C57" t="s">
        <v>23490</v>
      </c>
      <c r="D57" t="str">
        <f>HYPERLINK("https://rhld.insurance.arkansas.gov/NPILookup?Npi=1003826199","1003826199")</f>
        <v>1003826199</v>
      </c>
      <c r="E57" t="s">
        <v>34</v>
      </c>
    </row>
    <row r="58" spans="1:5" x14ac:dyDescent="0.25">
      <c r="A58" t="s">
        <v>1</v>
      </c>
      <c r="B58" t="s">
        <v>19</v>
      </c>
      <c r="C58" t="s">
        <v>23490</v>
      </c>
      <c r="D58" t="str">
        <f>HYPERLINK("https://rhld.insurance.arkansas.gov/NPILookup?Npi=1003831462","1003831462")</f>
        <v>1003831462</v>
      </c>
      <c r="E58" t="s">
        <v>35</v>
      </c>
    </row>
    <row r="59" spans="1:5" x14ac:dyDescent="0.25">
      <c r="A59" t="s">
        <v>1</v>
      </c>
      <c r="B59" t="s">
        <v>19</v>
      </c>
      <c r="C59" t="s">
        <v>23490</v>
      </c>
      <c r="D59" t="str">
        <f>HYPERLINK("https://rhld.insurance.arkansas.gov/NPILookup?Npi=1003836669","1003836669")</f>
        <v>1003836669</v>
      </c>
      <c r="E59" t="s">
        <v>36</v>
      </c>
    </row>
    <row r="60" spans="1:5" x14ac:dyDescent="0.25">
      <c r="A60" t="s">
        <v>1</v>
      </c>
      <c r="B60" t="s">
        <v>19</v>
      </c>
      <c r="C60" t="s">
        <v>23490</v>
      </c>
      <c r="D60" t="str">
        <f>HYPERLINK("https://rhld.insurance.arkansas.gov/NPILookup?Npi=1003870049","1003870049")</f>
        <v>1003870049</v>
      </c>
      <c r="E60" t="s">
        <v>19320</v>
      </c>
    </row>
    <row r="61" spans="1:5" x14ac:dyDescent="0.25">
      <c r="A61" t="s">
        <v>1</v>
      </c>
      <c r="B61" t="s">
        <v>19</v>
      </c>
      <c r="C61" t="s">
        <v>23490</v>
      </c>
      <c r="D61" t="str">
        <f>HYPERLINK("https://rhld.insurance.arkansas.gov/NPILookup?Npi=1003871393","1003871393")</f>
        <v>1003871393</v>
      </c>
      <c r="E61" t="s">
        <v>37</v>
      </c>
    </row>
    <row r="62" spans="1:5" x14ac:dyDescent="0.25">
      <c r="A62" t="s">
        <v>1</v>
      </c>
      <c r="B62" t="s">
        <v>19</v>
      </c>
      <c r="C62" t="s">
        <v>23490</v>
      </c>
      <c r="D62" t="str">
        <f>HYPERLINK("https://rhld.insurance.arkansas.gov/NPILookup?Npi=1003875501","1003875501")</f>
        <v>1003875501</v>
      </c>
      <c r="E62" t="s">
        <v>39</v>
      </c>
    </row>
    <row r="63" spans="1:5" x14ac:dyDescent="0.25">
      <c r="A63" t="s">
        <v>1</v>
      </c>
      <c r="B63" t="s">
        <v>19</v>
      </c>
      <c r="C63" t="s">
        <v>23490</v>
      </c>
      <c r="D63" t="str">
        <f>HYPERLINK("https://rhld.insurance.arkansas.gov/NPILookup?Npi=1003886169","1003886169")</f>
        <v>1003886169</v>
      </c>
      <c r="E63" t="s">
        <v>41</v>
      </c>
    </row>
    <row r="64" spans="1:5" x14ac:dyDescent="0.25">
      <c r="A64" t="s">
        <v>1</v>
      </c>
      <c r="B64" t="s">
        <v>19</v>
      </c>
      <c r="C64" t="s">
        <v>23490</v>
      </c>
      <c r="D64" t="str">
        <f>HYPERLINK("https://rhld.insurance.arkansas.gov/NPILookup?Npi=1003893579","1003893579")</f>
        <v>1003893579</v>
      </c>
      <c r="E64" t="s">
        <v>43</v>
      </c>
    </row>
    <row r="65" spans="1:5" x14ac:dyDescent="0.25">
      <c r="A65" t="s">
        <v>1</v>
      </c>
      <c r="B65" t="s">
        <v>19</v>
      </c>
      <c r="C65" t="s">
        <v>23490</v>
      </c>
      <c r="D65" t="str">
        <f>HYPERLINK("https://rhld.insurance.arkansas.gov/NPILookup?Npi=1003895541","1003895541")</f>
        <v>1003895541</v>
      </c>
      <c r="E65" t="s">
        <v>44</v>
      </c>
    </row>
    <row r="66" spans="1:5" x14ac:dyDescent="0.25">
      <c r="A66" t="s">
        <v>1</v>
      </c>
      <c r="B66" t="s">
        <v>19</v>
      </c>
      <c r="C66" t="s">
        <v>23490</v>
      </c>
      <c r="D66" t="str">
        <f>HYPERLINK("https://rhld.insurance.arkansas.gov/NPILookup?Npi=1003900549","1003900549")</f>
        <v>1003900549</v>
      </c>
      <c r="E66" t="s">
        <v>45</v>
      </c>
    </row>
    <row r="67" spans="1:5" x14ac:dyDescent="0.25">
      <c r="A67" t="s">
        <v>1</v>
      </c>
      <c r="B67" t="s">
        <v>19</v>
      </c>
      <c r="C67" t="s">
        <v>23490</v>
      </c>
      <c r="D67" t="str">
        <f>HYPERLINK("https://rhld.insurance.arkansas.gov/NPILookup?Npi=1003906454","1003906454")</f>
        <v>1003906454</v>
      </c>
      <c r="E67" t="s">
        <v>46</v>
      </c>
    </row>
    <row r="68" spans="1:5" x14ac:dyDescent="0.25">
      <c r="A68" t="s">
        <v>1</v>
      </c>
      <c r="B68" t="s">
        <v>19</v>
      </c>
      <c r="C68" t="s">
        <v>23490</v>
      </c>
      <c r="D68" t="str">
        <f>HYPERLINK("https://rhld.insurance.arkansas.gov/NPILookup?Npi=1003941519","1003941519")</f>
        <v>1003941519</v>
      </c>
      <c r="E68" t="s">
        <v>47</v>
      </c>
    </row>
    <row r="69" spans="1:5" x14ac:dyDescent="0.25">
      <c r="A69" t="s">
        <v>1</v>
      </c>
      <c r="B69" t="s">
        <v>19</v>
      </c>
      <c r="C69" t="s">
        <v>23490</v>
      </c>
      <c r="D69" t="str">
        <f>HYPERLINK("https://rhld.insurance.arkansas.gov/NPILookup?Npi=1003963208","1003963208")</f>
        <v>1003963208</v>
      </c>
      <c r="E69" t="s">
        <v>48</v>
      </c>
    </row>
    <row r="70" spans="1:5" x14ac:dyDescent="0.25">
      <c r="A70" t="s">
        <v>1</v>
      </c>
      <c r="B70" t="s">
        <v>19</v>
      </c>
      <c r="C70" t="s">
        <v>23490</v>
      </c>
      <c r="D70" t="str">
        <f>HYPERLINK("https://rhld.insurance.arkansas.gov/NPILookup?Npi=1003967951","1003967951")</f>
        <v>1003967951</v>
      </c>
      <c r="E70" t="s">
        <v>49</v>
      </c>
    </row>
    <row r="71" spans="1:5" x14ac:dyDescent="0.25">
      <c r="A71" t="s">
        <v>1</v>
      </c>
      <c r="B71" t="s">
        <v>19</v>
      </c>
      <c r="C71" t="s">
        <v>23490</v>
      </c>
      <c r="D71" t="str">
        <f>HYPERLINK("https://rhld.insurance.arkansas.gov/NPILookup?Npi=1003999590","1003999590")</f>
        <v>1003999590</v>
      </c>
      <c r="E71" t="s">
        <v>12757</v>
      </c>
    </row>
    <row r="72" spans="1:5" x14ac:dyDescent="0.25">
      <c r="A72" t="s">
        <v>1</v>
      </c>
      <c r="B72" t="s">
        <v>19</v>
      </c>
      <c r="C72" t="s">
        <v>23490</v>
      </c>
      <c r="D72" t="str">
        <f>HYPERLINK("https://rhld.insurance.arkansas.gov/NPILookup?Npi=1013007590","1013007590")</f>
        <v>1013007590</v>
      </c>
      <c r="E72" t="s">
        <v>52</v>
      </c>
    </row>
    <row r="73" spans="1:5" x14ac:dyDescent="0.25">
      <c r="A73" t="s">
        <v>1</v>
      </c>
      <c r="B73" t="s">
        <v>19</v>
      </c>
      <c r="C73" t="s">
        <v>23490</v>
      </c>
      <c r="D73" t="str">
        <f>HYPERLINK("https://rhld.insurance.arkansas.gov/NPILookup?Npi=1013015635","1013015635")</f>
        <v>1013015635</v>
      </c>
      <c r="E73" t="s">
        <v>53</v>
      </c>
    </row>
    <row r="74" spans="1:5" x14ac:dyDescent="0.25">
      <c r="A74" t="s">
        <v>1</v>
      </c>
      <c r="B74" t="s">
        <v>19</v>
      </c>
      <c r="C74" t="s">
        <v>23490</v>
      </c>
      <c r="D74" t="str">
        <f>HYPERLINK("https://rhld.insurance.arkansas.gov/NPILookup?Npi=1013021724","1013021724")</f>
        <v>1013021724</v>
      </c>
      <c r="E74" t="s">
        <v>54</v>
      </c>
    </row>
    <row r="75" spans="1:5" x14ac:dyDescent="0.25">
      <c r="A75" t="s">
        <v>1</v>
      </c>
      <c r="B75" t="s">
        <v>19</v>
      </c>
      <c r="C75" t="s">
        <v>23490</v>
      </c>
      <c r="D75" t="str">
        <f>HYPERLINK("https://rhld.insurance.arkansas.gov/NPILookup?Npi=1013042985","1013042985")</f>
        <v>1013042985</v>
      </c>
      <c r="E75" t="s">
        <v>55</v>
      </c>
    </row>
    <row r="76" spans="1:5" x14ac:dyDescent="0.25">
      <c r="A76" t="s">
        <v>1</v>
      </c>
      <c r="B76" t="s">
        <v>19</v>
      </c>
      <c r="C76" t="s">
        <v>23490</v>
      </c>
      <c r="D76" t="str">
        <f>HYPERLINK("https://rhld.insurance.arkansas.gov/NPILookup?Npi=1013057447","1013057447")</f>
        <v>1013057447</v>
      </c>
      <c r="E76" t="s">
        <v>56</v>
      </c>
    </row>
    <row r="77" spans="1:5" x14ac:dyDescent="0.25">
      <c r="A77" t="s">
        <v>1</v>
      </c>
      <c r="B77" t="s">
        <v>19</v>
      </c>
      <c r="C77" t="s">
        <v>23490</v>
      </c>
      <c r="D77" t="str">
        <f>HYPERLINK("https://rhld.insurance.arkansas.gov/NPILookup?Npi=1013057488","1013057488")</f>
        <v>1013057488</v>
      </c>
      <c r="E77" t="s">
        <v>10585</v>
      </c>
    </row>
    <row r="78" spans="1:5" x14ac:dyDescent="0.25">
      <c r="A78" t="s">
        <v>1</v>
      </c>
      <c r="B78" t="s">
        <v>19</v>
      </c>
      <c r="C78" t="s">
        <v>23490</v>
      </c>
      <c r="D78" t="str">
        <f>HYPERLINK("https://rhld.insurance.arkansas.gov/NPILookup?Npi=1013079490","1013079490")</f>
        <v>1013079490</v>
      </c>
      <c r="E78" t="s">
        <v>57</v>
      </c>
    </row>
    <row r="79" spans="1:5" x14ac:dyDescent="0.25">
      <c r="A79" t="s">
        <v>1</v>
      </c>
      <c r="B79" t="s">
        <v>19</v>
      </c>
      <c r="C79" t="s">
        <v>23490</v>
      </c>
      <c r="D79" t="str">
        <f>HYPERLINK("https://rhld.insurance.arkansas.gov/NPILookup?Npi=1013082205","1013082205")</f>
        <v>1013082205</v>
      </c>
      <c r="E79" t="s">
        <v>19321</v>
      </c>
    </row>
    <row r="80" spans="1:5" x14ac:dyDescent="0.25">
      <c r="A80" t="s">
        <v>1</v>
      </c>
      <c r="B80" t="s">
        <v>19</v>
      </c>
      <c r="C80" t="s">
        <v>23490</v>
      </c>
      <c r="D80" t="str">
        <f>HYPERLINK("https://rhld.insurance.arkansas.gov/NPILookup?Npi=1013083781","1013083781")</f>
        <v>1013083781</v>
      </c>
      <c r="E80" t="s">
        <v>58</v>
      </c>
    </row>
    <row r="81" spans="1:5" x14ac:dyDescent="0.25">
      <c r="A81" t="s">
        <v>1</v>
      </c>
      <c r="B81" t="s">
        <v>19</v>
      </c>
      <c r="C81" t="s">
        <v>23490</v>
      </c>
      <c r="D81" t="str">
        <f>HYPERLINK("https://rhld.insurance.arkansas.gov/NPILookup?Npi=1013101161","1013101161")</f>
        <v>1013101161</v>
      </c>
      <c r="E81" t="s">
        <v>59</v>
      </c>
    </row>
    <row r="82" spans="1:5" x14ac:dyDescent="0.25">
      <c r="A82" t="s">
        <v>1</v>
      </c>
      <c r="B82" t="s">
        <v>19</v>
      </c>
      <c r="C82" t="s">
        <v>23490</v>
      </c>
      <c r="D82" t="str">
        <f>HYPERLINK("https://rhld.insurance.arkansas.gov/NPILookup?Npi=1013103449","1013103449")</f>
        <v>1013103449</v>
      </c>
      <c r="E82" t="s">
        <v>18643</v>
      </c>
    </row>
    <row r="83" spans="1:5" x14ac:dyDescent="0.25">
      <c r="A83" t="s">
        <v>1</v>
      </c>
      <c r="B83" t="s">
        <v>19</v>
      </c>
      <c r="C83" t="s">
        <v>23490</v>
      </c>
      <c r="D83" t="str">
        <f>HYPERLINK("https://rhld.insurance.arkansas.gov/NPILookup?Npi=1013112119","1013112119")</f>
        <v>1013112119</v>
      </c>
      <c r="E83" t="s">
        <v>60</v>
      </c>
    </row>
    <row r="84" spans="1:5" x14ac:dyDescent="0.25">
      <c r="A84" t="s">
        <v>1</v>
      </c>
      <c r="B84" t="s">
        <v>19</v>
      </c>
      <c r="C84" t="s">
        <v>8427</v>
      </c>
      <c r="D84" t="str">
        <f>HYPERLINK("https://rhld.insurance.arkansas.gov/NPILookup?Npi=1013114610","1013114610")</f>
        <v>1013114610</v>
      </c>
      <c r="E84" t="s">
        <v>22880</v>
      </c>
    </row>
    <row r="85" spans="1:5" x14ac:dyDescent="0.25">
      <c r="A85" t="s">
        <v>1</v>
      </c>
      <c r="B85" t="s">
        <v>19</v>
      </c>
      <c r="C85" t="s">
        <v>23490</v>
      </c>
      <c r="D85" t="str">
        <f>HYPERLINK("https://rhld.insurance.arkansas.gov/NPILookup?Npi=1013132653","1013132653")</f>
        <v>1013132653</v>
      </c>
      <c r="E85" t="s">
        <v>61</v>
      </c>
    </row>
    <row r="86" spans="1:5" x14ac:dyDescent="0.25">
      <c r="A86" t="s">
        <v>1</v>
      </c>
      <c r="B86" t="s">
        <v>19</v>
      </c>
      <c r="C86" t="s">
        <v>23490</v>
      </c>
      <c r="D86" t="str">
        <f>HYPERLINK("https://rhld.insurance.arkansas.gov/NPILookup?Npi=1013141621","1013141621")</f>
        <v>1013141621</v>
      </c>
      <c r="E86" t="s">
        <v>21439</v>
      </c>
    </row>
    <row r="87" spans="1:5" x14ac:dyDescent="0.25">
      <c r="A87" t="s">
        <v>1</v>
      </c>
      <c r="B87" t="s">
        <v>19</v>
      </c>
      <c r="C87" t="s">
        <v>23490</v>
      </c>
      <c r="D87" t="str">
        <f>HYPERLINK("https://rhld.insurance.arkansas.gov/NPILookup?Npi=1013148832","1013148832")</f>
        <v>1013148832</v>
      </c>
      <c r="E87" t="s">
        <v>62</v>
      </c>
    </row>
    <row r="88" spans="1:5" x14ac:dyDescent="0.25">
      <c r="A88" t="s">
        <v>1</v>
      </c>
      <c r="B88" t="s">
        <v>19</v>
      </c>
      <c r="C88" t="s">
        <v>23490</v>
      </c>
      <c r="D88" t="str">
        <f>HYPERLINK("https://rhld.insurance.arkansas.gov/NPILookup?Npi=1013149798","1013149798")</f>
        <v>1013149798</v>
      </c>
      <c r="E88" t="s">
        <v>63</v>
      </c>
    </row>
    <row r="89" spans="1:5" x14ac:dyDescent="0.25">
      <c r="A89" t="s">
        <v>1</v>
      </c>
      <c r="B89" t="s">
        <v>19</v>
      </c>
      <c r="C89" t="s">
        <v>23490</v>
      </c>
      <c r="D89" t="str">
        <f>HYPERLINK("https://rhld.insurance.arkansas.gov/NPILookup?Npi=1013151273","1013151273")</f>
        <v>1013151273</v>
      </c>
      <c r="E89" t="s">
        <v>5456</v>
      </c>
    </row>
    <row r="90" spans="1:5" x14ac:dyDescent="0.25">
      <c r="A90" t="s">
        <v>1</v>
      </c>
      <c r="B90" t="s">
        <v>19</v>
      </c>
      <c r="C90" t="s">
        <v>23490</v>
      </c>
      <c r="D90" t="str">
        <f>HYPERLINK("https://rhld.insurance.arkansas.gov/NPILookup?Npi=1013159383","1013159383")</f>
        <v>1013159383</v>
      </c>
      <c r="E90" t="s">
        <v>8429</v>
      </c>
    </row>
    <row r="91" spans="1:5" x14ac:dyDescent="0.25">
      <c r="A91" t="s">
        <v>1</v>
      </c>
      <c r="B91" t="s">
        <v>19</v>
      </c>
      <c r="C91" t="s">
        <v>23490</v>
      </c>
      <c r="D91" t="str">
        <f>HYPERLINK("https://rhld.insurance.arkansas.gov/NPILookup?Npi=1013169945","1013169945")</f>
        <v>1013169945</v>
      </c>
      <c r="E91" t="s">
        <v>19322</v>
      </c>
    </row>
    <row r="92" spans="1:5" x14ac:dyDescent="0.25">
      <c r="A92" t="s">
        <v>1</v>
      </c>
      <c r="B92" t="s">
        <v>19</v>
      </c>
      <c r="C92" t="s">
        <v>23490</v>
      </c>
      <c r="D92" t="str">
        <f>HYPERLINK("https://rhld.insurance.arkansas.gov/NPILookup?Npi=1013189505","1013189505")</f>
        <v>1013189505</v>
      </c>
      <c r="E92" t="s">
        <v>21440</v>
      </c>
    </row>
    <row r="93" spans="1:5" x14ac:dyDescent="0.25">
      <c r="A93" t="s">
        <v>1</v>
      </c>
      <c r="B93" t="s">
        <v>19</v>
      </c>
      <c r="C93" t="s">
        <v>23490</v>
      </c>
      <c r="D93" t="str">
        <f>HYPERLINK("https://rhld.insurance.arkansas.gov/NPILookup?Npi=1013223130","1013223130")</f>
        <v>1013223130</v>
      </c>
      <c r="E93" t="s">
        <v>64</v>
      </c>
    </row>
    <row r="94" spans="1:5" x14ac:dyDescent="0.25">
      <c r="A94" t="s">
        <v>1</v>
      </c>
      <c r="B94" t="s">
        <v>19</v>
      </c>
      <c r="C94" t="s">
        <v>23490</v>
      </c>
      <c r="D94" t="str">
        <f>HYPERLINK("https://rhld.insurance.arkansas.gov/NPILookup?Npi=1013232362","1013232362")</f>
        <v>1013232362</v>
      </c>
      <c r="E94" t="s">
        <v>14684</v>
      </c>
    </row>
    <row r="95" spans="1:5" x14ac:dyDescent="0.25">
      <c r="A95" t="s">
        <v>1</v>
      </c>
      <c r="B95" t="s">
        <v>19</v>
      </c>
      <c r="C95" t="s">
        <v>23490</v>
      </c>
      <c r="D95" t="str">
        <f>HYPERLINK("https://rhld.insurance.arkansas.gov/NPILookup?Npi=1013241876","1013241876")</f>
        <v>1013241876</v>
      </c>
      <c r="E95" t="s">
        <v>65</v>
      </c>
    </row>
    <row r="96" spans="1:5" x14ac:dyDescent="0.25">
      <c r="A96" t="s">
        <v>1</v>
      </c>
      <c r="B96" t="s">
        <v>19</v>
      </c>
      <c r="C96" t="s">
        <v>23490</v>
      </c>
      <c r="D96" t="str">
        <f>HYPERLINK("https://rhld.insurance.arkansas.gov/NPILookup?Npi=1013243005","1013243005")</f>
        <v>1013243005</v>
      </c>
      <c r="E96" t="s">
        <v>8430</v>
      </c>
    </row>
    <row r="97" spans="1:5" x14ac:dyDescent="0.25">
      <c r="A97" t="s">
        <v>1</v>
      </c>
      <c r="B97" t="s">
        <v>19</v>
      </c>
      <c r="C97" t="s">
        <v>23490</v>
      </c>
      <c r="D97" t="str">
        <f>HYPERLINK("https://rhld.insurance.arkansas.gov/NPILookup?Npi=1013250166","1013250166")</f>
        <v>1013250166</v>
      </c>
      <c r="E97" t="s">
        <v>13329</v>
      </c>
    </row>
    <row r="98" spans="1:5" x14ac:dyDescent="0.25">
      <c r="A98" t="s">
        <v>1</v>
      </c>
      <c r="B98" t="s">
        <v>19</v>
      </c>
      <c r="C98" t="s">
        <v>23490</v>
      </c>
      <c r="D98" t="str">
        <f>HYPERLINK("https://rhld.insurance.arkansas.gov/NPILookup?Npi=1013250182","1013250182")</f>
        <v>1013250182</v>
      </c>
      <c r="E98" t="s">
        <v>8431</v>
      </c>
    </row>
    <row r="99" spans="1:5" x14ac:dyDescent="0.25">
      <c r="A99" t="s">
        <v>1</v>
      </c>
      <c r="B99" t="s">
        <v>19</v>
      </c>
      <c r="C99" t="s">
        <v>23490</v>
      </c>
      <c r="D99" t="str">
        <f>HYPERLINK("https://rhld.insurance.arkansas.gov/NPILookup?Npi=1013254622","1013254622")</f>
        <v>1013254622</v>
      </c>
      <c r="E99" t="s">
        <v>66</v>
      </c>
    </row>
    <row r="100" spans="1:5" x14ac:dyDescent="0.25">
      <c r="A100" t="s">
        <v>1</v>
      </c>
      <c r="B100" t="s">
        <v>19</v>
      </c>
      <c r="C100" t="s">
        <v>23490</v>
      </c>
      <c r="D100" t="str">
        <f>HYPERLINK("https://rhld.insurance.arkansas.gov/NPILookup?Npi=1013255298","1013255298")</f>
        <v>1013255298</v>
      </c>
      <c r="E100" t="s">
        <v>16847</v>
      </c>
    </row>
    <row r="101" spans="1:5" x14ac:dyDescent="0.25">
      <c r="A101" t="s">
        <v>1</v>
      </c>
      <c r="B101" t="s">
        <v>19</v>
      </c>
      <c r="C101" t="s">
        <v>23490</v>
      </c>
      <c r="D101" t="str">
        <f>HYPERLINK("https://rhld.insurance.arkansas.gov/NPILookup?Npi=1013262922","1013262922")</f>
        <v>1013262922</v>
      </c>
      <c r="E101" t="s">
        <v>67</v>
      </c>
    </row>
    <row r="102" spans="1:5" x14ac:dyDescent="0.25">
      <c r="A102" t="s">
        <v>1</v>
      </c>
      <c r="B102" t="s">
        <v>19</v>
      </c>
      <c r="C102" t="s">
        <v>23490</v>
      </c>
      <c r="D102" t="str">
        <f>HYPERLINK("https://rhld.insurance.arkansas.gov/NPILookup?Npi=1013270909","1013270909")</f>
        <v>1013270909</v>
      </c>
      <c r="E102" t="s">
        <v>68</v>
      </c>
    </row>
    <row r="103" spans="1:5" x14ac:dyDescent="0.25">
      <c r="A103" t="s">
        <v>1</v>
      </c>
      <c r="B103" t="s">
        <v>19</v>
      </c>
      <c r="C103" t="s">
        <v>23490</v>
      </c>
      <c r="D103" t="str">
        <f>HYPERLINK("https://rhld.insurance.arkansas.gov/NPILookup?Npi=1013271485","1013271485")</f>
        <v>1013271485</v>
      </c>
      <c r="E103" t="s">
        <v>10586</v>
      </c>
    </row>
    <row r="104" spans="1:5" x14ac:dyDescent="0.25">
      <c r="A104" t="s">
        <v>1</v>
      </c>
      <c r="B104" t="s">
        <v>19</v>
      </c>
      <c r="C104" t="s">
        <v>23490</v>
      </c>
      <c r="D104" t="str">
        <f>HYPERLINK("https://rhld.insurance.arkansas.gov/NPILookup?Npi=1013278167","1013278167")</f>
        <v>1013278167</v>
      </c>
      <c r="E104" t="s">
        <v>69</v>
      </c>
    </row>
    <row r="105" spans="1:5" x14ac:dyDescent="0.25">
      <c r="A105" t="s">
        <v>1</v>
      </c>
      <c r="B105" t="s">
        <v>19</v>
      </c>
      <c r="C105" t="s">
        <v>23490</v>
      </c>
      <c r="D105" t="str">
        <f>HYPERLINK("https://rhld.insurance.arkansas.gov/NPILookup?Npi=1013281609","1013281609")</f>
        <v>1013281609</v>
      </c>
      <c r="E105" t="s">
        <v>19323</v>
      </c>
    </row>
    <row r="106" spans="1:5" x14ac:dyDescent="0.25">
      <c r="A106" t="s">
        <v>1</v>
      </c>
      <c r="B106" t="s">
        <v>19</v>
      </c>
      <c r="C106" t="s">
        <v>23490</v>
      </c>
      <c r="D106" t="str">
        <f>HYPERLINK("https://rhld.insurance.arkansas.gov/NPILookup?Npi=1013302587","1013302587")</f>
        <v>1013302587</v>
      </c>
      <c r="E106" t="s">
        <v>16848</v>
      </c>
    </row>
    <row r="107" spans="1:5" x14ac:dyDescent="0.25">
      <c r="A107" t="s">
        <v>1</v>
      </c>
      <c r="B107" t="s">
        <v>19</v>
      </c>
      <c r="C107" t="s">
        <v>23490</v>
      </c>
      <c r="D107" t="str">
        <f>HYPERLINK("https://rhld.insurance.arkansas.gov/NPILookup?Npi=1013304393","1013304393")</f>
        <v>1013304393</v>
      </c>
      <c r="E107" t="s">
        <v>10587</v>
      </c>
    </row>
    <row r="108" spans="1:5" x14ac:dyDescent="0.25">
      <c r="A108" t="s">
        <v>1</v>
      </c>
      <c r="B108" t="s">
        <v>19</v>
      </c>
      <c r="C108" t="s">
        <v>23490</v>
      </c>
      <c r="D108" t="str">
        <f>HYPERLINK("https://rhld.insurance.arkansas.gov/NPILookup?Npi=1013305895","1013305895")</f>
        <v>1013305895</v>
      </c>
      <c r="E108" t="s">
        <v>19324</v>
      </c>
    </row>
    <row r="109" spans="1:5" x14ac:dyDescent="0.25">
      <c r="A109" t="s">
        <v>1</v>
      </c>
      <c r="B109" t="s">
        <v>19</v>
      </c>
      <c r="C109" t="s">
        <v>23490</v>
      </c>
      <c r="D109" t="str">
        <f>HYPERLINK("https://rhld.insurance.arkansas.gov/NPILookup?Npi=1013308436","1013308436")</f>
        <v>1013308436</v>
      </c>
      <c r="E109" t="s">
        <v>70</v>
      </c>
    </row>
    <row r="110" spans="1:5" x14ac:dyDescent="0.25">
      <c r="A110" t="s">
        <v>1</v>
      </c>
      <c r="B110" t="s">
        <v>19</v>
      </c>
      <c r="C110" t="s">
        <v>23490</v>
      </c>
      <c r="D110" t="str">
        <f>HYPERLINK("https://rhld.insurance.arkansas.gov/NPILookup?Npi=1013324631","1013324631")</f>
        <v>1013324631</v>
      </c>
      <c r="E110" t="s">
        <v>19325</v>
      </c>
    </row>
    <row r="111" spans="1:5" x14ac:dyDescent="0.25">
      <c r="A111" t="s">
        <v>1</v>
      </c>
      <c r="B111" t="s">
        <v>19</v>
      </c>
      <c r="C111" t="s">
        <v>23490</v>
      </c>
      <c r="D111" t="str">
        <f>HYPERLINK("https://rhld.insurance.arkansas.gov/NPILookup?Npi=1013324722","1013324722")</f>
        <v>1013324722</v>
      </c>
      <c r="E111" t="s">
        <v>10588</v>
      </c>
    </row>
    <row r="112" spans="1:5" x14ac:dyDescent="0.25">
      <c r="A112" t="s">
        <v>1</v>
      </c>
      <c r="B112" t="s">
        <v>19</v>
      </c>
      <c r="C112" t="s">
        <v>23490</v>
      </c>
      <c r="D112" t="str">
        <f>HYPERLINK("https://rhld.insurance.arkansas.gov/NPILookup?Npi=1013329218","1013329218")</f>
        <v>1013329218</v>
      </c>
      <c r="E112" t="s">
        <v>71</v>
      </c>
    </row>
    <row r="113" spans="1:5" x14ac:dyDescent="0.25">
      <c r="A113" t="s">
        <v>1</v>
      </c>
      <c r="B113" t="s">
        <v>19</v>
      </c>
      <c r="C113" t="s">
        <v>23490</v>
      </c>
      <c r="D113" t="str">
        <f>HYPERLINK("https://rhld.insurance.arkansas.gov/NPILookup?Npi=1013336296","1013336296")</f>
        <v>1013336296</v>
      </c>
      <c r="E113" t="s">
        <v>10589</v>
      </c>
    </row>
    <row r="114" spans="1:5" x14ac:dyDescent="0.25">
      <c r="A114" t="s">
        <v>1</v>
      </c>
      <c r="B114" t="s">
        <v>19</v>
      </c>
      <c r="C114" t="s">
        <v>23490</v>
      </c>
      <c r="D114" t="str">
        <f>HYPERLINK("https://rhld.insurance.arkansas.gov/NPILookup?Npi=1013339266","1013339266")</f>
        <v>1013339266</v>
      </c>
      <c r="E114" t="s">
        <v>18644</v>
      </c>
    </row>
    <row r="115" spans="1:5" x14ac:dyDescent="0.25">
      <c r="A115" t="s">
        <v>1</v>
      </c>
      <c r="B115" t="s">
        <v>19</v>
      </c>
      <c r="C115" t="s">
        <v>23490</v>
      </c>
      <c r="D115" t="str">
        <f>HYPERLINK("https://rhld.insurance.arkansas.gov/NPILookup?Npi=1013353150","1013353150")</f>
        <v>1013353150</v>
      </c>
      <c r="E115" t="s">
        <v>14685</v>
      </c>
    </row>
    <row r="116" spans="1:5" x14ac:dyDescent="0.25">
      <c r="A116" t="s">
        <v>1</v>
      </c>
      <c r="B116" t="s">
        <v>19</v>
      </c>
      <c r="C116" t="s">
        <v>23490</v>
      </c>
      <c r="D116" t="str">
        <f>HYPERLINK("https://rhld.insurance.arkansas.gov/NPILookup?Npi=1013358704","1013358704")</f>
        <v>1013358704</v>
      </c>
      <c r="E116" t="s">
        <v>21441</v>
      </c>
    </row>
    <row r="117" spans="1:5" x14ac:dyDescent="0.25">
      <c r="A117" t="s">
        <v>1</v>
      </c>
      <c r="B117" t="s">
        <v>19</v>
      </c>
      <c r="C117" t="s">
        <v>23490</v>
      </c>
      <c r="D117" t="str">
        <f>HYPERLINK("https://rhld.insurance.arkansas.gov/NPILookup?Npi=1013359769","1013359769")</f>
        <v>1013359769</v>
      </c>
      <c r="E117" t="s">
        <v>8432</v>
      </c>
    </row>
    <row r="118" spans="1:5" x14ac:dyDescent="0.25">
      <c r="A118" t="s">
        <v>1</v>
      </c>
      <c r="B118" t="s">
        <v>19</v>
      </c>
      <c r="C118" t="s">
        <v>23490</v>
      </c>
      <c r="D118" t="str">
        <f>HYPERLINK("https://rhld.insurance.arkansas.gov/NPILookup?Npi=1013367226","1013367226")</f>
        <v>1013367226</v>
      </c>
      <c r="E118" t="s">
        <v>10590</v>
      </c>
    </row>
    <row r="119" spans="1:5" x14ac:dyDescent="0.25">
      <c r="A119" t="s">
        <v>1</v>
      </c>
      <c r="B119" t="s">
        <v>19</v>
      </c>
      <c r="C119" t="s">
        <v>23490</v>
      </c>
      <c r="D119" t="str">
        <f>HYPERLINK("https://rhld.insurance.arkansas.gov/NPILookup?Npi=1013375815","1013375815")</f>
        <v>1013375815</v>
      </c>
      <c r="E119" t="s">
        <v>21442</v>
      </c>
    </row>
    <row r="120" spans="1:5" x14ac:dyDescent="0.25">
      <c r="A120" t="s">
        <v>1</v>
      </c>
      <c r="B120" t="s">
        <v>19</v>
      </c>
      <c r="C120" t="s">
        <v>23490</v>
      </c>
      <c r="D120" t="str">
        <f>HYPERLINK("https://rhld.insurance.arkansas.gov/NPILookup?Npi=1013376201","1013376201")</f>
        <v>1013376201</v>
      </c>
      <c r="E120" t="s">
        <v>10591</v>
      </c>
    </row>
    <row r="121" spans="1:5" x14ac:dyDescent="0.25">
      <c r="A121" t="s">
        <v>1</v>
      </c>
      <c r="B121" t="s">
        <v>19</v>
      </c>
      <c r="C121" t="s">
        <v>23490</v>
      </c>
      <c r="D121" t="str">
        <f>HYPERLINK("https://rhld.insurance.arkansas.gov/NPILookup?Npi=1013383090","1013383090")</f>
        <v>1013383090</v>
      </c>
      <c r="E121" t="s">
        <v>72</v>
      </c>
    </row>
    <row r="122" spans="1:5" x14ac:dyDescent="0.25">
      <c r="A122" t="s">
        <v>1</v>
      </c>
      <c r="B122" t="s">
        <v>19</v>
      </c>
      <c r="C122" t="s">
        <v>23490</v>
      </c>
      <c r="D122" t="str">
        <f>HYPERLINK("https://rhld.insurance.arkansas.gov/NPILookup?Npi=1013394287","1013394287")</f>
        <v>1013394287</v>
      </c>
      <c r="E122" t="s">
        <v>73</v>
      </c>
    </row>
    <row r="123" spans="1:5" x14ac:dyDescent="0.25">
      <c r="A123" t="s">
        <v>1</v>
      </c>
      <c r="B123" t="s">
        <v>19</v>
      </c>
      <c r="C123" t="s">
        <v>23490</v>
      </c>
      <c r="D123" t="str">
        <f>HYPERLINK("https://rhld.insurance.arkansas.gov/NPILookup?Npi=1013439082","1013439082")</f>
        <v>1013439082</v>
      </c>
      <c r="E123" t="s">
        <v>10594</v>
      </c>
    </row>
    <row r="124" spans="1:5" x14ac:dyDescent="0.25">
      <c r="A124" t="s">
        <v>1</v>
      </c>
      <c r="B124" t="s">
        <v>19</v>
      </c>
      <c r="C124" t="s">
        <v>23490</v>
      </c>
      <c r="D124" t="str">
        <f>HYPERLINK("https://rhld.insurance.arkansas.gov/NPILookup?Npi=1013447846","1013447846")</f>
        <v>1013447846</v>
      </c>
      <c r="E124" t="s">
        <v>16849</v>
      </c>
    </row>
    <row r="125" spans="1:5" x14ac:dyDescent="0.25">
      <c r="A125" t="s">
        <v>1</v>
      </c>
      <c r="B125" t="s">
        <v>19</v>
      </c>
      <c r="C125" t="s">
        <v>23490</v>
      </c>
      <c r="D125" t="str">
        <f>HYPERLINK("https://rhld.insurance.arkansas.gov/NPILookup?Npi=1013473008","1013473008")</f>
        <v>1013473008</v>
      </c>
      <c r="E125" t="s">
        <v>19326</v>
      </c>
    </row>
    <row r="126" spans="1:5" x14ac:dyDescent="0.25">
      <c r="A126" t="s">
        <v>1</v>
      </c>
      <c r="B126" t="s">
        <v>19</v>
      </c>
      <c r="C126" t="s">
        <v>23490</v>
      </c>
      <c r="D126" t="str">
        <f>HYPERLINK("https://rhld.insurance.arkansas.gov/NPILookup?Npi=1013479989","1013479989")</f>
        <v>1013479989</v>
      </c>
      <c r="E126" t="s">
        <v>20870</v>
      </c>
    </row>
    <row r="127" spans="1:5" x14ac:dyDescent="0.25">
      <c r="A127" t="s">
        <v>1</v>
      </c>
      <c r="B127" t="s">
        <v>19</v>
      </c>
      <c r="C127" t="s">
        <v>23490</v>
      </c>
      <c r="D127" t="str">
        <f>HYPERLINK("https://rhld.insurance.arkansas.gov/NPILookup?Npi=1013483700","1013483700")</f>
        <v>1013483700</v>
      </c>
      <c r="E127" t="s">
        <v>19327</v>
      </c>
    </row>
    <row r="128" spans="1:5" x14ac:dyDescent="0.25">
      <c r="A128" t="s">
        <v>1</v>
      </c>
      <c r="B128" t="s">
        <v>19</v>
      </c>
      <c r="C128" t="s">
        <v>23490</v>
      </c>
      <c r="D128" t="str">
        <f>HYPERLINK("https://rhld.insurance.arkansas.gov/NPILookup?Npi=1013489590","1013489590")</f>
        <v>1013489590</v>
      </c>
      <c r="E128" t="s">
        <v>13330</v>
      </c>
    </row>
    <row r="129" spans="1:5" x14ac:dyDescent="0.25">
      <c r="A129" t="s">
        <v>1</v>
      </c>
      <c r="B129" t="s">
        <v>19</v>
      </c>
      <c r="C129" t="s">
        <v>23490</v>
      </c>
      <c r="D129" t="str">
        <f>HYPERLINK("https://rhld.insurance.arkansas.gov/NPILookup?Npi=1013493832","1013493832")</f>
        <v>1013493832</v>
      </c>
      <c r="E129" t="s">
        <v>19328</v>
      </c>
    </row>
    <row r="130" spans="1:5" x14ac:dyDescent="0.25">
      <c r="A130" t="s">
        <v>1</v>
      </c>
      <c r="B130" t="s">
        <v>19</v>
      </c>
      <c r="C130" t="s">
        <v>23490</v>
      </c>
      <c r="D130" t="str">
        <f>HYPERLINK("https://rhld.insurance.arkansas.gov/NPILookup?Npi=1013513589","1013513589")</f>
        <v>1013513589</v>
      </c>
      <c r="E130" t="s">
        <v>17830</v>
      </c>
    </row>
    <row r="131" spans="1:5" x14ac:dyDescent="0.25">
      <c r="A131" t="s">
        <v>1</v>
      </c>
      <c r="B131" t="s">
        <v>19</v>
      </c>
      <c r="C131" t="s">
        <v>23490</v>
      </c>
      <c r="D131" t="str">
        <f>HYPERLINK("https://rhld.insurance.arkansas.gov/NPILookup?Npi=1013515857","1013515857")</f>
        <v>1013515857</v>
      </c>
      <c r="E131" t="s">
        <v>22881</v>
      </c>
    </row>
    <row r="132" spans="1:5" x14ac:dyDescent="0.25">
      <c r="A132" t="s">
        <v>1</v>
      </c>
      <c r="B132" t="s">
        <v>19</v>
      </c>
      <c r="C132" t="s">
        <v>23490</v>
      </c>
      <c r="D132" t="str">
        <f>HYPERLINK("https://rhld.insurance.arkansas.gov/NPILookup?Npi=1013524388","1013524388")</f>
        <v>1013524388</v>
      </c>
      <c r="E132" t="s">
        <v>17831</v>
      </c>
    </row>
    <row r="133" spans="1:5" x14ac:dyDescent="0.25">
      <c r="A133" t="s">
        <v>1</v>
      </c>
      <c r="B133" t="s">
        <v>19</v>
      </c>
      <c r="C133" t="s">
        <v>23490</v>
      </c>
      <c r="D133" t="str">
        <f>HYPERLINK("https://rhld.insurance.arkansas.gov/NPILookup?Npi=1013528728","1013528728")</f>
        <v>1013528728</v>
      </c>
      <c r="E133" t="s">
        <v>22882</v>
      </c>
    </row>
    <row r="134" spans="1:5" x14ac:dyDescent="0.25">
      <c r="A134" t="s">
        <v>1</v>
      </c>
      <c r="B134" t="s">
        <v>19</v>
      </c>
      <c r="C134" t="s">
        <v>23490</v>
      </c>
      <c r="D134" t="str">
        <f>HYPERLINK("https://rhld.insurance.arkansas.gov/NPILookup?Npi=1013548783","1013548783")</f>
        <v>1013548783</v>
      </c>
      <c r="E134" t="s">
        <v>16850</v>
      </c>
    </row>
    <row r="135" spans="1:5" x14ac:dyDescent="0.25">
      <c r="A135" t="s">
        <v>1</v>
      </c>
      <c r="B135" t="s">
        <v>19</v>
      </c>
      <c r="C135" t="s">
        <v>23490</v>
      </c>
      <c r="D135" t="str">
        <f>HYPERLINK("https://rhld.insurance.arkansas.gov/NPILookup?Npi=1013560655","1013560655")</f>
        <v>1013560655</v>
      </c>
      <c r="E135" t="s">
        <v>19329</v>
      </c>
    </row>
    <row r="136" spans="1:5" x14ac:dyDescent="0.25">
      <c r="A136" t="s">
        <v>1</v>
      </c>
      <c r="B136" t="s">
        <v>19</v>
      </c>
      <c r="C136" t="s">
        <v>23490</v>
      </c>
      <c r="D136" t="str">
        <f>HYPERLINK("https://rhld.insurance.arkansas.gov/NPILookup?Npi=1013563493","1013563493")</f>
        <v>1013563493</v>
      </c>
      <c r="E136" t="s">
        <v>19330</v>
      </c>
    </row>
    <row r="137" spans="1:5" x14ac:dyDescent="0.25">
      <c r="A137" t="s">
        <v>1</v>
      </c>
      <c r="B137" t="s">
        <v>19</v>
      </c>
      <c r="C137" t="s">
        <v>23490</v>
      </c>
      <c r="D137" t="str">
        <f>HYPERLINK("https://rhld.insurance.arkansas.gov/NPILookup?Npi=1013568997","1013568997")</f>
        <v>1013568997</v>
      </c>
      <c r="E137" t="s">
        <v>16851</v>
      </c>
    </row>
    <row r="138" spans="1:5" x14ac:dyDescent="0.25">
      <c r="A138" t="s">
        <v>1</v>
      </c>
      <c r="B138" t="s">
        <v>19</v>
      </c>
      <c r="C138" t="s">
        <v>23490</v>
      </c>
      <c r="D138" t="str">
        <f>HYPERLINK("https://rhld.insurance.arkansas.gov/NPILookup?Npi=1013580448","1013580448")</f>
        <v>1013580448</v>
      </c>
      <c r="E138" t="s">
        <v>18646</v>
      </c>
    </row>
    <row r="139" spans="1:5" x14ac:dyDescent="0.25">
      <c r="A139" t="s">
        <v>1</v>
      </c>
      <c r="B139" t="s">
        <v>19</v>
      </c>
      <c r="C139" t="s">
        <v>23490</v>
      </c>
      <c r="D139" t="str">
        <f>HYPERLINK("https://rhld.insurance.arkansas.gov/NPILookup?Npi=1013587575","1013587575")</f>
        <v>1013587575</v>
      </c>
      <c r="E139" t="s">
        <v>21443</v>
      </c>
    </row>
    <row r="140" spans="1:5" x14ac:dyDescent="0.25">
      <c r="A140" t="s">
        <v>1</v>
      </c>
      <c r="B140" t="s">
        <v>19</v>
      </c>
      <c r="C140" t="s">
        <v>23490</v>
      </c>
      <c r="D140" t="str">
        <f>HYPERLINK("https://rhld.insurance.arkansas.gov/NPILookup?Npi=1013629674","1013629674")</f>
        <v>1013629674</v>
      </c>
      <c r="E140" t="s">
        <v>21444</v>
      </c>
    </row>
    <row r="141" spans="1:5" x14ac:dyDescent="0.25">
      <c r="A141" t="s">
        <v>1</v>
      </c>
      <c r="B141" t="s">
        <v>19</v>
      </c>
      <c r="C141" t="s">
        <v>23490</v>
      </c>
      <c r="D141" t="str">
        <f>HYPERLINK("https://rhld.insurance.arkansas.gov/NPILookup?Npi=1013636695","1013636695")</f>
        <v>1013636695</v>
      </c>
      <c r="E141" t="s">
        <v>20871</v>
      </c>
    </row>
    <row r="142" spans="1:5" x14ac:dyDescent="0.25">
      <c r="A142" t="s">
        <v>1</v>
      </c>
      <c r="B142" t="s">
        <v>19</v>
      </c>
      <c r="C142" t="s">
        <v>23490</v>
      </c>
      <c r="D142" t="str">
        <f>HYPERLINK("https://rhld.insurance.arkansas.gov/NPILookup?Npi=1013658822","1013658822")</f>
        <v>1013658822</v>
      </c>
      <c r="E142" t="s">
        <v>19331</v>
      </c>
    </row>
    <row r="143" spans="1:5" x14ac:dyDescent="0.25">
      <c r="A143" t="s">
        <v>1</v>
      </c>
      <c r="B143" t="s">
        <v>19</v>
      </c>
      <c r="C143" t="s">
        <v>23490</v>
      </c>
      <c r="D143" t="str">
        <f>HYPERLINK("https://rhld.insurance.arkansas.gov/NPILookup?Npi=1013664093","1013664093")</f>
        <v>1013664093</v>
      </c>
      <c r="E143" t="s">
        <v>21445</v>
      </c>
    </row>
    <row r="144" spans="1:5" x14ac:dyDescent="0.25">
      <c r="A144" t="s">
        <v>1</v>
      </c>
      <c r="B144" t="s">
        <v>19</v>
      </c>
      <c r="C144" t="s">
        <v>23490</v>
      </c>
      <c r="D144" t="str">
        <f>HYPERLINK("https://rhld.insurance.arkansas.gov/NPILookup?Npi=1013901222","1013901222")</f>
        <v>1013901222</v>
      </c>
      <c r="E144" t="s">
        <v>74</v>
      </c>
    </row>
    <row r="145" spans="1:5" x14ac:dyDescent="0.25">
      <c r="A145" t="s">
        <v>1</v>
      </c>
      <c r="B145" t="s">
        <v>19</v>
      </c>
      <c r="C145" t="s">
        <v>23490</v>
      </c>
      <c r="D145" t="str">
        <f>HYPERLINK("https://rhld.insurance.arkansas.gov/NPILookup?Npi=1013903269","1013903269")</f>
        <v>1013903269</v>
      </c>
      <c r="E145" t="s">
        <v>75</v>
      </c>
    </row>
    <row r="146" spans="1:5" x14ac:dyDescent="0.25">
      <c r="A146" t="s">
        <v>1</v>
      </c>
      <c r="B146" t="s">
        <v>19</v>
      </c>
      <c r="C146" t="s">
        <v>23490</v>
      </c>
      <c r="D146" t="str">
        <f>HYPERLINK("https://rhld.insurance.arkansas.gov/NPILookup?Npi=1013914357","1013914357")</f>
        <v>1013914357</v>
      </c>
      <c r="E146" t="s">
        <v>77</v>
      </c>
    </row>
    <row r="147" spans="1:5" x14ac:dyDescent="0.25">
      <c r="A147" t="s">
        <v>1</v>
      </c>
      <c r="B147" t="s">
        <v>19</v>
      </c>
      <c r="C147" t="s">
        <v>23490</v>
      </c>
      <c r="D147" t="str">
        <f>HYPERLINK("https://rhld.insurance.arkansas.gov/NPILookup?Npi=1013918093","1013918093")</f>
        <v>1013918093</v>
      </c>
      <c r="E147" t="s">
        <v>78</v>
      </c>
    </row>
    <row r="148" spans="1:5" x14ac:dyDescent="0.25">
      <c r="A148" t="s">
        <v>1</v>
      </c>
      <c r="B148" t="s">
        <v>19</v>
      </c>
      <c r="C148" t="s">
        <v>23490</v>
      </c>
      <c r="D148" t="str">
        <f>HYPERLINK("https://rhld.insurance.arkansas.gov/NPILookup?Npi=1013922988","1013922988")</f>
        <v>1013922988</v>
      </c>
      <c r="E148" t="s">
        <v>79</v>
      </c>
    </row>
    <row r="149" spans="1:5" x14ac:dyDescent="0.25">
      <c r="A149" t="s">
        <v>1</v>
      </c>
      <c r="B149" t="s">
        <v>19</v>
      </c>
      <c r="C149" t="s">
        <v>23490</v>
      </c>
      <c r="D149" t="str">
        <f>HYPERLINK("https://rhld.insurance.arkansas.gov/NPILookup?Npi=1013945138","1013945138")</f>
        <v>1013945138</v>
      </c>
      <c r="E149" t="s">
        <v>80</v>
      </c>
    </row>
    <row r="150" spans="1:5" x14ac:dyDescent="0.25">
      <c r="A150" t="s">
        <v>1</v>
      </c>
      <c r="B150" t="s">
        <v>19</v>
      </c>
      <c r="C150" t="s">
        <v>23490</v>
      </c>
      <c r="D150" t="str">
        <f>HYPERLINK("https://rhld.insurance.arkansas.gov/NPILookup?Npi=1013953157","1013953157")</f>
        <v>1013953157</v>
      </c>
      <c r="E150" t="s">
        <v>81</v>
      </c>
    </row>
    <row r="151" spans="1:5" x14ac:dyDescent="0.25">
      <c r="A151" t="s">
        <v>1</v>
      </c>
      <c r="B151" t="s">
        <v>19</v>
      </c>
      <c r="C151" t="s">
        <v>23490</v>
      </c>
      <c r="D151" t="str">
        <f>HYPERLINK("https://rhld.insurance.arkansas.gov/NPILookup?Npi=1013954049","1013954049")</f>
        <v>1013954049</v>
      </c>
      <c r="E151" t="s">
        <v>82</v>
      </c>
    </row>
    <row r="152" spans="1:5" x14ac:dyDescent="0.25">
      <c r="A152" t="s">
        <v>1</v>
      </c>
      <c r="B152" t="s">
        <v>19</v>
      </c>
      <c r="C152" t="s">
        <v>23490</v>
      </c>
      <c r="D152" t="str">
        <f>HYPERLINK("https://rhld.insurance.arkansas.gov/NPILookup?Npi=1013955756","1013955756")</f>
        <v>1013955756</v>
      </c>
      <c r="E152" t="s">
        <v>83</v>
      </c>
    </row>
    <row r="153" spans="1:5" x14ac:dyDescent="0.25">
      <c r="A153" t="s">
        <v>1</v>
      </c>
      <c r="B153" t="s">
        <v>19</v>
      </c>
      <c r="C153" t="s">
        <v>23490</v>
      </c>
      <c r="D153" t="str">
        <f>HYPERLINK("https://rhld.insurance.arkansas.gov/NPILookup?Npi=1013958008","1013958008")</f>
        <v>1013958008</v>
      </c>
      <c r="E153" t="s">
        <v>84</v>
      </c>
    </row>
    <row r="154" spans="1:5" x14ac:dyDescent="0.25">
      <c r="A154" t="s">
        <v>1</v>
      </c>
      <c r="B154" t="s">
        <v>19</v>
      </c>
      <c r="C154" t="s">
        <v>23490</v>
      </c>
      <c r="D154" t="str">
        <f>HYPERLINK("https://rhld.insurance.arkansas.gov/NPILookup?Npi=1013958909","1013958909")</f>
        <v>1013958909</v>
      </c>
      <c r="E154" t="s">
        <v>85</v>
      </c>
    </row>
    <row r="155" spans="1:5" x14ac:dyDescent="0.25">
      <c r="A155" t="s">
        <v>1</v>
      </c>
      <c r="B155" t="s">
        <v>19</v>
      </c>
      <c r="C155" t="s">
        <v>23490</v>
      </c>
      <c r="D155" t="str">
        <f>HYPERLINK("https://rhld.insurance.arkansas.gov/NPILookup?Npi=1013983873","1013983873")</f>
        <v>1013983873</v>
      </c>
      <c r="E155" t="s">
        <v>86</v>
      </c>
    </row>
    <row r="156" spans="1:5" x14ac:dyDescent="0.25">
      <c r="A156" t="s">
        <v>1</v>
      </c>
      <c r="B156" t="s">
        <v>19</v>
      </c>
      <c r="C156" t="s">
        <v>23490</v>
      </c>
      <c r="D156" t="str">
        <f>HYPERLINK("https://rhld.insurance.arkansas.gov/NPILookup?Npi=1023005725","1023005725")</f>
        <v>1023005725</v>
      </c>
      <c r="E156" t="s">
        <v>87</v>
      </c>
    </row>
    <row r="157" spans="1:5" x14ac:dyDescent="0.25">
      <c r="A157" t="s">
        <v>1</v>
      </c>
      <c r="B157" t="s">
        <v>19</v>
      </c>
      <c r="C157" t="s">
        <v>23490</v>
      </c>
      <c r="D157" t="str">
        <f>HYPERLINK("https://rhld.insurance.arkansas.gov/NPILookup?Npi=1023011343","1023011343")</f>
        <v>1023011343</v>
      </c>
      <c r="E157" t="s">
        <v>88</v>
      </c>
    </row>
    <row r="158" spans="1:5" x14ac:dyDescent="0.25">
      <c r="A158" t="s">
        <v>1</v>
      </c>
      <c r="B158" t="s">
        <v>19</v>
      </c>
      <c r="C158" t="s">
        <v>23490</v>
      </c>
      <c r="D158" t="str">
        <f>HYPERLINK("https://rhld.insurance.arkansas.gov/NPILookup?Npi=1023012960","1023012960")</f>
        <v>1023012960</v>
      </c>
      <c r="E158" t="s">
        <v>89</v>
      </c>
    </row>
    <row r="159" spans="1:5" x14ac:dyDescent="0.25">
      <c r="A159" t="s">
        <v>1</v>
      </c>
      <c r="B159" t="s">
        <v>19</v>
      </c>
      <c r="C159" t="s">
        <v>23490</v>
      </c>
      <c r="D159" t="str">
        <f>HYPERLINK("https://rhld.insurance.arkansas.gov/NPILookup?Npi=1023015310","1023015310")</f>
        <v>1023015310</v>
      </c>
      <c r="E159" t="s">
        <v>13331</v>
      </c>
    </row>
    <row r="160" spans="1:5" x14ac:dyDescent="0.25">
      <c r="A160" t="s">
        <v>1</v>
      </c>
      <c r="B160" t="s">
        <v>19</v>
      </c>
      <c r="C160" t="s">
        <v>23490</v>
      </c>
      <c r="D160" t="str">
        <f>HYPERLINK("https://rhld.insurance.arkansas.gov/NPILookup?Npi=1023018439","1023018439")</f>
        <v>1023018439</v>
      </c>
      <c r="E160" t="s">
        <v>90</v>
      </c>
    </row>
    <row r="161" spans="1:5" x14ac:dyDescent="0.25">
      <c r="A161" t="s">
        <v>1</v>
      </c>
      <c r="B161" t="s">
        <v>19</v>
      </c>
      <c r="C161" t="s">
        <v>23490</v>
      </c>
      <c r="D161" t="str">
        <f>HYPERLINK("https://rhld.insurance.arkansas.gov/NPILookup?Npi=1023033073","1023033073")</f>
        <v>1023033073</v>
      </c>
      <c r="E161" t="s">
        <v>10595</v>
      </c>
    </row>
    <row r="162" spans="1:5" x14ac:dyDescent="0.25">
      <c r="A162" t="s">
        <v>1</v>
      </c>
      <c r="B162" t="s">
        <v>19</v>
      </c>
      <c r="C162" t="s">
        <v>23490</v>
      </c>
      <c r="D162" t="str">
        <f>HYPERLINK("https://rhld.insurance.arkansas.gov/NPILookup?Npi=1023047149","1023047149")</f>
        <v>1023047149</v>
      </c>
      <c r="E162" t="s">
        <v>91</v>
      </c>
    </row>
    <row r="163" spans="1:5" x14ac:dyDescent="0.25">
      <c r="A163" t="s">
        <v>1</v>
      </c>
      <c r="B163" t="s">
        <v>19</v>
      </c>
      <c r="C163" t="s">
        <v>23490</v>
      </c>
      <c r="D163" t="str">
        <f>HYPERLINK("https://rhld.insurance.arkansas.gov/NPILookup?Npi=1023047420","1023047420")</f>
        <v>1023047420</v>
      </c>
      <c r="E163" t="s">
        <v>92</v>
      </c>
    </row>
    <row r="164" spans="1:5" x14ac:dyDescent="0.25">
      <c r="A164" t="s">
        <v>1</v>
      </c>
      <c r="B164" t="s">
        <v>19</v>
      </c>
      <c r="C164" t="s">
        <v>23490</v>
      </c>
      <c r="D164" t="str">
        <f>HYPERLINK("https://rhld.insurance.arkansas.gov/NPILookup?Npi=1023052115","1023052115")</f>
        <v>1023052115</v>
      </c>
      <c r="E164" t="s">
        <v>93</v>
      </c>
    </row>
    <row r="165" spans="1:5" x14ac:dyDescent="0.25">
      <c r="A165" t="s">
        <v>1</v>
      </c>
      <c r="B165" t="s">
        <v>19</v>
      </c>
      <c r="C165" t="s">
        <v>23490</v>
      </c>
      <c r="D165" t="str">
        <f>HYPERLINK("https://rhld.insurance.arkansas.gov/NPILookup?Npi=1023053352","1023053352")</f>
        <v>1023053352</v>
      </c>
      <c r="E165" t="s">
        <v>10596</v>
      </c>
    </row>
    <row r="166" spans="1:5" x14ac:dyDescent="0.25">
      <c r="A166" t="s">
        <v>1</v>
      </c>
      <c r="B166" t="s">
        <v>19</v>
      </c>
      <c r="C166" t="s">
        <v>23490</v>
      </c>
      <c r="D166" t="str">
        <f>HYPERLINK("https://rhld.insurance.arkansas.gov/NPILookup?Npi=1023057668","1023057668")</f>
        <v>1023057668</v>
      </c>
      <c r="E166" t="s">
        <v>94</v>
      </c>
    </row>
    <row r="167" spans="1:5" x14ac:dyDescent="0.25">
      <c r="A167" t="s">
        <v>1</v>
      </c>
      <c r="B167" t="s">
        <v>19</v>
      </c>
      <c r="C167" t="s">
        <v>23490</v>
      </c>
      <c r="D167" t="str">
        <f>HYPERLINK("https://rhld.insurance.arkansas.gov/NPILookup?Npi=1023059193","1023059193")</f>
        <v>1023059193</v>
      </c>
      <c r="E167" t="s">
        <v>19332</v>
      </c>
    </row>
    <row r="168" spans="1:5" x14ac:dyDescent="0.25">
      <c r="A168" t="s">
        <v>1</v>
      </c>
      <c r="B168" t="s">
        <v>19</v>
      </c>
      <c r="C168" t="s">
        <v>23490</v>
      </c>
      <c r="D168" t="str">
        <f>HYPERLINK("https://rhld.insurance.arkansas.gov/NPILookup?Npi=1023068277","1023068277")</f>
        <v>1023068277</v>
      </c>
      <c r="E168" t="s">
        <v>95</v>
      </c>
    </row>
    <row r="169" spans="1:5" x14ac:dyDescent="0.25">
      <c r="A169" t="s">
        <v>1</v>
      </c>
      <c r="B169" t="s">
        <v>19</v>
      </c>
      <c r="C169" t="s">
        <v>23490</v>
      </c>
      <c r="D169" t="str">
        <f>HYPERLINK("https://rhld.insurance.arkansas.gov/NPILookup?Npi=1023072105","1023072105")</f>
        <v>1023072105</v>
      </c>
      <c r="E169" t="s">
        <v>19333</v>
      </c>
    </row>
    <row r="170" spans="1:5" x14ac:dyDescent="0.25">
      <c r="A170" t="s">
        <v>1</v>
      </c>
      <c r="B170" t="s">
        <v>19</v>
      </c>
      <c r="C170" t="s">
        <v>23490</v>
      </c>
      <c r="D170" t="str">
        <f>HYPERLINK("https://rhld.insurance.arkansas.gov/NPILookup?Npi=1023074119","1023074119")</f>
        <v>1023074119</v>
      </c>
      <c r="E170" t="s">
        <v>96</v>
      </c>
    </row>
    <row r="171" spans="1:5" x14ac:dyDescent="0.25">
      <c r="A171" t="s">
        <v>1</v>
      </c>
      <c r="B171" t="s">
        <v>19</v>
      </c>
      <c r="C171" t="s">
        <v>23490</v>
      </c>
      <c r="D171" t="str">
        <f>HYPERLINK("https://rhld.insurance.arkansas.gov/NPILookup?Npi=1023074382","1023074382")</f>
        <v>1023074382</v>
      </c>
      <c r="E171" t="s">
        <v>97</v>
      </c>
    </row>
    <row r="172" spans="1:5" x14ac:dyDescent="0.25">
      <c r="A172" t="s">
        <v>1</v>
      </c>
      <c r="B172" t="s">
        <v>19</v>
      </c>
      <c r="C172" t="s">
        <v>23490</v>
      </c>
      <c r="D172" t="str">
        <f>HYPERLINK("https://rhld.insurance.arkansas.gov/NPILookup?Npi=1023076619","1023076619")</f>
        <v>1023076619</v>
      </c>
      <c r="E172" t="s">
        <v>98</v>
      </c>
    </row>
    <row r="173" spans="1:5" x14ac:dyDescent="0.25">
      <c r="A173" t="s">
        <v>1</v>
      </c>
      <c r="B173" t="s">
        <v>19</v>
      </c>
      <c r="C173" t="s">
        <v>23490</v>
      </c>
      <c r="D173" t="str">
        <f>HYPERLINK("https://rhld.insurance.arkansas.gov/NPILookup?Npi=1023079985","1023079985")</f>
        <v>1023079985</v>
      </c>
      <c r="E173" t="s">
        <v>99</v>
      </c>
    </row>
    <row r="174" spans="1:5" x14ac:dyDescent="0.25">
      <c r="A174" t="s">
        <v>1</v>
      </c>
      <c r="B174" t="s">
        <v>19</v>
      </c>
      <c r="C174" t="s">
        <v>23490</v>
      </c>
      <c r="D174" t="str">
        <f>HYPERLINK("https://rhld.insurance.arkansas.gov/NPILookup?Npi=1023086931","1023086931")</f>
        <v>1023086931</v>
      </c>
      <c r="E174" t="s">
        <v>14690</v>
      </c>
    </row>
    <row r="175" spans="1:5" x14ac:dyDescent="0.25">
      <c r="A175" t="s">
        <v>1</v>
      </c>
      <c r="B175" t="s">
        <v>19</v>
      </c>
      <c r="C175" t="s">
        <v>23490</v>
      </c>
      <c r="D175" t="str">
        <f>HYPERLINK("https://rhld.insurance.arkansas.gov/NPILookup?Npi=1023093655","1023093655")</f>
        <v>1023093655</v>
      </c>
      <c r="E175" t="s">
        <v>100</v>
      </c>
    </row>
    <row r="176" spans="1:5" x14ac:dyDescent="0.25">
      <c r="A176" t="s">
        <v>1</v>
      </c>
      <c r="B176" t="s">
        <v>19</v>
      </c>
      <c r="C176" t="s">
        <v>23490</v>
      </c>
      <c r="D176" t="str">
        <f>HYPERLINK("https://rhld.insurance.arkansas.gov/NPILookup?Npi=1023108503","1023108503")</f>
        <v>1023108503</v>
      </c>
      <c r="E176" t="s">
        <v>101</v>
      </c>
    </row>
    <row r="177" spans="1:5" x14ac:dyDescent="0.25">
      <c r="A177" t="s">
        <v>1</v>
      </c>
      <c r="B177" t="s">
        <v>19</v>
      </c>
      <c r="C177" t="s">
        <v>23490</v>
      </c>
      <c r="D177" t="str">
        <f>HYPERLINK("https://rhld.insurance.arkansas.gov/NPILookup?Npi=1023108693","1023108693")</f>
        <v>1023108693</v>
      </c>
      <c r="E177" t="s">
        <v>19334</v>
      </c>
    </row>
    <row r="178" spans="1:5" x14ac:dyDescent="0.25">
      <c r="A178" t="s">
        <v>1</v>
      </c>
      <c r="B178" t="s">
        <v>19</v>
      </c>
      <c r="C178" t="s">
        <v>23490</v>
      </c>
      <c r="D178" t="str">
        <f>HYPERLINK("https://rhld.insurance.arkansas.gov/NPILookup?Npi=1023135639","1023135639")</f>
        <v>1023135639</v>
      </c>
      <c r="E178" t="s">
        <v>13332</v>
      </c>
    </row>
    <row r="179" spans="1:5" x14ac:dyDescent="0.25">
      <c r="A179" t="s">
        <v>1</v>
      </c>
      <c r="B179" t="s">
        <v>19</v>
      </c>
      <c r="C179" t="s">
        <v>23490</v>
      </c>
      <c r="D179" t="str">
        <f>HYPERLINK("https://rhld.insurance.arkansas.gov/NPILookup?Npi=1023143740","1023143740")</f>
        <v>1023143740</v>
      </c>
      <c r="E179" t="s">
        <v>10597</v>
      </c>
    </row>
    <row r="180" spans="1:5" x14ac:dyDescent="0.25">
      <c r="A180" t="s">
        <v>1</v>
      </c>
      <c r="B180" t="s">
        <v>19</v>
      </c>
      <c r="C180" t="s">
        <v>23490</v>
      </c>
      <c r="D180" t="str">
        <f>HYPERLINK("https://rhld.insurance.arkansas.gov/NPILookup?Npi=1023161700","1023161700")</f>
        <v>1023161700</v>
      </c>
      <c r="E180" t="s">
        <v>8433</v>
      </c>
    </row>
    <row r="181" spans="1:5" x14ac:dyDescent="0.25">
      <c r="A181" t="s">
        <v>1</v>
      </c>
      <c r="B181" t="s">
        <v>19</v>
      </c>
      <c r="C181" t="s">
        <v>23490</v>
      </c>
      <c r="D181" t="str">
        <f>HYPERLINK("https://rhld.insurance.arkansas.gov/NPILookup?Npi=1023170305","1023170305")</f>
        <v>1023170305</v>
      </c>
      <c r="E181" t="s">
        <v>102</v>
      </c>
    </row>
    <row r="182" spans="1:5" x14ac:dyDescent="0.25">
      <c r="A182" t="s">
        <v>1</v>
      </c>
      <c r="B182" t="s">
        <v>19</v>
      </c>
      <c r="C182" t="s">
        <v>23490</v>
      </c>
      <c r="D182" t="str">
        <f>HYPERLINK("https://rhld.insurance.arkansas.gov/NPILookup?Npi=1023181864","1023181864")</f>
        <v>1023181864</v>
      </c>
      <c r="E182" t="s">
        <v>103</v>
      </c>
    </row>
    <row r="183" spans="1:5" x14ac:dyDescent="0.25">
      <c r="A183" t="s">
        <v>1</v>
      </c>
      <c r="B183" t="s">
        <v>19</v>
      </c>
      <c r="C183" t="s">
        <v>23490</v>
      </c>
      <c r="D183" t="str">
        <f>HYPERLINK("https://rhld.insurance.arkansas.gov/NPILookup?Npi=1023211521","1023211521")</f>
        <v>1023211521</v>
      </c>
      <c r="E183" t="s">
        <v>6849</v>
      </c>
    </row>
    <row r="184" spans="1:5" x14ac:dyDescent="0.25">
      <c r="A184" t="s">
        <v>1</v>
      </c>
      <c r="B184" t="s">
        <v>19</v>
      </c>
      <c r="C184" t="s">
        <v>23490</v>
      </c>
      <c r="D184" t="str">
        <f>HYPERLINK("https://rhld.insurance.arkansas.gov/NPILookup?Npi=1023214574","1023214574")</f>
        <v>1023214574</v>
      </c>
      <c r="E184" t="s">
        <v>104</v>
      </c>
    </row>
    <row r="185" spans="1:5" x14ac:dyDescent="0.25">
      <c r="A185" t="s">
        <v>1</v>
      </c>
      <c r="B185" t="s">
        <v>19</v>
      </c>
      <c r="C185" t="s">
        <v>23490</v>
      </c>
      <c r="D185" t="str">
        <f>HYPERLINK("https://rhld.insurance.arkansas.gov/NPILookup?Npi=1023241403","1023241403")</f>
        <v>1023241403</v>
      </c>
      <c r="E185" t="s">
        <v>105</v>
      </c>
    </row>
    <row r="186" spans="1:5" x14ac:dyDescent="0.25">
      <c r="A186" t="s">
        <v>1</v>
      </c>
      <c r="B186" t="s">
        <v>19</v>
      </c>
      <c r="C186" t="s">
        <v>23490</v>
      </c>
      <c r="D186" t="str">
        <f>HYPERLINK("https://rhld.insurance.arkansas.gov/NPILookup?Npi=1023242963","1023242963")</f>
        <v>1023242963</v>
      </c>
      <c r="E186" t="s">
        <v>106</v>
      </c>
    </row>
    <row r="187" spans="1:5" x14ac:dyDescent="0.25">
      <c r="A187" t="s">
        <v>1</v>
      </c>
      <c r="B187" t="s">
        <v>19</v>
      </c>
      <c r="C187" t="s">
        <v>23490</v>
      </c>
      <c r="D187" t="str">
        <f>HYPERLINK("https://rhld.insurance.arkansas.gov/NPILookup?Npi=1023247566","1023247566")</f>
        <v>1023247566</v>
      </c>
      <c r="E187" t="s">
        <v>19335</v>
      </c>
    </row>
    <row r="188" spans="1:5" x14ac:dyDescent="0.25">
      <c r="A188" t="s">
        <v>1</v>
      </c>
      <c r="B188" t="s">
        <v>19</v>
      </c>
      <c r="C188" t="s">
        <v>23490</v>
      </c>
      <c r="D188" t="str">
        <f>HYPERLINK("https://rhld.insurance.arkansas.gov/NPILookup?Npi=1023252756","1023252756")</f>
        <v>1023252756</v>
      </c>
      <c r="E188" t="s">
        <v>17376</v>
      </c>
    </row>
    <row r="189" spans="1:5" x14ac:dyDescent="0.25">
      <c r="A189" t="s">
        <v>1</v>
      </c>
      <c r="B189" t="s">
        <v>19</v>
      </c>
      <c r="C189" t="s">
        <v>23490</v>
      </c>
      <c r="D189" t="str">
        <f>HYPERLINK("https://rhld.insurance.arkansas.gov/NPILookup?Npi=1023254257","1023254257")</f>
        <v>1023254257</v>
      </c>
      <c r="E189" t="s">
        <v>108</v>
      </c>
    </row>
    <row r="190" spans="1:5" x14ac:dyDescent="0.25">
      <c r="A190" t="s">
        <v>1</v>
      </c>
      <c r="B190" t="s">
        <v>19</v>
      </c>
      <c r="C190" t="s">
        <v>23490</v>
      </c>
      <c r="D190" t="str">
        <f>HYPERLINK("https://rhld.insurance.arkansas.gov/NPILookup?Npi=1023270790","1023270790")</f>
        <v>1023270790</v>
      </c>
      <c r="E190" t="s">
        <v>109</v>
      </c>
    </row>
    <row r="191" spans="1:5" x14ac:dyDescent="0.25">
      <c r="A191" t="s">
        <v>1</v>
      </c>
      <c r="B191" t="s">
        <v>19</v>
      </c>
      <c r="C191" t="s">
        <v>23490</v>
      </c>
      <c r="D191" t="str">
        <f>HYPERLINK("https://rhld.insurance.arkansas.gov/NPILookup?Npi=1023278983","1023278983")</f>
        <v>1023278983</v>
      </c>
      <c r="E191" t="s">
        <v>110</v>
      </c>
    </row>
    <row r="192" spans="1:5" x14ac:dyDescent="0.25">
      <c r="A192" t="s">
        <v>1</v>
      </c>
      <c r="B192" t="s">
        <v>19</v>
      </c>
      <c r="C192" t="s">
        <v>23490</v>
      </c>
      <c r="D192" t="str">
        <f>HYPERLINK("https://rhld.insurance.arkansas.gov/NPILookup?Npi=1023283710","1023283710")</f>
        <v>1023283710</v>
      </c>
      <c r="E192" t="s">
        <v>111</v>
      </c>
    </row>
    <row r="193" spans="1:5" x14ac:dyDescent="0.25">
      <c r="A193" t="s">
        <v>1</v>
      </c>
      <c r="B193" t="s">
        <v>19</v>
      </c>
      <c r="C193" t="s">
        <v>23490</v>
      </c>
      <c r="D193" t="str">
        <f>HYPERLINK("https://rhld.insurance.arkansas.gov/NPILookup?Npi=1023345675","1023345675")</f>
        <v>1023345675</v>
      </c>
      <c r="E193" t="s">
        <v>112</v>
      </c>
    </row>
    <row r="194" spans="1:5" x14ac:dyDescent="0.25">
      <c r="A194" t="s">
        <v>1</v>
      </c>
      <c r="B194" t="s">
        <v>19</v>
      </c>
      <c r="C194" t="s">
        <v>23490</v>
      </c>
      <c r="D194" t="str">
        <f>HYPERLINK("https://rhld.insurance.arkansas.gov/NPILookup?Npi=1023364254","1023364254")</f>
        <v>1023364254</v>
      </c>
      <c r="E194" t="s">
        <v>13333</v>
      </c>
    </row>
    <row r="195" spans="1:5" x14ac:dyDescent="0.25">
      <c r="A195" t="s">
        <v>1</v>
      </c>
      <c r="B195" t="s">
        <v>19</v>
      </c>
      <c r="C195" t="s">
        <v>23490</v>
      </c>
      <c r="D195" t="str">
        <f>HYPERLINK("https://rhld.insurance.arkansas.gov/NPILookup?Npi=1023378783","1023378783")</f>
        <v>1023378783</v>
      </c>
      <c r="E195" t="s">
        <v>113</v>
      </c>
    </row>
    <row r="196" spans="1:5" x14ac:dyDescent="0.25">
      <c r="A196" t="s">
        <v>1</v>
      </c>
      <c r="B196" t="s">
        <v>19</v>
      </c>
      <c r="C196" t="s">
        <v>23490</v>
      </c>
      <c r="D196" t="str">
        <f>HYPERLINK("https://rhld.insurance.arkansas.gov/NPILookup?Npi=1023405198","1023405198")</f>
        <v>1023405198</v>
      </c>
      <c r="E196" t="s">
        <v>114</v>
      </c>
    </row>
    <row r="197" spans="1:5" x14ac:dyDescent="0.25">
      <c r="A197" t="s">
        <v>1</v>
      </c>
      <c r="B197" t="s">
        <v>19</v>
      </c>
      <c r="C197" t="s">
        <v>23490</v>
      </c>
      <c r="D197" t="str">
        <f>HYPERLINK("https://rhld.insurance.arkansas.gov/NPILookup?Npi=1023424413","1023424413")</f>
        <v>1023424413</v>
      </c>
      <c r="E197" t="s">
        <v>115</v>
      </c>
    </row>
    <row r="198" spans="1:5" x14ac:dyDescent="0.25">
      <c r="A198" t="s">
        <v>1</v>
      </c>
      <c r="B198" t="s">
        <v>19</v>
      </c>
      <c r="C198" t="s">
        <v>23490</v>
      </c>
      <c r="D198" t="str">
        <f>HYPERLINK("https://rhld.insurance.arkansas.gov/NPILookup?Npi=1023427820","1023427820")</f>
        <v>1023427820</v>
      </c>
      <c r="E198" t="s">
        <v>13334</v>
      </c>
    </row>
    <row r="199" spans="1:5" x14ac:dyDescent="0.25">
      <c r="A199" t="s">
        <v>1</v>
      </c>
      <c r="B199" t="s">
        <v>19</v>
      </c>
      <c r="C199" t="s">
        <v>23490</v>
      </c>
      <c r="D199" t="str">
        <f>HYPERLINK("https://rhld.insurance.arkansas.gov/NPILookup?Npi=1023431749","1023431749")</f>
        <v>1023431749</v>
      </c>
      <c r="E199" t="s">
        <v>116</v>
      </c>
    </row>
    <row r="200" spans="1:5" x14ac:dyDescent="0.25">
      <c r="A200" t="s">
        <v>1</v>
      </c>
      <c r="B200" t="s">
        <v>19</v>
      </c>
      <c r="C200" t="s">
        <v>23490</v>
      </c>
      <c r="D200" t="str">
        <f>HYPERLINK("https://rhld.insurance.arkansas.gov/NPILookup?Npi=1023449550","1023449550")</f>
        <v>1023449550</v>
      </c>
      <c r="E200" t="s">
        <v>117</v>
      </c>
    </row>
    <row r="201" spans="1:5" x14ac:dyDescent="0.25">
      <c r="A201" t="s">
        <v>1</v>
      </c>
      <c r="B201" t="s">
        <v>19</v>
      </c>
      <c r="C201" t="s">
        <v>23490</v>
      </c>
      <c r="D201" t="str">
        <f>HYPERLINK("https://rhld.insurance.arkansas.gov/NPILookup?Npi=1023452174","1023452174")</f>
        <v>1023452174</v>
      </c>
      <c r="E201" t="s">
        <v>19336</v>
      </c>
    </row>
    <row r="202" spans="1:5" x14ac:dyDescent="0.25">
      <c r="A202" t="s">
        <v>1</v>
      </c>
      <c r="B202" t="s">
        <v>19</v>
      </c>
      <c r="C202" t="s">
        <v>23490</v>
      </c>
      <c r="D202" t="str">
        <f>HYPERLINK("https://rhld.insurance.arkansas.gov/NPILookup?Npi=1023460623","1023460623")</f>
        <v>1023460623</v>
      </c>
      <c r="E202" t="s">
        <v>8434</v>
      </c>
    </row>
    <row r="203" spans="1:5" x14ac:dyDescent="0.25">
      <c r="A203" t="s">
        <v>1</v>
      </c>
      <c r="B203" t="s">
        <v>19</v>
      </c>
      <c r="C203" t="s">
        <v>23490</v>
      </c>
      <c r="D203" t="str">
        <f>HYPERLINK("https://rhld.insurance.arkansas.gov/NPILookup?Npi=1023461399","1023461399")</f>
        <v>1023461399</v>
      </c>
      <c r="E203" t="s">
        <v>19337</v>
      </c>
    </row>
    <row r="204" spans="1:5" x14ac:dyDescent="0.25">
      <c r="A204" t="s">
        <v>1</v>
      </c>
      <c r="B204" t="s">
        <v>19</v>
      </c>
      <c r="C204" t="s">
        <v>23490</v>
      </c>
      <c r="D204" t="str">
        <f>HYPERLINK("https://rhld.insurance.arkansas.gov/NPILookup?Npi=1023475878","1023475878")</f>
        <v>1023475878</v>
      </c>
      <c r="E204" t="s">
        <v>19338</v>
      </c>
    </row>
    <row r="205" spans="1:5" x14ac:dyDescent="0.25">
      <c r="A205" t="s">
        <v>1</v>
      </c>
      <c r="B205" t="s">
        <v>19</v>
      </c>
      <c r="C205" t="s">
        <v>23490</v>
      </c>
      <c r="D205" t="str">
        <f>HYPERLINK("https://rhld.insurance.arkansas.gov/NPILookup?Npi=1023489242","1023489242")</f>
        <v>1023489242</v>
      </c>
      <c r="E205" t="s">
        <v>17377</v>
      </c>
    </row>
    <row r="206" spans="1:5" x14ac:dyDescent="0.25">
      <c r="A206" t="s">
        <v>1</v>
      </c>
      <c r="B206" t="s">
        <v>19</v>
      </c>
      <c r="C206" t="s">
        <v>23490</v>
      </c>
      <c r="D206" t="str">
        <f>HYPERLINK("https://rhld.insurance.arkansas.gov/NPILookup?Npi=1023506607","1023506607")</f>
        <v>1023506607</v>
      </c>
      <c r="E206" t="s">
        <v>19339</v>
      </c>
    </row>
    <row r="207" spans="1:5" x14ac:dyDescent="0.25">
      <c r="A207" t="s">
        <v>1</v>
      </c>
      <c r="B207" t="s">
        <v>19</v>
      </c>
      <c r="C207" t="s">
        <v>23490</v>
      </c>
      <c r="D207" t="str">
        <f>HYPERLINK("https://rhld.insurance.arkansas.gov/NPILookup?Npi=1023509940","1023509940")</f>
        <v>1023509940</v>
      </c>
      <c r="E207" t="s">
        <v>20872</v>
      </c>
    </row>
    <row r="208" spans="1:5" x14ac:dyDescent="0.25">
      <c r="A208" t="s">
        <v>1</v>
      </c>
      <c r="B208" t="s">
        <v>19</v>
      </c>
      <c r="C208" t="s">
        <v>23490</v>
      </c>
      <c r="D208" t="str">
        <f>HYPERLINK("https://rhld.insurance.arkansas.gov/NPILookup?Npi=1023510203","1023510203")</f>
        <v>1023510203</v>
      </c>
      <c r="E208" t="s">
        <v>19340</v>
      </c>
    </row>
    <row r="209" spans="1:5" x14ac:dyDescent="0.25">
      <c r="A209" t="s">
        <v>1</v>
      </c>
      <c r="B209" t="s">
        <v>19</v>
      </c>
      <c r="C209" t="s">
        <v>23490</v>
      </c>
      <c r="D209" t="str">
        <f>HYPERLINK("https://rhld.insurance.arkansas.gov/NPILookup?Npi=1023520780","1023520780")</f>
        <v>1023520780</v>
      </c>
      <c r="E209" t="s">
        <v>14693</v>
      </c>
    </row>
    <row r="210" spans="1:5" x14ac:dyDescent="0.25">
      <c r="A210" t="s">
        <v>1</v>
      </c>
      <c r="B210" t="s">
        <v>19</v>
      </c>
      <c r="C210" t="s">
        <v>23490</v>
      </c>
      <c r="D210" t="str">
        <f>HYPERLINK("https://rhld.insurance.arkansas.gov/NPILookup?Npi=1023525490","1023525490")</f>
        <v>1023525490</v>
      </c>
      <c r="E210" t="s">
        <v>12759</v>
      </c>
    </row>
    <row r="211" spans="1:5" x14ac:dyDescent="0.25">
      <c r="A211" t="s">
        <v>1</v>
      </c>
      <c r="B211" t="s">
        <v>19</v>
      </c>
      <c r="C211" t="s">
        <v>23490</v>
      </c>
      <c r="D211" t="str">
        <f>HYPERLINK("https://rhld.insurance.arkansas.gov/NPILookup?Npi=1023531811","1023531811")</f>
        <v>1023531811</v>
      </c>
      <c r="E211" t="s">
        <v>2777</v>
      </c>
    </row>
    <row r="212" spans="1:5" x14ac:dyDescent="0.25">
      <c r="A212" t="s">
        <v>1</v>
      </c>
      <c r="B212" t="s">
        <v>19</v>
      </c>
      <c r="C212" t="s">
        <v>23490</v>
      </c>
      <c r="D212" t="str">
        <f>HYPERLINK("https://rhld.insurance.arkansas.gov/NPILookup?Npi=1023535952","1023535952")</f>
        <v>1023535952</v>
      </c>
      <c r="E212" t="s">
        <v>12760</v>
      </c>
    </row>
    <row r="213" spans="1:5" x14ac:dyDescent="0.25">
      <c r="A213" t="s">
        <v>1</v>
      </c>
      <c r="B213" t="s">
        <v>19</v>
      </c>
      <c r="C213" t="s">
        <v>23490</v>
      </c>
      <c r="D213" t="str">
        <f>HYPERLINK("https://rhld.insurance.arkansas.gov/NPILookup?Npi=1023540655","1023540655")</f>
        <v>1023540655</v>
      </c>
      <c r="E213" t="s">
        <v>19341</v>
      </c>
    </row>
    <row r="214" spans="1:5" x14ac:dyDescent="0.25">
      <c r="A214" t="s">
        <v>1</v>
      </c>
      <c r="B214" t="s">
        <v>19</v>
      </c>
      <c r="C214" t="s">
        <v>23490</v>
      </c>
      <c r="D214" t="str">
        <f>HYPERLINK("https://rhld.insurance.arkansas.gov/NPILookup?Npi=1023542990","1023542990")</f>
        <v>1023542990</v>
      </c>
      <c r="E214" t="s">
        <v>19342</v>
      </c>
    </row>
    <row r="215" spans="1:5" x14ac:dyDescent="0.25">
      <c r="A215" t="s">
        <v>1</v>
      </c>
      <c r="B215" t="s">
        <v>19</v>
      </c>
      <c r="C215" t="s">
        <v>23490</v>
      </c>
      <c r="D215" t="str">
        <f>HYPERLINK("https://rhld.insurance.arkansas.gov/NPILookup?Npi=1023557758","1023557758")</f>
        <v>1023557758</v>
      </c>
      <c r="E215" t="s">
        <v>19343</v>
      </c>
    </row>
    <row r="216" spans="1:5" x14ac:dyDescent="0.25">
      <c r="A216" t="s">
        <v>1</v>
      </c>
      <c r="B216" t="s">
        <v>19</v>
      </c>
      <c r="C216" t="s">
        <v>23490</v>
      </c>
      <c r="D216" t="str">
        <f>HYPERLINK("https://rhld.insurance.arkansas.gov/NPILookup?Npi=1023566353","1023566353")</f>
        <v>1023566353</v>
      </c>
      <c r="E216" t="s">
        <v>10598</v>
      </c>
    </row>
    <row r="217" spans="1:5" x14ac:dyDescent="0.25">
      <c r="A217" t="s">
        <v>1</v>
      </c>
      <c r="B217" t="s">
        <v>19</v>
      </c>
      <c r="C217" t="s">
        <v>23490</v>
      </c>
      <c r="D217" t="str">
        <f>HYPERLINK("https://rhld.insurance.arkansas.gov/NPILookup?Npi=1023575420","1023575420")</f>
        <v>1023575420</v>
      </c>
      <c r="E217" t="s">
        <v>19344</v>
      </c>
    </row>
    <row r="218" spans="1:5" x14ac:dyDescent="0.25">
      <c r="A218" t="s">
        <v>1</v>
      </c>
      <c r="B218" t="s">
        <v>19</v>
      </c>
      <c r="C218" t="s">
        <v>23490</v>
      </c>
      <c r="D218" t="str">
        <f>HYPERLINK("https://rhld.insurance.arkansas.gov/NPILookup?Npi=1023577442","1023577442")</f>
        <v>1023577442</v>
      </c>
      <c r="E218" t="s">
        <v>17832</v>
      </c>
    </row>
    <row r="219" spans="1:5" x14ac:dyDescent="0.25">
      <c r="A219" t="s">
        <v>1</v>
      </c>
      <c r="B219" t="s">
        <v>19</v>
      </c>
      <c r="C219" t="s">
        <v>23490</v>
      </c>
      <c r="D219" t="str">
        <f>HYPERLINK("https://rhld.insurance.arkansas.gov/NPILookup?Npi=1023586906","1023586906")</f>
        <v>1023586906</v>
      </c>
      <c r="E219" t="s">
        <v>13335</v>
      </c>
    </row>
    <row r="220" spans="1:5" x14ac:dyDescent="0.25">
      <c r="A220" t="s">
        <v>1</v>
      </c>
      <c r="B220" t="s">
        <v>19</v>
      </c>
      <c r="C220" t="s">
        <v>23490</v>
      </c>
      <c r="D220" t="str">
        <f>HYPERLINK("https://rhld.insurance.arkansas.gov/NPILookup?Npi=1023595659","1023595659")</f>
        <v>1023595659</v>
      </c>
      <c r="E220" t="s">
        <v>13336</v>
      </c>
    </row>
    <row r="221" spans="1:5" x14ac:dyDescent="0.25">
      <c r="A221" t="s">
        <v>1</v>
      </c>
      <c r="B221" t="s">
        <v>19</v>
      </c>
      <c r="C221" t="s">
        <v>23490</v>
      </c>
      <c r="D221" t="str">
        <f>HYPERLINK("https://rhld.insurance.arkansas.gov/NPILookup?Npi=1023597655","1023597655")</f>
        <v>1023597655</v>
      </c>
      <c r="E221" t="s">
        <v>19345</v>
      </c>
    </row>
    <row r="222" spans="1:5" x14ac:dyDescent="0.25">
      <c r="A222" t="s">
        <v>1</v>
      </c>
      <c r="B222" t="s">
        <v>19</v>
      </c>
      <c r="C222" t="s">
        <v>23490</v>
      </c>
      <c r="D222" t="str">
        <f>HYPERLINK("https://rhld.insurance.arkansas.gov/NPILookup?Npi=1023614880","1023614880")</f>
        <v>1023614880</v>
      </c>
      <c r="E222" t="s">
        <v>19346</v>
      </c>
    </row>
    <row r="223" spans="1:5" x14ac:dyDescent="0.25">
      <c r="A223" t="s">
        <v>1</v>
      </c>
      <c r="B223" t="s">
        <v>19</v>
      </c>
      <c r="C223" t="s">
        <v>23490</v>
      </c>
      <c r="D223" t="str">
        <f>HYPERLINK("https://rhld.insurance.arkansas.gov/NPILookup?Npi=1023617594","1023617594")</f>
        <v>1023617594</v>
      </c>
      <c r="E223" t="s">
        <v>17378</v>
      </c>
    </row>
    <row r="224" spans="1:5" x14ac:dyDescent="0.25">
      <c r="A224" t="s">
        <v>1</v>
      </c>
      <c r="B224" t="s">
        <v>19</v>
      </c>
      <c r="C224" t="s">
        <v>23490</v>
      </c>
      <c r="D224" t="str">
        <f>HYPERLINK("https://rhld.insurance.arkansas.gov/NPILookup?Npi=1023627577","1023627577")</f>
        <v>1023627577</v>
      </c>
      <c r="E224" t="s">
        <v>17379</v>
      </c>
    </row>
    <row r="225" spans="1:5" x14ac:dyDescent="0.25">
      <c r="A225" t="s">
        <v>1</v>
      </c>
      <c r="B225" t="s">
        <v>19</v>
      </c>
      <c r="C225" t="s">
        <v>8427</v>
      </c>
      <c r="D225" t="str">
        <f>HYPERLINK("https://rhld.insurance.arkansas.gov/NPILookup?Npi=1023646734","1023646734")</f>
        <v>1023646734</v>
      </c>
      <c r="E225" t="s">
        <v>22883</v>
      </c>
    </row>
    <row r="226" spans="1:5" x14ac:dyDescent="0.25">
      <c r="A226" t="s">
        <v>1</v>
      </c>
      <c r="B226" t="s">
        <v>19</v>
      </c>
      <c r="C226" t="s">
        <v>23490</v>
      </c>
      <c r="D226" t="str">
        <f>HYPERLINK("https://rhld.insurance.arkansas.gov/NPILookup?Npi=1023688264","1023688264")</f>
        <v>1023688264</v>
      </c>
      <c r="E226" t="s">
        <v>19347</v>
      </c>
    </row>
    <row r="227" spans="1:5" x14ac:dyDescent="0.25">
      <c r="A227" t="s">
        <v>1</v>
      </c>
      <c r="B227" t="s">
        <v>19</v>
      </c>
      <c r="C227" t="s">
        <v>23490</v>
      </c>
      <c r="D227" t="str">
        <f>HYPERLINK("https://rhld.insurance.arkansas.gov/NPILookup?Npi=1023742038","1023742038")</f>
        <v>1023742038</v>
      </c>
      <c r="E227" t="s">
        <v>21446</v>
      </c>
    </row>
    <row r="228" spans="1:5" x14ac:dyDescent="0.25">
      <c r="A228" t="s">
        <v>1</v>
      </c>
      <c r="B228" t="s">
        <v>19</v>
      </c>
      <c r="C228" t="s">
        <v>23490</v>
      </c>
      <c r="D228" t="str">
        <f>HYPERLINK("https://rhld.insurance.arkansas.gov/NPILookup?Npi=1023762069","1023762069")</f>
        <v>1023762069</v>
      </c>
      <c r="E228" t="s">
        <v>19348</v>
      </c>
    </row>
    <row r="229" spans="1:5" x14ac:dyDescent="0.25">
      <c r="A229" t="s">
        <v>1</v>
      </c>
      <c r="B229" t="s">
        <v>19</v>
      </c>
      <c r="C229" t="s">
        <v>23490</v>
      </c>
      <c r="D229" t="str">
        <f>HYPERLINK("https://rhld.insurance.arkansas.gov/NPILookup?Npi=1023765294","1023765294")</f>
        <v>1023765294</v>
      </c>
      <c r="E229" t="s">
        <v>19349</v>
      </c>
    </row>
    <row r="230" spans="1:5" x14ac:dyDescent="0.25">
      <c r="A230" t="s">
        <v>1</v>
      </c>
      <c r="B230" t="s">
        <v>19</v>
      </c>
      <c r="C230" t="s">
        <v>23490</v>
      </c>
      <c r="D230" t="str">
        <f>HYPERLINK("https://rhld.insurance.arkansas.gov/NPILookup?Npi=1023781606","1023781606")</f>
        <v>1023781606</v>
      </c>
      <c r="E230" t="s">
        <v>18647</v>
      </c>
    </row>
    <row r="231" spans="1:5" x14ac:dyDescent="0.25">
      <c r="A231" t="s">
        <v>1</v>
      </c>
      <c r="B231" t="s">
        <v>19</v>
      </c>
      <c r="C231" t="s">
        <v>23490</v>
      </c>
      <c r="D231" t="str">
        <f>HYPERLINK("https://rhld.insurance.arkansas.gov/NPILookup?Npi=1033100433","1033100433")</f>
        <v>1033100433</v>
      </c>
      <c r="E231" t="s">
        <v>118</v>
      </c>
    </row>
    <row r="232" spans="1:5" x14ac:dyDescent="0.25">
      <c r="A232" t="s">
        <v>1</v>
      </c>
      <c r="B232" t="s">
        <v>19</v>
      </c>
      <c r="C232" t="s">
        <v>23490</v>
      </c>
      <c r="D232" t="str">
        <f>HYPERLINK("https://rhld.insurance.arkansas.gov/NPILookup?Npi=1033102181","1033102181")</f>
        <v>1033102181</v>
      </c>
      <c r="E232" t="s">
        <v>119</v>
      </c>
    </row>
    <row r="233" spans="1:5" x14ac:dyDescent="0.25">
      <c r="A233" t="s">
        <v>1</v>
      </c>
      <c r="B233" t="s">
        <v>19</v>
      </c>
      <c r="C233" t="s">
        <v>23490</v>
      </c>
      <c r="D233" t="str">
        <f>HYPERLINK("https://rhld.insurance.arkansas.gov/NPILookup?Npi=1033102637","1033102637")</f>
        <v>1033102637</v>
      </c>
      <c r="E233" t="s">
        <v>120</v>
      </c>
    </row>
    <row r="234" spans="1:5" x14ac:dyDescent="0.25">
      <c r="A234" t="s">
        <v>1</v>
      </c>
      <c r="B234" t="s">
        <v>19</v>
      </c>
      <c r="C234" t="s">
        <v>23490</v>
      </c>
      <c r="D234" t="str">
        <f>HYPERLINK("https://rhld.insurance.arkansas.gov/NPILookup?Npi=1033103296","1033103296")</f>
        <v>1033103296</v>
      </c>
      <c r="E234" t="s">
        <v>19350</v>
      </c>
    </row>
    <row r="235" spans="1:5" x14ac:dyDescent="0.25">
      <c r="A235" t="s">
        <v>1</v>
      </c>
      <c r="B235" t="s">
        <v>19</v>
      </c>
      <c r="C235" t="s">
        <v>23490</v>
      </c>
      <c r="D235" t="str">
        <f>HYPERLINK("https://rhld.insurance.arkansas.gov/NPILookup?Npi=1033105747","1033105747")</f>
        <v>1033105747</v>
      </c>
      <c r="E235" t="s">
        <v>12948</v>
      </c>
    </row>
    <row r="236" spans="1:5" x14ac:dyDescent="0.25">
      <c r="A236" t="s">
        <v>1</v>
      </c>
      <c r="B236" t="s">
        <v>19</v>
      </c>
      <c r="C236" t="s">
        <v>23490</v>
      </c>
      <c r="D236" t="str">
        <f>HYPERLINK("https://rhld.insurance.arkansas.gov/NPILookup?Npi=1033114566","1033114566")</f>
        <v>1033114566</v>
      </c>
      <c r="E236" t="s">
        <v>121</v>
      </c>
    </row>
    <row r="237" spans="1:5" x14ac:dyDescent="0.25">
      <c r="A237" t="s">
        <v>1</v>
      </c>
      <c r="B237" t="s">
        <v>19</v>
      </c>
      <c r="C237" t="s">
        <v>23490</v>
      </c>
      <c r="D237" t="str">
        <f>HYPERLINK("https://rhld.insurance.arkansas.gov/NPILookup?Npi=1033115639","1033115639")</f>
        <v>1033115639</v>
      </c>
      <c r="E237" t="s">
        <v>122</v>
      </c>
    </row>
    <row r="238" spans="1:5" x14ac:dyDescent="0.25">
      <c r="A238" t="s">
        <v>1</v>
      </c>
      <c r="B238" t="s">
        <v>19</v>
      </c>
      <c r="C238" t="s">
        <v>23490</v>
      </c>
      <c r="D238" t="str">
        <f>HYPERLINK("https://rhld.insurance.arkansas.gov/NPILookup?Npi=1033155890","1033155890")</f>
        <v>1033155890</v>
      </c>
      <c r="E238" t="s">
        <v>124</v>
      </c>
    </row>
    <row r="239" spans="1:5" x14ac:dyDescent="0.25">
      <c r="A239" t="s">
        <v>1</v>
      </c>
      <c r="B239" t="s">
        <v>19</v>
      </c>
      <c r="C239" t="s">
        <v>23490</v>
      </c>
      <c r="D239" t="str">
        <f>HYPERLINK("https://rhld.insurance.arkansas.gov/NPILookup?Npi=1033158845","1033158845")</f>
        <v>1033158845</v>
      </c>
      <c r="E239" t="s">
        <v>125</v>
      </c>
    </row>
    <row r="240" spans="1:5" x14ac:dyDescent="0.25">
      <c r="A240" t="s">
        <v>1</v>
      </c>
      <c r="B240" t="s">
        <v>19</v>
      </c>
      <c r="C240" t="s">
        <v>23490</v>
      </c>
      <c r="D240" t="str">
        <f>HYPERLINK("https://rhld.insurance.arkansas.gov/NPILookup?Npi=1033167994","1033167994")</f>
        <v>1033167994</v>
      </c>
      <c r="E240" t="s">
        <v>126</v>
      </c>
    </row>
    <row r="241" spans="1:5" x14ac:dyDescent="0.25">
      <c r="A241" t="s">
        <v>1</v>
      </c>
      <c r="B241" t="s">
        <v>19</v>
      </c>
      <c r="C241" t="s">
        <v>23490</v>
      </c>
      <c r="D241" t="str">
        <f>HYPERLINK("https://rhld.insurance.arkansas.gov/NPILookup?Npi=1033180963","1033180963")</f>
        <v>1033180963</v>
      </c>
      <c r="E241" t="s">
        <v>128</v>
      </c>
    </row>
    <row r="242" spans="1:5" x14ac:dyDescent="0.25">
      <c r="A242" t="s">
        <v>1</v>
      </c>
      <c r="B242" t="s">
        <v>19</v>
      </c>
      <c r="C242" t="s">
        <v>23490</v>
      </c>
      <c r="D242" t="str">
        <f>HYPERLINK("https://rhld.insurance.arkansas.gov/NPILookup?Npi=1033192992","1033192992")</f>
        <v>1033192992</v>
      </c>
      <c r="E242" t="s">
        <v>129</v>
      </c>
    </row>
    <row r="243" spans="1:5" x14ac:dyDescent="0.25">
      <c r="A243" t="s">
        <v>1</v>
      </c>
      <c r="B243" t="s">
        <v>19</v>
      </c>
      <c r="C243" t="s">
        <v>23490</v>
      </c>
      <c r="D243" t="str">
        <f>HYPERLINK("https://rhld.insurance.arkansas.gov/NPILookup?Npi=1033193966","1033193966")</f>
        <v>1033193966</v>
      </c>
      <c r="E243" t="s">
        <v>10599</v>
      </c>
    </row>
    <row r="244" spans="1:5" x14ac:dyDescent="0.25">
      <c r="A244" t="s">
        <v>1</v>
      </c>
      <c r="B244" t="s">
        <v>19</v>
      </c>
      <c r="C244" t="s">
        <v>23490</v>
      </c>
      <c r="D244" t="str">
        <f>HYPERLINK("https://rhld.insurance.arkansas.gov/NPILookup?Npi=1033198056","1033198056")</f>
        <v>1033198056</v>
      </c>
      <c r="E244" t="s">
        <v>8435</v>
      </c>
    </row>
    <row r="245" spans="1:5" x14ac:dyDescent="0.25">
      <c r="A245" t="s">
        <v>1</v>
      </c>
      <c r="B245" t="s">
        <v>19</v>
      </c>
      <c r="C245" t="s">
        <v>23490</v>
      </c>
      <c r="D245" t="str">
        <f>HYPERLINK("https://rhld.insurance.arkansas.gov/NPILookup?Npi=1033219753","1033219753")</f>
        <v>1033219753</v>
      </c>
      <c r="E245" t="s">
        <v>19351</v>
      </c>
    </row>
    <row r="246" spans="1:5" x14ac:dyDescent="0.25">
      <c r="A246" t="s">
        <v>1</v>
      </c>
      <c r="B246" t="s">
        <v>19</v>
      </c>
      <c r="C246" t="s">
        <v>23490</v>
      </c>
      <c r="D246" t="str">
        <f>HYPERLINK("https://rhld.insurance.arkansas.gov/NPILookup?Npi=1033221353","1033221353")</f>
        <v>1033221353</v>
      </c>
      <c r="E246" t="s">
        <v>14696</v>
      </c>
    </row>
    <row r="247" spans="1:5" x14ac:dyDescent="0.25">
      <c r="A247" t="s">
        <v>1</v>
      </c>
      <c r="B247" t="s">
        <v>19</v>
      </c>
      <c r="C247" t="s">
        <v>23490</v>
      </c>
      <c r="D247" t="str">
        <f>HYPERLINK("https://rhld.insurance.arkansas.gov/NPILookup?Npi=1033267679","1033267679")</f>
        <v>1033267679</v>
      </c>
      <c r="E247" t="s">
        <v>16852</v>
      </c>
    </row>
    <row r="248" spans="1:5" x14ac:dyDescent="0.25">
      <c r="A248" t="s">
        <v>1</v>
      </c>
      <c r="B248" t="s">
        <v>19</v>
      </c>
      <c r="C248" t="s">
        <v>23490</v>
      </c>
      <c r="D248" t="str">
        <f>HYPERLINK("https://rhld.insurance.arkansas.gov/NPILookup?Npi=1033272653","1033272653")</f>
        <v>1033272653</v>
      </c>
      <c r="E248" t="s">
        <v>12761</v>
      </c>
    </row>
    <row r="249" spans="1:5" x14ac:dyDescent="0.25">
      <c r="A249" t="s">
        <v>1</v>
      </c>
      <c r="B249" t="s">
        <v>19</v>
      </c>
      <c r="C249" t="s">
        <v>23490</v>
      </c>
      <c r="D249" t="str">
        <f>HYPERLINK("https://rhld.insurance.arkansas.gov/NPILookup?Npi=1033283155","1033283155")</f>
        <v>1033283155</v>
      </c>
      <c r="E249" t="s">
        <v>8436</v>
      </c>
    </row>
    <row r="250" spans="1:5" x14ac:dyDescent="0.25">
      <c r="A250" t="s">
        <v>1</v>
      </c>
      <c r="B250" t="s">
        <v>19</v>
      </c>
      <c r="C250" t="s">
        <v>23490</v>
      </c>
      <c r="D250" t="str">
        <f>HYPERLINK("https://rhld.insurance.arkansas.gov/NPILookup?Npi=1033301320","1033301320")</f>
        <v>1033301320</v>
      </c>
      <c r="E250" t="s">
        <v>19352</v>
      </c>
    </row>
    <row r="251" spans="1:5" x14ac:dyDescent="0.25">
      <c r="A251" t="s">
        <v>1</v>
      </c>
      <c r="B251" t="s">
        <v>19</v>
      </c>
      <c r="C251" t="s">
        <v>23490</v>
      </c>
      <c r="D251" t="str">
        <f>HYPERLINK("https://rhld.insurance.arkansas.gov/NPILookup?Npi=1033329701","1033329701")</f>
        <v>1033329701</v>
      </c>
      <c r="E251" t="s">
        <v>18648</v>
      </c>
    </row>
    <row r="252" spans="1:5" x14ac:dyDescent="0.25">
      <c r="A252" t="s">
        <v>1</v>
      </c>
      <c r="B252" t="s">
        <v>19</v>
      </c>
      <c r="C252" t="s">
        <v>23490</v>
      </c>
      <c r="D252" t="str">
        <f>HYPERLINK("https://rhld.insurance.arkansas.gov/NPILookup?Npi=1033346358","1033346358")</f>
        <v>1033346358</v>
      </c>
      <c r="E252" t="s">
        <v>132</v>
      </c>
    </row>
    <row r="253" spans="1:5" x14ac:dyDescent="0.25">
      <c r="A253" t="s">
        <v>1</v>
      </c>
      <c r="B253" t="s">
        <v>19</v>
      </c>
      <c r="C253" t="s">
        <v>23490</v>
      </c>
      <c r="D253" t="str">
        <f>HYPERLINK("https://rhld.insurance.arkansas.gov/NPILookup?Npi=1033368246","1033368246")</f>
        <v>1033368246</v>
      </c>
      <c r="E253" t="s">
        <v>133</v>
      </c>
    </row>
    <row r="254" spans="1:5" x14ac:dyDescent="0.25">
      <c r="A254" t="s">
        <v>1</v>
      </c>
      <c r="B254" t="s">
        <v>19</v>
      </c>
      <c r="C254" t="s">
        <v>23490</v>
      </c>
      <c r="D254" t="str">
        <f>HYPERLINK("https://rhld.insurance.arkansas.gov/NPILookup?Npi=1033394804","1033394804")</f>
        <v>1033394804</v>
      </c>
      <c r="E254" t="s">
        <v>134</v>
      </c>
    </row>
    <row r="255" spans="1:5" x14ac:dyDescent="0.25">
      <c r="A255" t="s">
        <v>1</v>
      </c>
      <c r="B255" t="s">
        <v>19</v>
      </c>
      <c r="C255" t="s">
        <v>23490</v>
      </c>
      <c r="D255" t="str">
        <f>HYPERLINK("https://rhld.insurance.arkansas.gov/NPILookup?Npi=1033405824","1033405824")</f>
        <v>1033405824</v>
      </c>
      <c r="E255" t="s">
        <v>8437</v>
      </c>
    </row>
    <row r="256" spans="1:5" x14ac:dyDescent="0.25">
      <c r="A256" t="s">
        <v>1</v>
      </c>
      <c r="B256" t="s">
        <v>19</v>
      </c>
      <c r="C256" t="s">
        <v>23490</v>
      </c>
      <c r="D256" t="str">
        <f>HYPERLINK("https://rhld.insurance.arkansas.gov/NPILookup?Npi=1033418439","1033418439")</f>
        <v>1033418439</v>
      </c>
      <c r="E256" t="s">
        <v>12762</v>
      </c>
    </row>
    <row r="257" spans="1:5" x14ac:dyDescent="0.25">
      <c r="A257" t="s">
        <v>1</v>
      </c>
      <c r="B257" t="s">
        <v>19</v>
      </c>
      <c r="C257" t="s">
        <v>23490</v>
      </c>
      <c r="D257" t="str">
        <f>HYPERLINK("https://rhld.insurance.arkansas.gov/NPILookup?Npi=1033434840","1033434840")</f>
        <v>1033434840</v>
      </c>
      <c r="E257" t="s">
        <v>135</v>
      </c>
    </row>
    <row r="258" spans="1:5" x14ac:dyDescent="0.25">
      <c r="A258" t="s">
        <v>1</v>
      </c>
      <c r="B258" t="s">
        <v>19</v>
      </c>
      <c r="C258" t="s">
        <v>23490</v>
      </c>
      <c r="D258" t="str">
        <f>HYPERLINK("https://rhld.insurance.arkansas.gov/NPILookup?Npi=1033461447","1033461447")</f>
        <v>1033461447</v>
      </c>
      <c r="E258" t="s">
        <v>136</v>
      </c>
    </row>
    <row r="259" spans="1:5" x14ac:dyDescent="0.25">
      <c r="A259" t="s">
        <v>1</v>
      </c>
      <c r="B259" t="s">
        <v>19</v>
      </c>
      <c r="C259" t="s">
        <v>23490</v>
      </c>
      <c r="D259" t="str">
        <f>HYPERLINK("https://rhld.insurance.arkansas.gov/NPILookup?Npi=1033479225","1033479225")</f>
        <v>1033479225</v>
      </c>
      <c r="E259" t="s">
        <v>8438</v>
      </c>
    </row>
    <row r="260" spans="1:5" x14ac:dyDescent="0.25">
      <c r="A260" t="s">
        <v>1</v>
      </c>
      <c r="B260" t="s">
        <v>19</v>
      </c>
      <c r="C260" t="s">
        <v>23490</v>
      </c>
      <c r="D260" t="str">
        <f>HYPERLINK("https://rhld.insurance.arkansas.gov/NPILookup?Npi=1033480116","1033480116")</f>
        <v>1033480116</v>
      </c>
      <c r="E260" t="s">
        <v>137</v>
      </c>
    </row>
    <row r="261" spans="1:5" x14ac:dyDescent="0.25">
      <c r="A261" t="s">
        <v>1</v>
      </c>
      <c r="B261" t="s">
        <v>19</v>
      </c>
      <c r="C261" t="s">
        <v>23490</v>
      </c>
      <c r="D261" t="str">
        <f>HYPERLINK("https://rhld.insurance.arkansas.gov/NPILookup?Npi=1033483474","1033483474")</f>
        <v>1033483474</v>
      </c>
      <c r="E261" t="s">
        <v>138</v>
      </c>
    </row>
    <row r="262" spans="1:5" x14ac:dyDescent="0.25">
      <c r="A262" t="s">
        <v>1</v>
      </c>
      <c r="B262" t="s">
        <v>19</v>
      </c>
      <c r="C262" t="s">
        <v>23490</v>
      </c>
      <c r="D262" t="str">
        <f>HYPERLINK("https://rhld.insurance.arkansas.gov/NPILookup?Npi=1033500673","1033500673")</f>
        <v>1033500673</v>
      </c>
      <c r="E262" t="s">
        <v>14698</v>
      </c>
    </row>
    <row r="263" spans="1:5" x14ac:dyDescent="0.25">
      <c r="A263" t="s">
        <v>1</v>
      </c>
      <c r="B263" t="s">
        <v>19</v>
      </c>
      <c r="C263" t="s">
        <v>23490</v>
      </c>
      <c r="D263" t="str">
        <f>HYPERLINK("https://rhld.insurance.arkansas.gov/NPILookup?Npi=1033501127","1033501127")</f>
        <v>1033501127</v>
      </c>
      <c r="E263" t="s">
        <v>8439</v>
      </c>
    </row>
    <row r="264" spans="1:5" x14ac:dyDescent="0.25">
      <c r="A264" t="s">
        <v>1</v>
      </c>
      <c r="B264" t="s">
        <v>19</v>
      </c>
      <c r="C264" t="s">
        <v>23490</v>
      </c>
      <c r="D264" t="str">
        <f>HYPERLINK("https://rhld.insurance.arkansas.gov/NPILookup?Npi=1033511449","1033511449")</f>
        <v>1033511449</v>
      </c>
      <c r="E264" t="s">
        <v>19353</v>
      </c>
    </row>
    <row r="265" spans="1:5" x14ac:dyDescent="0.25">
      <c r="A265" t="s">
        <v>1</v>
      </c>
      <c r="B265" t="s">
        <v>19</v>
      </c>
      <c r="C265" t="s">
        <v>23490</v>
      </c>
      <c r="D265" t="str">
        <f>HYPERLINK("https://rhld.insurance.arkansas.gov/NPILookup?Npi=1033523089","1033523089")</f>
        <v>1033523089</v>
      </c>
      <c r="E265" t="s">
        <v>139</v>
      </c>
    </row>
    <row r="266" spans="1:5" x14ac:dyDescent="0.25">
      <c r="A266" t="s">
        <v>1</v>
      </c>
      <c r="B266" t="s">
        <v>19</v>
      </c>
      <c r="C266" t="s">
        <v>23490</v>
      </c>
      <c r="D266" t="str">
        <f>HYPERLINK("https://rhld.insurance.arkansas.gov/NPILookup?Npi=1033526165","1033526165")</f>
        <v>1033526165</v>
      </c>
      <c r="E266" t="s">
        <v>13337</v>
      </c>
    </row>
    <row r="267" spans="1:5" x14ac:dyDescent="0.25">
      <c r="A267" t="s">
        <v>1</v>
      </c>
      <c r="B267" t="s">
        <v>19</v>
      </c>
      <c r="C267" t="s">
        <v>23490</v>
      </c>
      <c r="D267" t="str">
        <f>HYPERLINK("https://rhld.insurance.arkansas.gov/NPILookup?Npi=1033527213","1033527213")</f>
        <v>1033527213</v>
      </c>
      <c r="E267" t="s">
        <v>140</v>
      </c>
    </row>
    <row r="268" spans="1:5" x14ac:dyDescent="0.25">
      <c r="A268" t="s">
        <v>1</v>
      </c>
      <c r="B268" t="s">
        <v>19</v>
      </c>
      <c r="C268" t="s">
        <v>23490</v>
      </c>
      <c r="D268" t="str">
        <f>HYPERLINK("https://rhld.insurance.arkansas.gov/NPILookup?Npi=1033530605","1033530605")</f>
        <v>1033530605</v>
      </c>
      <c r="E268" t="s">
        <v>19354</v>
      </c>
    </row>
    <row r="269" spans="1:5" x14ac:dyDescent="0.25">
      <c r="A269" t="s">
        <v>1</v>
      </c>
      <c r="B269" t="s">
        <v>19</v>
      </c>
      <c r="C269" t="s">
        <v>23490</v>
      </c>
      <c r="D269" t="str">
        <f>HYPERLINK("https://rhld.insurance.arkansas.gov/NPILookup?Npi=1033557145","1033557145")</f>
        <v>1033557145</v>
      </c>
      <c r="E269" t="s">
        <v>141</v>
      </c>
    </row>
    <row r="270" spans="1:5" x14ac:dyDescent="0.25">
      <c r="A270" t="s">
        <v>1</v>
      </c>
      <c r="B270" t="s">
        <v>19</v>
      </c>
      <c r="C270" t="s">
        <v>23490</v>
      </c>
      <c r="D270" t="str">
        <f>HYPERLINK("https://rhld.insurance.arkansas.gov/NPILookup?Npi=1033577234","1033577234")</f>
        <v>1033577234</v>
      </c>
      <c r="E270" t="s">
        <v>8440</v>
      </c>
    </row>
    <row r="271" spans="1:5" x14ac:dyDescent="0.25">
      <c r="A271" t="s">
        <v>1</v>
      </c>
      <c r="B271" t="s">
        <v>19</v>
      </c>
      <c r="C271" t="s">
        <v>23490</v>
      </c>
      <c r="D271" t="str">
        <f>HYPERLINK("https://rhld.insurance.arkansas.gov/NPILookup?Npi=1033587860","1033587860")</f>
        <v>1033587860</v>
      </c>
      <c r="E271" t="s">
        <v>8441</v>
      </c>
    </row>
    <row r="272" spans="1:5" x14ac:dyDescent="0.25">
      <c r="A272" t="s">
        <v>1</v>
      </c>
      <c r="B272" t="s">
        <v>19</v>
      </c>
      <c r="C272" t="s">
        <v>23490</v>
      </c>
      <c r="D272" t="str">
        <f>HYPERLINK("https://rhld.insurance.arkansas.gov/NPILookup?Npi=1033597802","1033597802")</f>
        <v>1033597802</v>
      </c>
      <c r="E272" t="s">
        <v>13338</v>
      </c>
    </row>
    <row r="273" spans="1:5" x14ac:dyDescent="0.25">
      <c r="A273" t="s">
        <v>1</v>
      </c>
      <c r="B273" t="s">
        <v>19</v>
      </c>
      <c r="C273" t="s">
        <v>23490</v>
      </c>
      <c r="D273" t="str">
        <f>HYPERLINK("https://rhld.insurance.arkansas.gov/NPILookup?Npi=1033612585","1033612585")</f>
        <v>1033612585</v>
      </c>
      <c r="E273" t="s">
        <v>14699</v>
      </c>
    </row>
    <row r="274" spans="1:5" x14ac:dyDescent="0.25">
      <c r="A274" t="s">
        <v>1</v>
      </c>
      <c r="B274" t="s">
        <v>19</v>
      </c>
      <c r="C274" t="s">
        <v>23490</v>
      </c>
      <c r="D274" t="str">
        <f>HYPERLINK("https://rhld.insurance.arkansas.gov/NPILookup?Npi=1033615273","1033615273")</f>
        <v>1033615273</v>
      </c>
      <c r="E274" t="s">
        <v>16853</v>
      </c>
    </row>
    <row r="275" spans="1:5" x14ac:dyDescent="0.25">
      <c r="A275" t="s">
        <v>1</v>
      </c>
      <c r="B275" t="s">
        <v>19</v>
      </c>
      <c r="C275" t="s">
        <v>23490</v>
      </c>
      <c r="D275" t="str">
        <f>HYPERLINK("https://rhld.insurance.arkansas.gov/NPILookup?Npi=1033626585","1033626585")</f>
        <v>1033626585</v>
      </c>
      <c r="E275" t="s">
        <v>13339</v>
      </c>
    </row>
    <row r="276" spans="1:5" x14ac:dyDescent="0.25">
      <c r="A276" t="s">
        <v>1</v>
      </c>
      <c r="B276" t="s">
        <v>19</v>
      </c>
      <c r="C276" t="s">
        <v>23490</v>
      </c>
      <c r="D276" t="str">
        <f>HYPERLINK("https://rhld.insurance.arkansas.gov/NPILookup?Npi=1033635297","1033635297")</f>
        <v>1033635297</v>
      </c>
      <c r="E276" t="s">
        <v>22884</v>
      </c>
    </row>
    <row r="277" spans="1:5" x14ac:dyDescent="0.25">
      <c r="A277" t="s">
        <v>1</v>
      </c>
      <c r="B277" t="s">
        <v>19</v>
      </c>
      <c r="C277" t="s">
        <v>23490</v>
      </c>
      <c r="D277" t="str">
        <f>HYPERLINK("https://rhld.insurance.arkansas.gov/NPILookup?Npi=1033648803","1033648803")</f>
        <v>1033648803</v>
      </c>
      <c r="E277" t="s">
        <v>14701</v>
      </c>
    </row>
    <row r="278" spans="1:5" x14ac:dyDescent="0.25">
      <c r="A278" t="s">
        <v>1</v>
      </c>
      <c r="B278" t="s">
        <v>19</v>
      </c>
      <c r="C278" t="s">
        <v>23490</v>
      </c>
      <c r="D278" t="str">
        <f>HYPERLINK("https://rhld.insurance.arkansas.gov/NPILookup?Npi=1033652045","1033652045")</f>
        <v>1033652045</v>
      </c>
      <c r="E278" t="s">
        <v>13340</v>
      </c>
    </row>
    <row r="279" spans="1:5" x14ac:dyDescent="0.25">
      <c r="A279" t="s">
        <v>1</v>
      </c>
      <c r="B279" t="s">
        <v>19</v>
      </c>
      <c r="C279" t="s">
        <v>23490</v>
      </c>
      <c r="D279" t="str">
        <f>HYPERLINK("https://rhld.insurance.arkansas.gov/NPILookup?Npi=1033659677","1033659677")</f>
        <v>1033659677</v>
      </c>
      <c r="E279" t="s">
        <v>10600</v>
      </c>
    </row>
    <row r="280" spans="1:5" x14ac:dyDescent="0.25">
      <c r="A280" t="s">
        <v>1</v>
      </c>
      <c r="B280" t="s">
        <v>19</v>
      </c>
      <c r="C280" t="s">
        <v>23490</v>
      </c>
      <c r="D280" t="str">
        <f>HYPERLINK("https://rhld.insurance.arkansas.gov/NPILookup?Npi=1033661798","1033661798")</f>
        <v>1033661798</v>
      </c>
      <c r="E280" t="s">
        <v>10601</v>
      </c>
    </row>
    <row r="281" spans="1:5" x14ac:dyDescent="0.25">
      <c r="A281" t="s">
        <v>1</v>
      </c>
      <c r="B281" t="s">
        <v>19</v>
      </c>
      <c r="C281" t="s">
        <v>23490</v>
      </c>
      <c r="D281" t="str">
        <f>HYPERLINK("https://rhld.insurance.arkansas.gov/NPILookup?Npi=1033674049","1033674049")</f>
        <v>1033674049</v>
      </c>
      <c r="E281" t="s">
        <v>19355</v>
      </c>
    </row>
    <row r="282" spans="1:5" x14ac:dyDescent="0.25">
      <c r="A282" t="s">
        <v>1</v>
      </c>
      <c r="B282" t="s">
        <v>19</v>
      </c>
      <c r="C282" t="s">
        <v>23490</v>
      </c>
      <c r="D282" t="str">
        <f>HYPERLINK("https://rhld.insurance.arkansas.gov/NPILookup?Npi=1033675798","1033675798")</f>
        <v>1033675798</v>
      </c>
      <c r="E282" t="s">
        <v>14702</v>
      </c>
    </row>
    <row r="283" spans="1:5" x14ac:dyDescent="0.25">
      <c r="A283" t="s">
        <v>1</v>
      </c>
      <c r="B283" t="s">
        <v>19</v>
      </c>
      <c r="C283" t="s">
        <v>23490</v>
      </c>
      <c r="D283" t="str">
        <f>HYPERLINK("https://rhld.insurance.arkansas.gov/NPILookup?Npi=1033680962","1033680962")</f>
        <v>1033680962</v>
      </c>
      <c r="E283" t="s">
        <v>19356</v>
      </c>
    </row>
    <row r="284" spans="1:5" x14ac:dyDescent="0.25">
      <c r="A284" t="s">
        <v>1</v>
      </c>
      <c r="B284" t="s">
        <v>19</v>
      </c>
      <c r="C284" t="s">
        <v>23490</v>
      </c>
      <c r="D284" t="str">
        <f>HYPERLINK("https://rhld.insurance.arkansas.gov/NPILookup?Npi=1033689864","1033689864")</f>
        <v>1033689864</v>
      </c>
      <c r="E284" t="s">
        <v>17833</v>
      </c>
    </row>
    <row r="285" spans="1:5" x14ac:dyDescent="0.25">
      <c r="A285" t="s">
        <v>1</v>
      </c>
      <c r="B285" t="s">
        <v>19</v>
      </c>
      <c r="C285" t="s">
        <v>23490</v>
      </c>
      <c r="D285" t="str">
        <f>HYPERLINK("https://rhld.insurance.arkansas.gov/NPILookup?Npi=1033696273","1033696273")</f>
        <v>1033696273</v>
      </c>
      <c r="E285" t="s">
        <v>14703</v>
      </c>
    </row>
    <row r="286" spans="1:5" x14ac:dyDescent="0.25">
      <c r="A286" t="s">
        <v>1</v>
      </c>
      <c r="B286" t="s">
        <v>19</v>
      </c>
      <c r="C286" t="s">
        <v>23490</v>
      </c>
      <c r="D286" t="str">
        <f>HYPERLINK("https://rhld.insurance.arkansas.gov/NPILookup?Npi=1033704127","1033704127")</f>
        <v>1033704127</v>
      </c>
      <c r="E286" t="s">
        <v>17834</v>
      </c>
    </row>
    <row r="287" spans="1:5" x14ac:dyDescent="0.25">
      <c r="A287" t="s">
        <v>1</v>
      </c>
      <c r="B287" t="s">
        <v>19</v>
      </c>
      <c r="C287" t="s">
        <v>23490</v>
      </c>
      <c r="D287" t="str">
        <f>HYPERLINK("https://rhld.insurance.arkansas.gov/NPILookup?Npi=1033713482","1033713482")</f>
        <v>1033713482</v>
      </c>
      <c r="E287" t="s">
        <v>18649</v>
      </c>
    </row>
    <row r="288" spans="1:5" x14ac:dyDescent="0.25">
      <c r="A288" t="s">
        <v>1</v>
      </c>
      <c r="B288" t="s">
        <v>19</v>
      </c>
      <c r="C288" t="s">
        <v>23490</v>
      </c>
      <c r="D288" t="str">
        <f>HYPERLINK("https://rhld.insurance.arkansas.gov/NPILookup?Npi=1033737424","1033737424")</f>
        <v>1033737424</v>
      </c>
      <c r="E288" t="s">
        <v>19357</v>
      </c>
    </row>
    <row r="289" spans="1:5" x14ac:dyDescent="0.25">
      <c r="A289" t="s">
        <v>1</v>
      </c>
      <c r="B289" t="s">
        <v>19</v>
      </c>
      <c r="C289" t="s">
        <v>23490</v>
      </c>
      <c r="D289" t="str">
        <f>HYPERLINK("https://rhld.insurance.arkansas.gov/NPILookup?Npi=1033750898","1033750898")</f>
        <v>1033750898</v>
      </c>
      <c r="E289" t="s">
        <v>19358</v>
      </c>
    </row>
    <row r="290" spans="1:5" x14ac:dyDescent="0.25">
      <c r="A290" t="s">
        <v>1</v>
      </c>
      <c r="B290" t="s">
        <v>19</v>
      </c>
      <c r="C290" t="s">
        <v>23490</v>
      </c>
      <c r="D290" t="str">
        <f>HYPERLINK("https://rhld.insurance.arkansas.gov/NPILookup?Npi=1033752803","1033752803")</f>
        <v>1033752803</v>
      </c>
      <c r="E290" t="s">
        <v>16854</v>
      </c>
    </row>
    <row r="291" spans="1:5" x14ac:dyDescent="0.25">
      <c r="A291" t="s">
        <v>1</v>
      </c>
      <c r="B291" t="s">
        <v>19</v>
      </c>
      <c r="C291" t="s">
        <v>23490</v>
      </c>
      <c r="D291" t="str">
        <f>HYPERLINK("https://rhld.insurance.arkansas.gov/NPILookup?Npi=1033765490","1033765490")</f>
        <v>1033765490</v>
      </c>
      <c r="E291" t="s">
        <v>17835</v>
      </c>
    </row>
    <row r="292" spans="1:5" x14ac:dyDescent="0.25">
      <c r="A292" t="s">
        <v>1</v>
      </c>
      <c r="B292" t="s">
        <v>19</v>
      </c>
      <c r="C292" t="s">
        <v>23490</v>
      </c>
      <c r="D292" t="str">
        <f>HYPERLINK("https://rhld.insurance.arkansas.gov/NPILookup?Npi=1033771969","1033771969")</f>
        <v>1033771969</v>
      </c>
      <c r="E292" t="s">
        <v>14704</v>
      </c>
    </row>
    <row r="293" spans="1:5" x14ac:dyDescent="0.25">
      <c r="A293" t="s">
        <v>1</v>
      </c>
      <c r="B293" t="s">
        <v>19</v>
      </c>
      <c r="C293" t="s">
        <v>23490</v>
      </c>
      <c r="D293" t="str">
        <f>HYPERLINK("https://rhld.insurance.arkansas.gov/NPILookup?Npi=1033785175","1033785175")</f>
        <v>1033785175</v>
      </c>
      <c r="E293" t="s">
        <v>18650</v>
      </c>
    </row>
    <row r="294" spans="1:5" x14ac:dyDescent="0.25">
      <c r="A294" t="s">
        <v>1</v>
      </c>
      <c r="B294" t="s">
        <v>19</v>
      </c>
      <c r="C294" t="s">
        <v>23490</v>
      </c>
      <c r="D294" t="str">
        <f>HYPERLINK("https://rhld.insurance.arkansas.gov/NPILookup?Npi=1033788195","1033788195")</f>
        <v>1033788195</v>
      </c>
      <c r="E294" t="s">
        <v>18651</v>
      </c>
    </row>
    <row r="295" spans="1:5" x14ac:dyDescent="0.25">
      <c r="A295" t="s">
        <v>1</v>
      </c>
      <c r="B295" t="s">
        <v>19</v>
      </c>
      <c r="C295" t="s">
        <v>8427</v>
      </c>
      <c r="D295" t="str">
        <f>HYPERLINK("https://rhld.insurance.arkansas.gov/NPILookup?Npi=1033824867","1033824867")</f>
        <v>1033824867</v>
      </c>
      <c r="E295" t="s">
        <v>22885</v>
      </c>
    </row>
    <row r="296" spans="1:5" x14ac:dyDescent="0.25">
      <c r="A296" t="s">
        <v>1</v>
      </c>
      <c r="B296" t="s">
        <v>19</v>
      </c>
      <c r="C296" t="s">
        <v>23490</v>
      </c>
      <c r="D296" t="str">
        <f>HYPERLINK("https://rhld.insurance.arkansas.gov/NPILookup?Npi=1033839931","1033839931")</f>
        <v>1033839931</v>
      </c>
      <c r="E296" t="s">
        <v>21447</v>
      </c>
    </row>
    <row r="297" spans="1:5" x14ac:dyDescent="0.25">
      <c r="A297" t="s">
        <v>1</v>
      </c>
      <c r="B297" t="s">
        <v>19</v>
      </c>
      <c r="C297" t="s">
        <v>23490</v>
      </c>
      <c r="D297" t="str">
        <f>HYPERLINK("https://rhld.insurance.arkansas.gov/NPILookup?Npi=1033857628","1033857628")</f>
        <v>1033857628</v>
      </c>
      <c r="E297" t="s">
        <v>20873</v>
      </c>
    </row>
    <row r="298" spans="1:5" x14ac:dyDescent="0.25">
      <c r="A298" t="s">
        <v>1</v>
      </c>
      <c r="B298" t="s">
        <v>19</v>
      </c>
      <c r="C298" t="s">
        <v>23490</v>
      </c>
      <c r="D298" t="str">
        <f>HYPERLINK("https://rhld.insurance.arkansas.gov/NPILookup?Npi=1033862883","1033862883")</f>
        <v>1033862883</v>
      </c>
      <c r="E298" t="s">
        <v>19359</v>
      </c>
    </row>
    <row r="299" spans="1:5" x14ac:dyDescent="0.25">
      <c r="A299" t="s">
        <v>1</v>
      </c>
      <c r="B299" t="s">
        <v>19</v>
      </c>
      <c r="C299" t="s">
        <v>23490</v>
      </c>
      <c r="D299" t="str">
        <f>HYPERLINK("https://rhld.insurance.arkansas.gov/NPILookup?Npi=1033886809","1033886809")</f>
        <v>1033886809</v>
      </c>
      <c r="E299" t="s">
        <v>18652</v>
      </c>
    </row>
    <row r="300" spans="1:5" x14ac:dyDescent="0.25">
      <c r="A300" t="s">
        <v>1</v>
      </c>
      <c r="B300" t="s">
        <v>19</v>
      </c>
      <c r="C300" t="s">
        <v>23490</v>
      </c>
      <c r="D300" t="str">
        <f>HYPERLINK("https://rhld.insurance.arkansas.gov/NPILookup?Npi=1043201312","1043201312")</f>
        <v>1043201312</v>
      </c>
      <c r="E300" t="s">
        <v>142</v>
      </c>
    </row>
    <row r="301" spans="1:5" x14ac:dyDescent="0.25">
      <c r="A301" t="s">
        <v>1</v>
      </c>
      <c r="B301" t="s">
        <v>19</v>
      </c>
      <c r="C301" t="s">
        <v>23490</v>
      </c>
      <c r="D301" t="str">
        <f>HYPERLINK("https://rhld.insurance.arkansas.gov/NPILookup?Npi=1043201940","1043201940")</f>
        <v>1043201940</v>
      </c>
      <c r="E301" t="s">
        <v>143</v>
      </c>
    </row>
    <row r="302" spans="1:5" x14ac:dyDescent="0.25">
      <c r="A302" t="s">
        <v>1</v>
      </c>
      <c r="B302" t="s">
        <v>19</v>
      </c>
      <c r="C302" t="s">
        <v>23490</v>
      </c>
      <c r="D302" t="str">
        <f>HYPERLINK("https://rhld.insurance.arkansas.gov/NPILookup?Npi=1043202856","1043202856")</f>
        <v>1043202856</v>
      </c>
      <c r="E302" t="s">
        <v>144</v>
      </c>
    </row>
    <row r="303" spans="1:5" x14ac:dyDescent="0.25">
      <c r="A303" t="s">
        <v>1</v>
      </c>
      <c r="B303" t="s">
        <v>19</v>
      </c>
      <c r="C303" t="s">
        <v>23490</v>
      </c>
      <c r="D303" t="str">
        <f>HYPERLINK("https://rhld.insurance.arkansas.gov/NPILookup?Npi=1043208879","1043208879")</f>
        <v>1043208879</v>
      </c>
      <c r="E303" t="s">
        <v>145</v>
      </c>
    </row>
    <row r="304" spans="1:5" x14ac:dyDescent="0.25">
      <c r="A304" t="s">
        <v>1</v>
      </c>
      <c r="B304" t="s">
        <v>19</v>
      </c>
      <c r="C304" t="s">
        <v>23490</v>
      </c>
      <c r="D304" t="str">
        <f>HYPERLINK("https://rhld.insurance.arkansas.gov/NPILookup?Npi=1043217060","1043217060")</f>
        <v>1043217060</v>
      </c>
      <c r="E304" t="s">
        <v>147</v>
      </c>
    </row>
    <row r="305" spans="1:5" x14ac:dyDescent="0.25">
      <c r="A305" t="s">
        <v>1</v>
      </c>
      <c r="B305" t="s">
        <v>19</v>
      </c>
      <c r="C305" t="s">
        <v>23490</v>
      </c>
      <c r="D305" t="str">
        <f>HYPERLINK("https://rhld.insurance.arkansas.gov/NPILookup?Npi=1043230311","1043230311")</f>
        <v>1043230311</v>
      </c>
      <c r="E305" t="s">
        <v>8442</v>
      </c>
    </row>
    <row r="306" spans="1:5" x14ac:dyDescent="0.25">
      <c r="A306" t="s">
        <v>1</v>
      </c>
      <c r="B306" t="s">
        <v>19</v>
      </c>
      <c r="C306" t="s">
        <v>23490</v>
      </c>
      <c r="D306" t="str">
        <f>HYPERLINK("https://rhld.insurance.arkansas.gov/NPILookup?Npi=1043232333","1043232333")</f>
        <v>1043232333</v>
      </c>
      <c r="E306" t="s">
        <v>8443</v>
      </c>
    </row>
    <row r="307" spans="1:5" x14ac:dyDescent="0.25">
      <c r="A307" t="s">
        <v>1</v>
      </c>
      <c r="B307" t="s">
        <v>19</v>
      </c>
      <c r="C307" t="s">
        <v>23490</v>
      </c>
      <c r="D307" t="str">
        <f>HYPERLINK("https://rhld.insurance.arkansas.gov/NPILookup?Npi=1043232580","1043232580")</f>
        <v>1043232580</v>
      </c>
      <c r="E307" t="s">
        <v>148</v>
      </c>
    </row>
    <row r="308" spans="1:5" x14ac:dyDescent="0.25">
      <c r="A308" t="s">
        <v>1</v>
      </c>
      <c r="B308" t="s">
        <v>19</v>
      </c>
      <c r="C308" t="s">
        <v>23490</v>
      </c>
      <c r="D308" t="str">
        <f>HYPERLINK("https://rhld.insurance.arkansas.gov/NPILookup?Npi=1043236748","1043236748")</f>
        <v>1043236748</v>
      </c>
      <c r="E308" t="s">
        <v>149</v>
      </c>
    </row>
    <row r="309" spans="1:5" x14ac:dyDescent="0.25">
      <c r="A309" t="s">
        <v>1</v>
      </c>
      <c r="B309" t="s">
        <v>19</v>
      </c>
      <c r="C309" t="s">
        <v>23490</v>
      </c>
      <c r="D309" t="str">
        <f>HYPERLINK("https://rhld.insurance.arkansas.gov/NPILookup?Npi=1043238447","1043238447")</f>
        <v>1043238447</v>
      </c>
      <c r="E309" t="s">
        <v>150</v>
      </c>
    </row>
    <row r="310" spans="1:5" x14ac:dyDescent="0.25">
      <c r="A310" t="s">
        <v>1</v>
      </c>
      <c r="B310" t="s">
        <v>19</v>
      </c>
      <c r="C310" t="s">
        <v>23490</v>
      </c>
      <c r="D310" t="str">
        <f>HYPERLINK("https://rhld.insurance.arkansas.gov/NPILookup?Npi=1043239965","1043239965")</f>
        <v>1043239965</v>
      </c>
      <c r="E310" t="s">
        <v>151</v>
      </c>
    </row>
    <row r="311" spans="1:5" x14ac:dyDescent="0.25">
      <c r="A311" t="s">
        <v>1</v>
      </c>
      <c r="B311" t="s">
        <v>19</v>
      </c>
      <c r="C311" t="s">
        <v>23490</v>
      </c>
      <c r="D311" t="str">
        <f>HYPERLINK("https://rhld.insurance.arkansas.gov/NPILookup?Npi=1043247745","1043247745")</f>
        <v>1043247745</v>
      </c>
      <c r="E311" t="s">
        <v>152</v>
      </c>
    </row>
    <row r="312" spans="1:5" x14ac:dyDescent="0.25">
      <c r="A312" t="s">
        <v>1</v>
      </c>
      <c r="B312" t="s">
        <v>19</v>
      </c>
      <c r="C312" t="s">
        <v>23490</v>
      </c>
      <c r="D312" t="str">
        <f>HYPERLINK("https://rhld.insurance.arkansas.gov/NPILookup?Npi=1043255128","1043255128")</f>
        <v>1043255128</v>
      </c>
      <c r="E312" t="s">
        <v>153</v>
      </c>
    </row>
    <row r="313" spans="1:5" x14ac:dyDescent="0.25">
      <c r="A313" t="s">
        <v>1</v>
      </c>
      <c r="B313" t="s">
        <v>19</v>
      </c>
      <c r="C313" t="s">
        <v>23490</v>
      </c>
      <c r="D313" t="str">
        <f>HYPERLINK("https://rhld.insurance.arkansas.gov/NPILookup?Npi=1043262538","1043262538")</f>
        <v>1043262538</v>
      </c>
      <c r="E313" t="s">
        <v>16855</v>
      </c>
    </row>
    <row r="314" spans="1:5" x14ac:dyDescent="0.25">
      <c r="A314" t="s">
        <v>1</v>
      </c>
      <c r="B314" t="s">
        <v>19</v>
      </c>
      <c r="C314" t="s">
        <v>23490</v>
      </c>
      <c r="D314" t="str">
        <f>HYPERLINK("https://rhld.insurance.arkansas.gov/NPILookup?Npi=1043265655","1043265655")</f>
        <v>1043265655</v>
      </c>
      <c r="E314" t="s">
        <v>154</v>
      </c>
    </row>
    <row r="315" spans="1:5" x14ac:dyDescent="0.25">
      <c r="A315" t="s">
        <v>1</v>
      </c>
      <c r="B315" t="s">
        <v>19</v>
      </c>
      <c r="C315" t="s">
        <v>23490</v>
      </c>
      <c r="D315" t="str">
        <f>HYPERLINK("https://rhld.insurance.arkansas.gov/NPILookup?Npi=1043276439","1043276439")</f>
        <v>1043276439</v>
      </c>
      <c r="E315" t="s">
        <v>19360</v>
      </c>
    </row>
    <row r="316" spans="1:5" x14ac:dyDescent="0.25">
      <c r="A316" t="s">
        <v>1</v>
      </c>
      <c r="B316" t="s">
        <v>19</v>
      </c>
      <c r="C316" t="s">
        <v>23490</v>
      </c>
      <c r="D316" t="str">
        <f>HYPERLINK("https://rhld.insurance.arkansas.gov/NPILookup?Npi=1043277494","1043277494")</f>
        <v>1043277494</v>
      </c>
      <c r="E316" t="s">
        <v>155</v>
      </c>
    </row>
    <row r="317" spans="1:5" x14ac:dyDescent="0.25">
      <c r="A317" t="s">
        <v>1</v>
      </c>
      <c r="B317" t="s">
        <v>19</v>
      </c>
      <c r="C317" t="s">
        <v>23490</v>
      </c>
      <c r="D317" t="str">
        <f>HYPERLINK("https://rhld.insurance.arkansas.gov/NPILookup?Npi=1043278914","1043278914")</f>
        <v>1043278914</v>
      </c>
      <c r="E317" t="s">
        <v>156</v>
      </c>
    </row>
    <row r="318" spans="1:5" x14ac:dyDescent="0.25">
      <c r="A318" t="s">
        <v>1</v>
      </c>
      <c r="B318" t="s">
        <v>19</v>
      </c>
      <c r="C318" t="s">
        <v>23490</v>
      </c>
      <c r="D318" t="str">
        <f>HYPERLINK("https://rhld.insurance.arkansas.gov/NPILookup?Npi=1043284730","1043284730")</f>
        <v>1043284730</v>
      </c>
      <c r="E318" t="s">
        <v>157</v>
      </c>
    </row>
    <row r="319" spans="1:5" x14ac:dyDescent="0.25">
      <c r="A319" t="s">
        <v>1</v>
      </c>
      <c r="B319" t="s">
        <v>19</v>
      </c>
      <c r="C319" t="s">
        <v>23490</v>
      </c>
      <c r="D319" t="str">
        <f>HYPERLINK("https://rhld.insurance.arkansas.gov/NPILookup?Npi=1043291560","1043291560")</f>
        <v>1043291560</v>
      </c>
      <c r="E319" t="s">
        <v>158</v>
      </c>
    </row>
    <row r="320" spans="1:5" x14ac:dyDescent="0.25">
      <c r="A320" t="s">
        <v>1</v>
      </c>
      <c r="B320" t="s">
        <v>19</v>
      </c>
      <c r="C320" t="s">
        <v>23490</v>
      </c>
      <c r="D320" t="str">
        <f>HYPERLINK("https://rhld.insurance.arkansas.gov/NPILookup?Npi=1043308661","1043308661")</f>
        <v>1043308661</v>
      </c>
      <c r="E320" t="s">
        <v>20874</v>
      </c>
    </row>
    <row r="321" spans="1:5" x14ac:dyDescent="0.25">
      <c r="A321" t="s">
        <v>1</v>
      </c>
      <c r="B321" t="s">
        <v>19</v>
      </c>
      <c r="C321" t="s">
        <v>23490</v>
      </c>
      <c r="D321" t="str">
        <f>HYPERLINK("https://rhld.insurance.arkansas.gov/NPILookup?Npi=1043323611","1043323611")</f>
        <v>1043323611</v>
      </c>
      <c r="E321" t="s">
        <v>160</v>
      </c>
    </row>
    <row r="322" spans="1:5" x14ac:dyDescent="0.25">
      <c r="A322" t="s">
        <v>1</v>
      </c>
      <c r="B322" t="s">
        <v>19</v>
      </c>
      <c r="C322" t="s">
        <v>23490</v>
      </c>
      <c r="D322" t="str">
        <f>HYPERLINK("https://rhld.insurance.arkansas.gov/NPILookup?Npi=1043324692","1043324692")</f>
        <v>1043324692</v>
      </c>
      <c r="E322" t="s">
        <v>19361</v>
      </c>
    </row>
    <row r="323" spans="1:5" x14ac:dyDescent="0.25">
      <c r="A323" t="s">
        <v>1</v>
      </c>
      <c r="B323" t="s">
        <v>19</v>
      </c>
      <c r="C323" t="s">
        <v>23490</v>
      </c>
      <c r="D323" t="str">
        <f>HYPERLINK("https://rhld.insurance.arkansas.gov/NPILookup?Npi=1043340011","1043340011")</f>
        <v>1043340011</v>
      </c>
      <c r="E323" t="s">
        <v>161</v>
      </c>
    </row>
    <row r="324" spans="1:5" x14ac:dyDescent="0.25">
      <c r="A324" t="s">
        <v>1</v>
      </c>
      <c r="B324" t="s">
        <v>19</v>
      </c>
      <c r="C324" t="s">
        <v>23490</v>
      </c>
      <c r="D324" t="str">
        <f>HYPERLINK("https://rhld.insurance.arkansas.gov/NPILookup?Npi=1043361983","1043361983")</f>
        <v>1043361983</v>
      </c>
      <c r="E324" t="s">
        <v>162</v>
      </c>
    </row>
    <row r="325" spans="1:5" x14ac:dyDescent="0.25">
      <c r="A325" t="s">
        <v>1</v>
      </c>
      <c r="B325" t="s">
        <v>19</v>
      </c>
      <c r="C325" t="s">
        <v>23490</v>
      </c>
      <c r="D325" t="str">
        <f>HYPERLINK("https://rhld.insurance.arkansas.gov/NPILookup?Npi=1043364201","1043364201")</f>
        <v>1043364201</v>
      </c>
      <c r="E325" t="s">
        <v>163</v>
      </c>
    </row>
    <row r="326" spans="1:5" x14ac:dyDescent="0.25">
      <c r="A326" t="s">
        <v>1</v>
      </c>
      <c r="B326" t="s">
        <v>19</v>
      </c>
      <c r="C326" t="s">
        <v>23490</v>
      </c>
      <c r="D326" t="str">
        <f>HYPERLINK("https://rhld.insurance.arkansas.gov/NPILookup?Npi=1043401086","1043401086")</f>
        <v>1043401086</v>
      </c>
      <c r="E326" t="s">
        <v>164</v>
      </c>
    </row>
    <row r="327" spans="1:5" x14ac:dyDescent="0.25">
      <c r="A327" t="s">
        <v>1</v>
      </c>
      <c r="B327" t="s">
        <v>19</v>
      </c>
      <c r="C327" t="s">
        <v>23490</v>
      </c>
      <c r="D327" t="str">
        <f>HYPERLINK("https://rhld.insurance.arkansas.gov/NPILookup?Npi=1043416373","1043416373")</f>
        <v>1043416373</v>
      </c>
      <c r="E327" t="s">
        <v>165</v>
      </c>
    </row>
    <row r="328" spans="1:5" x14ac:dyDescent="0.25">
      <c r="A328" t="s">
        <v>1</v>
      </c>
      <c r="B328" t="s">
        <v>19</v>
      </c>
      <c r="C328" t="s">
        <v>23490</v>
      </c>
      <c r="D328" t="str">
        <f>HYPERLINK("https://rhld.insurance.arkansas.gov/NPILookup?Npi=1043420029","1043420029")</f>
        <v>1043420029</v>
      </c>
      <c r="E328" t="s">
        <v>19362</v>
      </c>
    </row>
    <row r="329" spans="1:5" x14ac:dyDescent="0.25">
      <c r="A329" t="s">
        <v>1</v>
      </c>
      <c r="B329" t="s">
        <v>19</v>
      </c>
      <c r="C329" t="s">
        <v>23490</v>
      </c>
      <c r="D329" t="str">
        <f>HYPERLINK("https://rhld.insurance.arkansas.gov/NPILookup?Npi=1043424880","1043424880")</f>
        <v>1043424880</v>
      </c>
      <c r="E329" t="s">
        <v>16856</v>
      </c>
    </row>
    <row r="330" spans="1:5" x14ac:dyDescent="0.25">
      <c r="A330" t="s">
        <v>1</v>
      </c>
      <c r="B330" t="s">
        <v>19</v>
      </c>
      <c r="C330" t="s">
        <v>23490</v>
      </c>
      <c r="D330" t="str">
        <f>HYPERLINK("https://rhld.insurance.arkansas.gov/NPILookup?Npi=1043431208","1043431208")</f>
        <v>1043431208</v>
      </c>
      <c r="E330" t="s">
        <v>10603</v>
      </c>
    </row>
    <row r="331" spans="1:5" x14ac:dyDescent="0.25">
      <c r="A331" t="s">
        <v>1</v>
      </c>
      <c r="B331" t="s">
        <v>19</v>
      </c>
      <c r="C331" t="s">
        <v>23490</v>
      </c>
      <c r="D331" t="str">
        <f>HYPERLINK("https://rhld.insurance.arkansas.gov/NPILookup?Npi=1043452501","1043452501")</f>
        <v>1043452501</v>
      </c>
      <c r="E331" t="s">
        <v>166</v>
      </c>
    </row>
    <row r="332" spans="1:5" x14ac:dyDescent="0.25">
      <c r="A332" t="s">
        <v>1</v>
      </c>
      <c r="B332" t="s">
        <v>19</v>
      </c>
      <c r="C332" t="s">
        <v>23490</v>
      </c>
      <c r="D332" t="str">
        <f>HYPERLINK("https://rhld.insurance.arkansas.gov/NPILookup?Npi=1043456023","1043456023")</f>
        <v>1043456023</v>
      </c>
      <c r="E332" t="s">
        <v>167</v>
      </c>
    </row>
    <row r="333" spans="1:5" x14ac:dyDescent="0.25">
      <c r="A333" t="s">
        <v>1</v>
      </c>
      <c r="B333" t="s">
        <v>19</v>
      </c>
      <c r="C333" t="s">
        <v>23490</v>
      </c>
      <c r="D333" t="str">
        <f>HYPERLINK("https://rhld.insurance.arkansas.gov/NPILookup?Npi=1043468234","1043468234")</f>
        <v>1043468234</v>
      </c>
      <c r="E333" t="s">
        <v>8444</v>
      </c>
    </row>
    <row r="334" spans="1:5" x14ac:dyDescent="0.25">
      <c r="A334" t="s">
        <v>1</v>
      </c>
      <c r="B334" t="s">
        <v>19</v>
      </c>
      <c r="C334" t="s">
        <v>23490</v>
      </c>
      <c r="D334" t="str">
        <f>HYPERLINK("https://rhld.insurance.arkansas.gov/NPILookup?Npi=1043472962","1043472962")</f>
        <v>1043472962</v>
      </c>
      <c r="E334" t="s">
        <v>168</v>
      </c>
    </row>
    <row r="335" spans="1:5" x14ac:dyDescent="0.25">
      <c r="A335" t="s">
        <v>1</v>
      </c>
      <c r="B335" t="s">
        <v>19</v>
      </c>
      <c r="C335" t="s">
        <v>23490</v>
      </c>
      <c r="D335" t="str">
        <f>HYPERLINK("https://rhld.insurance.arkansas.gov/NPILookup?Npi=1043523228","1043523228")</f>
        <v>1043523228</v>
      </c>
      <c r="E335" t="s">
        <v>169</v>
      </c>
    </row>
    <row r="336" spans="1:5" x14ac:dyDescent="0.25">
      <c r="A336" t="s">
        <v>1</v>
      </c>
      <c r="B336" t="s">
        <v>19</v>
      </c>
      <c r="C336" t="s">
        <v>23490</v>
      </c>
      <c r="D336" t="str">
        <f>HYPERLINK("https://rhld.insurance.arkansas.gov/NPILookup?Npi=1043527336","1043527336")</f>
        <v>1043527336</v>
      </c>
      <c r="E336" t="s">
        <v>170</v>
      </c>
    </row>
    <row r="337" spans="1:5" x14ac:dyDescent="0.25">
      <c r="A337" t="s">
        <v>1</v>
      </c>
      <c r="B337" t="s">
        <v>19</v>
      </c>
      <c r="C337" t="s">
        <v>23490</v>
      </c>
      <c r="D337" t="str">
        <f>HYPERLINK("https://rhld.insurance.arkansas.gov/NPILookup?Npi=1043529134","1043529134")</f>
        <v>1043529134</v>
      </c>
      <c r="E337" t="s">
        <v>171</v>
      </c>
    </row>
    <row r="338" spans="1:5" x14ac:dyDescent="0.25">
      <c r="A338" t="s">
        <v>1</v>
      </c>
      <c r="B338" t="s">
        <v>19</v>
      </c>
      <c r="C338" t="s">
        <v>23490</v>
      </c>
      <c r="D338" t="str">
        <f>HYPERLINK("https://rhld.insurance.arkansas.gov/NPILookup?Npi=1043535941","1043535941")</f>
        <v>1043535941</v>
      </c>
      <c r="E338" t="s">
        <v>172</v>
      </c>
    </row>
    <row r="339" spans="1:5" x14ac:dyDescent="0.25">
      <c r="A339" t="s">
        <v>1</v>
      </c>
      <c r="B339" t="s">
        <v>19</v>
      </c>
      <c r="C339" t="s">
        <v>23490</v>
      </c>
      <c r="D339" t="str">
        <f>HYPERLINK("https://rhld.insurance.arkansas.gov/NPILookup?Npi=1043546930","1043546930")</f>
        <v>1043546930</v>
      </c>
      <c r="E339" t="s">
        <v>16857</v>
      </c>
    </row>
    <row r="340" spans="1:5" x14ac:dyDescent="0.25">
      <c r="A340" t="s">
        <v>1</v>
      </c>
      <c r="B340" t="s">
        <v>19</v>
      </c>
      <c r="C340" t="s">
        <v>23490</v>
      </c>
      <c r="D340" t="str">
        <f>HYPERLINK("https://rhld.insurance.arkansas.gov/NPILookup?Npi=1043549371","1043549371")</f>
        <v>1043549371</v>
      </c>
      <c r="E340" t="s">
        <v>3484</v>
      </c>
    </row>
    <row r="341" spans="1:5" x14ac:dyDescent="0.25">
      <c r="A341" t="s">
        <v>1</v>
      </c>
      <c r="B341" t="s">
        <v>19</v>
      </c>
      <c r="C341" t="s">
        <v>23490</v>
      </c>
      <c r="D341" t="str">
        <f>HYPERLINK("https://rhld.insurance.arkansas.gov/NPILookup?Npi=1043553167","1043553167")</f>
        <v>1043553167</v>
      </c>
      <c r="E341" t="s">
        <v>8445</v>
      </c>
    </row>
    <row r="342" spans="1:5" x14ac:dyDescent="0.25">
      <c r="A342" t="s">
        <v>1</v>
      </c>
      <c r="B342" t="s">
        <v>19</v>
      </c>
      <c r="C342" t="s">
        <v>23490</v>
      </c>
      <c r="D342" t="str">
        <f>HYPERLINK("https://rhld.insurance.arkansas.gov/NPILookup?Npi=1043575178","1043575178")</f>
        <v>1043575178</v>
      </c>
      <c r="E342" t="s">
        <v>19363</v>
      </c>
    </row>
    <row r="343" spans="1:5" x14ac:dyDescent="0.25">
      <c r="A343" t="s">
        <v>1</v>
      </c>
      <c r="B343" t="s">
        <v>19</v>
      </c>
      <c r="C343" t="s">
        <v>23490</v>
      </c>
      <c r="D343" t="str">
        <f>HYPERLINK("https://rhld.insurance.arkansas.gov/NPILookup?Npi=1043575467","1043575467")</f>
        <v>1043575467</v>
      </c>
      <c r="E343" t="s">
        <v>173</v>
      </c>
    </row>
    <row r="344" spans="1:5" x14ac:dyDescent="0.25">
      <c r="A344" t="s">
        <v>1</v>
      </c>
      <c r="B344" t="s">
        <v>19</v>
      </c>
      <c r="C344" t="s">
        <v>23490</v>
      </c>
      <c r="D344" t="str">
        <f>HYPERLINK("https://rhld.insurance.arkansas.gov/NPILookup?Npi=1043609340","1043609340")</f>
        <v>1043609340</v>
      </c>
      <c r="E344" t="s">
        <v>14709</v>
      </c>
    </row>
    <row r="345" spans="1:5" x14ac:dyDescent="0.25">
      <c r="A345" t="s">
        <v>1</v>
      </c>
      <c r="B345" t="s">
        <v>19</v>
      </c>
      <c r="C345" t="s">
        <v>23490</v>
      </c>
      <c r="D345" t="str">
        <f>HYPERLINK("https://rhld.insurance.arkansas.gov/NPILookup?Npi=1043611502","1043611502")</f>
        <v>1043611502</v>
      </c>
      <c r="E345" t="s">
        <v>20875</v>
      </c>
    </row>
    <row r="346" spans="1:5" x14ac:dyDescent="0.25">
      <c r="A346" t="s">
        <v>1</v>
      </c>
      <c r="B346" t="s">
        <v>19</v>
      </c>
      <c r="C346" t="s">
        <v>23490</v>
      </c>
      <c r="D346" t="str">
        <f>HYPERLINK("https://rhld.insurance.arkansas.gov/NPILookup?Npi=1043629900","1043629900")</f>
        <v>1043629900</v>
      </c>
      <c r="E346" t="s">
        <v>174</v>
      </c>
    </row>
    <row r="347" spans="1:5" x14ac:dyDescent="0.25">
      <c r="A347" t="s">
        <v>1</v>
      </c>
      <c r="B347" t="s">
        <v>19</v>
      </c>
      <c r="C347" t="s">
        <v>23490</v>
      </c>
      <c r="D347" t="str">
        <f>HYPERLINK("https://rhld.insurance.arkansas.gov/NPILookup?Npi=1043633696","1043633696")</f>
        <v>1043633696</v>
      </c>
      <c r="E347" t="s">
        <v>175</v>
      </c>
    </row>
    <row r="348" spans="1:5" x14ac:dyDescent="0.25">
      <c r="A348" t="s">
        <v>1</v>
      </c>
      <c r="B348" t="s">
        <v>19</v>
      </c>
      <c r="C348" t="s">
        <v>23490</v>
      </c>
      <c r="D348" t="str">
        <f>HYPERLINK("https://rhld.insurance.arkansas.gov/NPILookup?Npi=1043634744","1043634744")</f>
        <v>1043634744</v>
      </c>
      <c r="E348" t="s">
        <v>13341</v>
      </c>
    </row>
    <row r="349" spans="1:5" x14ac:dyDescent="0.25">
      <c r="A349" t="s">
        <v>1</v>
      </c>
      <c r="B349" t="s">
        <v>19</v>
      </c>
      <c r="C349" t="s">
        <v>23490</v>
      </c>
      <c r="D349" t="str">
        <f>HYPERLINK("https://rhld.insurance.arkansas.gov/NPILookup?Npi=1043657646","1043657646")</f>
        <v>1043657646</v>
      </c>
      <c r="E349" t="s">
        <v>176</v>
      </c>
    </row>
    <row r="350" spans="1:5" x14ac:dyDescent="0.25">
      <c r="A350" t="s">
        <v>1</v>
      </c>
      <c r="B350" t="s">
        <v>19</v>
      </c>
      <c r="C350" t="s">
        <v>23490</v>
      </c>
      <c r="D350" t="str">
        <f>HYPERLINK("https://rhld.insurance.arkansas.gov/NPILookup?Npi=1043660194","1043660194")</f>
        <v>1043660194</v>
      </c>
      <c r="E350" t="s">
        <v>10605</v>
      </c>
    </row>
    <row r="351" spans="1:5" x14ac:dyDescent="0.25">
      <c r="A351" t="s">
        <v>1</v>
      </c>
      <c r="B351" t="s">
        <v>19</v>
      </c>
      <c r="C351" t="s">
        <v>23490</v>
      </c>
      <c r="D351" t="str">
        <f>HYPERLINK("https://rhld.insurance.arkansas.gov/NPILookup?Npi=1043662398","1043662398")</f>
        <v>1043662398</v>
      </c>
      <c r="E351" t="s">
        <v>13342</v>
      </c>
    </row>
    <row r="352" spans="1:5" x14ac:dyDescent="0.25">
      <c r="A352" t="s">
        <v>1</v>
      </c>
      <c r="B352" t="s">
        <v>19</v>
      </c>
      <c r="C352" t="s">
        <v>23490</v>
      </c>
      <c r="D352" t="str">
        <f>HYPERLINK("https://rhld.insurance.arkansas.gov/NPILookup?Npi=1043682677","1043682677")</f>
        <v>1043682677</v>
      </c>
      <c r="E352" t="s">
        <v>8446</v>
      </c>
    </row>
    <row r="353" spans="1:5" x14ac:dyDescent="0.25">
      <c r="A353" t="s">
        <v>1</v>
      </c>
      <c r="B353" t="s">
        <v>19</v>
      </c>
      <c r="C353" t="s">
        <v>23490</v>
      </c>
      <c r="D353" t="str">
        <f>HYPERLINK("https://rhld.insurance.arkansas.gov/NPILookup?Npi=1043691322","1043691322")</f>
        <v>1043691322</v>
      </c>
      <c r="E353" t="s">
        <v>177</v>
      </c>
    </row>
    <row r="354" spans="1:5" x14ac:dyDescent="0.25">
      <c r="A354" t="s">
        <v>1</v>
      </c>
      <c r="B354" t="s">
        <v>19</v>
      </c>
      <c r="C354" t="s">
        <v>23490</v>
      </c>
      <c r="D354" t="str">
        <f>HYPERLINK("https://rhld.insurance.arkansas.gov/NPILookup?Npi=1043692080","1043692080")</f>
        <v>1043692080</v>
      </c>
      <c r="E354" t="s">
        <v>178</v>
      </c>
    </row>
    <row r="355" spans="1:5" x14ac:dyDescent="0.25">
      <c r="A355" t="s">
        <v>1</v>
      </c>
      <c r="B355" t="s">
        <v>19</v>
      </c>
      <c r="C355" t="s">
        <v>23490</v>
      </c>
      <c r="D355" t="str">
        <f>HYPERLINK("https://rhld.insurance.arkansas.gov/NPILookup?Npi=1043692528","1043692528")</f>
        <v>1043692528</v>
      </c>
      <c r="E355" t="s">
        <v>8447</v>
      </c>
    </row>
    <row r="356" spans="1:5" x14ac:dyDescent="0.25">
      <c r="A356" t="s">
        <v>1</v>
      </c>
      <c r="B356" t="s">
        <v>19</v>
      </c>
      <c r="C356" t="s">
        <v>23490</v>
      </c>
      <c r="D356" t="str">
        <f>HYPERLINK("https://rhld.insurance.arkansas.gov/NPILookup?Npi=1043694243","1043694243")</f>
        <v>1043694243</v>
      </c>
      <c r="E356" t="s">
        <v>179</v>
      </c>
    </row>
    <row r="357" spans="1:5" x14ac:dyDescent="0.25">
      <c r="A357" t="s">
        <v>1</v>
      </c>
      <c r="B357" t="s">
        <v>19</v>
      </c>
      <c r="C357" t="s">
        <v>23490</v>
      </c>
      <c r="D357" t="str">
        <f>HYPERLINK("https://rhld.insurance.arkansas.gov/NPILookup?Npi=1043702343","1043702343")</f>
        <v>1043702343</v>
      </c>
      <c r="E357" t="s">
        <v>14711</v>
      </c>
    </row>
    <row r="358" spans="1:5" x14ac:dyDescent="0.25">
      <c r="A358" t="s">
        <v>1</v>
      </c>
      <c r="B358" t="s">
        <v>19</v>
      </c>
      <c r="C358" t="s">
        <v>23490</v>
      </c>
      <c r="D358" t="str">
        <f>HYPERLINK("https://rhld.insurance.arkansas.gov/NPILookup?Npi=1043704497","1043704497")</f>
        <v>1043704497</v>
      </c>
      <c r="E358" t="s">
        <v>13343</v>
      </c>
    </row>
    <row r="359" spans="1:5" x14ac:dyDescent="0.25">
      <c r="A359" t="s">
        <v>1</v>
      </c>
      <c r="B359" t="s">
        <v>19</v>
      </c>
      <c r="C359" t="s">
        <v>23490</v>
      </c>
      <c r="D359" t="str">
        <f>HYPERLINK("https://rhld.insurance.arkansas.gov/NPILookup?Npi=1043730328","1043730328")</f>
        <v>1043730328</v>
      </c>
      <c r="E359" t="s">
        <v>10606</v>
      </c>
    </row>
    <row r="360" spans="1:5" x14ac:dyDescent="0.25">
      <c r="A360" t="s">
        <v>1</v>
      </c>
      <c r="B360" t="s">
        <v>19</v>
      </c>
      <c r="C360" t="s">
        <v>23490</v>
      </c>
      <c r="D360" t="str">
        <f>HYPERLINK("https://rhld.insurance.arkansas.gov/NPILookup?Npi=1043752009","1043752009")</f>
        <v>1043752009</v>
      </c>
      <c r="E360" t="s">
        <v>13344</v>
      </c>
    </row>
    <row r="361" spans="1:5" x14ac:dyDescent="0.25">
      <c r="A361" t="s">
        <v>1</v>
      </c>
      <c r="B361" t="s">
        <v>19</v>
      </c>
      <c r="C361" t="s">
        <v>23490</v>
      </c>
      <c r="D361" t="str">
        <f>HYPERLINK("https://rhld.insurance.arkansas.gov/NPILookup?Npi=1043757271","1043757271")</f>
        <v>1043757271</v>
      </c>
      <c r="E361" t="s">
        <v>14712</v>
      </c>
    </row>
    <row r="362" spans="1:5" x14ac:dyDescent="0.25">
      <c r="A362" t="s">
        <v>1</v>
      </c>
      <c r="B362" t="s">
        <v>19</v>
      </c>
      <c r="C362" t="s">
        <v>23490</v>
      </c>
      <c r="D362" t="str">
        <f>HYPERLINK("https://rhld.insurance.arkansas.gov/NPILookup?Npi=1043771223","1043771223")</f>
        <v>1043771223</v>
      </c>
      <c r="E362" t="s">
        <v>21365</v>
      </c>
    </row>
    <row r="363" spans="1:5" x14ac:dyDescent="0.25">
      <c r="A363" t="s">
        <v>1</v>
      </c>
      <c r="B363" t="s">
        <v>19</v>
      </c>
      <c r="C363" t="s">
        <v>23490</v>
      </c>
      <c r="D363" t="str">
        <f>HYPERLINK("https://rhld.insurance.arkansas.gov/NPILookup?Npi=1043773237","1043773237")</f>
        <v>1043773237</v>
      </c>
      <c r="E363" t="s">
        <v>20876</v>
      </c>
    </row>
    <row r="364" spans="1:5" x14ac:dyDescent="0.25">
      <c r="A364" t="s">
        <v>1</v>
      </c>
      <c r="B364" t="s">
        <v>19</v>
      </c>
      <c r="C364" t="s">
        <v>23490</v>
      </c>
      <c r="D364" t="str">
        <f>HYPERLINK("https://rhld.insurance.arkansas.gov/NPILookup?Npi=1043776099","1043776099")</f>
        <v>1043776099</v>
      </c>
      <c r="E364" t="s">
        <v>19364</v>
      </c>
    </row>
    <row r="365" spans="1:5" x14ac:dyDescent="0.25">
      <c r="A365" t="s">
        <v>1</v>
      </c>
      <c r="B365" t="s">
        <v>19</v>
      </c>
      <c r="C365" t="s">
        <v>23490</v>
      </c>
      <c r="D365" t="str">
        <f>HYPERLINK("https://rhld.insurance.arkansas.gov/NPILookup?Npi=1043776727","1043776727")</f>
        <v>1043776727</v>
      </c>
      <c r="E365" t="s">
        <v>17380</v>
      </c>
    </row>
    <row r="366" spans="1:5" x14ac:dyDescent="0.25">
      <c r="A366" t="s">
        <v>1</v>
      </c>
      <c r="B366" t="s">
        <v>19</v>
      </c>
      <c r="C366" t="s">
        <v>23490</v>
      </c>
      <c r="D366" t="str">
        <f>HYPERLINK("https://rhld.insurance.arkansas.gov/NPILookup?Npi=1043801855","1043801855")</f>
        <v>1043801855</v>
      </c>
      <c r="E366" t="s">
        <v>17836</v>
      </c>
    </row>
    <row r="367" spans="1:5" x14ac:dyDescent="0.25">
      <c r="A367" t="s">
        <v>1</v>
      </c>
      <c r="B367" t="s">
        <v>19</v>
      </c>
      <c r="C367" t="s">
        <v>23490</v>
      </c>
      <c r="D367" t="str">
        <f>HYPERLINK("https://rhld.insurance.arkansas.gov/NPILookup?Npi=1043840549","1043840549")</f>
        <v>1043840549</v>
      </c>
      <c r="E367" t="s">
        <v>19365</v>
      </c>
    </row>
    <row r="368" spans="1:5" x14ac:dyDescent="0.25">
      <c r="A368" t="s">
        <v>1</v>
      </c>
      <c r="B368" t="s">
        <v>19</v>
      </c>
      <c r="C368" t="s">
        <v>23490</v>
      </c>
      <c r="D368" t="str">
        <f>HYPERLINK("https://rhld.insurance.arkansas.gov/NPILookup?Npi=1043845431","1043845431")</f>
        <v>1043845431</v>
      </c>
      <c r="E368" t="s">
        <v>19366</v>
      </c>
    </row>
    <row r="369" spans="1:5" x14ac:dyDescent="0.25">
      <c r="A369" t="s">
        <v>1</v>
      </c>
      <c r="B369" t="s">
        <v>19</v>
      </c>
      <c r="C369" t="s">
        <v>23490</v>
      </c>
      <c r="D369" t="str">
        <f>HYPERLINK("https://rhld.insurance.arkansas.gov/NPILookup?Npi=1043862766","1043862766")</f>
        <v>1043862766</v>
      </c>
      <c r="E369" t="s">
        <v>14714</v>
      </c>
    </row>
    <row r="370" spans="1:5" x14ac:dyDescent="0.25">
      <c r="A370" t="s">
        <v>1</v>
      </c>
      <c r="B370" t="s">
        <v>19</v>
      </c>
      <c r="C370" t="s">
        <v>23490</v>
      </c>
      <c r="D370" t="str">
        <f>HYPERLINK("https://rhld.insurance.arkansas.gov/NPILookup?Npi=1043878051","1043878051")</f>
        <v>1043878051</v>
      </c>
      <c r="E370" t="s">
        <v>20877</v>
      </c>
    </row>
    <row r="371" spans="1:5" x14ac:dyDescent="0.25">
      <c r="A371" t="s">
        <v>1</v>
      </c>
      <c r="B371" t="s">
        <v>19</v>
      </c>
      <c r="C371" t="s">
        <v>23490</v>
      </c>
      <c r="D371" t="str">
        <f>HYPERLINK("https://rhld.insurance.arkansas.gov/NPILookup?Npi=1043931793","1043931793")</f>
        <v>1043931793</v>
      </c>
      <c r="E371" t="s">
        <v>21448</v>
      </c>
    </row>
    <row r="372" spans="1:5" x14ac:dyDescent="0.25">
      <c r="A372" t="s">
        <v>1</v>
      </c>
      <c r="B372" t="s">
        <v>19</v>
      </c>
      <c r="C372" t="s">
        <v>23490</v>
      </c>
      <c r="D372" t="str">
        <f>HYPERLINK("https://rhld.insurance.arkansas.gov/NPILookup?Npi=1043938855","1043938855")</f>
        <v>1043938855</v>
      </c>
      <c r="E372" t="s">
        <v>11723</v>
      </c>
    </row>
    <row r="373" spans="1:5" x14ac:dyDescent="0.25">
      <c r="A373" t="s">
        <v>1</v>
      </c>
      <c r="B373" t="s">
        <v>19</v>
      </c>
      <c r="C373" t="s">
        <v>23490</v>
      </c>
      <c r="D373" t="str">
        <f>HYPERLINK("https://rhld.insurance.arkansas.gov/NPILookup?Npi=1043949563","1043949563")</f>
        <v>1043949563</v>
      </c>
      <c r="E373" t="s">
        <v>21449</v>
      </c>
    </row>
    <row r="374" spans="1:5" x14ac:dyDescent="0.25">
      <c r="A374" t="s">
        <v>1</v>
      </c>
      <c r="B374" t="s">
        <v>19</v>
      </c>
      <c r="C374" t="s">
        <v>23490</v>
      </c>
      <c r="D374" t="str">
        <f>HYPERLINK("https://rhld.insurance.arkansas.gov/NPILookup?Npi=1043950785","1043950785")</f>
        <v>1043950785</v>
      </c>
      <c r="E374" t="s">
        <v>20878</v>
      </c>
    </row>
    <row r="375" spans="1:5" x14ac:dyDescent="0.25">
      <c r="A375" t="s">
        <v>1</v>
      </c>
      <c r="B375" t="s">
        <v>19</v>
      </c>
      <c r="C375" t="s">
        <v>23490</v>
      </c>
      <c r="D375" t="str">
        <f>HYPERLINK("https://rhld.insurance.arkansas.gov/NPILookup?Npi=1043978091","1043978091")</f>
        <v>1043978091</v>
      </c>
      <c r="E375" t="s">
        <v>21450</v>
      </c>
    </row>
    <row r="376" spans="1:5" x14ac:dyDescent="0.25">
      <c r="A376" t="s">
        <v>1</v>
      </c>
      <c r="B376" t="s">
        <v>19</v>
      </c>
      <c r="C376" t="s">
        <v>23490</v>
      </c>
      <c r="D376" t="str">
        <f>HYPERLINK("https://rhld.insurance.arkansas.gov/NPILookup?Npi=1043979024","1043979024")</f>
        <v>1043979024</v>
      </c>
      <c r="E376" t="s">
        <v>19367</v>
      </c>
    </row>
    <row r="377" spans="1:5" x14ac:dyDescent="0.25">
      <c r="A377" t="s">
        <v>1</v>
      </c>
      <c r="B377" t="s">
        <v>19</v>
      </c>
      <c r="C377" t="s">
        <v>23490</v>
      </c>
      <c r="D377" t="str">
        <f>HYPERLINK("https://rhld.insurance.arkansas.gov/NPILookup?Npi=1043988728","1043988728")</f>
        <v>1043988728</v>
      </c>
      <c r="E377" t="s">
        <v>19368</v>
      </c>
    </row>
    <row r="378" spans="1:5" x14ac:dyDescent="0.25">
      <c r="A378" t="s">
        <v>1</v>
      </c>
      <c r="B378" t="s">
        <v>19</v>
      </c>
      <c r="C378" t="s">
        <v>23490</v>
      </c>
      <c r="D378" t="str">
        <f>HYPERLINK("https://rhld.insurance.arkansas.gov/NPILookup?Npi=1053033563","1053033563")</f>
        <v>1053033563</v>
      </c>
      <c r="E378" t="s">
        <v>21451</v>
      </c>
    </row>
    <row r="379" spans="1:5" x14ac:dyDescent="0.25">
      <c r="A379" t="s">
        <v>1</v>
      </c>
      <c r="B379" t="s">
        <v>19</v>
      </c>
      <c r="C379" t="s">
        <v>23490</v>
      </c>
      <c r="D379" t="str">
        <f>HYPERLINK("https://rhld.insurance.arkansas.gov/NPILookup?Npi=1053047969","1053047969")</f>
        <v>1053047969</v>
      </c>
      <c r="E379" t="s">
        <v>21452</v>
      </c>
    </row>
    <row r="380" spans="1:5" x14ac:dyDescent="0.25">
      <c r="A380" t="s">
        <v>1</v>
      </c>
      <c r="B380" t="s">
        <v>19</v>
      </c>
      <c r="C380" t="s">
        <v>23490</v>
      </c>
      <c r="D380" t="str">
        <f>HYPERLINK("https://rhld.insurance.arkansas.gov/NPILookup?Npi=1053053389","1053053389")</f>
        <v>1053053389</v>
      </c>
      <c r="E380" t="s">
        <v>21453</v>
      </c>
    </row>
    <row r="381" spans="1:5" x14ac:dyDescent="0.25">
      <c r="A381" t="s">
        <v>1</v>
      </c>
      <c r="B381" t="s">
        <v>19</v>
      </c>
      <c r="C381" t="s">
        <v>23490</v>
      </c>
      <c r="D381" t="str">
        <f>HYPERLINK("https://rhld.insurance.arkansas.gov/NPILookup?Npi=1053078907","1053078907")</f>
        <v>1053078907</v>
      </c>
      <c r="E381" t="s">
        <v>19369</v>
      </c>
    </row>
    <row r="382" spans="1:5" x14ac:dyDescent="0.25">
      <c r="A382" t="s">
        <v>1</v>
      </c>
      <c r="B382" t="s">
        <v>19</v>
      </c>
      <c r="C382" t="s">
        <v>23490</v>
      </c>
      <c r="D382" t="str">
        <f>HYPERLINK("https://rhld.insurance.arkansas.gov/NPILookup?Npi=1053087668","1053087668")</f>
        <v>1053087668</v>
      </c>
      <c r="E382" t="s">
        <v>18653</v>
      </c>
    </row>
    <row r="383" spans="1:5" x14ac:dyDescent="0.25">
      <c r="A383" t="s">
        <v>1</v>
      </c>
      <c r="B383" t="s">
        <v>19</v>
      </c>
      <c r="C383" t="s">
        <v>23490</v>
      </c>
      <c r="D383" t="str">
        <f>HYPERLINK("https://rhld.insurance.arkansas.gov/NPILookup?Npi=1053300335","1053300335")</f>
        <v>1053300335</v>
      </c>
      <c r="E383" t="s">
        <v>10607</v>
      </c>
    </row>
    <row r="384" spans="1:5" x14ac:dyDescent="0.25">
      <c r="A384" t="s">
        <v>1</v>
      </c>
      <c r="B384" t="s">
        <v>19</v>
      </c>
      <c r="C384" t="s">
        <v>23490</v>
      </c>
      <c r="D384" t="str">
        <f>HYPERLINK("https://rhld.insurance.arkansas.gov/NPILookup?Npi=1053300558","1053300558")</f>
        <v>1053300558</v>
      </c>
      <c r="E384" t="s">
        <v>180</v>
      </c>
    </row>
    <row r="385" spans="1:5" x14ac:dyDescent="0.25">
      <c r="A385" t="s">
        <v>1</v>
      </c>
      <c r="B385" t="s">
        <v>19</v>
      </c>
      <c r="C385" t="s">
        <v>23490</v>
      </c>
      <c r="D385" t="str">
        <f>HYPERLINK("https://rhld.insurance.arkansas.gov/NPILookup?Npi=1053304758","1053304758")</f>
        <v>1053304758</v>
      </c>
      <c r="E385" t="s">
        <v>182</v>
      </c>
    </row>
    <row r="386" spans="1:5" x14ac:dyDescent="0.25">
      <c r="A386" t="s">
        <v>1</v>
      </c>
      <c r="B386" t="s">
        <v>19</v>
      </c>
      <c r="C386" t="s">
        <v>23490</v>
      </c>
      <c r="D386" t="str">
        <f>HYPERLINK("https://rhld.insurance.arkansas.gov/NPILookup?Npi=1053304881","1053304881")</f>
        <v>1053304881</v>
      </c>
      <c r="E386" t="s">
        <v>183</v>
      </c>
    </row>
    <row r="387" spans="1:5" x14ac:dyDescent="0.25">
      <c r="A387" t="s">
        <v>1</v>
      </c>
      <c r="B387" t="s">
        <v>19</v>
      </c>
      <c r="C387" t="s">
        <v>23490</v>
      </c>
      <c r="D387" t="str">
        <f>HYPERLINK("https://rhld.insurance.arkansas.gov/NPILookup?Npi=1053305250","1053305250")</f>
        <v>1053305250</v>
      </c>
      <c r="E387" t="s">
        <v>184</v>
      </c>
    </row>
    <row r="388" spans="1:5" x14ac:dyDescent="0.25">
      <c r="A388" t="s">
        <v>1</v>
      </c>
      <c r="B388" t="s">
        <v>19</v>
      </c>
      <c r="C388" t="s">
        <v>23490</v>
      </c>
      <c r="D388" t="str">
        <f>HYPERLINK("https://rhld.insurance.arkansas.gov/NPILookup?Npi=1053308874","1053308874")</f>
        <v>1053308874</v>
      </c>
      <c r="E388" t="s">
        <v>14715</v>
      </c>
    </row>
    <row r="389" spans="1:5" x14ac:dyDescent="0.25">
      <c r="A389" t="s">
        <v>1</v>
      </c>
      <c r="B389" t="s">
        <v>19</v>
      </c>
      <c r="C389" t="s">
        <v>23490</v>
      </c>
      <c r="D389" t="str">
        <f>HYPERLINK("https://rhld.insurance.arkansas.gov/NPILookup?Npi=1053309898","1053309898")</f>
        <v>1053309898</v>
      </c>
      <c r="E389" t="s">
        <v>185</v>
      </c>
    </row>
    <row r="390" spans="1:5" x14ac:dyDescent="0.25">
      <c r="A390" t="s">
        <v>1</v>
      </c>
      <c r="B390" t="s">
        <v>19</v>
      </c>
      <c r="C390" t="s">
        <v>23490</v>
      </c>
      <c r="D390" t="str">
        <f>HYPERLINK("https://rhld.insurance.arkansas.gov/NPILookup?Npi=1053311068","1053311068")</f>
        <v>1053311068</v>
      </c>
      <c r="E390" t="s">
        <v>186</v>
      </c>
    </row>
    <row r="391" spans="1:5" x14ac:dyDescent="0.25">
      <c r="A391" t="s">
        <v>1</v>
      </c>
      <c r="B391" t="s">
        <v>19</v>
      </c>
      <c r="C391" t="s">
        <v>23490</v>
      </c>
      <c r="D391" t="str">
        <f>HYPERLINK("https://rhld.insurance.arkansas.gov/NPILookup?Npi=1053314104","1053314104")</f>
        <v>1053314104</v>
      </c>
      <c r="E391" t="s">
        <v>187</v>
      </c>
    </row>
    <row r="392" spans="1:5" x14ac:dyDescent="0.25">
      <c r="A392" t="s">
        <v>1</v>
      </c>
      <c r="B392" t="s">
        <v>19</v>
      </c>
      <c r="C392" t="s">
        <v>23490</v>
      </c>
      <c r="D392" t="str">
        <f>HYPERLINK("https://rhld.insurance.arkansas.gov/NPILookup?Npi=1053325605","1053325605")</f>
        <v>1053325605</v>
      </c>
      <c r="E392" t="s">
        <v>188</v>
      </c>
    </row>
    <row r="393" spans="1:5" x14ac:dyDescent="0.25">
      <c r="A393" t="s">
        <v>1</v>
      </c>
      <c r="B393" t="s">
        <v>19</v>
      </c>
      <c r="C393" t="s">
        <v>23490</v>
      </c>
      <c r="D393" t="str">
        <f>HYPERLINK("https://rhld.insurance.arkansas.gov/NPILookup?Npi=1053328955","1053328955")</f>
        <v>1053328955</v>
      </c>
      <c r="E393" t="s">
        <v>189</v>
      </c>
    </row>
    <row r="394" spans="1:5" x14ac:dyDescent="0.25">
      <c r="A394" t="s">
        <v>1</v>
      </c>
      <c r="B394" t="s">
        <v>19</v>
      </c>
      <c r="C394" t="s">
        <v>23490</v>
      </c>
      <c r="D394" t="str">
        <f>HYPERLINK("https://rhld.insurance.arkansas.gov/NPILookup?Npi=1053344986","1053344986")</f>
        <v>1053344986</v>
      </c>
      <c r="E394" t="s">
        <v>190</v>
      </c>
    </row>
    <row r="395" spans="1:5" x14ac:dyDescent="0.25">
      <c r="A395" t="s">
        <v>1</v>
      </c>
      <c r="B395" t="s">
        <v>19</v>
      </c>
      <c r="C395" t="s">
        <v>23490</v>
      </c>
      <c r="D395" t="str">
        <f>HYPERLINK("https://rhld.insurance.arkansas.gov/NPILookup?Npi=1053348870","1053348870")</f>
        <v>1053348870</v>
      </c>
      <c r="E395" t="s">
        <v>191</v>
      </c>
    </row>
    <row r="396" spans="1:5" x14ac:dyDescent="0.25">
      <c r="A396" t="s">
        <v>1</v>
      </c>
      <c r="B396" t="s">
        <v>19</v>
      </c>
      <c r="C396" t="s">
        <v>23490</v>
      </c>
      <c r="D396" t="str">
        <f>HYPERLINK("https://rhld.insurance.arkansas.gov/NPILookup?Npi=1053352773","1053352773")</f>
        <v>1053352773</v>
      </c>
      <c r="E396" t="s">
        <v>192</v>
      </c>
    </row>
    <row r="397" spans="1:5" x14ac:dyDescent="0.25">
      <c r="A397" t="s">
        <v>1</v>
      </c>
      <c r="B397" t="s">
        <v>19</v>
      </c>
      <c r="C397" t="s">
        <v>23490</v>
      </c>
      <c r="D397" t="str">
        <f>HYPERLINK("https://rhld.insurance.arkansas.gov/NPILookup?Npi=1053355206","1053355206")</f>
        <v>1053355206</v>
      </c>
      <c r="E397" t="s">
        <v>193</v>
      </c>
    </row>
    <row r="398" spans="1:5" x14ac:dyDescent="0.25">
      <c r="A398" t="s">
        <v>1</v>
      </c>
      <c r="B398" t="s">
        <v>19</v>
      </c>
      <c r="C398" t="s">
        <v>23490</v>
      </c>
      <c r="D398" t="str">
        <f>HYPERLINK("https://rhld.insurance.arkansas.gov/NPILookup?Npi=1053357491","1053357491")</f>
        <v>1053357491</v>
      </c>
      <c r="E398" t="s">
        <v>194</v>
      </c>
    </row>
    <row r="399" spans="1:5" x14ac:dyDescent="0.25">
      <c r="A399" t="s">
        <v>1</v>
      </c>
      <c r="B399" t="s">
        <v>19</v>
      </c>
      <c r="C399" t="s">
        <v>23490</v>
      </c>
      <c r="D399" t="str">
        <f>HYPERLINK("https://rhld.insurance.arkansas.gov/NPILookup?Npi=1053359877","1053359877")</f>
        <v>1053359877</v>
      </c>
      <c r="E399" t="s">
        <v>8448</v>
      </c>
    </row>
    <row r="400" spans="1:5" x14ac:dyDescent="0.25">
      <c r="A400" t="s">
        <v>1</v>
      </c>
      <c r="B400" t="s">
        <v>19</v>
      </c>
      <c r="C400" t="s">
        <v>23490</v>
      </c>
      <c r="D400" t="str">
        <f>HYPERLINK("https://rhld.insurance.arkansas.gov/NPILookup?Npi=1053370213","1053370213")</f>
        <v>1053370213</v>
      </c>
      <c r="E400" t="s">
        <v>195</v>
      </c>
    </row>
    <row r="401" spans="1:5" x14ac:dyDescent="0.25">
      <c r="A401" t="s">
        <v>1</v>
      </c>
      <c r="B401" t="s">
        <v>19</v>
      </c>
      <c r="C401" t="s">
        <v>23490</v>
      </c>
      <c r="D401" t="str">
        <f>HYPERLINK("https://rhld.insurance.arkansas.gov/NPILookup?Npi=1053377226","1053377226")</f>
        <v>1053377226</v>
      </c>
      <c r="E401" t="s">
        <v>196</v>
      </c>
    </row>
    <row r="402" spans="1:5" x14ac:dyDescent="0.25">
      <c r="A402" t="s">
        <v>1</v>
      </c>
      <c r="B402" t="s">
        <v>19</v>
      </c>
      <c r="C402" t="s">
        <v>23490</v>
      </c>
      <c r="D402" t="str">
        <f>HYPERLINK("https://rhld.insurance.arkansas.gov/NPILookup?Npi=1053381335","1053381335")</f>
        <v>1053381335</v>
      </c>
      <c r="E402" t="s">
        <v>197</v>
      </c>
    </row>
    <row r="403" spans="1:5" x14ac:dyDescent="0.25">
      <c r="A403" t="s">
        <v>1</v>
      </c>
      <c r="B403" t="s">
        <v>19</v>
      </c>
      <c r="C403" t="s">
        <v>23490</v>
      </c>
      <c r="D403" t="str">
        <f>HYPERLINK("https://rhld.insurance.arkansas.gov/NPILookup?Npi=1053382754","1053382754")</f>
        <v>1053382754</v>
      </c>
      <c r="E403" t="s">
        <v>14716</v>
      </c>
    </row>
    <row r="404" spans="1:5" x14ac:dyDescent="0.25">
      <c r="A404" t="s">
        <v>1</v>
      </c>
      <c r="B404" t="s">
        <v>19</v>
      </c>
      <c r="C404" t="s">
        <v>23490</v>
      </c>
      <c r="D404" t="str">
        <f>HYPERLINK("https://rhld.insurance.arkansas.gov/NPILookup?Npi=1053390781","1053390781")</f>
        <v>1053390781</v>
      </c>
      <c r="E404" t="s">
        <v>199</v>
      </c>
    </row>
    <row r="405" spans="1:5" x14ac:dyDescent="0.25">
      <c r="A405" t="s">
        <v>1</v>
      </c>
      <c r="B405" t="s">
        <v>19</v>
      </c>
      <c r="C405" t="s">
        <v>23490</v>
      </c>
      <c r="D405" t="str">
        <f>HYPERLINK("https://rhld.insurance.arkansas.gov/NPILookup?Npi=1053396523","1053396523")</f>
        <v>1053396523</v>
      </c>
      <c r="E405" t="s">
        <v>200</v>
      </c>
    </row>
    <row r="406" spans="1:5" x14ac:dyDescent="0.25">
      <c r="A406" t="s">
        <v>1</v>
      </c>
      <c r="B406" t="s">
        <v>19</v>
      </c>
      <c r="C406" t="s">
        <v>23490</v>
      </c>
      <c r="D406" t="str">
        <f>HYPERLINK("https://rhld.insurance.arkansas.gov/NPILookup?Npi=1053399584","1053399584")</f>
        <v>1053399584</v>
      </c>
      <c r="E406" t="s">
        <v>14717</v>
      </c>
    </row>
    <row r="407" spans="1:5" x14ac:dyDescent="0.25">
      <c r="A407" t="s">
        <v>1</v>
      </c>
      <c r="B407" t="s">
        <v>19</v>
      </c>
      <c r="C407" t="s">
        <v>23490</v>
      </c>
      <c r="D407" t="str">
        <f>HYPERLINK("https://rhld.insurance.arkansas.gov/NPILookup?Npi=1053401521","1053401521")</f>
        <v>1053401521</v>
      </c>
      <c r="E407" t="s">
        <v>201</v>
      </c>
    </row>
    <row r="408" spans="1:5" x14ac:dyDescent="0.25">
      <c r="A408" t="s">
        <v>1</v>
      </c>
      <c r="B408" t="s">
        <v>19</v>
      </c>
      <c r="C408" t="s">
        <v>23490</v>
      </c>
      <c r="D408" t="str">
        <f>HYPERLINK("https://rhld.insurance.arkansas.gov/NPILookup?Npi=1053402610","1053402610")</f>
        <v>1053402610</v>
      </c>
      <c r="E408" t="s">
        <v>202</v>
      </c>
    </row>
    <row r="409" spans="1:5" x14ac:dyDescent="0.25">
      <c r="A409" t="s">
        <v>1</v>
      </c>
      <c r="B409" t="s">
        <v>19</v>
      </c>
      <c r="C409" t="s">
        <v>23490</v>
      </c>
      <c r="D409" t="str">
        <f>HYPERLINK("https://rhld.insurance.arkansas.gov/NPILookup?Npi=1053407858","1053407858")</f>
        <v>1053407858</v>
      </c>
      <c r="E409" t="s">
        <v>203</v>
      </c>
    </row>
    <row r="410" spans="1:5" x14ac:dyDescent="0.25">
      <c r="A410" t="s">
        <v>1</v>
      </c>
      <c r="B410" t="s">
        <v>19</v>
      </c>
      <c r="C410" t="s">
        <v>23490</v>
      </c>
      <c r="D410" t="str">
        <f>HYPERLINK("https://rhld.insurance.arkansas.gov/NPILookup?Npi=1053408476","1053408476")</f>
        <v>1053408476</v>
      </c>
      <c r="E410" t="s">
        <v>204</v>
      </c>
    </row>
    <row r="411" spans="1:5" x14ac:dyDescent="0.25">
      <c r="A411" t="s">
        <v>1</v>
      </c>
      <c r="B411" t="s">
        <v>19</v>
      </c>
      <c r="C411" t="s">
        <v>23490</v>
      </c>
      <c r="D411" t="str">
        <f>HYPERLINK("https://rhld.insurance.arkansas.gov/NPILookup?Npi=1053411942","1053411942")</f>
        <v>1053411942</v>
      </c>
      <c r="E411" t="s">
        <v>19370</v>
      </c>
    </row>
    <row r="412" spans="1:5" x14ac:dyDescent="0.25">
      <c r="A412" t="s">
        <v>1</v>
      </c>
      <c r="B412" t="s">
        <v>19</v>
      </c>
      <c r="C412" t="s">
        <v>23490</v>
      </c>
      <c r="D412" t="str">
        <f>HYPERLINK("https://rhld.insurance.arkansas.gov/NPILookup?Npi=1053424515","1053424515")</f>
        <v>1053424515</v>
      </c>
      <c r="E412" t="s">
        <v>205</v>
      </c>
    </row>
    <row r="413" spans="1:5" x14ac:dyDescent="0.25">
      <c r="A413" t="s">
        <v>1</v>
      </c>
      <c r="B413" t="s">
        <v>19</v>
      </c>
      <c r="C413" t="s">
        <v>23490</v>
      </c>
      <c r="D413" t="str">
        <f>HYPERLINK("https://rhld.insurance.arkansas.gov/NPILookup?Npi=1053428177","1053428177")</f>
        <v>1053428177</v>
      </c>
      <c r="E413" t="s">
        <v>16858</v>
      </c>
    </row>
    <row r="414" spans="1:5" x14ac:dyDescent="0.25">
      <c r="A414" t="s">
        <v>1</v>
      </c>
      <c r="B414" t="s">
        <v>19</v>
      </c>
      <c r="C414" t="s">
        <v>23490</v>
      </c>
      <c r="D414" t="str">
        <f>HYPERLINK("https://rhld.insurance.arkansas.gov/NPILookup?Npi=1053429209","1053429209")</f>
        <v>1053429209</v>
      </c>
      <c r="E414" t="s">
        <v>206</v>
      </c>
    </row>
    <row r="415" spans="1:5" x14ac:dyDescent="0.25">
      <c r="A415" t="s">
        <v>1</v>
      </c>
      <c r="B415" t="s">
        <v>19</v>
      </c>
      <c r="C415" t="s">
        <v>23490</v>
      </c>
      <c r="D415" t="str">
        <f>HYPERLINK("https://rhld.insurance.arkansas.gov/NPILookup?Npi=1053446047","1053446047")</f>
        <v>1053446047</v>
      </c>
      <c r="E415" t="s">
        <v>207</v>
      </c>
    </row>
    <row r="416" spans="1:5" x14ac:dyDescent="0.25">
      <c r="A416" t="s">
        <v>1</v>
      </c>
      <c r="B416" t="s">
        <v>19</v>
      </c>
      <c r="C416" t="s">
        <v>23490</v>
      </c>
      <c r="D416" t="str">
        <f>HYPERLINK("https://rhld.insurance.arkansas.gov/NPILookup?Npi=1053449694","1053449694")</f>
        <v>1053449694</v>
      </c>
      <c r="E416" t="s">
        <v>16859</v>
      </c>
    </row>
    <row r="417" spans="1:5" x14ac:dyDescent="0.25">
      <c r="A417" t="s">
        <v>1</v>
      </c>
      <c r="B417" t="s">
        <v>19</v>
      </c>
      <c r="C417" t="s">
        <v>23490</v>
      </c>
      <c r="D417" t="str">
        <f>HYPERLINK("https://rhld.insurance.arkansas.gov/NPILookup?Npi=1053462481","1053462481")</f>
        <v>1053462481</v>
      </c>
      <c r="E417" t="s">
        <v>208</v>
      </c>
    </row>
    <row r="418" spans="1:5" x14ac:dyDescent="0.25">
      <c r="A418" t="s">
        <v>1</v>
      </c>
      <c r="B418" t="s">
        <v>19</v>
      </c>
      <c r="C418" t="s">
        <v>23490</v>
      </c>
      <c r="D418" t="str">
        <f>HYPERLINK("https://rhld.insurance.arkansas.gov/NPILookup?Npi=1053466276","1053466276")</f>
        <v>1053466276</v>
      </c>
      <c r="E418" t="s">
        <v>209</v>
      </c>
    </row>
    <row r="419" spans="1:5" x14ac:dyDescent="0.25">
      <c r="A419" t="s">
        <v>1</v>
      </c>
      <c r="B419" t="s">
        <v>19</v>
      </c>
      <c r="C419" t="s">
        <v>23490</v>
      </c>
      <c r="D419" t="str">
        <f>HYPERLINK("https://rhld.insurance.arkansas.gov/NPILookup?Npi=1053473231","1053473231")</f>
        <v>1053473231</v>
      </c>
      <c r="E419" t="s">
        <v>14718</v>
      </c>
    </row>
    <row r="420" spans="1:5" x14ac:dyDescent="0.25">
      <c r="A420" t="s">
        <v>1</v>
      </c>
      <c r="B420" t="s">
        <v>19</v>
      </c>
      <c r="C420" t="s">
        <v>23490</v>
      </c>
      <c r="D420" t="str">
        <f>HYPERLINK("https://rhld.insurance.arkansas.gov/NPILookup?Npi=1053493122","1053493122")</f>
        <v>1053493122</v>
      </c>
      <c r="E420" t="s">
        <v>8449</v>
      </c>
    </row>
    <row r="421" spans="1:5" x14ac:dyDescent="0.25">
      <c r="A421" t="s">
        <v>1</v>
      </c>
      <c r="B421" t="s">
        <v>19</v>
      </c>
      <c r="C421" t="s">
        <v>23490</v>
      </c>
      <c r="D421" t="str">
        <f>HYPERLINK("https://rhld.insurance.arkansas.gov/NPILookup?Npi=1053525014","1053525014")</f>
        <v>1053525014</v>
      </c>
      <c r="E421" t="s">
        <v>14719</v>
      </c>
    </row>
    <row r="422" spans="1:5" x14ac:dyDescent="0.25">
      <c r="A422" t="s">
        <v>1</v>
      </c>
      <c r="B422" t="s">
        <v>19</v>
      </c>
      <c r="C422" t="s">
        <v>23490</v>
      </c>
      <c r="D422" t="str">
        <f>HYPERLINK("https://rhld.insurance.arkansas.gov/NPILookup?Npi=1053528778","1053528778")</f>
        <v>1053528778</v>
      </c>
      <c r="E422" t="s">
        <v>210</v>
      </c>
    </row>
    <row r="423" spans="1:5" x14ac:dyDescent="0.25">
      <c r="A423" t="s">
        <v>1</v>
      </c>
      <c r="B423" t="s">
        <v>19</v>
      </c>
      <c r="C423" t="s">
        <v>23490</v>
      </c>
      <c r="D423" t="str">
        <f>HYPERLINK("https://rhld.insurance.arkansas.gov/NPILookup?Npi=1053542845","1053542845")</f>
        <v>1053542845</v>
      </c>
      <c r="E423" t="s">
        <v>211</v>
      </c>
    </row>
    <row r="424" spans="1:5" x14ac:dyDescent="0.25">
      <c r="A424" t="s">
        <v>1</v>
      </c>
      <c r="B424" t="s">
        <v>19</v>
      </c>
      <c r="C424" t="s">
        <v>23490</v>
      </c>
      <c r="D424" t="str">
        <f>HYPERLINK("https://rhld.insurance.arkansas.gov/NPILookup?Npi=1053548461","1053548461")</f>
        <v>1053548461</v>
      </c>
      <c r="E424" t="s">
        <v>212</v>
      </c>
    </row>
    <row r="425" spans="1:5" x14ac:dyDescent="0.25">
      <c r="A425" t="s">
        <v>1</v>
      </c>
      <c r="B425" t="s">
        <v>19</v>
      </c>
      <c r="C425" t="s">
        <v>23490</v>
      </c>
      <c r="D425" t="str">
        <f>HYPERLINK("https://rhld.insurance.arkansas.gov/NPILookup?Npi=1053553024","1053553024")</f>
        <v>1053553024</v>
      </c>
      <c r="E425" t="s">
        <v>213</v>
      </c>
    </row>
    <row r="426" spans="1:5" x14ac:dyDescent="0.25">
      <c r="A426" t="s">
        <v>1</v>
      </c>
      <c r="B426" t="s">
        <v>19</v>
      </c>
      <c r="C426" t="s">
        <v>23490</v>
      </c>
      <c r="D426" t="str">
        <f>HYPERLINK("https://rhld.insurance.arkansas.gov/NPILookup?Npi=1053556332","1053556332")</f>
        <v>1053556332</v>
      </c>
      <c r="E426" t="s">
        <v>8450</v>
      </c>
    </row>
    <row r="427" spans="1:5" x14ac:dyDescent="0.25">
      <c r="A427" t="s">
        <v>1</v>
      </c>
      <c r="B427" t="s">
        <v>19</v>
      </c>
      <c r="C427" t="s">
        <v>23490</v>
      </c>
      <c r="D427" t="str">
        <f>HYPERLINK("https://rhld.insurance.arkansas.gov/NPILookup?Npi=1053560979","1053560979")</f>
        <v>1053560979</v>
      </c>
      <c r="E427" t="s">
        <v>214</v>
      </c>
    </row>
    <row r="428" spans="1:5" x14ac:dyDescent="0.25">
      <c r="A428" t="s">
        <v>1</v>
      </c>
      <c r="B428" t="s">
        <v>19</v>
      </c>
      <c r="C428" t="s">
        <v>23490</v>
      </c>
      <c r="D428" t="str">
        <f>HYPERLINK("https://rhld.insurance.arkansas.gov/NPILookup?Npi=1053569400","1053569400")</f>
        <v>1053569400</v>
      </c>
      <c r="E428" t="s">
        <v>215</v>
      </c>
    </row>
    <row r="429" spans="1:5" x14ac:dyDescent="0.25">
      <c r="A429" t="s">
        <v>1</v>
      </c>
      <c r="B429" t="s">
        <v>19</v>
      </c>
      <c r="C429" t="s">
        <v>23490</v>
      </c>
      <c r="D429" t="str">
        <f>HYPERLINK("https://rhld.insurance.arkansas.gov/NPILookup?Npi=1053575597","1053575597")</f>
        <v>1053575597</v>
      </c>
      <c r="E429" t="s">
        <v>216</v>
      </c>
    </row>
    <row r="430" spans="1:5" x14ac:dyDescent="0.25">
      <c r="A430" t="s">
        <v>1</v>
      </c>
      <c r="B430" t="s">
        <v>19</v>
      </c>
      <c r="C430" t="s">
        <v>23490</v>
      </c>
      <c r="D430" t="str">
        <f>HYPERLINK("https://rhld.insurance.arkansas.gov/NPILookup?Npi=1053593509","1053593509")</f>
        <v>1053593509</v>
      </c>
      <c r="E430" t="s">
        <v>217</v>
      </c>
    </row>
    <row r="431" spans="1:5" x14ac:dyDescent="0.25">
      <c r="A431" t="s">
        <v>1</v>
      </c>
      <c r="B431" t="s">
        <v>19</v>
      </c>
      <c r="C431" t="s">
        <v>23490</v>
      </c>
      <c r="D431" t="str">
        <f>HYPERLINK("https://rhld.insurance.arkansas.gov/NPILookup?Npi=1053606145","1053606145")</f>
        <v>1053606145</v>
      </c>
      <c r="E431" t="s">
        <v>19371</v>
      </c>
    </row>
    <row r="432" spans="1:5" x14ac:dyDescent="0.25">
      <c r="A432" t="s">
        <v>1</v>
      </c>
      <c r="B432" t="s">
        <v>19</v>
      </c>
      <c r="C432" t="s">
        <v>23490</v>
      </c>
      <c r="D432" t="str">
        <f>HYPERLINK("https://rhld.insurance.arkansas.gov/NPILookup?Npi=1053606350","1053606350")</f>
        <v>1053606350</v>
      </c>
      <c r="E432" t="s">
        <v>18127</v>
      </c>
    </row>
    <row r="433" spans="1:5" x14ac:dyDescent="0.25">
      <c r="A433" t="s">
        <v>1</v>
      </c>
      <c r="B433" t="s">
        <v>19</v>
      </c>
      <c r="C433" t="s">
        <v>23490</v>
      </c>
      <c r="D433" t="str">
        <f>HYPERLINK("https://rhld.insurance.arkansas.gov/NPILookup?Npi=1053623066","1053623066")</f>
        <v>1053623066</v>
      </c>
      <c r="E433" t="s">
        <v>218</v>
      </c>
    </row>
    <row r="434" spans="1:5" x14ac:dyDescent="0.25">
      <c r="A434" t="s">
        <v>1</v>
      </c>
      <c r="B434" t="s">
        <v>19</v>
      </c>
      <c r="C434" t="s">
        <v>23490</v>
      </c>
      <c r="D434" t="str">
        <f>HYPERLINK("https://rhld.insurance.arkansas.gov/NPILookup?Npi=1053634485","1053634485")</f>
        <v>1053634485</v>
      </c>
      <c r="E434" t="s">
        <v>219</v>
      </c>
    </row>
    <row r="435" spans="1:5" x14ac:dyDescent="0.25">
      <c r="A435" t="s">
        <v>1</v>
      </c>
      <c r="B435" t="s">
        <v>19</v>
      </c>
      <c r="C435" t="s">
        <v>23490</v>
      </c>
      <c r="D435" t="str">
        <f>HYPERLINK("https://rhld.insurance.arkansas.gov/NPILookup?Npi=1053637447","1053637447")</f>
        <v>1053637447</v>
      </c>
      <c r="E435" t="s">
        <v>8451</v>
      </c>
    </row>
    <row r="436" spans="1:5" x14ac:dyDescent="0.25">
      <c r="A436" t="s">
        <v>1</v>
      </c>
      <c r="B436" t="s">
        <v>19</v>
      </c>
      <c r="C436" t="s">
        <v>23490</v>
      </c>
      <c r="D436" t="str">
        <f>HYPERLINK("https://rhld.insurance.arkansas.gov/NPILookup?Npi=1053638817","1053638817")</f>
        <v>1053638817</v>
      </c>
      <c r="E436" t="s">
        <v>8452</v>
      </c>
    </row>
    <row r="437" spans="1:5" x14ac:dyDescent="0.25">
      <c r="A437" t="s">
        <v>1</v>
      </c>
      <c r="B437" t="s">
        <v>19</v>
      </c>
      <c r="C437" t="s">
        <v>23490</v>
      </c>
      <c r="D437" t="str">
        <f>HYPERLINK("https://rhld.insurance.arkansas.gov/NPILookup?Npi=1053650945","1053650945")</f>
        <v>1053650945</v>
      </c>
      <c r="E437" t="s">
        <v>19372</v>
      </c>
    </row>
    <row r="438" spans="1:5" x14ac:dyDescent="0.25">
      <c r="A438" t="s">
        <v>1</v>
      </c>
      <c r="B438" t="s">
        <v>19</v>
      </c>
      <c r="C438" t="s">
        <v>23490</v>
      </c>
      <c r="D438" t="str">
        <f>HYPERLINK("https://rhld.insurance.arkansas.gov/NPILookup?Npi=1053654608","1053654608")</f>
        <v>1053654608</v>
      </c>
      <c r="E438" t="s">
        <v>8453</v>
      </c>
    </row>
    <row r="439" spans="1:5" x14ac:dyDescent="0.25">
      <c r="A439" t="s">
        <v>1</v>
      </c>
      <c r="B439" t="s">
        <v>19</v>
      </c>
      <c r="C439" t="s">
        <v>23490</v>
      </c>
      <c r="D439" t="str">
        <f>HYPERLINK("https://rhld.insurance.arkansas.gov/NPILookup?Npi=1053664912","1053664912")</f>
        <v>1053664912</v>
      </c>
      <c r="E439" t="s">
        <v>14721</v>
      </c>
    </row>
    <row r="440" spans="1:5" x14ac:dyDescent="0.25">
      <c r="A440" t="s">
        <v>1</v>
      </c>
      <c r="B440" t="s">
        <v>19</v>
      </c>
      <c r="C440" t="s">
        <v>23490</v>
      </c>
      <c r="D440" t="str">
        <f>HYPERLINK("https://rhld.insurance.arkansas.gov/NPILookup?Npi=1053677674","1053677674")</f>
        <v>1053677674</v>
      </c>
      <c r="E440" t="s">
        <v>220</v>
      </c>
    </row>
    <row r="441" spans="1:5" x14ac:dyDescent="0.25">
      <c r="A441" t="s">
        <v>1</v>
      </c>
      <c r="B441" t="s">
        <v>19</v>
      </c>
      <c r="C441" t="s">
        <v>23490</v>
      </c>
      <c r="D441" t="str">
        <f>HYPERLINK("https://rhld.insurance.arkansas.gov/NPILookup?Npi=1053711333","1053711333")</f>
        <v>1053711333</v>
      </c>
      <c r="E441" t="s">
        <v>10608</v>
      </c>
    </row>
    <row r="442" spans="1:5" x14ac:dyDescent="0.25">
      <c r="A442" t="s">
        <v>1</v>
      </c>
      <c r="B442" t="s">
        <v>19</v>
      </c>
      <c r="C442" t="s">
        <v>23490</v>
      </c>
      <c r="D442" t="str">
        <f>HYPERLINK("https://rhld.insurance.arkansas.gov/NPILookup?Npi=1053720342","1053720342")</f>
        <v>1053720342</v>
      </c>
      <c r="E442" t="s">
        <v>13345</v>
      </c>
    </row>
    <row r="443" spans="1:5" x14ac:dyDescent="0.25">
      <c r="A443" t="s">
        <v>1</v>
      </c>
      <c r="B443" t="s">
        <v>19</v>
      </c>
      <c r="C443" t="s">
        <v>23490</v>
      </c>
      <c r="D443" t="str">
        <f>HYPERLINK("https://rhld.insurance.arkansas.gov/NPILookup?Npi=1053725499","1053725499")</f>
        <v>1053725499</v>
      </c>
      <c r="E443" t="s">
        <v>19373</v>
      </c>
    </row>
    <row r="444" spans="1:5" x14ac:dyDescent="0.25">
      <c r="A444" t="s">
        <v>1</v>
      </c>
      <c r="B444" t="s">
        <v>19</v>
      </c>
      <c r="C444" t="s">
        <v>23490</v>
      </c>
      <c r="D444" t="str">
        <f>HYPERLINK("https://rhld.insurance.arkansas.gov/NPILookup?Npi=1053735639","1053735639")</f>
        <v>1053735639</v>
      </c>
      <c r="E444" t="s">
        <v>221</v>
      </c>
    </row>
    <row r="445" spans="1:5" x14ac:dyDescent="0.25">
      <c r="A445" t="s">
        <v>1</v>
      </c>
      <c r="B445" t="s">
        <v>19</v>
      </c>
      <c r="C445" t="s">
        <v>23490</v>
      </c>
      <c r="D445" t="str">
        <f>HYPERLINK("https://rhld.insurance.arkansas.gov/NPILookup?Npi=1053737452","1053737452")</f>
        <v>1053737452</v>
      </c>
      <c r="E445" t="s">
        <v>222</v>
      </c>
    </row>
    <row r="446" spans="1:5" x14ac:dyDescent="0.25">
      <c r="A446" t="s">
        <v>1</v>
      </c>
      <c r="B446" t="s">
        <v>19</v>
      </c>
      <c r="C446" t="s">
        <v>23490</v>
      </c>
      <c r="D446" t="str">
        <f>HYPERLINK("https://rhld.insurance.arkansas.gov/NPILookup?Npi=1053756312","1053756312")</f>
        <v>1053756312</v>
      </c>
      <c r="E446" t="s">
        <v>10609</v>
      </c>
    </row>
    <row r="447" spans="1:5" x14ac:dyDescent="0.25">
      <c r="A447" t="s">
        <v>1</v>
      </c>
      <c r="B447" t="s">
        <v>19</v>
      </c>
      <c r="C447" t="s">
        <v>23490</v>
      </c>
      <c r="D447" t="str">
        <f>HYPERLINK("https://rhld.insurance.arkansas.gov/NPILookup?Npi=1053761924","1053761924")</f>
        <v>1053761924</v>
      </c>
      <c r="E447" t="s">
        <v>13346</v>
      </c>
    </row>
    <row r="448" spans="1:5" x14ac:dyDescent="0.25">
      <c r="A448" t="s">
        <v>1</v>
      </c>
      <c r="B448" t="s">
        <v>19</v>
      </c>
      <c r="C448" t="s">
        <v>23490</v>
      </c>
      <c r="D448" t="str">
        <f>HYPERLINK("https://rhld.insurance.arkansas.gov/NPILookup?Npi=1053781088","1053781088")</f>
        <v>1053781088</v>
      </c>
      <c r="E448" t="s">
        <v>10610</v>
      </c>
    </row>
    <row r="449" spans="1:5" x14ac:dyDescent="0.25">
      <c r="A449" t="s">
        <v>1</v>
      </c>
      <c r="B449" t="s">
        <v>19</v>
      </c>
      <c r="C449" t="s">
        <v>23490</v>
      </c>
      <c r="D449" t="str">
        <f>HYPERLINK("https://rhld.insurance.arkansas.gov/NPILookup?Npi=1053787283","1053787283")</f>
        <v>1053787283</v>
      </c>
      <c r="E449" t="s">
        <v>223</v>
      </c>
    </row>
    <row r="450" spans="1:5" x14ac:dyDescent="0.25">
      <c r="A450" t="s">
        <v>1</v>
      </c>
      <c r="B450" t="s">
        <v>19</v>
      </c>
      <c r="C450" t="s">
        <v>23490</v>
      </c>
      <c r="D450" t="str">
        <f>HYPERLINK("https://rhld.insurance.arkansas.gov/NPILookup?Npi=1053808881","1053808881")</f>
        <v>1053808881</v>
      </c>
      <c r="E450" t="s">
        <v>1861</v>
      </c>
    </row>
    <row r="451" spans="1:5" x14ac:dyDescent="0.25">
      <c r="A451" t="s">
        <v>1</v>
      </c>
      <c r="B451" t="s">
        <v>19</v>
      </c>
      <c r="C451" t="s">
        <v>23490</v>
      </c>
      <c r="D451" t="str">
        <f>HYPERLINK("https://rhld.insurance.arkansas.gov/NPILookup?Npi=1053810101","1053810101")</f>
        <v>1053810101</v>
      </c>
      <c r="E451" t="s">
        <v>12764</v>
      </c>
    </row>
    <row r="452" spans="1:5" x14ac:dyDescent="0.25">
      <c r="A452" t="s">
        <v>1</v>
      </c>
      <c r="B452" t="s">
        <v>19</v>
      </c>
      <c r="C452" t="s">
        <v>23490</v>
      </c>
      <c r="D452" t="str">
        <f>HYPERLINK("https://rhld.insurance.arkansas.gov/NPILookup?Npi=1053817999","1053817999")</f>
        <v>1053817999</v>
      </c>
      <c r="E452" t="s">
        <v>21454</v>
      </c>
    </row>
    <row r="453" spans="1:5" x14ac:dyDescent="0.25">
      <c r="A453" t="s">
        <v>1</v>
      </c>
      <c r="B453" t="s">
        <v>19</v>
      </c>
      <c r="C453" t="s">
        <v>23490</v>
      </c>
      <c r="D453" t="str">
        <f>HYPERLINK("https://rhld.insurance.arkansas.gov/NPILookup?Npi=1053826842","1053826842")</f>
        <v>1053826842</v>
      </c>
      <c r="E453" t="s">
        <v>12765</v>
      </c>
    </row>
    <row r="454" spans="1:5" x14ac:dyDescent="0.25">
      <c r="A454" t="s">
        <v>1</v>
      </c>
      <c r="B454" t="s">
        <v>19</v>
      </c>
      <c r="C454" t="s">
        <v>23490</v>
      </c>
      <c r="D454" t="str">
        <f>HYPERLINK("https://rhld.insurance.arkansas.gov/NPILookup?Npi=1053835215","1053835215")</f>
        <v>1053835215</v>
      </c>
      <c r="E454" t="s">
        <v>17837</v>
      </c>
    </row>
    <row r="455" spans="1:5" x14ac:dyDescent="0.25">
      <c r="A455" t="s">
        <v>1</v>
      </c>
      <c r="B455" t="s">
        <v>19</v>
      </c>
      <c r="C455" t="s">
        <v>23490</v>
      </c>
      <c r="D455" t="str">
        <f>HYPERLINK("https://rhld.insurance.arkansas.gov/NPILookup?Npi=1053841155","1053841155")</f>
        <v>1053841155</v>
      </c>
      <c r="E455" t="s">
        <v>10611</v>
      </c>
    </row>
    <row r="456" spans="1:5" x14ac:dyDescent="0.25">
      <c r="A456" t="s">
        <v>1</v>
      </c>
      <c r="B456" t="s">
        <v>19</v>
      </c>
      <c r="C456" t="s">
        <v>23490</v>
      </c>
      <c r="D456" t="str">
        <f>HYPERLINK("https://rhld.insurance.arkansas.gov/NPILookup?Npi=1053843631","1053843631")</f>
        <v>1053843631</v>
      </c>
      <c r="E456" t="s">
        <v>10612</v>
      </c>
    </row>
    <row r="457" spans="1:5" x14ac:dyDescent="0.25">
      <c r="A457" t="s">
        <v>1</v>
      </c>
      <c r="B457" t="s">
        <v>19</v>
      </c>
      <c r="C457" t="s">
        <v>23490</v>
      </c>
      <c r="D457" t="str">
        <f>HYPERLINK("https://rhld.insurance.arkansas.gov/NPILookup?Npi=1053845651","1053845651")</f>
        <v>1053845651</v>
      </c>
      <c r="E457" t="s">
        <v>17381</v>
      </c>
    </row>
    <row r="458" spans="1:5" x14ac:dyDescent="0.25">
      <c r="A458" t="s">
        <v>1</v>
      </c>
      <c r="B458" t="s">
        <v>19</v>
      </c>
      <c r="C458" t="s">
        <v>23490</v>
      </c>
      <c r="D458" t="str">
        <f>HYPERLINK("https://rhld.insurance.arkansas.gov/NPILookup?Npi=1053846154","1053846154")</f>
        <v>1053846154</v>
      </c>
      <c r="E458" t="s">
        <v>10613</v>
      </c>
    </row>
    <row r="459" spans="1:5" x14ac:dyDescent="0.25">
      <c r="A459" t="s">
        <v>1</v>
      </c>
      <c r="B459" t="s">
        <v>19</v>
      </c>
      <c r="C459" t="s">
        <v>23490</v>
      </c>
      <c r="D459" t="str">
        <f>HYPERLINK("https://rhld.insurance.arkansas.gov/NPILookup?Npi=1053872176","1053872176")</f>
        <v>1053872176</v>
      </c>
      <c r="E459" t="s">
        <v>21366</v>
      </c>
    </row>
    <row r="460" spans="1:5" x14ac:dyDescent="0.25">
      <c r="A460" t="s">
        <v>1</v>
      </c>
      <c r="B460" t="s">
        <v>19</v>
      </c>
      <c r="C460" t="s">
        <v>23490</v>
      </c>
      <c r="D460" t="str">
        <f>HYPERLINK("https://rhld.insurance.arkansas.gov/NPILookup?Npi=1053874560","1053874560")</f>
        <v>1053874560</v>
      </c>
      <c r="E460" t="s">
        <v>19374</v>
      </c>
    </row>
    <row r="461" spans="1:5" x14ac:dyDescent="0.25">
      <c r="A461" t="s">
        <v>1</v>
      </c>
      <c r="B461" t="s">
        <v>19</v>
      </c>
      <c r="C461" t="s">
        <v>23490</v>
      </c>
      <c r="D461" t="str">
        <f>HYPERLINK("https://rhld.insurance.arkansas.gov/NPILookup?Npi=1053875146","1053875146")</f>
        <v>1053875146</v>
      </c>
      <c r="E461" t="s">
        <v>14722</v>
      </c>
    </row>
    <row r="462" spans="1:5" x14ac:dyDescent="0.25">
      <c r="A462" t="s">
        <v>1</v>
      </c>
      <c r="B462" t="s">
        <v>19</v>
      </c>
      <c r="C462" t="s">
        <v>23490</v>
      </c>
      <c r="D462" t="str">
        <f>HYPERLINK("https://rhld.insurance.arkansas.gov/NPILookup?Npi=1053877878","1053877878")</f>
        <v>1053877878</v>
      </c>
      <c r="E462" t="s">
        <v>22886</v>
      </c>
    </row>
    <row r="463" spans="1:5" x14ac:dyDescent="0.25">
      <c r="A463" t="s">
        <v>1</v>
      </c>
      <c r="B463" t="s">
        <v>19</v>
      </c>
      <c r="C463" t="s">
        <v>23490</v>
      </c>
      <c r="D463" t="str">
        <f>HYPERLINK("https://rhld.insurance.arkansas.gov/NPILookup?Npi=1053891895","1053891895")</f>
        <v>1053891895</v>
      </c>
      <c r="E463" t="s">
        <v>13347</v>
      </c>
    </row>
    <row r="464" spans="1:5" x14ac:dyDescent="0.25">
      <c r="A464" t="s">
        <v>1</v>
      </c>
      <c r="B464" t="s">
        <v>19</v>
      </c>
      <c r="C464" t="s">
        <v>23490</v>
      </c>
      <c r="D464" t="str">
        <f>HYPERLINK("https://rhld.insurance.arkansas.gov/NPILookup?Npi=1053897884","1053897884")</f>
        <v>1053897884</v>
      </c>
      <c r="E464" t="s">
        <v>16860</v>
      </c>
    </row>
    <row r="465" spans="1:5" x14ac:dyDescent="0.25">
      <c r="A465" t="s">
        <v>1</v>
      </c>
      <c r="B465" t="s">
        <v>19</v>
      </c>
      <c r="C465" t="s">
        <v>23490</v>
      </c>
      <c r="D465" t="str">
        <f>HYPERLINK("https://rhld.insurance.arkansas.gov/NPILookup?Npi=1053907931","1053907931")</f>
        <v>1053907931</v>
      </c>
      <c r="E465" t="s">
        <v>17838</v>
      </c>
    </row>
    <row r="466" spans="1:5" x14ac:dyDescent="0.25">
      <c r="A466" t="s">
        <v>1</v>
      </c>
      <c r="B466" t="s">
        <v>19</v>
      </c>
      <c r="C466" t="s">
        <v>23490</v>
      </c>
      <c r="D466" t="str">
        <f>HYPERLINK("https://rhld.insurance.arkansas.gov/NPILookup?Npi=1053917310","1053917310")</f>
        <v>1053917310</v>
      </c>
      <c r="E466" t="s">
        <v>71</v>
      </c>
    </row>
    <row r="467" spans="1:5" x14ac:dyDescent="0.25">
      <c r="A467" t="s">
        <v>1</v>
      </c>
      <c r="B467" t="s">
        <v>19</v>
      </c>
      <c r="C467" t="s">
        <v>23490</v>
      </c>
      <c r="D467" t="str">
        <f>HYPERLINK("https://rhld.insurance.arkansas.gov/NPILookup?Npi=1053919563","1053919563")</f>
        <v>1053919563</v>
      </c>
      <c r="E467" t="s">
        <v>17839</v>
      </c>
    </row>
    <row r="468" spans="1:5" x14ac:dyDescent="0.25">
      <c r="A468" t="s">
        <v>1</v>
      </c>
      <c r="B468" t="s">
        <v>19</v>
      </c>
      <c r="C468" t="s">
        <v>23490</v>
      </c>
      <c r="D468" t="str">
        <f>HYPERLINK("https://rhld.insurance.arkansas.gov/NPILookup?Npi=1053922443","1053922443")</f>
        <v>1053922443</v>
      </c>
      <c r="E468" t="s">
        <v>19375</v>
      </c>
    </row>
    <row r="469" spans="1:5" x14ac:dyDescent="0.25">
      <c r="A469" t="s">
        <v>1</v>
      </c>
      <c r="B469" t="s">
        <v>19</v>
      </c>
      <c r="C469" t="s">
        <v>23490</v>
      </c>
      <c r="D469" t="str">
        <f>HYPERLINK("https://rhld.insurance.arkansas.gov/NPILookup?Npi=1053932806","1053932806")</f>
        <v>1053932806</v>
      </c>
      <c r="E469" t="s">
        <v>20879</v>
      </c>
    </row>
    <row r="470" spans="1:5" x14ac:dyDescent="0.25">
      <c r="A470" t="s">
        <v>1</v>
      </c>
      <c r="B470" t="s">
        <v>19</v>
      </c>
      <c r="C470" t="s">
        <v>23490</v>
      </c>
      <c r="D470" t="str">
        <f>HYPERLINK("https://rhld.insurance.arkansas.gov/NPILookup?Npi=1053944025","1053944025")</f>
        <v>1053944025</v>
      </c>
      <c r="E470" t="s">
        <v>17840</v>
      </c>
    </row>
    <row r="471" spans="1:5" x14ac:dyDescent="0.25">
      <c r="A471" t="s">
        <v>1</v>
      </c>
      <c r="B471" t="s">
        <v>19</v>
      </c>
      <c r="C471" t="s">
        <v>23490</v>
      </c>
      <c r="D471" t="str">
        <f>HYPERLINK("https://rhld.insurance.arkansas.gov/NPILookup?Npi=1053949586","1053949586")</f>
        <v>1053949586</v>
      </c>
      <c r="E471" t="s">
        <v>18654</v>
      </c>
    </row>
    <row r="472" spans="1:5" x14ac:dyDescent="0.25">
      <c r="A472" t="s">
        <v>1</v>
      </c>
      <c r="B472" t="s">
        <v>19</v>
      </c>
      <c r="C472" t="s">
        <v>23490</v>
      </c>
      <c r="D472" t="str">
        <f>HYPERLINK("https://rhld.insurance.arkansas.gov/NPILookup?Npi=1053950113","1053950113")</f>
        <v>1053950113</v>
      </c>
      <c r="E472" t="s">
        <v>16861</v>
      </c>
    </row>
    <row r="473" spans="1:5" x14ac:dyDescent="0.25">
      <c r="A473" t="s">
        <v>1</v>
      </c>
      <c r="B473" t="s">
        <v>19</v>
      </c>
      <c r="C473" t="s">
        <v>23490</v>
      </c>
      <c r="D473" t="str">
        <f>HYPERLINK("https://rhld.insurance.arkansas.gov/NPILookup?Npi=1053957464","1053957464")</f>
        <v>1053957464</v>
      </c>
      <c r="E473" t="s">
        <v>16862</v>
      </c>
    </row>
    <row r="474" spans="1:5" x14ac:dyDescent="0.25">
      <c r="A474" t="s">
        <v>1</v>
      </c>
      <c r="B474" t="s">
        <v>19</v>
      </c>
      <c r="C474" t="s">
        <v>23490</v>
      </c>
      <c r="D474" t="str">
        <f>HYPERLINK("https://rhld.insurance.arkansas.gov/NPILookup?Npi=1053998518","1053998518")</f>
        <v>1053998518</v>
      </c>
      <c r="E474" t="s">
        <v>18655</v>
      </c>
    </row>
    <row r="475" spans="1:5" x14ac:dyDescent="0.25">
      <c r="A475" t="s">
        <v>1</v>
      </c>
      <c r="B475" t="s">
        <v>19</v>
      </c>
      <c r="C475" t="s">
        <v>23490</v>
      </c>
      <c r="D475" t="str">
        <f>HYPERLINK("https://rhld.insurance.arkansas.gov/NPILookup?Npi=1063010874","1063010874")</f>
        <v>1063010874</v>
      </c>
      <c r="E475" t="s">
        <v>17841</v>
      </c>
    </row>
    <row r="476" spans="1:5" x14ac:dyDescent="0.25">
      <c r="A476" t="s">
        <v>1</v>
      </c>
      <c r="B476" t="s">
        <v>19</v>
      </c>
      <c r="C476" t="s">
        <v>23490</v>
      </c>
      <c r="D476" t="str">
        <f>HYPERLINK("https://rhld.insurance.arkansas.gov/NPILookup?Npi=1063020469","1063020469")</f>
        <v>1063020469</v>
      </c>
      <c r="E476" t="s">
        <v>17842</v>
      </c>
    </row>
    <row r="477" spans="1:5" x14ac:dyDescent="0.25">
      <c r="A477" t="s">
        <v>1</v>
      </c>
      <c r="B477" t="s">
        <v>19</v>
      </c>
      <c r="C477" t="s">
        <v>23490</v>
      </c>
      <c r="D477" t="str">
        <f>HYPERLINK("https://rhld.insurance.arkansas.gov/NPILookup?Npi=1063048817","1063048817")</f>
        <v>1063048817</v>
      </c>
      <c r="E477" t="s">
        <v>17843</v>
      </c>
    </row>
    <row r="478" spans="1:5" x14ac:dyDescent="0.25">
      <c r="A478" t="s">
        <v>1</v>
      </c>
      <c r="B478" t="s">
        <v>19</v>
      </c>
      <c r="C478" t="s">
        <v>23490</v>
      </c>
      <c r="D478" t="str">
        <f>HYPERLINK("https://rhld.insurance.arkansas.gov/NPILookup?Npi=1063069326","1063069326")</f>
        <v>1063069326</v>
      </c>
      <c r="E478" t="s">
        <v>19376</v>
      </c>
    </row>
    <row r="479" spans="1:5" x14ac:dyDescent="0.25">
      <c r="A479" t="s">
        <v>1</v>
      </c>
      <c r="B479" t="s">
        <v>19</v>
      </c>
      <c r="C479" t="s">
        <v>23490</v>
      </c>
      <c r="D479" t="str">
        <f>HYPERLINK("https://rhld.insurance.arkansas.gov/NPILookup?Npi=1063089449","1063089449")</f>
        <v>1063089449</v>
      </c>
      <c r="E479" t="s">
        <v>19377</v>
      </c>
    </row>
    <row r="480" spans="1:5" x14ac:dyDescent="0.25">
      <c r="A480" t="s">
        <v>1</v>
      </c>
      <c r="B480" t="s">
        <v>19</v>
      </c>
      <c r="C480" t="s">
        <v>23490</v>
      </c>
      <c r="D480" t="str">
        <f>HYPERLINK("https://rhld.insurance.arkansas.gov/NPILookup?Npi=1063137412","1063137412")</f>
        <v>1063137412</v>
      </c>
      <c r="E480" t="s">
        <v>21455</v>
      </c>
    </row>
    <row r="481" spans="1:5" x14ac:dyDescent="0.25">
      <c r="A481" t="s">
        <v>1</v>
      </c>
      <c r="B481" t="s">
        <v>19</v>
      </c>
      <c r="C481" t="s">
        <v>23490</v>
      </c>
      <c r="D481" t="str">
        <f>HYPERLINK("https://rhld.insurance.arkansas.gov/NPILookup?Npi=1063143329","1063143329")</f>
        <v>1063143329</v>
      </c>
      <c r="E481" t="s">
        <v>20880</v>
      </c>
    </row>
    <row r="482" spans="1:5" x14ac:dyDescent="0.25">
      <c r="A482" t="s">
        <v>1</v>
      </c>
      <c r="B482" t="s">
        <v>19</v>
      </c>
      <c r="C482" t="s">
        <v>23490</v>
      </c>
      <c r="D482" t="str">
        <f>HYPERLINK("https://rhld.insurance.arkansas.gov/NPILookup?Npi=1063150001","1063150001")</f>
        <v>1063150001</v>
      </c>
      <c r="E482" t="s">
        <v>20881</v>
      </c>
    </row>
    <row r="483" spans="1:5" x14ac:dyDescent="0.25">
      <c r="A483" t="s">
        <v>1</v>
      </c>
      <c r="B483" t="s">
        <v>19</v>
      </c>
      <c r="C483" t="s">
        <v>23490</v>
      </c>
      <c r="D483" t="str">
        <f>HYPERLINK("https://rhld.insurance.arkansas.gov/NPILookup?Npi=1063154219","1063154219")</f>
        <v>1063154219</v>
      </c>
      <c r="E483" t="s">
        <v>21456</v>
      </c>
    </row>
    <row r="484" spans="1:5" x14ac:dyDescent="0.25">
      <c r="A484" t="s">
        <v>1</v>
      </c>
      <c r="B484" t="s">
        <v>19</v>
      </c>
      <c r="C484" t="s">
        <v>23490</v>
      </c>
      <c r="D484" t="str">
        <f>HYPERLINK("https://rhld.insurance.arkansas.gov/NPILookup?Npi=1063162287","1063162287")</f>
        <v>1063162287</v>
      </c>
      <c r="E484" t="s">
        <v>19378</v>
      </c>
    </row>
    <row r="485" spans="1:5" x14ac:dyDescent="0.25">
      <c r="A485" t="s">
        <v>1</v>
      </c>
      <c r="B485" t="s">
        <v>19</v>
      </c>
      <c r="C485" t="s">
        <v>23490</v>
      </c>
      <c r="D485" t="str">
        <f>HYPERLINK("https://rhld.insurance.arkansas.gov/NPILookup?Npi=1063175693","1063175693")</f>
        <v>1063175693</v>
      </c>
      <c r="E485" t="s">
        <v>19379</v>
      </c>
    </row>
    <row r="486" spans="1:5" x14ac:dyDescent="0.25">
      <c r="A486" t="s">
        <v>1</v>
      </c>
      <c r="B486" t="s">
        <v>19</v>
      </c>
      <c r="C486" t="s">
        <v>23490</v>
      </c>
      <c r="D486" t="str">
        <f>HYPERLINK("https://rhld.insurance.arkansas.gov/NPILookup?Npi=1063177426","1063177426")</f>
        <v>1063177426</v>
      </c>
      <c r="E486" t="s">
        <v>22887</v>
      </c>
    </row>
    <row r="487" spans="1:5" x14ac:dyDescent="0.25">
      <c r="A487" t="s">
        <v>1</v>
      </c>
      <c r="B487" t="s">
        <v>19</v>
      </c>
      <c r="C487" t="s">
        <v>23490</v>
      </c>
      <c r="D487" t="str">
        <f>HYPERLINK("https://rhld.insurance.arkansas.gov/NPILookup?Npi=1063402485","1063402485")</f>
        <v>1063402485</v>
      </c>
      <c r="E487" t="s">
        <v>224</v>
      </c>
    </row>
    <row r="488" spans="1:5" x14ac:dyDescent="0.25">
      <c r="A488" t="s">
        <v>1</v>
      </c>
      <c r="B488" t="s">
        <v>19</v>
      </c>
      <c r="C488" t="s">
        <v>23490</v>
      </c>
      <c r="D488" t="str">
        <f>HYPERLINK("https://rhld.insurance.arkansas.gov/NPILookup?Npi=1063404952","1063404952")</f>
        <v>1063404952</v>
      </c>
      <c r="E488" t="s">
        <v>19380</v>
      </c>
    </row>
    <row r="489" spans="1:5" x14ac:dyDescent="0.25">
      <c r="A489" t="s">
        <v>1</v>
      </c>
      <c r="B489" t="s">
        <v>19</v>
      </c>
      <c r="C489" t="s">
        <v>23490</v>
      </c>
      <c r="D489" t="str">
        <f>HYPERLINK("https://rhld.insurance.arkansas.gov/NPILookup?Npi=1063406056","1063406056")</f>
        <v>1063406056</v>
      </c>
      <c r="E489" t="s">
        <v>14723</v>
      </c>
    </row>
    <row r="490" spans="1:5" x14ac:dyDescent="0.25">
      <c r="A490" t="s">
        <v>1</v>
      </c>
      <c r="B490" t="s">
        <v>19</v>
      </c>
      <c r="C490" t="s">
        <v>23490</v>
      </c>
      <c r="D490" t="str">
        <f>HYPERLINK("https://rhld.insurance.arkansas.gov/NPILookup?Npi=1063406114","1063406114")</f>
        <v>1063406114</v>
      </c>
      <c r="E490" t="s">
        <v>225</v>
      </c>
    </row>
    <row r="491" spans="1:5" x14ac:dyDescent="0.25">
      <c r="A491" t="s">
        <v>1</v>
      </c>
      <c r="B491" t="s">
        <v>19</v>
      </c>
      <c r="C491" t="s">
        <v>23490</v>
      </c>
      <c r="D491" t="str">
        <f>HYPERLINK("https://rhld.insurance.arkansas.gov/NPILookup?Npi=1063409761","1063409761")</f>
        <v>1063409761</v>
      </c>
      <c r="E491" t="s">
        <v>226</v>
      </c>
    </row>
    <row r="492" spans="1:5" x14ac:dyDescent="0.25">
      <c r="A492" t="s">
        <v>1</v>
      </c>
      <c r="B492" t="s">
        <v>19</v>
      </c>
      <c r="C492" t="s">
        <v>23490</v>
      </c>
      <c r="D492" t="str">
        <f>HYPERLINK("https://rhld.insurance.arkansas.gov/NPILookup?Npi=1063409878","1063409878")</f>
        <v>1063409878</v>
      </c>
      <c r="E492" t="s">
        <v>227</v>
      </c>
    </row>
    <row r="493" spans="1:5" x14ac:dyDescent="0.25">
      <c r="A493" t="s">
        <v>1</v>
      </c>
      <c r="B493" t="s">
        <v>19</v>
      </c>
      <c r="C493" t="s">
        <v>23490</v>
      </c>
      <c r="D493" t="str">
        <f>HYPERLINK("https://rhld.insurance.arkansas.gov/NPILookup?Npi=1063417822","1063417822")</f>
        <v>1063417822</v>
      </c>
      <c r="E493" t="s">
        <v>228</v>
      </c>
    </row>
    <row r="494" spans="1:5" x14ac:dyDescent="0.25">
      <c r="A494" t="s">
        <v>1</v>
      </c>
      <c r="B494" t="s">
        <v>19</v>
      </c>
      <c r="C494" t="s">
        <v>23490</v>
      </c>
      <c r="D494" t="str">
        <f>HYPERLINK("https://rhld.insurance.arkansas.gov/NPILookup?Npi=1063440899","1063440899")</f>
        <v>1063440899</v>
      </c>
      <c r="E494" t="s">
        <v>229</v>
      </c>
    </row>
    <row r="495" spans="1:5" x14ac:dyDescent="0.25">
      <c r="A495" t="s">
        <v>1</v>
      </c>
      <c r="B495" t="s">
        <v>19</v>
      </c>
      <c r="C495" t="s">
        <v>23490</v>
      </c>
      <c r="D495" t="str">
        <f>HYPERLINK("https://rhld.insurance.arkansas.gov/NPILookup?Npi=1063446425","1063446425")</f>
        <v>1063446425</v>
      </c>
      <c r="E495" t="s">
        <v>17382</v>
      </c>
    </row>
    <row r="496" spans="1:5" x14ac:dyDescent="0.25">
      <c r="A496" t="s">
        <v>1</v>
      </c>
      <c r="B496" t="s">
        <v>19</v>
      </c>
      <c r="C496" t="s">
        <v>23490</v>
      </c>
      <c r="D496" t="str">
        <f>HYPERLINK("https://rhld.insurance.arkansas.gov/NPILookup?Npi=1063460335","1063460335")</f>
        <v>1063460335</v>
      </c>
      <c r="E496" t="s">
        <v>230</v>
      </c>
    </row>
    <row r="497" spans="1:5" x14ac:dyDescent="0.25">
      <c r="A497" t="s">
        <v>1</v>
      </c>
      <c r="B497" t="s">
        <v>19</v>
      </c>
      <c r="C497" t="s">
        <v>23490</v>
      </c>
      <c r="D497" t="str">
        <f>HYPERLINK("https://rhld.insurance.arkansas.gov/NPILookup?Npi=1063461002","1063461002")</f>
        <v>1063461002</v>
      </c>
      <c r="E497" t="s">
        <v>231</v>
      </c>
    </row>
    <row r="498" spans="1:5" x14ac:dyDescent="0.25">
      <c r="A498" t="s">
        <v>1</v>
      </c>
      <c r="B498" t="s">
        <v>19</v>
      </c>
      <c r="C498" t="s">
        <v>23490</v>
      </c>
      <c r="D498" t="str">
        <f>HYPERLINK("https://rhld.insurance.arkansas.gov/NPILookup?Npi=1063478493","1063478493")</f>
        <v>1063478493</v>
      </c>
      <c r="E498" t="s">
        <v>232</v>
      </c>
    </row>
    <row r="499" spans="1:5" x14ac:dyDescent="0.25">
      <c r="A499" t="s">
        <v>1</v>
      </c>
      <c r="B499" t="s">
        <v>19</v>
      </c>
      <c r="C499" t="s">
        <v>23490</v>
      </c>
      <c r="D499" t="str">
        <f>HYPERLINK("https://rhld.insurance.arkansas.gov/NPILookup?Npi=1063479814","1063479814")</f>
        <v>1063479814</v>
      </c>
      <c r="E499" t="s">
        <v>16863</v>
      </c>
    </row>
    <row r="500" spans="1:5" x14ac:dyDescent="0.25">
      <c r="A500" t="s">
        <v>1</v>
      </c>
      <c r="B500" t="s">
        <v>19</v>
      </c>
      <c r="C500" t="s">
        <v>23490</v>
      </c>
      <c r="D500" t="str">
        <f>HYPERLINK("https://rhld.insurance.arkansas.gov/NPILookup?Npi=1063485811","1063485811")</f>
        <v>1063485811</v>
      </c>
      <c r="E500" t="s">
        <v>19381</v>
      </c>
    </row>
    <row r="501" spans="1:5" x14ac:dyDescent="0.25">
      <c r="A501" t="s">
        <v>1</v>
      </c>
      <c r="B501" t="s">
        <v>19</v>
      </c>
      <c r="C501" t="s">
        <v>23490</v>
      </c>
      <c r="D501" t="str">
        <f>HYPERLINK("https://rhld.insurance.arkansas.gov/NPILookup?Npi=1063486413","1063486413")</f>
        <v>1063486413</v>
      </c>
      <c r="E501" t="s">
        <v>233</v>
      </c>
    </row>
    <row r="502" spans="1:5" x14ac:dyDescent="0.25">
      <c r="A502" t="s">
        <v>1</v>
      </c>
      <c r="B502" t="s">
        <v>19</v>
      </c>
      <c r="C502" t="s">
        <v>23490</v>
      </c>
      <c r="D502" t="str">
        <f>HYPERLINK("https://rhld.insurance.arkansas.gov/NPILookup?Npi=1063489888","1063489888")</f>
        <v>1063489888</v>
      </c>
      <c r="E502" t="s">
        <v>234</v>
      </c>
    </row>
    <row r="503" spans="1:5" x14ac:dyDescent="0.25">
      <c r="A503" t="s">
        <v>1</v>
      </c>
      <c r="B503" t="s">
        <v>19</v>
      </c>
      <c r="C503" t="s">
        <v>23490</v>
      </c>
      <c r="D503" t="str">
        <f>HYPERLINK("https://rhld.insurance.arkansas.gov/NPILookup?Npi=1063491355","1063491355")</f>
        <v>1063491355</v>
      </c>
      <c r="E503" t="s">
        <v>235</v>
      </c>
    </row>
    <row r="504" spans="1:5" x14ac:dyDescent="0.25">
      <c r="A504" t="s">
        <v>1</v>
      </c>
      <c r="B504" t="s">
        <v>19</v>
      </c>
      <c r="C504" t="s">
        <v>23490</v>
      </c>
      <c r="D504" t="str">
        <f>HYPERLINK("https://rhld.insurance.arkansas.gov/NPILookup?Npi=1063499150","1063499150")</f>
        <v>1063499150</v>
      </c>
      <c r="E504" t="s">
        <v>236</v>
      </c>
    </row>
    <row r="505" spans="1:5" x14ac:dyDescent="0.25">
      <c r="A505" t="s">
        <v>1</v>
      </c>
      <c r="B505" t="s">
        <v>19</v>
      </c>
      <c r="C505" t="s">
        <v>23490</v>
      </c>
      <c r="D505" t="str">
        <f>HYPERLINK("https://rhld.insurance.arkansas.gov/NPILookup?Npi=1063505147","1063505147")</f>
        <v>1063505147</v>
      </c>
      <c r="E505" t="s">
        <v>12766</v>
      </c>
    </row>
    <row r="506" spans="1:5" x14ac:dyDescent="0.25">
      <c r="A506" t="s">
        <v>1</v>
      </c>
      <c r="B506" t="s">
        <v>19</v>
      </c>
      <c r="C506" t="s">
        <v>23490</v>
      </c>
      <c r="D506" t="str">
        <f>HYPERLINK("https://rhld.insurance.arkansas.gov/NPILookup?Npi=1063505857","1063505857")</f>
        <v>1063505857</v>
      </c>
      <c r="E506" t="s">
        <v>18656</v>
      </c>
    </row>
    <row r="507" spans="1:5" x14ac:dyDescent="0.25">
      <c r="A507" t="s">
        <v>1</v>
      </c>
      <c r="B507" t="s">
        <v>19</v>
      </c>
      <c r="C507" t="s">
        <v>23490</v>
      </c>
      <c r="D507" t="str">
        <f>HYPERLINK("https://rhld.insurance.arkansas.gov/NPILookup?Npi=1063547834","1063547834")</f>
        <v>1063547834</v>
      </c>
      <c r="E507" t="s">
        <v>237</v>
      </c>
    </row>
    <row r="508" spans="1:5" x14ac:dyDescent="0.25">
      <c r="A508" t="s">
        <v>1</v>
      </c>
      <c r="B508" t="s">
        <v>19</v>
      </c>
      <c r="C508" t="s">
        <v>23490</v>
      </c>
      <c r="D508" t="str">
        <f>HYPERLINK("https://rhld.insurance.arkansas.gov/NPILookup?Npi=1063585164","1063585164")</f>
        <v>1063585164</v>
      </c>
      <c r="E508" t="s">
        <v>13348</v>
      </c>
    </row>
    <row r="509" spans="1:5" x14ac:dyDescent="0.25">
      <c r="A509" t="s">
        <v>1</v>
      </c>
      <c r="B509" t="s">
        <v>19</v>
      </c>
      <c r="C509" t="s">
        <v>23490</v>
      </c>
      <c r="D509" t="str">
        <f>HYPERLINK("https://rhld.insurance.arkansas.gov/NPILookup?Npi=1063585966","1063585966")</f>
        <v>1063585966</v>
      </c>
      <c r="E509" t="s">
        <v>19382</v>
      </c>
    </row>
    <row r="510" spans="1:5" x14ac:dyDescent="0.25">
      <c r="A510" t="s">
        <v>1</v>
      </c>
      <c r="B510" t="s">
        <v>19</v>
      </c>
      <c r="C510" t="s">
        <v>23490</v>
      </c>
      <c r="D510" t="str">
        <f>HYPERLINK("https://rhld.insurance.arkansas.gov/NPILookup?Npi=1063617835","1063617835")</f>
        <v>1063617835</v>
      </c>
      <c r="E510" t="s">
        <v>238</v>
      </c>
    </row>
    <row r="511" spans="1:5" x14ac:dyDescent="0.25">
      <c r="A511" t="s">
        <v>1</v>
      </c>
      <c r="B511" t="s">
        <v>19</v>
      </c>
      <c r="C511" t="s">
        <v>23490</v>
      </c>
      <c r="D511" t="str">
        <f>HYPERLINK("https://rhld.insurance.arkansas.gov/NPILookup?Npi=1063622652","1063622652")</f>
        <v>1063622652</v>
      </c>
      <c r="E511" t="s">
        <v>239</v>
      </c>
    </row>
    <row r="512" spans="1:5" x14ac:dyDescent="0.25">
      <c r="A512" t="s">
        <v>1</v>
      </c>
      <c r="B512" t="s">
        <v>19</v>
      </c>
      <c r="C512" t="s">
        <v>23490</v>
      </c>
      <c r="D512" t="str">
        <f>HYPERLINK("https://rhld.insurance.arkansas.gov/NPILookup?Npi=1063666261","1063666261")</f>
        <v>1063666261</v>
      </c>
      <c r="E512" t="s">
        <v>13349</v>
      </c>
    </row>
    <row r="513" spans="1:5" x14ac:dyDescent="0.25">
      <c r="A513" t="s">
        <v>1</v>
      </c>
      <c r="B513" t="s">
        <v>19</v>
      </c>
      <c r="C513" t="s">
        <v>23490</v>
      </c>
      <c r="D513" t="str">
        <f>HYPERLINK("https://rhld.insurance.arkansas.gov/NPILookup?Npi=1063673119","1063673119")</f>
        <v>1063673119</v>
      </c>
      <c r="E513" t="s">
        <v>10615</v>
      </c>
    </row>
    <row r="514" spans="1:5" x14ac:dyDescent="0.25">
      <c r="A514" t="s">
        <v>1</v>
      </c>
      <c r="B514" t="s">
        <v>19</v>
      </c>
      <c r="C514" t="s">
        <v>23490</v>
      </c>
      <c r="D514" t="str">
        <f>HYPERLINK("https://rhld.insurance.arkansas.gov/NPILookup?Npi=1063675650","1063675650")</f>
        <v>1063675650</v>
      </c>
      <c r="E514" t="s">
        <v>240</v>
      </c>
    </row>
    <row r="515" spans="1:5" x14ac:dyDescent="0.25">
      <c r="A515" t="s">
        <v>1</v>
      </c>
      <c r="B515" t="s">
        <v>19</v>
      </c>
      <c r="C515" t="s">
        <v>23490</v>
      </c>
      <c r="D515" t="str">
        <f>HYPERLINK("https://rhld.insurance.arkansas.gov/NPILookup?Npi=1063679827","1063679827")</f>
        <v>1063679827</v>
      </c>
      <c r="E515" t="s">
        <v>241</v>
      </c>
    </row>
    <row r="516" spans="1:5" x14ac:dyDescent="0.25">
      <c r="A516" t="s">
        <v>1</v>
      </c>
      <c r="B516" t="s">
        <v>19</v>
      </c>
      <c r="C516" t="s">
        <v>23490</v>
      </c>
      <c r="D516" t="str">
        <f>HYPERLINK("https://rhld.insurance.arkansas.gov/NPILookup?Npi=1063692770","1063692770")</f>
        <v>1063692770</v>
      </c>
      <c r="E516" t="s">
        <v>8456</v>
      </c>
    </row>
    <row r="517" spans="1:5" x14ac:dyDescent="0.25">
      <c r="A517" t="s">
        <v>1</v>
      </c>
      <c r="B517" t="s">
        <v>19</v>
      </c>
      <c r="C517" t="s">
        <v>23490</v>
      </c>
      <c r="D517" t="str">
        <f>HYPERLINK("https://rhld.insurance.arkansas.gov/NPILookup?Npi=1063710564","1063710564")</f>
        <v>1063710564</v>
      </c>
      <c r="E517" t="s">
        <v>16864</v>
      </c>
    </row>
    <row r="518" spans="1:5" x14ac:dyDescent="0.25">
      <c r="A518" t="s">
        <v>1</v>
      </c>
      <c r="B518" t="s">
        <v>19</v>
      </c>
      <c r="C518" t="s">
        <v>23490</v>
      </c>
      <c r="D518" t="str">
        <f>HYPERLINK("https://rhld.insurance.arkansas.gov/NPILookup?Npi=1063710713","1063710713")</f>
        <v>1063710713</v>
      </c>
      <c r="E518" t="s">
        <v>17844</v>
      </c>
    </row>
    <row r="519" spans="1:5" x14ac:dyDescent="0.25">
      <c r="A519" t="s">
        <v>1</v>
      </c>
      <c r="B519" t="s">
        <v>19</v>
      </c>
      <c r="C519" t="s">
        <v>23490</v>
      </c>
      <c r="D519" t="str">
        <f>HYPERLINK("https://rhld.insurance.arkansas.gov/NPILookup?Npi=1063718633","1063718633")</f>
        <v>1063718633</v>
      </c>
      <c r="E519" t="s">
        <v>19383</v>
      </c>
    </row>
    <row r="520" spans="1:5" x14ac:dyDescent="0.25">
      <c r="A520" t="s">
        <v>1</v>
      </c>
      <c r="B520" t="s">
        <v>19</v>
      </c>
      <c r="C520" t="s">
        <v>23490</v>
      </c>
      <c r="D520" t="str">
        <f>HYPERLINK("https://rhld.insurance.arkansas.gov/NPILookup?Npi=1063718807","1063718807")</f>
        <v>1063718807</v>
      </c>
      <c r="E520" t="s">
        <v>17845</v>
      </c>
    </row>
    <row r="521" spans="1:5" x14ac:dyDescent="0.25">
      <c r="A521" t="s">
        <v>1</v>
      </c>
      <c r="B521" t="s">
        <v>19</v>
      </c>
      <c r="C521" t="s">
        <v>23490</v>
      </c>
      <c r="D521" t="str">
        <f>HYPERLINK("https://rhld.insurance.arkansas.gov/NPILookup?Npi=1063748101","1063748101")</f>
        <v>1063748101</v>
      </c>
      <c r="E521" t="s">
        <v>243</v>
      </c>
    </row>
    <row r="522" spans="1:5" x14ac:dyDescent="0.25">
      <c r="A522" t="s">
        <v>1</v>
      </c>
      <c r="B522" t="s">
        <v>19</v>
      </c>
      <c r="C522" t="s">
        <v>23490</v>
      </c>
      <c r="D522" t="str">
        <f>HYPERLINK("https://rhld.insurance.arkansas.gov/NPILookup?Npi=1063753465","1063753465")</f>
        <v>1063753465</v>
      </c>
      <c r="E522" t="s">
        <v>21367</v>
      </c>
    </row>
    <row r="523" spans="1:5" x14ac:dyDescent="0.25">
      <c r="A523" t="s">
        <v>1</v>
      </c>
      <c r="B523" t="s">
        <v>19</v>
      </c>
      <c r="C523" t="s">
        <v>23490</v>
      </c>
      <c r="D523" t="str">
        <f>HYPERLINK("https://rhld.insurance.arkansas.gov/NPILookup?Npi=1063760056","1063760056")</f>
        <v>1063760056</v>
      </c>
      <c r="E523" t="s">
        <v>8457</v>
      </c>
    </row>
    <row r="524" spans="1:5" x14ac:dyDescent="0.25">
      <c r="A524" t="s">
        <v>1</v>
      </c>
      <c r="B524" t="s">
        <v>19</v>
      </c>
      <c r="C524" t="s">
        <v>23490</v>
      </c>
      <c r="D524" t="str">
        <f>HYPERLINK("https://rhld.insurance.arkansas.gov/NPILookup?Npi=1063772515","1063772515")</f>
        <v>1063772515</v>
      </c>
      <c r="E524" t="s">
        <v>244</v>
      </c>
    </row>
    <row r="525" spans="1:5" x14ac:dyDescent="0.25">
      <c r="A525" t="s">
        <v>1</v>
      </c>
      <c r="B525" t="s">
        <v>19</v>
      </c>
      <c r="C525" t="s">
        <v>23490</v>
      </c>
      <c r="D525" t="str">
        <f>HYPERLINK("https://rhld.insurance.arkansas.gov/NPILookup?Npi=1063799583","1063799583")</f>
        <v>1063799583</v>
      </c>
      <c r="E525" t="s">
        <v>245</v>
      </c>
    </row>
    <row r="526" spans="1:5" x14ac:dyDescent="0.25">
      <c r="A526" t="s">
        <v>1</v>
      </c>
      <c r="B526" t="s">
        <v>19</v>
      </c>
      <c r="C526" t="s">
        <v>23490</v>
      </c>
      <c r="D526" t="str">
        <f>HYPERLINK("https://rhld.insurance.arkansas.gov/NPILookup?Npi=1063811834","1063811834")</f>
        <v>1063811834</v>
      </c>
      <c r="E526" t="s">
        <v>19384</v>
      </c>
    </row>
    <row r="527" spans="1:5" x14ac:dyDescent="0.25">
      <c r="A527" t="s">
        <v>1</v>
      </c>
      <c r="B527" t="s">
        <v>19</v>
      </c>
      <c r="C527" t="s">
        <v>23490</v>
      </c>
      <c r="D527" t="str">
        <f>HYPERLINK("https://rhld.insurance.arkansas.gov/NPILookup?Npi=1063829190","1063829190")</f>
        <v>1063829190</v>
      </c>
      <c r="E527" t="s">
        <v>16865</v>
      </c>
    </row>
    <row r="528" spans="1:5" x14ac:dyDescent="0.25">
      <c r="A528" t="s">
        <v>1</v>
      </c>
      <c r="B528" t="s">
        <v>19</v>
      </c>
      <c r="C528" t="s">
        <v>23490</v>
      </c>
      <c r="D528" t="str">
        <f>HYPERLINK("https://rhld.insurance.arkansas.gov/NPILookup?Npi=1063831774","1063831774")</f>
        <v>1063831774</v>
      </c>
      <c r="E528" t="s">
        <v>21457</v>
      </c>
    </row>
    <row r="529" spans="1:5" x14ac:dyDescent="0.25">
      <c r="A529" t="s">
        <v>1</v>
      </c>
      <c r="B529" t="s">
        <v>19</v>
      </c>
      <c r="C529" t="s">
        <v>23490</v>
      </c>
      <c r="D529" t="str">
        <f>HYPERLINK("https://rhld.insurance.arkansas.gov/NPILookup?Npi=1063835064","1063835064")</f>
        <v>1063835064</v>
      </c>
      <c r="E529" t="s">
        <v>19385</v>
      </c>
    </row>
    <row r="530" spans="1:5" x14ac:dyDescent="0.25">
      <c r="A530" t="s">
        <v>1</v>
      </c>
      <c r="B530" t="s">
        <v>19</v>
      </c>
      <c r="C530" t="s">
        <v>23490</v>
      </c>
      <c r="D530" t="str">
        <f>HYPERLINK("https://rhld.insurance.arkansas.gov/NPILookup?Npi=1063836542","1063836542")</f>
        <v>1063836542</v>
      </c>
      <c r="E530" t="s">
        <v>246</v>
      </c>
    </row>
    <row r="531" spans="1:5" x14ac:dyDescent="0.25">
      <c r="A531" t="s">
        <v>1</v>
      </c>
      <c r="B531" t="s">
        <v>19</v>
      </c>
      <c r="C531" t="s">
        <v>23490</v>
      </c>
      <c r="D531" t="str">
        <f>HYPERLINK("https://rhld.insurance.arkansas.gov/NPILookup?Npi=1063866135","1063866135")</f>
        <v>1063866135</v>
      </c>
      <c r="E531" t="s">
        <v>4680</v>
      </c>
    </row>
    <row r="532" spans="1:5" x14ac:dyDescent="0.25">
      <c r="A532" t="s">
        <v>1</v>
      </c>
      <c r="B532" t="s">
        <v>19</v>
      </c>
      <c r="C532" t="s">
        <v>23490</v>
      </c>
      <c r="D532" t="str">
        <f>HYPERLINK("https://rhld.insurance.arkansas.gov/NPILookup?Npi=1063866341","1063866341")</f>
        <v>1063866341</v>
      </c>
      <c r="E532" t="s">
        <v>19386</v>
      </c>
    </row>
    <row r="533" spans="1:5" x14ac:dyDescent="0.25">
      <c r="A533" t="s">
        <v>1</v>
      </c>
      <c r="B533" t="s">
        <v>19</v>
      </c>
      <c r="C533" t="s">
        <v>23490</v>
      </c>
      <c r="D533" t="str">
        <f>HYPERLINK("https://rhld.insurance.arkansas.gov/NPILookup?Npi=1063867950","1063867950")</f>
        <v>1063867950</v>
      </c>
      <c r="E533" t="s">
        <v>14730</v>
      </c>
    </row>
    <row r="534" spans="1:5" x14ac:dyDescent="0.25">
      <c r="A534" t="s">
        <v>1</v>
      </c>
      <c r="B534" t="s">
        <v>19</v>
      </c>
      <c r="C534" t="s">
        <v>23490</v>
      </c>
      <c r="D534" t="str">
        <f>HYPERLINK("https://rhld.insurance.arkansas.gov/NPILookup?Npi=1063870467","1063870467")</f>
        <v>1063870467</v>
      </c>
      <c r="E534" t="s">
        <v>8458</v>
      </c>
    </row>
    <row r="535" spans="1:5" x14ac:dyDescent="0.25">
      <c r="A535" t="s">
        <v>1</v>
      </c>
      <c r="B535" t="s">
        <v>19</v>
      </c>
      <c r="C535" t="s">
        <v>23490</v>
      </c>
      <c r="D535" t="str">
        <f>HYPERLINK("https://rhld.insurance.arkansas.gov/NPILookup?Npi=1063871135","1063871135")</f>
        <v>1063871135</v>
      </c>
      <c r="E535" t="s">
        <v>8459</v>
      </c>
    </row>
    <row r="536" spans="1:5" x14ac:dyDescent="0.25">
      <c r="A536" t="s">
        <v>1</v>
      </c>
      <c r="B536" t="s">
        <v>19</v>
      </c>
      <c r="C536" t="s">
        <v>23490</v>
      </c>
      <c r="D536" t="str">
        <f>HYPERLINK("https://rhld.insurance.arkansas.gov/NPILookup?Npi=1063878387","1063878387")</f>
        <v>1063878387</v>
      </c>
      <c r="E536" t="s">
        <v>19387</v>
      </c>
    </row>
    <row r="537" spans="1:5" x14ac:dyDescent="0.25">
      <c r="A537" t="s">
        <v>1</v>
      </c>
      <c r="B537" t="s">
        <v>19</v>
      </c>
      <c r="C537" t="s">
        <v>23490</v>
      </c>
      <c r="D537" t="str">
        <f>HYPERLINK("https://rhld.insurance.arkansas.gov/NPILookup?Npi=1063882280","1063882280")</f>
        <v>1063882280</v>
      </c>
      <c r="E537" t="s">
        <v>8460</v>
      </c>
    </row>
    <row r="538" spans="1:5" x14ac:dyDescent="0.25">
      <c r="A538" t="s">
        <v>1</v>
      </c>
      <c r="B538" t="s">
        <v>19</v>
      </c>
      <c r="C538" t="s">
        <v>23490</v>
      </c>
      <c r="D538" t="str">
        <f>HYPERLINK("https://rhld.insurance.arkansas.gov/NPILookup?Npi=1063887958","1063887958")</f>
        <v>1063887958</v>
      </c>
      <c r="E538" t="s">
        <v>8461</v>
      </c>
    </row>
    <row r="539" spans="1:5" x14ac:dyDescent="0.25">
      <c r="A539" t="s">
        <v>1</v>
      </c>
      <c r="B539" t="s">
        <v>19</v>
      </c>
      <c r="C539" t="s">
        <v>23490</v>
      </c>
      <c r="D539" t="str">
        <f>HYPERLINK("https://rhld.insurance.arkansas.gov/NPILookup?Npi=1063891570","1063891570")</f>
        <v>1063891570</v>
      </c>
      <c r="E539" t="s">
        <v>13350</v>
      </c>
    </row>
    <row r="540" spans="1:5" x14ac:dyDescent="0.25">
      <c r="A540" t="s">
        <v>1</v>
      </c>
      <c r="B540" t="s">
        <v>19</v>
      </c>
      <c r="C540" t="s">
        <v>23490</v>
      </c>
      <c r="D540" t="str">
        <f>HYPERLINK("https://rhld.insurance.arkansas.gov/NPILookup?Npi=1063892529","1063892529")</f>
        <v>1063892529</v>
      </c>
      <c r="E540" t="s">
        <v>14731</v>
      </c>
    </row>
    <row r="541" spans="1:5" x14ac:dyDescent="0.25">
      <c r="A541" t="s">
        <v>1</v>
      </c>
      <c r="B541" t="s">
        <v>19</v>
      </c>
      <c r="C541" t="s">
        <v>23490</v>
      </c>
      <c r="D541" t="str">
        <f>HYPERLINK("https://rhld.insurance.arkansas.gov/NPILookup?Npi=1063894194","1063894194")</f>
        <v>1063894194</v>
      </c>
      <c r="E541" t="s">
        <v>13351</v>
      </c>
    </row>
    <row r="542" spans="1:5" x14ac:dyDescent="0.25">
      <c r="A542" t="s">
        <v>1</v>
      </c>
      <c r="B542" t="s">
        <v>19</v>
      </c>
      <c r="C542" t="s">
        <v>23490</v>
      </c>
      <c r="D542" t="str">
        <f>HYPERLINK("https://rhld.insurance.arkansas.gov/NPILookup?Npi=1063904779","1063904779")</f>
        <v>1063904779</v>
      </c>
      <c r="E542" t="s">
        <v>19388</v>
      </c>
    </row>
    <row r="543" spans="1:5" x14ac:dyDescent="0.25">
      <c r="A543" t="s">
        <v>1</v>
      </c>
      <c r="B543" t="s">
        <v>19</v>
      </c>
      <c r="C543" t="s">
        <v>23490</v>
      </c>
      <c r="D543" t="str">
        <f>HYPERLINK("https://rhld.insurance.arkansas.gov/NPILookup?Npi=1063908457","1063908457")</f>
        <v>1063908457</v>
      </c>
      <c r="E543" t="s">
        <v>14732</v>
      </c>
    </row>
    <row r="544" spans="1:5" x14ac:dyDescent="0.25">
      <c r="A544" t="s">
        <v>1</v>
      </c>
      <c r="B544" t="s">
        <v>19</v>
      </c>
      <c r="C544" t="s">
        <v>23490</v>
      </c>
      <c r="D544" t="str">
        <f>HYPERLINK("https://rhld.insurance.arkansas.gov/NPILookup?Npi=1063908713","1063908713")</f>
        <v>1063908713</v>
      </c>
      <c r="E544" t="s">
        <v>13352</v>
      </c>
    </row>
    <row r="545" spans="1:5" x14ac:dyDescent="0.25">
      <c r="A545" t="s">
        <v>1</v>
      </c>
      <c r="B545" t="s">
        <v>19</v>
      </c>
      <c r="C545" t="s">
        <v>23490</v>
      </c>
      <c r="D545" t="str">
        <f>HYPERLINK("https://rhld.insurance.arkansas.gov/NPILookup?Npi=1063909182","1063909182")</f>
        <v>1063909182</v>
      </c>
      <c r="E545" t="s">
        <v>19389</v>
      </c>
    </row>
    <row r="546" spans="1:5" x14ac:dyDescent="0.25">
      <c r="A546" t="s">
        <v>1</v>
      </c>
      <c r="B546" t="s">
        <v>19</v>
      </c>
      <c r="C546" t="s">
        <v>23490</v>
      </c>
      <c r="D546" t="str">
        <f>HYPERLINK("https://rhld.insurance.arkansas.gov/NPILookup?Npi=1063920452","1063920452")</f>
        <v>1063920452</v>
      </c>
      <c r="E546" t="s">
        <v>12768</v>
      </c>
    </row>
    <row r="547" spans="1:5" x14ac:dyDescent="0.25">
      <c r="A547" t="s">
        <v>1</v>
      </c>
      <c r="B547" t="s">
        <v>19</v>
      </c>
      <c r="C547" t="s">
        <v>23490</v>
      </c>
      <c r="D547" t="str">
        <f>HYPERLINK("https://rhld.insurance.arkansas.gov/NPILookup?Npi=1063930634","1063930634")</f>
        <v>1063930634</v>
      </c>
      <c r="E547" t="s">
        <v>10616</v>
      </c>
    </row>
    <row r="548" spans="1:5" x14ac:dyDescent="0.25">
      <c r="A548" t="s">
        <v>1</v>
      </c>
      <c r="B548" t="s">
        <v>19</v>
      </c>
      <c r="C548" t="s">
        <v>23490</v>
      </c>
      <c r="D548" t="str">
        <f>HYPERLINK("https://rhld.insurance.arkansas.gov/NPILookup?Npi=1063932283","1063932283")</f>
        <v>1063932283</v>
      </c>
      <c r="E548" t="s">
        <v>10617</v>
      </c>
    </row>
    <row r="549" spans="1:5" x14ac:dyDescent="0.25">
      <c r="A549" t="s">
        <v>1</v>
      </c>
      <c r="B549" t="s">
        <v>19</v>
      </c>
      <c r="C549" t="s">
        <v>23490</v>
      </c>
      <c r="D549" t="str">
        <f>HYPERLINK("https://rhld.insurance.arkansas.gov/NPILookup?Npi=1063935245","1063935245")</f>
        <v>1063935245</v>
      </c>
      <c r="E549" t="s">
        <v>17846</v>
      </c>
    </row>
    <row r="550" spans="1:5" x14ac:dyDescent="0.25">
      <c r="A550" t="s">
        <v>1</v>
      </c>
      <c r="B550" t="s">
        <v>19</v>
      </c>
      <c r="C550" t="s">
        <v>23490</v>
      </c>
      <c r="D550" t="str">
        <f>HYPERLINK("https://rhld.insurance.arkansas.gov/NPILookup?Npi=1063936839","1063936839")</f>
        <v>1063936839</v>
      </c>
      <c r="E550" t="s">
        <v>10618</v>
      </c>
    </row>
    <row r="551" spans="1:5" x14ac:dyDescent="0.25">
      <c r="A551" t="s">
        <v>1</v>
      </c>
      <c r="B551" t="s">
        <v>19</v>
      </c>
      <c r="C551" t="s">
        <v>23490</v>
      </c>
      <c r="D551" t="str">
        <f>HYPERLINK("https://rhld.insurance.arkansas.gov/NPILookup?Npi=1063949345","1063949345")</f>
        <v>1063949345</v>
      </c>
      <c r="E551" t="s">
        <v>10619</v>
      </c>
    </row>
    <row r="552" spans="1:5" x14ac:dyDescent="0.25">
      <c r="A552" t="s">
        <v>1</v>
      </c>
      <c r="B552" t="s">
        <v>19</v>
      </c>
      <c r="C552" t="s">
        <v>23490</v>
      </c>
      <c r="D552" t="str">
        <f>HYPERLINK("https://rhld.insurance.arkansas.gov/NPILookup?Npi=1063957546","1063957546")</f>
        <v>1063957546</v>
      </c>
      <c r="E552" t="s">
        <v>10620</v>
      </c>
    </row>
    <row r="553" spans="1:5" x14ac:dyDescent="0.25">
      <c r="A553" t="s">
        <v>1</v>
      </c>
      <c r="B553" t="s">
        <v>19</v>
      </c>
      <c r="C553" t="s">
        <v>23490</v>
      </c>
      <c r="D553" t="str">
        <f>HYPERLINK("https://rhld.insurance.arkansas.gov/NPILookup?Npi=1063958940","1063958940")</f>
        <v>1063958940</v>
      </c>
      <c r="E553" t="s">
        <v>13353</v>
      </c>
    </row>
    <row r="554" spans="1:5" x14ac:dyDescent="0.25">
      <c r="A554" t="s">
        <v>1</v>
      </c>
      <c r="B554" t="s">
        <v>19</v>
      </c>
      <c r="C554" t="s">
        <v>23490</v>
      </c>
      <c r="D554" t="str">
        <f>HYPERLINK("https://rhld.insurance.arkansas.gov/NPILookup?Npi=1063959534","1063959534")</f>
        <v>1063959534</v>
      </c>
      <c r="E554" t="s">
        <v>10621</v>
      </c>
    </row>
    <row r="555" spans="1:5" x14ac:dyDescent="0.25">
      <c r="A555" t="s">
        <v>1</v>
      </c>
      <c r="B555" t="s">
        <v>19</v>
      </c>
      <c r="C555" t="s">
        <v>23490</v>
      </c>
      <c r="D555" t="str">
        <f>HYPERLINK("https://rhld.insurance.arkansas.gov/NPILookup?Npi=1063976389","1063976389")</f>
        <v>1063976389</v>
      </c>
      <c r="E555" t="s">
        <v>19390</v>
      </c>
    </row>
    <row r="556" spans="1:5" x14ac:dyDescent="0.25">
      <c r="A556" t="s">
        <v>1</v>
      </c>
      <c r="B556" t="s">
        <v>19</v>
      </c>
      <c r="C556" t="s">
        <v>23490</v>
      </c>
      <c r="D556" t="str">
        <f>HYPERLINK("https://rhld.insurance.arkansas.gov/NPILookup?Npi=1063977965","1063977965")</f>
        <v>1063977965</v>
      </c>
      <c r="E556" t="s">
        <v>13354</v>
      </c>
    </row>
    <row r="557" spans="1:5" x14ac:dyDescent="0.25">
      <c r="A557" t="s">
        <v>1</v>
      </c>
      <c r="B557" t="s">
        <v>19</v>
      </c>
      <c r="C557" t="s">
        <v>23490</v>
      </c>
      <c r="D557" t="str">
        <f>HYPERLINK("https://rhld.insurance.arkansas.gov/NPILookup?Npi=1063978948","1063978948")</f>
        <v>1063978948</v>
      </c>
      <c r="E557" t="s">
        <v>19391</v>
      </c>
    </row>
    <row r="558" spans="1:5" x14ac:dyDescent="0.25">
      <c r="A558" t="s">
        <v>1</v>
      </c>
      <c r="B558" t="s">
        <v>19</v>
      </c>
      <c r="C558" t="s">
        <v>23490</v>
      </c>
      <c r="D558" t="str">
        <f>HYPERLINK("https://rhld.insurance.arkansas.gov/NPILookup?Npi=1063987667","1063987667")</f>
        <v>1063987667</v>
      </c>
      <c r="E558" t="s">
        <v>19392</v>
      </c>
    </row>
    <row r="559" spans="1:5" x14ac:dyDescent="0.25">
      <c r="A559" t="s">
        <v>1</v>
      </c>
      <c r="B559" t="s">
        <v>19</v>
      </c>
      <c r="C559" t="s">
        <v>23490</v>
      </c>
      <c r="D559" t="str">
        <f>HYPERLINK("https://rhld.insurance.arkansas.gov/NPILookup?Npi=1073004149","1073004149")</f>
        <v>1073004149</v>
      </c>
      <c r="E559" t="s">
        <v>13355</v>
      </c>
    </row>
    <row r="560" spans="1:5" x14ac:dyDescent="0.25">
      <c r="A560" t="s">
        <v>1</v>
      </c>
      <c r="B560" t="s">
        <v>19</v>
      </c>
      <c r="C560" t="s">
        <v>23490</v>
      </c>
      <c r="D560" t="str">
        <f>HYPERLINK("https://rhld.insurance.arkansas.gov/NPILookup?Npi=1073010138","1073010138")</f>
        <v>1073010138</v>
      </c>
      <c r="E560" t="s">
        <v>13356</v>
      </c>
    </row>
    <row r="561" spans="1:5" x14ac:dyDescent="0.25">
      <c r="A561" t="s">
        <v>1</v>
      </c>
      <c r="B561" t="s">
        <v>19</v>
      </c>
      <c r="C561" t="s">
        <v>23490</v>
      </c>
      <c r="D561" t="str">
        <f>HYPERLINK("https://rhld.insurance.arkansas.gov/NPILookup?Npi=1073017620","1073017620")</f>
        <v>1073017620</v>
      </c>
      <c r="E561" t="s">
        <v>12769</v>
      </c>
    </row>
    <row r="562" spans="1:5" x14ac:dyDescent="0.25">
      <c r="A562" t="s">
        <v>1</v>
      </c>
      <c r="B562" t="s">
        <v>19</v>
      </c>
      <c r="C562" t="s">
        <v>23490</v>
      </c>
      <c r="D562" t="str">
        <f>HYPERLINK("https://rhld.insurance.arkansas.gov/NPILookup?Npi=1073031878","1073031878")</f>
        <v>1073031878</v>
      </c>
      <c r="E562" t="s">
        <v>18657</v>
      </c>
    </row>
    <row r="563" spans="1:5" x14ac:dyDescent="0.25">
      <c r="A563" t="s">
        <v>1</v>
      </c>
      <c r="B563" t="s">
        <v>19</v>
      </c>
      <c r="C563" t="s">
        <v>23490</v>
      </c>
      <c r="D563" t="str">
        <f>HYPERLINK("https://rhld.insurance.arkansas.gov/NPILookup?Npi=1073041042","1073041042")</f>
        <v>1073041042</v>
      </c>
      <c r="E563" t="s">
        <v>20882</v>
      </c>
    </row>
    <row r="564" spans="1:5" x14ac:dyDescent="0.25">
      <c r="A564" t="s">
        <v>1</v>
      </c>
      <c r="B564" t="s">
        <v>19</v>
      </c>
      <c r="C564" t="s">
        <v>23490</v>
      </c>
      <c r="D564" t="str">
        <f>HYPERLINK("https://rhld.insurance.arkansas.gov/NPILookup?Npi=1073047957","1073047957")</f>
        <v>1073047957</v>
      </c>
      <c r="E564" t="s">
        <v>17383</v>
      </c>
    </row>
    <row r="565" spans="1:5" x14ac:dyDescent="0.25">
      <c r="A565" t="s">
        <v>1</v>
      </c>
      <c r="B565" t="s">
        <v>19</v>
      </c>
      <c r="C565" t="s">
        <v>23490</v>
      </c>
      <c r="D565" t="str">
        <f>HYPERLINK("https://rhld.insurance.arkansas.gov/NPILookup?Npi=1073051249","1073051249")</f>
        <v>1073051249</v>
      </c>
      <c r="E565" t="s">
        <v>10622</v>
      </c>
    </row>
    <row r="566" spans="1:5" x14ac:dyDescent="0.25">
      <c r="A566" t="s">
        <v>1</v>
      </c>
      <c r="B566" t="s">
        <v>19</v>
      </c>
      <c r="C566" t="s">
        <v>23490</v>
      </c>
      <c r="D566" t="str">
        <f>HYPERLINK("https://rhld.insurance.arkansas.gov/NPILookup?Npi=1073058749","1073058749")</f>
        <v>1073058749</v>
      </c>
      <c r="E566" t="s">
        <v>14735</v>
      </c>
    </row>
    <row r="567" spans="1:5" x14ac:dyDescent="0.25">
      <c r="A567" t="s">
        <v>1</v>
      </c>
      <c r="B567" t="s">
        <v>19</v>
      </c>
      <c r="C567" t="s">
        <v>23490</v>
      </c>
      <c r="D567" t="str">
        <f>HYPERLINK("https://rhld.insurance.arkansas.gov/NPILookup?Npi=1073068730","1073068730")</f>
        <v>1073068730</v>
      </c>
      <c r="E567" t="s">
        <v>10623</v>
      </c>
    </row>
    <row r="568" spans="1:5" x14ac:dyDescent="0.25">
      <c r="A568" t="s">
        <v>1</v>
      </c>
      <c r="B568" t="s">
        <v>19</v>
      </c>
      <c r="C568" t="s">
        <v>23490</v>
      </c>
      <c r="D568" t="str">
        <f>HYPERLINK("https://rhld.insurance.arkansas.gov/NPILookup?Npi=1073071585","1073071585")</f>
        <v>1073071585</v>
      </c>
      <c r="E568" t="s">
        <v>16867</v>
      </c>
    </row>
    <row r="569" spans="1:5" x14ac:dyDescent="0.25">
      <c r="A569" t="s">
        <v>1</v>
      </c>
      <c r="B569" t="s">
        <v>19</v>
      </c>
      <c r="C569" t="s">
        <v>23490</v>
      </c>
      <c r="D569" t="str">
        <f>HYPERLINK("https://rhld.insurance.arkansas.gov/NPILookup?Npi=1073075735","1073075735")</f>
        <v>1073075735</v>
      </c>
      <c r="E569" t="s">
        <v>20883</v>
      </c>
    </row>
    <row r="570" spans="1:5" x14ac:dyDescent="0.25">
      <c r="A570" t="s">
        <v>1</v>
      </c>
      <c r="B570" t="s">
        <v>19</v>
      </c>
      <c r="C570" t="s">
        <v>23490</v>
      </c>
      <c r="D570" t="str">
        <f>HYPERLINK("https://rhld.insurance.arkansas.gov/NPILookup?Npi=1073076550","1073076550")</f>
        <v>1073076550</v>
      </c>
      <c r="E570" t="s">
        <v>20884</v>
      </c>
    </row>
    <row r="571" spans="1:5" x14ac:dyDescent="0.25">
      <c r="A571" t="s">
        <v>1</v>
      </c>
      <c r="B571" t="s">
        <v>19</v>
      </c>
      <c r="C571" t="s">
        <v>23490</v>
      </c>
      <c r="D571" t="str">
        <f>HYPERLINK("https://rhld.insurance.arkansas.gov/NPILookup?Npi=1073078648","1073078648")</f>
        <v>1073078648</v>
      </c>
      <c r="E571" t="s">
        <v>19393</v>
      </c>
    </row>
    <row r="572" spans="1:5" x14ac:dyDescent="0.25">
      <c r="A572" t="s">
        <v>1</v>
      </c>
      <c r="B572" t="s">
        <v>19</v>
      </c>
      <c r="C572" t="s">
        <v>23490</v>
      </c>
      <c r="D572" t="str">
        <f>HYPERLINK("https://rhld.insurance.arkansas.gov/NPILookup?Npi=1073080255","1073080255")</f>
        <v>1073080255</v>
      </c>
      <c r="E572" t="s">
        <v>19394</v>
      </c>
    </row>
    <row r="573" spans="1:5" x14ac:dyDescent="0.25">
      <c r="A573" t="s">
        <v>1</v>
      </c>
      <c r="B573" t="s">
        <v>19</v>
      </c>
      <c r="C573" t="s">
        <v>23490</v>
      </c>
      <c r="D573" t="str">
        <f>HYPERLINK("https://rhld.insurance.arkansas.gov/NPILookup?Npi=1073101630","1073101630")</f>
        <v>1073101630</v>
      </c>
      <c r="E573" t="s">
        <v>18658</v>
      </c>
    </row>
    <row r="574" spans="1:5" x14ac:dyDescent="0.25">
      <c r="A574" t="s">
        <v>1</v>
      </c>
      <c r="B574" t="s">
        <v>19</v>
      </c>
      <c r="C574" t="s">
        <v>23490</v>
      </c>
      <c r="D574" t="str">
        <f>HYPERLINK("https://rhld.insurance.arkansas.gov/NPILookup?Npi=1073105474","1073105474")</f>
        <v>1073105474</v>
      </c>
      <c r="E574" t="s">
        <v>19395</v>
      </c>
    </row>
    <row r="575" spans="1:5" x14ac:dyDescent="0.25">
      <c r="A575" t="s">
        <v>1</v>
      </c>
      <c r="B575" t="s">
        <v>19</v>
      </c>
      <c r="C575" t="s">
        <v>23490</v>
      </c>
      <c r="D575" t="str">
        <f>HYPERLINK("https://rhld.insurance.arkansas.gov/NPILookup?Npi=1073133179","1073133179")</f>
        <v>1073133179</v>
      </c>
      <c r="E575" t="s">
        <v>21458</v>
      </c>
    </row>
    <row r="576" spans="1:5" x14ac:dyDescent="0.25">
      <c r="A576" t="s">
        <v>1</v>
      </c>
      <c r="B576" t="s">
        <v>19</v>
      </c>
      <c r="C576" t="s">
        <v>23490</v>
      </c>
      <c r="D576" t="str">
        <f>HYPERLINK("https://rhld.insurance.arkansas.gov/NPILookup?Npi=1073142683","1073142683")</f>
        <v>1073142683</v>
      </c>
      <c r="E576" t="s">
        <v>17847</v>
      </c>
    </row>
    <row r="577" spans="1:5" x14ac:dyDescent="0.25">
      <c r="A577" t="s">
        <v>1</v>
      </c>
      <c r="B577" t="s">
        <v>19</v>
      </c>
      <c r="C577" t="s">
        <v>23490</v>
      </c>
      <c r="D577" t="str">
        <f>HYPERLINK("https://rhld.insurance.arkansas.gov/NPILookup?Npi=1073151742","1073151742")</f>
        <v>1073151742</v>
      </c>
      <c r="E577" t="s">
        <v>16868</v>
      </c>
    </row>
    <row r="578" spans="1:5" x14ac:dyDescent="0.25">
      <c r="A578" t="s">
        <v>1</v>
      </c>
      <c r="B578" t="s">
        <v>19</v>
      </c>
      <c r="C578" t="s">
        <v>23490</v>
      </c>
      <c r="D578" t="str">
        <f>HYPERLINK("https://rhld.insurance.arkansas.gov/NPILookup?Npi=1073159133","1073159133")</f>
        <v>1073159133</v>
      </c>
      <c r="E578" t="s">
        <v>16869</v>
      </c>
    </row>
    <row r="579" spans="1:5" x14ac:dyDescent="0.25">
      <c r="A579" t="s">
        <v>1</v>
      </c>
      <c r="B579" t="s">
        <v>19</v>
      </c>
      <c r="C579" t="s">
        <v>23490</v>
      </c>
      <c r="D579" t="str">
        <f>HYPERLINK("https://rhld.insurance.arkansas.gov/NPILookup?Npi=1073159984","1073159984")</f>
        <v>1073159984</v>
      </c>
      <c r="E579" t="s">
        <v>19396</v>
      </c>
    </row>
    <row r="580" spans="1:5" x14ac:dyDescent="0.25">
      <c r="A580" t="s">
        <v>1</v>
      </c>
      <c r="B580" t="s">
        <v>19</v>
      </c>
      <c r="C580" t="s">
        <v>23490</v>
      </c>
      <c r="D580" t="str">
        <f>HYPERLINK("https://rhld.insurance.arkansas.gov/NPILookup?Npi=1073173324","1073173324")</f>
        <v>1073173324</v>
      </c>
      <c r="E580" t="s">
        <v>17848</v>
      </c>
    </row>
    <row r="581" spans="1:5" x14ac:dyDescent="0.25">
      <c r="A581" t="s">
        <v>1</v>
      </c>
      <c r="B581" t="s">
        <v>19</v>
      </c>
      <c r="C581" t="s">
        <v>23490</v>
      </c>
      <c r="D581" t="str">
        <f>HYPERLINK("https://rhld.insurance.arkansas.gov/NPILookup?Npi=1073184727","1073184727")</f>
        <v>1073184727</v>
      </c>
      <c r="E581" t="s">
        <v>18659</v>
      </c>
    </row>
    <row r="582" spans="1:5" x14ac:dyDescent="0.25">
      <c r="A582" t="s">
        <v>1</v>
      </c>
      <c r="B582" t="s">
        <v>19</v>
      </c>
      <c r="C582" t="s">
        <v>23490</v>
      </c>
      <c r="D582" t="str">
        <f>HYPERLINK("https://rhld.insurance.arkansas.gov/NPILookup?Npi=1073187126","1073187126")</f>
        <v>1073187126</v>
      </c>
      <c r="E582" t="s">
        <v>18660</v>
      </c>
    </row>
    <row r="583" spans="1:5" x14ac:dyDescent="0.25">
      <c r="A583" t="s">
        <v>1</v>
      </c>
      <c r="B583" t="s">
        <v>19</v>
      </c>
      <c r="C583" t="s">
        <v>23490</v>
      </c>
      <c r="D583" t="str">
        <f>HYPERLINK("https://rhld.insurance.arkansas.gov/NPILookup?Npi=1073257374","1073257374")</f>
        <v>1073257374</v>
      </c>
      <c r="E583" t="s">
        <v>19397</v>
      </c>
    </row>
    <row r="584" spans="1:5" x14ac:dyDescent="0.25">
      <c r="A584" t="s">
        <v>1</v>
      </c>
      <c r="B584" t="s">
        <v>19</v>
      </c>
      <c r="C584" t="s">
        <v>23490</v>
      </c>
      <c r="D584" t="str">
        <f>HYPERLINK("https://rhld.insurance.arkansas.gov/NPILookup?Npi=1073270633","1073270633")</f>
        <v>1073270633</v>
      </c>
      <c r="E584" t="s">
        <v>19398</v>
      </c>
    </row>
    <row r="585" spans="1:5" x14ac:dyDescent="0.25">
      <c r="A585" t="s">
        <v>1</v>
      </c>
      <c r="B585" t="s">
        <v>19</v>
      </c>
      <c r="C585" t="s">
        <v>23490</v>
      </c>
      <c r="D585" t="str">
        <f>HYPERLINK("https://rhld.insurance.arkansas.gov/NPILookup?Npi=1073505228","1073505228")</f>
        <v>1073505228</v>
      </c>
      <c r="E585" t="s">
        <v>10624</v>
      </c>
    </row>
    <row r="586" spans="1:5" x14ac:dyDescent="0.25">
      <c r="A586" t="s">
        <v>1</v>
      </c>
      <c r="B586" t="s">
        <v>19</v>
      </c>
      <c r="C586" t="s">
        <v>23490</v>
      </c>
      <c r="D586" t="str">
        <f>HYPERLINK("https://rhld.insurance.arkansas.gov/NPILookup?Npi=1073506010","1073506010")</f>
        <v>1073506010</v>
      </c>
      <c r="E586" t="s">
        <v>247</v>
      </c>
    </row>
    <row r="587" spans="1:5" x14ac:dyDescent="0.25">
      <c r="A587" t="s">
        <v>1</v>
      </c>
      <c r="B587" t="s">
        <v>19</v>
      </c>
      <c r="C587" t="s">
        <v>23490</v>
      </c>
      <c r="D587" t="str">
        <f>HYPERLINK("https://rhld.insurance.arkansas.gov/NPILookup?Npi=1073512828","1073512828")</f>
        <v>1073512828</v>
      </c>
      <c r="E587" t="s">
        <v>248</v>
      </c>
    </row>
    <row r="588" spans="1:5" x14ac:dyDescent="0.25">
      <c r="A588" t="s">
        <v>1</v>
      </c>
      <c r="B588" t="s">
        <v>19</v>
      </c>
      <c r="C588" t="s">
        <v>23490</v>
      </c>
      <c r="D588" t="str">
        <f>HYPERLINK("https://rhld.insurance.arkansas.gov/NPILookup?Npi=1073514022","1073514022")</f>
        <v>1073514022</v>
      </c>
      <c r="E588" t="s">
        <v>249</v>
      </c>
    </row>
    <row r="589" spans="1:5" x14ac:dyDescent="0.25">
      <c r="A589" t="s">
        <v>1</v>
      </c>
      <c r="B589" t="s">
        <v>19</v>
      </c>
      <c r="C589" t="s">
        <v>23490</v>
      </c>
      <c r="D589" t="str">
        <f>HYPERLINK("https://rhld.insurance.arkansas.gov/NPILookup?Npi=1073516852","1073516852")</f>
        <v>1073516852</v>
      </c>
      <c r="E589" t="s">
        <v>250</v>
      </c>
    </row>
    <row r="590" spans="1:5" x14ac:dyDescent="0.25">
      <c r="A590" t="s">
        <v>1</v>
      </c>
      <c r="B590" t="s">
        <v>19</v>
      </c>
      <c r="C590" t="s">
        <v>23490</v>
      </c>
      <c r="D590" t="str">
        <f>HYPERLINK("https://rhld.insurance.arkansas.gov/NPILookup?Npi=1073519260","1073519260")</f>
        <v>1073519260</v>
      </c>
      <c r="E590" t="s">
        <v>14737</v>
      </c>
    </row>
    <row r="591" spans="1:5" x14ac:dyDescent="0.25">
      <c r="A591" t="s">
        <v>1</v>
      </c>
      <c r="B591" t="s">
        <v>19</v>
      </c>
      <c r="C591" t="s">
        <v>23490</v>
      </c>
      <c r="D591" t="str">
        <f>HYPERLINK("https://rhld.insurance.arkansas.gov/NPILookup?Npi=1073521282","1073521282")</f>
        <v>1073521282</v>
      </c>
      <c r="E591" t="s">
        <v>251</v>
      </c>
    </row>
    <row r="592" spans="1:5" x14ac:dyDescent="0.25">
      <c r="A592" t="s">
        <v>1</v>
      </c>
      <c r="B592" t="s">
        <v>19</v>
      </c>
      <c r="C592" t="s">
        <v>23490</v>
      </c>
      <c r="D592" t="str">
        <f>HYPERLINK("https://rhld.insurance.arkansas.gov/NPILookup?Npi=1073525903","1073525903")</f>
        <v>1073525903</v>
      </c>
      <c r="E592" t="s">
        <v>12955</v>
      </c>
    </row>
    <row r="593" spans="1:5" x14ac:dyDescent="0.25">
      <c r="A593" t="s">
        <v>1</v>
      </c>
      <c r="B593" t="s">
        <v>19</v>
      </c>
      <c r="C593" t="s">
        <v>23490</v>
      </c>
      <c r="D593" t="str">
        <f>HYPERLINK("https://rhld.insurance.arkansas.gov/NPILookup?Npi=1073533261","1073533261")</f>
        <v>1073533261</v>
      </c>
      <c r="E593" t="s">
        <v>252</v>
      </c>
    </row>
    <row r="594" spans="1:5" x14ac:dyDescent="0.25">
      <c r="A594" t="s">
        <v>1</v>
      </c>
      <c r="B594" t="s">
        <v>19</v>
      </c>
      <c r="C594" t="s">
        <v>23490</v>
      </c>
      <c r="D594" t="str">
        <f>HYPERLINK("https://rhld.insurance.arkansas.gov/NPILookup?Npi=1073536132","1073536132")</f>
        <v>1073536132</v>
      </c>
      <c r="E594" t="s">
        <v>253</v>
      </c>
    </row>
    <row r="595" spans="1:5" x14ac:dyDescent="0.25">
      <c r="A595" t="s">
        <v>1</v>
      </c>
      <c r="B595" t="s">
        <v>19</v>
      </c>
      <c r="C595" t="s">
        <v>23490</v>
      </c>
      <c r="D595" t="str">
        <f>HYPERLINK("https://rhld.insurance.arkansas.gov/NPILookup?Npi=1073540084","1073540084")</f>
        <v>1073540084</v>
      </c>
      <c r="E595" t="s">
        <v>254</v>
      </c>
    </row>
    <row r="596" spans="1:5" x14ac:dyDescent="0.25">
      <c r="A596" t="s">
        <v>1</v>
      </c>
      <c r="B596" t="s">
        <v>19</v>
      </c>
      <c r="C596" t="s">
        <v>23490</v>
      </c>
      <c r="D596" t="str">
        <f>HYPERLINK("https://rhld.insurance.arkansas.gov/NPILookup?Npi=1073555876","1073555876")</f>
        <v>1073555876</v>
      </c>
      <c r="E596" t="s">
        <v>14739</v>
      </c>
    </row>
    <row r="597" spans="1:5" x14ac:dyDescent="0.25">
      <c r="A597" t="s">
        <v>1</v>
      </c>
      <c r="B597" t="s">
        <v>19</v>
      </c>
      <c r="C597" t="s">
        <v>23490</v>
      </c>
      <c r="D597" t="str">
        <f>HYPERLINK("https://rhld.insurance.arkansas.gov/NPILookup?Npi=1073557542","1073557542")</f>
        <v>1073557542</v>
      </c>
      <c r="E597" t="s">
        <v>255</v>
      </c>
    </row>
    <row r="598" spans="1:5" x14ac:dyDescent="0.25">
      <c r="A598" t="s">
        <v>1</v>
      </c>
      <c r="B598" t="s">
        <v>19</v>
      </c>
      <c r="C598" t="s">
        <v>23490</v>
      </c>
      <c r="D598" t="str">
        <f>HYPERLINK("https://rhld.insurance.arkansas.gov/NPILookup?Npi=1073564050","1073564050")</f>
        <v>1073564050</v>
      </c>
      <c r="E598" t="s">
        <v>256</v>
      </c>
    </row>
    <row r="599" spans="1:5" x14ac:dyDescent="0.25">
      <c r="A599" t="s">
        <v>1</v>
      </c>
      <c r="B599" t="s">
        <v>19</v>
      </c>
      <c r="C599" t="s">
        <v>23490</v>
      </c>
      <c r="D599" t="str">
        <f>HYPERLINK("https://rhld.insurance.arkansas.gov/NPILookup?Npi=1073569828","1073569828")</f>
        <v>1073569828</v>
      </c>
      <c r="E599" t="s">
        <v>19399</v>
      </c>
    </row>
    <row r="600" spans="1:5" x14ac:dyDescent="0.25">
      <c r="A600" t="s">
        <v>1</v>
      </c>
      <c r="B600" t="s">
        <v>19</v>
      </c>
      <c r="C600" t="s">
        <v>23490</v>
      </c>
      <c r="D600" t="str">
        <f>HYPERLINK("https://rhld.insurance.arkansas.gov/NPILookup?Npi=1073571824","1073571824")</f>
        <v>1073571824</v>
      </c>
      <c r="E600" t="s">
        <v>12770</v>
      </c>
    </row>
    <row r="601" spans="1:5" x14ac:dyDescent="0.25">
      <c r="A601" t="s">
        <v>1</v>
      </c>
      <c r="B601" t="s">
        <v>19</v>
      </c>
      <c r="C601" t="s">
        <v>23490</v>
      </c>
      <c r="D601" t="str">
        <f>HYPERLINK("https://rhld.insurance.arkansas.gov/NPILookup?Npi=1073576955","1073576955")</f>
        <v>1073576955</v>
      </c>
      <c r="E601" t="s">
        <v>258</v>
      </c>
    </row>
    <row r="602" spans="1:5" x14ac:dyDescent="0.25">
      <c r="A602" t="s">
        <v>1</v>
      </c>
      <c r="B602" t="s">
        <v>19</v>
      </c>
      <c r="C602" t="s">
        <v>23490</v>
      </c>
      <c r="D602" t="str">
        <f>HYPERLINK("https://rhld.insurance.arkansas.gov/NPILookup?Npi=1073577219","1073577219")</f>
        <v>1073577219</v>
      </c>
      <c r="E602" t="s">
        <v>8462</v>
      </c>
    </row>
    <row r="603" spans="1:5" x14ac:dyDescent="0.25">
      <c r="A603" t="s">
        <v>1</v>
      </c>
      <c r="B603" t="s">
        <v>19</v>
      </c>
      <c r="C603" t="s">
        <v>23490</v>
      </c>
      <c r="D603" t="str">
        <f>HYPERLINK("https://rhld.insurance.arkansas.gov/NPILookup?Npi=1073579322","1073579322")</f>
        <v>1073579322</v>
      </c>
      <c r="E603" t="s">
        <v>259</v>
      </c>
    </row>
    <row r="604" spans="1:5" x14ac:dyDescent="0.25">
      <c r="A604" t="s">
        <v>1</v>
      </c>
      <c r="B604" t="s">
        <v>19</v>
      </c>
      <c r="C604" t="s">
        <v>23490</v>
      </c>
      <c r="D604" t="str">
        <f>HYPERLINK("https://rhld.insurance.arkansas.gov/NPILookup?Npi=1073582748","1073582748")</f>
        <v>1073582748</v>
      </c>
      <c r="E604" t="s">
        <v>260</v>
      </c>
    </row>
    <row r="605" spans="1:5" x14ac:dyDescent="0.25">
      <c r="A605" t="s">
        <v>1</v>
      </c>
      <c r="B605" t="s">
        <v>19</v>
      </c>
      <c r="C605" t="s">
        <v>23490</v>
      </c>
      <c r="D605" t="str">
        <f>HYPERLINK("https://rhld.insurance.arkansas.gov/NPILookup?Npi=1073585279","1073585279")</f>
        <v>1073585279</v>
      </c>
      <c r="E605" t="s">
        <v>19400</v>
      </c>
    </row>
    <row r="606" spans="1:5" x14ac:dyDescent="0.25">
      <c r="A606" t="s">
        <v>1</v>
      </c>
      <c r="B606" t="s">
        <v>19</v>
      </c>
      <c r="C606" t="s">
        <v>23490</v>
      </c>
      <c r="D606" t="str">
        <f>HYPERLINK("https://rhld.insurance.arkansas.gov/NPILookup?Npi=1073592382","1073592382")</f>
        <v>1073592382</v>
      </c>
      <c r="E606" t="s">
        <v>14741</v>
      </c>
    </row>
    <row r="607" spans="1:5" x14ac:dyDescent="0.25">
      <c r="A607" t="s">
        <v>1</v>
      </c>
      <c r="B607" t="s">
        <v>19</v>
      </c>
      <c r="C607" t="s">
        <v>23490</v>
      </c>
      <c r="D607" t="str">
        <f>HYPERLINK("https://rhld.insurance.arkansas.gov/NPILookup?Npi=1073592523","1073592523")</f>
        <v>1073592523</v>
      </c>
      <c r="E607" t="s">
        <v>261</v>
      </c>
    </row>
    <row r="608" spans="1:5" x14ac:dyDescent="0.25">
      <c r="A608" t="s">
        <v>1</v>
      </c>
      <c r="B608" t="s">
        <v>19</v>
      </c>
      <c r="C608" t="s">
        <v>23490</v>
      </c>
      <c r="D608" t="str">
        <f>HYPERLINK("https://rhld.insurance.arkansas.gov/NPILookup?Npi=1073594909","1073594909")</f>
        <v>1073594909</v>
      </c>
      <c r="E608" t="s">
        <v>262</v>
      </c>
    </row>
    <row r="609" spans="1:5" x14ac:dyDescent="0.25">
      <c r="A609" t="s">
        <v>1</v>
      </c>
      <c r="B609" t="s">
        <v>19</v>
      </c>
      <c r="C609" t="s">
        <v>23490</v>
      </c>
      <c r="D609" t="str">
        <f>HYPERLINK("https://rhld.insurance.arkansas.gov/NPILookup?Npi=1073616934","1073616934")</f>
        <v>1073616934</v>
      </c>
      <c r="E609" t="s">
        <v>263</v>
      </c>
    </row>
    <row r="610" spans="1:5" x14ac:dyDescent="0.25">
      <c r="A610" t="s">
        <v>1</v>
      </c>
      <c r="B610" t="s">
        <v>19</v>
      </c>
      <c r="C610" t="s">
        <v>23490</v>
      </c>
      <c r="D610" t="str">
        <f>HYPERLINK("https://rhld.insurance.arkansas.gov/NPILookup?Npi=1073621827","1073621827")</f>
        <v>1073621827</v>
      </c>
      <c r="E610" t="s">
        <v>264</v>
      </c>
    </row>
    <row r="611" spans="1:5" x14ac:dyDescent="0.25">
      <c r="A611" t="s">
        <v>1</v>
      </c>
      <c r="B611" t="s">
        <v>19</v>
      </c>
      <c r="C611" t="s">
        <v>23490</v>
      </c>
      <c r="D611" t="str">
        <f>HYPERLINK("https://rhld.insurance.arkansas.gov/NPILookup?Npi=1073637823","1073637823")</f>
        <v>1073637823</v>
      </c>
      <c r="E611" t="s">
        <v>17384</v>
      </c>
    </row>
    <row r="612" spans="1:5" x14ac:dyDescent="0.25">
      <c r="A612" t="s">
        <v>1</v>
      </c>
      <c r="B612" t="s">
        <v>19</v>
      </c>
      <c r="C612" t="s">
        <v>23490</v>
      </c>
      <c r="D612" t="str">
        <f>HYPERLINK("https://rhld.insurance.arkansas.gov/NPILookup?Npi=1073687505","1073687505")</f>
        <v>1073687505</v>
      </c>
      <c r="E612" t="s">
        <v>265</v>
      </c>
    </row>
    <row r="613" spans="1:5" x14ac:dyDescent="0.25">
      <c r="A613" t="s">
        <v>1</v>
      </c>
      <c r="B613" t="s">
        <v>19</v>
      </c>
      <c r="C613" t="s">
        <v>23490</v>
      </c>
      <c r="D613" t="str">
        <f>HYPERLINK("https://rhld.insurance.arkansas.gov/NPILookup?Npi=1073712212","1073712212")</f>
        <v>1073712212</v>
      </c>
      <c r="E613" t="s">
        <v>266</v>
      </c>
    </row>
    <row r="614" spans="1:5" x14ac:dyDescent="0.25">
      <c r="A614" t="s">
        <v>1</v>
      </c>
      <c r="B614" t="s">
        <v>19</v>
      </c>
      <c r="C614" t="s">
        <v>23490</v>
      </c>
      <c r="D614" t="str">
        <f>HYPERLINK("https://rhld.insurance.arkansas.gov/NPILookup?Npi=1073731774","1073731774")</f>
        <v>1073731774</v>
      </c>
      <c r="E614" t="s">
        <v>8463</v>
      </c>
    </row>
    <row r="615" spans="1:5" x14ac:dyDescent="0.25">
      <c r="A615" t="s">
        <v>1</v>
      </c>
      <c r="B615" t="s">
        <v>19</v>
      </c>
      <c r="C615" t="s">
        <v>23490</v>
      </c>
      <c r="D615" t="str">
        <f>HYPERLINK("https://rhld.insurance.arkansas.gov/NPILookup?Npi=1073740387","1073740387")</f>
        <v>1073740387</v>
      </c>
      <c r="E615" t="s">
        <v>10626</v>
      </c>
    </row>
    <row r="616" spans="1:5" x14ac:dyDescent="0.25">
      <c r="A616" t="s">
        <v>1</v>
      </c>
      <c r="B616" t="s">
        <v>19</v>
      </c>
      <c r="C616" t="s">
        <v>23490</v>
      </c>
      <c r="D616" t="str">
        <f>HYPERLINK("https://rhld.insurance.arkansas.gov/NPILookup?Npi=1073745873","1073745873")</f>
        <v>1073745873</v>
      </c>
      <c r="E616" t="s">
        <v>267</v>
      </c>
    </row>
    <row r="617" spans="1:5" x14ac:dyDescent="0.25">
      <c r="A617" t="s">
        <v>1</v>
      </c>
      <c r="B617" t="s">
        <v>19</v>
      </c>
      <c r="C617" t="s">
        <v>23490</v>
      </c>
      <c r="D617" t="str">
        <f>HYPERLINK("https://rhld.insurance.arkansas.gov/NPILookup?Npi=1073749420","1073749420")</f>
        <v>1073749420</v>
      </c>
      <c r="E617" t="s">
        <v>268</v>
      </c>
    </row>
    <row r="618" spans="1:5" x14ac:dyDescent="0.25">
      <c r="A618" t="s">
        <v>1</v>
      </c>
      <c r="B618" t="s">
        <v>19</v>
      </c>
      <c r="C618" t="s">
        <v>23490</v>
      </c>
      <c r="D618" t="str">
        <f>HYPERLINK("https://rhld.insurance.arkansas.gov/NPILookup?Npi=1073755807","1073755807")</f>
        <v>1073755807</v>
      </c>
      <c r="E618" t="s">
        <v>10627</v>
      </c>
    </row>
    <row r="619" spans="1:5" x14ac:dyDescent="0.25">
      <c r="A619" t="s">
        <v>1</v>
      </c>
      <c r="B619" t="s">
        <v>19</v>
      </c>
      <c r="C619" t="s">
        <v>23490</v>
      </c>
      <c r="D619" t="str">
        <f>HYPERLINK("https://rhld.insurance.arkansas.gov/NPILookup?Npi=1073809158","1073809158")</f>
        <v>1073809158</v>
      </c>
      <c r="E619" t="s">
        <v>269</v>
      </c>
    </row>
    <row r="620" spans="1:5" x14ac:dyDescent="0.25">
      <c r="A620" t="s">
        <v>1</v>
      </c>
      <c r="B620" t="s">
        <v>19</v>
      </c>
      <c r="C620" t="s">
        <v>23490</v>
      </c>
      <c r="D620" t="str">
        <f>HYPERLINK("https://rhld.insurance.arkansas.gov/NPILookup?Npi=1073810263","1073810263")</f>
        <v>1073810263</v>
      </c>
      <c r="E620" t="s">
        <v>17849</v>
      </c>
    </row>
    <row r="621" spans="1:5" x14ac:dyDescent="0.25">
      <c r="A621" t="s">
        <v>1</v>
      </c>
      <c r="B621" t="s">
        <v>19</v>
      </c>
      <c r="C621" t="s">
        <v>23490</v>
      </c>
      <c r="D621" t="str">
        <f>HYPERLINK("https://rhld.insurance.arkansas.gov/NPILookup?Npi=1073810537","1073810537")</f>
        <v>1073810537</v>
      </c>
      <c r="E621" t="s">
        <v>10628</v>
      </c>
    </row>
    <row r="622" spans="1:5" x14ac:dyDescent="0.25">
      <c r="A622" t="s">
        <v>1</v>
      </c>
      <c r="B622" t="s">
        <v>19</v>
      </c>
      <c r="C622" t="s">
        <v>23490</v>
      </c>
      <c r="D622" t="str">
        <f>HYPERLINK("https://rhld.insurance.arkansas.gov/NPILookup?Npi=1073828802","1073828802")</f>
        <v>1073828802</v>
      </c>
      <c r="E622" t="s">
        <v>8464</v>
      </c>
    </row>
    <row r="623" spans="1:5" x14ac:dyDescent="0.25">
      <c r="A623" t="s">
        <v>1</v>
      </c>
      <c r="B623" t="s">
        <v>19</v>
      </c>
      <c r="C623" t="s">
        <v>23490</v>
      </c>
      <c r="D623" t="str">
        <f>HYPERLINK("https://rhld.insurance.arkansas.gov/NPILookup?Npi=1073836466","1073836466")</f>
        <v>1073836466</v>
      </c>
      <c r="E623" t="s">
        <v>270</v>
      </c>
    </row>
    <row r="624" spans="1:5" x14ac:dyDescent="0.25">
      <c r="A624" t="s">
        <v>1</v>
      </c>
      <c r="B624" t="s">
        <v>19</v>
      </c>
      <c r="C624" t="s">
        <v>23490</v>
      </c>
      <c r="D624" t="str">
        <f>HYPERLINK("https://rhld.insurance.arkansas.gov/NPILookup?Npi=1073852877","1073852877")</f>
        <v>1073852877</v>
      </c>
      <c r="E624" t="s">
        <v>271</v>
      </c>
    </row>
    <row r="625" spans="1:5" x14ac:dyDescent="0.25">
      <c r="A625" t="s">
        <v>1</v>
      </c>
      <c r="B625" t="s">
        <v>19</v>
      </c>
      <c r="C625" t="s">
        <v>23490</v>
      </c>
      <c r="D625" t="str">
        <f>HYPERLINK("https://rhld.insurance.arkansas.gov/NPILookup?Npi=1073856514","1073856514")</f>
        <v>1073856514</v>
      </c>
      <c r="E625" t="s">
        <v>272</v>
      </c>
    </row>
    <row r="626" spans="1:5" x14ac:dyDescent="0.25">
      <c r="A626" t="s">
        <v>1</v>
      </c>
      <c r="B626" t="s">
        <v>19</v>
      </c>
      <c r="C626" t="s">
        <v>23490</v>
      </c>
      <c r="D626" t="str">
        <f>HYPERLINK("https://rhld.insurance.arkansas.gov/NPILookup?Npi=1073859732","1073859732")</f>
        <v>1073859732</v>
      </c>
      <c r="E626" t="s">
        <v>8465</v>
      </c>
    </row>
    <row r="627" spans="1:5" x14ac:dyDescent="0.25">
      <c r="A627" t="s">
        <v>1</v>
      </c>
      <c r="B627" t="s">
        <v>19</v>
      </c>
      <c r="C627" t="s">
        <v>23490</v>
      </c>
      <c r="D627" t="str">
        <f>HYPERLINK("https://rhld.insurance.arkansas.gov/NPILookup?Npi=1073863106","1073863106")</f>
        <v>1073863106</v>
      </c>
      <c r="E627" t="s">
        <v>273</v>
      </c>
    </row>
    <row r="628" spans="1:5" x14ac:dyDescent="0.25">
      <c r="A628" t="s">
        <v>1</v>
      </c>
      <c r="B628" t="s">
        <v>19</v>
      </c>
      <c r="C628" t="s">
        <v>23490</v>
      </c>
      <c r="D628" t="str">
        <f>HYPERLINK("https://rhld.insurance.arkansas.gov/NPILookup?Npi=1073863882","1073863882")</f>
        <v>1073863882</v>
      </c>
      <c r="E628" t="s">
        <v>19401</v>
      </c>
    </row>
    <row r="629" spans="1:5" x14ac:dyDescent="0.25">
      <c r="A629" t="s">
        <v>1</v>
      </c>
      <c r="B629" t="s">
        <v>19</v>
      </c>
      <c r="C629" t="s">
        <v>23490</v>
      </c>
      <c r="D629" t="str">
        <f>HYPERLINK("https://rhld.insurance.arkansas.gov/NPILookup?Npi=1073882742","1073882742")</f>
        <v>1073882742</v>
      </c>
      <c r="E629" t="s">
        <v>20885</v>
      </c>
    </row>
    <row r="630" spans="1:5" x14ac:dyDescent="0.25">
      <c r="A630" t="s">
        <v>1</v>
      </c>
      <c r="B630" t="s">
        <v>19</v>
      </c>
      <c r="C630" t="s">
        <v>23490</v>
      </c>
      <c r="D630" t="str">
        <f>HYPERLINK("https://rhld.insurance.arkansas.gov/NPILookup?Npi=1073884276","1073884276")</f>
        <v>1073884276</v>
      </c>
      <c r="E630" t="s">
        <v>13357</v>
      </c>
    </row>
    <row r="631" spans="1:5" x14ac:dyDescent="0.25">
      <c r="A631" t="s">
        <v>1</v>
      </c>
      <c r="B631" t="s">
        <v>19</v>
      </c>
      <c r="C631" t="s">
        <v>23490</v>
      </c>
      <c r="D631" t="str">
        <f>HYPERLINK("https://rhld.insurance.arkansas.gov/NPILookup?Npi=1073889226","1073889226")</f>
        <v>1073889226</v>
      </c>
      <c r="E631" t="s">
        <v>14742</v>
      </c>
    </row>
    <row r="632" spans="1:5" x14ac:dyDescent="0.25">
      <c r="A632" t="s">
        <v>1</v>
      </c>
      <c r="B632" t="s">
        <v>19</v>
      </c>
      <c r="C632" t="s">
        <v>23490</v>
      </c>
      <c r="D632" t="str">
        <f>HYPERLINK("https://rhld.insurance.arkansas.gov/NPILookup?Npi=1073891040","1073891040")</f>
        <v>1073891040</v>
      </c>
      <c r="E632" t="s">
        <v>274</v>
      </c>
    </row>
    <row r="633" spans="1:5" x14ac:dyDescent="0.25">
      <c r="A633" t="s">
        <v>1</v>
      </c>
      <c r="B633" t="s">
        <v>19</v>
      </c>
      <c r="C633" t="s">
        <v>23490</v>
      </c>
      <c r="D633" t="str">
        <f>HYPERLINK("https://rhld.insurance.arkansas.gov/NPILookup?Npi=1073893673","1073893673")</f>
        <v>1073893673</v>
      </c>
      <c r="E633" t="s">
        <v>275</v>
      </c>
    </row>
    <row r="634" spans="1:5" x14ac:dyDescent="0.25">
      <c r="A634" t="s">
        <v>1</v>
      </c>
      <c r="B634" t="s">
        <v>19</v>
      </c>
      <c r="C634" t="s">
        <v>23490</v>
      </c>
      <c r="D634" t="str">
        <f>HYPERLINK("https://rhld.insurance.arkansas.gov/NPILookup?Npi=1073902276","1073902276")</f>
        <v>1073902276</v>
      </c>
      <c r="E634" t="s">
        <v>10629</v>
      </c>
    </row>
    <row r="635" spans="1:5" x14ac:dyDescent="0.25">
      <c r="A635" t="s">
        <v>1</v>
      </c>
      <c r="B635" t="s">
        <v>19</v>
      </c>
      <c r="C635" t="s">
        <v>23490</v>
      </c>
      <c r="D635" t="str">
        <f>HYPERLINK("https://rhld.insurance.arkansas.gov/NPILookup?Npi=1073921029","1073921029")</f>
        <v>1073921029</v>
      </c>
      <c r="E635" t="s">
        <v>276</v>
      </c>
    </row>
    <row r="636" spans="1:5" x14ac:dyDescent="0.25">
      <c r="A636" t="s">
        <v>1</v>
      </c>
      <c r="B636" t="s">
        <v>19</v>
      </c>
      <c r="C636" t="s">
        <v>23490</v>
      </c>
      <c r="D636" t="str">
        <f>HYPERLINK("https://rhld.insurance.arkansas.gov/NPILookup?Npi=1073970166","1073970166")</f>
        <v>1073970166</v>
      </c>
      <c r="E636" t="s">
        <v>8467</v>
      </c>
    </row>
    <row r="637" spans="1:5" x14ac:dyDescent="0.25">
      <c r="A637" t="s">
        <v>1</v>
      </c>
      <c r="B637" t="s">
        <v>19</v>
      </c>
      <c r="C637" t="s">
        <v>23490</v>
      </c>
      <c r="D637" t="str">
        <f>HYPERLINK("https://rhld.insurance.arkansas.gov/NPILookup?Npi=1073971925","1073971925")</f>
        <v>1073971925</v>
      </c>
      <c r="E637" t="s">
        <v>19402</v>
      </c>
    </row>
    <row r="638" spans="1:5" x14ac:dyDescent="0.25">
      <c r="A638" t="s">
        <v>1</v>
      </c>
      <c r="B638" t="s">
        <v>19</v>
      </c>
      <c r="C638" t="s">
        <v>23490</v>
      </c>
      <c r="D638" t="str">
        <f>HYPERLINK("https://rhld.insurance.arkansas.gov/NPILookup?Npi=1073979969","1073979969")</f>
        <v>1073979969</v>
      </c>
      <c r="E638" t="s">
        <v>10632</v>
      </c>
    </row>
    <row r="639" spans="1:5" x14ac:dyDescent="0.25">
      <c r="A639" t="s">
        <v>1</v>
      </c>
      <c r="B639" t="s">
        <v>19</v>
      </c>
      <c r="C639" t="s">
        <v>23490</v>
      </c>
      <c r="D639" t="str">
        <f>HYPERLINK("https://rhld.insurance.arkansas.gov/NPILookup?Npi=1073981056","1073981056")</f>
        <v>1073981056</v>
      </c>
      <c r="E639" t="s">
        <v>10633</v>
      </c>
    </row>
    <row r="640" spans="1:5" x14ac:dyDescent="0.25">
      <c r="A640" t="s">
        <v>1</v>
      </c>
      <c r="B640" t="s">
        <v>19</v>
      </c>
      <c r="C640" t="s">
        <v>23490</v>
      </c>
      <c r="D640" t="str">
        <f>HYPERLINK("https://rhld.insurance.arkansas.gov/NPILookup?Npi=1083002364","1083002364")</f>
        <v>1083002364</v>
      </c>
      <c r="E640" t="s">
        <v>277</v>
      </c>
    </row>
    <row r="641" spans="1:5" x14ac:dyDescent="0.25">
      <c r="A641" t="s">
        <v>1</v>
      </c>
      <c r="B641" t="s">
        <v>19</v>
      </c>
      <c r="C641" t="s">
        <v>23490</v>
      </c>
      <c r="D641" t="str">
        <f>HYPERLINK("https://rhld.insurance.arkansas.gov/NPILookup?Npi=1083016844","1083016844")</f>
        <v>1083016844</v>
      </c>
      <c r="E641" t="s">
        <v>278</v>
      </c>
    </row>
    <row r="642" spans="1:5" x14ac:dyDescent="0.25">
      <c r="A642" t="s">
        <v>1</v>
      </c>
      <c r="B642" t="s">
        <v>19</v>
      </c>
      <c r="C642" t="s">
        <v>23490</v>
      </c>
      <c r="D642" t="str">
        <f>HYPERLINK("https://rhld.insurance.arkansas.gov/NPILookup?Npi=1083017313","1083017313")</f>
        <v>1083017313</v>
      </c>
      <c r="E642" t="s">
        <v>14744</v>
      </c>
    </row>
    <row r="643" spans="1:5" x14ac:dyDescent="0.25">
      <c r="A643" t="s">
        <v>1</v>
      </c>
      <c r="B643" t="s">
        <v>19</v>
      </c>
      <c r="C643" t="s">
        <v>23490</v>
      </c>
      <c r="D643" t="str">
        <f>HYPERLINK("https://rhld.insurance.arkansas.gov/NPILookup?Npi=1083024848","1083024848")</f>
        <v>1083024848</v>
      </c>
      <c r="E643" t="s">
        <v>10634</v>
      </c>
    </row>
    <row r="644" spans="1:5" x14ac:dyDescent="0.25">
      <c r="A644" t="s">
        <v>1</v>
      </c>
      <c r="B644" t="s">
        <v>19</v>
      </c>
      <c r="C644" t="s">
        <v>23490</v>
      </c>
      <c r="D644" t="str">
        <f>HYPERLINK("https://rhld.insurance.arkansas.gov/NPILookup?Npi=1083046445","1083046445")</f>
        <v>1083046445</v>
      </c>
      <c r="E644" t="s">
        <v>279</v>
      </c>
    </row>
    <row r="645" spans="1:5" x14ac:dyDescent="0.25">
      <c r="A645" t="s">
        <v>1</v>
      </c>
      <c r="B645" t="s">
        <v>19</v>
      </c>
      <c r="C645" t="s">
        <v>23490</v>
      </c>
      <c r="D645" t="str">
        <f>HYPERLINK("https://rhld.insurance.arkansas.gov/NPILookup?Npi=1083055453","1083055453")</f>
        <v>1083055453</v>
      </c>
      <c r="E645" t="s">
        <v>10635</v>
      </c>
    </row>
    <row r="646" spans="1:5" x14ac:dyDescent="0.25">
      <c r="A646" t="s">
        <v>1</v>
      </c>
      <c r="B646" t="s">
        <v>19</v>
      </c>
      <c r="C646" t="s">
        <v>23490</v>
      </c>
      <c r="D646" t="str">
        <f>HYPERLINK("https://rhld.insurance.arkansas.gov/NPILookup?Npi=1083055800","1083055800")</f>
        <v>1083055800</v>
      </c>
      <c r="E646" t="s">
        <v>14745</v>
      </c>
    </row>
    <row r="647" spans="1:5" x14ac:dyDescent="0.25">
      <c r="A647" t="s">
        <v>1</v>
      </c>
      <c r="B647" t="s">
        <v>19</v>
      </c>
      <c r="C647" t="s">
        <v>23490</v>
      </c>
      <c r="D647" t="str">
        <f>HYPERLINK("https://rhld.insurance.arkansas.gov/NPILookup?Npi=1083056386","1083056386")</f>
        <v>1083056386</v>
      </c>
      <c r="E647" t="s">
        <v>280</v>
      </c>
    </row>
    <row r="648" spans="1:5" x14ac:dyDescent="0.25">
      <c r="A648" t="s">
        <v>1</v>
      </c>
      <c r="B648" t="s">
        <v>19</v>
      </c>
      <c r="C648" t="s">
        <v>23490</v>
      </c>
      <c r="D648" t="str">
        <f>HYPERLINK("https://rhld.insurance.arkansas.gov/NPILookup?Npi=1083065015","1083065015")</f>
        <v>1083065015</v>
      </c>
      <c r="E648" t="s">
        <v>8468</v>
      </c>
    </row>
    <row r="649" spans="1:5" x14ac:dyDescent="0.25">
      <c r="A649" t="s">
        <v>1</v>
      </c>
      <c r="B649" t="s">
        <v>19</v>
      </c>
      <c r="C649" t="s">
        <v>23490</v>
      </c>
      <c r="D649" t="str">
        <f>HYPERLINK("https://rhld.insurance.arkansas.gov/NPILookup?Npi=1083065049","1083065049")</f>
        <v>1083065049</v>
      </c>
      <c r="E649" t="s">
        <v>10636</v>
      </c>
    </row>
    <row r="650" spans="1:5" x14ac:dyDescent="0.25">
      <c r="A650" t="s">
        <v>1</v>
      </c>
      <c r="B650" t="s">
        <v>19</v>
      </c>
      <c r="C650" t="s">
        <v>23490</v>
      </c>
      <c r="D650" t="str">
        <f>HYPERLINK("https://rhld.insurance.arkansas.gov/NPILookup?Npi=1083071237","1083071237")</f>
        <v>1083071237</v>
      </c>
      <c r="E650" t="s">
        <v>9240</v>
      </c>
    </row>
    <row r="651" spans="1:5" x14ac:dyDescent="0.25">
      <c r="A651" t="s">
        <v>1</v>
      </c>
      <c r="B651" t="s">
        <v>19</v>
      </c>
      <c r="C651" t="s">
        <v>23490</v>
      </c>
      <c r="D651" t="str">
        <f>HYPERLINK("https://rhld.insurance.arkansas.gov/NPILookup?Npi=1083072086","1083072086")</f>
        <v>1083072086</v>
      </c>
      <c r="E651" t="s">
        <v>8469</v>
      </c>
    </row>
    <row r="652" spans="1:5" x14ac:dyDescent="0.25">
      <c r="A652" t="s">
        <v>1</v>
      </c>
      <c r="B652" t="s">
        <v>19</v>
      </c>
      <c r="C652" t="s">
        <v>23490</v>
      </c>
      <c r="D652" t="str">
        <f>HYPERLINK("https://rhld.insurance.arkansas.gov/NPILookup?Npi=1083106454","1083106454")</f>
        <v>1083106454</v>
      </c>
      <c r="E652" t="s">
        <v>10032</v>
      </c>
    </row>
    <row r="653" spans="1:5" x14ac:dyDescent="0.25">
      <c r="A653" t="s">
        <v>1</v>
      </c>
      <c r="B653" t="s">
        <v>19</v>
      </c>
      <c r="C653" t="s">
        <v>23490</v>
      </c>
      <c r="D653" t="str">
        <f>HYPERLINK("https://rhld.insurance.arkansas.gov/NPILookup?Npi=1083116917","1083116917")</f>
        <v>1083116917</v>
      </c>
      <c r="E653" t="s">
        <v>17917</v>
      </c>
    </row>
    <row r="654" spans="1:5" x14ac:dyDescent="0.25">
      <c r="A654" t="s">
        <v>1</v>
      </c>
      <c r="B654" t="s">
        <v>19</v>
      </c>
      <c r="C654" t="s">
        <v>23490</v>
      </c>
      <c r="D654" t="str">
        <f>HYPERLINK("https://rhld.insurance.arkansas.gov/NPILookup?Npi=1083127161","1083127161")</f>
        <v>1083127161</v>
      </c>
      <c r="E654" t="s">
        <v>12771</v>
      </c>
    </row>
    <row r="655" spans="1:5" x14ac:dyDescent="0.25">
      <c r="A655" t="s">
        <v>1</v>
      </c>
      <c r="B655" t="s">
        <v>19</v>
      </c>
      <c r="C655" t="s">
        <v>23490</v>
      </c>
      <c r="D655" t="str">
        <f>HYPERLINK("https://rhld.insurance.arkansas.gov/NPILookup?Npi=1083137798","1083137798")</f>
        <v>1083137798</v>
      </c>
      <c r="E655" t="s">
        <v>19404</v>
      </c>
    </row>
    <row r="656" spans="1:5" x14ac:dyDescent="0.25">
      <c r="A656" t="s">
        <v>1</v>
      </c>
      <c r="B656" t="s">
        <v>19</v>
      </c>
      <c r="C656" t="s">
        <v>23490</v>
      </c>
      <c r="D656" t="str">
        <f>HYPERLINK("https://rhld.insurance.arkansas.gov/NPILookup?Npi=1083143580","1083143580")</f>
        <v>1083143580</v>
      </c>
      <c r="E656" t="s">
        <v>20886</v>
      </c>
    </row>
    <row r="657" spans="1:5" x14ac:dyDescent="0.25">
      <c r="A657" t="s">
        <v>1</v>
      </c>
      <c r="B657" t="s">
        <v>19</v>
      </c>
      <c r="C657" t="s">
        <v>23490</v>
      </c>
      <c r="D657" t="str">
        <f>HYPERLINK("https://rhld.insurance.arkansas.gov/NPILookup?Npi=1083146617","1083146617")</f>
        <v>1083146617</v>
      </c>
      <c r="E657" t="s">
        <v>10637</v>
      </c>
    </row>
    <row r="658" spans="1:5" x14ac:dyDescent="0.25">
      <c r="A658" t="s">
        <v>1</v>
      </c>
      <c r="B658" t="s">
        <v>19</v>
      </c>
      <c r="C658" t="s">
        <v>23490</v>
      </c>
      <c r="D658" t="str">
        <f>HYPERLINK("https://rhld.insurance.arkansas.gov/NPILookup?Npi=1083148522","1083148522")</f>
        <v>1083148522</v>
      </c>
      <c r="E658" t="s">
        <v>10638</v>
      </c>
    </row>
    <row r="659" spans="1:5" x14ac:dyDescent="0.25">
      <c r="A659" t="s">
        <v>1</v>
      </c>
      <c r="B659" t="s">
        <v>19</v>
      </c>
      <c r="C659" t="s">
        <v>23490</v>
      </c>
      <c r="D659" t="str">
        <f>HYPERLINK("https://rhld.insurance.arkansas.gov/NPILookup?Npi=1083150304","1083150304")</f>
        <v>1083150304</v>
      </c>
      <c r="E659" t="s">
        <v>10639</v>
      </c>
    </row>
    <row r="660" spans="1:5" x14ac:dyDescent="0.25">
      <c r="A660" t="s">
        <v>1</v>
      </c>
      <c r="B660" t="s">
        <v>19</v>
      </c>
      <c r="C660" t="s">
        <v>23490</v>
      </c>
      <c r="D660" t="str">
        <f>HYPERLINK("https://rhld.insurance.arkansas.gov/NPILookup?Npi=1083152821","1083152821")</f>
        <v>1083152821</v>
      </c>
      <c r="E660" t="s">
        <v>13358</v>
      </c>
    </row>
    <row r="661" spans="1:5" x14ac:dyDescent="0.25">
      <c r="A661" t="s">
        <v>1</v>
      </c>
      <c r="B661" t="s">
        <v>19</v>
      </c>
      <c r="C661" t="s">
        <v>23490</v>
      </c>
      <c r="D661" t="str">
        <f>HYPERLINK("https://rhld.insurance.arkansas.gov/NPILookup?Npi=1083154512","1083154512")</f>
        <v>1083154512</v>
      </c>
      <c r="E661" t="s">
        <v>10640</v>
      </c>
    </row>
    <row r="662" spans="1:5" x14ac:dyDescent="0.25">
      <c r="A662" t="s">
        <v>1</v>
      </c>
      <c r="B662" t="s">
        <v>19</v>
      </c>
      <c r="C662" t="s">
        <v>23490</v>
      </c>
      <c r="D662" t="str">
        <f>HYPERLINK("https://rhld.insurance.arkansas.gov/NPILookup?Npi=1083163638","1083163638")</f>
        <v>1083163638</v>
      </c>
      <c r="E662" t="s">
        <v>10641</v>
      </c>
    </row>
    <row r="663" spans="1:5" x14ac:dyDescent="0.25">
      <c r="A663" t="s">
        <v>1</v>
      </c>
      <c r="B663" t="s">
        <v>19</v>
      </c>
      <c r="C663" t="s">
        <v>23490</v>
      </c>
      <c r="D663" t="str">
        <f>HYPERLINK("https://rhld.insurance.arkansas.gov/NPILookup?Npi=1083170807","1083170807")</f>
        <v>1083170807</v>
      </c>
      <c r="E663" t="s">
        <v>17850</v>
      </c>
    </row>
    <row r="664" spans="1:5" x14ac:dyDescent="0.25">
      <c r="A664" t="s">
        <v>1</v>
      </c>
      <c r="B664" t="s">
        <v>19</v>
      </c>
      <c r="C664" t="s">
        <v>23490</v>
      </c>
      <c r="D664" t="str">
        <f>HYPERLINK("https://rhld.insurance.arkansas.gov/NPILookup?Npi=1083174502","1083174502")</f>
        <v>1083174502</v>
      </c>
      <c r="E664" t="s">
        <v>18661</v>
      </c>
    </row>
    <row r="665" spans="1:5" x14ac:dyDescent="0.25">
      <c r="A665" t="s">
        <v>1</v>
      </c>
      <c r="B665" t="s">
        <v>19</v>
      </c>
      <c r="C665" t="s">
        <v>23490</v>
      </c>
      <c r="D665" t="str">
        <f>HYPERLINK("https://rhld.insurance.arkansas.gov/NPILookup?Npi=1083176564","1083176564")</f>
        <v>1083176564</v>
      </c>
      <c r="E665" t="s">
        <v>21459</v>
      </c>
    </row>
    <row r="666" spans="1:5" x14ac:dyDescent="0.25">
      <c r="A666" t="s">
        <v>1</v>
      </c>
      <c r="B666" t="s">
        <v>19</v>
      </c>
      <c r="C666" t="s">
        <v>23490</v>
      </c>
      <c r="D666" t="str">
        <f>HYPERLINK("https://rhld.insurance.arkansas.gov/NPILookup?Npi=1083177141","1083177141")</f>
        <v>1083177141</v>
      </c>
      <c r="E666" t="s">
        <v>20887</v>
      </c>
    </row>
    <row r="667" spans="1:5" x14ac:dyDescent="0.25">
      <c r="A667" t="s">
        <v>1</v>
      </c>
      <c r="B667" t="s">
        <v>19</v>
      </c>
      <c r="C667" t="s">
        <v>23490</v>
      </c>
      <c r="D667" t="str">
        <f>HYPERLINK("https://rhld.insurance.arkansas.gov/NPILookup?Npi=1083182968","1083182968")</f>
        <v>1083182968</v>
      </c>
      <c r="E667" t="s">
        <v>14746</v>
      </c>
    </row>
    <row r="668" spans="1:5" x14ac:dyDescent="0.25">
      <c r="A668" t="s">
        <v>1</v>
      </c>
      <c r="B668" t="s">
        <v>19</v>
      </c>
      <c r="C668" t="s">
        <v>8427</v>
      </c>
      <c r="D668" t="str">
        <f>HYPERLINK("https://rhld.insurance.arkansas.gov/NPILookup?Npi=1083190318","1083190318")</f>
        <v>1083190318</v>
      </c>
      <c r="E668" t="s">
        <v>22888</v>
      </c>
    </row>
    <row r="669" spans="1:5" x14ac:dyDescent="0.25">
      <c r="A669" t="s">
        <v>1</v>
      </c>
      <c r="B669" t="s">
        <v>19</v>
      </c>
      <c r="C669" t="s">
        <v>23490</v>
      </c>
      <c r="D669" t="str">
        <f>HYPERLINK("https://rhld.insurance.arkansas.gov/NPILookup?Npi=1083231807","1083231807")</f>
        <v>1083231807</v>
      </c>
      <c r="E669" t="s">
        <v>20888</v>
      </c>
    </row>
    <row r="670" spans="1:5" x14ac:dyDescent="0.25">
      <c r="A670" t="s">
        <v>1</v>
      </c>
      <c r="B670" t="s">
        <v>19</v>
      </c>
      <c r="C670" t="s">
        <v>23490</v>
      </c>
      <c r="D670" t="str">
        <f>HYPERLINK("https://rhld.insurance.arkansas.gov/NPILookup?Npi=1083251821","1083251821")</f>
        <v>1083251821</v>
      </c>
      <c r="E670" t="s">
        <v>19405</v>
      </c>
    </row>
    <row r="671" spans="1:5" x14ac:dyDescent="0.25">
      <c r="A671" t="s">
        <v>1</v>
      </c>
      <c r="B671" t="s">
        <v>19</v>
      </c>
      <c r="C671" t="s">
        <v>23490</v>
      </c>
      <c r="D671" t="str">
        <f>HYPERLINK("https://rhld.insurance.arkansas.gov/NPILookup?Npi=1083260871","1083260871")</f>
        <v>1083260871</v>
      </c>
      <c r="E671" t="s">
        <v>19406</v>
      </c>
    </row>
    <row r="672" spans="1:5" x14ac:dyDescent="0.25">
      <c r="A672" t="s">
        <v>1</v>
      </c>
      <c r="B672" t="s">
        <v>19</v>
      </c>
      <c r="C672" t="s">
        <v>23490</v>
      </c>
      <c r="D672" t="str">
        <f>HYPERLINK("https://rhld.insurance.arkansas.gov/NPILookup?Npi=1083268486","1083268486")</f>
        <v>1083268486</v>
      </c>
      <c r="E672" t="s">
        <v>14747</v>
      </c>
    </row>
    <row r="673" spans="1:5" x14ac:dyDescent="0.25">
      <c r="A673" t="s">
        <v>1</v>
      </c>
      <c r="B673" t="s">
        <v>19</v>
      </c>
      <c r="C673" t="s">
        <v>23490</v>
      </c>
      <c r="D673" t="str">
        <f>HYPERLINK("https://rhld.insurance.arkansas.gov/NPILookup?Npi=1083281562","1083281562")</f>
        <v>1083281562</v>
      </c>
      <c r="E673" t="s">
        <v>18663</v>
      </c>
    </row>
    <row r="674" spans="1:5" x14ac:dyDescent="0.25">
      <c r="A674" t="s">
        <v>1</v>
      </c>
      <c r="B674" t="s">
        <v>19</v>
      </c>
      <c r="C674" t="s">
        <v>23490</v>
      </c>
      <c r="D674" t="str">
        <f>HYPERLINK("https://rhld.insurance.arkansas.gov/NPILookup?Npi=1083297741","1083297741")</f>
        <v>1083297741</v>
      </c>
      <c r="E674" t="s">
        <v>18664</v>
      </c>
    </row>
    <row r="675" spans="1:5" x14ac:dyDescent="0.25">
      <c r="A675" t="s">
        <v>1</v>
      </c>
      <c r="B675" t="s">
        <v>19</v>
      </c>
      <c r="C675" t="s">
        <v>23490</v>
      </c>
      <c r="D675" t="str">
        <f>HYPERLINK("https://rhld.insurance.arkansas.gov/NPILookup?Npi=1083336382","1083336382")</f>
        <v>1083336382</v>
      </c>
      <c r="E675" t="s">
        <v>21460</v>
      </c>
    </row>
    <row r="676" spans="1:5" x14ac:dyDescent="0.25">
      <c r="A676" t="s">
        <v>1</v>
      </c>
      <c r="B676" t="s">
        <v>19</v>
      </c>
      <c r="C676" t="s">
        <v>8427</v>
      </c>
      <c r="D676" t="str">
        <f>HYPERLINK("https://rhld.insurance.arkansas.gov/NPILookup?Npi=1083347256","1083347256")</f>
        <v>1083347256</v>
      </c>
      <c r="E676" t="s">
        <v>22889</v>
      </c>
    </row>
    <row r="677" spans="1:5" x14ac:dyDescent="0.25">
      <c r="A677" t="s">
        <v>1</v>
      </c>
      <c r="B677" t="s">
        <v>19</v>
      </c>
      <c r="C677" t="s">
        <v>23490</v>
      </c>
      <c r="D677" t="str">
        <f>HYPERLINK("https://rhld.insurance.arkansas.gov/NPILookup?Npi=1083361604","1083361604")</f>
        <v>1083361604</v>
      </c>
      <c r="E677" t="s">
        <v>19407</v>
      </c>
    </row>
    <row r="678" spans="1:5" x14ac:dyDescent="0.25">
      <c r="A678" t="s">
        <v>1</v>
      </c>
      <c r="B678" t="s">
        <v>19</v>
      </c>
      <c r="C678" t="s">
        <v>23490</v>
      </c>
      <c r="D678" t="str">
        <f>HYPERLINK("https://rhld.insurance.arkansas.gov/NPILookup?Npi=1083368351","1083368351")</f>
        <v>1083368351</v>
      </c>
      <c r="E678" t="s">
        <v>19408</v>
      </c>
    </row>
    <row r="679" spans="1:5" x14ac:dyDescent="0.25">
      <c r="A679" t="s">
        <v>1</v>
      </c>
      <c r="B679" t="s">
        <v>19</v>
      </c>
      <c r="C679" t="s">
        <v>23490</v>
      </c>
      <c r="D679" t="str">
        <f>HYPERLINK("https://rhld.insurance.arkansas.gov/NPILookup?Npi=1083370100","1083370100")</f>
        <v>1083370100</v>
      </c>
      <c r="E679" t="s">
        <v>19409</v>
      </c>
    </row>
    <row r="680" spans="1:5" x14ac:dyDescent="0.25">
      <c r="A680" t="s">
        <v>1</v>
      </c>
      <c r="B680" t="s">
        <v>19</v>
      </c>
      <c r="C680" t="s">
        <v>23490</v>
      </c>
      <c r="D680" t="str">
        <f>HYPERLINK("https://rhld.insurance.arkansas.gov/NPILookup?Npi=1083371686","1083371686")</f>
        <v>1083371686</v>
      </c>
      <c r="E680" t="s">
        <v>20889</v>
      </c>
    </row>
    <row r="681" spans="1:5" x14ac:dyDescent="0.25">
      <c r="A681" t="s">
        <v>1</v>
      </c>
      <c r="B681" t="s">
        <v>19</v>
      </c>
      <c r="C681" t="s">
        <v>23490</v>
      </c>
      <c r="D681" t="str">
        <f>HYPERLINK("https://rhld.insurance.arkansas.gov/NPILookup?Npi=1083601538","1083601538")</f>
        <v>1083601538</v>
      </c>
      <c r="E681" t="s">
        <v>14748</v>
      </c>
    </row>
    <row r="682" spans="1:5" x14ac:dyDescent="0.25">
      <c r="A682" t="s">
        <v>1</v>
      </c>
      <c r="B682" t="s">
        <v>19</v>
      </c>
      <c r="C682" t="s">
        <v>23490</v>
      </c>
      <c r="D682" t="str">
        <f>HYPERLINK("https://rhld.insurance.arkansas.gov/NPILookup?Npi=1083602825","1083602825")</f>
        <v>1083602825</v>
      </c>
      <c r="E682" t="s">
        <v>281</v>
      </c>
    </row>
    <row r="683" spans="1:5" x14ac:dyDescent="0.25">
      <c r="A683" t="s">
        <v>1</v>
      </c>
      <c r="B683" t="s">
        <v>19</v>
      </c>
      <c r="C683" t="s">
        <v>23490</v>
      </c>
      <c r="D683" t="str">
        <f>HYPERLINK("https://rhld.insurance.arkansas.gov/NPILookup?Npi=1083602882","1083602882")</f>
        <v>1083602882</v>
      </c>
      <c r="E683" t="s">
        <v>8470</v>
      </c>
    </row>
    <row r="684" spans="1:5" x14ac:dyDescent="0.25">
      <c r="A684" t="s">
        <v>1</v>
      </c>
      <c r="B684" t="s">
        <v>19</v>
      </c>
      <c r="C684" t="s">
        <v>23490</v>
      </c>
      <c r="D684" t="str">
        <f>HYPERLINK("https://rhld.insurance.arkansas.gov/NPILookup?Npi=1083603369","1083603369")</f>
        <v>1083603369</v>
      </c>
      <c r="E684" t="s">
        <v>282</v>
      </c>
    </row>
    <row r="685" spans="1:5" x14ac:dyDescent="0.25">
      <c r="A685" t="s">
        <v>1</v>
      </c>
      <c r="B685" t="s">
        <v>19</v>
      </c>
      <c r="C685" t="s">
        <v>23490</v>
      </c>
      <c r="D685" t="str">
        <f>HYPERLINK("https://rhld.insurance.arkansas.gov/NPILookup?Npi=1083611057","1083611057")</f>
        <v>1083611057</v>
      </c>
      <c r="E685" t="s">
        <v>283</v>
      </c>
    </row>
    <row r="686" spans="1:5" x14ac:dyDescent="0.25">
      <c r="A686" t="s">
        <v>1</v>
      </c>
      <c r="B686" t="s">
        <v>19</v>
      </c>
      <c r="C686" t="s">
        <v>23490</v>
      </c>
      <c r="D686" t="str">
        <f>HYPERLINK("https://rhld.insurance.arkansas.gov/NPILookup?Npi=1083615348","1083615348")</f>
        <v>1083615348</v>
      </c>
      <c r="E686" t="s">
        <v>284</v>
      </c>
    </row>
    <row r="687" spans="1:5" x14ac:dyDescent="0.25">
      <c r="A687" t="s">
        <v>1</v>
      </c>
      <c r="B687" t="s">
        <v>19</v>
      </c>
      <c r="C687" t="s">
        <v>23490</v>
      </c>
      <c r="D687" t="str">
        <f>HYPERLINK("https://rhld.insurance.arkansas.gov/NPILookup?Npi=1083616080","1083616080")</f>
        <v>1083616080</v>
      </c>
      <c r="E687" t="s">
        <v>285</v>
      </c>
    </row>
    <row r="688" spans="1:5" x14ac:dyDescent="0.25">
      <c r="A688" t="s">
        <v>1</v>
      </c>
      <c r="B688" t="s">
        <v>19</v>
      </c>
      <c r="C688" t="s">
        <v>23490</v>
      </c>
      <c r="D688" t="str">
        <f>HYPERLINK("https://rhld.insurance.arkansas.gov/NPILookup?Npi=1083618953","1083618953")</f>
        <v>1083618953</v>
      </c>
      <c r="E688" t="s">
        <v>286</v>
      </c>
    </row>
    <row r="689" spans="1:5" x14ac:dyDescent="0.25">
      <c r="A689" t="s">
        <v>1</v>
      </c>
      <c r="B689" t="s">
        <v>19</v>
      </c>
      <c r="C689" t="s">
        <v>23490</v>
      </c>
      <c r="D689" t="str">
        <f>HYPERLINK("https://rhld.insurance.arkansas.gov/NPILookup?Npi=1083619589","1083619589")</f>
        <v>1083619589</v>
      </c>
      <c r="E689" t="s">
        <v>287</v>
      </c>
    </row>
    <row r="690" spans="1:5" x14ac:dyDescent="0.25">
      <c r="A690" t="s">
        <v>1</v>
      </c>
      <c r="B690" t="s">
        <v>19</v>
      </c>
      <c r="C690" t="s">
        <v>23490</v>
      </c>
      <c r="D690" t="str">
        <f>HYPERLINK("https://rhld.insurance.arkansas.gov/NPILookup?Npi=1083626998","1083626998")</f>
        <v>1083626998</v>
      </c>
      <c r="E690" t="s">
        <v>289</v>
      </c>
    </row>
    <row r="691" spans="1:5" x14ac:dyDescent="0.25">
      <c r="A691" t="s">
        <v>1</v>
      </c>
      <c r="B691" t="s">
        <v>19</v>
      </c>
      <c r="C691" t="s">
        <v>23490</v>
      </c>
      <c r="D691" t="str">
        <f>HYPERLINK("https://rhld.insurance.arkansas.gov/NPILookup?Npi=1083635577","1083635577")</f>
        <v>1083635577</v>
      </c>
      <c r="E691" t="s">
        <v>8471</v>
      </c>
    </row>
    <row r="692" spans="1:5" x14ac:dyDescent="0.25">
      <c r="A692" t="s">
        <v>1</v>
      </c>
      <c r="B692" t="s">
        <v>19</v>
      </c>
      <c r="C692" t="s">
        <v>23490</v>
      </c>
      <c r="D692" t="str">
        <f>HYPERLINK("https://rhld.insurance.arkansas.gov/NPILookup?Npi=1083641252","1083641252")</f>
        <v>1083641252</v>
      </c>
      <c r="E692" t="s">
        <v>8472</v>
      </c>
    </row>
    <row r="693" spans="1:5" x14ac:dyDescent="0.25">
      <c r="A693" t="s">
        <v>1</v>
      </c>
      <c r="B693" t="s">
        <v>19</v>
      </c>
      <c r="C693" t="s">
        <v>23490</v>
      </c>
      <c r="D693" t="str">
        <f>HYPERLINK("https://rhld.insurance.arkansas.gov/NPILookup?Npi=1083643506","1083643506")</f>
        <v>1083643506</v>
      </c>
      <c r="E693" t="s">
        <v>290</v>
      </c>
    </row>
    <row r="694" spans="1:5" x14ac:dyDescent="0.25">
      <c r="A694" t="s">
        <v>1</v>
      </c>
      <c r="B694" t="s">
        <v>19</v>
      </c>
      <c r="C694" t="s">
        <v>23490</v>
      </c>
      <c r="D694" t="str">
        <f>HYPERLINK("https://rhld.insurance.arkansas.gov/NPILookup?Npi=1083651343","1083651343")</f>
        <v>1083651343</v>
      </c>
      <c r="E694" t="s">
        <v>291</v>
      </c>
    </row>
    <row r="695" spans="1:5" x14ac:dyDescent="0.25">
      <c r="A695" t="s">
        <v>1</v>
      </c>
      <c r="B695" t="s">
        <v>19</v>
      </c>
      <c r="C695" t="s">
        <v>23490</v>
      </c>
      <c r="D695" t="str">
        <f>HYPERLINK("https://rhld.insurance.arkansas.gov/NPILookup?Npi=1083655971","1083655971")</f>
        <v>1083655971</v>
      </c>
      <c r="E695" t="s">
        <v>292</v>
      </c>
    </row>
    <row r="696" spans="1:5" x14ac:dyDescent="0.25">
      <c r="A696" t="s">
        <v>1</v>
      </c>
      <c r="B696" t="s">
        <v>19</v>
      </c>
      <c r="C696" t="s">
        <v>23490</v>
      </c>
      <c r="D696" t="str">
        <f>HYPERLINK("https://rhld.insurance.arkansas.gov/NPILookup?Npi=1083663207","1083663207")</f>
        <v>1083663207</v>
      </c>
      <c r="E696" t="s">
        <v>293</v>
      </c>
    </row>
    <row r="697" spans="1:5" x14ac:dyDescent="0.25">
      <c r="A697" t="s">
        <v>1</v>
      </c>
      <c r="B697" t="s">
        <v>19</v>
      </c>
      <c r="C697" t="s">
        <v>23490</v>
      </c>
      <c r="D697" t="str">
        <f>HYPERLINK("https://rhld.insurance.arkansas.gov/NPILookup?Npi=1083664890","1083664890")</f>
        <v>1083664890</v>
      </c>
      <c r="E697" t="s">
        <v>294</v>
      </c>
    </row>
    <row r="698" spans="1:5" x14ac:dyDescent="0.25">
      <c r="A698" t="s">
        <v>1</v>
      </c>
      <c r="B698" t="s">
        <v>19</v>
      </c>
      <c r="C698" t="s">
        <v>23490</v>
      </c>
      <c r="D698" t="str">
        <f>HYPERLINK("https://rhld.insurance.arkansas.gov/NPILookup?Npi=1083666234","1083666234")</f>
        <v>1083666234</v>
      </c>
      <c r="E698" t="s">
        <v>295</v>
      </c>
    </row>
    <row r="699" spans="1:5" x14ac:dyDescent="0.25">
      <c r="A699" t="s">
        <v>1</v>
      </c>
      <c r="B699" t="s">
        <v>19</v>
      </c>
      <c r="C699" t="s">
        <v>23490</v>
      </c>
      <c r="D699" t="str">
        <f>HYPERLINK("https://rhld.insurance.arkansas.gov/NPILookup?Npi=1083670095","1083670095")</f>
        <v>1083670095</v>
      </c>
      <c r="E699" t="s">
        <v>12772</v>
      </c>
    </row>
    <row r="700" spans="1:5" x14ac:dyDescent="0.25">
      <c r="A700" t="s">
        <v>1</v>
      </c>
      <c r="B700" t="s">
        <v>19</v>
      </c>
      <c r="C700" t="s">
        <v>23490</v>
      </c>
      <c r="D700" t="str">
        <f>HYPERLINK("https://rhld.insurance.arkansas.gov/NPILookup?Npi=1083670566","1083670566")</f>
        <v>1083670566</v>
      </c>
      <c r="E700" t="s">
        <v>296</v>
      </c>
    </row>
    <row r="701" spans="1:5" x14ac:dyDescent="0.25">
      <c r="A701" t="s">
        <v>1</v>
      </c>
      <c r="B701" t="s">
        <v>19</v>
      </c>
      <c r="C701" t="s">
        <v>23490</v>
      </c>
      <c r="D701" t="str">
        <f>HYPERLINK("https://rhld.insurance.arkansas.gov/NPILookup?Npi=1083670830","1083670830")</f>
        <v>1083670830</v>
      </c>
      <c r="E701" t="s">
        <v>297</v>
      </c>
    </row>
    <row r="702" spans="1:5" x14ac:dyDescent="0.25">
      <c r="A702" t="s">
        <v>1</v>
      </c>
      <c r="B702" t="s">
        <v>19</v>
      </c>
      <c r="C702" t="s">
        <v>23490</v>
      </c>
      <c r="D702" t="str">
        <f>HYPERLINK("https://rhld.insurance.arkansas.gov/NPILookup?Npi=1083675284","1083675284")</f>
        <v>1083675284</v>
      </c>
      <c r="E702" t="s">
        <v>298</v>
      </c>
    </row>
    <row r="703" spans="1:5" x14ac:dyDescent="0.25">
      <c r="A703" t="s">
        <v>1</v>
      </c>
      <c r="B703" t="s">
        <v>19</v>
      </c>
      <c r="C703" t="s">
        <v>23490</v>
      </c>
      <c r="D703" t="str">
        <f>HYPERLINK("https://rhld.insurance.arkansas.gov/NPILookup?Npi=1083684740","1083684740")</f>
        <v>1083684740</v>
      </c>
      <c r="E703" t="s">
        <v>19410</v>
      </c>
    </row>
    <row r="704" spans="1:5" x14ac:dyDescent="0.25">
      <c r="A704" t="s">
        <v>1</v>
      </c>
      <c r="B704" t="s">
        <v>19</v>
      </c>
      <c r="C704" t="s">
        <v>23490</v>
      </c>
      <c r="D704" t="str">
        <f>HYPERLINK("https://rhld.insurance.arkansas.gov/NPILookup?Npi=1083685416","1083685416")</f>
        <v>1083685416</v>
      </c>
      <c r="E704" t="s">
        <v>300</v>
      </c>
    </row>
    <row r="705" spans="1:5" x14ac:dyDescent="0.25">
      <c r="A705" t="s">
        <v>1</v>
      </c>
      <c r="B705" t="s">
        <v>19</v>
      </c>
      <c r="C705" t="s">
        <v>23490</v>
      </c>
      <c r="D705" t="str">
        <f>HYPERLINK("https://rhld.insurance.arkansas.gov/NPILookup?Npi=1083689855","1083689855")</f>
        <v>1083689855</v>
      </c>
      <c r="E705" t="s">
        <v>301</v>
      </c>
    </row>
    <row r="706" spans="1:5" x14ac:dyDescent="0.25">
      <c r="A706" t="s">
        <v>1</v>
      </c>
      <c r="B706" t="s">
        <v>19</v>
      </c>
      <c r="C706" t="s">
        <v>23490</v>
      </c>
      <c r="D706" t="str">
        <f>HYPERLINK("https://rhld.insurance.arkansas.gov/NPILookup?Npi=1083692677","1083692677")</f>
        <v>1083692677</v>
      </c>
      <c r="E706" t="s">
        <v>302</v>
      </c>
    </row>
    <row r="707" spans="1:5" x14ac:dyDescent="0.25">
      <c r="A707" t="s">
        <v>1</v>
      </c>
      <c r="B707" t="s">
        <v>19</v>
      </c>
      <c r="C707" t="s">
        <v>23490</v>
      </c>
      <c r="D707" t="str">
        <f>HYPERLINK("https://rhld.insurance.arkansas.gov/NPILookup?Npi=1083694806","1083694806")</f>
        <v>1083694806</v>
      </c>
      <c r="E707" t="s">
        <v>10642</v>
      </c>
    </row>
    <row r="708" spans="1:5" x14ac:dyDescent="0.25">
      <c r="A708" t="s">
        <v>1</v>
      </c>
      <c r="B708" t="s">
        <v>19</v>
      </c>
      <c r="C708" t="s">
        <v>23490</v>
      </c>
      <c r="D708" t="str">
        <f>HYPERLINK("https://rhld.insurance.arkansas.gov/NPILookup?Npi=1083703896","1083703896")</f>
        <v>1083703896</v>
      </c>
      <c r="E708" t="s">
        <v>303</v>
      </c>
    </row>
    <row r="709" spans="1:5" x14ac:dyDescent="0.25">
      <c r="A709" t="s">
        <v>1</v>
      </c>
      <c r="B709" t="s">
        <v>19</v>
      </c>
      <c r="C709" t="s">
        <v>23490</v>
      </c>
      <c r="D709" t="str">
        <f>HYPERLINK("https://rhld.insurance.arkansas.gov/NPILookup?Npi=1083714117","1083714117")</f>
        <v>1083714117</v>
      </c>
      <c r="E709" t="s">
        <v>304</v>
      </c>
    </row>
    <row r="710" spans="1:5" x14ac:dyDescent="0.25">
      <c r="A710" t="s">
        <v>1</v>
      </c>
      <c r="B710" t="s">
        <v>19</v>
      </c>
      <c r="C710" t="s">
        <v>23490</v>
      </c>
      <c r="D710" t="str">
        <f>HYPERLINK("https://rhld.insurance.arkansas.gov/NPILookup?Npi=1083719199","1083719199")</f>
        <v>1083719199</v>
      </c>
      <c r="E710" t="s">
        <v>305</v>
      </c>
    </row>
    <row r="711" spans="1:5" x14ac:dyDescent="0.25">
      <c r="A711" t="s">
        <v>1</v>
      </c>
      <c r="B711" t="s">
        <v>19</v>
      </c>
      <c r="C711" t="s">
        <v>23490</v>
      </c>
      <c r="D711" t="str">
        <f>HYPERLINK("https://rhld.insurance.arkansas.gov/NPILookup?Npi=1083756803","1083756803")</f>
        <v>1083756803</v>
      </c>
      <c r="E711" t="s">
        <v>306</v>
      </c>
    </row>
    <row r="712" spans="1:5" x14ac:dyDescent="0.25">
      <c r="A712" t="s">
        <v>1</v>
      </c>
      <c r="B712" t="s">
        <v>19</v>
      </c>
      <c r="C712" t="s">
        <v>23490</v>
      </c>
      <c r="D712" t="str">
        <f>HYPERLINK("https://rhld.insurance.arkansas.gov/NPILookup?Npi=1083768618","1083768618")</f>
        <v>1083768618</v>
      </c>
      <c r="E712" t="s">
        <v>2588</v>
      </c>
    </row>
    <row r="713" spans="1:5" x14ac:dyDescent="0.25">
      <c r="A713" t="s">
        <v>1</v>
      </c>
      <c r="B713" t="s">
        <v>19</v>
      </c>
      <c r="C713" t="s">
        <v>23490</v>
      </c>
      <c r="D713" t="str">
        <f>HYPERLINK("https://rhld.insurance.arkansas.gov/NPILookup?Npi=1083779235","1083779235")</f>
        <v>1083779235</v>
      </c>
      <c r="E713" t="s">
        <v>307</v>
      </c>
    </row>
    <row r="714" spans="1:5" x14ac:dyDescent="0.25">
      <c r="A714" t="s">
        <v>1</v>
      </c>
      <c r="B714" t="s">
        <v>19</v>
      </c>
      <c r="C714" t="s">
        <v>23490</v>
      </c>
      <c r="D714" t="str">
        <f>HYPERLINK("https://rhld.insurance.arkansas.gov/NPILookup?Npi=1083783187","1083783187")</f>
        <v>1083783187</v>
      </c>
      <c r="E714" t="s">
        <v>308</v>
      </c>
    </row>
    <row r="715" spans="1:5" x14ac:dyDescent="0.25">
      <c r="A715" t="s">
        <v>1</v>
      </c>
      <c r="B715" t="s">
        <v>19</v>
      </c>
      <c r="C715" t="s">
        <v>23490</v>
      </c>
      <c r="D715" t="str">
        <f>HYPERLINK("https://rhld.insurance.arkansas.gov/NPILookup?Npi=1083795215","1083795215")</f>
        <v>1083795215</v>
      </c>
      <c r="E715" t="s">
        <v>12773</v>
      </c>
    </row>
    <row r="716" spans="1:5" x14ac:dyDescent="0.25">
      <c r="A716" t="s">
        <v>1</v>
      </c>
      <c r="B716" t="s">
        <v>19</v>
      </c>
      <c r="C716" t="s">
        <v>23490</v>
      </c>
      <c r="D716" t="str">
        <f>HYPERLINK("https://rhld.insurance.arkansas.gov/NPILookup?Npi=1083808067","1083808067")</f>
        <v>1083808067</v>
      </c>
      <c r="E716" t="s">
        <v>309</v>
      </c>
    </row>
    <row r="717" spans="1:5" x14ac:dyDescent="0.25">
      <c r="A717" t="s">
        <v>1</v>
      </c>
      <c r="B717" t="s">
        <v>19</v>
      </c>
      <c r="C717" t="s">
        <v>23490</v>
      </c>
      <c r="D717" t="str">
        <f>HYPERLINK("https://rhld.insurance.arkansas.gov/NPILookup?Npi=1083832448","1083832448")</f>
        <v>1083832448</v>
      </c>
      <c r="E717" t="s">
        <v>310</v>
      </c>
    </row>
    <row r="718" spans="1:5" x14ac:dyDescent="0.25">
      <c r="A718" t="s">
        <v>1</v>
      </c>
      <c r="B718" t="s">
        <v>19</v>
      </c>
      <c r="C718" t="s">
        <v>23490</v>
      </c>
      <c r="D718" t="str">
        <f>HYPERLINK("https://rhld.insurance.arkansas.gov/NPILookup?Npi=1083849772","1083849772")</f>
        <v>1083849772</v>
      </c>
      <c r="E718" t="s">
        <v>311</v>
      </c>
    </row>
    <row r="719" spans="1:5" x14ac:dyDescent="0.25">
      <c r="A719" t="s">
        <v>1</v>
      </c>
      <c r="B719" t="s">
        <v>19</v>
      </c>
      <c r="C719" t="s">
        <v>23490</v>
      </c>
      <c r="D719" t="str">
        <f>HYPERLINK("https://rhld.insurance.arkansas.gov/NPILookup?Npi=1083867444","1083867444")</f>
        <v>1083867444</v>
      </c>
      <c r="E719" t="s">
        <v>21461</v>
      </c>
    </row>
    <row r="720" spans="1:5" x14ac:dyDescent="0.25">
      <c r="A720" t="s">
        <v>1</v>
      </c>
      <c r="B720" t="s">
        <v>19</v>
      </c>
      <c r="C720" t="s">
        <v>23490</v>
      </c>
      <c r="D720" t="str">
        <f>HYPERLINK("https://rhld.insurance.arkansas.gov/NPILookup?Npi=1083873590","1083873590")</f>
        <v>1083873590</v>
      </c>
      <c r="E720" t="s">
        <v>312</v>
      </c>
    </row>
    <row r="721" spans="1:5" x14ac:dyDescent="0.25">
      <c r="A721" t="s">
        <v>1</v>
      </c>
      <c r="B721" t="s">
        <v>19</v>
      </c>
      <c r="C721" t="s">
        <v>23490</v>
      </c>
      <c r="D721" t="str">
        <f>HYPERLINK("https://rhld.insurance.arkansas.gov/NPILookup?Npi=1083889794","1083889794")</f>
        <v>1083889794</v>
      </c>
      <c r="E721" t="s">
        <v>313</v>
      </c>
    </row>
    <row r="722" spans="1:5" x14ac:dyDescent="0.25">
      <c r="A722" t="s">
        <v>1</v>
      </c>
      <c r="B722" t="s">
        <v>19</v>
      </c>
      <c r="C722" t="s">
        <v>23490</v>
      </c>
      <c r="D722" t="str">
        <f>HYPERLINK("https://rhld.insurance.arkansas.gov/NPILookup?Npi=1083893036","1083893036")</f>
        <v>1083893036</v>
      </c>
      <c r="E722" t="s">
        <v>314</v>
      </c>
    </row>
    <row r="723" spans="1:5" x14ac:dyDescent="0.25">
      <c r="A723" t="s">
        <v>1</v>
      </c>
      <c r="B723" t="s">
        <v>19</v>
      </c>
      <c r="C723" t="s">
        <v>23490</v>
      </c>
      <c r="D723" t="str">
        <f>HYPERLINK("https://rhld.insurance.arkansas.gov/NPILookup?Npi=1083898803","1083898803")</f>
        <v>1083898803</v>
      </c>
      <c r="E723" t="s">
        <v>315</v>
      </c>
    </row>
    <row r="724" spans="1:5" x14ac:dyDescent="0.25">
      <c r="A724" t="s">
        <v>1</v>
      </c>
      <c r="B724" t="s">
        <v>19</v>
      </c>
      <c r="C724" t="s">
        <v>23490</v>
      </c>
      <c r="D724" t="str">
        <f>HYPERLINK("https://rhld.insurance.arkansas.gov/NPILookup?Npi=1083919427","1083919427")</f>
        <v>1083919427</v>
      </c>
      <c r="E724" t="s">
        <v>8473</v>
      </c>
    </row>
    <row r="725" spans="1:5" x14ac:dyDescent="0.25">
      <c r="A725" t="s">
        <v>1</v>
      </c>
      <c r="B725" t="s">
        <v>19</v>
      </c>
      <c r="C725" t="s">
        <v>23490</v>
      </c>
      <c r="D725" t="str">
        <f>HYPERLINK("https://rhld.insurance.arkansas.gov/NPILookup?Npi=1083920086","1083920086")</f>
        <v>1083920086</v>
      </c>
      <c r="E725" t="s">
        <v>17385</v>
      </c>
    </row>
    <row r="726" spans="1:5" x14ac:dyDescent="0.25">
      <c r="A726" t="s">
        <v>1</v>
      </c>
      <c r="B726" t="s">
        <v>19</v>
      </c>
      <c r="C726" t="s">
        <v>23490</v>
      </c>
      <c r="D726" t="str">
        <f>HYPERLINK("https://rhld.insurance.arkansas.gov/NPILookup?Npi=1083920441","1083920441")</f>
        <v>1083920441</v>
      </c>
      <c r="E726" t="s">
        <v>13359</v>
      </c>
    </row>
    <row r="727" spans="1:5" x14ac:dyDescent="0.25">
      <c r="A727" t="s">
        <v>1</v>
      </c>
      <c r="B727" t="s">
        <v>19</v>
      </c>
      <c r="C727" t="s">
        <v>23490</v>
      </c>
      <c r="D727" t="str">
        <f>HYPERLINK("https://rhld.insurance.arkansas.gov/NPILookup?Npi=1083925994","1083925994")</f>
        <v>1083925994</v>
      </c>
      <c r="E727" t="s">
        <v>22890</v>
      </c>
    </row>
    <row r="728" spans="1:5" x14ac:dyDescent="0.25">
      <c r="A728" t="s">
        <v>1</v>
      </c>
      <c r="B728" t="s">
        <v>19</v>
      </c>
      <c r="C728" t="s">
        <v>23490</v>
      </c>
      <c r="D728" t="str">
        <f>HYPERLINK("https://rhld.insurance.arkansas.gov/NPILookup?Npi=1083931331","1083931331")</f>
        <v>1083931331</v>
      </c>
      <c r="E728" t="s">
        <v>316</v>
      </c>
    </row>
    <row r="729" spans="1:5" x14ac:dyDescent="0.25">
      <c r="A729" t="s">
        <v>1</v>
      </c>
      <c r="B729" t="s">
        <v>19</v>
      </c>
      <c r="C729" t="s">
        <v>23490</v>
      </c>
      <c r="D729" t="str">
        <f>HYPERLINK("https://rhld.insurance.arkansas.gov/NPILookup?Npi=1083933055","1083933055")</f>
        <v>1083933055</v>
      </c>
      <c r="E729" t="s">
        <v>317</v>
      </c>
    </row>
    <row r="730" spans="1:5" x14ac:dyDescent="0.25">
      <c r="A730" t="s">
        <v>1</v>
      </c>
      <c r="B730" t="s">
        <v>19</v>
      </c>
      <c r="C730" t="s">
        <v>23490</v>
      </c>
      <c r="D730" t="str">
        <f>HYPERLINK("https://rhld.insurance.arkansas.gov/NPILookup?Npi=1083934632","1083934632")</f>
        <v>1083934632</v>
      </c>
      <c r="E730" t="s">
        <v>318</v>
      </c>
    </row>
    <row r="731" spans="1:5" x14ac:dyDescent="0.25">
      <c r="A731" t="s">
        <v>1</v>
      </c>
      <c r="B731" t="s">
        <v>19</v>
      </c>
      <c r="C731" t="s">
        <v>23490</v>
      </c>
      <c r="D731" t="str">
        <f>HYPERLINK("https://rhld.insurance.arkansas.gov/NPILookup?Npi=1083957641","1083957641")</f>
        <v>1083957641</v>
      </c>
      <c r="E731" t="s">
        <v>10643</v>
      </c>
    </row>
    <row r="732" spans="1:5" x14ac:dyDescent="0.25">
      <c r="A732" t="s">
        <v>1</v>
      </c>
      <c r="B732" t="s">
        <v>19</v>
      </c>
      <c r="C732" t="s">
        <v>23490</v>
      </c>
      <c r="D732" t="str">
        <f>HYPERLINK("https://rhld.insurance.arkansas.gov/NPILookup?Npi=1083959266","1083959266")</f>
        <v>1083959266</v>
      </c>
      <c r="E732" t="s">
        <v>320</v>
      </c>
    </row>
    <row r="733" spans="1:5" x14ac:dyDescent="0.25">
      <c r="A733" t="s">
        <v>1</v>
      </c>
      <c r="B733" t="s">
        <v>19</v>
      </c>
      <c r="C733" t="s">
        <v>23490</v>
      </c>
      <c r="D733" t="str">
        <f>HYPERLINK("https://rhld.insurance.arkansas.gov/NPILookup?Npi=1083976534","1083976534")</f>
        <v>1083976534</v>
      </c>
      <c r="E733" t="s">
        <v>13360</v>
      </c>
    </row>
    <row r="734" spans="1:5" x14ac:dyDescent="0.25">
      <c r="A734" t="s">
        <v>1</v>
      </c>
      <c r="B734" t="s">
        <v>19</v>
      </c>
      <c r="C734" t="s">
        <v>23490</v>
      </c>
      <c r="D734" t="str">
        <f>HYPERLINK("https://rhld.insurance.arkansas.gov/NPILookup?Npi=1093002313","1093002313")</f>
        <v>1093002313</v>
      </c>
      <c r="E734" t="s">
        <v>321</v>
      </c>
    </row>
    <row r="735" spans="1:5" x14ac:dyDescent="0.25">
      <c r="A735" t="s">
        <v>1</v>
      </c>
      <c r="B735" t="s">
        <v>19</v>
      </c>
      <c r="C735" t="s">
        <v>23490</v>
      </c>
      <c r="D735" t="str">
        <f>HYPERLINK("https://rhld.insurance.arkansas.gov/NPILookup?Npi=1093002743","1093002743")</f>
        <v>1093002743</v>
      </c>
      <c r="E735" t="s">
        <v>18665</v>
      </c>
    </row>
    <row r="736" spans="1:5" x14ac:dyDescent="0.25">
      <c r="A736" t="s">
        <v>1</v>
      </c>
      <c r="B736" t="s">
        <v>19</v>
      </c>
      <c r="C736" t="s">
        <v>23490</v>
      </c>
      <c r="D736" t="str">
        <f>HYPERLINK("https://rhld.insurance.arkansas.gov/NPILookup?Npi=1093021826","1093021826")</f>
        <v>1093021826</v>
      </c>
      <c r="E736" t="s">
        <v>322</v>
      </c>
    </row>
    <row r="737" spans="1:5" x14ac:dyDescent="0.25">
      <c r="A737" t="s">
        <v>1</v>
      </c>
      <c r="B737" t="s">
        <v>19</v>
      </c>
      <c r="C737" t="s">
        <v>23490</v>
      </c>
      <c r="D737" t="str">
        <f>HYPERLINK("https://rhld.insurance.arkansas.gov/NPILookup?Npi=1093023426","1093023426")</f>
        <v>1093023426</v>
      </c>
      <c r="E737" t="s">
        <v>323</v>
      </c>
    </row>
    <row r="738" spans="1:5" x14ac:dyDescent="0.25">
      <c r="A738" t="s">
        <v>1</v>
      </c>
      <c r="B738" t="s">
        <v>19</v>
      </c>
      <c r="C738" t="s">
        <v>23490</v>
      </c>
      <c r="D738" t="str">
        <f>HYPERLINK("https://rhld.insurance.arkansas.gov/NPILookup?Npi=1093030918","1093030918")</f>
        <v>1093030918</v>
      </c>
      <c r="E738" t="s">
        <v>324</v>
      </c>
    </row>
    <row r="739" spans="1:5" x14ac:dyDescent="0.25">
      <c r="A739" t="s">
        <v>1</v>
      </c>
      <c r="B739" t="s">
        <v>19</v>
      </c>
      <c r="C739" t="s">
        <v>23490</v>
      </c>
      <c r="D739" t="str">
        <f>HYPERLINK("https://rhld.insurance.arkansas.gov/NPILookup?Npi=1093031619","1093031619")</f>
        <v>1093031619</v>
      </c>
      <c r="E739" t="s">
        <v>325</v>
      </c>
    </row>
    <row r="740" spans="1:5" x14ac:dyDescent="0.25">
      <c r="A740" t="s">
        <v>1</v>
      </c>
      <c r="B740" t="s">
        <v>19</v>
      </c>
      <c r="C740" t="s">
        <v>23490</v>
      </c>
      <c r="D740" t="str">
        <f>HYPERLINK("https://rhld.insurance.arkansas.gov/NPILookup?Npi=1093037632","1093037632")</f>
        <v>1093037632</v>
      </c>
      <c r="E740" t="s">
        <v>20890</v>
      </c>
    </row>
    <row r="741" spans="1:5" x14ac:dyDescent="0.25">
      <c r="A741" t="s">
        <v>1</v>
      </c>
      <c r="B741" t="s">
        <v>19</v>
      </c>
      <c r="C741" t="s">
        <v>23490</v>
      </c>
      <c r="D741" t="str">
        <f>HYPERLINK("https://rhld.insurance.arkansas.gov/NPILookup?Npi=1093054462","1093054462")</f>
        <v>1093054462</v>
      </c>
      <c r="E741" t="s">
        <v>326</v>
      </c>
    </row>
    <row r="742" spans="1:5" x14ac:dyDescent="0.25">
      <c r="A742" t="s">
        <v>1</v>
      </c>
      <c r="B742" t="s">
        <v>19</v>
      </c>
      <c r="C742" t="s">
        <v>23490</v>
      </c>
      <c r="D742" t="str">
        <f>HYPERLINK("https://rhld.insurance.arkansas.gov/NPILookup?Npi=1093088023","1093088023")</f>
        <v>1093088023</v>
      </c>
      <c r="E742" t="s">
        <v>13361</v>
      </c>
    </row>
    <row r="743" spans="1:5" x14ac:dyDescent="0.25">
      <c r="A743" t="s">
        <v>1</v>
      </c>
      <c r="B743" t="s">
        <v>19</v>
      </c>
      <c r="C743" t="s">
        <v>23490</v>
      </c>
      <c r="D743" t="str">
        <f>HYPERLINK("https://rhld.insurance.arkansas.gov/NPILookup?Npi=1093104895","1093104895")</f>
        <v>1093104895</v>
      </c>
      <c r="E743" t="s">
        <v>327</v>
      </c>
    </row>
    <row r="744" spans="1:5" x14ac:dyDescent="0.25">
      <c r="A744" t="s">
        <v>1</v>
      </c>
      <c r="B744" t="s">
        <v>19</v>
      </c>
      <c r="C744" t="s">
        <v>23490</v>
      </c>
      <c r="D744" t="str">
        <f>HYPERLINK("https://rhld.insurance.arkansas.gov/NPILookup?Npi=1093105918","1093105918")</f>
        <v>1093105918</v>
      </c>
      <c r="E744" t="s">
        <v>328</v>
      </c>
    </row>
    <row r="745" spans="1:5" x14ac:dyDescent="0.25">
      <c r="A745" t="s">
        <v>1</v>
      </c>
      <c r="B745" t="s">
        <v>19</v>
      </c>
      <c r="C745" t="s">
        <v>23490</v>
      </c>
      <c r="D745" t="str">
        <f>HYPERLINK("https://rhld.insurance.arkansas.gov/NPILookup?Npi=1093106072","1093106072")</f>
        <v>1093106072</v>
      </c>
      <c r="E745" t="s">
        <v>12774</v>
      </c>
    </row>
    <row r="746" spans="1:5" x14ac:dyDescent="0.25">
      <c r="A746" t="s">
        <v>1</v>
      </c>
      <c r="B746" t="s">
        <v>19</v>
      </c>
      <c r="C746" t="s">
        <v>23490</v>
      </c>
      <c r="D746" t="str">
        <f>HYPERLINK("https://rhld.insurance.arkansas.gov/NPILookup?Npi=1093127284","1093127284")</f>
        <v>1093127284</v>
      </c>
      <c r="E746" t="s">
        <v>10645</v>
      </c>
    </row>
    <row r="747" spans="1:5" x14ac:dyDescent="0.25">
      <c r="A747" t="s">
        <v>1</v>
      </c>
      <c r="B747" t="s">
        <v>19</v>
      </c>
      <c r="C747" t="s">
        <v>23490</v>
      </c>
      <c r="D747" t="str">
        <f>HYPERLINK("https://rhld.insurance.arkansas.gov/NPILookup?Npi=1093130098","1093130098")</f>
        <v>1093130098</v>
      </c>
      <c r="E747" t="s">
        <v>10646</v>
      </c>
    </row>
    <row r="748" spans="1:5" x14ac:dyDescent="0.25">
      <c r="A748" t="s">
        <v>1</v>
      </c>
      <c r="B748" t="s">
        <v>19</v>
      </c>
      <c r="C748" t="s">
        <v>23490</v>
      </c>
      <c r="D748" t="str">
        <f>HYPERLINK("https://rhld.insurance.arkansas.gov/NPILookup?Npi=1093139214","1093139214")</f>
        <v>1093139214</v>
      </c>
      <c r="E748" t="s">
        <v>329</v>
      </c>
    </row>
    <row r="749" spans="1:5" x14ac:dyDescent="0.25">
      <c r="A749" t="s">
        <v>1</v>
      </c>
      <c r="B749" t="s">
        <v>19</v>
      </c>
      <c r="C749" t="s">
        <v>23490</v>
      </c>
      <c r="D749" t="str">
        <f>HYPERLINK("https://rhld.insurance.arkansas.gov/NPILookup?Npi=1093161069","1093161069")</f>
        <v>1093161069</v>
      </c>
      <c r="E749" t="s">
        <v>8476</v>
      </c>
    </row>
    <row r="750" spans="1:5" x14ac:dyDescent="0.25">
      <c r="A750" t="s">
        <v>1</v>
      </c>
      <c r="B750" t="s">
        <v>19</v>
      </c>
      <c r="C750" t="s">
        <v>23490</v>
      </c>
      <c r="D750" t="str">
        <f>HYPERLINK("https://rhld.insurance.arkansas.gov/NPILookup?Npi=1093161838","1093161838")</f>
        <v>1093161838</v>
      </c>
      <c r="E750" t="s">
        <v>19411</v>
      </c>
    </row>
    <row r="751" spans="1:5" x14ac:dyDescent="0.25">
      <c r="A751" t="s">
        <v>1</v>
      </c>
      <c r="B751" t="s">
        <v>19</v>
      </c>
      <c r="C751" t="s">
        <v>23490</v>
      </c>
      <c r="D751" t="str">
        <f>HYPERLINK("https://rhld.insurance.arkansas.gov/NPILookup?Npi=1093165953","1093165953")</f>
        <v>1093165953</v>
      </c>
      <c r="E751" t="s">
        <v>18666</v>
      </c>
    </row>
    <row r="752" spans="1:5" x14ac:dyDescent="0.25">
      <c r="A752" t="s">
        <v>1</v>
      </c>
      <c r="B752" t="s">
        <v>19</v>
      </c>
      <c r="C752" t="s">
        <v>23490</v>
      </c>
      <c r="D752" t="str">
        <f>HYPERLINK("https://rhld.insurance.arkansas.gov/NPILookup?Npi=1093173643","1093173643")</f>
        <v>1093173643</v>
      </c>
      <c r="E752" t="s">
        <v>10647</v>
      </c>
    </row>
    <row r="753" spans="1:5" x14ac:dyDescent="0.25">
      <c r="A753" t="s">
        <v>1</v>
      </c>
      <c r="B753" t="s">
        <v>19</v>
      </c>
      <c r="C753" t="s">
        <v>23490</v>
      </c>
      <c r="D753" t="str">
        <f>HYPERLINK("https://rhld.insurance.arkansas.gov/NPILookup?Npi=1093174005","1093174005")</f>
        <v>1093174005</v>
      </c>
      <c r="E753" t="s">
        <v>13362</v>
      </c>
    </row>
    <row r="754" spans="1:5" x14ac:dyDescent="0.25">
      <c r="A754" t="s">
        <v>1</v>
      </c>
      <c r="B754" t="s">
        <v>19</v>
      </c>
      <c r="C754" t="s">
        <v>23490</v>
      </c>
      <c r="D754" t="str">
        <f>HYPERLINK("https://rhld.insurance.arkansas.gov/NPILookup?Npi=1093174278","1093174278")</f>
        <v>1093174278</v>
      </c>
      <c r="E754" t="s">
        <v>8477</v>
      </c>
    </row>
    <row r="755" spans="1:5" x14ac:dyDescent="0.25">
      <c r="A755" t="s">
        <v>1</v>
      </c>
      <c r="B755" t="s">
        <v>19</v>
      </c>
      <c r="C755" t="s">
        <v>23490</v>
      </c>
      <c r="D755" t="str">
        <f>HYPERLINK("https://rhld.insurance.arkansas.gov/NPILookup?Npi=1093181794","1093181794")</f>
        <v>1093181794</v>
      </c>
      <c r="E755" t="s">
        <v>19412</v>
      </c>
    </row>
    <row r="756" spans="1:5" x14ac:dyDescent="0.25">
      <c r="A756" t="s">
        <v>1</v>
      </c>
      <c r="B756" t="s">
        <v>19</v>
      </c>
      <c r="C756" t="s">
        <v>23490</v>
      </c>
      <c r="D756" t="str">
        <f>HYPERLINK("https://rhld.insurance.arkansas.gov/NPILookup?Npi=1093190365","1093190365")</f>
        <v>1093190365</v>
      </c>
      <c r="E756" t="s">
        <v>330</v>
      </c>
    </row>
    <row r="757" spans="1:5" x14ac:dyDescent="0.25">
      <c r="A757" t="s">
        <v>1</v>
      </c>
      <c r="B757" t="s">
        <v>19</v>
      </c>
      <c r="C757" t="s">
        <v>23490</v>
      </c>
      <c r="D757" t="str">
        <f>HYPERLINK("https://rhld.insurance.arkansas.gov/NPILookup?Npi=1093191025","1093191025")</f>
        <v>1093191025</v>
      </c>
      <c r="E757" t="s">
        <v>4658</v>
      </c>
    </row>
    <row r="758" spans="1:5" x14ac:dyDescent="0.25">
      <c r="A758" t="s">
        <v>1</v>
      </c>
      <c r="B758" t="s">
        <v>19</v>
      </c>
      <c r="C758" t="s">
        <v>23490</v>
      </c>
      <c r="D758" t="str">
        <f>HYPERLINK("https://rhld.insurance.arkansas.gov/NPILookup?Npi=1093191819","1093191819")</f>
        <v>1093191819</v>
      </c>
      <c r="E758" t="s">
        <v>10648</v>
      </c>
    </row>
    <row r="759" spans="1:5" x14ac:dyDescent="0.25">
      <c r="A759" t="s">
        <v>1</v>
      </c>
      <c r="B759" t="s">
        <v>19</v>
      </c>
      <c r="C759" t="s">
        <v>23490</v>
      </c>
      <c r="D759" t="str">
        <f>HYPERLINK("https://rhld.insurance.arkansas.gov/NPILookup?Npi=1093193823","1093193823")</f>
        <v>1093193823</v>
      </c>
      <c r="E759" t="s">
        <v>331</v>
      </c>
    </row>
    <row r="760" spans="1:5" x14ac:dyDescent="0.25">
      <c r="A760" t="s">
        <v>1</v>
      </c>
      <c r="B760" t="s">
        <v>19</v>
      </c>
      <c r="C760" t="s">
        <v>23490</v>
      </c>
      <c r="D760" t="str">
        <f>HYPERLINK("https://rhld.insurance.arkansas.gov/NPILookup?Npi=1093195885","1093195885")</f>
        <v>1093195885</v>
      </c>
      <c r="E760" t="s">
        <v>332</v>
      </c>
    </row>
    <row r="761" spans="1:5" x14ac:dyDescent="0.25">
      <c r="A761" t="s">
        <v>1</v>
      </c>
      <c r="B761" t="s">
        <v>19</v>
      </c>
      <c r="C761" t="s">
        <v>23490</v>
      </c>
      <c r="D761" t="str">
        <f>HYPERLINK("https://rhld.insurance.arkansas.gov/NPILookup?Npi=1093211773","1093211773")</f>
        <v>1093211773</v>
      </c>
      <c r="E761" t="s">
        <v>21368</v>
      </c>
    </row>
    <row r="762" spans="1:5" x14ac:dyDescent="0.25">
      <c r="A762" t="s">
        <v>1</v>
      </c>
      <c r="B762" t="s">
        <v>19</v>
      </c>
      <c r="C762" t="s">
        <v>23490</v>
      </c>
      <c r="D762" t="str">
        <f>HYPERLINK("https://rhld.insurance.arkansas.gov/NPILookup?Npi=1093215840","1093215840")</f>
        <v>1093215840</v>
      </c>
      <c r="E762" t="s">
        <v>19413</v>
      </c>
    </row>
    <row r="763" spans="1:5" x14ac:dyDescent="0.25">
      <c r="A763" t="s">
        <v>1</v>
      </c>
      <c r="B763" t="s">
        <v>19</v>
      </c>
      <c r="C763" t="s">
        <v>23490</v>
      </c>
      <c r="D763" t="str">
        <f>HYPERLINK("https://rhld.insurance.arkansas.gov/NPILookup?Npi=1093218042","1093218042")</f>
        <v>1093218042</v>
      </c>
      <c r="E763" t="s">
        <v>19414</v>
      </c>
    </row>
    <row r="764" spans="1:5" x14ac:dyDescent="0.25">
      <c r="A764" t="s">
        <v>1</v>
      </c>
      <c r="B764" t="s">
        <v>19</v>
      </c>
      <c r="C764" t="s">
        <v>23490</v>
      </c>
      <c r="D764" t="str">
        <f>HYPERLINK("https://rhld.insurance.arkansas.gov/NPILookup?Npi=1093225815","1093225815")</f>
        <v>1093225815</v>
      </c>
      <c r="E764" t="s">
        <v>17851</v>
      </c>
    </row>
    <row r="765" spans="1:5" x14ac:dyDescent="0.25">
      <c r="A765" t="s">
        <v>1</v>
      </c>
      <c r="B765" t="s">
        <v>19</v>
      </c>
      <c r="C765" t="s">
        <v>23490</v>
      </c>
      <c r="D765" t="str">
        <f>HYPERLINK("https://rhld.insurance.arkansas.gov/NPILookup?Npi=1093227423","1093227423")</f>
        <v>1093227423</v>
      </c>
      <c r="E765" t="s">
        <v>13260</v>
      </c>
    </row>
    <row r="766" spans="1:5" x14ac:dyDescent="0.25">
      <c r="A766" t="s">
        <v>1</v>
      </c>
      <c r="B766" t="s">
        <v>19</v>
      </c>
      <c r="C766" t="s">
        <v>23490</v>
      </c>
      <c r="D766" t="str">
        <f>HYPERLINK("https://rhld.insurance.arkansas.gov/NPILookup?Npi=1093227688","1093227688")</f>
        <v>1093227688</v>
      </c>
      <c r="E766" t="s">
        <v>14756</v>
      </c>
    </row>
    <row r="767" spans="1:5" x14ac:dyDescent="0.25">
      <c r="A767" t="s">
        <v>1</v>
      </c>
      <c r="B767" t="s">
        <v>19</v>
      </c>
      <c r="C767" t="s">
        <v>23490</v>
      </c>
      <c r="D767" t="str">
        <f>HYPERLINK("https://rhld.insurance.arkansas.gov/NPILookup?Npi=1093228520","1093228520")</f>
        <v>1093228520</v>
      </c>
      <c r="E767" t="s">
        <v>17852</v>
      </c>
    </row>
    <row r="768" spans="1:5" x14ac:dyDescent="0.25">
      <c r="A768" t="s">
        <v>1</v>
      </c>
      <c r="B768" t="s">
        <v>19</v>
      </c>
      <c r="C768" t="s">
        <v>23490</v>
      </c>
      <c r="D768" t="str">
        <f>HYPERLINK("https://rhld.insurance.arkansas.gov/NPILookup?Npi=1093229395","1093229395")</f>
        <v>1093229395</v>
      </c>
      <c r="E768" t="s">
        <v>13363</v>
      </c>
    </row>
    <row r="769" spans="1:5" x14ac:dyDescent="0.25">
      <c r="A769" t="s">
        <v>1</v>
      </c>
      <c r="B769" t="s">
        <v>19</v>
      </c>
      <c r="C769" t="s">
        <v>23490</v>
      </c>
      <c r="D769" t="str">
        <f>HYPERLINK("https://rhld.insurance.arkansas.gov/NPILookup?Npi=1093238875","1093238875")</f>
        <v>1093238875</v>
      </c>
      <c r="E769" t="s">
        <v>10649</v>
      </c>
    </row>
    <row r="770" spans="1:5" x14ac:dyDescent="0.25">
      <c r="A770" t="s">
        <v>1</v>
      </c>
      <c r="B770" t="s">
        <v>19</v>
      </c>
      <c r="C770" t="s">
        <v>23490</v>
      </c>
      <c r="D770" t="str">
        <f>HYPERLINK("https://rhld.insurance.arkansas.gov/NPILookup?Npi=1093241051","1093241051")</f>
        <v>1093241051</v>
      </c>
      <c r="E770" t="s">
        <v>12775</v>
      </c>
    </row>
    <row r="771" spans="1:5" x14ac:dyDescent="0.25">
      <c r="A771" t="s">
        <v>1</v>
      </c>
      <c r="B771" t="s">
        <v>19</v>
      </c>
      <c r="C771" t="s">
        <v>23490</v>
      </c>
      <c r="D771" t="str">
        <f>HYPERLINK("https://rhld.insurance.arkansas.gov/NPILookup?Npi=1093254294","1093254294")</f>
        <v>1093254294</v>
      </c>
      <c r="E771" t="s">
        <v>10650</v>
      </c>
    </row>
    <row r="772" spans="1:5" x14ac:dyDescent="0.25">
      <c r="A772" t="s">
        <v>1</v>
      </c>
      <c r="B772" t="s">
        <v>19</v>
      </c>
      <c r="C772" t="s">
        <v>23490</v>
      </c>
      <c r="D772" t="str">
        <f>HYPERLINK("https://rhld.insurance.arkansas.gov/NPILookup?Npi=1093255325","1093255325")</f>
        <v>1093255325</v>
      </c>
      <c r="E772" t="s">
        <v>13364</v>
      </c>
    </row>
    <row r="773" spans="1:5" x14ac:dyDescent="0.25">
      <c r="A773" t="s">
        <v>1</v>
      </c>
      <c r="B773" t="s">
        <v>19</v>
      </c>
      <c r="C773" t="s">
        <v>23490</v>
      </c>
      <c r="D773" t="str">
        <f>HYPERLINK("https://rhld.insurance.arkansas.gov/NPILookup?Npi=1093271082","1093271082")</f>
        <v>1093271082</v>
      </c>
      <c r="E773" t="s">
        <v>17386</v>
      </c>
    </row>
    <row r="774" spans="1:5" x14ac:dyDescent="0.25">
      <c r="A774" t="s">
        <v>1</v>
      </c>
      <c r="B774" t="s">
        <v>19</v>
      </c>
      <c r="C774" t="s">
        <v>23490</v>
      </c>
      <c r="D774" t="str">
        <f>HYPERLINK("https://rhld.insurance.arkansas.gov/NPILookup?Npi=1093273195","1093273195")</f>
        <v>1093273195</v>
      </c>
      <c r="E774" t="s">
        <v>13365</v>
      </c>
    </row>
    <row r="775" spans="1:5" x14ac:dyDescent="0.25">
      <c r="A775" t="s">
        <v>1</v>
      </c>
      <c r="B775" t="s">
        <v>19</v>
      </c>
      <c r="C775" t="s">
        <v>23490</v>
      </c>
      <c r="D775" t="str">
        <f>HYPERLINK("https://rhld.insurance.arkansas.gov/NPILookup?Npi=1093280661","1093280661")</f>
        <v>1093280661</v>
      </c>
      <c r="E775" t="s">
        <v>13366</v>
      </c>
    </row>
    <row r="776" spans="1:5" x14ac:dyDescent="0.25">
      <c r="A776" t="s">
        <v>1</v>
      </c>
      <c r="B776" t="s">
        <v>19</v>
      </c>
      <c r="C776" t="s">
        <v>23490</v>
      </c>
      <c r="D776" t="str">
        <f>HYPERLINK("https://rhld.insurance.arkansas.gov/NPILookup?Npi=1093281917","1093281917")</f>
        <v>1093281917</v>
      </c>
      <c r="E776" t="s">
        <v>19415</v>
      </c>
    </row>
    <row r="777" spans="1:5" x14ac:dyDescent="0.25">
      <c r="A777" t="s">
        <v>1</v>
      </c>
      <c r="B777" t="s">
        <v>19</v>
      </c>
      <c r="C777" t="s">
        <v>23490</v>
      </c>
      <c r="D777" t="str">
        <f>HYPERLINK("https://rhld.insurance.arkansas.gov/NPILookup?Npi=1093309106","1093309106")</f>
        <v>1093309106</v>
      </c>
      <c r="E777" t="s">
        <v>19416</v>
      </c>
    </row>
    <row r="778" spans="1:5" x14ac:dyDescent="0.25">
      <c r="A778" t="s">
        <v>1</v>
      </c>
      <c r="B778" t="s">
        <v>19</v>
      </c>
      <c r="C778" t="s">
        <v>23490</v>
      </c>
      <c r="D778" t="str">
        <f>HYPERLINK("https://rhld.insurance.arkansas.gov/NPILookup?Npi=1093335879","1093335879")</f>
        <v>1093335879</v>
      </c>
      <c r="E778" t="s">
        <v>17854</v>
      </c>
    </row>
    <row r="779" spans="1:5" x14ac:dyDescent="0.25">
      <c r="A779" t="s">
        <v>1</v>
      </c>
      <c r="B779" t="s">
        <v>19</v>
      </c>
      <c r="C779" t="s">
        <v>23490</v>
      </c>
      <c r="D779" t="str">
        <f>HYPERLINK("https://rhld.insurance.arkansas.gov/NPILookup?Npi=1093361347","1093361347")</f>
        <v>1093361347</v>
      </c>
      <c r="E779" t="s">
        <v>16870</v>
      </c>
    </row>
    <row r="780" spans="1:5" x14ac:dyDescent="0.25">
      <c r="A780" t="s">
        <v>1</v>
      </c>
      <c r="B780" t="s">
        <v>19</v>
      </c>
      <c r="C780" t="s">
        <v>23490</v>
      </c>
      <c r="D780" t="str">
        <f>HYPERLINK("https://rhld.insurance.arkansas.gov/NPILookup?Npi=1093385858","1093385858")</f>
        <v>1093385858</v>
      </c>
      <c r="E780" t="s">
        <v>546</v>
      </c>
    </row>
    <row r="781" spans="1:5" x14ac:dyDescent="0.25">
      <c r="A781" t="s">
        <v>1</v>
      </c>
      <c r="B781" t="s">
        <v>19</v>
      </c>
      <c r="C781" t="s">
        <v>23490</v>
      </c>
      <c r="D781" t="str">
        <f>HYPERLINK("https://rhld.insurance.arkansas.gov/NPILookup?Npi=1093430225","1093430225")</f>
        <v>1093430225</v>
      </c>
      <c r="E781" t="s">
        <v>21462</v>
      </c>
    </row>
    <row r="782" spans="1:5" x14ac:dyDescent="0.25">
      <c r="A782" t="s">
        <v>1</v>
      </c>
      <c r="B782" t="s">
        <v>19</v>
      </c>
      <c r="C782" t="s">
        <v>23490</v>
      </c>
      <c r="D782" t="str">
        <f>HYPERLINK("https://rhld.insurance.arkansas.gov/NPILookup?Npi=1093470213","1093470213")</f>
        <v>1093470213</v>
      </c>
      <c r="E782" t="s">
        <v>19417</v>
      </c>
    </row>
    <row r="783" spans="1:5" x14ac:dyDescent="0.25">
      <c r="A783" t="s">
        <v>1</v>
      </c>
      <c r="B783" t="s">
        <v>19</v>
      </c>
      <c r="C783" t="s">
        <v>23490</v>
      </c>
      <c r="D783" t="str">
        <f>HYPERLINK("https://rhld.insurance.arkansas.gov/NPILookup?Npi=1093480758","1093480758")</f>
        <v>1093480758</v>
      </c>
      <c r="E783" t="s">
        <v>19418</v>
      </c>
    </row>
    <row r="784" spans="1:5" x14ac:dyDescent="0.25">
      <c r="A784" t="s">
        <v>1</v>
      </c>
      <c r="B784" t="s">
        <v>19</v>
      </c>
      <c r="C784" t="s">
        <v>23490</v>
      </c>
      <c r="D784" t="str">
        <f>HYPERLINK("https://rhld.insurance.arkansas.gov/NPILookup?Npi=1093483562","1093483562")</f>
        <v>1093483562</v>
      </c>
      <c r="E784" t="s">
        <v>19419</v>
      </c>
    </row>
    <row r="785" spans="1:5" x14ac:dyDescent="0.25">
      <c r="A785" t="s">
        <v>1</v>
      </c>
      <c r="B785" t="s">
        <v>19</v>
      </c>
      <c r="C785" t="s">
        <v>23490</v>
      </c>
      <c r="D785" t="str">
        <f>HYPERLINK("https://rhld.insurance.arkansas.gov/NPILookup?Npi=1093710113","1093710113")</f>
        <v>1093710113</v>
      </c>
      <c r="E785" t="s">
        <v>333</v>
      </c>
    </row>
    <row r="786" spans="1:5" x14ac:dyDescent="0.25">
      <c r="A786" t="s">
        <v>1</v>
      </c>
      <c r="B786" t="s">
        <v>19</v>
      </c>
      <c r="C786" t="s">
        <v>23490</v>
      </c>
      <c r="D786" t="str">
        <f>HYPERLINK("https://rhld.insurance.arkansas.gov/NPILookup?Npi=1093715203","1093715203")</f>
        <v>1093715203</v>
      </c>
      <c r="E786" t="s">
        <v>335</v>
      </c>
    </row>
    <row r="787" spans="1:5" x14ac:dyDescent="0.25">
      <c r="A787" t="s">
        <v>1</v>
      </c>
      <c r="B787" t="s">
        <v>19</v>
      </c>
      <c r="C787" t="s">
        <v>23490</v>
      </c>
      <c r="D787" t="str">
        <f>HYPERLINK("https://rhld.insurance.arkansas.gov/NPILookup?Npi=1093715641","1093715641")</f>
        <v>1093715641</v>
      </c>
      <c r="E787" t="s">
        <v>336</v>
      </c>
    </row>
    <row r="788" spans="1:5" x14ac:dyDescent="0.25">
      <c r="A788" t="s">
        <v>1</v>
      </c>
      <c r="B788" t="s">
        <v>19</v>
      </c>
      <c r="C788" t="s">
        <v>23490</v>
      </c>
      <c r="D788" t="str">
        <f>HYPERLINK("https://rhld.insurance.arkansas.gov/NPILookup?Npi=1093717696","1093717696")</f>
        <v>1093717696</v>
      </c>
      <c r="E788" t="s">
        <v>18667</v>
      </c>
    </row>
    <row r="789" spans="1:5" x14ac:dyDescent="0.25">
      <c r="A789" t="s">
        <v>1</v>
      </c>
      <c r="B789" t="s">
        <v>19</v>
      </c>
      <c r="C789" t="s">
        <v>23490</v>
      </c>
      <c r="D789" t="str">
        <f>HYPERLINK("https://rhld.insurance.arkansas.gov/NPILookup?Npi=1093721151","1093721151")</f>
        <v>1093721151</v>
      </c>
      <c r="E789" t="s">
        <v>14759</v>
      </c>
    </row>
    <row r="790" spans="1:5" x14ac:dyDescent="0.25">
      <c r="A790" t="s">
        <v>1</v>
      </c>
      <c r="B790" t="s">
        <v>19</v>
      </c>
      <c r="C790" t="s">
        <v>23490</v>
      </c>
      <c r="D790" t="str">
        <f>HYPERLINK("https://rhld.insurance.arkansas.gov/NPILookup?Npi=1093726333","1093726333")</f>
        <v>1093726333</v>
      </c>
      <c r="E790" t="s">
        <v>337</v>
      </c>
    </row>
    <row r="791" spans="1:5" x14ac:dyDescent="0.25">
      <c r="A791" t="s">
        <v>1</v>
      </c>
      <c r="B791" t="s">
        <v>19</v>
      </c>
      <c r="C791" t="s">
        <v>23490</v>
      </c>
      <c r="D791" t="str">
        <f>HYPERLINK("https://rhld.insurance.arkansas.gov/NPILookup?Npi=1093737439","1093737439")</f>
        <v>1093737439</v>
      </c>
      <c r="E791" t="s">
        <v>338</v>
      </c>
    </row>
    <row r="792" spans="1:5" x14ac:dyDescent="0.25">
      <c r="A792" t="s">
        <v>1</v>
      </c>
      <c r="B792" t="s">
        <v>19</v>
      </c>
      <c r="C792" t="s">
        <v>23490</v>
      </c>
      <c r="D792" t="str">
        <f>HYPERLINK("https://rhld.insurance.arkansas.gov/NPILookup?Npi=1093739286","1093739286")</f>
        <v>1093739286</v>
      </c>
      <c r="E792" t="s">
        <v>19420</v>
      </c>
    </row>
    <row r="793" spans="1:5" x14ac:dyDescent="0.25">
      <c r="A793" t="s">
        <v>1</v>
      </c>
      <c r="B793" t="s">
        <v>19</v>
      </c>
      <c r="C793" t="s">
        <v>23490</v>
      </c>
      <c r="D793" t="str">
        <f>HYPERLINK("https://rhld.insurance.arkansas.gov/NPILookup?Npi=1093739989","1093739989")</f>
        <v>1093739989</v>
      </c>
      <c r="E793" t="s">
        <v>8479</v>
      </c>
    </row>
    <row r="794" spans="1:5" x14ac:dyDescent="0.25">
      <c r="A794" t="s">
        <v>1</v>
      </c>
      <c r="B794" t="s">
        <v>19</v>
      </c>
      <c r="C794" t="s">
        <v>23490</v>
      </c>
      <c r="D794" t="str">
        <f>HYPERLINK("https://rhld.insurance.arkansas.gov/NPILookup?Npi=1093741910","1093741910")</f>
        <v>1093741910</v>
      </c>
      <c r="E794" t="s">
        <v>339</v>
      </c>
    </row>
    <row r="795" spans="1:5" x14ac:dyDescent="0.25">
      <c r="A795" t="s">
        <v>1</v>
      </c>
      <c r="B795" t="s">
        <v>19</v>
      </c>
      <c r="C795" t="s">
        <v>23490</v>
      </c>
      <c r="D795" t="str">
        <f>HYPERLINK("https://rhld.insurance.arkansas.gov/NPILookup?Npi=1093745648","1093745648")</f>
        <v>1093745648</v>
      </c>
      <c r="E795" t="s">
        <v>340</v>
      </c>
    </row>
    <row r="796" spans="1:5" x14ac:dyDescent="0.25">
      <c r="A796" t="s">
        <v>1</v>
      </c>
      <c r="B796" t="s">
        <v>19</v>
      </c>
      <c r="C796" t="s">
        <v>23490</v>
      </c>
      <c r="D796" t="str">
        <f>HYPERLINK("https://rhld.insurance.arkansas.gov/NPILookup?Npi=1093747297","1093747297")</f>
        <v>1093747297</v>
      </c>
      <c r="E796" t="s">
        <v>341</v>
      </c>
    </row>
    <row r="797" spans="1:5" x14ac:dyDescent="0.25">
      <c r="A797" t="s">
        <v>1</v>
      </c>
      <c r="B797" t="s">
        <v>19</v>
      </c>
      <c r="C797" t="s">
        <v>23490</v>
      </c>
      <c r="D797" t="str">
        <f>HYPERLINK("https://rhld.insurance.arkansas.gov/NPILookup?Npi=1093750671","1093750671")</f>
        <v>1093750671</v>
      </c>
      <c r="E797" t="s">
        <v>342</v>
      </c>
    </row>
    <row r="798" spans="1:5" x14ac:dyDescent="0.25">
      <c r="A798" t="s">
        <v>1</v>
      </c>
      <c r="B798" t="s">
        <v>19</v>
      </c>
      <c r="C798" t="s">
        <v>23490</v>
      </c>
      <c r="D798" t="str">
        <f>HYPERLINK("https://rhld.insurance.arkansas.gov/NPILookup?Npi=1093751232","1093751232")</f>
        <v>1093751232</v>
      </c>
      <c r="E798" t="s">
        <v>343</v>
      </c>
    </row>
    <row r="799" spans="1:5" x14ac:dyDescent="0.25">
      <c r="A799" t="s">
        <v>1</v>
      </c>
      <c r="B799" t="s">
        <v>19</v>
      </c>
      <c r="C799" t="s">
        <v>23490</v>
      </c>
      <c r="D799" t="str">
        <f>HYPERLINK("https://rhld.insurance.arkansas.gov/NPILookup?Npi=1093752198","1093752198")</f>
        <v>1093752198</v>
      </c>
      <c r="E799" t="s">
        <v>344</v>
      </c>
    </row>
    <row r="800" spans="1:5" x14ac:dyDescent="0.25">
      <c r="A800" t="s">
        <v>1</v>
      </c>
      <c r="B800" t="s">
        <v>19</v>
      </c>
      <c r="C800" t="s">
        <v>23490</v>
      </c>
      <c r="D800" t="str">
        <f>HYPERLINK("https://rhld.insurance.arkansas.gov/NPILookup?Npi=1093756017","1093756017")</f>
        <v>1093756017</v>
      </c>
      <c r="E800" t="s">
        <v>345</v>
      </c>
    </row>
    <row r="801" spans="1:5" x14ac:dyDescent="0.25">
      <c r="A801" t="s">
        <v>1</v>
      </c>
      <c r="B801" t="s">
        <v>19</v>
      </c>
      <c r="C801" t="s">
        <v>23490</v>
      </c>
      <c r="D801" t="str">
        <f>HYPERLINK("https://rhld.insurance.arkansas.gov/NPILookup?Npi=1093759581","1093759581")</f>
        <v>1093759581</v>
      </c>
      <c r="E801" t="s">
        <v>346</v>
      </c>
    </row>
    <row r="802" spans="1:5" x14ac:dyDescent="0.25">
      <c r="A802" t="s">
        <v>1</v>
      </c>
      <c r="B802" t="s">
        <v>19</v>
      </c>
      <c r="C802" t="s">
        <v>23490</v>
      </c>
      <c r="D802" t="str">
        <f>HYPERLINK("https://rhld.insurance.arkansas.gov/NPILookup?Npi=1093759854","1093759854")</f>
        <v>1093759854</v>
      </c>
      <c r="E802" t="s">
        <v>347</v>
      </c>
    </row>
    <row r="803" spans="1:5" x14ac:dyDescent="0.25">
      <c r="A803" t="s">
        <v>1</v>
      </c>
      <c r="B803" t="s">
        <v>19</v>
      </c>
      <c r="C803" t="s">
        <v>23490</v>
      </c>
      <c r="D803" t="str">
        <f>HYPERLINK("https://rhld.insurance.arkansas.gov/NPILookup?Npi=1093761298","1093761298")</f>
        <v>1093761298</v>
      </c>
      <c r="E803" t="s">
        <v>10047</v>
      </c>
    </row>
    <row r="804" spans="1:5" x14ac:dyDescent="0.25">
      <c r="A804" t="s">
        <v>1</v>
      </c>
      <c r="B804" t="s">
        <v>19</v>
      </c>
      <c r="C804" t="s">
        <v>23490</v>
      </c>
      <c r="D804" t="str">
        <f>HYPERLINK("https://rhld.insurance.arkansas.gov/NPILookup?Npi=1093763807","1093763807")</f>
        <v>1093763807</v>
      </c>
      <c r="E804" t="s">
        <v>348</v>
      </c>
    </row>
    <row r="805" spans="1:5" x14ac:dyDescent="0.25">
      <c r="A805" t="s">
        <v>1</v>
      </c>
      <c r="B805" t="s">
        <v>19</v>
      </c>
      <c r="C805" t="s">
        <v>23490</v>
      </c>
      <c r="D805" t="str">
        <f>HYPERLINK("https://rhld.insurance.arkansas.gov/NPILookup?Npi=1093766925","1093766925")</f>
        <v>1093766925</v>
      </c>
      <c r="E805" t="s">
        <v>349</v>
      </c>
    </row>
    <row r="806" spans="1:5" x14ac:dyDescent="0.25">
      <c r="A806" t="s">
        <v>1</v>
      </c>
      <c r="B806" t="s">
        <v>19</v>
      </c>
      <c r="C806" t="s">
        <v>23490</v>
      </c>
      <c r="D806" t="str">
        <f>HYPERLINK("https://rhld.insurance.arkansas.gov/NPILookup?Npi=1093772592","1093772592")</f>
        <v>1093772592</v>
      </c>
      <c r="E806" t="s">
        <v>350</v>
      </c>
    </row>
    <row r="807" spans="1:5" x14ac:dyDescent="0.25">
      <c r="A807" t="s">
        <v>1</v>
      </c>
      <c r="B807" t="s">
        <v>19</v>
      </c>
      <c r="C807" t="s">
        <v>23490</v>
      </c>
      <c r="D807" t="str">
        <f>HYPERLINK("https://rhld.insurance.arkansas.gov/NPILookup?Npi=1093778136","1093778136")</f>
        <v>1093778136</v>
      </c>
      <c r="E807" t="s">
        <v>351</v>
      </c>
    </row>
    <row r="808" spans="1:5" x14ac:dyDescent="0.25">
      <c r="A808" t="s">
        <v>1</v>
      </c>
      <c r="B808" t="s">
        <v>19</v>
      </c>
      <c r="C808" t="s">
        <v>23490</v>
      </c>
      <c r="D808" t="str">
        <f>HYPERLINK("https://rhld.insurance.arkansas.gov/NPILookup?Npi=1093778169","1093778169")</f>
        <v>1093778169</v>
      </c>
      <c r="E808" t="s">
        <v>352</v>
      </c>
    </row>
    <row r="809" spans="1:5" x14ac:dyDescent="0.25">
      <c r="A809" t="s">
        <v>1</v>
      </c>
      <c r="B809" t="s">
        <v>19</v>
      </c>
      <c r="C809" t="s">
        <v>23490</v>
      </c>
      <c r="D809" t="str">
        <f>HYPERLINK("https://rhld.insurance.arkansas.gov/NPILookup?Npi=1093796534","1093796534")</f>
        <v>1093796534</v>
      </c>
      <c r="E809" t="s">
        <v>354</v>
      </c>
    </row>
    <row r="810" spans="1:5" x14ac:dyDescent="0.25">
      <c r="A810" t="s">
        <v>1</v>
      </c>
      <c r="B810" t="s">
        <v>19</v>
      </c>
      <c r="C810" t="s">
        <v>23490</v>
      </c>
      <c r="D810" t="str">
        <f>HYPERLINK("https://rhld.insurance.arkansas.gov/NPILookup?Npi=1093804718","1093804718")</f>
        <v>1093804718</v>
      </c>
      <c r="E810" t="s">
        <v>355</v>
      </c>
    </row>
    <row r="811" spans="1:5" x14ac:dyDescent="0.25">
      <c r="A811" t="s">
        <v>1</v>
      </c>
      <c r="B811" t="s">
        <v>19</v>
      </c>
      <c r="C811" t="s">
        <v>23490</v>
      </c>
      <c r="D811" t="str">
        <f>HYPERLINK("https://rhld.insurance.arkansas.gov/NPILookup?Npi=1093807638","1093807638")</f>
        <v>1093807638</v>
      </c>
      <c r="E811" t="s">
        <v>356</v>
      </c>
    </row>
    <row r="812" spans="1:5" x14ac:dyDescent="0.25">
      <c r="A812" t="s">
        <v>1</v>
      </c>
      <c r="B812" t="s">
        <v>19</v>
      </c>
      <c r="C812" t="s">
        <v>23490</v>
      </c>
      <c r="D812" t="str">
        <f>HYPERLINK("https://rhld.insurance.arkansas.gov/NPILookup?Npi=1093813644","1093813644")</f>
        <v>1093813644</v>
      </c>
      <c r="E812" t="s">
        <v>357</v>
      </c>
    </row>
    <row r="813" spans="1:5" x14ac:dyDescent="0.25">
      <c r="A813" t="s">
        <v>1</v>
      </c>
      <c r="B813" t="s">
        <v>19</v>
      </c>
      <c r="C813" t="s">
        <v>23490</v>
      </c>
      <c r="D813" t="str">
        <f>HYPERLINK("https://rhld.insurance.arkansas.gov/NPILookup?Npi=1093815268","1093815268")</f>
        <v>1093815268</v>
      </c>
      <c r="E813" t="s">
        <v>358</v>
      </c>
    </row>
    <row r="814" spans="1:5" x14ac:dyDescent="0.25">
      <c r="A814" t="s">
        <v>1</v>
      </c>
      <c r="B814" t="s">
        <v>19</v>
      </c>
      <c r="C814" t="s">
        <v>23490</v>
      </c>
      <c r="D814" t="str">
        <f>HYPERLINK("https://rhld.insurance.arkansas.gov/NPILookup?Npi=1093821811","1093821811")</f>
        <v>1093821811</v>
      </c>
      <c r="E814" t="s">
        <v>359</v>
      </c>
    </row>
    <row r="815" spans="1:5" x14ac:dyDescent="0.25">
      <c r="A815" t="s">
        <v>1</v>
      </c>
      <c r="B815" t="s">
        <v>19</v>
      </c>
      <c r="C815" t="s">
        <v>23490</v>
      </c>
      <c r="D815" t="str">
        <f>HYPERLINK("https://rhld.insurance.arkansas.gov/NPILookup?Npi=1093831042","1093831042")</f>
        <v>1093831042</v>
      </c>
      <c r="E815" t="s">
        <v>16871</v>
      </c>
    </row>
    <row r="816" spans="1:5" x14ac:dyDescent="0.25">
      <c r="A816" t="s">
        <v>1</v>
      </c>
      <c r="B816" t="s">
        <v>19</v>
      </c>
      <c r="C816" t="s">
        <v>23490</v>
      </c>
      <c r="D816" t="str">
        <f>HYPERLINK("https://rhld.insurance.arkansas.gov/NPILookup?Npi=1093875411","1093875411")</f>
        <v>1093875411</v>
      </c>
      <c r="E816" t="s">
        <v>14761</v>
      </c>
    </row>
    <row r="817" spans="1:5" x14ac:dyDescent="0.25">
      <c r="A817" t="s">
        <v>1</v>
      </c>
      <c r="B817" t="s">
        <v>19</v>
      </c>
      <c r="C817" t="s">
        <v>23490</v>
      </c>
      <c r="D817" t="str">
        <f>HYPERLINK("https://rhld.insurance.arkansas.gov/NPILookup?Npi=1093896201","1093896201")</f>
        <v>1093896201</v>
      </c>
      <c r="E817" t="s">
        <v>360</v>
      </c>
    </row>
    <row r="818" spans="1:5" x14ac:dyDescent="0.25">
      <c r="A818" t="s">
        <v>1</v>
      </c>
      <c r="B818" t="s">
        <v>19</v>
      </c>
      <c r="C818" t="s">
        <v>23490</v>
      </c>
      <c r="D818" t="str">
        <f>HYPERLINK("https://rhld.insurance.arkansas.gov/NPILookup?Npi=1093916256","1093916256")</f>
        <v>1093916256</v>
      </c>
      <c r="E818" t="s">
        <v>361</v>
      </c>
    </row>
    <row r="819" spans="1:5" x14ac:dyDescent="0.25">
      <c r="A819" t="s">
        <v>1</v>
      </c>
      <c r="B819" t="s">
        <v>19</v>
      </c>
      <c r="C819" t="s">
        <v>23490</v>
      </c>
      <c r="D819" t="str">
        <f>HYPERLINK("https://rhld.insurance.arkansas.gov/NPILookup?Npi=1093921835","1093921835")</f>
        <v>1093921835</v>
      </c>
      <c r="E819" t="s">
        <v>8480</v>
      </c>
    </row>
    <row r="820" spans="1:5" x14ac:dyDescent="0.25">
      <c r="A820" t="s">
        <v>1</v>
      </c>
      <c r="B820" t="s">
        <v>19</v>
      </c>
      <c r="C820" t="s">
        <v>23490</v>
      </c>
      <c r="D820" t="str">
        <f>HYPERLINK("https://rhld.insurance.arkansas.gov/NPILookup?Npi=1093926446","1093926446")</f>
        <v>1093926446</v>
      </c>
      <c r="E820" t="s">
        <v>362</v>
      </c>
    </row>
    <row r="821" spans="1:5" x14ac:dyDescent="0.25">
      <c r="A821" t="s">
        <v>1</v>
      </c>
      <c r="B821" t="s">
        <v>19</v>
      </c>
      <c r="C821" t="s">
        <v>23490</v>
      </c>
      <c r="D821" t="str">
        <f>HYPERLINK("https://rhld.insurance.arkansas.gov/NPILookup?Npi=1093933285","1093933285")</f>
        <v>1093933285</v>
      </c>
      <c r="E821" t="s">
        <v>16872</v>
      </c>
    </row>
    <row r="822" spans="1:5" x14ac:dyDescent="0.25">
      <c r="A822" t="s">
        <v>1</v>
      </c>
      <c r="B822" t="s">
        <v>19</v>
      </c>
      <c r="C822" t="s">
        <v>23490</v>
      </c>
      <c r="D822" t="str">
        <f>HYPERLINK("https://rhld.insurance.arkansas.gov/NPILookup?Npi=1093948796","1093948796")</f>
        <v>1093948796</v>
      </c>
      <c r="E822" t="s">
        <v>17855</v>
      </c>
    </row>
    <row r="823" spans="1:5" x14ac:dyDescent="0.25">
      <c r="A823" t="s">
        <v>1</v>
      </c>
      <c r="B823" t="s">
        <v>19</v>
      </c>
      <c r="C823" t="s">
        <v>23490</v>
      </c>
      <c r="D823" t="str">
        <f>HYPERLINK("https://rhld.insurance.arkansas.gov/NPILookup?Npi=1093996134","1093996134")</f>
        <v>1093996134</v>
      </c>
      <c r="E823" t="s">
        <v>3615</v>
      </c>
    </row>
    <row r="824" spans="1:5" x14ac:dyDescent="0.25">
      <c r="A824" t="s">
        <v>1</v>
      </c>
      <c r="B824" t="s">
        <v>19</v>
      </c>
      <c r="C824" t="s">
        <v>23490</v>
      </c>
      <c r="D824" t="str">
        <f>HYPERLINK("https://rhld.insurance.arkansas.gov/NPILookup?Npi=1104000553","1104000553")</f>
        <v>1104000553</v>
      </c>
      <c r="E824" t="s">
        <v>16873</v>
      </c>
    </row>
    <row r="825" spans="1:5" x14ac:dyDescent="0.25">
      <c r="A825" t="s">
        <v>1</v>
      </c>
      <c r="B825" t="s">
        <v>19</v>
      </c>
      <c r="C825" t="s">
        <v>23490</v>
      </c>
      <c r="D825" t="str">
        <f>HYPERLINK("https://rhld.insurance.arkansas.gov/NPILookup?Npi=1104016732","1104016732")</f>
        <v>1104016732</v>
      </c>
      <c r="E825" t="s">
        <v>363</v>
      </c>
    </row>
    <row r="826" spans="1:5" x14ac:dyDescent="0.25">
      <c r="A826" t="s">
        <v>1</v>
      </c>
      <c r="B826" t="s">
        <v>19</v>
      </c>
      <c r="C826" t="s">
        <v>23490</v>
      </c>
      <c r="D826" t="str">
        <f>HYPERLINK("https://rhld.insurance.arkansas.gov/NPILookup?Npi=1104029453","1104029453")</f>
        <v>1104029453</v>
      </c>
      <c r="E826" t="s">
        <v>364</v>
      </c>
    </row>
    <row r="827" spans="1:5" x14ac:dyDescent="0.25">
      <c r="A827" t="s">
        <v>1</v>
      </c>
      <c r="B827" t="s">
        <v>19</v>
      </c>
      <c r="C827" t="s">
        <v>23490</v>
      </c>
      <c r="D827" t="str">
        <f>HYPERLINK("https://rhld.insurance.arkansas.gov/NPILookup?Npi=1104099258","1104099258")</f>
        <v>1104099258</v>
      </c>
      <c r="E827" t="s">
        <v>366</v>
      </c>
    </row>
    <row r="828" spans="1:5" x14ac:dyDescent="0.25">
      <c r="A828" t="s">
        <v>1</v>
      </c>
      <c r="B828" t="s">
        <v>19</v>
      </c>
      <c r="C828" t="s">
        <v>23490</v>
      </c>
      <c r="D828" t="str">
        <f>HYPERLINK("https://rhld.insurance.arkansas.gov/NPILookup?Npi=1104101716","1104101716")</f>
        <v>1104101716</v>
      </c>
      <c r="E828" t="s">
        <v>367</v>
      </c>
    </row>
    <row r="829" spans="1:5" x14ac:dyDescent="0.25">
      <c r="A829" t="s">
        <v>1</v>
      </c>
      <c r="B829" t="s">
        <v>19</v>
      </c>
      <c r="C829" t="s">
        <v>23490</v>
      </c>
      <c r="D829" t="str">
        <f>HYPERLINK("https://rhld.insurance.arkansas.gov/NPILookup?Npi=1104115153","1104115153")</f>
        <v>1104115153</v>
      </c>
      <c r="E829" t="s">
        <v>12776</v>
      </c>
    </row>
    <row r="830" spans="1:5" x14ac:dyDescent="0.25">
      <c r="A830" t="s">
        <v>1</v>
      </c>
      <c r="B830" t="s">
        <v>19</v>
      </c>
      <c r="C830" t="s">
        <v>23490</v>
      </c>
      <c r="D830" t="str">
        <f>HYPERLINK("https://rhld.insurance.arkansas.gov/NPILookup?Npi=1104122803","1104122803")</f>
        <v>1104122803</v>
      </c>
      <c r="E830" t="s">
        <v>368</v>
      </c>
    </row>
    <row r="831" spans="1:5" x14ac:dyDescent="0.25">
      <c r="A831" t="s">
        <v>1</v>
      </c>
      <c r="B831" t="s">
        <v>19</v>
      </c>
      <c r="C831" t="s">
        <v>23490</v>
      </c>
      <c r="D831" t="str">
        <f>HYPERLINK("https://rhld.insurance.arkansas.gov/NPILookup?Npi=1104128867","1104128867")</f>
        <v>1104128867</v>
      </c>
      <c r="E831" t="s">
        <v>369</v>
      </c>
    </row>
    <row r="832" spans="1:5" x14ac:dyDescent="0.25">
      <c r="A832" t="s">
        <v>1</v>
      </c>
      <c r="B832" t="s">
        <v>19</v>
      </c>
      <c r="C832" t="s">
        <v>23490</v>
      </c>
      <c r="D832" t="str">
        <f>HYPERLINK("https://rhld.insurance.arkansas.gov/NPILookup?Npi=1104141472","1104141472")</f>
        <v>1104141472</v>
      </c>
      <c r="E832" t="s">
        <v>370</v>
      </c>
    </row>
    <row r="833" spans="1:5" x14ac:dyDescent="0.25">
      <c r="A833" t="s">
        <v>1</v>
      </c>
      <c r="B833" t="s">
        <v>19</v>
      </c>
      <c r="C833" t="s">
        <v>23490</v>
      </c>
      <c r="D833" t="str">
        <f>HYPERLINK("https://rhld.insurance.arkansas.gov/NPILookup?Npi=1104166891","1104166891")</f>
        <v>1104166891</v>
      </c>
      <c r="E833" t="s">
        <v>16874</v>
      </c>
    </row>
    <row r="834" spans="1:5" x14ac:dyDescent="0.25">
      <c r="A834" t="s">
        <v>1</v>
      </c>
      <c r="B834" t="s">
        <v>19</v>
      </c>
      <c r="C834" t="s">
        <v>23490</v>
      </c>
      <c r="D834" t="str">
        <f>HYPERLINK("https://rhld.insurance.arkansas.gov/NPILookup?Npi=1104168459","1104168459")</f>
        <v>1104168459</v>
      </c>
      <c r="E834" t="s">
        <v>8482</v>
      </c>
    </row>
    <row r="835" spans="1:5" x14ac:dyDescent="0.25">
      <c r="A835" t="s">
        <v>1</v>
      </c>
      <c r="B835" t="s">
        <v>19</v>
      </c>
      <c r="C835" t="s">
        <v>23490</v>
      </c>
      <c r="D835" t="str">
        <f>HYPERLINK("https://rhld.insurance.arkansas.gov/NPILookup?Npi=1104169895","1104169895")</f>
        <v>1104169895</v>
      </c>
      <c r="E835" t="s">
        <v>371</v>
      </c>
    </row>
    <row r="836" spans="1:5" x14ac:dyDescent="0.25">
      <c r="A836" t="s">
        <v>1</v>
      </c>
      <c r="B836" t="s">
        <v>19</v>
      </c>
      <c r="C836" t="s">
        <v>23490</v>
      </c>
      <c r="D836" t="str">
        <f>HYPERLINK("https://rhld.insurance.arkansas.gov/NPILookup?Npi=1104182641","1104182641")</f>
        <v>1104182641</v>
      </c>
      <c r="E836" t="s">
        <v>10651</v>
      </c>
    </row>
    <row r="837" spans="1:5" x14ac:dyDescent="0.25">
      <c r="A837" t="s">
        <v>1</v>
      </c>
      <c r="B837" t="s">
        <v>19</v>
      </c>
      <c r="C837" t="s">
        <v>23490</v>
      </c>
      <c r="D837" t="str">
        <f>HYPERLINK("https://rhld.insurance.arkansas.gov/NPILookup?Npi=1104189836","1104189836")</f>
        <v>1104189836</v>
      </c>
      <c r="E837" t="s">
        <v>20891</v>
      </c>
    </row>
    <row r="838" spans="1:5" x14ac:dyDescent="0.25">
      <c r="A838" t="s">
        <v>1</v>
      </c>
      <c r="B838" t="s">
        <v>19</v>
      </c>
      <c r="C838" t="s">
        <v>23490</v>
      </c>
      <c r="D838" t="str">
        <f>HYPERLINK("https://rhld.insurance.arkansas.gov/NPILookup?Npi=1104192053","1104192053")</f>
        <v>1104192053</v>
      </c>
      <c r="E838" t="s">
        <v>8483</v>
      </c>
    </row>
    <row r="839" spans="1:5" x14ac:dyDescent="0.25">
      <c r="A839" t="s">
        <v>1</v>
      </c>
      <c r="B839" t="s">
        <v>19</v>
      </c>
      <c r="C839" t="s">
        <v>23490</v>
      </c>
      <c r="D839" t="str">
        <f>HYPERLINK("https://rhld.insurance.arkansas.gov/NPILookup?Npi=1104201482","1104201482")</f>
        <v>1104201482</v>
      </c>
      <c r="E839" t="s">
        <v>372</v>
      </c>
    </row>
    <row r="840" spans="1:5" x14ac:dyDescent="0.25">
      <c r="A840" t="s">
        <v>1</v>
      </c>
      <c r="B840" t="s">
        <v>19</v>
      </c>
      <c r="C840" t="s">
        <v>23490</v>
      </c>
      <c r="D840" t="str">
        <f>HYPERLINK("https://rhld.insurance.arkansas.gov/NPILookup?Npi=1104209915","1104209915")</f>
        <v>1104209915</v>
      </c>
      <c r="E840" t="s">
        <v>373</v>
      </c>
    </row>
    <row r="841" spans="1:5" x14ac:dyDescent="0.25">
      <c r="A841" t="s">
        <v>1</v>
      </c>
      <c r="B841" t="s">
        <v>19</v>
      </c>
      <c r="C841" t="s">
        <v>23490</v>
      </c>
      <c r="D841" t="str">
        <f>HYPERLINK("https://rhld.insurance.arkansas.gov/NPILookup?Npi=1104210095","1104210095")</f>
        <v>1104210095</v>
      </c>
      <c r="E841" t="s">
        <v>19421</v>
      </c>
    </row>
    <row r="842" spans="1:5" x14ac:dyDescent="0.25">
      <c r="A842" t="s">
        <v>1</v>
      </c>
      <c r="B842" t="s">
        <v>19</v>
      </c>
      <c r="C842" t="s">
        <v>23490</v>
      </c>
      <c r="D842" t="str">
        <f>HYPERLINK("https://rhld.insurance.arkansas.gov/NPILookup?Npi=1104213289","1104213289")</f>
        <v>1104213289</v>
      </c>
      <c r="E842" t="s">
        <v>14766</v>
      </c>
    </row>
    <row r="843" spans="1:5" x14ac:dyDescent="0.25">
      <c r="A843" t="s">
        <v>1</v>
      </c>
      <c r="B843" t="s">
        <v>19</v>
      </c>
      <c r="C843" t="s">
        <v>23490</v>
      </c>
      <c r="D843" t="str">
        <f>HYPERLINK("https://rhld.insurance.arkansas.gov/NPILookup?Npi=1104223551","1104223551")</f>
        <v>1104223551</v>
      </c>
      <c r="E843" t="s">
        <v>13367</v>
      </c>
    </row>
    <row r="844" spans="1:5" x14ac:dyDescent="0.25">
      <c r="A844" t="s">
        <v>1</v>
      </c>
      <c r="B844" t="s">
        <v>19</v>
      </c>
      <c r="C844" t="s">
        <v>23490</v>
      </c>
      <c r="D844" t="str">
        <f>HYPERLINK("https://rhld.insurance.arkansas.gov/NPILookup?Npi=1104225317","1104225317")</f>
        <v>1104225317</v>
      </c>
      <c r="E844" t="s">
        <v>8484</v>
      </c>
    </row>
    <row r="845" spans="1:5" x14ac:dyDescent="0.25">
      <c r="A845" t="s">
        <v>1</v>
      </c>
      <c r="B845" t="s">
        <v>19</v>
      </c>
      <c r="C845" t="s">
        <v>23490</v>
      </c>
      <c r="D845" t="str">
        <f>HYPERLINK("https://rhld.insurance.arkansas.gov/NPILookup?Npi=1104231695","1104231695")</f>
        <v>1104231695</v>
      </c>
      <c r="E845" t="s">
        <v>10652</v>
      </c>
    </row>
    <row r="846" spans="1:5" x14ac:dyDescent="0.25">
      <c r="A846" t="s">
        <v>1</v>
      </c>
      <c r="B846" t="s">
        <v>19</v>
      </c>
      <c r="C846" t="s">
        <v>23490</v>
      </c>
      <c r="D846" t="str">
        <f>HYPERLINK("https://rhld.insurance.arkansas.gov/NPILookup?Npi=1104245281","1104245281")</f>
        <v>1104245281</v>
      </c>
      <c r="E846" t="s">
        <v>14768</v>
      </c>
    </row>
    <row r="847" spans="1:5" x14ac:dyDescent="0.25">
      <c r="A847" t="s">
        <v>1</v>
      </c>
      <c r="B847" t="s">
        <v>19</v>
      </c>
      <c r="C847" t="s">
        <v>23490</v>
      </c>
      <c r="D847" t="str">
        <f>HYPERLINK("https://rhld.insurance.arkansas.gov/NPILookup?Npi=1104245745","1104245745")</f>
        <v>1104245745</v>
      </c>
      <c r="E847" t="s">
        <v>13369</v>
      </c>
    </row>
    <row r="848" spans="1:5" x14ac:dyDescent="0.25">
      <c r="A848" t="s">
        <v>1</v>
      </c>
      <c r="B848" t="s">
        <v>19</v>
      </c>
      <c r="C848" t="s">
        <v>23490</v>
      </c>
      <c r="D848" t="str">
        <f>HYPERLINK("https://rhld.insurance.arkansas.gov/NPILookup?Npi=1104255157","1104255157")</f>
        <v>1104255157</v>
      </c>
      <c r="E848" t="s">
        <v>17856</v>
      </c>
    </row>
    <row r="849" spans="1:5" x14ac:dyDescent="0.25">
      <c r="A849" t="s">
        <v>1</v>
      </c>
      <c r="B849" t="s">
        <v>19</v>
      </c>
      <c r="C849" t="s">
        <v>23490</v>
      </c>
      <c r="D849" t="str">
        <f>HYPERLINK("https://rhld.insurance.arkansas.gov/NPILookup?Npi=1104260090","1104260090")</f>
        <v>1104260090</v>
      </c>
      <c r="E849" t="s">
        <v>14769</v>
      </c>
    </row>
    <row r="850" spans="1:5" x14ac:dyDescent="0.25">
      <c r="A850" t="s">
        <v>1</v>
      </c>
      <c r="B850" t="s">
        <v>19</v>
      </c>
      <c r="C850" t="s">
        <v>23490</v>
      </c>
      <c r="D850" t="str">
        <f>HYPERLINK("https://rhld.insurance.arkansas.gov/NPILookup?Npi=1104265081","1104265081")</f>
        <v>1104265081</v>
      </c>
      <c r="E850" t="s">
        <v>8486</v>
      </c>
    </row>
    <row r="851" spans="1:5" x14ac:dyDescent="0.25">
      <c r="A851" t="s">
        <v>1</v>
      </c>
      <c r="B851" t="s">
        <v>19</v>
      </c>
      <c r="C851" t="s">
        <v>23490</v>
      </c>
      <c r="D851" t="str">
        <f>HYPERLINK("https://rhld.insurance.arkansas.gov/NPILookup?Npi=1104265594","1104265594")</f>
        <v>1104265594</v>
      </c>
      <c r="E851" t="s">
        <v>8487</v>
      </c>
    </row>
    <row r="852" spans="1:5" x14ac:dyDescent="0.25">
      <c r="A852" t="s">
        <v>1</v>
      </c>
      <c r="B852" t="s">
        <v>19</v>
      </c>
      <c r="C852" t="s">
        <v>23490</v>
      </c>
      <c r="D852" t="str">
        <f>HYPERLINK("https://rhld.insurance.arkansas.gov/NPILookup?Npi=1104266204","1104266204")</f>
        <v>1104266204</v>
      </c>
      <c r="E852" t="s">
        <v>10653</v>
      </c>
    </row>
    <row r="853" spans="1:5" x14ac:dyDescent="0.25">
      <c r="A853" t="s">
        <v>1</v>
      </c>
      <c r="B853" t="s">
        <v>19</v>
      </c>
      <c r="C853" t="s">
        <v>23490</v>
      </c>
      <c r="D853" t="str">
        <f>HYPERLINK("https://rhld.insurance.arkansas.gov/NPILookup?Npi=1104301514","1104301514")</f>
        <v>1104301514</v>
      </c>
      <c r="E853" t="s">
        <v>21463</v>
      </c>
    </row>
    <row r="854" spans="1:5" x14ac:dyDescent="0.25">
      <c r="A854" t="s">
        <v>1</v>
      </c>
      <c r="B854" t="s">
        <v>19</v>
      </c>
      <c r="C854" t="s">
        <v>23490</v>
      </c>
      <c r="D854" t="str">
        <f>HYPERLINK("https://rhld.insurance.arkansas.gov/NPILookup?Npi=1104316819","1104316819")</f>
        <v>1104316819</v>
      </c>
      <c r="E854" t="s">
        <v>14770</v>
      </c>
    </row>
    <row r="855" spans="1:5" x14ac:dyDescent="0.25">
      <c r="A855" t="s">
        <v>1</v>
      </c>
      <c r="B855" t="s">
        <v>19</v>
      </c>
      <c r="C855" t="s">
        <v>23490</v>
      </c>
      <c r="D855" t="str">
        <f>HYPERLINK("https://rhld.insurance.arkansas.gov/NPILookup?Npi=1104319136","1104319136")</f>
        <v>1104319136</v>
      </c>
      <c r="E855" t="s">
        <v>18668</v>
      </c>
    </row>
    <row r="856" spans="1:5" x14ac:dyDescent="0.25">
      <c r="A856" t="s">
        <v>1</v>
      </c>
      <c r="B856" t="s">
        <v>19</v>
      </c>
      <c r="C856" t="s">
        <v>23490</v>
      </c>
      <c r="D856" t="str">
        <f>HYPERLINK("https://rhld.insurance.arkansas.gov/NPILookup?Npi=1104340645","1104340645")</f>
        <v>1104340645</v>
      </c>
      <c r="E856" t="s">
        <v>14772</v>
      </c>
    </row>
    <row r="857" spans="1:5" x14ac:dyDescent="0.25">
      <c r="A857" t="s">
        <v>1</v>
      </c>
      <c r="B857" t="s">
        <v>19</v>
      </c>
      <c r="C857" t="s">
        <v>23490</v>
      </c>
      <c r="D857" t="str">
        <f>HYPERLINK("https://rhld.insurance.arkansas.gov/NPILookup?Npi=1104342799","1104342799")</f>
        <v>1104342799</v>
      </c>
      <c r="E857" t="s">
        <v>13370</v>
      </c>
    </row>
    <row r="858" spans="1:5" x14ac:dyDescent="0.25">
      <c r="A858" t="s">
        <v>1</v>
      </c>
      <c r="B858" t="s">
        <v>19</v>
      </c>
      <c r="C858" t="s">
        <v>23490</v>
      </c>
      <c r="D858" t="str">
        <f>HYPERLINK("https://rhld.insurance.arkansas.gov/NPILookup?Npi=1104358159","1104358159")</f>
        <v>1104358159</v>
      </c>
      <c r="E858" t="s">
        <v>16875</v>
      </c>
    </row>
    <row r="859" spans="1:5" x14ac:dyDescent="0.25">
      <c r="A859" t="s">
        <v>1</v>
      </c>
      <c r="B859" t="s">
        <v>19</v>
      </c>
      <c r="C859" t="s">
        <v>23490</v>
      </c>
      <c r="D859" t="str">
        <f>HYPERLINK("https://rhld.insurance.arkansas.gov/NPILookup?Npi=1104358688","1104358688")</f>
        <v>1104358688</v>
      </c>
      <c r="E859" t="s">
        <v>17387</v>
      </c>
    </row>
    <row r="860" spans="1:5" x14ac:dyDescent="0.25">
      <c r="A860" t="s">
        <v>1</v>
      </c>
      <c r="B860" t="s">
        <v>19</v>
      </c>
      <c r="C860" t="s">
        <v>23490</v>
      </c>
      <c r="D860" t="str">
        <f>HYPERLINK("https://rhld.insurance.arkansas.gov/NPILookup?Npi=1104358704","1104358704")</f>
        <v>1104358704</v>
      </c>
      <c r="E860" t="s">
        <v>17857</v>
      </c>
    </row>
    <row r="861" spans="1:5" x14ac:dyDescent="0.25">
      <c r="A861" t="s">
        <v>1</v>
      </c>
      <c r="B861" t="s">
        <v>19</v>
      </c>
      <c r="C861" t="s">
        <v>23490</v>
      </c>
      <c r="D861" t="str">
        <f>HYPERLINK("https://rhld.insurance.arkansas.gov/NPILookup?Npi=1104361864","1104361864")</f>
        <v>1104361864</v>
      </c>
      <c r="E861" t="s">
        <v>19422</v>
      </c>
    </row>
    <row r="862" spans="1:5" x14ac:dyDescent="0.25">
      <c r="A862" t="s">
        <v>1</v>
      </c>
      <c r="B862" t="s">
        <v>19</v>
      </c>
      <c r="C862" t="s">
        <v>23490</v>
      </c>
      <c r="D862" t="str">
        <f>HYPERLINK("https://rhld.insurance.arkansas.gov/NPILookup?Npi=1104361880","1104361880")</f>
        <v>1104361880</v>
      </c>
      <c r="E862" t="s">
        <v>19423</v>
      </c>
    </row>
    <row r="863" spans="1:5" x14ac:dyDescent="0.25">
      <c r="A863" t="s">
        <v>1</v>
      </c>
      <c r="B863" t="s">
        <v>19</v>
      </c>
      <c r="C863" t="s">
        <v>23490</v>
      </c>
      <c r="D863" t="str">
        <f>HYPERLINK("https://rhld.insurance.arkansas.gov/NPILookup?Npi=1104363944","1104363944")</f>
        <v>1104363944</v>
      </c>
      <c r="E863" t="s">
        <v>10654</v>
      </c>
    </row>
    <row r="864" spans="1:5" x14ac:dyDescent="0.25">
      <c r="A864" t="s">
        <v>1</v>
      </c>
      <c r="B864" t="s">
        <v>19</v>
      </c>
      <c r="C864" t="s">
        <v>23490</v>
      </c>
      <c r="D864" t="str">
        <f>HYPERLINK("https://rhld.insurance.arkansas.gov/NPILookup?Npi=1104368406","1104368406")</f>
        <v>1104368406</v>
      </c>
      <c r="E864" t="s">
        <v>10655</v>
      </c>
    </row>
    <row r="865" spans="1:5" x14ac:dyDescent="0.25">
      <c r="A865" t="s">
        <v>1</v>
      </c>
      <c r="B865" t="s">
        <v>19</v>
      </c>
      <c r="C865" t="s">
        <v>23490</v>
      </c>
      <c r="D865" t="str">
        <f>HYPERLINK("https://rhld.insurance.arkansas.gov/NPILookup?Npi=1104384809","1104384809")</f>
        <v>1104384809</v>
      </c>
      <c r="E865" t="s">
        <v>22891</v>
      </c>
    </row>
    <row r="866" spans="1:5" x14ac:dyDescent="0.25">
      <c r="A866" t="s">
        <v>1</v>
      </c>
      <c r="B866" t="s">
        <v>19</v>
      </c>
      <c r="C866" t="s">
        <v>23490</v>
      </c>
      <c r="D866" t="str">
        <f>HYPERLINK("https://rhld.insurance.arkansas.gov/NPILookup?Npi=1104387562","1104387562")</f>
        <v>1104387562</v>
      </c>
      <c r="E866" t="s">
        <v>3923</v>
      </c>
    </row>
    <row r="867" spans="1:5" x14ac:dyDescent="0.25">
      <c r="A867" t="s">
        <v>1</v>
      </c>
      <c r="B867" t="s">
        <v>19</v>
      </c>
      <c r="C867" t="s">
        <v>23490</v>
      </c>
      <c r="D867" t="str">
        <f>HYPERLINK("https://rhld.insurance.arkansas.gov/NPILookup?Npi=1104388081","1104388081")</f>
        <v>1104388081</v>
      </c>
      <c r="E867" t="s">
        <v>20892</v>
      </c>
    </row>
    <row r="868" spans="1:5" x14ac:dyDescent="0.25">
      <c r="A868" t="s">
        <v>1</v>
      </c>
      <c r="B868" t="s">
        <v>19</v>
      </c>
      <c r="C868" t="s">
        <v>23490</v>
      </c>
      <c r="D868" t="str">
        <f>HYPERLINK("https://rhld.insurance.arkansas.gov/NPILookup?Npi=1104410604","1104410604")</f>
        <v>1104410604</v>
      </c>
      <c r="E868" t="s">
        <v>20893</v>
      </c>
    </row>
    <row r="869" spans="1:5" x14ac:dyDescent="0.25">
      <c r="A869" t="s">
        <v>1</v>
      </c>
      <c r="B869" t="s">
        <v>19</v>
      </c>
      <c r="C869" t="s">
        <v>23490</v>
      </c>
      <c r="D869" t="str">
        <f>HYPERLINK("https://rhld.insurance.arkansas.gov/NPILookup?Npi=1104417021","1104417021")</f>
        <v>1104417021</v>
      </c>
      <c r="E869" t="s">
        <v>21464</v>
      </c>
    </row>
    <row r="870" spans="1:5" x14ac:dyDescent="0.25">
      <c r="A870" t="s">
        <v>1</v>
      </c>
      <c r="B870" t="s">
        <v>19</v>
      </c>
      <c r="C870" t="s">
        <v>23490</v>
      </c>
      <c r="D870" t="str">
        <f>HYPERLINK("https://rhld.insurance.arkansas.gov/NPILookup?Npi=1104419241","1104419241")</f>
        <v>1104419241</v>
      </c>
      <c r="E870" t="s">
        <v>21465</v>
      </c>
    </row>
    <row r="871" spans="1:5" x14ac:dyDescent="0.25">
      <c r="A871" t="s">
        <v>1</v>
      </c>
      <c r="B871" t="s">
        <v>19</v>
      </c>
      <c r="C871" t="s">
        <v>23490</v>
      </c>
      <c r="D871" t="str">
        <f>HYPERLINK("https://rhld.insurance.arkansas.gov/NPILookup?Npi=1104425586","1104425586")</f>
        <v>1104425586</v>
      </c>
      <c r="E871" t="s">
        <v>18669</v>
      </c>
    </row>
    <row r="872" spans="1:5" x14ac:dyDescent="0.25">
      <c r="A872" t="s">
        <v>1</v>
      </c>
      <c r="B872" t="s">
        <v>19</v>
      </c>
      <c r="C872" t="s">
        <v>23490</v>
      </c>
      <c r="D872" t="str">
        <f>HYPERLINK("https://rhld.insurance.arkansas.gov/NPILookup?Npi=1104446103","1104446103")</f>
        <v>1104446103</v>
      </c>
      <c r="E872" t="s">
        <v>21466</v>
      </c>
    </row>
    <row r="873" spans="1:5" x14ac:dyDescent="0.25">
      <c r="A873" t="s">
        <v>1</v>
      </c>
      <c r="B873" t="s">
        <v>19</v>
      </c>
      <c r="C873" t="s">
        <v>23490</v>
      </c>
      <c r="D873" t="str">
        <f>HYPERLINK("https://rhld.insurance.arkansas.gov/NPILookup?Npi=1104450154","1104450154")</f>
        <v>1104450154</v>
      </c>
      <c r="E873" t="s">
        <v>16876</v>
      </c>
    </row>
    <row r="874" spans="1:5" x14ac:dyDescent="0.25">
      <c r="A874" t="s">
        <v>1</v>
      </c>
      <c r="B874" t="s">
        <v>19</v>
      </c>
      <c r="C874" t="s">
        <v>23490</v>
      </c>
      <c r="D874" t="str">
        <f>HYPERLINK("https://rhld.insurance.arkansas.gov/NPILookup?Npi=1104462712","1104462712")</f>
        <v>1104462712</v>
      </c>
      <c r="E874" t="s">
        <v>17859</v>
      </c>
    </row>
    <row r="875" spans="1:5" x14ac:dyDescent="0.25">
      <c r="A875" t="s">
        <v>1</v>
      </c>
      <c r="B875" t="s">
        <v>19</v>
      </c>
      <c r="C875" t="s">
        <v>23490</v>
      </c>
      <c r="D875" t="str">
        <f>HYPERLINK("https://rhld.insurance.arkansas.gov/NPILookup?Npi=1104476720","1104476720")</f>
        <v>1104476720</v>
      </c>
      <c r="E875" t="s">
        <v>19424</v>
      </c>
    </row>
    <row r="876" spans="1:5" x14ac:dyDescent="0.25">
      <c r="A876" t="s">
        <v>1</v>
      </c>
      <c r="B876" t="s">
        <v>19</v>
      </c>
      <c r="C876" t="s">
        <v>23490</v>
      </c>
      <c r="D876" t="str">
        <f>HYPERLINK("https://rhld.insurance.arkansas.gov/NPILookup?Npi=1104478585","1104478585")</f>
        <v>1104478585</v>
      </c>
      <c r="E876" t="s">
        <v>14773</v>
      </c>
    </row>
    <row r="877" spans="1:5" x14ac:dyDescent="0.25">
      <c r="A877" t="s">
        <v>1</v>
      </c>
      <c r="B877" t="s">
        <v>19</v>
      </c>
      <c r="C877" t="s">
        <v>23490</v>
      </c>
      <c r="D877" t="str">
        <f>HYPERLINK("https://rhld.insurance.arkansas.gov/NPILookup?Npi=1104492255","1104492255")</f>
        <v>1104492255</v>
      </c>
      <c r="E877" t="s">
        <v>18670</v>
      </c>
    </row>
    <row r="878" spans="1:5" x14ac:dyDescent="0.25">
      <c r="A878" t="s">
        <v>1</v>
      </c>
      <c r="B878" t="s">
        <v>19</v>
      </c>
      <c r="C878" t="s">
        <v>8427</v>
      </c>
      <c r="D878" t="str">
        <f>HYPERLINK("https://rhld.insurance.arkansas.gov/NPILookup?Npi=1104526573","1104526573")</f>
        <v>1104526573</v>
      </c>
      <c r="E878" t="s">
        <v>22892</v>
      </c>
    </row>
    <row r="879" spans="1:5" x14ac:dyDescent="0.25">
      <c r="A879" t="s">
        <v>1</v>
      </c>
      <c r="B879" t="s">
        <v>19</v>
      </c>
      <c r="C879" t="s">
        <v>23490</v>
      </c>
      <c r="D879" t="str">
        <f>HYPERLINK("https://rhld.insurance.arkansas.gov/NPILookup?Npi=1104564186","1104564186")</f>
        <v>1104564186</v>
      </c>
      <c r="E879" t="s">
        <v>21370</v>
      </c>
    </row>
    <row r="880" spans="1:5" x14ac:dyDescent="0.25">
      <c r="A880" t="s">
        <v>1</v>
      </c>
      <c r="B880" t="s">
        <v>19</v>
      </c>
      <c r="C880" t="s">
        <v>23490</v>
      </c>
      <c r="D880" t="str">
        <f>HYPERLINK("https://rhld.insurance.arkansas.gov/NPILookup?Npi=1104592955","1104592955")</f>
        <v>1104592955</v>
      </c>
      <c r="E880" t="s">
        <v>19425</v>
      </c>
    </row>
    <row r="881" spans="1:5" x14ac:dyDescent="0.25">
      <c r="A881" t="s">
        <v>1</v>
      </c>
      <c r="B881" t="s">
        <v>19</v>
      </c>
      <c r="C881" t="s">
        <v>23490</v>
      </c>
      <c r="D881" t="str">
        <f>HYPERLINK("https://rhld.insurance.arkansas.gov/NPILookup?Npi=1104810704","1104810704")</f>
        <v>1104810704</v>
      </c>
      <c r="E881" t="s">
        <v>374</v>
      </c>
    </row>
    <row r="882" spans="1:5" x14ac:dyDescent="0.25">
      <c r="A882" t="s">
        <v>1</v>
      </c>
      <c r="B882" t="s">
        <v>19</v>
      </c>
      <c r="C882" t="s">
        <v>23490</v>
      </c>
      <c r="D882" t="str">
        <f>HYPERLINK("https://rhld.insurance.arkansas.gov/NPILookup?Npi=1104811108","1104811108")</f>
        <v>1104811108</v>
      </c>
      <c r="E882" t="s">
        <v>375</v>
      </c>
    </row>
    <row r="883" spans="1:5" x14ac:dyDescent="0.25">
      <c r="A883" t="s">
        <v>1</v>
      </c>
      <c r="B883" t="s">
        <v>19</v>
      </c>
      <c r="C883" t="s">
        <v>23490</v>
      </c>
      <c r="D883" t="str">
        <f>HYPERLINK("https://rhld.insurance.arkansas.gov/NPILookup?Npi=1104811652","1104811652")</f>
        <v>1104811652</v>
      </c>
      <c r="E883" t="s">
        <v>376</v>
      </c>
    </row>
    <row r="884" spans="1:5" x14ac:dyDescent="0.25">
      <c r="A884" t="s">
        <v>1</v>
      </c>
      <c r="B884" t="s">
        <v>19</v>
      </c>
      <c r="C884" t="s">
        <v>23490</v>
      </c>
      <c r="D884" t="str">
        <f>HYPERLINK("https://rhld.insurance.arkansas.gov/NPILookup?Npi=1104820612","1104820612")</f>
        <v>1104820612</v>
      </c>
      <c r="E884" t="s">
        <v>377</v>
      </c>
    </row>
    <row r="885" spans="1:5" x14ac:dyDescent="0.25">
      <c r="A885" t="s">
        <v>1</v>
      </c>
      <c r="B885" t="s">
        <v>19</v>
      </c>
      <c r="C885" t="s">
        <v>23490</v>
      </c>
      <c r="D885" t="str">
        <f>HYPERLINK("https://rhld.insurance.arkansas.gov/NPILookup?Npi=1104822634","1104822634")</f>
        <v>1104822634</v>
      </c>
      <c r="E885" t="s">
        <v>378</v>
      </c>
    </row>
    <row r="886" spans="1:5" x14ac:dyDescent="0.25">
      <c r="A886" t="s">
        <v>1</v>
      </c>
      <c r="B886" t="s">
        <v>19</v>
      </c>
      <c r="C886" t="s">
        <v>23490</v>
      </c>
      <c r="D886" t="str">
        <f>HYPERLINK("https://rhld.insurance.arkansas.gov/NPILookup?Npi=1104823020","1104823020")</f>
        <v>1104823020</v>
      </c>
      <c r="E886" t="s">
        <v>379</v>
      </c>
    </row>
    <row r="887" spans="1:5" x14ac:dyDescent="0.25">
      <c r="A887" t="s">
        <v>1</v>
      </c>
      <c r="B887" t="s">
        <v>19</v>
      </c>
      <c r="C887" t="s">
        <v>23490</v>
      </c>
      <c r="D887" t="str">
        <f>HYPERLINK("https://rhld.insurance.arkansas.gov/NPILookup?Npi=1104826320","1104826320")</f>
        <v>1104826320</v>
      </c>
      <c r="E887" t="s">
        <v>380</v>
      </c>
    </row>
    <row r="888" spans="1:5" x14ac:dyDescent="0.25">
      <c r="A888" t="s">
        <v>1</v>
      </c>
      <c r="B888" t="s">
        <v>19</v>
      </c>
      <c r="C888" t="s">
        <v>23490</v>
      </c>
      <c r="D888" t="str">
        <f>HYPERLINK("https://rhld.insurance.arkansas.gov/NPILookup?Npi=1104830306","1104830306")</f>
        <v>1104830306</v>
      </c>
      <c r="E888" t="s">
        <v>381</v>
      </c>
    </row>
    <row r="889" spans="1:5" x14ac:dyDescent="0.25">
      <c r="A889" t="s">
        <v>1</v>
      </c>
      <c r="B889" t="s">
        <v>19</v>
      </c>
      <c r="C889" t="s">
        <v>23490</v>
      </c>
      <c r="D889" t="str">
        <f>HYPERLINK("https://rhld.insurance.arkansas.gov/NPILookup?Npi=1104830710","1104830710")</f>
        <v>1104830710</v>
      </c>
      <c r="E889" t="s">
        <v>382</v>
      </c>
    </row>
    <row r="890" spans="1:5" x14ac:dyDescent="0.25">
      <c r="A890" t="s">
        <v>1</v>
      </c>
      <c r="B890" t="s">
        <v>19</v>
      </c>
      <c r="C890" t="s">
        <v>23490</v>
      </c>
      <c r="D890" t="str">
        <f>HYPERLINK("https://rhld.insurance.arkansas.gov/NPILookup?Npi=1104838945","1104838945")</f>
        <v>1104838945</v>
      </c>
      <c r="E890" t="s">
        <v>10656</v>
      </c>
    </row>
    <row r="891" spans="1:5" x14ac:dyDescent="0.25">
      <c r="A891" t="s">
        <v>1</v>
      </c>
      <c r="B891" t="s">
        <v>19</v>
      </c>
      <c r="C891" t="s">
        <v>23490</v>
      </c>
      <c r="D891" t="str">
        <f>HYPERLINK("https://rhld.insurance.arkansas.gov/NPILookup?Npi=1104851641","1104851641")</f>
        <v>1104851641</v>
      </c>
      <c r="E891" t="s">
        <v>383</v>
      </c>
    </row>
    <row r="892" spans="1:5" x14ac:dyDescent="0.25">
      <c r="A892" t="s">
        <v>1</v>
      </c>
      <c r="B892" t="s">
        <v>19</v>
      </c>
      <c r="C892" t="s">
        <v>23490</v>
      </c>
      <c r="D892" t="str">
        <f>HYPERLINK("https://rhld.insurance.arkansas.gov/NPILookup?Npi=1104853860","1104853860")</f>
        <v>1104853860</v>
      </c>
      <c r="E892" t="s">
        <v>384</v>
      </c>
    </row>
    <row r="893" spans="1:5" x14ac:dyDescent="0.25">
      <c r="A893" t="s">
        <v>1</v>
      </c>
      <c r="B893" t="s">
        <v>19</v>
      </c>
      <c r="C893" t="s">
        <v>23490</v>
      </c>
      <c r="D893" t="str">
        <f>HYPERLINK("https://rhld.insurance.arkansas.gov/NPILookup?Npi=1104856384","1104856384")</f>
        <v>1104856384</v>
      </c>
      <c r="E893" t="s">
        <v>14774</v>
      </c>
    </row>
    <row r="894" spans="1:5" x14ac:dyDescent="0.25">
      <c r="A894" t="s">
        <v>1</v>
      </c>
      <c r="B894" t="s">
        <v>19</v>
      </c>
      <c r="C894" t="s">
        <v>23490</v>
      </c>
      <c r="D894" t="str">
        <f>HYPERLINK("https://rhld.insurance.arkansas.gov/NPILookup?Npi=1104860824","1104860824")</f>
        <v>1104860824</v>
      </c>
      <c r="E894" t="s">
        <v>385</v>
      </c>
    </row>
    <row r="895" spans="1:5" x14ac:dyDescent="0.25">
      <c r="A895" t="s">
        <v>1</v>
      </c>
      <c r="B895" t="s">
        <v>19</v>
      </c>
      <c r="C895" t="s">
        <v>23490</v>
      </c>
      <c r="D895" t="str">
        <f>HYPERLINK("https://rhld.insurance.arkansas.gov/NPILookup?Npi=1104872969","1104872969")</f>
        <v>1104872969</v>
      </c>
      <c r="E895" t="s">
        <v>386</v>
      </c>
    </row>
    <row r="896" spans="1:5" x14ac:dyDescent="0.25">
      <c r="A896" t="s">
        <v>1</v>
      </c>
      <c r="B896" t="s">
        <v>19</v>
      </c>
      <c r="C896" t="s">
        <v>23490</v>
      </c>
      <c r="D896" t="str">
        <f>HYPERLINK("https://rhld.insurance.arkansas.gov/NPILookup?Npi=1104887215","1104887215")</f>
        <v>1104887215</v>
      </c>
      <c r="E896" t="s">
        <v>387</v>
      </c>
    </row>
    <row r="897" spans="1:5" x14ac:dyDescent="0.25">
      <c r="A897" t="s">
        <v>1</v>
      </c>
      <c r="B897" t="s">
        <v>19</v>
      </c>
      <c r="C897" t="s">
        <v>23490</v>
      </c>
      <c r="D897" t="str">
        <f>HYPERLINK("https://rhld.insurance.arkansas.gov/NPILookup?Npi=1104889237","1104889237")</f>
        <v>1104889237</v>
      </c>
      <c r="E897" t="s">
        <v>388</v>
      </c>
    </row>
    <row r="898" spans="1:5" x14ac:dyDescent="0.25">
      <c r="A898" t="s">
        <v>1</v>
      </c>
      <c r="B898" t="s">
        <v>19</v>
      </c>
      <c r="C898" t="s">
        <v>23490</v>
      </c>
      <c r="D898" t="str">
        <f>HYPERLINK("https://rhld.insurance.arkansas.gov/NPILookup?Npi=1104893858","1104893858")</f>
        <v>1104893858</v>
      </c>
      <c r="E898" t="s">
        <v>389</v>
      </c>
    </row>
    <row r="899" spans="1:5" x14ac:dyDescent="0.25">
      <c r="A899" t="s">
        <v>1</v>
      </c>
      <c r="B899" t="s">
        <v>19</v>
      </c>
      <c r="C899" t="s">
        <v>23490</v>
      </c>
      <c r="D899" t="str">
        <f>HYPERLINK("https://rhld.insurance.arkansas.gov/NPILookup?Npi=1104893924","1104893924")</f>
        <v>1104893924</v>
      </c>
      <c r="E899" t="s">
        <v>390</v>
      </c>
    </row>
    <row r="900" spans="1:5" x14ac:dyDescent="0.25">
      <c r="A900" t="s">
        <v>1</v>
      </c>
      <c r="B900" t="s">
        <v>19</v>
      </c>
      <c r="C900" t="s">
        <v>23490</v>
      </c>
      <c r="D900" t="str">
        <f>HYPERLINK("https://rhld.insurance.arkansas.gov/NPILookup?Npi=1104926427","1104926427")</f>
        <v>1104926427</v>
      </c>
      <c r="E900" t="s">
        <v>8488</v>
      </c>
    </row>
    <row r="901" spans="1:5" x14ac:dyDescent="0.25">
      <c r="A901" t="s">
        <v>1</v>
      </c>
      <c r="B901" t="s">
        <v>19</v>
      </c>
      <c r="C901" t="s">
        <v>23490</v>
      </c>
      <c r="D901" t="str">
        <f>HYPERLINK("https://rhld.insurance.arkansas.gov/NPILookup?Npi=1104971126","1104971126")</f>
        <v>1104971126</v>
      </c>
      <c r="E901" t="s">
        <v>392</v>
      </c>
    </row>
    <row r="902" spans="1:5" x14ac:dyDescent="0.25">
      <c r="A902" t="s">
        <v>1</v>
      </c>
      <c r="B902" t="s">
        <v>19</v>
      </c>
      <c r="C902" t="s">
        <v>23490</v>
      </c>
      <c r="D902" t="str">
        <f>HYPERLINK("https://rhld.insurance.arkansas.gov/NPILookup?Npi=1104971373","1104971373")</f>
        <v>1104971373</v>
      </c>
      <c r="E902" t="s">
        <v>393</v>
      </c>
    </row>
    <row r="903" spans="1:5" x14ac:dyDescent="0.25">
      <c r="A903" t="s">
        <v>1</v>
      </c>
      <c r="B903" t="s">
        <v>19</v>
      </c>
      <c r="C903" t="s">
        <v>23490</v>
      </c>
      <c r="D903" t="str">
        <f>HYPERLINK("https://rhld.insurance.arkansas.gov/NPILookup?Npi=1114017555","1114017555")</f>
        <v>1114017555</v>
      </c>
      <c r="E903" t="s">
        <v>10657</v>
      </c>
    </row>
    <row r="904" spans="1:5" x14ac:dyDescent="0.25">
      <c r="A904" t="s">
        <v>1</v>
      </c>
      <c r="B904" t="s">
        <v>19</v>
      </c>
      <c r="C904" t="s">
        <v>23490</v>
      </c>
      <c r="D904" t="str">
        <f>HYPERLINK("https://rhld.insurance.arkansas.gov/NPILookup?Npi=1114027356","1114027356")</f>
        <v>1114027356</v>
      </c>
      <c r="E904" t="s">
        <v>10658</v>
      </c>
    </row>
    <row r="905" spans="1:5" x14ac:dyDescent="0.25">
      <c r="A905" t="s">
        <v>1</v>
      </c>
      <c r="B905" t="s">
        <v>19</v>
      </c>
      <c r="C905" t="s">
        <v>23490</v>
      </c>
      <c r="D905" t="str">
        <f>HYPERLINK("https://rhld.insurance.arkansas.gov/NPILookup?Npi=1114029238","1114029238")</f>
        <v>1114029238</v>
      </c>
      <c r="E905" t="s">
        <v>3667</v>
      </c>
    </row>
    <row r="906" spans="1:5" x14ac:dyDescent="0.25">
      <c r="A906" t="s">
        <v>1</v>
      </c>
      <c r="B906" t="s">
        <v>19</v>
      </c>
      <c r="C906" t="s">
        <v>23490</v>
      </c>
      <c r="D906" t="str">
        <f>HYPERLINK("https://rhld.insurance.arkansas.gov/NPILookup?Npi=1114055845","1114055845")</f>
        <v>1114055845</v>
      </c>
      <c r="E906" t="s">
        <v>8490</v>
      </c>
    </row>
    <row r="907" spans="1:5" x14ac:dyDescent="0.25">
      <c r="A907" t="s">
        <v>1</v>
      </c>
      <c r="B907" t="s">
        <v>19</v>
      </c>
      <c r="C907" t="s">
        <v>23490</v>
      </c>
      <c r="D907" t="str">
        <f>HYPERLINK("https://rhld.insurance.arkansas.gov/NPILookup?Npi=1114074523","1114074523")</f>
        <v>1114074523</v>
      </c>
      <c r="E907" t="s">
        <v>394</v>
      </c>
    </row>
    <row r="908" spans="1:5" x14ac:dyDescent="0.25">
      <c r="A908" t="s">
        <v>1</v>
      </c>
      <c r="B908" t="s">
        <v>19</v>
      </c>
      <c r="C908" t="s">
        <v>23490</v>
      </c>
      <c r="D908" t="str">
        <f>HYPERLINK("https://rhld.insurance.arkansas.gov/NPILookup?Npi=1114085768","1114085768")</f>
        <v>1114085768</v>
      </c>
      <c r="E908" t="s">
        <v>395</v>
      </c>
    </row>
    <row r="909" spans="1:5" x14ac:dyDescent="0.25">
      <c r="A909" t="s">
        <v>1</v>
      </c>
      <c r="B909" t="s">
        <v>19</v>
      </c>
      <c r="C909" t="s">
        <v>23490</v>
      </c>
      <c r="D909" t="str">
        <f>HYPERLINK("https://rhld.insurance.arkansas.gov/NPILookup?Npi=1114138864","1114138864")</f>
        <v>1114138864</v>
      </c>
      <c r="E909" t="s">
        <v>396</v>
      </c>
    </row>
    <row r="910" spans="1:5" x14ac:dyDescent="0.25">
      <c r="A910" t="s">
        <v>1</v>
      </c>
      <c r="B910" t="s">
        <v>19</v>
      </c>
      <c r="C910" t="s">
        <v>23490</v>
      </c>
      <c r="D910" t="str">
        <f>HYPERLINK("https://rhld.insurance.arkansas.gov/NPILookup?Npi=1114145893","1114145893")</f>
        <v>1114145893</v>
      </c>
      <c r="E910" t="s">
        <v>10659</v>
      </c>
    </row>
    <row r="911" spans="1:5" x14ac:dyDescent="0.25">
      <c r="A911" t="s">
        <v>1</v>
      </c>
      <c r="B911" t="s">
        <v>19</v>
      </c>
      <c r="C911" t="s">
        <v>23490</v>
      </c>
      <c r="D911" t="str">
        <f>HYPERLINK("https://rhld.insurance.arkansas.gov/NPILookup?Npi=1114148137","1114148137")</f>
        <v>1114148137</v>
      </c>
      <c r="E911" t="s">
        <v>397</v>
      </c>
    </row>
    <row r="912" spans="1:5" x14ac:dyDescent="0.25">
      <c r="A912" t="s">
        <v>1</v>
      </c>
      <c r="B912" t="s">
        <v>19</v>
      </c>
      <c r="C912" t="s">
        <v>23490</v>
      </c>
      <c r="D912" t="str">
        <f>HYPERLINK("https://rhld.insurance.arkansas.gov/NPILookup?Npi=1114149093","1114149093")</f>
        <v>1114149093</v>
      </c>
      <c r="E912" t="s">
        <v>14777</v>
      </c>
    </row>
    <row r="913" spans="1:5" x14ac:dyDescent="0.25">
      <c r="A913" t="s">
        <v>1</v>
      </c>
      <c r="B913" t="s">
        <v>19</v>
      </c>
      <c r="C913" t="s">
        <v>23490</v>
      </c>
      <c r="D913" t="str">
        <f>HYPERLINK("https://rhld.insurance.arkansas.gov/NPILookup?Npi=1114215456","1114215456")</f>
        <v>1114215456</v>
      </c>
      <c r="E913" t="s">
        <v>398</v>
      </c>
    </row>
    <row r="914" spans="1:5" x14ac:dyDescent="0.25">
      <c r="A914" t="s">
        <v>1</v>
      </c>
      <c r="B914" t="s">
        <v>19</v>
      </c>
      <c r="C914" t="s">
        <v>23490</v>
      </c>
      <c r="D914" t="str">
        <f>HYPERLINK("https://rhld.insurance.arkansas.gov/NPILookup?Npi=1114232865","1114232865")</f>
        <v>1114232865</v>
      </c>
      <c r="E914" t="s">
        <v>8491</v>
      </c>
    </row>
    <row r="915" spans="1:5" x14ac:dyDescent="0.25">
      <c r="A915" t="s">
        <v>1</v>
      </c>
      <c r="B915" t="s">
        <v>19</v>
      </c>
      <c r="C915" t="s">
        <v>23490</v>
      </c>
      <c r="D915" t="str">
        <f>HYPERLINK("https://rhld.insurance.arkansas.gov/NPILookup?Npi=1114244613","1114244613")</f>
        <v>1114244613</v>
      </c>
      <c r="E915" t="s">
        <v>399</v>
      </c>
    </row>
    <row r="916" spans="1:5" x14ac:dyDescent="0.25">
      <c r="A916" t="s">
        <v>1</v>
      </c>
      <c r="B916" t="s">
        <v>19</v>
      </c>
      <c r="C916" t="s">
        <v>23490</v>
      </c>
      <c r="D916" t="str">
        <f>HYPERLINK("https://rhld.insurance.arkansas.gov/NPILookup?Npi=1114260726","1114260726")</f>
        <v>1114260726</v>
      </c>
      <c r="E916" t="s">
        <v>13371</v>
      </c>
    </row>
    <row r="917" spans="1:5" x14ac:dyDescent="0.25">
      <c r="A917" t="s">
        <v>1</v>
      </c>
      <c r="B917" t="s">
        <v>19</v>
      </c>
      <c r="C917" t="s">
        <v>23490</v>
      </c>
      <c r="D917" t="str">
        <f>HYPERLINK("https://rhld.insurance.arkansas.gov/NPILookup?Npi=1114281060","1114281060")</f>
        <v>1114281060</v>
      </c>
      <c r="E917" t="s">
        <v>400</v>
      </c>
    </row>
    <row r="918" spans="1:5" x14ac:dyDescent="0.25">
      <c r="A918" t="s">
        <v>1</v>
      </c>
      <c r="B918" t="s">
        <v>19</v>
      </c>
      <c r="C918" t="s">
        <v>23490</v>
      </c>
      <c r="D918" t="str">
        <f>HYPERLINK("https://rhld.insurance.arkansas.gov/NPILookup?Npi=1114287802","1114287802")</f>
        <v>1114287802</v>
      </c>
      <c r="E918" t="s">
        <v>10660</v>
      </c>
    </row>
    <row r="919" spans="1:5" x14ac:dyDescent="0.25">
      <c r="A919" t="s">
        <v>1</v>
      </c>
      <c r="B919" t="s">
        <v>19</v>
      </c>
      <c r="C919" t="s">
        <v>23490</v>
      </c>
      <c r="D919" t="str">
        <f>HYPERLINK("https://rhld.insurance.arkansas.gov/NPILookup?Npi=1114289899","1114289899")</f>
        <v>1114289899</v>
      </c>
      <c r="E919" t="s">
        <v>401</v>
      </c>
    </row>
    <row r="920" spans="1:5" x14ac:dyDescent="0.25">
      <c r="A920" t="s">
        <v>1</v>
      </c>
      <c r="B920" t="s">
        <v>19</v>
      </c>
      <c r="C920" t="s">
        <v>23490</v>
      </c>
      <c r="D920" t="str">
        <f>HYPERLINK("https://rhld.insurance.arkansas.gov/NPILookup?Npi=1114298650","1114298650")</f>
        <v>1114298650</v>
      </c>
      <c r="E920" t="s">
        <v>402</v>
      </c>
    </row>
    <row r="921" spans="1:5" x14ac:dyDescent="0.25">
      <c r="A921" t="s">
        <v>1</v>
      </c>
      <c r="B921" t="s">
        <v>19</v>
      </c>
      <c r="C921" t="s">
        <v>23490</v>
      </c>
      <c r="D921" t="str">
        <f>HYPERLINK("https://rhld.insurance.arkansas.gov/NPILookup?Npi=1114300092","1114300092")</f>
        <v>1114300092</v>
      </c>
      <c r="E921" t="s">
        <v>8492</v>
      </c>
    </row>
    <row r="922" spans="1:5" x14ac:dyDescent="0.25">
      <c r="A922" t="s">
        <v>1</v>
      </c>
      <c r="B922" t="s">
        <v>19</v>
      </c>
      <c r="C922" t="s">
        <v>23490</v>
      </c>
      <c r="D922" t="str">
        <f>HYPERLINK("https://rhld.insurance.arkansas.gov/NPILookup?Npi=1114300100","1114300100")</f>
        <v>1114300100</v>
      </c>
      <c r="E922" t="s">
        <v>13372</v>
      </c>
    </row>
    <row r="923" spans="1:5" x14ac:dyDescent="0.25">
      <c r="A923" t="s">
        <v>1</v>
      </c>
      <c r="B923" t="s">
        <v>19</v>
      </c>
      <c r="C923" t="s">
        <v>23490</v>
      </c>
      <c r="D923" t="str">
        <f>HYPERLINK("https://rhld.insurance.arkansas.gov/NPILookup?Npi=1114305828","1114305828")</f>
        <v>1114305828</v>
      </c>
      <c r="E923" t="s">
        <v>19426</v>
      </c>
    </row>
    <row r="924" spans="1:5" x14ac:dyDescent="0.25">
      <c r="A924" t="s">
        <v>1</v>
      </c>
      <c r="B924" t="s">
        <v>19</v>
      </c>
      <c r="C924" t="s">
        <v>23490</v>
      </c>
      <c r="D924" t="str">
        <f>HYPERLINK("https://rhld.insurance.arkansas.gov/NPILookup?Npi=1114308707","1114308707")</f>
        <v>1114308707</v>
      </c>
      <c r="E924" t="s">
        <v>3218</v>
      </c>
    </row>
    <row r="925" spans="1:5" x14ac:dyDescent="0.25">
      <c r="A925" t="s">
        <v>1</v>
      </c>
      <c r="B925" t="s">
        <v>19</v>
      </c>
      <c r="C925" t="s">
        <v>23490</v>
      </c>
      <c r="D925" t="str">
        <f>HYPERLINK("https://rhld.insurance.arkansas.gov/NPILookup?Npi=1114310711","1114310711")</f>
        <v>1114310711</v>
      </c>
      <c r="E925" t="s">
        <v>403</v>
      </c>
    </row>
    <row r="926" spans="1:5" x14ac:dyDescent="0.25">
      <c r="A926" t="s">
        <v>1</v>
      </c>
      <c r="B926" t="s">
        <v>19</v>
      </c>
      <c r="C926" t="s">
        <v>23490</v>
      </c>
      <c r="D926" t="str">
        <f>HYPERLINK("https://rhld.insurance.arkansas.gov/NPILookup?Npi=1114311529","1114311529")</f>
        <v>1114311529</v>
      </c>
      <c r="E926" t="s">
        <v>13373</v>
      </c>
    </row>
    <row r="927" spans="1:5" x14ac:dyDescent="0.25">
      <c r="A927" t="s">
        <v>1</v>
      </c>
      <c r="B927" t="s">
        <v>19</v>
      </c>
      <c r="C927" t="s">
        <v>23490</v>
      </c>
      <c r="D927" t="str">
        <f>HYPERLINK("https://rhld.insurance.arkansas.gov/NPILookup?Npi=1114318532","1114318532")</f>
        <v>1114318532</v>
      </c>
      <c r="E927" t="s">
        <v>404</v>
      </c>
    </row>
    <row r="928" spans="1:5" x14ac:dyDescent="0.25">
      <c r="A928" t="s">
        <v>1</v>
      </c>
      <c r="B928" t="s">
        <v>19</v>
      </c>
      <c r="C928" t="s">
        <v>23490</v>
      </c>
      <c r="D928" t="str">
        <f>HYPERLINK("https://rhld.insurance.arkansas.gov/NPILookup?Npi=1114319605","1114319605")</f>
        <v>1114319605</v>
      </c>
      <c r="E928" t="s">
        <v>405</v>
      </c>
    </row>
    <row r="929" spans="1:5" x14ac:dyDescent="0.25">
      <c r="A929" t="s">
        <v>1</v>
      </c>
      <c r="B929" t="s">
        <v>19</v>
      </c>
      <c r="C929" t="s">
        <v>23490</v>
      </c>
      <c r="D929" t="str">
        <f>HYPERLINK("https://rhld.insurance.arkansas.gov/NPILookup?Npi=1114329497","1114329497")</f>
        <v>1114329497</v>
      </c>
      <c r="E929" t="s">
        <v>406</v>
      </c>
    </row>
    <row r="930" spans="1:5" x14ac:dyDescent="0.25">
      <c r="A930" t="s">
        <v>1</v>
      </c>
      <c r="B930" t="s">
        <v>19</v>
      </c>
      <c r="C930" t="s">
        <v>23490</v>
      </c>
      <c r="D930" t="str">
        <f>HYPERLINK("https://rhld.insurance.arkansas.gov/NPILookup?Npi=1114330420","1114330420")</f>
        <v>1114330420</v>
      </c>
      <c r="E930" t="s">
        <v>13374</v>
      </c>
    </row>
    <row r="931" spans="1:5" x14ac:dyDescent="0.25">
      <c r="A931" t="s">
        <v>1</v>
      </c>
      <c r="B931" t="s">
        <v>19</v>
      </c>
      <c r="C931" t="s">
        <v>23490</v>
      </c>
      <c r="D931" t="str">
        <f>HYPERLINK("https://rhld.insurance.arkansas.gov/NPILookup?Npi=1114330552","1114330552")</f>
        <v>1114330552</v>
      </c>
      <c r="E931" t="s">
        <v>10661</v>
      </c>
    </row>
    <row r="932" spans="1:5" x14ac:dyDescent="0.25">
      <c r="A932" t="s">
        <v>1</v>
      </c>
      <c r="B932" t="s">
        <v>19</v>
      </c>
      <c r="C932" t="s">
        <v>23490</v>
      </c>
      <c r="D932" t="str">
        <f>HYPERLINK("https://rhld.insurance.arkansas.gov/NPILookup?Npi=1114336278","1114336278")</f>
        <v>1114336278</v>
      </c>
      <c r="E932" t="s">
        <v>407</v>
      </c>
    </row>
    <row r="933" spans="1:5" x14ac:dyDescent="0.25">
      <c r="A933" t="s">
        <v>1</v>
      </c>
      <c r="B933" t="s">
        <v>19</v>
      </c>
      <c r="C933" t="s">
        <v>23490</v>
      </c>
      <c r="D933" t="str">
        <f>HYPERLINK("https://rhld.insurance.arkansas.gov/NPILookup?Npi=1114347366","1114347366")</f>
        <v>1114347366</v>
      </c>
      <c r="E933" t="s">
        <v>408</v>
      </c>
    </row>
    <row r="934" spans="1:5" x14ac:dyDescent="0.25">
      <c r="A934" t="s">
        <v>1</v>
      </c>
      <c r="B934" t="s">
        <v>19</v>
      </c>
      <c r="C934" t="s">
        <v>23490</v>
      </c>
      <c r="D934" t="str">
        <f>HYPERLINK("https://rhld.insurance.arkansas.gov/NPILookup?Npi=1114359379","1114359379")</f>
        <v>1114359379</v>
      </c>
      <c r="E934" t="s">
        <v>8493</v>
      </c>
    </row>
    <row r="935" spans="1:5" x14ac:dyDescent="0.25">
      <c r="A935" t="s">
        <v>1</v>
      </c>
      <c r="B935" t="s">
        <v>19</v>
      </c>
      <c r="C935" t="s">
        <v>23490</v>
      </c>
      <c r="D935" t="str">
        <f>HYPERLINK("https://rhld.insurance.arkansas.gov/NPILookup?Npi=1114365905","1114365905")</f>
        <v>1114365905</v>
      </c>
      <c r="E935" t="s">
        <v>14779</v>
      </c>
    </row>
    <row r="936" spans="1:5" x14ac:dyDescent="0.25">
      <c r="A936" t="s">
        <v>1</v>
      </c>
      <c r="B936" t="s">
        <v>19</v>
      </c>
      <c r="C936" t="s">
        <v>23490</v>
      </c>
      <c r="D936" t="str">
        <f>HYPERLINK("https://rhld.insurance.arkansas.gov/NPILookup?Npi=1114366010","1114366010")</f>
        <v>1114366010</v>
      </c>
      <c r="E936" t="s">
        <v>8494</v>
      </c>
    </row>
    <row r="937" spans="1:5" x14ac:dyDescent="0.25">
      <c r="A937" t="s">
        <v>1</v>
      </c>
      <c r="B937" t="s">
        <v>19</v>
      </c>
      <c r="C937" t="s">
        <v>23490</v>
      </c>
      <c r="D937" t="str">
        <f>HYPERLINK("https://rhld.insurance.arkansas.gov/NPILookup?Npi=1114371119","1114371119")</f>
        <v>1114371119</v>
      </c>
      <c r="E937" t="s">
        <v>5014</v>
      </c>
    </row>
    <row r="938" spans="1:5" x14ac:dyDescent="0.25">
      <c r="A938" t="s">
        <v>1</v>
      </c>
      <c r="B938" t="s">
        <v>19</v>
      </c>
      <c r="C938" t="s">
        <v>23490</v>
      </c>
      <c r="D938" t="str">
        <f>HYPERLINK("https://rhld.insurance.arkansas.gov/NPILookup?Npi=1114381472","1114381472")</f>
        <v>1114381472</v>
      </c>
      <c r="E938" t="s">
        <v>8495</v>
      </c>
    </row>
    <row r="939" spans="1:5" x14ac:dyDescent="0.25">
      <c r="A939" t="s">
        <v>1</v>
      </c>
      <c r="B939" t="s">
        <v>19</v>
      </c>
      <c r="C939" t="s">
        <v>23490</v>
      </c>
      <c r="D939" t="str">
        <f>HYPERLINK("https://rhld.insurance.arkansas.gov/NPILookup?Npi=1114385374","1114385374")</f>
        <v>1114385374</v>
      </c>
      <c r="E939" t="s">
        <v>8496</v>
      </c>
    </row>
    <row r="940" spans="1:5" x14ac:dyDescent="0.25">
      <c r="A940" t="s">
        <v>1</v>
      </c>
      <c r="B940" t="s">
        <v>19</v>
      </c>
      <c r="C940" t="s">
        <v>23490</v>
      </c>
      <c r="D940" t="str">
        <f>HYPERLINK("https://rhld.insurance.arkansas.gov/NPILookup?Npi=1114388113","1114388113")</f>
        <v>1114388113</v>
      </c>
      <c r="E940" t="s">
        <v>10662</v>
      </c>
    </row>
    <row r="941" spans="1:5" x14ac:dyDescent="0.25">
      <c r="A941" t="s">
        <v>1</v>
      </c>
      <c r="B941" t="s">
        <v>19</v>
      </c>
      <c r="C941" t="s">
        <v>23490</v>
      </c>
      <c r="D941" t="str">
        <f>HYPERLINK("https://rhld.insurance.arkansas.gov/NPILookup?Npi=1114390937","1114390937")</f>
        <v>1114390937</v>
      </c>
      <c r="E941" t="s">
        <v>8497</v>
      </c>
    </row>
    <row r="942" spans="1:5" x14ac:dyDescent="0.25">
      <c r="A942" t="s">
        <v>1</v>
      </c>
      <c r="B942" t="s">
        <v>19</v>
      </c>
      <c r="C942" t="s">
        <v>23490</v>
      </c>
      <c r="D942" t="str">
        <f>HYPERLINK("https://rhld.insurance.arkansas.gov/NPILookup?Npi=1114418993","1114418993")</f>
        <v>1114418993</v>
      </c>
      <c r="E942" t="s">
        <v>19427</v>
      </c>
    </row>
    <row r="943" spans="1:5" x14ac:dyDescent="0.25">
      <c r="A943" t="s">
        <v>1</v>
      </c>
      <c r="B943" t="s">
        <v>19</v>
      </c>
      <c r="C943" t="s">
        <v>23490</v>
      </c>
      <c r="D943" t="str">
        <f>HYPERLINK("https://rhld.insurance.arkansas.gov/NPILookup?Npi=1114421476","1114421476")</f>
        <v>1114421476</v>
      </c>
      <c r="E943" t="s">
        <v>16877</v>
      </c>
    </row>
    <row r="944" spans="1:5" x14ac:dyDescent="0.25">
      <c r="A944" t="s">
        <v>1</v>
      </c>
      <c r="B944" t="s">
        <v>19</v>
      </c>
      <c r="C944" t="s">
        <v>23490</v>
      </c>
      <c r="D944" t="str">
        <f>HYPERLINK("https://rhld.insurance.arkansas.gov/NPILookup?Npi=1114424736","1114424736")</f>
        <v>1114424736</v>
      </c>
      <c r="E944" t="s">
        <v>18671</v>
      </c>
    </row>
    <row r="945" spans="1:5" x14ac:dyDescent="0.25">
      <c r="A945" t="s">
        <v>1</v>
      </c>
      <c r="B945" t="s">
        <v>19</v>
      </c>
      <c r="C945" t="s">
        <v>23490</v>
      </c>
      <c r="D945" t="str">
        <f>HYPERLINK("https://rhld.insurance.arkansas.gov/NPILookup?Npi=1114454048","1114454048")</f>
        <v>1114454048</v>
      </c>
      <c r="E945" t="s">
        <v>12960</v>
      </c>
    </row>
    <row r="946" spans="1:5" x14ac:dyDescent="0.25">
      <c r="A946" t="s">
        <v>1</v>
      </c>
      <c r="B946" t="s">
        <v>19</v>
      </c>
      <c r="C946" t="s">
        <v>23490</v>
      </c>
      <c r="D946" t="str">
        <f>HYPERLINK("https://rhld.insurance.arkansas.gov/NPILookup?Npi=1114470549","1114470549")</f>
        <v>1114470549</v>
      </c>
      <c r="E946" t="s">
        <v>10663</v>
      </c>
    </row>
    <row r="947" spans="1:5" x14ac:dyDescent="0.25">
      <c r="A947" t="s">
        <v>1</v>
      </c>
      <c r="B947" t="s">
        <v>19</v>
      </c>
      <c r="C947" t="s">
        <v>23490</v>
      </c>
      <c r="D947" t="str">
        <f>HYPERLINK("https://rhld.insurance.arkansas.gov/NPILookup?Npi=1114480209","1114480209")</f>
        <v>1114480209</v>
      </c>
      <c r="E947" t="s">
        <v>20894</v>
      </c>
    </row>
    <row r="948" spans="1:5" x14ac:dyDescent="0.25">
      <c r="A948" t="s">
        <v>1</v>
      </c>
      <c r="B948" t="s">
        <v>19</v>
      </c>
      <c r="C948" t="s">
        <v>23490</v>
      </c>
      <c r="D948" t="str">
        <f>HYPERLINK("https://rhld.insurance.arkansas.gov/NPILookup?Npi=1114483104","1114483104")</f>
        <v>1114483104</v>
      </c>
      <c r="E948" t="s">
        <v>21467</v>
      </c>
    </row>
    <row r="949" spans="1:5" x14ac:dyDescent="0.25">
      <c r="A949" t="s">
        <v>1</v>
      </c>
      <c r="B949" t="s">
        <v>19</v>
      </c>
      <c r="C949" t="s">
        <v>23490</v>
      </c>
      <c r="D949" t="str">
        <f>HYPERLINK("https://rhld.insurance.arkansas.gov/NPILookup?Npi=1114484417","1114484417")</f>
        <v>1114484417</v>
      </c>
      <c r="E949" t="s">
        <v>19428</v>
      </c>
    </row>
    <row r="950" spans="1:5" x14ac:dyDescent="0.25">
      <c r="A950" t="s">
        <v>1</v>
      </c>
      <c r="B950" t="s">
        <v>19</v>
      </c>
      <c r="C950" t="s">
        <v>23490</v>
      </c>
      <c r="D950" t="str">
        <f>HYPERLINK("https://rhld.insurance.arkansas.gov/NPILookup?Npi=1114488483","1114488483")</f>
        <v>1114488483</v>
      </c>
      <c r="E950" t="s">
        <v>21371</v>
      </c>
    </row>
    <row r="951" spans="1:5" x14ac:dyDescent="0.25">
      <c r="A951" t="s">
        <v>1</v>
      </c>
      <c r="B951" t="s">
        <v>19</v>
      </c>
      <c r="C951" t="s">
        <v>23490</v>
      </c>
      <c r="D951" t="str">
        <f>HYPERLINK("https://rhld.insurance.arkansas.gov/NPILookup?Npi=1114491966","1114491966")</f>
        <v>1114491966</v>
      </c>
      <c r="E951" t="s">
        <v>13375</v>
      </c>
    </row>
    <row r="952" spans="1:5" x14ac:dyDescent="0.25">
      <c r="A952" t="s">
        <v>1</v>
      </c>
      <c r="B952" t="s">
        <v>19</v>
      </c>
      <c r="C952" t="s">
        <v>23490</v>
      </c>
      <c r="D952" t="str">
        <f>HYPERLINK("https://rhld.insurance.arkansas.gov/NPILookup?Npi=1114495322","1114495322")</f>
        <v>1114495322</v>
      </c>
      <c r="E952" t="s">
        <v>22893</v>
      </c>
    </row>
    <row r="953" spans="1:5" x14ac:dyDescent="0.25">
      <c r="A953" t="s">
        <v>1</v>
      </c>
      <c r="B953" t="s">
        <v>19</v>
      </c>
      <c r="C953" t="s">
        <v>23490</v>
      </c>
      <c r="D953" t="str">
        <f>HYPERLINK("https://rhld.insurance.arkansas.gov/NPILookup?Npi=1114502176","1114502176")</f>
        <v>1114502176</v>
      </c>
      <c r="E953" t="s">
        <v>17860</v>
      </c>
    </row>
    <row r="954" spans="1:5" x14ac:dyDescent="0.25">
      <c r="A954" t="s">
        <v>1</v>
      </c>
      <c r="B954" t="s">
        <v>19</v>
      </c>
      <c r="C954" t="s">
        <v>23490</v>
      </c>
      <c r="D954" t="str">
        <f>HYPERLINK("https://rhld.insurance.arkansas.gov/NPILookup?Npi=1114503430","1114503430")</f>
        <v>1114503430</v>
      </c>
      <c r="E954" t="s">
        <v>18672</v>
      </c>
    </row>
    <row r="955" spans="1:5" x14ac:dyDescent="0.25">
      <c r="A955" t="s">
        <v>1</v>
      </c>
      <c r="B955" t="s">
        <v>19</v>
      </c>
      <c r="C955" t="s">
        <v>23490</v>
      </c>
      <c r="D955" t="str">
        <f>HYPERLINK("https://rhld.insurance.arkansas.gov/NPILookup?Npi=1114520491","1114520491")</f>
        <v>1114520491</v>
      </c>
      <c r="E955" t="s">
        <v>22894</v>
      </c>
    </row>
    <row r="956" spans="1:5" x14ac:dyDescent="0.25">
      <c r="A956" t="s">
        <v>1</v>
      </c>
      <c r="B956" t="s">
        <v>19</v>
      </c>
      <c r="C956" t="s">
        <v>23490</v>
      </c>
      <c r="D956" t="str">
        <f>HYPERLINK("https://rhld.insurance.arkansas.gov/NPILookup?Npi=1114524436","1114524436")</f>
        <v>1114524436</v>
      </c>
      <c r="E956" t="s">
        <v>15829</v>
      </c>
    </row>
    <row r="957" spans="1:5" x14ac:dyDescent="0.25">
      <c r="A957" t="s">
        <v>1</v>
      </c>
      <c r="B957" t="s">
        <v>19</v>
      </c>
      <c r="C957" t="s">
        <v>23490</v>
      </c>
      <c r="D957" t="str">
        <f>HYPERLINK("https://rhld.insurance.arkansas.gov/NPILookup?Npi=1114534070","1114534070")</f>
        <v>1114534070</v>
      </c>
      <c r="E957" t="s">
        <v>17388</v>
      </c>
    </row>
    <row r="958" spans="1:5" x14ac:dyDescent="0.25">
      <c r="A958" t="s">
        <v>1</v>
      </c>
      <c r="B958" t="s">
        <v>19</v>
      </c>
      <c r="C958" t="s">
        <v>23490</v>
      </c>
      <c r="D958" t="str">
        <f>HYPERLINK("https://rhld.insurance.arkansas.gov/NPILookup?Npi=1114534369","1114534369")</f>
        <v>1114534369</v>
      </c>
      <c r="E958" t="s">
        <v>17861</v>
      </c>
    </row>
    <row r="959" spans="1:5" x14ac:dyDescent="0.25">
      <c r="A959" t="s">
        <v>1</v>
      </c>
      <c r="B959" t="s">
        <v>19</v>
      </c>
      <c r="C959" t="s">
        <v>23490</v>
      </c>
      <c r="D959" t="str">
        <f>HYPERLINK("https://rhld.insurance.arkansas.gov/NPILookup?Npi=1114558996","1114558996")</f>
        <v>1114558996</v>
      </c>
      <c r="E959" t="s">
        <v>19429</v>
      </c>
    </row>
    <row r="960" spans="1:5" x14ac:dyDescent="0.25">
      <c r="A960" t="s">
        <v>1</v>
      </c>
      <c r="B960" t="s">
        <v>19</v>
      </c>
      <c r="C960" t="s">
        <v>23490</v>
      </c>
      <c r="D960" t="str">
        <f>HYPERLINK("https://rhld.insurance.arkansas.gov/NPILookup?Npi=1114569928","1114569928")</f>
        <v>1114569928</v>
      </c>
      <c r="E960" t="s">
        <v>17389</v>
      </c>
    </row>
    <row r="961" spans="1:5" x14ac:dyDescent="0.25">
      <c r="A961" t="s">
        <v>1</v>
      </c>
      <c r="B961" t="s">
        <v>19</v>
      </c>
      <c r="C961" t="s">
        <v>23490</v>
      </c>
      <c r="D961" t="str">
        <f>HYPERLINK("https://rhld.insurance.arkansas.gov/NPILookup?Npi=1114571072","1114571072")</f>
        <v>1114571072</v>
      </c>
      <c r="E961" t="s">
        <v>19430</v>
      </c>
    </row>
    <row r="962" spans="1:5" x14ac:dyDescent="0.25">
      <c r="A962" t="s">
        <v>1</v>
      </c>
      <c r="B962" t="s">
        <v>19</v>
      </c>
      <c r="C962" t="s">
        <v>23490</v>
      </c>
      <c r="D962" t="str">
        <f>HYPERLINK("https://rhld.insurance.arkansas.gov/NPILookup?Npi=1114576469","1114576469")</f>
        <v>1114576469</v>
      </c>
      <c r="E962" t="s">
        <v>16878</v>
      </c>
    </row>
    <row r="963" spans="1:5" x14ac:dyDescent="0.25">
      <c r="A963" t="s">
        <v>1</v>
      </c>
      <c r="B963" t="s">
        <v>19</v>
      </c>
      <c r="C963" t="s">
        <v>23490</v>
      </c>
      <c r="D963" t="str">
        <f>HYPERLINK("https://rhld.insurance.arkansas.gov/NPILookup?Npi=1114650322","1114650322")</f>
        <v>1114650322</v>
      </c>
      <c r="E963" t="s">
        <v>21468</v>
      </c>
    </row>
    <row r="964" spans="1:5" x14ac:dyDescent="0.25">
      <c r="A964" t="s">
        <v>1</v>
      </c>
      <c r="B964" t="s">
        <v>19</v>
      </c>
      <c r="C964" t="s">
        <v>23490</v>
      </c>
      <c r="D964" t="str">
        <f>HYPERLINK("https://rhld.insurance.arkansas.gov/NPILookup?Npi=1114658291","1114658291")</f>
        <v>1114658291</v>
      </c>
      <c r="E964" t="s">
        <v>21469</v>
      </c>
    </row>
    <row r="965" spans="1:5" x14ac:dyDescent="0.25">
      <c r="A965" t="s">
        <v>1</v>
      </c>
      <c r="B965" t="s">
        <v>19</v>
      </c>
      <c r="C965" t="s">
        <v>23490</v>
      </c>
      <c r="D965" t="str">
        <f>HYPERLINK("https://rhld.insurance.arkansas.gov/NPILookup?Npi=1114681053","1114681053")</f>
        <v>1114681053</v>
      </c>
      <c r="E965" t="s">
        <v>19431</v>
      </c>
    </row>
    <row r="966" spans="1:5" x14ac:dyDescent="0.25">
      <c r="A966" t="s">
        <v>1</v>
      </c>
      <c r="B966" t="s">
        <v>19</v>
      </c>
      <c r="C966" t="s">
        <v>23490</v>
      </c>
      <c r="D966" t="str">
        <f>HYPERLINK("https://rhld.insurance.arkansas.gov/NPILookup?Npi=1114687316","1114687316")</f>
        <v>1114687316</v>
      </c>
      <c r="E966" t="s">
        <v>19432</v>
      </c>
    </row>
    <row r="967" spans="1:5" x14ac:dyDescent="0.25">
      <c r="A967" t="s">
        <v>1</v>
      </c>
      <c r="B967" t="s">
        <v>19</v>
      </c>
      <c r="C967" t="s">
        <v>23490</v>
      </c>
      <c r="D967" t="str">
        <f>HYPERLINK("https://rhld.insurance.arkansas.gov/NPILookup?Npi=1114903879","1114903879")</f>
        <v>1114903879</v>
      </c>
      <c r="E967" t="s">
        <v>409</v>
      </c>
    </row>
    <row r="968" spans="1:5" x14ac:dyDescent="0.25">
      <c r="A968" t="s">
        <v>1</v>
      </c>
      <c r="B968" t="s">
        <v>19</v>
      </c>
      <c r="C968" t="s">
        <v>23490</v>
      </c>
      <c r="D968" t="str">
        <f>HYPERLINK("https://rhld.insurance.arkansas.gov/NPILookup?Npi=1114913555","1114913555")</f>
        <v>1114913555</v>
      </c>
      <c r="E968" t="s">
        <v>410</v>
      </c>
    </row>
    <row r="969" spans="1:5" x14ac:dyDescent="0.25">
      <c r="A969" t="s">
        <v>1</v>
      </c>
      <c r="B969" t="s">
        <v>19</v>
      </c>
      <c r="C969" t="s">
        <v>23490</v>
      </c>
      <c r="D969" t="str">
        <f>HYPERLINK("https://rhld.insurance.arkansas.gov/NPILookup?Npi=1114920972","1114920972")</f>
        <v>1114920972</v>
      </c>
      <c r="E969" t="s">
        <v>411</v>
      </c>
    </row>
    <row r="970" spans="1:5" x14ac:dyDescent="0.25">
      <c r="A970" t="s">
        <v>1</v>
      </c>
      <c r="B970" t="s">
        <v>19</v>
      </c>
      <c r="C970" t="s">
        <v>23490</v>
      </c>
      <c r="D970" t="str">
        <f>HYPERLINK("https://rhld.insurance.arkansas.gov/NPILookup?Npi=1114928439","1114928439")</f>
        <v>1114928439</v>
      </c>
      <c r="E970" t="s">
        <v>17862</v>
      </c>
    </row>
    <row r="971" spans="1:5" x14ac:dyDescent="0.25">
      <c r="A971" t="s">
        <v>1</v>
      </c>
      <c r="B971" t="s">
        <v>19</v>
      </c>
      <c r="C971" t="s">
        <v>23490</v>
      </c>
      <c r="D971" t="str">
        <f>HYPERLINK("https://rhld.insurance.arkansas.gov/NPILookup?Npi=1114928793","1114928793")</f>
        <v>1114928793</v>
      </c>
      <c r="E971" t="s">
        <v>412</v>
      </c>
    </row>
    <row r="972" spans="1:5" x14ac:dyDescent="0.25">
      <c r="A972" t="s">
        <v>1</v>
      </c>
      <c r="B972" t="s">
        <v>19</v>
      </c>
      <c r="C972" t="s">
        <v>23490</v>
      </c>
      <c r="D972" t="str">
        <f>HYPERLINK("https://rhld.insurance.arkansas.gov/NPILookup?Npi=1114945656","1114945656")</f>
        <v>1114945656</v>
      </c>
      <c r="E972" t="s">
        <v>13376</v>
      </c>
    </row>
    <row r="973" spans="1:5" x14ac:dyDescent="0.25">
      <c r="A973" t="s">
        <v>1</v>
      </c>
      <c r="B973" t="s">
        <v>19</v>
      </c>
      <c r="C973" t="s">
        <v>23490</v>
      </c>
      <c r="D973" t="str">
        <f>HYPERLINK("https://rhld.insurance.arkansas.gov/NPILookup?Npi=1114953858","1114953858")</f>
        <v>1114953858</v>
      </c>
      <c r="E973" t="s">
        <v>413</v>
      </c>
    </row>
    <row r="974" spans="1:5" x14ac:dyDescent="0.25">
      <c r="A974" t="s">
        <v>1</v>
      </c>
      <c r="B974" t="s">
        <v>19</v>
      </c>
      <c r="C974" t="s">
        <v>23490</v>
      </c>
      <c r="D974" t="str">
        <f>HYPERLINK("https://rhld.insurance.arkansas.gov/NPILookup?Npi=1114960473","1114960473")</f>
        <v>1114960473</v>
      </c>
      <c r="E974" t="s">
        <v>414</v>
      </c>
    </row>
    <row r="975" spans="1:5" x14ac:dyDescent="0.25">
      <c r="A975" t="s">
        <v>1</v>
      </c>
      <c r="B975" t="s">
        <v>19</v>
      </c>
      <c r="C975" t="s">
        <v>23490</v>
      </c>
      <c r="D975" t="str">
        <f>HYPERLINK("https://rhld.insurance.arkansas.gov/NPILookup?Npi=1114970084","1114970084")</f>
        <v>1114970084</v>
      </c>
      <c r="E975" t="s">
        <v>415</v>
      </c>
    </row>
    <row r="976" spans="1:5" x14ac:dyDescent="0.25">
      <c r="A976" t="s">
        <v>1</v>
      </c>
      <c r="B976" t="s">
        <v>19</v>
      </c>
      <c r="C976" t="s">
        <v>23490</v>
      </c>
      <c r="D976" t="str">
        <f>HYPERLINK("https://rhld.insurance.arkansas.gov/NPILookup?Npi=1114970704","1114970704")</f>
        <v>1114970704</v>
      </c>
      <c r="E976" t="s">
        <v>416</v>
      </c>
    </row>
    <row r="977" spans="1:5" x14ac:dyDescent="0.25">
      <c r="A977" t="s">
        <v>1</v>
      </c>
      <c r="B977" t="s">
        <v>19</v>
      </c>
      <c r="C977" t="s">
        <v>23490</v>
      </c>
      <c r="D977" t="str">
        <f>HYPERLINK("https://rhld.insurance.arkansas.gov/NPILookup?Npi=1114984069","1114984069")</f>
        <v>1114984069</v>
      </c>
      <c r="E977" t="s">
        <v>19433</v>
      </c>
    </row>
    <row r="978" spans="1:5" x14ac:dyDescent="0.25">
      <c r="A978" t="s">
        <v>1</v>
      </c>
      <c r="B978" t="s">
        <v>19</v>
      </c>
      <c r="C978" t="s">
        <v>23490</v>
      </c>
      <c r="D978" t="str">
        <f>HYPERLINK("https://rhld.insurance.arkansas.gov/NPILookup?Npi=1114989530","1114989530")</f>
        <v>1114989530</v>
      </c>
      <c r="E978" t="s">
        <v>417</v>
      </c>
    </row>
    <row r="979" spans="1:5" x14ac:dyDescent="0.25">
      <c r="A979" t="s">
        <v>1</v>
      </c>
      <c r="B979" t="s">
        <v>19</v>
      </c>
      <c r="C979" t="s">
        <v>23490</v>
      </c>
      <c r="D979" t="str">
        <f>HYPERLINK("https://rhld.insurance.arkansas.gov/NPILookup?Npi=1114992732","1114992732")</f>
        <v>1114992732</v>
      </c>
      <c r="E979" t="s">
        <v>418</v>
      </c>
    </row>
    <row r="980" spans="1:5" x14ac:dyDescent="0.25">
      <c r="A980" t="s">
        <v>1</v>
      </c>
      <c r="B980" t="s">
        <v>19</v>
      </c>
      <c r="C980" t="s">
        <v>23490</v>
      </c>
      <c r="D980" t="str">
        <f>HYPERLINK("https://rhld.insurance.arkansas.gov/NPILookup?Npi=1114994035","1114994035")</f>
        <v>1114994035</v>
      </c>
      <c r="E980" t="s">
        <v>419</v>
      </c>
    </row>
    <row r="981" spans="1:5" x14ac:dyDescent="0.25">
      <c r="A981" t="s">
        <v>1</v>
      </c>
      <c r="B981" t="s">
        <v>19</v>
      </c>
      <c r="C981" t="s">
        <v>23490</v>
      </c>
      <c r="D981" t="str">
        <f>HYPERLINK("https://rhld.insurance.arkansas.gov/NPILookup?Npi=1114995354","1114995354")</f>
        <v>1114995354</v>
      </c>
      <c r="E981" t="s">
        <v>8498</v>
      </c>
    </row>
    <row r="982" spans="1:5" x14ac:dyDescent="0.25">
      <c r="A982" t="s">
        <v>1</v>
      </c>
      <c r="B982" t="s">
        <v>19</v>
      </c>
      <c r="C982" t="s">
        <v>23490</v>
      </c>
      <c r="D982" t="str">
        <f>HYPERLINK("https://rhld.insurance.arkansas.gov/NPILookup?Npi=1124003785","1124003785")</f>
        <v>1124003785</v>
      </c>
      <c r="E982" t="s">
        <v>14783</v>
      </c>
    </row>
    <row r="983" spans="1:5" x14ac:dyDescent="0.25">
      <c r="A983" t="s">
        <v>1</v>
      </c>
      <c r="B983" t="s">
        <v>19</v>
      </c>
      <c r="C983" t="s">
        <v>23490</v>
      </c>
      <c r="D983" t="str">
        <f>HYPERLINK("https://rhld.insurance.arkansas.gov/NPILookup?Npi=1124010301","1124010301")</f>
        <v>1124010301</v>
      </c>
      <c r="E983" t="s">
        <v>420</v>
      </c>
    </row>
    <row r="984" spans="1:5" x14ac:dyDescent="0.25">
      <c r="A984" t="s">
        <v>1</v>
      </c>
      <c r="B984" t="s">
        <v>19</v>
      </c>
      <c r="C984" t="s">
        <v>23490</v>
      </c>
      <c r="D984" t="str">
        <f>HYPERLINK("https://rhld.insurance.arkansas.gov/NPILookup?Npi=1124011747","1124011747")</f>
        <v>1124011747</v>
      </c>
      <c r="E984" t="s">
        <v>421</v>
      </c>
    </row>
    <row r="985" spans="1:5" x14ac:dyDescent="0.25">
      <c r="A985" t="s">
        <v>1</v>
      </c>
      <c r="B985" t="s">
        <v>19</v>
      </c>
      <c r="C985" t="s">
        <v>23490</v>
      </c>
      <c r="D985" t="str">
        <f>HYPERLINK("https://rhld.insurance.arkansas.gov/NPILookup?Npi=1124011754","1124011754")</f>
        <v>1124011754</v>
      </c>
      <c r="E985" t="s">
        <v>8499</v>
      </c>
    </row>
    <row r="986" spans="1:5" x14ac:dyDescent="0.25">
      <c r="A986" t="s">
        <v>1</v>
      </c>
      <c r="B986" t="s">
        <v>19</v>
      </c>
      <c r="C986" t="s">
        <v>23490</v>
      </c>
      <c r="D986" t="str">
        <f>HYPERLINK("https://rhld.insurance.arkansas.gov/NPILookup?Npi=1124012323","1124012323")</f>
        <v>1124012323</v>
      </c>
      <c r="E986" t="s">
        <v>19434</v>
      </c>
    </row>
    <row r="987" spans="1:5" x14ac:dyDescent="0.25">
      <c r="A987" t="s">
        <v>1</v>
      </c>
      <c r="B987" t="s">
        <v>19</v>
      </c>
      <c r="C987" t="s">
        <v>23490</v>
      </c>
      <c r="D987" t="str">
        <f>HYPERLINK("https://rhld.insurance.arkansas.gov/NPILookup?Npi=1124013925","1124013925")</f>
        <v>1124013925</v>
      </c>
      <c r="E987" t="s">
        <v>422</v>
      </c>
    </row>
    <row r="988" spans="1:5" x14ac:dyDescent="0.25">
      <c r="A988" t="s">
        <v>1</v>
      </c>
      <c r="B988" t="s">
        <v>19</v>
      </c>
      <c r="C988" t="s">
        <v>23490</v>
      </c>
      <c r="D988" t="str">
        <f>HYPERLINK("https://rhld.insurance.arkansas.gov/NPILookup?Npi=1124016985","1124016985")</f>
        <v>1124016985</v>
      </c>
      <c r="E988" t="s">
        <v>423</v>
      </c>
    </row>
    <row r="989" spans="1:5" x14ac:dyDescent="0.25">
      <c r="A989" t="s">
        <v>1</v>
      </c>
      <c r="B989" t="s">
        <v>19</v>
      </c>
      <c r="C989" t="s">
        <v>23490</v>
      </c>
      <c r="D989" t="str">
        <f>HYPERLINK("https://rhld.insurance.arkansas.gov/NPILookup?Npi=1124024864","1124024864")</f>
        <v>1124024864</v>
      </c>
      <c r="E989" t="s">
        <v>10664</v>
      </c>
    </row>
    <row r="990" spans="1:5" x14ac:dyDescent="0.25">
      <c r="A990" t="s">
        <v>1</v>
      </c>
      <c r="B990" t="s">
        <v>19</v>
      </c>
      <c r="C990" t="s">
        <v>23490</v>
      </c>
      <c r="D990" t="str">
        <f>HYPERLINK("https://rhld.insurance.arkansas.gov/NPILookup?Npi=1124026836","1124026836")</f>
        <v>1124026836</v>
      </c>
      <c r="E990" t="s">
        <v>424</v>
      </c>
    </row>
    <row r="991" spans="1:5" x14ac:dyDescent="0.25">
      <c r="A991" t="s">
        <v>1</v>
      </c>
      <c r="B991" t="s">
        <v>19</v>
      </c>
      <c r="C991" t="s">
        <v>23490</v>
      </c>
      <c r="D991" t="str">
        <f>HYPERLINK("https://rhld.insurance.arkansas.gov/NPILookup?Npi=1124028949","1124028949")</f>
        <v>1124028949</v>
      </c>
      <c r="E991" t="s">
        <v>425</v>
      </c>
    </row>
    <row r="992" spans="1:5" x14ac:dyDescent="0.25">
      <c r="A992" t="s">
        <v>1</v>
      </c>
      <c r="B992" t="s">
        <v>19</v>
      </c>
      <c r="C992" t="s">
        <v>23490</v>
      </c>
      <c r="D992" t="str">
        <f>HYPERLINK("https://rhld.insurance.arkansas.gov/NPILookup?Npi=1124029624","1124029624")</f>
        <v>1124029624</v>
      </c>
      <c r="E992" t="s">
        <v>426</v>
      </c>
    </row>
    <row r="993" spans="1:5" x14ac:dyDescent="0.25">
      <c r="A993" t="s">
        <v>1</v>
      </c>
      <c r="B993" t="s">
        <v>19</v>
      </c>
      <c r="C993" t="s">
        <v>23490</v>
      </c>
      <c r="D993" t="str">
        <f>HYPERLINK("https://rhld.insurance.arkansas.gov/NPILookup?Npi=1124032289","1124032289")</f>
        <v>1124032289</v>
      </c>
      <c r="E993" t="s">
        <v>427</v>
      </c>
    </row>
    <row r="994" spans="1:5" x14ac:dyDescent="0.25">
      <c r="A994" t="s">
        <v>1</v>
      </c>
      <c r="B994" t="s">
        <v>19</v>
      </c>
      <c r="C994" t="s">
        <v>23490</v>
      </c>
      <c r="D994" t="str">
        <f>HYPERLINK("https://rhld.insurance.arkansas.gov/NPILookup?Npi=1124035993","1124035993")</f>
        <v>1124035993</v>
      </c>
      <c r="E994" t="s">
        <v>428</v>
      </c>
    </row>
    <row r="995" spans="1:5" x14ac:dyDescent="0.25">
      <c r="A995" t="s">
        <v>1</v>
      </c>
      <c r="B995" t="s">
        <v>19</v>
      </c>
      <c r="C995" t="s">
        <v>23490</v>
      </c>
      <c r="D995" t="str">
        <f>HYPERLINK("https://rhld.insurance.arkansas.gov/NPILookup?Npi=1124058839","1124058839")</f>
        <v>1124058839</v>
      </c>
      <c r="E995" t="s">
        <v>16879</v>
      </c>
    </row>
    <row r="996" spans="1:5" x14ac:dyDescent="0.25">
      <c r="A996" t="s">
        <v>1</v>
      </c>
      <c r="B996" t="s">
        <v>19</v>
      </c>
      <c r="C996" t="s">
        <v>23490</v>
      </c>
      <c r="D996" t="str">
        <f>HYPERLINK("https://rhld.insurance.arkansas.gov/NPILookup?Npi=1124074489","1124074489")</f>
        <v>1124074489</v>
      </c>
      <c r="E996" t="s">
        <v>429</v>
      </c>
    </row>
    <row r="997" spans="1:5" x14ac:dyDescent="0.25">
      <c r="A997" t="s">
        <v>1</v>
      </c>
      <c r="B997" t="s">
        <v>19</v>
      </c>
      <c r="C997" t="s">
        <v>23490</v>
      </c>
      <c r="D997" t="str">
        <f>HYPERLINK("https://rhld.insurance.arkansas.gov/NPILookup?Npi=1124076922","1124076922")</f>
        <v>1124076922</v>
      </c>
      <c r="E997" t="s">
        <v>430</v>
      </c>
    </row>
    <row r="998" spans="1:5" x14ac:dyDescent="0.25">
      <c r="A998" t="s">
        <v>1</v>
      </c>
      <c r="B998" t="s">
        <v>19</v>
      </c>
      <c r="C998" t="s">
        <v>23490</v>
      </c>
      <c r="D998" t="str">
        <f>HYPERLINK("https://rhld.insurance.arkansas.gov/NPILookup?Npi=1124084926","1124084926")</f>
        <v>1124084926</v>
      </c>
      <c r="E998" t="s">
        <v>17863</v>
      </c>
    </row>
    <row r="999" spans="1:5" x14ac:dyDescent="0.25">
      <c r="A999" t="s">
        <v>1</v>
      </c>
      <c r="B999" t="s">
        <v>19</v>
      </c>
      <c r="C999" t="s">
        <v>23490</v>
      </c>
      <c r="D999" t="str">
        <f>HYPERLINK("https://rhld.insurance.arkansas.gov/NPILookup?Npi=1124086996","1124086996")</f>
        <v>1124086996</v>
      </c>
      <c r="E999" t="s">
        <v>431</v>
      </c>
    </row>
    <row r="1000" spans="1:5" x14ac:dyDescent="0.25">
      <c r="A1000" t="s">
        <v>1</v>
      </c>
      <c r="B1000" t="s">
        <v>19</v>
      </c>
      <c r="C1000" t="s">
        <v>23490</v>
      </c>
      <c r="D1000" t="str">
        <f>HYPERLINK("https://rhld.insurance.arkansas.gov/NPILookup?Npi=1124092960","1124092960")</f>
        <v>1124092960</v>
      </c>
      <c r="E1000" t="s">
        <v>433</v>
      </c>
    </row>
    <row r="1001" spans="1:5" x14ac:dyDescent="0.25">
      <c r="A1001" t="s">
        <v>1</v>
      </c>
      <c r="B1001" t="s">
        <v>19</v>
      </c>
      <c r="C1001" t="s">
        <v>23490</v>
      </c>
      <c r="D1001" t="str">
        <f>HYPERLINK("https://rhld.insurance.arkansas.gov/NPILookup?Npi=1124095120","1124095120")</f>
        <v>1124095120</v>
      </c>
      <c r="E1001" t="s">
        <v>434</v>
      </c>
    </row>
    <row r="1002" spans="1:5" x14ac:dyDescent="0.25">
      <c r="A1002" t="s">
        <v>1</v>
      </c>
      <c r="B1002" t="s">
        <v>19</v>
      </c>
      <c r="C1002" t="s">
        <v>23490</v>
      </c>
      <c r="D1002" t="str">
        <f>HYPERLINK("https://rhld.insurance.arkansas.gov/NPILookup?Npi=1124098587","1124098587")</f>
        <v>1124098587</v>
      </c>
      <c r="E1002" t="s">
        <v>435</v>
      </c>
    </row>
    <row r="1003" spans="1:5" x14ac:dyDescent="0.25">
      <c r="A1003" t="s">
        <v>1</v>
      </c>
      <c r="B1003" t="s">
        <v>19</v>
      </c>
      <c r="C1003" t="s">
        <v>23490</v>
      </c>
      <c r="D1003" t="str">
        <f>HYPERLINK("https://rhld.insurance.arkansas.gov/NPILookup?Npi=1124127634","1124127634")</f>
        <v>1124127634</v>
      </c>
      <c r="E1003" t="s">
        <v>438</v>
      </c>
    </row>
    <row r="1004" spans="1:5" x14ac:dyDescent="0.25">
      <c r="A1004" t="s">
        <v>1</v>
      </c>
      <c r="B1004" t="s">
        <v>19</v>
      </c>
      <c r="C1004" t="s">
        <v>23490</v>
      </c>
      <c r="D1004" t="str">
        <f>HYPERLINK("https://rhld.insurance.arkansas.gov/NPILookup?Npi=1124132485","1124132485")</f>
        <v>1124132485</v>
      </c>
      <c r="E1004" t="s">
        <v>439</v>
      </c>
    </row>
    <row r="1005" spans="1:5" x14ac:dyDescent="0.25">
      <c r="A1005" t="s">
        <v>1</v>
      </c>
      <c r="B1005" t="s">
        <v>19</v>
      </c>
      <c r="C1005" t="s">
        <v>23490</v>
      </c>
      <c r="D1005" t="str">
        <f>HYPERLINK("https://rhld.insurance.arkansas.gov/NPILookup?Npi=1124132550","1124132550")</f>
        <v>1124132550</v>
      </c>
      <c r="E1005" t="s">
        <v>440</v>
      </c>
    </row>
    <row r="1006" spans="1:5" x14ac:dyDescent="0.25">
      <c r="A1006" t="s">
        <v>1</v>
      </c>
      <c r="B1006" t="s">
        <v>19</v>
      </c>
      <c r="C1006" t="s">
        <v>23490</v>
      </c>
      <c r="D1006" t="str">
        <f>HYPERLINK("https://rhld.insurance.arkansas.gov/NPILookup?Npi=1124162979","1124162979")</f>
        <v>1124162979</v>
      </c>
      <c r="E1006" t="s">
        <v>10665</v>
      </c>
    </row>
    <row r="1007" spans="1:5" x14ac:dyDescent="0.25">
      <c r="A1007" t="s">
        <v>1</v>
      </c>
      <c r="B1007" t="s">
        <v>19</v>
      </c>
      <c r="C1007" t="s">
        <v>23490</v>
      </c>
      <c r="D1007" t="str">
        <f>HYPERLINK("https://rhld.insurance.arkansas.gov/NPILookup?Npi=1124192695","1124192695")</f>
        <v>1124192695</v>
      </c>
      <c r="E1007" t="s">
        <v>441</v>
      </c>
    </row>
    <row r="1008" spans="1:5" x14ac:dyDescent="0.25">
      <c r="A1008" t="s">
        <v>1</v>
      </c>
      <c r="B1008" t="s">
        <v>19</v>
      </c>
      <c r="C1008" t="s">
        <v>23490</v>
      </c>
      <c r="D1008" t="str">
        <f>HYPERLINK("https://rhld.insurance.arkansas.gov/NPILookup?Npi=1124195698","1124195698")</f>
        <v>1124195698</v>
      </c>
      <c r="E1008" t="s">
        <v>443</v>
      </c>
    </row>
    <row r="1009" spans="1:5" x14ac:dyDescent="0.25">
      <c r="A1009" t="s">
        <v>1</v>
      </c>
      <c r="B1009" t="s">
        <v>19</v>
      </c>
      <c r="C1009" t="s">
        <v>23490</v>
      </c>
      <c r="D1009" t="str">
        <f>HYPERLINK("https://rhld.insurance.arkansas.gov/NPILookup?Npi=1124220025","1124220025")</f>
        <v>1124220025</v>
      </c>
      <c r="E1009" t="s">
        <v>14790</v>
      </c>
    </row>
    <row r="1010" spans="1:5" x14ac:dyDescent="0.25">
      <c r="A1010" t="s">
        <v>1</v>
      </c>
      <c r="B1010" t="s">
        <v>19</v>
      </c>
      <c r="C1010" t="s">
        <v>23490</v>
      </c>
      <c r="D1010" t="str">
        <f>HYPERLINK("https://rhld.insurance.arkansas.gov/NPILookup?Npi=1124228382","1124228382")</f>
        <v>1124228382</v>
      </c>
      <c r="E1010" t="s">
        <v>445</v>
      </c>
    </row>
    <row r="1011" spans="1:5" x14ac:dyDescent="0.25">
      <c r="A1011" t="s">
        <v>1</v>
      </c>
      <c r="B1011" t="s">
        <v>19</v>
      </c>
      <c r="C1011" t="s">
        <v>23490</v>
      </c>
      <c r="D1011" t="str">
        <f>HYPERLINK("https://rhld.insurance.arkansas.gov/NPILookup?Npi=1124228804","1124228804")</f>
        <v>1124228804</v>
      </c>
      <c r="E1011" t="s">
        <v>446</v>
      </c>
    </row>
    <row r="1012" spans="1:5" x14ac:dyDescent="0.25">
      <c r="A1012" t="s">
        <v>1</v>
      </c>
      <c r="B1012" t="s">
        <v>19</v>
      </c>
      <c r="C1012" t="s">
        <v>23490</v>
      </c>
      <c r="D1012" t="str">
        <f>HYPERLINK("https://rhld.insurance.arkansas.gov/NPILookup?Npi=1124238951","1124238951")</f>
        <v>1124238951</v>
      </c>
      <c r="E1012" t="s">
        <v>4876</v>
      </c>
    </row>
    <row r="1013" spans="1:5" x14ac:dyDescent="0.25">
      <c r="A1013" t="s">
        <v>1</v>
      </c>
      <c r="B1013" t="s">
        <v>19</v>
      </c>
      <c r="C1013" t="s">
        <v>23490</v>
      </c>
      <c r="D1013" t="str">
        <f>HYPERLINK("https://rhld.insurance.arkansas.gov/NPILookup?Npi=1124250741","1124250741")</f>
        <v>1124250741</v>
      </c>
      <c r="E1013" t="s">
        <v>447</v>
      </c>
    </row>
    <row r="1014" spans="1:5" x14ac:dyDescent="0.25">
      <c r="A1014" t="s">
        <v>1</v>
      </c>
      <c r="B1014" t="s">
        <v>19</v>
      </c>
      <c r="C1014" t="s">
        <v>23490</v>
      </c>
      <c r="D1014" t="str">
        <f>HYPERLINK("https://rhld.insurance.arkansas.gov/NPILookup?Npi=1124254404","1124254404")</f>
        <v>1124254404</v>
      </c>
      <c r="E1014" t="s">
        <v>8501</v>
      </c>
    </row>
    <row r="1015" spans="1:5" x14ac:dyDescent="0.25">
      <c r="A1015" t="s">
        <v>1</v>
      </c>
      <c r="B1015" t="s">
        <v>19</v>
      </c>
      <c r="C1015" t="s">
        <v>23490</v>
      </c>
      <c r="D1015" t="str">
        <f>HYPERLINK("https://rhld.insurance.arkansas.gov/NPILookup?Npi=1124258553","1124258553")</f>
        <v>1124258553</v>
      </c>
      <c r="E1015" t="s">
        <v>448</v>
      </c>
    </row>
    <row r="1016" spans="1:5" x14ac:dyDescent="0.25">
      <c r="A1016" t="s">
        <v>1</v>
      </c>
      <c r="B1016" t="s">
        <v>19</v>
      </c>
      <c r="C1016" t="s">
        <v>23490</v>
      </c>
      <c r="D1016" t="str">
        <f>HYPERLINK("https://rhld.insurance.arkansas.gov/NPILookup?Npi=1124269642","1124269642")</f>
        <v>1124269642</v>
      </c>
      <c r="E1016" t="s">
        <v>19435</v>
      </c>
    </row>
    <row r="1017" spans="1:5" x14ac:dyDescent="0.25">
      <c r="A1017" t="s">
        <v>1</v>
      </c>
      <c r="B1017" t="s">
        <v>19</v>
      </c>
      <c r="C1017" t="s">
        <v>23490</v>
      </c>
      <c r="D1017" t="str">
        <f>HYPERLINK("https://rhld.insurance.arkansas.gov/NPILookup?Npi=1124274709","1124274709")</f>
        <v>1124274709</v>
      </c>
      <c r="E1017" t="s">
        <v>449</v>
      </c>
    </row>
    <row r="1018" spans="1:5" x14ac:dyDescent="0.25">
      <c r="A1018" t="s">
        <v>1</v>
      </c>
      <c r="B1018" t="s">
        <v>19</v>
      </c>
      <c r="C1018" t="s">
        <v>23490</v>
      </c>
      <c r="D1018" t="str">
        <f>HYPERLINK("https://rhld.insurance.arkansas.gov/NPILookup?Npi=1124274857","1124274857")</f>
        <v>1124274857</v>
      </c>
      <c r="E1018" t="s">
        <v>450</v>
      </c>
    </row>
    <row r="1019" spans="1:5" x14ac:dyDescent="0.25">
      <c r="A1019" t="s">
        <v>1</v>
      </c>
      <c r="B1019" t="s">
        <v>19</v>
      </c>
      <c r="C1019" t="s">
        <v>23490</v>
      </c>
      <c r="D1019" t="str">
        <f>HYPERLINK("https://rhld.insurance.arkansas.gov/NPILookup?Npi=1124281563","1124281563")</f>
        <v>1124281563</v>
      </c>
      <c r="E1019" t="s">
        <v>451</v>
      </c>
    </row>
    <row r="1020" spans="1:5" x14ac:dyDescent="0.25">
      <c r="A1020" t="s">
        <v>1</v>
      </c>
      <c r="B1020" t="s">
        <v>19</v>
      </c>
      <c r="C1020" t="s">
        <v>23490</v>
      </c>
      <c r="D1020" t="str">
        <f>HYPERLINK("https://rhld.insurance.arkansas.gov/NPILookup?Npi=1124289764","1124289764")</f>
        <v>1124289764</v>
      </c>
      <c r="E1020" t="s">
        <v>452</v>
      </c>
    </row>
    <row r="1021" spans="1:5" x14ac:dyDescent="0.25">
      <c r="A1021" t="s">
        <v>1</v>
      </c>
      <c r="B1021" t="s">
        <v>19</v>
      </c>
      <c r="C1021" t="s">
        <v>23490</v>
      </c>
      <c r="D1021" t="str">
        <f>HYPERLINK("https://rhld.insurance.arkansas.gov/NPILookup?Npi=1124291240","1124291240")</f>
        <v>1124291240</v>
      </c>
      <c r="E1021" t="s">
        <v>453</v>
      </c>
    </row>
    <row r="1022" spans="1:5" x14ac:dyDescent="0.25">
      <c r="A1022" t="s">
        <v>1</v>
      </c>
      <c r="B1022" t="s">
        <v>19</v>
      </c>
      <c r="C1022" t="s">
        <v>23490</v>
      </c>
      <c r="D1022" t="str">
        <f>HYPERLINK("https://rhld.insurance.arkansas.gov/NPILookup?Npi=1124306097","1124306097")</f>
        <v>1124306097</v>
      </c>
      <c r="E1022" t="s">
        <v>19220</v>
      </c>
    </row>
    <row r="1023" spans="1:5" x14ac:dyDescent="0.25">
      <c r="A1023" t="s">
        <v>1</v>
      </c>
      <c r="B1023" t="s">
        <v>19</v>
      </c>
      <c r="C1023" t="s">
        <v>23490</v>
      </c>
      <c r="D1023" t="str">
        <f>HYPERLINK("https://rhld.insurance.arkansas.gov/NPILookup?Npi=1124323001","1124323001")</f>
        <v>1124323001</v>
      </c>
      <c r="E1023" t="s">
        <v>14792</v>
      </c>
    </row>
    <row r="1024" spans="1:5" x14ac:dyDescent="0.25">
      <c r="A1024" t="s">
        <v>1</v>
      </c>
      <c r="B1024" t="s">
        <v>19</v>
      </c>
      <c r="C1024" t="s">
        <v>23490</v>
      </c>
      <c r="D1024" t="str">
        <f>HYPERLINK("https://rhld.insurance.arkansas.gov/NPILookup?Npi=1124334859","1124334859")</f>
        <v>1124334859</v>
      </c>
      <c r="E1024" t="s">
        <v>454</v>
      </c>
    </row>
    <row r="1025" spans="1:5" x14ac:dyDescent="0.25">
      <c r="A1025" t="s">
        <v>1</v>
      </c>
      <c r="B1025" t="s">
        <v>19</v>
      </c>
      <c r="C1025" t="s">
        <v>23490</v>
      </c>
      <c r="D1025" t="str">
        <f>HYPERLINK("https://rhld.insurance.arkansas.gov/NPILookup?Npi=1124342605","1124342605")</f>
        <v>1124342605</v>
      </c>
      <c r="E1025" t="s">
        <v>16880</v>
      </c>
    </row>
    <row r="1026" spans="1:5" x14ac:dyDescent="0.25">
      <c r="A1026" t="s">
        <v>1</v>
      </c>
      <c r="B1026" t="s">
        <v>19</v>
      </c>
      <c r="C1026" t="s">
        <v>23490</v>
      </c>
      <c r="D1026" t="str">
        <f>HYPERLINK("https://rhld.insurance.arkansas.gov/NPILookup?Npi=1124355623","1124355623")</f>
        <v>1124355623</v>
      </c>
      <c r="E1026" t="s">
        <v>12778</v>
      </c>
    </row>
    <row r="1027" spans="1:5" x14ac:dyDescent="0.25">
      <c r="A1027" t="s">
        <v>1</v>
      </c>
      <c r="B1027" t="s">
        <v>19</v>
      </c>
      <c r="C1027" t="s">
        <v>23490</v>
      </c>
      <c r="D1027" t="str">
        <f>HYPERLINK("https://rhld.insurance.arkansas.gov/NPILookup?Npi=1124364724","1124364724")</f>
        <v>1124364724</v>
      </c>
      <c r="E1027" t="s">
        <v>20895</v>
      </c>
    </row>
    <row r="1028" spans="1:5" x14ac:dyDescent="0.25">
      <c r="A1028" t="s">
        <v>1</v>
      </c>
      <c r="B1028" t="s">
        <v>19</v>
      </c>
      <c r="C1028" t="s">
        <v>23490</v>
      </c>
      <c r="D1028" t="str">
        <f>HYPERLINK("https://rhld.insurance.arkansas.gov/NPILookup?Npi=1124366943","1124366943")</f>
        <v>1124366943</v>
      </c>
      <c r="E1028" t="s">
        <v>8502</v>
      </c>
    </row>
    <row r="1029" spans="1:5" x14ac:dyDescent="0.25">
      <c r="A1029" t="s">
        <v>1</v>
      </c>
      <c r="B1029" t="s">
        <v>19</v>
      </c>
      <c r="C1029" t="s">
        <v>23490</v>
      </c>
      <c r="D1029" t="str">
        <f>HYPERLINK("https://rhld.insurance.arkansas.gov/NPILookup?Npi=1124377593","1124377593")</f>
        <v>1124377593</v>
      </c>
      <c r="E1029" t="s">
        <v>455</v>
      </c>
    </row>
    <row r="1030" spans="1:5" x14ac:dyDescent="0.25">
      <c r="A1030" t="s">
        <v>1</v>
      </c>
      <c r="B1030" t="s">
        <v>19</v>
      </c>
      <c r="C1030" t="s">
        <v>23490</v>
      </c>
      <c r="D1030" t="str">
        <f>HYPERLINK("https://rhld.insurance.arkansas.gov/NPILookup?Npi=1124382536","1124382536")</f>
        <v>1124382536</v>
      </c>
      <c r="E1030" t="s">
        <v>19436</v>
      </c>
    </row>
    <row r="1031" spans="1:5" x14ac:dyDescent="0.25">
      <c r="A1031" t="s">
        <v>1</v>
      </c>
      <c r="B1031" t="s">
        <v>19</v>
      </c>
      <c r="C1031" t="s">
        <v>23490</v>
      </c>
      <c r="D1031" t="str">
        <f>HYPERLINK("https://rhld.insurance.arkansas.gov/NPILookup?Npi=1124382593","1124382593")</f>
        <v>1124382593</v>
      </c>
      <c r="E1031" t="s">
        <v>14794</v>
      </c>
    </row>
    <row r="1032" spans="1:5" x14ac:dyDescent="0.25">
      <c r="A1032" t="s">
        <v>1</v>
      </c>
      <c r="B1032" t="s">
        <v>19</v>
      </c>
      <c r="C1032" t="s">
        <v>23490</v>
      </c>
      <c r="D1032" t="str">
        <f>HYPERLINK("https://rhld.insurance.arkansas.gov/NPILookup?Npi=1124387139","1124387139")</f>
        <v>1124387139</v>
      </c>
      <c r="E1032" t="s">
        <v>10666</v>
      </c>
    </row>
    <row r="1033" spans="1:5" x14ac:dyDescent="0.25">
      <c r="A1033" t="s">
        <v>1</v>
      </c>
      <c r="B1033" t="s">
        <v>19</v>
      </c>
      <c r="C1033" t="s">
        <v>23490</v>
      </c>
      <c r="D1033" t="str">
        <f>HYPERLINK("https://rhld.insurance.arkansas.gov/NPILookup?Npi=1124396833","1124396833")</f>
        <v>1124396833</v>
      </c>
      <c r="E1033" t="s">
        <v>10667</v>
      </c>
    </row>
    <row r="1034" spans="1:5" x14ac:dyDescent="0.25">
      <c r="A1034" t="s">
        <v>1</v>
      </c>
      <c r="B1034" t="s">
        <v>19</v>
      </c>
      <c r="C1034" t="s">
        <v>23490</v>
      </c>
      <c r="D1034" t="str">
        <f>HYPERLINK("https://rhld.insurance.arkansas.gov/NPILookup?Npi=1124398847","1124398847")</f>
        <v>1124398847</v>
      </c>
      <c r="E1034" t="s">
        <v>21470</v>
      </c>
    </row>
    <row r="1035" spans="1:5" x14ac:dyDescent="0.25">
      <c r="A1035" t="s">
        <v>1</v>
      </c>
      <c r="B1035" t="s">
        <v>19</v>
      </c>
      <c r="C1035" t="s">
        <v>23490</v>
      </c>
      <c r="D1035" t="str">
        <f>HYPERLINK("https://rhld.insurance.arkansas.gov/NPILookup?Npi=1124401104","1124401104")</f>
        <v>1124401104</v>
      </c>
      <c r="E1035" t="s">
        <v>19437</v>
      </c>
    </row>
    <row r="1036" spans="1:5" x14ac:dyDescent="0.25">
      <c r="A1036" t="s">
        <v>1</v>
      </c>
      <c r="B1036" t="s">
        <v>19</v>
      </c>
      <c r="C1036" t="s">
        <v>23490</v>
      </c>
      <c r="D1036" t="str">
        <f>HYPERLINK("https://rhld.insurance.arkansas.gov/NPILookup?Npi=1124404173","1124404173")</f>
        <v>1124404173</v>
      </c>
      <c r="E1036" t="s">
        <v>8503</v>
      </c>
    </row>
    <row r="1037" spans="1:5" x14ac:dyDescent="0.25">
      <c r="A1037" t="s">
        <v>1</v>
      </c>
      <c r="B1037" t="s">
        <v>19</v>
      </c>
      <c r="C1037" t="s">
        <v>23490</v>
      </c>
      <c r="D1037" t="str">
        <f>HYPERLINK("https://rhld.insurance.arkansas.gov/NPILookup?Npi=1124406921","1124406921")</f>
        <v>1124406921</v>
      </c>
      <c r="E1037" t="s">
        <v>13378</v>
      </c>
    </row>
    <row r="1038" spans="1:5" x14ac:dyDescent="0.25">
      <c r="A1038" t="s">
        <v>1</v>
      </c>
      <c r="B1038" t="s">
        <v>19</v>
      </c>
      <c r="C1038" t="s">
        <v>23490</v>
      </c>
      <c r="D1038" t="str">
        <f>HYPERLINK("https://rhld.insurance.arkansas.gov/NPILookup?Npi=1124413596","1124413596")</f>
        <v>1124413596</v>
      </c>
      <c r="E1038" t="s">
        <v>10668</v>
      </c>
    </row>
    <row r="1039" spans="1:5" x14ac:dyDescent="0.25">
      <c r="A1039" t="s">
        <v>1</v>
      </c>
      <c r="B1039" t="s">
        <v>19</v>
      </c>
      <c r="C1039" t="s">
        <v>23490</v>
      </c>
      <c r="D1039" t="str">
        <f>HYPERLINK("https://rhld.insurance.arkansas.gov/NPILookup?Npi=1124417142","1124417142")</f>
        <v>1124417142</v>
      </c>
      <c r="E1039" t="s">
        <v>456</v>
      </c>
    </row>
    <row r="1040" spans="1:5" x14ac:dyDescent="0.25">
      <c r="A1040" t="s">
        <v>1</v>
      </c>
      <c r="B1040" t="s">
        <v>19</v>
      </c>
      <c r="C1040" t="s">
        <v>23490</v>
      </c>
      <c r="D1040" t="str">
        <f>HYPERLINK("https://rhld.insurance.arkansas.gov/NPILookup?Npi=1124418637","1124418637")</f>
        <v>1124418637</v>
      </c>
      <c r="E1040" t="s">
        <v>457</v>
      </c>
    </row>
    <row r="1041" spans="1:5" x14ac:dyDescent="0.25">
      <c r="A1041" t="s">
        <v>1</v>
      </c>
      <c r="B1041" t="s">
        <v>19</v>
      </c>
      <c r="C1041" t="s">
        <v>23490</v>
      </c>
      <c r="D1041" t="str">
        <f>HYPERLINK("https://rhld.insurance.arkansas.gov/NPILookup?Npi=1124418769","1124418769")</f>
        <v>1124418769</v>
      </c>
      <c r="E1041" t="s">
        <v>458</v>
      </c>
    </row>
    <row r="1042" spans="1:5" x14ac:dyDescent="0.25">
      <c r="A1042" t="s">
        <v>1</v>
      </c>
      <c r="B1042" t="s">
        <v>19</v>
      </c>
      <c r="C1042" t="s">
        <v>23490</v>
      </c>
      <c r="D1042" t="str">
        <f>HYPERLINK("https://rhld.insurance.arkansas.gov/NPILookup?Npi=1124432455","1124432455")</f>
        <v>1124432455</v>
      </c>
      <c r="E1042" t="s">
        <v>459</v>
      </c>
    </row>
    <row r="1043" spans="1:5" x14ac:dyDescent="0.25">
      <c r="A1043" t="s">
        <v>1</v>
      </c>
      <c r="B1043" t="s">
        <v>19</v>
      </c>
      <c r="C1043" t="s">
        <v>23490</v>
      </c>
      <c r="D1043" t="str">
        <f>HYPERLINK("https://rhld.insurance.arkansas.gov/NPILookup?Npi=1124469887","1124469887")</f>
        <v>1124469887</v>
      </c>
      <c r="E1043" t="s">
        <v>460</v>
      </c>
    </row>
    <row r="1044" spans="1:5" x14ac:dyDescent="0.25">
      <c r="A1044" t="s">
        <v>1</v>
      </c>
      <c r="B1044" t="s">
        <v>19</v>
      </c>
      <c r="C1044" t="s">
        <v>23490</v>
      </c>
      <c r="D1044" t="str">
        <f>HYPERLINK("https://rhld.insurance.arkansas.gov/NPILookup?Npi=1124475595","1124475595")</f>
        <v>1124475595</v>
      </c>
      <c r="E1044" t="s">
        <v>14796</v>
      </c>
    </row>
    <row r="1045" spans="1:5" x14ac:dyDescent="0.25">
      <c r="A1045" t="s">
        <v>1</v>
      </c>
      <c r="B1045" t="s">
        <v>19</v>
      </c>
      <c r="C1045" t="s">
        <v>23490</v>
      </c>
      <c r="D1045" t="str">
        <f>HYPERLINK("https://rhld.insurance.arkansas.gov/NPILookup?Npi=1124479597","1124479597")</f>
        <v>1124479597</v>
      </c>
      <c r="E1045" t="s">
        <v>10670</v>
      </c>
    </row>
    <row r="1046" spans="1:5" x14ac:dyDescent="0.25">
      <c r="A1046" t="s">
        <v>1</v>
      </c>
      <c r="B1046" t="s">
        <v>19</v>
      </c>
      <c r="C1046" t="s">
        <v>23490</v>
      </c>
      <c r="D1046" t="str">
        <f>HYPERLINK("https://rhld.insurance.arkansas.gov/NPILookup?Npi=1124481262","1124481262")</f>
        <v>1124481262</v>
      </c>
      <c r="E1046" t="s">
        <v>16881</v>
      </c>
    </row>
    <row r="1047" spans="1:5" x14ac:dyDescent="0.25">
      <c r="A1047" t="s">
        <v>1</v>
      </c>
      <c r="B1047" t="s">
        <v>19</v>
      </c>
      <c r="C1047" t="s">
        <v>23490</v>
      </c>
      <c r="D1047" t="str">
        <f>HYPERLINK("https://rhld.insurance.arkansas.gov/NPILookup?Npi=1124508908","1124508908")</f>
        <v>1124508908</v>
      </c>
      <c r="E1047" t="s">
        <v>13379</v>
      </c>
    </row>
    <row r="1048" spans="1:5" x14ac:dyDescent="0.25">
      <c r="A1048" t="s">
        <v>1</v>
      </c>
      <c r="B1048" t="s">
        <v>19</v>
      </c>
      <c r="C1048" t="s">
        <v>23490</v>
      </c>
      <c r="D1048" t="str">
        <f>HYPERLINK("https://rhld.insurance.arkansas.gov/NPILookup?Npi=1124514328","1124514328")</f>
        <v>1124514328</v>
      </c>
      <c r="E1048" t="s">
        <v>13380</v>
      </c>
    </row>
    <row r="1049" spans="1:5" x14ac:dyDescent="0.25">
      <c r="A1049" t="s">
        <v>1</v>
      </c>
      <c r="B1049" t="s">
        <v>19</v>
      </c>
      <c r="C1049" t="s">
        <v>23490</v>
      </c>
      <c r="D1049" t="str">
        <f>HYPERLINK("https://rhld.insurance.arkansas.gov/NPILookup?Npi=1124529904","1124529904")</f>
        <v>1124529904</v>
      </c>
      <c r="E1049" t="s">
        <v>13381</v>
      </c>
    </row>
    <row r="1050" spans="1:5" x14ac:dyDescent="0.25">
      <c r="A1050" t="s">
        <v>1</v>
      </c>
      <c r="B1050" t="s">
        <v>19</v>
      </c>
      <c r="C1050" t="s">
        <v>23490</v>
      </c>
      <c r="D1050" t="str">
        <f>HYPERLINK("https://rhld.insurance.arkansas.gov/NPILookup?Npi=1124537162","1124537162")</f>
        <v>1124537162</v>
      </c>
      <c r="E1050" t="s">
        <v>14797</v>
      </c>
    </row>
    <row r="1051" spans="1:5" x14ac:dyDescent="0.25">
      <c r="A1051" t="s">
        <v>1</v>
      </c>
      <c r="B1051" t="s">
        <v>19</v>
      </c>
      <c r="C1051" t="s">
        <v>23490</v>
      </c>
      <c r="D1051" t="str">
        <f>HYPERLINK("https://rhld.insurance.arkansas.gov/NPILookup?Npi=1124550041","1124550041")</f>
        <v>1124550041</v>
      </c>
      <c r="E1051" t="s">
        <v>10672</v>
      </c>
    </row>
    <row r="1052" spans="1:5" x14ac:dyDescent="0.25">
      <c r="A1052" t="s">
        <v>1</v>
      </c>
      <c r="B1052" t="s">
        <v>19</v>
      </c>
      <c r="C1052" t="s">
        <v>23490</v>
      </c>
      <c r="D1052" t="str">
        <f>HYPERLINK("https://rhld.insurance.arkansas.gov/NPILookup?Npi=1124575147","1124575147")</f>
        <v>1124575147</v>
      </c>
      <c r="E1052" t="s">
        <v>13382</v>
      </c>
    </row>
    <row r="1053" spans="1:5" x14ac:dyDescent="0.25">
      <c r="A1053" t="s">
        <v>1</v>
      </c>
      <c r="B1053" t="s">
        <v>19</v>
      </c>
      <c r="C1053" t="s">
        <v>23490</v>
      </c>
      <c r="D1053" t="str">
        <f>HYPERLINK("https://rhld.insurance.arkansas.gov/NPILookup?Npi=1124580832","1124580832")</f>
        <v>1124580832</v>
      </c>
      <c r="E1053" t="s">
        <v>20896</v>
      </c>
    </row>
    <row r="1054" spans="1:5" x14ac:dyDescent="0.25">
      <c r="A1054" t="s">
        <v>1</v>
      </c>
      <c r="B1054" t="s">
        <v>19</v>
      </c>
      <c r="C1054" t="s">
        <v>23490</v>
      </c>
      <c r="D1054" t="str">
        <f>HYPERLINK("https://rhld.insurance.arkansas.gov/NPILookup?Npi=1124584503","1124584503")</f>
        <v>1124584503</v>
      </c>
      <c r="E1054" t="s">
        <v>14798</v>
      </c>
    </row>
    <row r="1055" spans="1:5" x14ac:dyDescent="0.25">
      <c r="A1055" t="s">
        <v>1</v>
      </c>
      <c r="B1055" t="s">
        <v>19</v>
      </c>
      <c r="C1055" t="s">
        <v>23490</v>
      </c>
      <c r="D1055" t="str">
        <f>HYPERLINK("https://rhld.insurance.arkansas.gov/NPILookup?Npi=1124584966","1124584966")</f>
        <v>1124584966</v>
      </c>
      <c r="E1055" t="s">
        <v>20897</v>
      </c>
    </row>
    <row r="1056" spans="1:5" x14ac:dyDescent="0.25">
      <c r="A1056" t="s">
        <v>1</v>
      </c>
      <c r="B1056" t="s">
        <v>19</v>
      </c>
      <c r="C1056" t="s">
        <v>23490</v>
      </c>
      <c r="D1056" t="str">
        <f>HYPERLINK("https://rhld.insurance.arkansas.gov/NPILookup?Npi=1124611439","1124611439")</f>
        <v>1124611439</v>
      </c>
      <c r="E1056" t="s">
        <v>20898</v>
      </c>
    </row>
    <row r="1057" spans="1:5" x14ac:dyDescent="0.25">
      <c r="A1057" t="s">
        <v>1</v>
      </c>
      <c r="B1057" t="s">
        <v>19</v>
      </c>
      <c r="C1057" t="s">
        <v>23490</v>
      </c>
      <c r="D1057" t="str">
        <f>HYPERLINK("https://rhld.insurance.arkansas.gov/NPILookup?Npi=1124616933","1124616933")</f>
        <v>1124616933</v>
      </c>
      <c r="E1057" t="s">
        <v>18127</v>
      </c>
    </row>
    <row r="1058" spans="1:5" x14ac:dyDescent="0.25">
      <c r="A1058" t="s">
        <v>1</v>
      </c>
      <c r="B1058" t="s">
        <v>19</v>
      </c>
      <c r="C1058" t="s">
        <v>23490</v>
      </c>
      <c r="D1058" t="str">
        <f>HYPERLINK("https://rhld.insurance.arkansas.gov/NPILookup?Npi=1124617105","1124617105")</f>
        <v>1124617105</v>
      </c>
      <c r="E1058" t="s">
        <v>17864</v>
      </c>
    </row>
    <row r="1059" spans="1:5" x14ac:dyDescent="0.25">
      <c r="A1059" t="s">
        <v>1</v>
      </c>
      <c r="B1059" t="s">
        <v>19</v>
      </c>
      <c r="C1059" t="s">
        <v>23490</v>
      </c>
      <c r="D1059" t="str">
        <f>HYPERLINK("https://rhld.insurance.arkansas.gov/NPILookup?Npi=1124636915","1124636915")</f>
        <v>1124636915</v>
      </c>
      <c r="E1059" t="s">
        <v>17390</v>
      </c>
    </row>
    <row r="1060" spans="1:5" x14ac:dyDescent="0.25">
      <c r="A1060" t="s">
        <v>1</v>
      </c>
      <c r="B1060" t="s">
        <v>19</v>
      </c>
      <c r="C1060" t="s">
        <v>8427</v>
      </c>
      <c r="D1060" t="str">
        <f>HYPERLINK("https://rhld.insurance.arkansas.gov/NPILookup?Npi=1124641816","1124641816")</f>
        <v>1124641816</v>
      </c>
      <c r="E1060" t="s">
        <v>22895</v>
      </c>
    </row>
    <row r="1061" spans="1:5" x14ac:dyDescent="0.25">
      <c r="A1061" t="s">
        <v>1</v>
      </c>
      <c r="B1061" t="s">
        <v>19</v>
      </c>
      <c r="C1061" t="s">
        <v>23490</v>
      </c>
      <c r="D1061" t="str">
        <f>HYPERLINK("https://rhld.insurance.arkansas.gov/NPILookup?Npi=1124651468","1124651468")</f>
        <v>1124651468</v>
      </c>
      <c r="E1061" t="s">
        <v>19438</v>
      </c>
    </row>
    <row r="1062" spans="1:5" x14ac:dyDescent="0.25">
      <c r="A1062" t="s">
        <v>1</v>
      </c>
      <c r="B1062" t="s">
        <v>19</v>
      </c>
      <c r="C1062" t="s">
        <v>23490</v>
      </c>
      <c r="D1062" t="str">
        <f>HYPERLINK("https://rhld.insurance.arkansas.gov/NPILookup?Npi=1124662093","1124662093")</f>
        <v>1124662093</v>
      </c>
      <c r="E1062" t="s">
        <v>19439</v>
      </c>
    </row>
    <row r="1063" spans="1:5" x14ac:dyDescent="0.25">
      <c r="A1063" t="s">
        <v>1</v>
      </c>
      <c r="B1063" t="s">
        <v>19</v>
      </c>
      <c r="C1063" t="s">
        <v>23490</v>
      </c>
      <c r="D1063" t="str">
        <f>HYPERLINK("https://rhld.insurance.arkansas.gov/NPILookup?Npi=1124666482","1124666482")</f>
        <v>1124666482</v>
      </c>
      <c r="E1063" t="s">
        <v>18673</v>
      </c>
    </row>
    <row r="1064" spans="1:5" x14ac:dyDescent="0.25">
      <c r="A1064" t="s">
        <v>1</v>
      </c>
      <c r="B1064" t="s">
        <v>19</v>
      </c>
      <c r="C1064" t="s">
        <v>8427</v>
      </c>
      <c r="D1064" t="str">
        <f>HYPERLINK("https://rhld.insurance.arkansas.gov/NPILookup?Npi=1124673439","1124673439")</f>
        <v>1124673439</v>
      </c>
      <c r="E1064" t="s">
        <v>5951</v>
      </c>
    </row>
    <row r="1065" spans="1:5" x14ac:dyDescent="0.25">
      <c r="A1065" t="s">
        <v>1</v>
      </c>
      <c r="B1065" t="s">
        <v>19</v>
      </c>
      <c r="C1065" t="s">
        <v>23490</v>
      </c>
      <c r="D1065" t="str">
        <f>HYPERLINK("https://rhld.insurance.arkansas.gov/NPILookup?Npi=1124681465","1124681465")</f>
        <v>1124681465</v>
      </c>
      <c r="E1065" t="s">
        <v>14799</v>
      </c>
    </row>
    <row r="1066" spans="1:5" x14ac:dyDescent="0.25">
      <c r="A1066" t="s">
        <v>1</v>
      </c>
      <c r="B1066" t="s">
        <v>19</v>
      </c>
      <c r="C1066" t="s">
        <v>23490</v>
      </c>
      <c r="D1066" t="str">
        <f>HYPERLINK("https://rhld.insurance.arkansas.gov/NPILookup?Npi=1124697891","1124697891")</f>
        <v>1124697891</v>
      </c>
      <c r="E1066" t="s">
        <v>18674</v>
      </c>
    </row>
    <row r="1067" spans="1:5" x14ac:dyDescent="0.25">
      <c r="A1067" t="s">
        <v>1</v>
      </c>
      <c r="B1067" t="s">
        <v>19</v>
      </c>
      <c r="C1067" t="s">
        <v>23490</v>
      </c>
      <c r="D1067" t="str">
        <f>HYPERLINK("https://rhld.insurance.arkansas.gov/NPILookup?Npi=1124737739","1124737739")</f>
        <v>1124737739</v>
      </c>
      <c r="E1067" t="s">
        <v>21471</v>
      </c>
    </row>
    <row r="1068" spans="1:5" x14ac:dyDescent="0.25">
      <c r="A1068" t="s">
        <v>1</v>
      </c>
      <c r="B1068" t="s">
        <v>19</v>
      </c>
      <c r="C1068" t="s">
        <v>23490</v>
      </c>
      <c r="D1068" t="str">
        <f>HYPERLINK("https://rhld.insurance.arkansas.gov/NPILookup?Npi=1124740428","1124740428")</f>
        <v>1124740428</v>
      </c>
      <c r="E1068" t="s">
        <v>20899</v>
      </c>
    </row>
    <row r="1069" spans="1:5" x14ac:dyDescent="0.25">
      <c r="A1069" t="s">
        <v>1</v>
      </c>
      <c r="B1069" t="s">
        <v>19</v>
      </c>
      <c r="C1069" t="s">
        <v>23490</v>
      </c>
      <c r="D1069" t="str">
        <f>HYPERLINK("https://rhld.insurance.arkansas.gov/NPILookup?Npi=1124755079","1124755079")</f>
        <v>1124755079</v>
      </c>
      <c r="E1069" t="s">
        <v>21472</v>
      </c>
    </row>
    <row r="1070" spans="1:5" x14ac:dyDescent="0.25">
      <c r="A1070" t="s">
        <v>1</v>
      </c>
      <c r="B1070" t="s">
        <v>19</v>
      </c>
      <c r="C1070" t="s">
        <v>23490</v>
      </c>
      <c r="D1070" t="str">
        <f>HYPERLINK("https://rhld.insurance.arkansas.gov/NPILookup?Npi=1124782453","1124782453")</f>
        <v>1124782453</v>
      </c>
      <c r="E1070" t="s">
        <v>19440</v>
      </c>
    </row>
    <row r="1071" spans="1:5" x14ac:dyDescent="0.25">
      <c r="A1071" t="s">
        <v>1</v>
      </c>
      <c r="B1071" t="s">
        <v>19</v>
      </c>
      <c r="C1071" t="s">
        <v>23490</v>
      </c>
      <c r="D1071" t="str">
        <f>HYPERLINK("https://rhld.insurance.arkansas.gov/NPILookup?Npi=1124782719","1124782719")</f>
        <v>1124782719</v>
      </c>
      <c r="E1071" t="s">
        <v>21473</v>
      </c>
    </row>
    <row r="1072" spans="1:5" x14ac:dyDescent="0.25">
      <c r="A1072" t="s">
        <v>1</v>
      </c>
      <c r="B1072" t="s">
        <v>19</v>
      </c>
      <c r="C1072" t="s">
        <v>23490</v>
      </c>
      <c r="D1072" t="str">
        <f>HYPERLINK("https://rhld.insurance.arkansas.gov/NPILookup?Npi=1124799580","1124799580")</f>
        <v>1124799580</v>
      </c>
      <c r="E1072" t="s">
        <v>19441</v>
      </c>
    </row>
    <row r="1073" spans="1:5" x14ac:dyDescent="0.25">
      <c r="A1073" t="s">
        <v>1</v>
      </c>
      <c r="B1073" t="s">
        <v>19</v>
      </c>
      <c r="C1073" t="s">
        <v>8427</v>
      </c>
      <c r="D1073" t="str">
        <f>HYPERLINK("https://rhld.insurance.arkansas.gov/NPILookup?Npi=1124806450","1124806450")</f>
        <v>1124806450</v>
      </c>
      <c r="E1073" t="s">
        <v>22896</v>
      </c>
    </row>
    <row r="1074" spans="1:5" x14ac:dyDescent="0.25">
      <c r="A1074" t="s">
        <v>1</v>
      </c>
      <c r="B1074" t="s">
        <v>19</v>
      </c>
      <c r="C1074" t="s">
        <v>23490</v>
      </c>
      <c r="D1074" t="str">
        <f>HYPERLINK("https://rhld.insurance.arkansas.gov/NPILookup?Npi=1134106743","1134106743")</f>
        <v>1134106743</v>
      </c>
      <c r="E1074" t="s">
        <v>19442</v>
      </c>
    </row>
    <row r="1075" spans="1:5" x14ac:dyDescent="0.25">
      <c r="A1075" t="s">
        <v>1</v>
      </c>
      <c r="B1075" t="s">
        <v>19</v>
      </c>
      <c r="C1075" t="s">
        <v>23490</v>
      </c>
      <c r="D1075" t="str">
        <f>HYPERLINK("https://rhld.insurance.arkansas.gov/NPILookup?Npi=1134120355","1134120355")</f>
        <v>1134120355</v>
      </c>
      <c r="E1075" t="s">
        <v>461</v>
      </c>
    </row>
    <row r="1076" spans="1:5" x14ac:dyDescent="0.25">
      <c r="A1076" t="s">
        <v>1</v>
      </c>
      <c r="B1076" t="s">
        <v>19</v>
      </c>
      <c r="C1076" t="s">
        <v>23490</v>
      </c>
      <c r="D1076" t="str">
        <f>HYPERLINK("https://rhld.insurance.arkansas.gov/NPILookup?Npi=1134126410","1134126410")</f>
        <v>1134126410</v>
      </c>
      <c r="E1076" t="s">
        <v>462</v>
      </c>
    </row>
    <row r="1077" spans="1:5" x14ac:dyDescent="0.25">
      <c r="A1077" t="s">
        <v>1</v>
      </c>
      <c r="B1077" t="s">
        <v>19</v>
      </c>
      <c r="C1077" t="s">
        <v>23490</v>
      </c>
      <c r="D1077" t="str">
        <f>HYPERLINK("https://rhld.insurance.arkansas.gov/NPILookup?Npi=1134126600","1134126600")</f>
        <v>1134126600</v>
      </c>
      <c r="E1077" t="s">
        <v>8504</v>
      </c>
    </row>
    <row r="1078" spans="1:5" x14ac:dyDescent="0.25">
      <c r="A1078" t="s">
        <v>1</v>
      </c>
      <c r="B1078" t="s">
        <v>19</v>
      </c>
      <c r="C1078" t="s">
        <v>23490</v>
      </c>
      <c r="D1078" t="str">
        <f>HYPERLINK("https://rhld.insurance.arkansas.gov/NPILookup?Npi=1134135031","1134135031")</f>
        <v>1134135031</v>
      </c>
      <c r="E1078" t="s">
        <v>19443</v>
      </c>
    </row>
    <row r="1079" spans="1:5" x14ac:dyDescent="0.25">
      <c r="A1079" t="s">
        <v>1</v>
      </c>
      <c r="B1079" t="s">
        <v>19</v>
      </c>
      <c r="C1079" t="s">
        <v>23490</v>
      </c>
      <c r="D1079" t="str">
        <f>HYPERLINK("https://rhld.insurance.arkansas.gov/NPILookup?Npi=1134143472","1134143472")</f>
        <v>1134143472</v>
      </c>
      <c r="E1079" t="s">
        <v>463</v>
      </c>
    </row>
    <row r="1080" spans="1:5" x14ac:dyDescent="0.25">
      <c r="A1080" t="s">
        <v>1</v>
      </c>
      <c r="B1080" t="s">
        <v>19</v>
      </c>
      <c r="C1080" t="s">
        <v>23490</v>
      </c>
      <c r="D1080" t="str">
        <f>HYPERLINK("https://rhld.insurance.arkansas.gov/NPILookup?Npi=1134151509","1134151509")</f>
        <v>1134151509</v>
      </c>
      <c r="E1080" t="s">
        <v>464</v>
      </c>
    </row>
    <row r="1081" spans="1:5" x14ac:dyDescent="0.25">
      <c r="A1081" t="s">
        <v>1</v>
      </c>
      <c r="B1081" t="s">
        <v>19</v>
      </c>
      <c r="C1081" t="s">
        <v>23490</v>
      </c>
      <c r="D1081" t="str">
        <f>HYPERLINK("https://rhld.insurance.arkansas.gov/NPILookup?Npi=1134156250","1134156250")</f>
        <v>1134156250</v>
      </c>
      <c r="E1081" t="s">
        <v>19444</v>
      </c>
    </row>
    <row r="1082" spans="1:5" x14ac:dyDescent="0.25">
      <c r="A1082" t="s">
        <v>1</v>
      </c>
      <c r="B1082" t="s">
        <v>19</v>
      </c>
      <c r="C1082" t="s">
        <v>23490</v>
      </c>
      <c r="D1082" t="str">
        <f>HYPERLINK("https://rhld.insurance.arkansas.gov/NPILookup?Npi=1134167877","1134167877")</f>
        <v>1134167877</v>
      </c>
      <c r="E1082" t="s">
        <v>465</v>
      </c>
    </row>
    <row r="1083" spans="1:5" x14ac:dyDescent="0.25">
      <c r="A1083" t="s">
        <v>1</v>
      </c>
      <c r="B1083" t="s">
        <v>19</v>
      </c>
      <c r="C1083" t="s">
        <v>23490</v>
      </c>
      <c r="D1083" t="str">
        <f>HYPERLINK("https://rhld.insurance.arkansas.gov/NPILookup?Npi=1134174329","1134174329")</f>
        <v>1134174329</v>
      </c>
      <c r="E1083" t="s">
        <v>466</v>
      </c>
    </row>
    <row r="1084" spans="1:5" x14ac:dyDescent="0.25">
      <c r="A1084" t="s">
        <v>1</v>
      </c>
      <c r="B1084" t="s">
        <v>19</v>
      </c>
      <c r="C1084" t="s">
        <v>23490</v>
      </c>
      <c r="D1084" t="str">
        <f>HYPERLINK("https://rhld.insurance.arkansas.gov/NPILookup?Npi=1134178841","1134178841")</f>
        <v>1134178841</v>
      </c>
      <c r="E1084" t="s">
        <v>467</v>
      </c>
    </row>
    <row r="1085" spans="1:5" x14ac:dyDescent="0.25">
      <c r="A1085" t="s">
        <v>1</v>
      </c>
      <c r="B1085" t="s">
        <v>19</v>
      </c>
      <c r="C1085" t="s">
        <v>23490</v>
      </c>
      <c r="D1085" t="str">
        <f>HYPERLINK("https://rhld.insurance.arkansas.gov/NPILookup?Npi=1134182751","1134182751")</f>
        <v>1134182751</v>
      </c>
      <c r="E1085" t="s">
        <v>468</v>
      </c>
    </row>
    <row r="1086" spans="1:5" x14ac:dyDescent="0.25">
      <c r="A1086" t="s">
        <v>1</v>
      </c>
      <c r="B1086" t="s">
        <v>19</v>
      </c>
      <c r="C1086" t="s">
        <v>23490</v>
      </c>
      <c r="D1086" t="str">
        <f>HYPERLINK("https://rhld.insurance.arkansas.gov/NPILookup?Npi=1134184484","1134184484")</f>
        <v>1134184484</v>
      </c>
      <c r="E1086" t="s">
        <v>469</v>
      </c>
    </row>
    <row r="1087" spans="1:5" x14ac:dyDescent="0.25">
      <c r="A1087" t="s">
        <v>1</v>
      </c>
      <c r="B1087" t="s">
        <v>19</v>
      </c>
      <c r="C1087" t="s">
        <v>23490</v>
      </c>
      <c r="D1087" t="str">
        <f>HYPERLINK("https://rhld.insurance.arkansas.gov/NPILookup?Npi=1134186133","1134186133")</f>
        <v>1134186133</v>
      </c>
      <c r="E1087" t="s">
        <v>13383</v>
      </c>
    </row>
    <row r="1088" spans="1:5" x14ac:dyDescent="0.25">
      <c r="A1088" t="s">
        <v>1</v>
      </c>
      <c r="B1088" t="s">
        <v>19</v>
      </c>
      <c r="C1088" t="s">
        <v>23490</v>
      </c>
      <c r="D1088" t="str">
        <f>HYPERLINK("https://rhld.insurance.arkansas.gov/NPILookup?Npi=1134187925","1134187925")</f>
        <v>1134187925</v>
      </c>
      <c r="E1088" t="s">
        <v>470</v>
      </c>
    </row>
    <row r="1089" spans="1:5" x14ac:dyDescent="0.25">
      <c r="A1089" t="s">
        <v>1</v>
      </c>
      <c r="B1089" t="s">
        <v>19</v>
      </c>
      <c r="C1089" t="s">
        <v>23490</v>
      </c>
      <c r="D1089" t="str">
        <f>HYPERLINK("https://rhld.insurance.arkansas.gov/NPILookup?Npi=1134188063","1134188063")</f>
        <v>1134188063</v>
      </c>
      <c r="E1089" t="s">
        <v>471</v>
      </c>
    </row>
    <row r="1090" spans="1:5" x14ac:dyDescent="0.25">
      <c r="A1090" t="s">
        <v>1</v>
      </c>
      <c r="B1090" t="s">
        <v>19</v>
      </c>
      <c r="C1090" t="s">
        <v>23490</v>
      </c>
      <c r="D1090" t="str">
        <f>HYPERLINK("https://rhld.insurance.arkansas.gov/NPILookup?Npi=1134189020","1134189020")</f>
        <v>1134189020</v>
      </c>
      <c r="E1090" t="s">
        <v>14800</v>
      </c>
    </row>
    <row r="1091" spans="1:5" x14ac:dyDescent="0.25">
      <c r="A1091" t="s">
        <v>1</v>
      </c>
      <c r="B1091" t="s">
        <v>19</v>
      </c>
      <c r="C1091" t="s">
        <v>23490</v>
      </c>
      <c r="D1091" t="str">
        <f>HYPERLINK("https://rhld.insurance.arkansas.gov/NPILookup?Npi=1134189137","1134189137")</f>
        <v>1134189137</v>
      </c>
      <c r="E1091" t="s">
        <v>8505</v>
      </c>
    </row>
    <row r="1092" spans="1:5" x14ac:dyDescent="0.25">
      <c r="A1092" t="s">
        <v>1</v>
      </c>
      <c r="B1092" t="s">
        <v>19</v>
      </c>
      <c r="C1092" t="s">
        <v>23490</v>
      </c>
      <c r="D1092" t="str">
        <f>HYPERLINK("https://rhld.insurance.arkansas.gov/NPILookup?Npi=1134215288","1134215288")</f>
        <v>1134215288</v>
      </c>
      <c r="E1092" t="s">
        <v>473</v>
      </c>
    </row>
    <row r="1093" spans="1:5" x14ac:dyDescent="0.25">
      <c r="A1093" t="s">
        <v>1</v>
      </c>
      <c r="B1093" t="s">
        <v>19</v>
      </c>
      <c r="C1093" t="s">
        <v>23490</v>
      </c>
      <c r="D1093" t="str">
        <f>HYPERLINK("https://rhld.insurance.arkansas.gov/NPILookup?Npi=1134218605","1134218605")</f>
        <v>1134218605</v>
      </c>
      <c r="E1093" t="s">
        <v>474</v>
      </c>
    </row>
    <row r="1094" spans="1:5" x14ac:dyDescent="0.25">
      <c r="A1094" t="s">
        <v>1</v>
      </c>
      <c r="B1094" t="s">
        <v>19</v>
      </c>
      <c r="C1094" t="s">
        <v>23490</v>
      </c>
      <c r="D1094" t="str">
        <f>HYPERLINK("https://rhld.insurance.arkansas.gov/NPILookup?Npi=1134219603","1134219603")</f>
        <v>1134219603</v>
      </c>
      <c r="E1094" t="s">
        <v>475</v>
      </c>
    </row>
    <row r="1095" spans="1:5" x14ac:dyDescent="0.25">
      <c r="A1095" t="s">
        <v>1</v>
      </c>
      <c r="B1095" t="s">
        <v>19</v>
      </c>
      <c r="C1095" t="s">
        <v>23490</v>
      </c>
      <c r="D1095" t="str">
        <f>HYPERLINK("https://rhld.insurance.arkansas.gov/NPILookup?Npi=1134235146","1134235146")</f>
        <v>1134235146</v>
      </c>
      <c r="E1095" t="s">
        <v>476</v>
      </c>
    </row>
    <row r="1096" spans="1:5" x14ac:dyDescent="0.25">
      <c r="A1096" t="s">
        <v>1</v>
      </c>
      <c r="B1096" t="s">
        <v>19</v>
      </c>
      <c r="C1096" t="s">
        <v>23490</v>
      </c>
      <c r="D1096" t="str">
        <f>HYPERLINK("https://rhld.insurance.arkansas.gov/NPILookup?Npi=1134257165","1134257165")</f>
        <v>1134257165</v>
      </c>
      <c r="E1096" t="s">
        <v>477</v>
      </c>
    </row>
    <row r="1097" spans="1:5" x14ac:dyDescent="0.25">
      <c r="A1097" t="s">
        <v>1</v>
      </c>
      <c r="B1097" t="s">
        <v>19</v>
      </c>
      <c r="C1097" t="s">
        <v>23490</v>
      </c>
      <c r="D1097" t="str">
        <f>HYPERLINK("https://rhld.insurance.arkansas.gov/NPILookup?Npi=1134257967","1134257967")</f>
        <v>1134257967</v>
      </c>
      <c r="E1097" t="s">
        <v>478</v>
      </c>
    </row>
    <row r="1098" spans="1:5" x14ac:dyDescent="0.25">
      <c r="A1098" t="s">
        <v>1</v>
      </c>
      <c r="B1098" t="s">
        <v>19</v>
      </c>
      <c r="C1098" t="s">
        <v>23490</v>
      </c>
      <c r="D1098" t="str">
        <f>HYPERLINK("https://rhld.insurance.arkansas.gov/NPILookup?Npi=1134282999","1134282999")</f>
        <v>1134282999</v>
      </c>
      <c r="E1098" t="s">
        <v>479</v>
      </c>
    </row>
    <row r="1099" spans="1:5" x14ac:dyDescent="0.25">
      <c r="A1099" t="s">
        <v>1</v>
      </c>
      <c r="B1099" t="s">
        <v>19</v>
      </c>
      <c r="C1099" t="s">
        <v>23490</v>
      </c>
      <c r="D1099" t="str">
        <f>HYPERLINK("https://rhld.insurance.arkansas.gov/NPILookup?Npi=1134313802","1134313802")</f>
        <v>1134313802</v>
      </c>
      <c r="E1099" t="s">
        <v>2867</v>
      </c>
    </row>
    <row r="1100" spans="1:5" x14ac:dyDescent="0.25">
      <c r="A1100" t="s">
        <v>1</v>
      </c>
      <c r="B1100" t="s">
        <v>19</v>
      </c>
      <c r="C1100" t="s">
        <v>23490</v>
      </c>
      <c r="D1100" t="str">
        <f>HYPERLINK("https://rhld.insurance.arkansas.gov/NPILookup?Npi=1134316250","1134316250")</f>
        <v>1134316250</v>
      </c>
      <c r="E1100" t="s">
        <v>8506</v>
      </c>
    </row>
    <row r="1101" spans="1:5" x14ac:dyDescent="0.25">
      <c r="A1101" t="s">
        <v>1</v>
      </c>
      <c r="B1101" t="s">
        <v>19</v>
      </c>
      <c r="C1101" t="s">
        <v>23490</v>
      </c>
      <c r="D1101" t="str">
        <f>HYPERLINK("https://rhld.insurance.arkansas.gov/NPILookup?Npi=1134340276","1134340276")</f>
        <v>1134340276</v>
      </c>
      <c r="E1101" t="s">
        <v>480</v>
      </c>
    </row>
    <row r="1102" spans="1:5" x14ac:dyDescent="0.25">
      <c r="A1102" t="s">
        <v>1</v>
      </c>
      <c r="B1102" t="s">
        <v>19</v>
      </c>
      <c r="C1102" t="s">
        <v>23490</v>
      </c>
      <c r="D1102" t="str">
        <f>HYPERLINK("https://rhld.insurance.arkansas.gov/NPILookup?Npi=1134351141","1134351141")</f>
        <v>1134351141</v>
      </c>
      <c r="E1102" t="s">
        <v>481</v>
      </c>
    </row>
    <row r="1103" spans="1:5" x14ac:dyDescent="0.25">
      <c r="A1103" t="s">
        <v>1</v>
      </c>
      <c r="B1103" t="s">
        <v>19</v>
      </c>
      <c r="C1103" t="s">
        <v>23490</v>
      </c>
      <c r="D1103" t="str">
        <f>HYPERLINK("https://rhld.insurance.arkansas.gov/NPILookup?Npi=1134351299","1134351299")</f>
        <v>1134351299</v>
      </c>
      <c r="E1103" t="s">
        <v>482</v>
      </c>
    </row>
    <row r="1104" spans="1:5" x14ac:dyDescent="0.25">
      <c r="A1104" t="s">
        <v>1</v>
      </c>
      <c r="B1104" t="s">
        <v>19</v>
      </c>
      <c r="C1104" t="s">
        <v>23490</v>
      </c>
      <c r="D1104" t="str">
        <f>HYPERLINK("https://rhld.insurance.arkansas.gov/NPILookup?Npi=1134354293","1134354293")</f>
        <v>1134354293</v>
      </c>
      <c r="E1104" t="s">
        <v>8507</v>
      </c>
    </row>
    <row r="1105" spans="1:5" x14ac:dyDescent="0.25">
      <c r="A1105" t="s">
        <v>1</v>
      </c>
      <c r="B1105" t="s">
        <v>19</v>
      </c>
      <c r="C1105" t="s">
        <v>23490</v>
      </c>
      <c r="D1105" t="str">
        <f>HYPERLINK("https://rhld.insurance.arkansas.gov/NPILookup?Npi=1134355217","1134355217")</f>
        <v>1134355217</v>
      </c>
      <c r="E1105" t="s">
        <v>483</v>
      </c>
    </row>
    <row r="1106" spans="1:5" x14ac:dyDescent="0.25">
      <c r="A1106" t="s">
        <v>1</v>
      </c>
      <c r="B1106" t="s">
        <v>19</v>
      </c>
      <c r="C1106" t="s">
        <v>23490</v>
      </c>
      <c r="D1106" t="str">
        <f>HYPERLINK("https://rhld.insurance.arkansas.gov/NPILookup?Npi=1134356942","1134356942")</f>
        <v>1134356942</v>
      </c>
      <c r="E1106" t="s">
        <v>19445</v>
      </c>
    </row>
    <row r="1107" spans="1:5" x14ac:dyDescent="0.25">
      <c r="A1107" t="s">
        <v>1</v>
      </c>
      <c r="B1107" t="s">
        <v>19</v>
      </c>
      <c r="C1107" t="s">
        <v>23490</v>
      </c>
      <c r="D1107" t="str">
        <f>HYPERLINK("https://rhld.insurance.arkansas.gov/NPILookup?Npi=1134362452","1134362452")</f>
        <v>1134362452</v>
      </c>
      <c r="E1107" t="s">
        <v>484</v>
      </c>
    </row>
    <row r="1108" spans="1:5" x14ac:dyDescent="0.25">
      <c r="A1108" t="s">
        <v>1</v>
      </c>
      <c r="B1108" t="s">
        <v>19</v>
      </c>
      <c r="C1108" t="s">
        <v>23490</v>
      </c>
      <c r="D1108" t="str">
        <f>HYPERLINK("https://rhld.insurance.arkansas.gov/NPILookup?Npi=1134368848","1134368848")</f>
        <v>1134368848</v>
      </c>
      <c r="E1108" t="s">
        <v>485</v>
      </c>
    </row>
    <row r="1109" spans="1:5" x14ac:dyDescent="0.25">
      <c r="A1109" t="s">
        <v>1</v>
      </c>
      <c r="B1109" t="s">
        <v>19</v>
      </c>
      <c r="C1109" t="s">
        <v>23490</v>
      </c>
      <c r="D1109" t="str">
        <f>HYPERLINK("https://rhld.insurance.arkansas.gov/NPILookup?Npi=1134370026","1134370026")</f>
        <v>1134370026</v>
      </c>
      <c r="E1109" t="s">
        <v>486</v>
      </c>
    </row>
    <row r="1110" spans="1:5" x14ac:dyDescent="0.25">
      <c r="A1110" t="s">
        <v>1</v>
      </c>
      <c r="B1110" t="s">
        <v>19</v>
      </c>
      <c r="C1110" t="s">
        <v>23490</v>
      </c>
      <c r="D1110" t="str">
        <f>HYPERLINK("https://rhld.insurance.arkansas.gov/NPILookup?Npi=1134383276","1134383276")</f>
        <v>1134383276</v>
      </c>
      <c r="E1110" t="s">
        <v>19446</v>
      </c>
    </row>
    <row r="1111" spans="1:5" x14ac:dyDescent="0.25">
      <c r="A1111" t="s">
        <v>1</v>
      </c>
      <c r="B1111" t="s">
        <v>19</v>
      </c>
      <c r="C1111" t="s">
        <v>23490</v>
      </c>
      <c r="D1111" t="str">
        <f>HYPERLINK("https://rhld.insurance.arkansas.gov/NPILookup?Npi=1134403884","1134403884")</f>
        <v>1134403884</v>
      </c>
      <c r="E1111" t="s">
        <v>487</v>
      </c>
    </row>
    <row r="1112" spans="1:5" x14ac:dyDescent="0.25">
      <c r="A1112" t="s">
        <v>1</v>
      </c>
      <c r="B1112" t="s">
        <v>19</v>
      </c>
      <c r="C1112" t="s">
        <v>23490</v>
      </c>
      <c r="D1112" t="str">
        <f>HYPERLINK("https://rhld.insurance.arkansas.gov/NPILookup?Npi=1134415417","1134415417")</f>
        <v>1134415417</v>
      </c>
      <c r="E1112" t="s">
        <v>10673</v>
      </c>
    </row>
    <row r="1113" spans="1:5" x14ac:dyDescent="0.25">
      <c r="A1113" t="s">
        <v>1</v>
      </c>
      <c r="B1113" t="s">
        <v>19</v>
      </c>
      <c r="C1113" t="s">
        <v>23490</v>
      </c>
      <c r="D1113" t="str">
        <f>HYPERLINK("https://rhld.insurance.arkansas.gov/NPILookup?Npi=1134425705","1134425705")</f>
        <v>1134425705</v>
      </c>
      <c r="E1113" t="s">
        <v>19447</v>
      </c>
    </row>
    <row r="1114" spans="1:5" x14ac:dyDescent="0.25">
      <c r="A1114" t="s">
        <v>1</v>
      </c>
      <c r="B1114" t="s">
        <v>19</v>
      </c>
      <c r="C1114" t="s">
        <v>23490</v>
      </c>
      <c r="D1114" t="str">
        <f>HYPERLINK("https://rhld.insurance.arkansas.gov/NPILookup?Npi=1134458243","1134458243")</f>
        <v>1134458243</v>
      </c>
      <c r="E1114" t="s">
        <v>19448</v>
      </c>
    </row>
    <row r="1115" spans="1:5" x14ac:dyDescent="0.25">
      <c r="A1115" t="s">
        <v>1</v>
      </c>
      <c r="B1115" t="s">
        <v>19</v>
      </c>
      <c r="C1115" t="s">
        <v>23490</v>
      </c>
      <c r="D1115" t="str">
        <f>HYPERLINK("https://rhld.insurance.arkansas.gov/NPILookup?Npi=1134459233","1134459233")</f>
        <v>1134459233</v>
      </c>
      <c r="E1115" t="s">
        <v>14804</v>
      </c>
    </row>
    <row r="1116" spans="1:5" x14ac:dyDescent="0.25">
      <c r="A1116" t="s">
        <v>1</v>
      </c>
      <c r="B1116" t="s">
        <v>19</v>
      </c>
      <c r="C1116" t="s">
        <v>23490</v>
      </c>
      <c r="D1116" t="str">
        <f>HYPERLINK("https://rhld.insurance.arkansas.gov/NPILookup?Npi=1134474661","1134474661")</f>
        <v>1134474661</v>
      </c>
      <c r="E1116" t="s">
        <v>488</v>
      </c>
    </row>
    <row r="1117" spans="1:5" x14ac:dyDescent="0.25">
      <c r="A1117" t="s">
        <v>1</v>
      </c>
      <c r="B1117" t="s">
        <v>19</v>
      </c>
      <c r="C1117" t="s">
        <v>23490</v>
      </c>
      <c r="D1117" t="str">
        <f>HYPERLINK("https://rhld.insurance.arkansas.gov/NPILookup?Npi=1134479272","1134479272")</f>
        <v>1134479272</v>
      </c>
      <c r="E1117" t="s">
        <v>489</v>
      </c>
    </row>
    <row r="1118" spans="1:5" x14ac:dyDescent="0.25">
      <c r="A1118" t="s">
        <v>1</v>
      </c>
      <c r="B1118" t="s">
        <v>19</v>
      </c>
      <c r="C1118" t="s">
        <v>23490</v>
      </c>
      <c r="D1118" t="str">
        <f>HYPERLINK("https://rhld.insurance.arkansas.gov/NPILookup?Npi=1134481914","1134481914")</f>
        <v>1134481914</v>
      </c>
      <c r="E1118" t="s">
        <v>10674</v>
      </c>
    </row>
    <row r="1119" spans="1:5" x14ac:dyDescent="0.25">
      <c r="A1119" t="s">
        <v>1</v>
      </c>
      <c r="B1119" t="s">
        <v>19</v>
      </c>
      <c r="C1119" t="s">
        <v>23490</v>
      </c>
      <c r="D1119" t="str">
        <f>HYPERLINK("https://rhld.insurance.arkansas.gov/NPILookup?Npi=1134495088","1134495088")</f>
        <v>1134495088</v>
      </c>
      <c r="E1119" t="s">
        <v>490</v>
      </c>
    </row>
    <row r="1120" spans="1:5" x14ac:dyDescent="0.25">
      <c r="A1120" t="s">
        <v>1</v>
      </c>
      <c r="B1120" t="s">
        <v>19</v>
      </c>
      <c r="C1120" t="s">
        <v>23490</v>
      </c>
      <c r="D1120" t="str">
        <f>HYPERLINK("https://rhld.insurance.arkansas.gov/NPILookup?Npi=1134517014","1134517014")</f>
        <v>1134517014</v>
      </c>
      <c r="E1120" t="s">
        <v>491</v>
      </c>
    </row>
    <row r="1121" spans="1:5" x14ac:dyDescent="0.25">
      <c r="A1121" t="s">
        <v>1</v>
      </c>
      <c r="B1121" t="s">
        <v>19</v>
      </c>
      <c r="C1121" t="s">
        <v>23490</v>
      </c>
      <c r="D1121" t="str">
        <f>HYPERLINK("https://rhld.insurance.arkansas.gov/NPILookup?Npi=1134528797","1134528797")</f>
        <v>1134528797</v>
      </c>
      <c r="E1121" t="s">
        <v>8508</v>
      </c>
    </row>
    <row r="1122" spans="1:5" x14ac:dyDescent="0.25">
      <c r="A1122" t="s">
        <v>1</v>
      </c>
      <c r="B1122" t="s">
        <v>19</v>
      </c>
      <c r="C1122" t="s">
        <v>8427</v>
      </c>
      <c r="D1122" t="str">
        <f>HYPERLINK("https://rhld.insurance.arkansas.gov/NPILookup?Npi=1134534282","1134534282")</f>
        <v>1134534282</v>
      </c>
      <c r="E1122" t="s">
        <v>22897</v>
      </c>
    </row>
    <row r="1123" spans="1:5" x14ac:dyDescent="0.25">
      <c r="A1123" t="s">
        <v>1</v>
      </c>
      <c r="B1123" t="s">
        <v>19</v>
      </c>
      <c r="C1123" t="s">
        <v>23490</v>
      </c>
      <c r="D1123" t="str">
        <f>HYPERLINK("https://rhld.insurance.arkansas.gov/NPILookup?Npi=1134537020","1134537020")</f>
        <v>1134537020</v>
      </c>
      <c r="E1123" t="s">
        <v>21474</v>
      </c>
    </row>
    <row r="1124" spans="1:5" x14ac:dyDescent="0.25">
      <c r="A1124" t="s">
        <v>1</v>
      </c>
      <c r="B1124" t="s">
        <v>19</v>
      </c>
      <c r="C1124" t="s">
        <v>23490</v>
      </c>
      <c r="D1124" t="str">
        <f>HYPERLINK("https://rhld.insurance.arkansas.gov/NPILookup?Npi=1134548258","1134548258")</f>
        <v>1134548258</v>
      </c>
      <c r="E1124" t="s">
        <v>10675</v>
      </c>
    </row>
    <row r="1125" spans="1:5" x14ac:dyDescent="0.25">
      <c r="A1125" t="s">
        <v>1</v>
      </c>
      <c r="B1125" t="s">
        <v>19</v>
      </c>
      <c r="C1125" t="s">
        <v>23490</v>
      </c>
      <c r="D1125" t="str">
        <f>HYPERLINK("https://rhld.insurance.arkansas.gov/NPILookup?Npi=1134549447","1134549447")</f>
        <v>1134549447</v>
      </c>
      <c r="E1125" t="s">
        <v>10676</v>
      </c>
    </row>
    <row r="1126" spans="1:5" x14ac:dyDescent="0.25">
      <c r="A1126" t="s">
        <v>1</v>
      </c>
      <c r="B1126" t="s">
        <v>19</v>
      </c>
      <c r="C1126" t="s">
        <v>23490</v>
      </c>
      <c r="D1126" t="str">
        <f>HYPERLINK("https://rhld.insurance.arkansas.gov/NPILookup?Npi=1134562697","1134562697")</f>
        <v>1134562697</v>
      </c>
      <c r="E1126" t="s">
        <v>492</v>
      </c>
    </row>
    <row r="1127" spans="1:5" x14ac:dyDescent="0.25">
      <c r="A1127" t="s">
        <v>1</v>
      </c>
      <c r="B1127" t="s">
        <v>19</v>
      </c>
      <c r="C1127" t="s">
        <v>23490</v>
      </c>
      <c r="D1127" t="str">
        <f>HYPERLINK("https://rhld.insurance.arkansas.gov/NPILookup?Npi=1134577612","1134577612")</f>
        <v>1134577612</v>
      </c>
      <c r="E1127" t="s">
        <v>13384</v>
      </c>
    </row>
    <row r="1128" spans="1:5" x14ac:dyDescent="0.25">
      <c r="A1128" t="s">
        <v>1</v>
      </c>
      <c r="B1128" t="s">
        <v>19</v>
      </c>
      <c r="C1128" t="s">
        <v>23490</v>
      </c>
      <c r="D1128" t="str">
        <f>HYPERLINK("https://rhld.insurance.arkansas.gov/NPILookup?Npi=1134579758","1134579758")</f>
        <v>1134579758</v>
      </c>
      <c r="E1128" t="s">
        <v>10677</v>
      </c>
    </row>
    <row r="1129" spans="1:5" x14ac:dyDescent="0.25">
      <c r="A1129" t="s">
        <v>1</v>
      </c>
      <c r="B1129" t="s">
        <v>19</v>
      </c>
      <c r="C1129" t="s">
        <v>23490</v>
      </c>
      <c r="D1129" t="str">
        <f>HYPERLINK("https://rhld.insurance.arkansas.gov/NPILookup?Npi=1134588015","1134588015")</f>
        <v>1134588015</v>
      </c>
      <c r="E1129" t="s">
        <v>19449</v>
      </c>
    </row>
    <row r="1130" spans="1:5" x14ac:dyDescent="0.25">
      <c r="A1130" t="s">
        <v>1</v>
      </c>
      <c r="B1130" t="s">
        <v>19</v>
      </c>
      <c r="C1130" t="s">
        <v>23490</v>
      </c>
      <c r="D1130" t="str">
        <f>HYPERLINK("https://rhld.insurance.arkansas.gov/NPILookup?Npi=1134594294","1134594294")</f>
        <v>1134594294</v>
      </c>
      <c r="E1130" t="s">
        <v>10678</v>
      </c>
    </row>
    <row r="1131" spans="1:5" x14ac:dyDescent="0.25">
      <c r="A1131" t="s">
        <v>1</v>
      </c>
      <c r="B1131" t="s">
        <v>19</v>
      </c>
      <c r="C1131" t="s">
        <v>23490</v>
      </c>
      <c r="D1131" t="str">
        <f>HYPERLINK("https://rhld.insurance.arkansas.gov/NPILookup?Npi=1134596125","1134596125")</f>
        <v>1134596125</v>
      </c>
      <c r="E1131" t="s">
        <v>493</v>
      </c>
    </row>
    <row r="1132" spans="1:5" x14ac:dyDescent="0.25">
      <c r="A1132" t="s">
        <v>1</v>
      </c>
      <c r="B1132" t="s">
        <v>19</v>
      </c>
      <c r="C1132" t="s">
        <v>23490</v>
      </c>
      <c r="D1132" t="str">
        <f>HYPERLINK("https://rhld.insurance.arkansas.gov/NPILookup?Npi=1134609696","1134609696")</f>
        <v>1134609696</v>
      </c>
      <c r="E1132" t="s">
        <v>13385</v>
      </c>
    </row>
    <row r="1133" spans="1:5" x14ac:dyDescent="0.25">
      <c r="A1133" t="s">
        <v>1</v>
      </c>
      <c r="B1133" t="s">
        <v>19</v>
      </c>
      <c r="C1133" t="s">
        <v>23490</v>
      </c>
      <c r="D1133" t="str">
        <f>HYPERLINK("https://rhld.insurance.arkansas.gov/NPILookup?Npi=1134613326","1134613326")</f>
        <v>1134613326</v>
      </c>
      <c r="E1133" t="s">
        <v>19450</v>
      </c>
    </row>
    <row r="1134" spans="1:5" x14ac:dyDescent="0.25">
      <c r="A1134" t="s">
        <v>1</v>
      </c>
      <c r="B1134" t="s">
        <v>19</v>
      </c>
      <c r="C1134" t="s">
        <v>23490</v>
      </c>
      <c r="D1134" t="str">
        <f>HYPERLINK("https://rhld.insurance.arkansas.gov/NPILookup?Npi=1134614928","1134614928")</f>
        <v>1134614928</v>
      </c>
      <c r="E1134" t="s">
        <v>19451</v>
      </c>
    </row>
    <row r="1135" spans="1:5" x14ac:dyDescent="0.25">
      <c r="A1135" t="s">
        <v>1</v>
      </c>
      <c r="B1135" t="s">
        <v>19</v>
      </c>
      <c r="C1135" t="s">
        <v>23490</v>
      </c>
      <c r="D1135" t="str">
        <f>HYPERLINK("https://rhld.insurance.arkansas.gov/NPILookup?Npi=1134616436","1134616436")</f>
        <v>1134616436</v>
      </c>
      <c r="E1135" t="s">
        <v>19452</v>
      </c>
    </row>
    <row r="1136" spans="1:5" x14ac:dyDescent="0.25">
      <c r="A1136" t="s">
        <v>1</v>
      </c>
      <c r="B1136" t="s">
        <v>19</v>
      </c>
      <c r="C1136" t="s">
        <v>23490</v>
      </c>
      <c r="D1136" t="str">
        <f>HYPERLINK("https://rhld.insurance.arkansas.gov/NPILookup?Npi=1134622806","1134622806")</f>
        <v>1134622806</v>
      </c>
      <c r="E1136" t="s">
        <v>12779</v>
      </c>
    </row>
    <row r="1137" spans="1:5" x14ac:dyDescent="0.25">
      <c r="A1137" t="s">
        <v>1</v>
      </c>
      <c r="B1137" t="s">
        <v>19</v>
      </c>
      <c r="C1137" t="s">
        <v>23490</v>
      </c>
      <c r="D1137" t="str">
        <f>HYPERLINK("https://rhld.insurance.arkansas.gov/NPILookup?Npi=1134643190","1134643190")</f>
        <v>1134643190</v>
      </c>
      <c r="E1137" t="s">
        <v>10679</v>
      </c>
    </row>
    <row r="1138" spans="1:5" x14ac:dyDescent="0.25">
      <c r="A1138" t="s">
        <v>1</v>
      </c>
      <c r="B1138" t="s">
        <v>19</v>
      </c>
      <c r="C1138" t="s">
        <v>23490</v>
      </c>
      <c r="D1138" t="str">
        <f>HYPERLINK("https://rhld.insurance.arkansas.gov/NPILookup?Npi=1134644982","1134644982")</f>
        <v>1134644982</v>
      </c>
      <c r="E1138" t="s">
        <v>13386</v>
      </c>
    </row>
    <row r="1139" spans="1:5" x14ac:dyDescent="0.25">
      <c r="A1139" t="s">
        <v>1</v>
      </c>
      <c r="B1139" t="s">
        <v>19</v>
      </c>
      <c r="C1139" t="s">
        <v>23490</v>
      </c>
      <c r="D1139" t="str">
        <f>HYPERLINK("https://rhld.insurance.arkansas.gov/NPILookup?Npi=1134651276","1134651276")</f>
        <v>1134651276</v>
      </c>
      <c r="E1139" t="s">
        <v>10680</v>
      </c>
    </row>
    <row r="1140" spans="1:5" x14ac:dyDescent="0.25">
      <c r="A1140" t="s">
        <v>1</v>
      </c>
      <c r="B1140" t="s">
        <v>19</v>
      </c>
      <c r="C1140" t="s">
        <v>23490</v>
      </c>
      <c r="D1140" t="str">
        <f>HYPERLINK("https://rhld.insurance.arkansas.gov/NPILookup?Npi=1134657836","1134657836")</f>
        <v>1134657836</v>
      </c>
      <c r="E1140" t="s">
        <v>12780</v>
      </c>
    </row>
    <row r="1141" spans="1:5" x14ac:dyDescent="0.25">
      <c r="A1141" t="s">
        <v>1</v>
      </c>
      <c r="B1141" t="s">
        <v>19</v>
      </c>
      <c r="C1141" t="s">
        <v>23490</v>
      </c>
      <c r="D1141" t="str">
        <f>HYPERLINK("https://rhld.insurance.arkansas.gov/NPILookup?Npi=1134659428","1134659428")</f>
        <v>1134659428</v>
      </c>
      <c r="E1141" t="s">
        <v>17865</v>
      </c>
    </row>
    <row r="1142" spans="1:5" x14ac:dyDescent="0.25">
      <c r="A1142" t="s">
        <v>1</v>
      </c>
      <c r="B1142" t="s">
        <v>19</v>
      </c>
      <c r="C1142" t="s">
        <v>23490</v>
      </c>
      <c r="D1142" t="str">
        <f>HYPERLINK("https://rhld.insurance.arkansas.gov/NPILookup?Npi=1134680317","1134680317")</f>
        <v>1134680317</v>
      </c>
      <c r="E1142" t="s">
        <v>20900</v>
      </c>
    </row>
    <row r="1143" spans="1:5" x14ac:dyDescent="0.25">
      <c r="A1143" t="s">
        <v>1</v>
      </c>
      <c r="B1143" t="s">
        <v>19</v>
      </c>
      <c r="C1143" t="s">
        <v>23490</v>
      </c>
      <c r="D1143" t="str">
        <f>HYPERLINK("https://rhld.insurance.arkansas.gov/NPILookup?Npi=1134685209","1134685209")</f>
        <v>1134685209</v>
      </c>
      <c r="E1143" t="s">
        <v>19453</v>
      </c>
    </row>
    <row r="1144" spans="1:5" x14ac:dyDescent="0.25">
      <c r="A1144" t="s">
        <v>1</v>
      </c>
      <c r="B1144" t="s">
        <v>19</v>
      </c>
      <c r="C1144" t="s">
        <v>23490</v>
      </c>
      <c r="D1144" t="str">
        <f>HYPERLINK("https://rhld.insurance.arkansas.gov/NPILookup?Npi=1134685217","1134685217")</f>
        <v>1134685217</v>
      </c>
      <c r="E1144" t="s">
        <v>19454</v>
      </c>
    </row>
    <row r="1145" spans="1:5" x14ac:dyDescent="0.25">
      <c r="A1145" t="s">
        <v>1</v>
      </c>
      <c r="B1145" t="s">
        <v>19</v>
      </c>
      <c r="C1145" t="s">
        <v>23490</v>
      </c>
      <c r="D1145" t="str">
        <f>HYPERLINK("https://rhld.insurance.arkansas.gov/NPILookup?Npi=1134695265","1134695265")</f>
        <v>1134695265</v>
      </c>
      <c r="E1145" t="s">
        <v>21372</v>
      </c>
    </row>
    <row r="1146" spans="1:5" x14ac:dyDescent="0.25">
      <c r="A1146" t="s">
        <v>1</v>
      </c>
      <c r="B1146" t="s">
        <v>19</v>
      </c>
      <c r="C1146" t="s">
        <v>23490</v>
      </c>
      <c r="D1146" t="str">
        <f>HYPERLINK("https://rhld.insurance.arkansas.gov/NPILookup?Npi=1134705916","1134705916")</f>
        <v>1134705916</v>
      </c>
      <c r="E1146" t="s">
        <v>18675</v>
      </c>
    </row>
    <row r="1147" spans="1:5" x14ac:dyDescent="0.25">
      <c r="A1147" t="s">
        <v>1</v>
      </c>
      <c r="B1147" t="s">
        <v>19</v>
      </c>
      <c r="C1147" t="s">
        <v>23490</v>
      </c>
      <c r="D1147" t="str">
        <f>HYPERLINK("https://rhld.insurance.arkansas.gov/NPILookup?Npi=1134730005","1134730005")</f>
        <v>1134730005</v>
      </c>
      <c r="E1147" t="s">
        <v>17391</v>
      </c>
    </row>
    <row r="1148" spans="1:5" x14ac:dyDescent="0.25">
      <c r="A1148" t="s">
        <v>1</v>
      </c>
      <c r="B1148" t="s">
        <v>19</v>
      </c>
      <c r="C1148" t="s">
        <v>23490</v>
      </c>
      <c r="D1148" t="str">
        <f>HYPERLINK("https://rhld.insurance.arkansas.gov/NPILookup?Npi=1134730450","1134730450")</f>
        <v>1134730450</v>
      </c>
      <c r="E1148" t="s">
        <v>19455</v>
      </c>
    </row>
    <row r="1149" spans="1:5" x14ac:dyDescent="0.25">
      <c r="A1149" t="s">
        <v>1</v>
      </c>
      <c r="B1149" t="s">
        <v>19</v>
      </c>
      <c r="C1149" t="s">
        <v>23490</v>
      </c>
      <c r="D1149" t="str">
        <f>HYPERLINK("https://rhld.insurance.arkansas.gov/NPILookup?Npi=1134733611","1134733611")</f>
        <v>1134733611</v>
      </c>
      <c r="E1149" t="s">
        <v>17867</v>
      </c>
    </row>
    <row r="1150" spans="1:5" x14ac:dyDescent="0.25">
      <c r="A1150" t="s">
        <v>1</v>
      </c>
      <c r="B1150" t="s">
        <v>19</v>
      </c>
      <c r="C1150" t="s">
        <v>23490</v>
      </c>
      <c r="D1150" t="str">
        <f>HYPERLINK("https://rhld.insurance.arkansas.gov/NPILookup?Npi=1134734817","1134734817")</f>
        <v>1134734817</v>
      </c>
      <c r="E1150" t="s">
        <v>17868</v>
      </c>
    </row>
    <row r="1151" spans="1:5" x14ac:dyDescent="0.25">
      <c r="A1151" t="s">
        <v>1</v>
      </c>
      <c r="B1151" t="s">
        <v>19</v>
      </c>
      <c r="C1151" t="s">
        <v>23490</v>
      </c>
      <c r="D1151" t="str">
        <f>HYPERLINK("https://rhld.insurance.arkansas.gov/NPILookup?Npi=1134738347","1134738347")</f>
        <v>1134738347</v>
      </c>
      <c r="E1151" t="s">
        <v>17869</v>
      </c>
    </row>
    <row r="1152" spans="1:5" x14ac:dyDescent="0.25">
      <c r="A1152" t="s">
        <v>1</v>
      </c>
      <c r="B1152" t="s">
        <v>19</v>
      </c>
      <c r="C1152" t="s">
        <v>23490</v>
      </c>
      <c r="D1152" t="str">
        <f>HYPERLINK("https://rhld.insurance.arkansas.gov/NPILookup?Npi=1134767627","1134767627")</f>
        <v>1134767627</v>
      </c>
      <c r="E1152" t="s">
        <v>19456</v>
      </c>
    </row>
    <row r="1153" spans="1:5" x14ac:dyDescent="0.25">
      <c r="A1153" t="s">
        <v>1</v>
      </c>
      <c r="B1153" t="s">
        <v>19</v>
      </c>
      <c r="C1153" t="s">
        <v>23490</v>
      </c>
      <c r="D1153" t="str">
        <f>HYPERLINK("https://rhld.insurance.arkansas.gov/NPILookup?Npi=1134845746","1134845746")</f>
        <v>1134845746</v>
      </c>
      <c r="E1153" t="s">
        <v>21475</v>
      </c>
    </row>
    <row r="1154" spans="1:5" x14ac:dyDescent="0.25">
      <c r="A1154" t="s">
        <v>1</v>
      </c>
      <c r="B1154" t="s">
        <v>19</v>
      </c>
      <c r="C1154" t="s">
        <v>23490</v>
      </c>
      <c r="D1154" t="str">
        <f>HYPERLINK("https://rhld.insurance.arkansas.gov/NPILookup?Npi=1134852817","1134852817")</f>
        <v>1134852817</v>
      </c>
      <c r="E1154" t="s">
        <v>1288</v>
      </c>
    </row>
    <row r="1155" spans="1:5" x14ac:dyDescent="0.25">
      <c r="A1155" t="s">
        <v>1</v>
      </c>
      <c r="B1155" t="s">
        <v>19</v>
      </c>
      <c r="C1155" t="s">
        <v>23490</v>
      </c>
      <c r="D1155" t="str">
        <f>HYPERLINK("https://rhld.insurance.arkansas.gov/NPILookup?Npi=1134883663","1134883663")</f>
        <v>1134883663</v>
      </c>
      <c r="E1155" t="s">
        <v>19457</v>
      </c>
    </row>
    <row r="1156" spans="1:5" x14ac:dyDescent="0.25">
      <c r="A1156" t="s">
        <v>1</v>
      </c>
      <c r="B1156" t="s">
        <v>19</v>
      </c>
      <c r="C1156" t="s">
        <v>23490</v>
      </c>
      <c r="D1156" t="str">
        <f>HYPERLINK("https://rhld.insurance.arkansas.gov/NPILookup?Npi=1134895170","1134895170")</f>
        <v>1134895170</v>
      </c>
      <c r="E1156" t="s">
        <v>19458</v>
      </c>
    </row>
    <row r="1157" spans="1:5" x14ac:dyDescent="0.25">
      <c r="A1157" t="s">
        <v>1</v>
      </c>
      <c r="B1157" t="s">
        <v>19</v>
      </c>
      <c r="C1157" t="s">
        <v>23490</v>
      </c>
      <c r="D1157" t="str">
        <f>HYPERLINK("https://rhld.insurance.arkansas.gov/NPILookup?Npi=1134895394","1134895394")</f>
        <v>1134895394</v>
      </c>
      <c r="E1157" t="s">
        <v>18676</v>
      </c>
    </row>
    <row r="1158" spans="1:5" x14ac:dyDescent="0.25">
      <c r="A1158" t="s">
        <v>1</v>
      </c>
      <c r="B1158" t="s">
        <v>19</v>
      </c>
      <c r="C1158" t="s">
        <v>23490</v>
      </c>
      <c r="D1158" t="str">
        <f>HYPERLINK("https://rhld.insurance.arkansas.gov/NPILookup?Npi=1144200965","1144200965")</f>
        <v>1144200965</v>
      </c>
      <c r="E1158" t="s">
        <v>494</v>
      </c>
    </row>
    <row r="1159" spans="1:5" x14ac:dyDescent="0.25">
      <c r="A1159" t="s">
        <v>1</v>
      </c>
      <c r="B1159" t="s">
        <v>19</v>
      </c>
      <c r="C1159" t="s">
        <v>23490</v>
      </c>
      <c r="D1159" t="str">
        <f>HYPERLINK("https://rhld.insurance.arkansas.gov/NPILookup?Npi=1144206418","1144206418")</f>
        <v>1144206418</v>
      </c>
      <c r="E1159" t="s">
        <v>19459</v>
      </c>
    </row>
    <row r="1160" spans="1:5" x14ac:dyDescent="0.25">
      <c r="A1160" t="s">
        <v>1</v>
      </c>
      <c r="B1160" t="s">
        <v>19</v>
      </c>
      <c r="C1160" t="s">
        <v>23490</v>
      </c>
      <c r="D1160" t="str">
        <f>HYPERLINK("https://rhld.insurance.arkansas.gov/NPILookup?Npi=1144215187","1144215187")</f>
        <v>1144215187</v>
      </c>
      <c r="E1160" t="s">
        <v>495</v>
      </c>
    </row>
    <row r="1161" spans="1:5" x14ac:dyDescent="0.25">
      <c r="A1161" t="s">
        <v>1</v>
      </c>
      <c r="B1161" t="s">
        <v>19</v>
      </c>
      <c r="C1161" t="s">
        <v>23490</v>
      </c>
      <c r="D1161" t="str">
        <f>HYPERLINK("https://rhld.insurance.arkansas.gov/NPILookup?Npi=1144225020","1144225020")</f>
        <v>1144225020</v>
      </c>
      <c r="E1161" t="s">
        <v>496</v>
      </c>
    </row>
    <row r="1162" spans="1:5" x14ac:dyDescent="0.25">
      <c r="A1162" t="s">
        <v>1</v>
      </c>
      <c r="B1162" t="s">
        <v>19</v>
      </c>
      <c r="C1162" t="s">
        <v>23490</v>
      </c>
      <c r="D1162" t="str">
        <f>HYPERLINK("https://rhld.insurance.arkansas.gov/NPILookup?Npi=1144226010","1144226010")</f>
        <v>1144226010</v>
      </c>
      <c r="E1162" t="s">
        <v>497</v>
      </c>
    </row>
    <row r="1163" spans="1:5" x14ac:dyDescent="0.25">
      <c r="A1163" t="s">
        <v>1</v>
      </c>
      <c r="B1163" t="s">
        <v>19</v>
      </c>
      <c r="C1163" t="s">
        <v>23490</v>
      </c>
      <c r="D1163" t="str">
        <f>HYPERLINK("https://rhld.insurance.arkansas.gov/NPILookup?Npi=1144228669","1144228669")</f>
        <v>1144228669</v>
      </c>
      <c r="E1163" t="s">
        <v>498</v>
      </c>
    </row>
    <row r="1164" spans="1:5" x14ac:dyDescent="0.25">
      <c r="A1164" t="s">
        <v>1</v>
      </c>
      <c r="B1164" t="s">
        <v>19</v>
      </c>
      <c r="C1164" t="s">
        <v>23490</v>
      </c>
      <c r="D1164" t="str">
        <f>HYPERLINK("https://rhld.insurance.arkansas.gov/NPILookup?Npi=1144229196","1144229196")</f>
        <v>1144229196</v>
      </c>
      <c r="E1164" t="s">
        <v>499</v>
      </c>
    </row>
    <row r="1165" spans="1:5" x14ac:dyDescent="0.25">
      <c r="A1165" t="s">
        <v>1</v>
      </c>
      <c r="B1165" t="s">
        <v>19</v>
      </c>
      <c r="C1165" t="s">
        <v>23490</v>
      </c>
      <c r="D1165" t="str">
        <f>HYPERLINK("https://rhld.insurance.arkansas.gov/NPILookup?Npi=1144239500","1144239500")</f>
        <v>1144239500</v>
      </c>
      <c r="E1165" t="s">
        <v>501</v>
      </c>
    </row>
    <row r="1166" spans="1:5" x14ac:dyDescent="0.25">
      <c r="A1166" t="s">
        <v>1</v>
      </c>
      <c r="B1166" t="s">
        <v>19</v>
      </c>
      <c r="C1166" t="s">
        <v>23490</v>
      </c>
      <c r="D1166" t="str">
        <f>HYPERLINK("https://rhld.insurance.arkansas.gov/NPILookup?Npi=1144241910","1144241910")</f>
        <v>1144241910</v>
      </c>
      <c r="E1166" t="s">
        <v>8509</v>
      </c>
    </row>
    <row r="1167" spans="1:5" x14ac:dyDescent="0.25">
      <c r="A1167" t="s">
        <v>1</v>
      </c>
      <c r="B1167" t="s">
        <v>19</v>
      </c>
      <c r="C1167" t="s">
        <v>23490</v>
      </c>
      <c r="D1167" t="str">
        <f>HYPERLINK("https://rhld.insurance.arkansas.gov/NPILookup?Npi=1144242892","1144242892")</f>
        <v>1144242892</v>
      </c>
      <c r="E1167" t="s">
        <v>502</v>
      </c>
    </row>
    <row r="1168" spans="1:5" x14ac:dyDescent="0.25">
      <c r="A1168" t="s">
        <v>1</v>
      </c>
      <c r="B1168" t="s">
        <v>19</v>
      </c>
      <c r="C1168" t="s">
        <v>23490</v>
      </c>
      <c r="D1168" t="str">
        <f>HYPERLINK("https://rhld.insurance.arkansas.gov/NPILookup?Npi=1144249475","1144249475")</f>
        <v>1144249475</v>
      </c>
      <c r="E1168" t="s">
        <v>503</v>
      </c>
    </row>
    <row r="1169" spans="1:5" x14ac:dyDescent="0.25">
      <c r="A1169" t="s">
        <v>1</v>
      </c>
      <c r="B1169" t="s">
        <v>19</v>
      </c>
      <c r="C1169" t="s">
        <v>23490</v>
      </c>
      <c r="D1169" t="str">
        <f>HYPERLINK("https://rhld.insurance.arkansas.gov/NPILookup?Npi=1144266727","1144266727")</f>
        <v>1144266727</v>
      </c>
      <c r="E1169" t="s">
        <v>14808</v>
      </c>
    </row>
    <row r="1170" spans="1:5" x14ac:dyDescent="0.25">
      <c r="A1170" t="s">
        <v>1</v>
      </c>
      <c r="B1170" t="s">
        <v>19</v>
      </c>
      <c r="C1170" t="s">
        <v>23490</v>
      </c>
      <c r="D1170" t="str">
        <f>HYPERLINK("https://rhld.insurance.arkansas.gov/NPILookup?Npi=1144274200","1144274200")</f>
        <v>1144274200</v>
      </c>
      <c r="E1170" t="s">
        <v>504</v>
      </c>
    </row>
    <row r="1171" spans="1:5" x14ac:dyDescent="0.25">
      <c r="A1171" t="s">
        <v>1</v>
      </c>
      <c r="B1171" t="s">
        <v>19</v>
      </c>
      <c r="C1171" t="s">
        <v>23490</v>
      </c>
      <c r="D1171" t="str">
        <f>HYPERLINK("https://rhld.insurance.arkansas.gov/NPILookup?Npi=1144287947","1144287947")</f>
        <v>1144287947</v>
      </c>
      <c r="E1171" t="s">
        <v>19460</v>
      </c>
    </row>
    <row r="1172" spans="1:5" x14ac:dyDescent="0.25">
      <c r="A1172" t="s">
        <v>1</v>
      </c>
      <c r="B1172" t="s">
        <v>19</v>
      </c>
      <c r="C1172" t="s">
        <v>23490</v>
      </c>
      <c r="D1172" t="str">
        <f>HYPERLINK("https://rhld.insurance.arkansas.gov/NPILookup?Npi=1144288317","1144288317")</f>
        <v>1144288317</v>
      </c>
      <c r="E1172" t="s">
        <v>505</v>
      </c>
    </row>
    <row r="1173" spans="1:5" x14ac:dyDescent="0.25">
      <c r="A1173" t="s">
        <v>1</v>
      </c>
      <c r="B1173" t="s">
        <v>19</v>
      </c>
      <c r="C1173" t="s">
        <v>23490</v>
      </c>
      <c r="D1173" t="str">
        <f>HYPERLINK("https://rhld.insurance.arkansas.gov/NPILookup?Npi=1144291816","1144291816")</f>
        <v>1144291816</v>
      </c>
      <c r="E1173" t="s">
        <v>506</v>
      </c>
    </row>
    <row r="1174" spans="1:5" x14ac:dyDescent="0.25">
      <c r="A1174" t="s">
        <v>1</v>
      </c>
      <c r="B1174" t="s">
        <v>19</v>
      </c>
      <c r="C1174" t="s">
        <v>23490</v>
      </c>
      <c r="D1174" t="str">
        <f>HYPERLINK("https://rhld.insurance.arkansas.gov/NPILookup?Npi=1144291907","1144291907")</f>
        <v>1144291907</v>
      </c>
      <c r="E1174" t="s">
        <v>507</v>
      </c>
    </row>
    <row r="1175" spans="1:5" x14ac:dyDescent="0.25">
      <c r="A1175" t="s">
        <v>1</v>
      </c>
      <c r="B1175" t="s">
        <v>19</v>
      </c>
      <c r="C1175" t="s">
        <v>23490</v>
      </c>
      <c r="D1175" t="str">
        <f>HYPERLINK("https://rhld.insurance.arkansas.gov/NPILookup?Npi=1144294299","1144294299")</f>
        <v>1144294299</v>
      </c>
      <c r="E1175" t="s">
        <v>508</v>
      </c>
    </row>
    <row r="1176" spans="1:5" x14ac:dyDescent="0.25">
      <c r="A1176" t="s">
        <v>1</v>
      </c>
      <c r="B1176" t="s">
        <v>19</v>
      </c>
      <c r="C1176" t="s">
        <v>23490</v>
      </c>
      <c r="D1176" t="str">
        <f>HYPERLINK("https://rhld.insurance.arkansas.gov/NPILookup?Npi=1144294646","1144294646")</f>
        <v>1144294646</v>
      </c>
      <c r="E1176" t="s">
        <v>509</v>
      </c>
    </row>
    <row r="1177" spans="1:5" x14ac:dyDescent="0.25">
      <c r="A1177" t="s">
        <v>1</v>
      </c>
      <c r="B1177" t="s">
        <v>19</v>
      </c>
      <c r="C1177" t="s">
        <v>23490</v>
      </c>
      <c r="D1177" t="str">
        <f>HYPERLINK("https://rhld.insurance.arkansas.gov/NPILookup?Npi=1144294992","1144294992")</f>
        <v>1144294992</v>
      </c>
      <c r="E1177" t="s">
        <v>510</v>
      </c>
    </row>
    <row r="1178" spans="1:5" x14ac:dyDescent="0.25">
      <c r="A1178" t="s">
        <v>1</v>
      </c>
      <c r="B1178" t="s">
        <v>19</v>
      </c>
      <c r="C1178" t="s">
        <v>23490</v>
      </c>
      <c r="D1178" t="str">
        <f>HYPERLINK("https://rhld.insurance.arkansas.gov/NPILookup?Npi=1144295833","1144295833")</f>
        <v>1144295833</v>
      </c>
      <c r="E1178" t="s">
        <v>19461</v>
      </c>
    </row>
    <row r="1179" spans="1:5" x14ac:dyDescent="0.25">
      <c r="A1179" t="s">
        <v>1</v>
      </c>
      <c r="B1179" t="s">
        <v>19</v>
      </c>
      <c r="C1179" t="s">
        <v>23490</v>
      </c>
      <c r="D1179" t="str">
        <f>HYPERLINK("https://rhld.insurance.arkansas.gov/NPILookup?Npi=1144329798","1144329798")</f>
        <v>1144329798</v>
      </c>
      <c r="E1179" t="s">
        <v>511</v>
      </c>
    </row>
    <row r="1180" spans="1:5" x14ac:dyDescent="0.25">
      <c r="A1180" t="s">
        <v>1</v>
      </c>
      <c r="B1180" t="s">
        <v>19</v>
      </c>
      <c r="C1180" t="s">
        <v>23490</v>
      </c>
      <c r="D1180" t="str">
        <f>HYPERLINK("https://rhld.insurance.arkansas.gov/NPILookup?Npi=1144334343","1144334343")</f>
        <v>1144334343</v>
      </c>
      <c r="E1180" t="s">
        <v>512</v>
      </c>
    </row>
    <row r="1181" spans="1:5" x14ac:dyDescent="0.25">
      <c r="A1181" t="s">
        <v>1</v>
      </c>
      <c r="B1181" t="s">
        <v>19</v>
      </c>
      <c r="C1181" t="s">
        <v>23490</v>
      </c>
      <c r="D1181" t="str">
        <f>HYPERLINK("https://rhld.insurance.arkansas.gov/NPILookup?Npi=1144334863","1144334863")</f>
        <v>1144334863</v>
      </c>
      <c r="E1181" t="s">
        <v>513</v>
      </c>
    </row>
    <row r="1182" spans="1:5" x14ac:dyDescent="0.25">
      <c r="A1182" t="s">
        <v>1</v>
      </c>
      <c r="B1182" t="s">
        <v>19</v>
      </c>
      <c r="C1182" t="s">
        <v>23490</v>
      </c>
      <c r="D1182" t="str">
        <f>HYPERLINK("https://rhld.insurance.arkansas.gov/NPILookup?Npi=1144358722","1144358722")</f>
        <v>1144358722</v>
      </c>
      <c r="E1182" t="s">
        <v>514</v>
      </c>
    </row>
    <row r="1183" spans="1:5" x14ac:dyDescent="0.25">
      <c r="A1183" t="s">
        <v>1</v>
      </c>
      <c r="B1183" t="s">
        <v>19</v>
      </c>
      <c r="C1183" t="s">
        <v>23490</v>
      </c>
      <c r="D1183" t="str">
        <f>HYPERLINK("https://rhld.insurance.arkansas.gov/NPILookup?Npi=1144395682","1144395682")</f>
        <v>1144395682</v>
      </c>
      <c r="E1183" t="s">
        <v>515</v>
      </c>
    </row>
    <row r="1184" spans="1:5" x14ac:dyDescent="0.25">
      <c r="A1184" t="s">
        <v>1</v>
      </c>
      <c r="B1184" t="s">
        <v>19</v>
      </c>
      <c r="C1184" t="s">
        <v>23490</v>
      </c>
      <c r="D1184" t="str">
        <f>HYPERLINK("https://rhld.insurance.arkansas.gov/NPILookup?Npi=1144426065","1144426065")</f>
        <v>1144426065</v>
      </c>
      <c r="E1184" t="s">
        <v>22898</v>
      </c>
    </row>
    <row r="1185" spans="1:5" x14ac:dyDescent="0.25">
      <c r="A1185" t="s">
        <v>1</v>
      </c>
      <c r="B1185" t="s">
        <v>19</v>
      </c>
      <c r="C1185" t="s">
        <v>23490</v>
      </c>
      <c r="D1185" t="str">
        <f>HYPERLINK("https://rhld.insurance.arkansas.gov/NPILookup?Npi=1144431933","1144431933")</f>
        <v>1144431933</v>
      </c>
      <c r="E1185" t="s">
        <v>516</v>
      </c>
    </row>
    <row r="1186" spans="1:5" x14ac:dyDescent="0.25">
      <c r="A1186" t="s">
        <v>1</v>
      </c>
      <c r="B1186" t="s">
        <v>19</v>
      </c>
      <c r="C1186" t="s">
        <v>23490</v>
      </c>
      <c r="D1186" t="str">
        <f>HYPERLINK("https://rhld.insurance.arkansas.gov/NPILookup?Npi=1144482175","1144482175")</f>
        <v>1144482175</v>
      </c>
      <c r="E1186" t="s">
        <v>518</v>
      </c>
    </row>
    <row r="1187" spans="1:5" x14ac:dyDescent="0.25">
      <c r="A1187" t="s">
        <v>1</v>
      </c>
      <c r="B1187" t="s">
        <v>19</v>
      </c>
      <c r="C1187" t="s">
        <v>23490</v>
      </c>
      <c r="D1187" t="str">
        <f>HYPERLINK("https://rhld.insurance.arkansas.gov/NPILookup?Npi=1144483090","1144483090")</f>
        <v>1144483090</v>
      </c>
      <c r="E1187" t="s">
        <v>14810</v>
      </c>
    </row>
    <row r="1188" spans="1:5" x14ac:dyDescent="0.25">
      <c r="A1188" t="s">
        <v>1</v>
      </c>
      <c r="B1188" t="s">
        <v>19</v>
      </c>
      <c r="C1188" t="s">
        <v>23490</v>
      </c>
      <c r="D1188" t="str">
        <f>HYPERLINK("https://rhld.insurance.arkansas.gov/NPILookup?Npi=1144485129","1144485129")</f>
        <v>1144485129</v>
      </c>
      <c r="E1188" t="s">
        <v>519</v>
      </c>
    </row>
    <row r="1189" spans="1:5" x14ac:dyDescent="0.25">
      <c r="A1189" t="s">
        <v>1</v>
      </c>
      <c r="B1189" t="s">
        <v>19</v>
      </c>
      <c r="C1189" t="s">
        <v>23490</v>
      </c>
      <c r="D1189" t="str">
        <f>HYPERLINK("https://rhld.insurance.arkansas.gov/NPILookup?Npi=1144489576","1144489576")</f>
        <v>1144489576</v>
      </c>
      <c r="E1189" t="s">
        <v>520</v>
      </c>
    </row>
    <row r="1190" spans="1:5" x14ac:dyDescent="0.25">
      <c r="A1190" t="s">
        <v>1</v>
      </c>
      <c r="B1190" t="s">
        <v>19</v>
      </c>
      <c r="C1190" t="s">
        <v>23490</v>
      </c>
      <c r="D1190" t="str">
        <f>HYPERLINK("https://rhld.insurance.arkansas.gov/NPILookup?Npi=1144496233","1144496233")</f>
        <v>1144496233</v>
      </c>
      <c r="E1190" t="s">
        <v>521</v>
      </c>
    </row>
    <row r="1191" spans="1:5" x14ac:dyDescent="0.25">
      <c r="A1191" t="s">
        <v>1</v>
      </c>
      <c r="B1191" t="s">
        <v>19</v>
      </c>
      <c r="C1191" t="s">
        <v>23490</v>
      </c>
      <c r="D1191" t="str">
        <f>HYPERLINK("https://rhld.insurance.arkansas.gov/NPILookup?Npi=1144496894","1144496894")</f>
        <v>1144496894</v>
      </c>
      <c r="E1191" t="s">
        <v>14811</v>
      </c>
    </row>
    <row r="1192" spans="1:5" x14ac:dyDescent="0.25">
      <c r="A1192" t="s">
        <v>1</v>
      </c>
      <c r="B1192" t="s">
        <v>19</v>
      </c>
      <c r="C1192" t="s">
        <v>23490</v>
      </c>
      <c r="D1192" t="str">
        <f>HYPERLINK("https://rhld.insurance.arkansas.gov/NPILookup?Npi=1144501701","1144501701")</f>
        <v>1144501701</v>
      </c>
      <c r="E1192" t="s">
        <v>522</v>
      </c>
    </row>
    <row r="1193" spans="1:5" x14ac:dyDescent="0.25">
      <c r="A1193" t="s">
        <v>1</v>
      </c>
      <c r="B1193" t="s">
        <v>19</v>
      </c>
      <c r="C1193" t="s">
        <v>23490</v>
      </c>
      <c r="D1193" t="str">
        <f>HYPERLINK("https://rhld.insurance.arkansas.gov/NPILookup?Npi=1144517129","1144517129")</f>
        <v>1144517129</v>
      </c>
      <c r="E1193" t="s">
        <v>12781</v>
      </c>
    </row>
    <row r="1194" spans="1:5" x14ac:dyDescent="0.25">
      <c r="A1194" t="s">
        <v>1</v>
      </c>
      <c r="B1194" t="s">
        <v>19</v>
      </c>
      <c r="C1194" t="s">
        <v>23490</v>
      </c>
      <c r="D1194" t="str">
        <f>HYPERLINK("https://rhld.insurance.arkansas.gov/NPILookup?Npi=1144519570","1144519570")</f>
        <v>1144519570</v>
      </c>
      <c r="E1194" t="s">
        <v>523</v>
      </c>
    </row>
    <row r="1195" spans="1:5" x14ac:dyDescent="0.25">
      <c r="A1195" t="s">
        <v>1</v>
      </c>
      <c r="B1195" t="s">
        <v>19</v>
      </c>
      <c r="C1195" t="s">
        <v>23490</v>
      </c>
      <c r="D1195" t="str">
        <f>HYPERLINK("https://rhld.insurance.arkansas.gov/NPILookup?Npi=1144529819","1144529819")</f>
        <v>1144529819</v>
      </c>
      <c r="E1195" t="s">
        <v>21476</v>
      </c>
    </row>
    <row r="1196" spans="1:5" x14ac:dyDescent="0.25">
      <c r="A1196" t="s">
        <v>1</v>
      </c>
      <c r="B1196" t="s">
        <v>19</v>
      </c>
      <c r="C1196" t="s">
        <v>23490</v>
      </c>
      <c r="D1196" t="str">
        <f>HYPERLINK("https://rhld.insurance.arkansas.gov/NPILookup?Npi=1144540683","1144540683")</f>
        <v>1144540683</v>
      </c>
      <c r="E1196" t="s">
        <v>14812</v>
      </c>
    </row>
    <row r="1197" spans="1:5" x14ac:dyDescent="0.25">
      <c r="A1197" t="s">
        <v>1</v>
      </c>
      <c r="B1197" t="s">
        <v>19</v>
      </c>
      <c r="C1197" t="s">
        <v>23490</v>
      </c>
      <c r="D1197" t="str">
        <f>HYPERLINK("https://rhld.insurance.arkansas.gov/NPILookup?Npi=1144547001","1144547001")</f>
        <v>1144547001</v>
      </c>
      <c r="E1197" t="s">
        <v>524</v>
      </c>
    </row>
    <row r="1198" spans="1:5" x14ac:dyDescent="0.25">
      <c r="A1198" t="s">
        <v>1</v>
      </c>
      <c r="B1198" t="s">
        <v>19</v>
      </c>
      <c r="C1198" t="s">
        <v>23490</v>
      </c>
      <c r="D1198" t="str">
        <f>HYPERLINK("https://rhld.insurance.arkansas.gov/NPILookup?Npi=1144553538","1144553538")</f>
        <v>1144553538</v>
      </c>
      <c r="E1198" t="s">
        <v>525</v>
      </c>
    </row>
    <row r="1199" spans="1:5" x14ac:dyDescent="0.25">
      <c r="A1199" t="s">
        <v>1</v>
      </c>
      <c r="B1199" t="s">
        <v>19</v>
      </c>
      <c r="C1199" t="s">
        <v>23490</v>
      </c>
      <c r="D1199" t="str">
        <f>HYPERLINK("https://rhld.insurance.arkansas.gov/NPILookup?Npi=1144556515","1144556515")</f>
        <v>1144556515</v>
      </c>
      <c r="E1199" t="s">
        <v>527</v>
      </c>
    </row>
    <row r="1200" spans="1:5" x14ac:dyDescent="0.25">
      <c r="A1200" t="s">
        <v>1</v>
      </c>
      <c r="B1200" t="s">
        <v>19</v>
      </c>
      <c r="C1200" t="s">
        <v>23490</v>
      </c>
      <c r="D1200" t="str">
        <f>HYPERLINK("https://rhld.insurance.arkansas.gov/NPILookup?Npi=1144563073","1144563073")</f>
        <v>1144563073</v>
      </c>
      <c r="E1200" t="s">
        <v>528</v>
      </c>
    </row>
    <row r="1201" spans="1:5" x14ac:dyDescent="0.25">
      <c r="A1201" t="s">
        <v>1</v>
      </c>
      <c r="B1201" t="s">
        <v>19</v>
      </c>
      <c r="C1201" t="s">
        <v>23490</v>
      </c>
      <c r="D1201" t="str">
        <f>HYPERLINK("https://rhld.insurance.arkansas.gov/NPILookup?Npi=1144567272","1144567272")</f>
        <v>1144567272</v>
      </c>
      <c r="E1201" t="s">
        <v>13387</v>
      </c>
    </row>
    <row r="1202" spans="1:5" x14ac:dyDescent="0.25">
      <c r="A1202" t="s">
        <v>1</v>
      </c>
      <c r="B1202" t="s">
        <v>19</v>
      </c>
      <c r="C1202" t="s">
        <v>23490</v>
      </c>
      <c r="D1202" t="str">
        <f>HYPERLINK("https://rhld.insurance.arkansas.gov/NPILookup?Npi=1144577586","1144577586")</f>
        <v>1144577586</v>
      </c>
      <c r="E1202" t="s">
        <v>529</v>
      </c>
    </row>
    <row r="1203" spans="1:5" x14ac:dyDescent="0.25">
      <c r="A1203" t="s">
        <v>1</v>
      </c>
      <c r="B1203" t="s">
        <v>19</v>
      </c>
      <c r="C1203" t="s">
        <v>23490</v>
      </c>
      <c r="D1203" t="str">
        <f>HYPERLINK("https://rhld.insurance.arkansas.gov/NPILookup?Npi=1144584392","1144584392")</f>
        <v>1144584392</v>
      </c>
      <c r="E1203" t="s">
        <v>19462</v>
      </c>
    </row>
    <row r="1204" spans="1:5" x14ac:dyDescent="0.25">
      <c r="A1204" t="s">
        <v>1</v>
      </c>
      <c r="B1204" t="s">
        <v>19</v>
      </c>
      <c r="C1204" t="s">
        <v>23490</v>
      </c>
      <c r="D1204" t="str">
        <f>HYPERLINK("https://rhld.insurance.arkansas.gov/NPILookup?Npi=1144595257","1144595257")</f>
        <v>1144595257</v>
      </c>
      <c r="E1204" t="s">
        <v>10682</v>
      </c>
    </row>
    <row r="1205" spans="1:5" x14ac:dyDescent="0.25">
      <c r="A1205" t="s">
        <v>1</v>
      </c>
      <c r="B1205" t="s">
        <v>19</v>
      </c>
      <c r="C1205" t="s">
        <v>23490</v>
      </c>
      <c r="D1205" t="str">
        <f>HYPERLINK("https://rhld.insurance.arkansas.gov/NPILookup?Npi=1144595570","1144595570")</f>
        <v>1144595570</v>
      </c>
      <c r="E1205" t="s">
        <v>530</v>
      </c>
    </row>
    <row r="1206" spans="1:5" x14ac:dyDescent="0.25">
      <c r="A1206" t="s">
        <v>1</v>
      </c>
      <c r="B1206" t="s">
        <v>19</v>
      </c>
      <c r="C1206" t="s">
        <v>23490</v>
      </c>
      <c r="D1206" t="str">
        <f>HYPERLINK("https://rhld.insurance.arkansas.gov/NPILookup?Npi=1144611922","1144611922")</f>
        <v>1144611922</v>
      </c>
      <c r="E1206" t="s">
        <v>20901</v>
      </c>
    </row>
    <row r="1207" spans="1:5" x14ac:dyDescent="0.25">
      <c r="A1207" t="s">
        <v>1</v>
      </c>
      <c r="B1207" t="s">
        <v>19</v>
      </c>
      <c r="C1207" t="s">
        <v>23490</v>
      </c>
      <c r="D1207" t="str">
        <f>HYPERLINK("https://rhld.insurance.arkansas.gov/NPILookup?Npi=1144615287","1144615287")</f>
        <v>1144615287</v>
      </c>
      <c r="E1207" t="s">
        <v>531</v>
      </c>
    </row>
    <row r="1208" spans="1:5" x14ac:dyDescent="0.25">
      <c r="A1208" t="s">
        <v>1</v>
      </c>
      <c r="B1208" t="s">
        <v>19</v>
      </c>
      <c r="C1208" t="s">
        <v>23490</v>
      </c>
      <c r="D1208" t="str">
        <f>HYPERLINK("https://rhld.insurance.arkansas.gov/NPILookup?Npi=1144617754","1144617754")</f>
        <v>1144617754</v>
      </c>
      <c r="E1208" t="s">
        <v>14815</v>
      </c>
    </row>
    <row r="1209" spans="1:5" x14ac:dyDescent="0.25">
      <c r="A1209" t="s">
        <v>1</v>
      </c>
      <c r="B1209" t="s">
        <v>19</v>
      </c>
      <c r="C1209" t="s">
        <v>23490</v>
      </c>
      <c r="D1209" t="str">
        <f>HYPERLINK("https://rhld.insurance.arkansas.gov/NPILookup?Npi=1144623356","1144623356")</f>
        <v>1144623356</v>
      </c>
      <c r="E1209" t="s">
        <v>13388</v>
      </c>
    </row>
    <row r="1210" spans="1:5" x14ac:dyDescent="0.25">
      <c r="A1210" t="s">
        <v>1</v>
      </c>
      <c r="B1210" t="s">
        <v>19</v>
      </c>
      <c r="C1210" t="s">
        <v>23490</v>
      </c>
      <c r="D1210" t="str">
        <f>HYPERLINK("https://rhld.insurance.arkansas.gov/NPILookup?Npi=1144630955","1144630955")</f>
        <v>1144630955</v>
      </c>
      <c r="E1210" t="s">
        <v>10683</v>
      </c>
    </row>
    <row r="1211" spans="1:5" x14ac:dyDescent="0.25">
      <c r="A1211" t="s">
        <v>1</v>
      </c>
      <c r="B1211" t="s">
        <v>19</v>
      </c>
      <c r="C1211" t="s">
        <v>23490</v>
      </c>
      <c r="D1211" t="str">
        <f>HYPERLINK("https://rhld.insurance.arkansas.gov/NPILookup?Npi=1144664384","1144664384")</f>
        <v>1144664384</v>
      </c>
      <c r="E1211" t="s">
        <v>8510</v>
      </c>
    </row>
    <row r="1212" spans="1:5" x14ac:dyDescent="0.25">
      <c r="A1212" t="s">
        <v>1</v>
      </c>
      <c r="B1212" t="s">
        <v>19</v>
      </c>
      <c r="C1212" t="s">
        <v>23490</v>
      </c>
      <c r="D1212" t="str">
        <f>HYPERLINK("https://rhld.insurance.arkansas.gov/NPILookup?Npi=1144672056","1144672056")</f>
        <v>1144672056</v>
      </c>
      <c r="E1212" t="s">
        <v>8511</v>
      </c>
    </row>
    <row r="1213" spans="1:5" x14ac:dyDescent="0.25">
      <c r="A1213" t="s">
        <v>1</v>
      </c>
      <c r="B1213" t="s">
        <v>19</v>
      </c>
      <c r="C1213" t="s">
        <v>23490</v>
      </c>
      <c r="D1213" t="str">
        <f>HYPERLINK("https://rhld.insurance.arkansas.gov/NPILookup?Npi=1144672825","1144672825")</f>
        <v>1144672825</v>
      </c>
      <c r="E1213" t="s">
        <v>10684</v>
      </c>
    </row>
    <row r="1214" spans="1:5" x14ac:dyDescent="0.25">
      <c r="A1214" t="s">
        <v>1</v>
      </c>
      <c r="B1214" t="s">
        <v>19</v>
      </c>
      <c r="C1214" t="s">
        <v>23490</v>
      </c>
      <c r="D1214" t="str">
        <f>HYPERLINK("https://rhld.insurance.arkansas.gov/NPILookup?Npi=1144681883","1144681883")</f>
        <v>1144681883</v>
      </c>
      <c r="E1214" t="s">
        <v>8512</v>
      </c>
    </row>
    <row r="1215" spans="1:5" x14ac:dyDescent="0.25">
      <c r="A1215" t="s">
        <v>1</v>
      </c>
      <c r="B1215" t="s">
        <v>19</v>
      </c>
      <c r="C1215" t="s">
        <v>23490</v>
      </c>
      <c r="D1215" t="str">
        <f>HYPERLINK("https://rhld.insurance.arkansas.gov/NPILookup?Npi=1144683343","1144683343")</f>
        <v>1144683343</v>
      </c>
      <c r="E1215" t="s">
        <v>14818</v>
      </c>
    </row>
    <row r="1216" spans="1:5" x14ac:dyDescent="0.25">
      <c r="A1216" t="s">
        <v>1</v>
      </c>
      <c r="B1216" t="s">
        <v>19</v>
      </c>
      <c r="C1216" t="s">
        <v>23490</v>
      </c>
      <c r="D1216" t="str">
        <f>HYPERLINK("https://rhld.insurance.arkansas.gov/NPILookup?Npi=1144685611","1144685611")</f>
        <v>1144685611</v>
      </c>
      <c r="E1216" t="s">
        <v>12782</v>
      </c>
    </row>
    <row r="1217" spans="1:5" x14ac:dyDescent="0.25">
      <c r="A1217" t="s">
        <v>1</v>
      </c>
      <c r="B1217" t="s">
        <v>19</v>
      </c>
      <c r="C1217" t="s">
        <v>23490</v>
      </c>
      <c r="D1217" t="str">
        <f>HYPERLINK("https://rhld.insurance.arkansas.gov/NPILookup?Npi=1144691320","1144691320")</f>
        <v>1144691320</v>
      </c>
      <c r="E1217" t="s">
        <v>8513</v>
      </c>
    </row>
    <row r="1218" spans="1:5" x14ac:dyDescent="0.25">
      <c r="A1218" t="s">
        <v>1</v>
      </c>
      <c r="B1218" t="s">
        <v>19</v>
      </c>
      <c r="C1218" t="s">
        <v>23490</v>
      </c>
      <c r="D1218" t="str">
        <f>HYPERLINK("https://rhld.insurance.arkansas.gov/NPILookup?Npi=1144693979","1144693979")</f>
        <v>1144693979</v>
      </c>
      <c r="E1218" t="s">
        <v>19463</v>
      </c>
    </row>
    <row r="1219" spans="1:5" x14ac:dyDescent="0.25">
      <c r="A1219" t="s">
        <v>1</v>
      </c>
      <c r="B1219" t="s">
        <v>19</v>
      </c>
      <c r="C1219" t="s">
        <v>23490</v>
      </c>
      <c r="D1219" t="str">
        <f>HYPERLINK("https://rhld.insurance.arkansas.gov/NPILookup?Npi=1144698580","1144698580")</f>
        <v>1144698580</v>
      </c>
      <c r="E1219" t="s">
        <v>532</v>
      </c>
    </row>
    <row r="1220" spans="1:5" x14ac:dyDescent="0.25">
      <c r="A1220" t="s">
        <v>1</v>
      </c>
      <c r="B1220" t="s">
        <v>19</v>
      </c>
      <c r="C1220" t="s">
        <v>23490</v>
      </c>
      <c r="D1220" t="str">
        <f>HYPERLINK("https://rhld.insurance.arkansas.gov/NPILookup?Npi=1144699984","1144699984")</f>
        <v>1144699984</v>
      </c>
      <c r="E1220" t="s">
        <v>13389</v>
      </c>
    </row>
    <row r="1221" spans="1:5" x14ac:dyDescent="0.25">
      <c r="A1221" t="s">
        <v>1</v>
      </c>
      <c r="B1221" t="s">
        <v>19</v>
      </c>
      <c r="C1221" t="s">
        <v>23490</v>
      </c>
      <c r="D1221" t="str">
        <f>HYPERLINK("https://rhld.insurance.arkansas.gov/NPILookup?Npi=1144702689","1144702689")</f>
        <v>1144702689</v>
      </c>
      <c r="E1221" t="s">
        <v>19464</v>
      </c>
    </row>
    <row r="1222" spans="1:5" x14ac:dyDescent="0.25">
      <c r="A1222" t="s">
        <v>1</v>
      </c>
      <c r="B1222" t="s">
        <v>19</v>
      </c>
      <c r="C1222" t="s">
        <v>23490</v>
      </c>
      <c r="D1222" t="str">
        <f>HYPERLINK("https://rhld.insurance.arkansas.gov/NPILookup?Npi=1144705047","1144705047")</f>
        <v>1144705047</v>
      </c>
      <c r="E1222" t="s">
        <v>19465</v>
      </c>
    </row>
    <row r="1223" spans="1:5" x14ac:dyDescent="0.25">
      <c r="A1223" t="s">
        <v>1</v>
      </c>
      <c r="B1223" t="s">
        <v>19</v>
      </c>
      <c r="C1223" t="s">
        <v>23490</v>
      </c>
      <c r="D1223" t="str">
        <f>HYPERLINK("https://rhld.insurance.arkansas.gov/NPILookup?Npi=1144726993","1144726993")</f>
        <v>1144726993</v>
      </c>
      <c r="E1223" t="s">
        <v>19466</v>
      </c>
    </row>
    <row r="1224" spans="1:5" x14ac:dyDescent="0.25">
      <c r="A1224" t="s">
        <v>1</v>
      </c>
      <c r="B1224" t="s">
        <v>19</v>
      </c>
      <c r="C1224" t="s">
        <v>23490</v>
      </c>
      <c r="D1224" t="str">
        <f>HYPERLINK("https://rhld.insurance.arkansas.gov/NPILookup?Npi=1144727108","1144727108")</f>
        <v>1144727108</v>
      </c>
      <c r="E1224" t="s">
        <v>13390</v>
      </c>
    </row>
    <row r="1225" spans="1:5" x14ac:dyDescent="0.25">
      <c r="A1225" t="s">
        <v>1</v>
      </c>
      <c r="B1225" t="s">
        <v>19</v>
      </c>
      <c r="C1225" t="s">
        <v>23490</v>
      </c>
      <c r="D1225" t="str">
        <f>HYPERLINK("https://rhld.insurance.arkansas.gov/NPILookup?Npi=1144735424","1144735424")</f>
        <v>1144735424</v>
      </c>
      <c r="E1225" t="s">
        <v>13391</v>
      </c>
    </row>
    <row r="1226" spans="1:5" x14ac:dyDescent="0.25">
      <c r="A1226" t="s">
        <v>1</v>
      </c>
      <c r="B1226" t="s">
        <v>19</v>
      </c>
      <c r="C1226" t="s">
        <v>23490</v>
      </c>
      <c r="D1226" t="str">
        <f>HYPERLINK("https://rhld.insurance.arkansas.gov/NPILookup?Npi=1144738725","1144738725")</f>
        <v>1144738725</v>
      </c>
      <c r="E1226" t="s">
        <v>17871</v>
      </c>
    </row>
    <row r="1227" spans="1:5" x14ac:dyDescent="0.25">
      <c r="A1227" t="s">
        <v>1</v>
      </c>
      <c r="B1227" t="s">
        <v>19</v>
      </c>
      <c r="C1227" t="s">
        <v>23490</v>
      </c>
      <c r="D1227" t="str">
        <f>HYPERLINK("https://rhld.insurance.arkansas.gov/NPILookup?Npi=1144738964","1144738964")</f>
        <v>1144738964</v>
      </c>
      <c r="E1227" t="s">
        <v>13392</v>
      </c>
    </row>
    <row r="1228" spans="1:5" x14ac:dyDescent="0.25">
      <c r="A1228" t="s">
        <v>1</v>
      </c>
      <c r="B1228" t="s">
        <v>19</v>
      </c>
      <c r="C1228" t="s">
        <v>23490</v>
      </c>
      <c r="D1228" t="str">
        <f>HYPERLINK("https://rhld.insurance.arkansas.gov/NPILookup?Npi=1144740796","1144740796")</f>
        <v>1144740796</v>
      </c>
      <c r="E1228" t="s">
        <v>10685</v>
      </c>
    </row>
    <row r="1229" spans="1:5" x14ac:dyDescent="0.25">
      <c r="A1229" t="s">
        <v>1</v>
      </c>
      <c r="B1229" t="s">
        <v>19</v>
      </c>
      <c r="C1229" t="s">
        <v>23490</v>
      </c>
      <c r="D1229" t="str">
        <f>HYPERLINK("https://rhld.insurance.arkansas.gov/NPILookup?Npi=1144753302","1144753302")</f>
        <v>1144753302</v>
      </c>
      <c r="E1229" t="s">
        <v>10686</v>
      </c>
    </row>
    <row r="1230" spans="1:5" x14ac:dyDescent="0.25">
      <c r="A1230" t="s">
        <v>1</v>
      </c>
      <c r="B1230" t="s">
        <v>19</v>
      </c>
      <c r="C1230" t="s">
        <v>23490</v>
      </c>
      <c r="D1230" t="str">
        <f>HYPERLINK("https://rhld.insurance.arkansas.gov/NPILookup?Npi=1144756545","1144756545")</f>
        <v>1144756545</v>
      </c>
      <c r="E1230" t="s">
        <v>19467</v>
      </c>
    </row>
    <row r="1231" spans="1:5" x14ac:dyDescent="0.25">
      <c r="A1231" t="s">
        <v>1</v>
      </c>
      <c r="B1231" t="s">
        <v>19</v>
      </c>
      <c r="C1231" t="s">
        <v>23490</v>
      </c>
      <c r="D1231" t="str">
        <f>HYPERLINK("https://rhld.insurance.arkansas.gov/NPILookup?Npi=1144760687","1144760687")</f>
        <v>1144760687</v>
      </c>
      <c r="E1231" t="s">
        <v>10687</v>
      </c>
    </row>
    <row r="1232" spans="1:5" x14ac:dyDescent="0.25">
      <c r="A1232" t="s">
        <v>1</v>
      </c>
      <c r="B1232" t="s">
        <v>19</v>
      </c>
      <c r="C1232" t="s">
        <v>23490</v>
      </c>
      <c r="D1232" t="str">
        <f>HYPERLINK("https://rhld.insurance.arkansas.gov/NPILookup?Npi=1144766288","1144766288")</f>
        <v>1144766288</v>
      </c>
      <c r="E1232" t="s">
        <v>50</v>
      </c>
    </row>
    <row r="1233" spans="1:5" x14ac:dyDescent="0.25">
      <c r="A1233" t="s">
        <v>1</v>
      </c>
      <c r="B1233" t="s">
        <v>19</v>
      </c>
      <c r="C1233" t="s">
        <v>23490</v>
      </c>
      <c r="D1233" t="str">
        <f>HYPERLINK("https://rhld.insurance.arkansas.gov/NPILookup?Npi=1144783200","1144783200")</f>
        <v>1144783200</v>
      </c>
      <c r="E1233" t="s">
        <v>21477</v>
      </c>
    </row>
    <row r="1234" spans="1:5" x14ac:dyDescent="0.25">
      <c r="A1234" t="s">
        <v>1</v>
      </c>
      <c r="B1234" t="s">
        <v>19</v>
      </c>
      <c r="C1234" t="s">
        <v>23490</v>
      </c>
      <c r="D1234" t="str">
        <f>HYPERLINK("https://rhld.insurance.arkansas.gov/NPILookup?Npi=1144788068","1144788068")</f>
        <v>1144788068</v>
      </c>
      <c r="E1234" t="s">
        <v>19468</v>
      </c>
    </row>
    <row r="1235" spans="1:5" x14ac:dyDescent="0.25">
      <c r="A1235" t="s">
        <v>1</v>
      </c>
      <c r="B1235" t="s">
        <v>19</v>
      </c>
      <c r="C1235" t="s">
        <v>23490</v>
      </c>
      <c r="D1235" t="str">
        <f>HYPERLINK("https://rhld.insurance.arkansas.gov/NPILookup?Npi=1144792334","1144792334")</f>
        <v>1144792334</v>
      </c>
      <c r="E1235" t="s">
        <v>21373</v>
      </c>
    </row>
    <row r="1236" spans="1:5" x14ac:dyDescent="0.25">
      <c r="A1236" t="s">
        <v>1</v>
      </c>
      <c r="B1236" t="s">
        <v>19</v>
      </c>
      <c r="C1236" t="s">
        <v>23490</v>
      </c>
      <c r="D1236" t="str">
        <f>HYPERLINK("https://rhld.insurance.arkansas.gov/NPILookup?Npi=1144804022","1144804022")</f>
        <v>1144804022</v>
      </c>
      <c r="E1236" t="s">
        <v>18677</v>
      </c>
    </row>
    <row r="1237" spans="1:5" x14ac:dyDescent="0.25">
      <c r="A1237" t="s">
        <v>1</v>
      </c>
      <c r="B1237" t="s">
        <v>19</v>
      </c>
      <c r="C1237" t="s">
        <v>23490</v>
      </c>
      <c r="D1237" t="str">
        <f>HYPERLINK("https://rhld.insurance.arkansas.gov/NPILookup?Npi=1144804725","1144804725")</f>
        <v>1144804725</v>
      </c>
      <c r="E1237" t="s">
        <v>19469</v>
      </c>
    </row>
    <row r="1238" spans="1:5" x14ac:dyDescent="0.25">
      <c r="A1238" t="s">
        <v>1</v>
      </c>
      <c r="B1238" t="s">
        <v>19</v>
      </c>
      <c r="C1238" t="s">
        <v>23490</v>
      </c>
      <c r="D1238" t="str">
        <f>HYPERLINK("https://rhld.insurance.arkansas.gov/NPILookup?Npi=1144807488","1144807488")</f>
        <v>1144807488</v>
      </c>
      <c r="E1238" t="s">
        <v>18678</v>
      </c>
    </row>
    <row r="1239" spans="1:5" x14ac:dyDescent="0.25">
      <c r="A1239" t="s">
        <v>1</v>
      </c>
      <c r="B1239" t="s">
        <v>19</v>
      </c>
      <c r="C1239" t="s">
        <v>23490</v>
      </c>
      <c r="D1239" t="str">
        <f>HYPERLINK("https://rhld.insurance.arkansas.gov/NPILookup?Npi=1144807694","1144807694")</f>
        <v>1144807694</v>
      </c>
      <c r="E1239" t="s">
        <v>21478</v>
      </c>
    </row>
    <row r="1240" spans="1:5" x14ac:dyDescent="0.25">
      <c r="A1240" t="s">
        <v>1</v>
      </c>
      <c r="B1240" t="s">
        <v>19</v>
      </c>
      <c r="C1240" t="s">
        <v>23490</v>
      </c>
      <c r="D1240" t="str">
        <f>HYPERLINK("https://rhld.insurance.arkansas.gov/NPILookup?Npi=1144816430","1144816430")</f>
        <v>1144816430</v>
      </c>
      <c r="E1240" t="s">
        <v>18679</v>
      </c>
    </row>
    <row r="1241" spans="1:5" x14ac:dyDescent="0.25">
      <c r="A1241" t="s">
        <v>1</v>
      </c>
      <c r="B1241" t="s">
        <v>19</v>
      </c>
      <c r="C1241" t="s">
        <v>23490</v>
      </c>
      <c r="D1241" t="str">
        <f>HYPERLINK("https://rhld.insurance.arkansas.gov/NPILookup?Npi=1144836347","1144836347")</f>
        <v>1144836347</v>
      </c>
      <c r="E1241" t="s">
        <v>18680</v>
      </c>
    </row>
    <row r="1242" spans="1:5" x14ac:dyDescent="0.25">
      <c r="A1242" t="s">
        <v>1</v>
      </c>
      <c r="B1242" t="s">
        <v>19</v>
      </c>
      <c r="C1242" t="s">
        <v>23490</v>
      </c>
      <c r="D1242" t="str">
        <f>HYPERLINK("https://rhld.insurance.arkansas.gov/NPILookup?Npi=1144836495","1144836495")</f>
        <v>1144836495</v>
      </c>
      <c r="E1242" t="s">
        <v>17872</v>
      </c>
    </row>
    <row r="1243" spans="1:5" x14ac:dyDescent="0.25">
      <c r="A1243" t="s">
        <v>1</v>
      </c>
      <c r="B1243" t="s">
        <v>19</v>
      </c>
      <c r="C1243" t="s">
        <v>23490</v>
      </c>
      <c r="D1243" t="str">
        <f>HYPERLINK("https://rhld.insurance.arkansas.gov/NPILookup?Npi=1144836909","1144836909")</f>
        <v>1144836909</v>
      </c>
      <c r="E1243" t="s">
        <v>17392</v>
      </c>
    </row>
    <row r="1244" spans="1:5" x14ac:dyDescent="0.25">
      <c r="A1244" t="s">
        <v>1</v>
      </c>
      <c r="B1244" t="s">
        <v>19</v>
      </c>
      <c r="C1244" t="s">
        <v>23490</v>
      </c>
      <c r="D1244" t="str">
        <f>HYPERLINK("https://rhld.insurance.arkansas.gov/NPILookup?Npi=1144856998","1144856998")</f>
        <v>1144856998</v>
      </c>
      <c r="E1244" t="s">
        <v>17873</v>
      </c>
    </row>
    <row r="1245" spans="1:5" x14ac:dyDescent="0.25">
      <c r="A1245" t="s">
        <v>1</v>
      </c>
      <c r="B1245" t="s">
        <v>19</v>
      </c>
      <c r="C1245" t="s">
        <v>23490</v>
      </c>
      <c r="D1245" t="str">
        <f>HYPERLINK("https://rhld.insurance.arkansas.gov/NPILookup?Npi=1144861709","1144861709")</f>
        <v>1144861709</v>
      </c>
      <c r="E1245" t="s">
        <v>17874</v>
      </c>
    </row>
    <row r="1246" spans="1:5" x14ac:dyDescent="0.25">
      <c r="A1246" t="s">
        <v>1</v>
      </c>
      <c r="B1246" t="s">
        <v>19</v>
      </c>
      <c r="C1246" t="s">
        <v>23490</v>
      </c>
      <c r="D1246" t="str">
        <f>HYPERLINK("https://rhld.insurance.arkansas.gov/NPILookup?Npi=1144864539","1144864539")</f>
        <v>1144864539</v>
      </c>
      <c r="E1246" t="s">
        <v>17875</v>
      </c>
    </row>
    <row r="1247" spans="1:5" x14ac:dyDescent="0.25">
      <c r="A1247" t="s">
        <v>1</v>
      </c>
      <c r="B1247" t="s">
        <v>19</v>
      </c>
      <c r="C1247" t="s">
        <v>23490</v>
      </c>
      <c r="D1247" t="str">
        <f>HYPERLINK("https://rhld.insurance.arkansas.gov/NPILookup?Npi=1144881665","1144881665")</f>
        <v>1144881665</v>
      </c>
      <c r="E1247" t="s">
        <v>19470</v>
      </c>
    </row>
    <row r="1248" spans="1:5" x14ac:dyDescent="0.25">
      <c r="A1248" t="s">
        <v>1</v>
      </c>
      <c r="B1248" t="s">
        <v>19</v>
      </c>
      <c r="C1248" t="s">
        <v>23490</v>
      </c>
      <c r="D1248" t="str">
        <f>HYPERLINK("https://rhld.insurance.arkansas.gov/NPILookup?Npi=1144898057","1144898057")</f>
        <v>1144898057</v>
      </c>
      <c r="E1248" t="s">
        <v>18681</v>
      </c>
    </row>
    <row r="1249" spans="1:5" x14ac:dyDescent="0.25">
      <c r="A1249" t="s">
        <v>1</v>
      </c>
      <c r="B1249" t="s">
        <v>19</v>
      </c>
      <c r="C1249" t="s">
        <v>8427</v>
      </c>
      <c r="D1249" t="str">
        <f>HYPERLINK("https://rhld.insurance.arkansas.gov/NPILookup?Npi=1144920281","1144920281")</f>
        <v>1144920281</v>
      </c>
      <c r="E1249" t="s">
        <v>22899</v>
      </c>
    </row>
    <row r="1250" spans="1:5" x14ac:dyDescent="0.25">
      <c r="A1250" t="s">
        <v>1</v>
      </c>
      <c r="B1250" t="s">
        <v>19</v>
      </c>
      <c r="C1250" t="s">
        <v>23490</v>
      </c>
      <c r="D1250" t="str">
        <f>HYPERLINK("https://rhld.insurance.arkansas.gov/NPILookup?Npi=1144936147","1144936147")</f>
        <v>1144936147</v>
      </c>
      <c r="E1250" t="s">
        <v>21479</v>
      </c>
    </row>
    <row r="1251" spans="1:5" x14ac:dyDescent="0.25">
      <c r="A1251" t="s">
        <v>1</v>
      </c>
      <c r="B1251" t="s">
        <v>19</v>
      </c>
      <c r="C1251" t="s">
        <v>23490</v>
      </c>
      <c r="D1251" t="str">
        <f>HYPERLINK("https://rhld.insurance.arkansas.gov/NPILookup?Npi=1144946260","1144946260")</f>
        <v>1144946260</v>
      </c>
      <c r="E1251" t="s">
        <v>21480</v>
      </c>
    </row>
    <row r="1252" spans="1:5" x14ac:dyDescent="0.25">
      <c r="A1252" t="s">
        <v>1</v>
      </c>
      <c r="B1252" t="s">
        <v>19</v>
      </c>
      <c r="C1252" t="s">
        <v>23490</v>
      </c>
      <c r="D1252" t="str">
        <f>HYPERLINK("https://rhld.insurance.arkansas.gov/NPILookup?Npi=1144974320","1144974320")</f>
        <v>1144974320</v>
      </c>
      <c r="E1252" t="s">
        <v>19471</v>
      </c>
    </row>
    <row r="1253" spans="1:5" x14ac:dyDescent="0.25">
      <c r="A1253" t="s">
        <v>1</v>
      </c>
      <c r="B1253" t="s">
        <v>19</v>
      </c>
      <c r="C1253" t="s">
        <v>23490</v>
      </c>
      <c r="D1253" t="str">
        <f>HYPERLINK("https://rhld.insurance.arkansas.gov/NPILookup?Npi=1144989500","1144989500")</f>
        <v>1144989500</v>
      </c>
      <c r="E1253" t="s">
        <v>20902</v>
      </c>
    </row>
    <row r="1254" spans="1:5" x14ac:dyDescent="0.25">
      <c r="A1254" t="s">
        <v>1</v>
      </c>
      <c r="B1254" t="s">
        <v>19</v>
      </c>
      <c r="C1254" t="s">
        <v>23490</v>
      </c>
      <c r="D1254" t="str">
        <f>HYPERLINK("https://rhld.insurance.arkansas.gov/NPILookup?Npi=1144990623","1144990623")</f>
        <v>1144990623</v>
      </c>
      <c r="E1254" t="s">
        <v>18682</v>
      </c>
    </row>
    <row r="1255" spans="1:5" x14ac:dyDescent="0.25">
      <c r="A1255" t="s">
        <v>1</v>
      </c>
      <c r="B1255" t="s">
        <v>19</v>
      </c>
      <c r="C1255" t="s">
        <v>23490</v>
      </c>
      <c r="D1255" t="str">
        <f>HYPERLINK("https://rhld.insurance.arkansas.gov/NPILookup?Npi=1154033140","1154033140")</f>
        <v>1154033140</v>
      </c>
      <c r="E1255" t="s">
        <v>21481</v>
      </c>
    </row>
    <row r="1256" spans="1:5" x14ac:dyDescent="0.25">
      <c r="A1256" t="s">
        <v>1</v>
      </c>
      <c r="B1256" t="s">
        <v>19</v>
      </c>
      <c r="C1256" t="s">
        <v>23490</v>
      </c>
      <c r="D1256" t="str">
        <f>HYPERLINK("https://rhld.insurance.arkansas.gov/NPILookup?Npi=1154048262","1154048262")</f>
        <v>1154048262</v>
      </c>
      <c r="E1256" t="s">
        <v>21482</v>
      </c>
    </row>
    <row r="1257" spans="1:5" x14ac:dyDescent="0.25">
      <c r="A1257" t="s">
        <v>1</v>
      </c>
      <c r="B1257" t="s">
        <v>19</v>
      </c>
      <c r="C1257" t="s">
        <v>23490</v>
      </c>
      <c r="D1257" t="str">
        <f>HYPERLINK("https://rhld.insurance.arkansas.gov/NPILookup?Npi=1154058816","1154058816")</f>
        <v>1154058816</v>
      </c>
      <c r="E1257" t="s">
        <v>20903</v>
      </c>
    </row>
    <row r="1258" spans="1:5" x14ac:dyDescent="0.25">
      <c r="A1258" t="s">
        <v>1</v>
      </c>
      <c r="B1258" t="s">
        <v>19</v>
      </c>
      <c r="C1258" t="s">
        <v>23490</v>
      </c>
      <c r="D1258" t="str">
        <f>HYPERLINK("https://rhld.insurance.arkansas.gov/NPILookup?Npi=1154300705","1154300705")</f>
        <v>1154300705</v>
      </c>
      <c r="E1258" t="s">
        <v>533</v>
      </c>
    </row>
    <row r="1259" spans="1:5" x14ac:dyDescent="0.25">
      <c r="A1259" t="s">
        <v>1</v>
      </c>
      <c r="B1259" t="s">
        <v>19</v>
      </c>
      <c r="C1259" t="s">
        <v>23490</v>
      </c>
      <c r="D1259" t="str">
        <f>HYPERLINK("https://rhld.insurance.arkansas.gov/NPILookup?Npi=1154311595","1154311595")</f>
        <v>1154311595</v>
      </c>
      <c r="E1259" t="s">
        <v>534</v>
      </c>
    </row>
    <row r="1260" spans="1:5" x14ac:dyDescent="0.25">
      <c r="A1260" t="s">
        <v>1</v>
      </c>
      <c r="B1260" t="s">
        <v>19</v>
      </c>
      <c r="C1260" t="s">
        <v>23490</v>
      </c>
      <c r="D1260" t="str">
        <f>HYPERLINK("https://rhld.insurance.arkansas.gov/NPILookup?Npi=1154314771","1154314771")</f>
        <v>1154314771</v>
      </c>
      <c r="E1260" t="s">
        <v>535</v>
      </c>
    </row>
    <row r="1261" spans="1:5" x14ac:dyDescent="0.25">
      <c r="A1261" t="s">
        <v>1</v>
      </c>
      <c r="B1261" t="s">
        <v>19</v>
      </c>
      <c r="C1261" t="s">
        <v>23490</v>
      </c>
      <c r="D1261" t="str">
        <f>HYPERLINK("https://rhld.insurance.arkansas.gov/NPILookup?Npi=1154315067","1154315067")</f>
        <v>1154315067</v>
      </c>
      <c r="E1261" t="s">
        <v>536</v>
      </c>
    </row>
    <row r="1262" spans="1:5" x14ac:dyDescent="0.25">
      <c r="A1262" t="s">
        <v>1</v>
      </c>
      <c r="B1262" t="s">
        <v>19</v>
      </c>
      <c r="C1262" t="s">
        <v>23490</v>
      </c>
      <c r="D1262" t="str">
        <f>HYPERLINK("https://rhld.insurance.arkansas.gov/NPILookup?Npi=1154327237","1154327237")</f>
        <v>1154327237</v>
      </c>
      <c r="E1262" t="s">
        <v>537</v>
      </c>
    </row>
    <row r="1263" spans="1:5" x14ac:dyDescent="0.25">
      <c r="A1263" t="s">
        <v>1</v>
      </c>
      <c r="B1263" t="s">
        <v>19</v>
      </c>
      <c r="C1263" t="s">
        <v>23490</v>
      </c>
      <c r="D1263" t="str">
        <f>HYPERLINK("https://rhld.insurance.arkansas.gov/NPILookup?Npi=1154329878","1154329878")</f>
        <v>1154329878</v>
      </c>
      <c r="E1263" t="s">
        <v>538</v>
      </c>
    </row>
    <row r="1264" spans="1:5" x14ac:dyDescent="0.25">
      <c r="A1264" t="s">
        <v>1</v>
      </c>
      <c r="B1264" t="s">
        <v>19</v>
      </c>
      <c r="C1264" t="s">
        <v>23490</v>
      </c>
      <c r="D1264" t="str">
        <f>HYPERLINK("https://rhld.insurance.arkansas.gov/NPILookup?Npi=1154330629","1154330629")</f>
        <v>1154330629</v>
      </c>
      <c r="E1264" t="s">
        <v>21483</v>
      </c>
    </row>
    <row r="1265" spans="1:5" x14ac:dyDescent="0.25">
      <c r="A1265" t="s">
        <v>1</v>
      </c>
      <c r="B1265" t="s">
        <v>19</v>
      </c>
      <c r="C1265" t="s">
        <v>23490</v>
      </c>
      <c r="D1265" t="str">
        <f>HYPERLINK("https://rhld.insurance.arkansas.gov/NPILookup?Npi=1154339752","1154339752")</f>
        <v>1154339752</v>
      </c>
      <c r="E1265" t="s">
        <v>539</v>
      </c>
    </row>
    <row r="1266" spans="1:5" x14ac:dyDescent="0.25">
      <c r="A1266" t="s">
        <v>1</v>
      </c>
      <c r="B1266" t="s">
        <v>19</v>
      </c>
      <c r="C1266" t="s">
        <v>23490</v>
      </c>
      <c r="D1266" t="str">
        <f>HYPERLINK("https://rhld.insurance.arkansas.gov/NPILookup?Npi=1154344810","1154344810")</f>
        <v>1154344810</v>
      </c>
      <c r="E1266" t="s">
        <v>540</v>
      </c>
    </row>
    <row r="1267" spans="1:5" x14ac:dyDescent="0.25">
      <c r="A1267" t="s">
        <v>1</v>
      </c>
      <c r="B1267" t="s">
        <v>19</v>
      </c>
      <c r="C1267" t="s">
        <v>23490</v>
      </c>
      <c r="D1267" t="str">
        <f>HYPERLINK("https://rhld.insurance.arkansas.gov/NPILookup?Npi=1154351278","1154351278")</f>
        <v>1154351278</v>
      </c>
      <c r="E1267" t="s">
        <v>541</v>
      </c>
    </row>
    <row r="1268" spans="1:5" x14ac:dyDescent="0.25">
      <c r="A1268" t="s">
        <v>1</v>
      </c>
      <c r="B1268" t="s">
        <v>19</v>
      </c>
      <c r="C1268" t="s">
        <v>23490</v>
      </c>
      <c r="D1268" t="str">
        <f>HYPERLINK("https://rhld.insurance.arkansas.gov/NPILookup?Npi=1154362267","1154362267")</f>
        <v>1154362267</v>
      </c>
      <c r="E1268" t="s">
        <v>8514</v>
      </c>
    </row>
    <row r="1269" spans="1:5" x14ac:dyDescent="0.25">
      <c r="A1269" t="s">
        <v>1</v>
      </c>
      <c r="B1269" t="s">
        <v>19</v>
      </c>
      <c r="C1269" t="s">
        <v>23490</v>
      </c>
      <c r="D1269" t="str">
        <f>HYPERLINK("https://rhld.insurance.arkansas.gov/NPILookup?Npi=1154365732","1154365732")</f>
        <v>1154365732</v>
      </c>
      <c r="E1269" t="s">
        <v>543</v>
      </c>
    </row>
    <row r="1270" spans="1:5" x14ac:dyDescent="0.25">
      <c r="A1270" t="s">
        <v>1</v>
      </c>
      <c r="B1270" t="s">
        <v>19</v>
      </c>
      <c r="C1270" t="s">
        <v>23490</v>
      </c>
      <c r="D1270" t="str">
        <f>HYPERLINK("https://rhld.insurance.arkansas.gov/NPILookup?Npi=1154366961","1154366961")</f>
        <v>1154366961</v>
      </c>
      <c r="E1270" t="s">
        <v>544</v>
      </c>
    </row>
    <row r="1271" spans="1:5" x14ac:dyDescent="0.25">
      <c r="A1271" t="s">
        <v>1</v>
      </c>
      <c r="B1271" t="s">
        <v>19</v>
      </c>
      <c r="C1271" t="s">
        <v>23490</v>
      </c>
      <c r="D1271" t="str">
        <f>HYPERLINK("https://rhld.insurance.arkansas.gov/NPILookup?Npi=1154371946","1154371946")</f>
        <v>1154371946</v>
      </c>
      <c r="E1271" t="s">
        <v>545</v>
      </c>
    </row>
    <row r="1272" spans="1:5" x14ac:dyDescent="0.25">
      <c r="A1272" t="s">
        <v>1</v>
      </c>
      <c r="B1272" t="s">
        <v>19</v>
      </c>
      <c r="C1272" t="s">
        <v>23490</v>
      </c>
      <c r="D1272" t="str">
        <f>HYPERLINK("https://rhld.insurance.arkansas.gov/NPILookup?Npi=1154374932","1154374932")</f>
        <v>1154374932</v>
      </c>
      <c r="E1272" t="s">
        <v>442</v>
      </c>
    </row>
    <row r="1273" spans="1:5" x14ac:dyDescent="0.25">
      <c r="A1273" t="s">
        <v>1</v>
      </c>
      <c r="B1273" t="s">
        <v>19</v>
      </c>
      <c r="C1273" t="s">
        <v>23490</v>
      </c>
      <c r="D1273" t="str">
        <f>HYPERLINK("https://rhld.insurance.arkansas.gov/NPILookup?Npi=1154382992","1154382992")</f>
        <v>1154382992</v>
      </c>
      <c r="E1273" t="s">
        <v>547</v>
      </c>
    </row>
    <row r="1274" spans="1:5" x14ac:dyDescent="0.25">
      <c r="A1274" t="s">
        <v>1</v>
      </c>
      <c r="B1274" t="s">
        <v>19</v>
      </c>
      <c r="C1274" t="s">
        <v>23490</v>
      </c>
      <c r="D1274" t="str">
        <f>HYPERLINK("https://rhld.insurance.arkansas.gov/NPILookup?Npi=1154388031","1154388031")</f>
        <v>1154388031</v>
      </c>
      <c r="E1274" t="s">
        <v>548</v>
      </c>
    </row>
    <row r="1275" spans="1:5" x14ac:dyDescent="0.25">
      <c r="A1275" t="s">
        <v>1</v>
      </c>
      <c r="B1275" t="s">
        <v>19</v>
      </c>
      <c r="C1275" t="s">
        <v>23490</v>
      </c>
      <c r="D1275" t="str">
        <f>HYPERLINK("https://rhld.insurance.arkansas.gov/NPILookup?Npi=1154388056","1154388056")</f>
        <v>1154388056</v>
      </c>
      <c r="E1275" t="s">
        <v>549</v>
      </c>
    </row>
    <row r="1276" spans="1:5" x14ac:dyDescent="0.25">
      <c r="A1276" t="s">
        <v>1</v>
      </c>
      <c r="B1276" t="s">
        <v>19</v>
      </c>
      <c r="C1276" t="s">
        <v>23490</v>
      </c>
      <c r="D1276" t="str">
        <f>HYPERLINK("https://rhld.insurance.arkansas.gov/NPILookup?Npi=1154391514","1154391514")</f>
        <v>1154391514</v>
      </c>
      <c r="E1276" t="s">
        <v>550</v>
      </c>
    </row>
    <row r="1277" spans="1:5" x14ac:dyDescent="0.25">
      <c r="A1277" t="s">
        <v>1</v>
      </c>
      <c r="B1277" t="s">
        <v>19</v>
      </c>
      <c r="C1277" t="s">
        <v>23490</v>
      </c>
      <c r="D1277" t="str">
        <f>HYPERLINK("https://rhld.insurance.arkansas.gov/NPILookup?Npi=1154397537","1154397537")</f>
        <v>1154397537</v>
      </c>
      <c r="E1277" t="s">
        <v>551</v>
      </c>
    </row>
    <row r="1278" spans="1:5" x14ac:dyDescent="0.25">
      <c r="A1278" t="s">
        <v>1</v>
      </c>
      <c r="B1278" t="s">
        <v>19</v>
      </c>
      <c r="C1278" t="s">
        <v>23490</v>
      </c>
      <c r="D1278" t="str">
        <f>HYPERLINK("https://rhld.insurance.arkansas.gov/NPILookup?Npi=1154402444","1154402444")</f>
        <v>1154402444</v>
      </c>
      <c r="E1278" t="s">
        <v>552</v>
      </c>
    </row>
    <row r="1279" spans="1:5" x14ac:dyDescent="0.25">
      <c r="A1279" t="s">
        <v>1</v>
      </c>
      <c r="B1279" t="s">
        <v>19</v>
      </c>
      <c r="C1279" t="s">
        <v>23490</v>
      </c>
      <c r="D1279" t="str">
        <f>HYPERLINK("https://rhld.insurance.arkansas.gov/NPILookup?Npi=1154406486","1154406486")</f>
        <v>1154406486</v>
      </c>
      <c r="E1279" t="s">
        <v>10689</v>
      </c>
    </row>
    <row r="1280" spans="1:5" x14ac:dyDescent="0.25">
      <c r="A1280" t="s">
        <v>1</v>
      </c>
      <c r="B1280" t="s">
        <v>19</v>
      </c>
      <c r="C1280" t="s">
        <v>23490</v>
      </c>
      <c r="D1280" t="str">
        <f>HYPERLINK("https://rhld.insurance.arkansas.gov/NPILookup?Npi=1154411379","1154411379")</f>
        <v>1154411379</v>
      </c>
      <c r="E1280" t="s">
        <v>553</v>
      </c>
    </row>
    <row r="1281" spans="1:5" x14ac:dyDescent="0.25">
      <c r="A1281" t="s">
        <v>1</v>
      </c>
      <c r="B1281" t="s">
        <v>19</v>
      </c>
      <c r="C1281" t="s">
        <v>23490</v>
      </c>
      <c r="D1281" t="str">
        <f>HYPERLINK("https://rhld.insurance.arkansas.gov/NPILookup?Npi=1154432854","1154432854")</f>
        <v>1154432854</v>
      </c>
      <c r="E1281" t="s">
        <v>16882</v>
      </c>
    </row>
    <row r="1282" spans="1:5" x14ac:dyDescent="0.25">
      <c r="A1282" t="s">
        <v>1</v>
      </c>
      <c r="B1282" t="s">
        <v>19</v>
      </c>
      <c r="C1282" t="s">
        <v>23490</v>
      </c>
      <c r="D1282" t="str">
        <f>HYPERLINK("https://rhld.insurance.arkansas.gov/NPILookup?Npi=1154436327","1154436327")</f>
        <v>1154436327</v>
      </c>
      <c r="E1282" t="s">
        <v>21484</v>
      </c>
    </row>
    <row r="1283" spans="1:5" x14ac:dyDescent="0.25">
      <c r="A1283" t="s">
        <v>1</v>
      </c>
      <c r="B1283" t="s">
        <v>19</v>
      </c>
      <c r="C1283" t="s">
        <v>23490</v>
      </c>
      <c r="D1283" t="str">
        <f>HYPERLINK("https://rhld.insurance.arkansas.gov/NPILookup?Npi=1154446532","1154446532")</f>
        <v>1154446532</v>
      </c>
      <c r="E1283" t="s">
        <v>554</v>
      </c>
    </row>
    <row r="1284" spans="1:5" x14ac:dyDescent="0.25">
      <c r="A1284" t="s">
        <v>1</v>
      </c>
      <c r="B1284" t="s">
        <v>19</v>
      </c>
      <c r="C1284" t="s">
        <v>23490</v>
      </c>
      <c r="D1284" t="str">
        <f>HYPERLINK("https://rhld.insurance.arkansas.gov/NPILookup?Npi=1154461457","1154461457")</f>
        <v>1154461457</v>
      </c>
      <c r="E1284" t="s">
        <v>19472</v>
      </c>
    </row>
    <row r="1285" spans="1:5" x14ac:dyDescent="0.25">
      <c r="A1285" t="s">
        <v>1</v>
      </c>
      <c r="B1285" t="s">
        <v>19</v>
      </c>
      <c r="C1285" t="s">
        <v>23490</v>
      </c>
      <c r="D1285" t="str">
        <f>HYPERLINK("https://rhld.insurance.arkansas.gov/NPILookup?Npi=1154465466","1154465466")</f>
        <v>1154465466</v>
      </c>
      <c r="E1285" t="s">
        <v>12783</v>
      </c>
    </row>
    <row r="1286" spans="1:5" x14ac:dyDescent="0.25">
      <c r="A1286" t="s">
        <v>1</v>
      </c>
      <c r="B1286" t="s">
        <v>19</v>
      </c>
      <c r="C1286" t="s">
        <v>23490</v>
      </c>
      <c r="D1286" t="str">
        <f>HYPERLINK("https://rhld.insurance.arkansas.gov/NPILookup?Npi=1154471670","1154471670")</f>
        <v>1154471670</v>
      </c>
      <c r="E1286" t="s">
        <v>555</v>
      </c>
    </row>
    <row r="1287" spans="1:5" x14ac:dyDescent="0.25">
      <c r="A1287" t="s">
        <v>1</v>
      </c>
      <c r="B1287" t="s">
        <v>19</v>
      </c>
      <c r="C1287" t="s">
        <v>23490</v>
      </c>
      <c r="D1287" t="str">
        <f>HYPERLINK("https://rhld.insurance.arkansas.gov/NPILookup?Npi=1154485993","1154485993")</f>
        <v>1154485993</v>
      </c>
      <c r="E1287" t="s">
        <v>10690</v>
      </c>
    </row>
    <row r="1288" spans="1:5" x14ac:dyDescent="0.25">
      <c r="A1288" t="s">
        <v>1</v>
      </c>
      <c r="B1288" t="s">
        <v>19</v>
      </c>
      <c r="C1288" t="s">
        <v>23490</v>
      </c>
      <c r="D1288" t="str">
        <f>HYPERLINK("https://rhld.insurance.arkansas.gov/NPILookup?Npi=1154526515","1154526515")</f>
        <v>1154526515</v>
      </c>
      <c r="E1288" t="s">
        <v>556</v>
      </c>
    </row>
    <row r="1289" spans="1:5" x14ac:dyDescent="0.25">
      <c r="A1289" t="s">
        <v>1</v>
      </c>
      <c r="B1289" t="s">
        <v>19</v>
      </c>
      <c r="C1289" t="s">
        <v>23490</v>
      </c>
      <c r="D1289" t="str">
        <f>HYPERLINK("https://rhld.insurance.arkansas.gov/NPILookup?Npi=1154529717","1154529717")</f>
        <v>1154529717</v>
      </c>
      <c r="E1289" t="s">
        <v>19473</v>
      </c>
    </row>
    <row r="1290" spans="1:5" x14ac:dyDescent="0.25">
      <c r="A1290" t="s">
        <v>1</v>
      </c>
      <c r="B1290" t="s">
        <v>19</v>
      </c>
      <c r="C1290" t="s">
        <v>23490</v>
      </c>
      <c r="D1290" t="str">
        <f>HYPERLINK("https://rhld.insurance.arkansas.gov/NPILookup?Npi=1154538247","1154538247")</f>
        <v>1154538247</v>
      </c>
      <c r="E1290" t="s">
        <v>557</v>
      </c>
    </row>
    <row r="1291" spans="1:5" x14ac:dyDescent="0.25">
      <c r="A1291" t="s">
        <v>1</v>
      </c>
      <c r="B1291" t="s">
        <v>19</v>
      </c>
      <c r="C1291" t="s">
        <v>23490</v>
      </c>
      <c r="D1291" t="str">
        <f>HYPERLINK("https://rhld.insurance.arkansas.gov/NPILookup?Npi=1154582799","1154582799")</f>
        <v>1154582799</v>
      </c>
      <c r="E1291" t="s">
        <v>558</v>
      </c>
    </row>
    <row r="1292" spans="1:5" x14ac:dyDescent="0.25">
      <c r="A1292" t="s">
        <v>1</v>
      </c>
      <c r="B1292" t="s">
        <v>19</v>
      </c>
      <c r="C1292" t="s">
        <v>23490</v>
      </c>
      <c r="D1292" t="str">
        <f>HYPERLINK("https://rhld.insurance.arkansas.gov/NPILookup?Npi=1154595098","1154595098")</f>
        <v>1154595098</v>
      </c>
      <c r="E1292" t="s">
        <v>559</v>
      </c>
    </row>
    <row r="1293" spans="1:5" x14ac:dyDescent="0.25">
      <c r="A1293" t="s">
        <v>1</v>
      </c>
      <c r="B1293" t="s">
        <v>19</v>
      </c>
      <c r="C1293" t="s">
        <v>23490</v>
      </c>
      <c r="D1293" t="str">
        <f>HYPERLINK("https://rhld.insurance.arkansas.gov/NPILookup?Npi=1154599900","1154599900")</f>
        <v>1154599900</v>
      </c>
      <c r="E1293" t="s">
        <v>10691</v>
      </c>
    </row>
    <row r="1294" spans="1:5" x14ac:dyDescent="0.25">
      <c r="A1294" t="s">
        <v>1</v>
      </c>
      <c r="B1294" t="s">
        <v>19</v>
      </c>
      <c r="C1294" t="s">
        <v>23490</v>
      </c>
      <c r="D1294" t="str">
        <f>HYPERLINK("https://rhld.insurance.arkansas.gov/NPILookup?Npi=1154628113","1154628113")</f>
        <v>1154628113</v>
      </c>
      <c r="E1294" t="s">
        <v>561</v>
      </c>
    </row>
    <row r="1295" spans="1:5" x14ac:dyDescent="0.25">
      <c r="A1295" t="s">
        <v>1</v>
      </c>
      <c r="B1295" t="s">
        <v>19</v>
      </c>
      <c r="C1295" t="s">
        <v>23490</v>
      </c>
      <c r="D1295" t="str">
        <f>HYPERLINK("https://rhld.insurance.arkansas.gov/NPILookup?Npi=1154638179","1154638179")</f>
        <v>1154638179</v>
      </c>
      <c r="E1295" t="s">
        <v>21375</v>
      </c>
    </row>
    <row r="1296" spans="1:5" x14ac:dyDescent="0.25">
      <c r="A1296" t="s">
        <v>1</v>
      </c>
      <c r="B1296" t="s">
        <v>19</v>
      </c>
      <c r="C1296" t="s">
        <v>23490</v>
      </c>
      <c r="D1296" t="str">
        <f>HYPERLINK("https://rhld.insurance.arkansas.gov/NPILookup?Npi=1154654937","1154654937")</f>
        <v>1154654937</v>
      </c>
      <c r="E1296" t="s">
        <v>562</v>
      </c>
    </row>
    <row r="1297" spans="1:5" x14ac:dyDescent="0.25">
      <c r="A1297" t="s">
        <v>1</v>
      </c>
      <c r="B1297" t="s">
        <v>19</v>
      </c>
      <c r="C1297" t="s">
        <v>23490</v>
      </c>
      <c r="D1297" t="str">
        <f>HYPERLINK("https://rhld.insurance.arkansas.gov/NPILookup?Npi=1154657468","1154657468")</f>
        <v>1154657468</v>
      </c>
      <c r="E1297" t="s">
        <v>12963</v>
      </c>
    </row>
    <row r="1298" spans="1:5" x14ac:dyDescent="0.25">
      <c r="A1298" t="s">
        <v>1</v>
      </c>
      <c r="B1298" t="s">
        <v>19</v>
      </c>
      <c r="C1298" t="s">
        <v>23490</v>
      </c>
      <c r="D1298" t="str">
        <f>HYPERLINK("https://rhld.insurance.arkansas.gov/NPILookup?Npi=1154659100","1154659100")</f>
        <v>1154659100</v>
      </c>
      <c r="E1298" t="s">
        <v>10692</v>
      </c>
    </row>
    <row r="1299" spans="1:5" x14ac:dyDescent="0.25">
      <c r="A1299" t="s">
        <v>1</v>
      </c>
      <c r="B1299" t="s">
        <v>19</v>
      </c>
      <c r="C1299" t="s">
        <v>23490</v>
      </c>
      <c r="D1299" t="str">
        <f>HYPERLINK("https://rhld.insurance.arkansas.gov/NPILookup?Npi=1154664316","1154664316")</f>
        <v>1154664316</v>
      </c>
      <c r="E1299" t="s">
        <v>8515</v>
      </c>
    </row>
    <row r="1300" spans="1:5" x14ac:dyDescent="0.25">
      <c r="A1300" t="s">
        <v>1</v>
      </c>
      <c r="B1300" t="s">
        <v>19</v>
      </c>
      <c r="C1300" t="s">
        <v>23490</v>
      </c>
      <c r="D1300" t="str">
        <f>HYPERLINK("https://rhld.insurance.arkansas.gov/NPILookup?Npi=1154671204","1154671204")</f>
        <v>1154671204</v>
      </c>
      <c r="E1300" t="s">
        <v>14823</v>
      </c>
    </row>
    <row r="1301" spans="1:5" x14ac:dyDescent="0.25">
      <c r="A1301" t="s">
        <v>1</v>
      </c>
      <c r="B1301" t="s">
        <v>19</v>
      </c>
      <c r="C1301" t="s">
        <v>23490</v>
      </c>
      <c r="D1301" t="str">
        <f>HYPERLINK("https://rhld.insurance.arkansas.gov/NPILookup?Npi=1154684355","1154684355")</f>
        <v>1154684355</v>
      </c>
      <c r="E1301" t="s">
        <v>10693</v>
      </c>
    </row>
    <row r="1302" spans="1:5" x14ac:dyDescent="0.25">
      <c r="A1302" t="s">
        <v>1</v>
      </c>
      <c r="B1302" t="s">
        <v>19</v>
      </c>
      <c r="C1302" t="s">
        <v>23490</v>
      </c>
      <c r="D1302" t="str">
        <f>HYPERLINK("https://rhld.insurance.arkansas.gov/NPILookup?Npi=1154688059","1154688059")</f>
        <v>1154688059</v>
      </c>
      <c r="E1302" t="s">
        <v>8516</v>
      </c>
    </row>
    <row r="1303" spans="1:5" x14ac:dyDescent="0.25">
      <c r="A1303" t="s">
        <v>1</v>
      </c>
      <c r="B1303" t="s">
        <v>19</v>
      </c>
      <c r="C1303" t="s">
        <v>23490</v>
      </c>
      <c r="D1303" t="str">
        <f>HYPERLINK("https://rhld.insurance.arkansas.gov/NPILookup?Npi=1154696607","1154696607")</f>
        <v>1154696607</v>
      </c>
      <c r="E1303" t="s">
        <v>563</v>
      </c>
    </row>
    <row r="1304" spans="1:5" x14ac:dyDescent="0.25">
      <c r="A1304" t="s">
        <v>1</v>
      </c>
      <c r="B1304" t="s">
        <v>19</v>
      </c>
      <c r="C1304" t="s">
        <v>23490</v>
      </c>
      <c r="D1304" t="str">
        <f>HYPERLINK("https://rhld.insurance.arkansas.gov/NPILookup?Npi=1154697829","1154697829")</f>
        <v>1154697829</v>
      </c>
      <c r="E1304" t="s">
        <v>564</v>
      </c>
    </row>
    <row r="1305" spans="1:5" x14ac:dyDescent="0.25">
      <c r="A1305" t="s">
        <v>1</v>
      </c>
      <c r="B1305" t="s">
        <v>19</v>
      </c>
      <c r="C1305" t="s">
        <v>23490</v>
      </c>
      <c r="D1305" t="str">
        <f>HYPERLINK("https://rhld.insurance.arkansas.gov/NPILookup?Npi=1154701456","1154701456")</f>
        <v>1154701456</v>
      </c>
      <c r="E1305" t="s">
        <v>12784</v>
      </c>
    </row>
    <row r="1306" spans="1:5" x14ac:dyDescent="0.25">
      <c r="A1306" t="s">
        <v>1</v>
      </c>
      <c r="B1306" t="s">
        <v>19</v>
      </c>
      <c r="C1306" t="s">
        <v>23490</v>
      </c>
      <c r="D1306" t="str">
        <f>HYPERLINK("https://rhld.insurance.arkansas.gov/NPILookup?Npi=1154711943","1154711943")</f>
        <v>1154711943</v>
      </c>
      <c r="E1306" t="s">
        <v>8517</v>
      </c>
    </row>
    <row r="1307" spans="1:5" x14ac:dyDescent="0.25">
      <c r="A1307" t="s">
        <v>1</v>
      </c>
      <c r="B1307" t="s">
        <v>19</v>
      </c>
      <c r="C1307" t="s">
        <v>23490</v>
      </c>
      <c r="D1307" t="str">
        <f>HYPERLINK("https://rhld.insurance.arkansas.gov/NPILookup?Npi=1154727378","1154727378")</f>
        <v>1154727378</v>
      </c>
      <c r="E1307" t="s">
        <v>565</v>
      </c>
    </row>
    <row r="1308" spans="1:5" x14ac:dyDescent="0.25">
      <c r="A1308" t="s">
        <v>1</v>
      </c>
      <c r="B1308" t="s">
        <v>19</v>
      </c>
      <c r="C1308" t="s">
        <v>23490</v>
      </c>
      <c r="D1308" t="str">
        <f>HYPERLINK("https://rhld.insurance.arkansas.gov/NPILookup?Npi=1154730166","1154730166")</f>
        <v>1154730166</v>
      </c>
      <c r="E1308" t="s">
        <v>566</v>
      </c>
    </row>
    <row r="1309" spans="1:5" x14ac:dyDescent="0.25">
      <c r="A1309" t="s">
        <v>1</v>
      </c>
      <c r="B1309" t="s">
        <v>19</v>
      </c>
      <c r="C1309" t="s">
        <v>23490</v>
      </c>
      <c r="D1309" t="str">
        <f>HYPERLINK("https://rhld.insurance.arkansas.gov/NPILookup?Npi=1154736262","1154736262")</f>
        <v>1154736262</v>
      </c>
      <c r="E1309" t="s">
        <v>567</v>
      </c>
    </row>
    <row r="1310" spans="1:5" x14ac:dyDescent="0.25">
      <c r="A1310" t="s">
        <v>1</v>
      </c>
      <c r="B1310" t="s">
        <v>19</v>
      </c>
      <c r="C1310" t="s">
        <v>23490</v>
      </c>
      <c r="D1310" t="str">
        <f>HYPERLINK("https://rhld.insurance.arkansas.gov/NPILookup?Npi=1154748143","1154748143")</f>
        <v>1154748143</v>
      </c>
      <c r="E1310" t="s">
        <v>12785</v>
      </c>
    </row>
    <row r="1311" spans="1:5" x14ac:dyDescent="0.25">
      <c r="A1311" t="s">
        <v>1</v>
      </c>
      <c r="B1311" t="s">
        <v>19</v>
      </c>
      <c r="C1311" t="s">
        <v>23490</v>
      </c>
      <c r="D1311" t="str">
        <f>HYPERLINK("https://rhld.insurance.arkansas.gov/NPILookup?Npi=1154763449","1154763449")</f>
        <v>1154763449</v>
      </c>
      <c r="E1311" t="s">
        <v>21485</v>
      </c>
    </row>
    <row r="1312" spans="1:5" x14ac:dyDescent="0.25">
      <c r="A1312" t="s">
        <v>1</v>
      </c>
      <c r="B1312" t="s">
        <v>19</v>
      </c>
      <c r="C1312" t="s">
        <v>23490</v>
      </c>
      <c r="D1312" t="str">
        <f>HYPERLINK("https://rhld.insurance.arkansas.gov/NPILookup?Npi=1154773521","1154773521")</f>
        <v>1154773521</v>
      </c>
      <c r="E1312" t="s">
        <v>10694</v>
      </c>
    </row>
    <row r="1313" spans="1:5" x14ac:dyDescent="0.25">
      <c r="A1313" t="s">
        <v>1</v>
      </c>
      <c r="B1313" t="s">
        <v>19</v>
      </c>
      <c r="C1313" t="s">
        <v>23490</v>
      </c>
      <c r="D1313" t="str">
        <f>HYPERLINK("https://rhld.insurance.arkansas.gov/NPILookup?Npi=1154776409","1154776409")</f>
        <v>1154776409</v>
      </c>
      <c r="E1313" t="s">
        <v>7244</v>
      </c>
    </row>
    <row r="1314" spans="1:5" x14ac:dyDescent="0.25">
      <c r="A1314" t="s">
        <v>1</v>
      </c>
      <c r="B1314" t="s">
        <v>19</v>
      </c>
      <c r="C1314" t="s">
        <v>23490</v>
      </c>
      <c r="D1314" t="str">
        <f>HYPERLINK("https://rhld.insurance.arkansas.gov/NPILookup?Npi=1154800704","1154800704")</f>
        <v>1154800704</v>
      </c>
      <c r="E1314" t="s">
        <v>17393</v>
      </c>
    </row>
    <row r="1315" spans="1:5" x14ac:dyDescent="0.25">
      <c r="A1315" t="s">
        <v>1</v>
      </c>
      <c r="B1315" t="s">
        <v>19</v>
      </c>
      <c r="C1315" t="s">
        <v>23490</v>
      </c>
      <c r="D1315" t="str">
        <f>HYPERLINK("https://rhld.insurance.arkansas.gov/NPILookup?Npi=1154808145","1154808145")</f>
        <v>1154808145</v>
      </c>
      <c r="E1315" t="s">
        <v>14825</v>
      </c>
    </row>
    <row r="1316" spans="1:5" x14ac:dyDescent="0.25">
      <c r="A1316" t="s">
        <v>1</v>
      </c>
      <c r="B1316" t="s">
        <v>19</v>
      </c>
      <c r="C1316" t="s">
        <v>23490</v>
      </c>
      <c r="D1316" t="str">
        <f>HYPERLINK("https://rhld.insurance.arkansas.gov/NPILookup?Npi=1154810612","1154810612")</f>
        <v>1154810612</v>
      </c>
      <c r="E1316" t="s">
        <v>13393</v>
      </c>
    </row>
    <row r="1317" spans="1:5" x14ac:dyDescent="0.25">
      <c r="A1317" t="s">
        <v>1</v>
      </c>
      <c r="B1317" t="s">
        <v>19</v>
      </c>
      <c r="C1317" t="s">
        <v>23490</v>
      </c>
      <c r="D1317" t="str">
        <f>HYPERLINK("https://rhld.insurance.arkansas.gov/NPILookup?Npi=1154815843","1154815843")</f>
        <v>1154815843</v>
      </c>
      <c r="E1317" t="s">
        <v>18683</v>
      </c>
    </row>
    <row r="1318" spans="1:5" x14ac:dyDescent="0.25">
      <c r="A1318" t="s">
        <v>1</v>
      </c>
      <c r="B1318" t="s">
        <v>19</v>
      </c>
      <c r="C1318" t="s">
        <v>23490</v>
      </c>
      <c r="D1318" t="str">
        <f>HYPERLINK("https://rhld.insurance.arkansas.gov/NPILookup?Npi=1154816098","1154816098")</f>
        <v>1154816098</v>
      </c>
      <c r="E1318" t="s">
        <v>19474</v>
      </c>
    </row>
    <row r="1319" spans="1:5" x14ac:dyDescent="0.25">
      <c r="A1319" t="s">
        <v>1</v>
      </c>
      <c r="B1319" t="s">
        <v>19</v>
      </c>
      <c r="C1319" t="s">
        <v>23490</v>
      </c>
      <c r="D1319" t="str">
        <f>HYPERLINK("https://rhld.insurance.arkansas.gov/NPILookup?Npi=1154838704","1154838704")</f>
        <v>1154838704</v>
      </c>
      <c r="E1319" t="s">
        <v>16883</v>
      </c>
    </row>
    <row r="1320" spans="1:5" x14ac:dyDescent="0.25">
      <c r="A1320" t="s">
        <v>1</v>
      </c>
      <c r="B1320" t="s">
        <v>19</v>
      </c>
      <c r="C1320" t="s">
        <v>23490</v>
      </c>
      <c r="D1320" t="str">
        <f>HYPERLINK("https://rhld.insurance.arkansas.gov/NPILookup?Npi=1154852499","1154852499")</f>
        <v>1154852499</v>
      </c>
      <c r="E1320" t="s">
        <v>21486</v>
      </c>
    </row>
    <row r="1321" spans="1:5" x14ac:dyDescent="0.25">
      <c r="A1321" t="s">
        <v>1</v>
      </c>
      <c r="B1321" t="s">
        <v>19</v>
      </c>
      <c r="C1321" t="s">
        <v>23490</v>
      </c>
      <c r="D1321" t="str">
        <f>HYPERLINK("https://rhld.insurance.arkansas.gov/NPILookup?Npi=1154869139","1154869139")</f>
        <v>1154869139</v>
      </c>
      <c r="E1321" t="s">
        <v>10696</v>
      </c>
    </row>
    <row r="1322" spans="1:5" x14ac:dyDescent="0.25">
      <c r="A1322" t="s">
        <v>1</v>
      </c>
      <c r="B1322" t="s">
        <v>19</v>
      </c>
      <c r="C1322" t="s">
        <v>23490</v>
      </c>
      <c r="D1322" t="str">
        <f>HYPERLINK("https://rhld.insurance.arkansas.gov/NPILookup?Npi=1154876365","1154876365")</f>
        <v>1154876365</v>
      </c>
      <c r="E1322" t="s">
        <v>8518</v>
      </c>
    </row>
    <row r="1323" spans="1:5" x14ac:dyDescent="0.25">
      <c r="A1323" t="s">
        <v>1</v>
      </c>
      <c r="B1323" t="s">
        <v>19</v>
      </c>
      <c r="C1323" t="s">
        <v>23490</v>
      </c>
      <c r="D1323" t="str">
        <f>HYPERLINK("https://rhld.insurance.arkansas.gov/NPILookup?Npi=1154889707","1154889707")</f>
        <v>1154889707</v>
      </c>
      <c r="E1323" t="s">
        <v>19475</v>
      </c>
    </row>
    <row r="1324" spans="1:5" x14ac:dyDescent="0.25">
      <c r="A1324" t="s">
        <v>1</v>
      </c>
      <c r="B1324" t="s">
        <v>19</v>
      </c>
      <c r="C1324" t="s">
        <v>23490</v>
      </c>
      <c r="D1324" t="str">
        <f>HYPERLINK("https://rhld.insurance.arkansas.gov/NPILookup?Npi=1154897486","1154897486")</f>
        <v>1154897486</v>
      </c>
      <c r="E1324" t="s">
        <v>18684</v>
      </c>
    </row>
    <row r="1325" spans="1:5" x14ac:dyDescent="0.25">
      <c r="A1325" t="s">
        <v>1</v>
      </c>
      <c r="B1325" t="s">
        <v>19</v>
      </c>
      <c r="C1325" t="s">
        <v>23490</v>
      </c>
      <c r="D1325" t="str">
        <f>HYPERLINK("https://rhld.insurance.arkansas.gov/NPILookup?Npi=1154915007","1154915007")</f>
        <v>1154915007</v>
      </c>
      <c r="E1325" t="s">
        <v>18685</v>
      </c>
    </row>
    <row r="1326" spans="1:5" x14ac:dyDescent="0.25">
      <c r="A1326" t="s">
        <v>1</v>
      </c>
      <c r="B1326" t="s">
        <v>19</v>
      </c>
      <c r="C1326" t="s">
        <v>23490</v>
      </c>
      <c r="D1326" t="str">
        <f>HYPERLINK("https://rhld.insurance.arkansas.gov/NPILookup?Npi=1154921047","1154921047")</f>
        <v>1154921047</v>
      </c>
      <c r="E1326" t="s">
        <v>21376</v>
      </c>
    </row>
    <row r="1327" spans="1:5" x14ac:dyDescent="0.25">
      <c r="A1327" t="s">
        <v>1</v>
      </c>
      <c r="B1327" t="s">
        <v>19</v>
      </c>
      <c r="C1327" t="s">
        <v>23490</v>
      </c>
      <c r="D1327" t="str">
        <f>HYPERLINK("https://rhld.insurance.arkansas.gov/NPILookup?Npi=1154932655","1154932655")</f>
        <v>1154932655</v>
      </c>
      <c r="E1327" t="s">
        <v>17876</v>
      </c>
    </row>
    <row r="1328" spans="1:5" x14ac:dyDescent="0.25">
      <c r="A1328" t="s">
        <v>1</v>
      </c>
      <c r="B1328" t="s">
        <v>19</v>
      </c>
      <c r="C1328" t="s">
        <v>23490</v>
      </c>
      <c r="D1328" t="str">
        <f>HYPERLINK("https://rhld.insurance.arkansas.gov/NPILookup?Npi=1154935757","1154935757")</f>
        <v>1154935757</v>
      </c>
      <c r="E1328" t="s">
        <v>17877</v>
      </c>
    </row>
    <row r="1329" spans="1:5" x14ac:dyDescent="0.25">
      <c r="A1329" t="s">
        <v>1</v>
      </c>
      <c r="B1329" t="s">
        <v>19</v>
      </c>
      <c r="C1329" t="s">
        <v>23490</v>
      </c>
      <c r="D1329" t="str">
        <f>HYPERLINK("https://rhld.insurance.arkansas.gov/NPILookup?Npi=1154951127","1154951127")</f>
        <v>1154951127</v>
      </c>
      <c r="E1329" t="s">
        <v>16884</v>
      </c>
    </row>
    <row r="1330" spans="1:5" x14ac:dyDescent="0.25">
      <c r="A1330" t="s">
        <v>1</v>
      </c>
      <c r="B1330" t="s">
        <v>19</v>
      </c>
      <c r="C1330" t="s">
        <v>23490</v>
      </c>
      <c r="D1330" t="str">
        <f>HYPERLINK("https://rhld.insurance.arkansas.gov/NPILookup?Npi=1154959211","1154959211")</f>
        <v>1154959211</v>
      </c>
      <c r="E1330" t="s">
        <v>21487</v>
      </c>
    </row>
    <row r="1331" spans="1:5" x14ac:dyDescent="0.25">
      <c r="A1331" t="s">
        <v>1</v>
      </c>
      <c r="B1331" t="s">
        <v>19</v>
      </c>
      <c r="C1331" t="s">
        <v>23490</v>
      </c>
      <c r="D1331" t="str">
        <f>HYPERLINK("https://rhld.insurance.arkansas.gov/NPILookup?Npi=1154960011","1154960011")</f>
        <v>1154960011</v>
      </c>
      <c r="E1331" t="s">
        <v>19476</v>
      </c>
    </row>
    <row r="1332" spans="1:5" x14ac:dyDescent="0.25">
      <c r="A1332" t="s">
        <v>1</v>
      </c>
      <c r="B1332" t="s">
        <v>19</v>
      </c>
      <c r="C1332" t="s">
        <v>23490</v>
      </c>
      <c r="D1332" t="str">
        <f>HYPERLINK("https://rhld.insurance.arkansas.gov/NPILookup?Npi=1154964559","1154964559")</f>
        <v>1154964559</v>
      </c>
      <c r="E1332" t="s">
        <v>17878</v>
      </c>
    </row>
    <row r="1333" spans="1:5" x14ac:dyDescent="0.25">
      <c r="A1333" t="s">
        <v>1</v>
      </c>
      <c r="B1333" t="s">
        <v>19</v>
      </c>
      <c r="C1333" t="s">
        <v>23490</v>
      </c>
      <c r="D1333" t="str">
        <f>HYPERLINK("https://rhld.insurance.arkansas.gov/NPILookup?Npi=1154965036","1154965036")</f>
        <v>1154965036</v>
      </c>
      <c r="E1333" t="s">
        <v>19477</v>
      </c>
    </row>
    <row r="1334" spans="1:5" x14ac:dyDescent="0.25">
      <c r="A1334" t="s">
        <v>1</v>
      </c>
      <c r="B1334" t="s">
        <v>19</v>
      </c>
      <c r="C1334" t="s">
        <v>23490</v>
      </c>
      <c r="D1334" t="str">
        <f>HYPERLINK("https://rhld.insurance.arkansas.gov/NPILookup?Npi=1154966349","1154966349")</f>
        <v>1154966349</v>
      </c>
      <c r="E1334" t="s">
        <v>17879</v>
      </c>
    </row>
    <row r="1335" spans="1:5" x14ac:dyDescent="0.25">
      <c r="A1335" t="s">
        <v>1</v>
      </c>
      <c r="B1335" t="s">
        <v>19</v>
      </c>
      <c r="C1335" t="s">
        <v>23490</v>
      </c>
      <c r="D1335" t="str">
        <f>HYPERLINK("https://rhld.insurance.arkansas.gov/NPILookup?Npi=1154981710","1154981710")</f>
        <v>1154981710</v>
      </c>
      <c r="E1335" t="s">
        <v>19478</v>
      </c>
    </row>
    <row r="1336" spans="1:5" x14ac:dyDescent="0.25">
      <c r="A1336" t="s">
        <v>1</v>
      </c>
      <c r="B1336" t="s">
        <v>19</v>
      </c>
      <c r="C1336" t="s">
        <v>23490</v>
      </c>
      <c r="D1336" t="str">
        <f>HYPERLINK("https://rhld.insurance.arkansas.gov/NPILookup?Npi=1154994911","1154994911")</f>
        <v>1154994911</v>
      </c>
      <c r="E1336" t="s">
        <v>19479</v>
      </c>
    </row>
    <row r="1337" spans="1:5" x14ac:dyDescent="0.25">
      <c r="A1337" t="s">
        <v>1</v>
      </c>
      <c r="B1337" t="s">
        <v>19</v>
      </c>
      <c r="C1337" t="s">
        <v>23490</v>
      </c>
      <c r="D1337" t="str">
        <f>HYPERLINK("https://rhld.insurance.arkansas.gov/NPILookup?Npi=1164044228","1164044228")</f>
        <v>1164044228</v>
      </c>
      <c r="E1337" t="s">
        <v>17880</v>
      </c>
    </row>
    <row r="1338" spans="1:5" x14ac:dyDescent="0.25">
      <c r="A1338" t="s">
        <v>1</v>
      </c>
      <c r="B1338" t="s">
        <v>19</v>
      </c>
      <c r="C1338" t="s">
        <v>23490</v>
      </c>
      <c r="D1338" t="str">
        <f>HYPERLINK("https://rhld.insurance.arkansas.gov/NPILookup?Npi=1164048088","1164048088")</f>
        <v>1164048088</v>
      </c>
      <c r="E1338" t="s">
        <v>17394</v>
      </c>
    </row>
    <row r="1339" spans="1:5" x14ac:dyDescent="0.25">
      <c r="A1339" t="s">
        <v>1</v>
      </c>
      <c r="B1339" t="s">
        <v>19</v>
      </c>
      <c r="C1339" t="s">
        <v>23490</v>
      </c>
      <c r="D1339" t="str">
        <f>HYPERLINK("https://rhld.insurance.arkansas.gov/NPILookup?Npi=1164052742","1164052742")</f>
        <v>1164052742</v>
      </c>
      <c r="E1339" t="s">
        <v>17395</v>
      </c>
    </row>
    <row r="1340" spans="1:5" x14ac:dyDescent="0.25">
      <c r="A1340" t="s">
        <v>1</v>
      </c>
      <c r="B1340" t="s">
        <v>19</v>
      </c>
      <c r="C1340" t="s">
        <v>23490</v>
      </c>
      <c r="D1340" t="str">
        <f>HYPERLINK("https://rhld.insurance.arkansas.gov/NPILookup?Npi=1164069969","1164069969")</f>
        <v>1164069969</v>
      </c>
      <c r="E1340" t="s">
        <v>17881</v>
      </c>
    </row>
    <row r="1341" spans="1:5" x14ac:dyDescent="0.25">
      <c r="A1341" t="s">
        <v>1</v>
      </c>
      <c r="B1341" t="s">
        <v>19</v>
      </c>
      <c r="C1341" t="s">
        <v>23490</v>
      </c>
      <c r="D1341" t="str">
        <f>HYPERLINK("https://rhld.insurance.arkansas.gov/NPILookup?Npi=1164073722","1164073722")</f>
        <v>1164073722</v>
      </c>
      <c r="E1341" t="s">
        <v>22900</v>
      </c>
    </row>
    <row r="1342" spans="1:5" x14ac:dyDescent="0.25">
      <c r="A1342" t="s">
        <v>1</v>
      </c>
      <c r="B1342" t="s">
        <v>19</v>
      </c>
      <c r="C1342" t="s">
        <v>23490</v>
      </c>
      <c r="D1342" t="str">
        <f>HYPERLINK("https://rhld.insurance.arkansas.gov/NPILookup?Npi=1164081337","1164081337")</f>
        <v>1164081337</v>
      </c>
      <c r="E1342" t="s">
        <v>18686</v>
      </c>
    </row>
    <row r="1343" spans="1:5" x14ac:dyDescent="0.25">
      <c r="A1343" t="s">
        <v>1</v>
      </c>
      <c r="B1343" t="s">
        <v>19</v>
      </c>
      <c r="C1343" t="s">
        <v>23490</v>
      </c>
      <c r="D1343" t="str">
        <f>HYPERLINK("https://rhld.insurance.arkansas.gov/NPILookup?Npi=1164086559","1164086559")</f>
        <v>1164086559</v>
      </c>
      <c r="E1343" t="s">
        <v>21488</v>
      </c>
    </row>
    <row r="1344" spans="1:5" x14ac:dyDescent="0.25">
      <c r="A1344" t="s">
        <v>1</v>
      </c>
      <c r="B1344" t="s">
        <v>19</v>
      </c>
      <c r="C1344" t="s">
        <v>23490</v>
      </c>
      <c r="D1344" t="str">
        <f>HYPERLINK("https://rhld.insurance.arkansas.gov/NPILookup?Npi=1164098216","1164098216")</f>
        <v>1164098216</v>
      </c>
      <c r="E1344" t="s">
        <v>19480</v>
      </c>
    </row>
    <row r="1345" spans="1:5" x14ac:dyDescent="0.25">
      <c r="A1345" t="s">
        <v>1</v>
      </c>
      <c r="B1345" t="s">
        <v>19</v>
      </c>
      <c r="C1345" t="s">
        <v>8427</v>
      </c>
      <c r="D1345" t="str">
        <f>HYPERLINK("https://rhld.insurance.arkansas.gov/NPILookup?Npi=1164125795","1164125795")</f>
        <v>1164125795</v>
      </c>
      <c r="E1345" t="s">
        <v>22901</v>
      </c>
    </row>
    <row r="1346" spans="1:5" x14ac:dyDescent="0.25">
      <c r="A1346" t="s">
        <v>1</v>
      </c>
      <c r="B1346" t="s">
        <v>19</v>
      </c>
      <c r="C1346" t="s">
        <v>23490</v>
      </c>
      <c r="D1346" t="str">
        <f>HYPERLINK("https://rhld.insurance.arkansas.gov/NPILookup?Npi=1164175303","1164175303")</f>
        <v>1164175303</v>
      </c>
      <c r="E1346" t="s">
        <v>21489</v>
      </c>
    </row>
    <row r="1347" spans="1:5" x14ac:dyDescent="0.25">
      <c r="A1347" t="s">
        <v>1</v>
      </c>
      <c r="B1347" t="s">
        <v>19</v>
      </c>
      <c r="C1347" t="s">
        <v>23490</v>
      </c>
      <c r="D1347" t="str">
        <f>HYPERLINK("https://rhld.insurance.arkansas.gov/NPILookup?Npi=1164189411","1164189411")</f>
        <v>1164189411</v>
      </c>
      <c r="E1347" t="s">
        <v>20904</v>
      </c>
    </row>
    <row r="1348" spans="1:5" x14ac:dyDescent="0.25">
      <c r="A1348" t="s">
        <v>1</v>
      </c>
      <c r="B1348" t="s">
        <v>19</v>
      </c>
      <c r="C1348" t="s">
        <v>23490</v>
      </c>
      <c r="D1348" t="str">
        <f>HYPERLINK("https://rhld.insurance.arkansas.gov/NPILookup?Npi=1164401832","1164401832")</f>
        <v>1164401832</v>
      </c>
      <c r="E1348" t="s">
        <v>10697</v>
      </c>
    </row>
    <row r="1349" spans="1:5" x14ac:dyDescent="0.25">
      <c r="A1349" t="s">
        <v>1</v>
      </c>
      <c r="B1349" t="s">
        <v>19</v>
      </c>
      <c r="C1349" t="s">
        <v>23490</v>
      </c>
      <c r="D1349" t="str">
        <f>HYPERLINK("https://rhld.insurance.arkansas.gov/NPILookup?Npi=1164410353","1164410353")</f>
        <v>1164410353</v>
      </c>
      <c r="E1349" t="s">
        <v>568</v>
      </c>
    </row>
    <row r="1350" spans="1:5" x14ac:dyDescent="0.25">
      <c r="A1350" t="s">
        <v>1</v>
      </c>
      <c r="B1350" t="s">
        <v>19</v>
      </c>
      <c r="C1350" t="s">
        <v>23490</v>
      </c>
      <c r="D1350" t="str">
        <f>HYPERLINK("https://rhld.insurance.arkansas.gov/NPILookup?Npi=1164416368","1164416368")</f>
        <v>1164416368</v>
      </c>
      <c r="E1350" t="s">
        <v>569</v>
      </c>
    </row>
    <row r="1351" spans="1:5" x14ac:dyDescent="0.25">
      <c r="A1351" t="s">
        <v>1</v>
      </c>
      <c r="B1351" t="s">
        <v>19</v>
      </c>
      <c r="C1351" t="s">
        <v>23490</v>
      </c>
      <c r="D1351" t="str">
        <f>HYPERLINK("https://rhld.insurance.arkansas.gov/NPILookup?Npi=1164418679","1164418679")</f>
        <v>1164418679</v>
      </c>
      <c r="E1351" t="s">
        <v>570</v>
      </c>
    </row>
    <row r="1352" spans="1:5" x14ac:dyDescent="0.25">
      <c r="A1352" t="s">
        <v>1</v>
      </c>
      <c r="B1352" t="s">
        <v>19</v>
      </c>
      <c r="C1352" t="s">
        <v>23490</v>
      </c>
      <c r="D1352" t="str">
        <f>HYPERLINK("https://rhld.insurance.arkansas.gov/NPILookup?Npi=1164420501","1164420501")</f>
        <v>1164420501</v>
      </c>
      <c r="E1352" t="s">
        <v>13394</v>
      </c>
    </row>
    <row r="1353" spans="1:5" x14ac:dyDescent="0.25">
      <c r="A1353" t="s">
        <v>1</v>
      </c>
      <c r="B1353" t="s">
        <v>19</v>
      </c>
      <c r="C1353" t="s">
        <v>23490</v>
      </c>
      <c r="D1353" t="str">
        <f>HYPERLINK("https://rhld.insurance.arkansas.gov/NPILookup?Npi=1164422663","1164422663")</f>
        <v>1164422663</v>
      </c>
      <c r="E1353" t="s">
        <v>10698</v>
      </c>
    </row>
    <row r="1354" spans="1:5" x14ac:dyDescent="0.25">
      <c r="A1354" t="s">
        <v>1</v>
      </c>
      <c r="B1354" t="s">
        <v>19</v>
      </c>
      <c r="C1354" t="s">
        <v>23490</v>
      </c>
      <c r="D1354" t="str">
        <f>HYPERLINK("https://rhld.insurance.arkansas.gov/NPILookup?Npi=1164429981","1164429981")</f>
        <v>1164429981</v>
      </c>
      <c r="E1354" t="s">
        <v>571</v>
      </c>
    </row>
    <row r="1355" spans="1:5" x14ac:dyDescent="0.25">
      <c r="A1355" t="s">
        <v>1</v>
      </c>
      <c r="B1355" t="s">
        <v>19</v>
      </c>
      <c r="C1355" t="s">
        <v>23490</v>
      </c>
      <c r="D1355" t="str">
        <f>HYPERLINK("https://rhld.insurance.arkansas.gov/NPILookup?Npi=1164433298","1164433298")</f>
        <v>1164433298</v>
      </c>
      <c r="E1355" t="s">
        <v>572</v>
      </c>
    </row>
    <row r="1356" spans="1:5" x14ac:dyDescent="0.25">
      <c r="A1356" t="s">
        <v>1</v>
      </c>
      <c r="B1356" t="s">
        <v>19</v>
      </c>
      <c r="C1356" t="s">
        <v>23490</v>
      </c>
      <c r="D1356" t="str">
        <f>HYPERLINK("https://rhld.insurance.arkansas.gov/NPILookup?Npi=1164448155","1164448155")</f>
        <v>1164448155</v>
      </c>
      <c r="E1356" t="s">
        <v>573</v>
      </c>
    </row>
    <row r="1357" spans="1:5" x14ac:dyDescent="0.25">
      <c r="A1357" t="s">
        <v>1</v>
      </c>
      <c r="B1357" t="s">
        <v>19</v>
      </c>
      <c r="C1357" t="s">
        <v>23490</v>
      </c>
      <c r="D1357" t="str">
        <f>HYPERLINK("https://rhld.insurance.arkansas.gov/NPILookup?Npi=1164448858","1164448858")</f>
        <v>1164448858</v>
      </c>
      <c r="E1357" t="s">
        <v>574</v>
      </c>
    </row>
    <row r="1358" spans="1:5" x14ac:dyDescent="0.25">
      <c r="A1358" t="s">
        <v>1</v>
      </c>
      <c r="B1358" t="s">
        <v>19</v>
      </c>
      <c r="C1358" t="s">
        <v>23490</v>
      </c>
      <c r="D1358" t="str">
        <f>HYPERLINK("https://rhld.insurance.arkansas.gov/NPILookup?Npi=1164450730","1164450730")</f>
        <v>1164450730</v>
      </c>
      <c r="E1358" t="s">
        <v>14826</v>
      </c>
    </row>
    <row r="1359" spans="1:5" x14ac:dyDescent="0.25">
      <c r="A1359" t="s">
        <v>1</v>
      </c>
      <c r="B1359" t="s">
        <v>19</v>
      </c>
      <c r="C1359" t="s">
        <v>23490</v>
      </c>
      <c r="D1359" t="str">
        <f>HYPERLINK("https://rhld.insurance.arkansas.gov/NPILookup?Npi=1164451373","1164451373")</f>
        <v>1164451373</v>
      </c>
      <c r="E1359" t="s">
        <v>13395</v>
      </c>
    </row>
    <row r="1360" spans="1:5" x14ac:dyDescent="0.25">
      <c r="A1360" t="s">
        <v>1</v>
      </c>
      <c r="B1360" t="s">
        <v>19</v>
      </c>
      <c r="C1360" t="s">
        <v>23490</v>
      </c>
      <c r="D1360" t="str">
        <f>HYPERLINK("https://rhld.insurance.arkansas.gov/NPILookup?Npi=1164453858","1164453858")</f>
        <v>1164453858</v>
      </c>
      <c r="E1360" t="s">
        <v>575</v>
      </c>
    </row>
    <row r="1361" spans="1:5" x14ac:dyDescent="0.25">
      <c r="A1361" t="s">
        <v>1</v>
      </c>
      <c r="B1361" t="s">
        <v>19</v>
      </c>
      <c r="C1361" t="s">
        <v>23490</v>
      </c>
      <c r="D1361" t="str">
        <f>HYPERLINK("https://rhld.insurance.arkansas.gov/NPILookup?Npi=1164462602","1164462602")</f>
        <v>1164462602</v>
      </c>
      <c r="E1361" t="s">
        <v>14827</v>
      </c>
    </row>
    <row r="1362" spans="1:5" x14ac:dyDescent="0.25">
      <c r="A1362" t="s">
        <v>1</v>
      </c>
      <c r="B1362" t="s">
        <v>19</v>
      </c>
      <c r="C1362" t="s">
        <v>23490</v>
      </c>
      <c r="D1362" t="str">
        <f>HYPERLINK("https://rhld.insurance.arkansas.gov/NPILookup?Npi=1164466603","1164466603")</f>
        <v>1164466603</v>
      </c>
      <c r="E1362" t="s">
        <v>576</v>
      </c>
    </row>
    <row r="1363" spans="1:5" x14ac:dyDescent="0.25">
      <c r="A1363" t="s">
        <v>1</v>
      </c>
      <c r="B1363" t="s">
        <v>19</v>
      </c>
      <c r="C1363" t="s">
        <v>23490</v>
      </c>
      <c r="D1363" t="str">
        <f>HYPERLINK("https://rhld.insurance.arkansas.gov/NPILookup?Npi=1164471181","1164471181")</f>
        <v>1164471181</v>
      </c>
      <c r="E1363" t="s">
        <v>577</v>
      </c>
    </row>
    <row r="1364" spans="1:5" x14ac:dyDescent="0.25">
      <c r="A1364" t="s">
        <v>1</v>
      </c>
      <c r="B1364" t="s">
        <v>19</v>
      </c>
      <c r="C1364" t="s">
        <v>23490</v>
      </c>
      <c r="D1364" t="str">
        <f>HYPERLINK("https://rhld.insurance.arkansas.gov/NPILookup?Npi=1164472908","1164472908")</f>
        <v>1164472908</v>
      </c>
      <c r="E1364" t="s">
        <v>578</v>
      </c>
    </row>
    <row r="1365" spans="1:5" x14ac:dyDescent="0.25">
      <c r="A1365" t="s">
        <v>1</v>
      </c>
      <c r="B1365" t="s">
        <v>19</v>
      </c>
      <c r="C1365" t="s">
        <v>23490</v>
      </c>
      <c r="D1365" t="str">
        <f>HYPERLINK("https://rhld.insurance.arkansas.gov/NPILookup?Npi=1164480109","1164480109")</f>
        <v>1164480109</v>
      </c>
      <c r="E1365" t="s">
        <v>14828</v>
      </c>
    </row>
    <row r="1366" spans="1:5" x14ac:dyDescent="0.25">
      <c r="A1366" t="s">
        <v>1</v>
      </c>
      <c r="B1366" t="s">
        <v>19</v>
      </c>
      <c r="C1366" t="s">
        <v>23490</v>
      </c>
      <c r="D1366" t="str">
        <f>HYPERLINK("https://rhld.insurance.arkansas.gov/NPILookup?Npi=1164482162","1164482162")</f>
        <v>1164482162</v>
      </c>
      <c r="E1366" t="s">
        <v>579</v>
      </c>
    </row>
    <row r="1367" spans="1:5" x14ac:dyDescent="0.25">
      <c r="A1367" t="s">
        <v>1</v>
      </c>
      <c r="B1367" t="s">
        <v>19</v>
      </c>
      <c r="C1367" t="s">
        <v>23490</v>
      </c>
      <c r="D1367" t="str">
        <f>HYPERLINK("https://rhld.insurance.arkansas.gov/NPILookup?Npi=1164482592","1164482592")</f>
        <v>1164482592</v>
      </c>
      <c r="E1367" t="s">
        <v>580</v>
      </c>
    </row>
    <row r="1368" spans="1:5" x14ac:dyDescent="0.25">
      <c r="A1368" t="s">
        <v>1</v>
      </c>
      <c r="B1368" t="s">
        <v>19</v>
      </c>
      <c r="C1368" t="s">
        <v>23490</v>
      </c>
      <c r="D1368" t="str">
        <f>HYPERLINK("https://rhld.insurance.arkansas.gov/NPILookup?Npi=1164487070","1164487070")</f>
        <v>1164487070</v>
      </c>
      <c r="E1368" t="s">
        <v>581</v>
      </c>
    </row>
    <row r="1369" spans="1:5" x14ac:dyDescent="0.25">
      <c r="A1369" t="s">
        <v>1</v>
      </c>
      <c r="B1369" t="s">
        <v>19</v>
      </c>
      <c r="C1369" t="s">
        <v>23490</v>
      </c>
      <c r="D1369" t="str">
        <f>HYPERLINK("https://rhld.insurance.arkansas.gov/NPILookup?Npi=1164487146","1164487146")</f>
        <v>1164487146</v>
      </c>
      <c r="E1369" t="s">
        <v>582</v>
      </c>
    </row>
    <row r="1370" spans="1:5" x14ac:dyDescent="0.25">
      <c r="A1370" t="s">
        <v>1</v>
      </c>
      <c r="B1370" t="s">
        <v>19</v>
      </c>
      <c r="C1370" t="s">
        <v>23490</v>
      </c>
      <c r="D1370" t="str">
        <f>HYPERLINK("https://rhld.insurance.arkansas.gov/NPILookup?Npi=1164496105","1164496105")</f>
        <v>1164496105</v>
      </c>
      <c r="E1370" t="s">
        <v>583</v>
      </c>
    </row>
    <row r="1371" spans="1:5" x14ac:dyDescent="0.25">
      <c r="A1371" t="s">
        <v>1</v>
      </c>
      <c r="B1371" t="s">
        <v>19</v>
      </c>
      <c r="C1371" t="s">
        <v>23490</v>
      </c>
      <c r="D1371" t="str">
        <f>HYPERLINK("https://rhld.insurance.arkansas.gov/NPILookup?Npi=1164497327","1164497327")</f>
        <v>1164497327</v>
      </c>
      <c r="E1371" t="s">
        <v>22902</v>
      </c>
    </row>
    <row r="1372" spans="1:5" x14ac:dyDescent="0.25">
      <c r="A1372" t="s">
        <v>1</v>
      </c>
      <c r="B1372" t="s">
        <v>19</v>
      </c>
      <c r="C1372" t="s">
        <v>23490</v>
      </c>
      <c r="D1372" t="str">
        <f>HYPERLINK("https://rhld.insurance.arkansas.gov/NPILookup?Npi=1164499935","1164499935")</f>
        <v>1164499935</v>
      </c>
      <c r="E1372" t="s">
        <v>584</v>
      </c>
    </row>
    <row r="1373" spans="1:5" x14ac:dyDescent="0.25">
      <c r="A1373" t="s">
        <v>1</v>
      </c>
      <c r="B1373" t="s">
        <v>19</v>
      </c>
      <c r="C1373" t="s">
        <v>23490</v>
      </c>
      <c r="D1373" t="str">
        <f>HYPERLINK("https://rhld.insurance.arkansas.gov/NPILookup?Npi=1164504890","1164504890")</f>
        <v>1164504890</v>
      </c>
      <c r="E1373" t="s">
        <v>20905</v>
      </c>
    </row>
    <row r="1374" spans="1:5" x14ac:dyDescent="0.25">
      <c r="A1374" t="s">
        <v>1</v>
      </c>
      <c r="B1374" t="s">
        <v>19</v>
      </c>
      <c r="C1374" t="s">
        <v>23490</v>
      </c>
      <c r="D1374" t="str">
        <f>HYPERLINK("https://rhld.insurance.arkansas.gov/NPILookup?Npi=1164509766","1164509766")</f>
        <v>1164509766</v>
      </c>
      <c r="E1374" t="s">
        <v>14829</v>
      </c>
    </row>
    <row r="1375" spans="1:5" x14ac:dyDescent="0.25">
      <c r="A1375" t="s">
        <v>1</v>
      </c>
      <c r="B1375" t="s">
        <v>19</v>
      </c>
      <c r="C1375" t="s">
        <v>23490</v>
      </c>
      <c r="D1375" t="str">
        <f>HYPERLINK("https://rhld.insurance.arkansas.gov/NPILookup?Npi=1164519211","1164519211")</f>
        <v>1164519211</v>
      </c>
      <c r="E1375" t="s">
        <v>8520</v>
      </c>
    </row>
    <row r="1376" spans="1:5" x14ac:dyDescent="0.25">
      <c r="A1376" t="s">
        <v>1</v>
      </c>
      <c r="B1376" t="s">
        <v>19</v>
      </c>
      <c r="C1376" t="s">
        <v>23490</v>
      </c>
      <c r="D1376" t="str">
        <f>HYPERLINK("https://rhld.insurance.arkansas.gov/NPILookup?Npi=1164530911","1164530911")</f>
        <v>1164530911</v>
      </c>
      <c r="E1376" t="s">
        <v>585</v>
      </c>
    </row>
    <row r="1377" spans="1:5" x14ac:dyDescent="0.25">
      <c r="A1377" t="s">
        <v>1</v>
      </c>
      <c r="B1377" t="s">
        <v>19</v>
      </c>
      <c r="C1377" t="s">
        <v>23490</v>
      </c>
      <c r="D1377" t="str">
        <f>HYPERLINK("https://rhld.insurance.arkansas.gov/NPILookup?Npi=1164534491","1164534491")</f>
        <v>1164534491</v>
      </c>
      <c r="E1377" t="s">
        <v>586</v>
      </c>
    </row>
    <row r="1378" spans="1:5" x14ac:dyDescent="0.25">
      <c r="A1378" t="s">
        <v>1</v>
      </c>
      <c r="B1378" t="s">
        <v>19</v>
      </c>
      <c r="C1378" t="s">
        <v>23490</v>
      </c>
      <c r="D1378" t="str">
        <f>HYPERLINK("https://rhld.insurance.arkansas.gov/NPILookup?Npi=1164539599","1164539599")</f>
        <v>1164539599</v>
      </c>
      <c r="E1378" t="s">
        <v>14830</v>
      </c>
    </row>
    <row r="1379" spans="1:5" x14ac:dyDescent="0.25">
      <c r="A1379" t="s">
        <v>1</v>
      </c>
      <c r="B1379" t="s">
        <v>19</v>
      </c>
      <c r="C1379" t="s">
        <v>23490</v>
      </c>
      <c r="D1379" t="str">
        <f>HYPERLINK("https://rhld.insurance.arkansas.gov/NPILookup?Npi=1164544045","1164544045")</f>
        <v>1164544045</v>
      </c>
      <c r="E1379" t="s">
        <v>587</v>
      </c>
    </row>
    <row r="1380" spans="1:5" x14ac:dyDescent="0.25">
      <c r="A1380" t="s">
        <v>1</v>
      </c>
      <c r="B1380" t="s">
        <v>19</v>
      </c>
      <c r="C1380" t="s">
        <v>23490</v>
      </c>
      <c r="D1380" t="str">
        <f>HYPERLINK("https://rhld.insurance.arkansas.gov/NPILookup?Npi=1164556460","1164556460")</f>
        <v>1164556460</v>
      </c>
      <c r="E1380" t="s">
        <v>588</v>
      </c>
    </row>
    <row r="1381" spans="1:5" x14ac:dyDescent="0.25">
      <c r="A1381" t="s">
        <v>1</v>
      </c>
      <c r="B1381" t="s">
        <v>19</v>
      </c>
      <c r="C1381" t="s">
        <v>23490</v>
      </c>
      <c r="D1381" t="str">
        <f>HYPERLINK("https://rhld.insurance.arkansas.gov/NPILookup?Npi=1164583001","1164583001")</f>
        <v>1164583001</v>
      </c>
      <c r="E1381" t="s">
        <v>589</v>
      </c>
    </row>
    <row r="1382" spans="1:5" x14ac:dyDescent="0.25">
      <c r="A1382" t="s">
        <v>1</v>
      </c>
      <c r="B1382" t="s">
        <v>19</v>
      </c>
      <c r="C1382" t="s">
        <v>23490</v>
      </c>
      <c r="D1382" t="str">
        <f>HYPERLINK("https://rhld.insurance.arkansas.gov/NPILookup?Npi=1164608519","1164608519")</f>
        <v>1164608519</v>
      </c>
      <c r="E1382" t="s">
        <v>590</v>
      </c>
    </row>
    <row r="1383" spans="1:5" x14ac:dyDescent="0.25">
      <c r="A1383" t="s">
        <v>1</v>
      </c>
      <c r="B1383" t="s">
        <v>19</v>
      </c>
      <c r="C1383" t="s">
        <v>23490</v>
      </c>
      <c r="D1383" t="str">
        <f>HYPERLINK("https://rhld.insurance.arkansas.gov/NPILookup?Npi=1164656294","1164656294")</f>
        <v>1164656294</v>
      </c>
      <c r="E1383" t="s">
        <v>591</v>
      </c>
    </row>
    <row r="1384" spans="1:5" x14ac:dyDescent="0.25">
      <c r="A1384" t="s">
        <v>1</v>
      </c>
      <c r="B1384" t="s">
        <v>19</v>
      </c>
      <c r="C1384" t="s">
        <v>23490</v>
      </c>
      <c r="D1384" t="str">
        <f>HYPERLINK("https://rhld.insurance.arkansas.gov/NPILookup?Npi=1164661591","1164661591")</f>
        <v>1164661591</v>
      </c>
      <c r="E1384" t="s">
        <v>14831</v>
      </c>
    </row>
    <row r="1385" spans="1:5" x14ac:dyDescent="0.25">
      <c r="A1385" t="s">
        <v>1</v>
      </c>
      <c r="B1385" t="s">
        <v>19</v>
      </c>
      <c r="C1385" t="s">
        <v>23490</v>
      </c>
      <c r="D1385" t="str">
        <f>HYPERLINK("https://rhld.insurance.arkansas.gov/NPILookup?Npi=1164664066","1164664066")</f>
        <v>1164664066</v>
      </c>
      <c r="E1385" t="s">
        <v>592</v>
      </c>
    </row>
    <row r="1386" spans="1:5" x14ac:dyDescent="0.25">
      <c r="A1386" t="s">
        <v>1</v>
      </c>
      <c r="B1386" t="s">
        <v>19</v>
      </c>
      <c r="C1386" t="s">
        <v>23490</v>
      </c>
      <c r="D1386" t="str">
        <f>HYPERLINK("https://rhld.insurance.arkansas.gov/NPILookup?Npi=1164664116","1164664116")</f>
        <v>1164664116</v>
      </c>
      <c r="E1386" t="s">
        <v>14832</v>
      </c>
    </row>
    <row r="1387" spans="1:5" x14ac:dyDescent="0.25">
      <c r="A1387" t="s">
        <v>1</v>
      </c>
      <c r="B1387" t="s">
        <v>19</v>
      </c>
      <c r="C1387" t="s">
        <v>23490</v>
      </c>
      <c r="D1387" t="str">
        <f>HYPERLINK("https://rhld.insurance.arkansas.gov/NPILookup?Npi=1164665832","1164665832")</f>
        <v>1164665832</v>
      </c>
      <c r="E1387" t="s">
        <v>593</v>
      </c>
    </row>
    <row r="1388" spans="1:5" x14ac:dyDescent="0.25">
      <c r="A1388" t="s">
        <v>1</v>
      </c>
      <c r="B1388" t="s">
        <v>19</v>
      </c>
      <c r="C1388" t="s">
        <v>23490</v>
      </c>
      <c r="D1388" t="str">
        <f>HYPERLINK("https://rhld.insurance.arkansas.gov/NPILookup?Npi=1164675518","1164675518")</f>
        <v>1164675518</v>
      </c>
      <c r="E1388" t="s">
        <v>594</v>
      </c>
    </row>
    <row r="1389" spans="1:5" x14ac:dyDescent="0.25">
      <c r="A1389" t="s">
        <v>1</v>
      </c>
      <c r="B1389" t="s">
        <v>19</v>
      </c>
      <c r="C1389" t="s">
        <v>23490</v>
      </c>
      <c r="D1389" t="str">
        <f>HYPERLINK("https://rhld.insurance.arkansas.gov/NPILookup?Npi=1164683231","1164683231")</f>
        <v>1164683231</v>
      </c>
      <c r="E1389" t="s">
        <v>595</v>
      </c>
    </row>
    <row r="1390" spans="1:5" x14ac:dyDescent="0.25">
      <c r="A1390" t="s">
        <v>1</v>
      </c>
      <c r="B1390" t="s">
        <v>19</v>
      </c>
      <c r="C1390" t="s">
        <v>23490</v>
      </c>
      <c r="D1390" t="str">
        <f>HYPERLINK("https://rhld.insurance.arkansas.gov/NPILookup?Npi=1164700092","1164700092")</f>
        <v>1164700092</v>
      </c>
      <c r="E1390" t="s">
        <v>596</v>
      </c>
    </row>
    <row r="1391" spans="1:5" x14ac:dyDescent="0.25">
      <c r="A1391" t="s">
        <v>1</v>
      </c>
      <c r="B1391" t="s">
        <v>19</v>
      </c>
      <c r="C1391" t="s">
        <v>23490</v>
      </c>
      <c r="D1391" t="str">
        <f>HYPERLINK("https://rhld.insurance.arkansas.gov/NPILookup?Npi=1164715512","1164715512")</f>
        <v>1164715512</v>
      </c>
      <c r="E1391" t="s">
        <v>10699</v>
      </c>
    </row>
    <row r="1392" spans="1:5" x14ac:dyDescent="0.25">
      <c r="A1392" t="s">
        <v>1</v>
      </c>
      <c r="B1392" t="s">
        <v>19</v>
      </c>
      <c r="C1392" t="s">
        <v>23490</v>
      </c>
      <c r="D1392" t="str">
        <f>HYPERLINK("https://rhld.insurance.arkansas.gov/NPILookup?Npi=1164728739","1164728739")</f>
        <v>1164728739</v>
      </c>
      <c r="E1392" t="s">
        <v>12786</v>
      </c>
    </row>
    <row r="1393" spans="1:5" x14ac:dyDescent="0.25">
      <c r="A1393" t="s">
        <v>1</v>
      </c>
      <c r="B1393" t="s">
        <v>19</v>
      </c>
      <c r="C1393" t="s">
        <v>23490</v>
      </c>
      <c r="D1393" t="str">
        <f>HYPERLINK("https://rhld.insurance.arkansas.gov/NPILookup?Npi=1164739314","1164739314")</f>
        <v>1164739314</v>
      </c>
      <c r="E1393" t="s">
        <v>13396</v>
      </c>
    </row>
    <row r="1394" spans="1:5" x14ac:dyDescent="0.25">
      <c r="A1394" t="s">
        <v>1</v>
      </c>
      <c r="B1394" t="s">
        <v>19</v>
      </c>
      <c r="C1394" t="s">
        <v>23490</v>
      </c>
      <c r="D1394" t="str">
        <f>HYPERLINK("https://rhld.insurance.arkansas.gov/NPILookup?Npi=1164740452","1164740452")</f>
        <v>1164740452</v>
      </c>
      <c r="E1394" t="s">
        <v>597</v>
      </c>
    </row>
    <row r="1395" spans="1:5" x14ac:dyDescent="0.25">
      <c r="A1395" t="s">
        <v>1</v>
      </c>
      <c r="B1395" t="s">
        <v>19</v>
      </c>
      <c r="C1395" t="s">
        <v>23490</v>
      </c>
      <c r="D1395" t="str">
        <f>HYPERLINK("https://rhld.insurance.arkansas.gov/NPILookup?Npi=1164745998","1164745998")</f>
        <v>1164745998</v>
      </c>
      <c r="E1395" t="s">
        <v>598</v>
      </c>
    </row>
    <row r="1396" spans="1:5" x14ac:dyDescent="0.25">
      <c r="A1396" t="s">
        <v>1</v>
      </c>
      <c r="B1396" t="s">
        <v>19</v>
      </c>
      <c r="C1396" t="s">
        <v>23490</v>
      </c>
      <c r="D1396" t="str">
        <f>HYPERLINK("https://rhld.insurance.arkansas.gov/NPILookup?Npi=1164758124","1164758124")</f>
        <v>1164758124</v>
      </c>
      <c r="E1396" t="s">
        <v>599</v>
      </c>
    </row>
    <row r="1397" spans="1:5" x14ac:dyDescent="0.25">
      <c r="A1397" t="s">
        <v>1</v>
      </c>
      <c r="B1397" t="s">
        <v>19</v>
      </c>
      <c r="C1397" t="s">
        <v>23490</v>
      </c>
      <c r="D1397" t="str">
        <f>HYPERLINK("https://rhld.insurance.arkansas.gov/NPILookup?Npi=1164758496","1164758496")</f>
        <v>1164758496</v>
      </c>
      <c r="E1397" t="s">
        <v>10700</v>
      </c>
    </row>
    <row r="1398" spans="1:5" x14ac:dyDescent="0.25">
      <c r="A1398" t="s">
        <v>1</v>
      </c>
      <c r="B1398" t="s">
        <v>19</v>
      </c>
      <c r="C1398" t="s">
        <v>23490</v>
      </c>
      <c r="D1398" t="str">
        <f>HYPERLINK("https://rhld.insurance.arkansas.gov/NPILookup?Npi=1164765756","1164765756")</f>
        <v>1164765756</v>
      </c>
      <c r="E1398" t="s">
        <v>10701</v>
      </c>
    </row>
    <row r="1399" spans="1:5" x14ac:dyDescent="0.25">
      <c r="A1399" t="s">
        <v>1</v>
      </c>
      <c r="B1399" t="s">
        <v>19</v>
      </c>
      <c r="C1399" t="s">
        <v>23490</v>
      </c>
      <c r="D1399" t="str">
        <f>HYPERLINK("https://rhld.insurance.arkansas.gov/NPILookup?Npi=1164804209","1164804209")</f>
        <v>1164804209</v>
      </c>
      <c r="E1399" t="s">
        <v>600</v>
      </c>
    </row>
    <row r="1400" spans="1:5" x14ac:dyDescent="0.25">
      <c r="A1400" t="s">
        <v>1</v>
      </c>
      <c r="B1400" t="s">
        <v>19</v>
      </c>
      <c r="C1400" t="s">
        <v>23490</v>
      </c>
      <c r="D1400" t="str">
        <f>HYPERLINK("https://rhld.insurance.arkansas.gov/NPILookup?Npi=1164832085","1164832085")</f>
        <v>1164832085</v>
      </c>
      <c r="E1400" t="s">
        <v>8521</v>
      </c>
    </row>
    <row r="1401" spans="1:5" x14ac:dyDescent="0.25">
      <c r="A1401" t="s">
        <v>1</v>
      </c>
      <c r="B1401" t="s">
        <v>19</v>
      </c>
      <c r="C1401" t="s">
        <v>23490</v>
      </c>
      <c r="D1401" t="str">
        <f>HYPERLINK("https://rhld.insurance.arkansas.gov/NPILookup?Npi=1164832903","1164832903")</f>
        <v>1164832903</v>
      </c>
      <c r="E1401" t="s">
        <v>10702</v>
      </c>
    </row>
    <row r="1402" spans="1:5" x14ac:dyDescent="0.25">
      <c r="A1402" t="s">
        <v>1</v>
      </c>
      <c r="B1402" t="s">
        <v>19</v>
      </c>
      <c r="C1402" t="s">
        <v>23490</v>
      </c>
      <c r="D1402" t="str">
        <f>HYPERLINK("https://rhld.insurance.arkansas.gov/NPILookup?Npi=1164836862","1164836862")</f>
        <v>1164836862</v>
      </c>
      <c r="E1402" t="s">
        <v>18687</v>
      </c>
    </row>
    <row r="1403" spans="1:5" x14ac:dyDescent="0.25">
      <c r="A1403" t="s">
        <v>1</v>
      </c>
      <c r="B1403" t="s">
        <v>19</v>
      </c>
      <c r="C1403" t="s">
        <v>23490</v>
      </c>
      <c r="D1403" t="str">
        <f>HYPERLINK("https://rhld.insurance.arkansas.gov/NPILookup?Npi=1164845814","1164845814")</f>
        <v>1164845814</v>
      </c>
      <c r="E1403" t="s">
        <v>21490</v>
      </c>
    </row>
    <row r="1404" spans="1:5" x14ac:dyDescent="0.25">
      <c r="A1404" t="s">
        <v>1</v>
      </c>
      <c r="B1404" t="s">
        <v>19</v>
      </c>
      <c r="C1404" t="s">
        <v>23490</v>
      </c>
      <c r="D1404" t="str">
        <f>HYPERLINK("https://rhld.insurance.arkansas.gov/NPILookup?Npi=1164846119","1164846119")</f>
        <v>1164846119</v>
      </c>
      <c r="E1404" t="s">
        <v>8522</v>
      </c>
    </row>
    <row r="1405" spans="1:5" x14ac:dyDescent="0.25">
      <c r="A1405" t="s">
        <v>1</v>
      </c>
      <c r="B1405" t="s">
        <v>19</v>
      </c>
      <c r="C1405" t="s">
        <v>23490</v>
      </c>
      <c r="D1405" t="str">
        <f>HYPERLINK("https://rhld.insurance.arkansas.gov/NPILookup?Npi=1164862637","1164862637")</f>
        <v>1164862637</v>
      </c>
      <c r="E1405" t="s">
        <v>19481</v>
      </c>
    </row>
    <row r="1406" spans="1:5" x14ac:dyDescent="0.25">
      <c r="A1406" t="s">
        <v>1</v>
      </c>
      <c r="B1406" t="s">
        <v>19</v>
      </c>
      <c r="C1406" t="s">
        <v>23490</v>
      </c>
      <c r="D1406" t="str">
        <f>HYPERLINK("https://rhld.insurance.arkansas.gov/NPILookup?Npi=1164869988","1164869988")</f>
        <v>1164869988</v>
      </c>
      <c r="E1406" t="s">
        <v>17882</v>
      </c>
    </row>
    <row r="1407" spans="1:5" x14ac:dyDescent="0.25">
      <c r="A1407" t="s">
        <v>1</v>
      </c>
      <c r="B1407" t="s">
        <v>19</v>
      </c>
      <c r="C1407" t="s">
        <v>23490</v>
      </c>
      <c r="D1407" t="str">
        <f>HYPERLINK("https://rhld.insurance.arkansas.gov/NPILookup?Npi=1164873360","1164873360")</f>
        <v>1164873360</v>
      </c>
      <c r="E1407" t="s">
        <v>14833</v>
      </c>
    </row>
    <row r="1408" spans="1:5" x14ac:dyDescent="0.25">
      <c r="A1408" t="s">
        <v>1</v>
      </c>
      <c r="B1408" t="s">
        <v>19</v>
      </c>
      <c r="C1408" t="s">
        <v>23490</v>
      </c>
      <c r="D1408" t="str">
        <f>HYPERLINK("https://rhld.insurance.arkansas.gov/NPILookup?Npi=1164882700","1164882700")</f>
        <v>1164882700</v>
      </c>
      <c r="E1408" t="s">
        <v>8523</v>
      </c>
    </row>
    <row r="1409" spans="1:5" x14ac:dyDescent="0.25">
      <c r="A1409" t="s">
        <v>1</v>
      </c>
      <c r="B1409" t="s">
        <v>19</v>
      </c>
      <c r="C1409" t="s">
        <v>23490</v>
      </c>
      <c r="D1409" t="str">
        <f>HYPERLINK("https://rhld.insurance.arkansas.gov/NPILookup?Npi=1164885729","1164885729")</f>
        <v>1164885729</v>
      </c>
      <c r="E1409" t="s">
        <v>14834</v>
      </c>
    </row>
    <row r="1410" spans="1:5" x14ac:dyDescent="0.25">
      <c r="A1410" t="s">
        <v>1</v>
      </c>
      <c r="B1410" t="s">
        <v>19</v>
      </c>
      <c r="C1410" t="s">
        <v>23490</v>
      </c>
      <c r="D1410" t="str">
        <f>HYPERLINK("https://rhld.insurance.arkansas.gov/NPILookup?Npi=1164889002","1164889002")</f>
        <v>1164889002</v>
      </c>
      <c r="E1410" t="s">
        <v>22903</v>
      </c>
    </row>
    <row r="1411" spans="1:5" x14ac:dyDescent="0.25">
      <c r="A1411" t="s">
        <v>1</v>
      </c>
      <c r="B1411" t="s">
        <v>19</v>
      </c>
      <c r="C1411" t="s">
        <v>23490</v>
      </c>
      <c r="D1411" t="str">
        <f>HYPERLINK("https://rhld.insurance.arkansas.gov/NPILookup?Npi=1164897823","1164897823")</f>
        <v>1164897823</v>
      </c>
      <c r="E1411" t="s">
        <v>21491</v>
      </c>
    </row>
    <row r="1412" spans="1:5" x14ac:dyDescent="0.25">
      <c r="A1412" t="s">
        <v>1</v>
      </c>
      <c r="B1412" t="s">
        <v>19</v>
      </c>
      <c r="C1412" t="s">
        <v>23490</v>
      </c>
      <c r="D1412" t="str">
        <f>HYPERLINK("https://rhld.insurance.arkansas.gov/NPILookup?Npi=1164907283","1164907283")</f>
        <v>1164907283</v>
      </c>
      <c r="E1412" t="s">
        <v>17396</v>
      </c>
    </row>
    <row r="1413" spans="1:5" x14ac:dyDescent="0.25">
      <c r="A1413" t="s">
        <v>1</v>
      </c>
      <c r="B1413" t="s">
        <v>19</v>
      </c>
      <c r="C1413" t="s">
        <v>23490</v>
      </c>
      <c r="D1413" t="str">
        <f>HYPERLINK("https://rhld.insurance.arkansas.gov/NPILookup?Npi=1164908034","1164908034")</f>
        <v>1164908034</v>
      </c>
      <c r="E1413" t="s">
        <v>13397</v>
      </c>
    </row>
    <row r="1414" spans="1:5" x14ac:dyDescent="0.25">
      <c r="A1414" t="s">
        <v>1</v>
      </c>
      <c r="B1414" t="s">
        <v>19</v>
      </c>
      <c r="C1414" t="s">
        <v>23490</v>
      </c>
      <c r="D1414" t="str">
        <f>HYPERLINK("https://rhld.insurance.arkansas.gov/NPILookup?Npi=1164910501","1164910501")</f>
        <v>1164910501</v>
      </c>
      <c r="E1414" t="s">
        <v>18688</v>
      </c>
    </row>
    <row r="1415" spans="1:5" x14ac:dyDescent="0.25">
      <c r="A1415" t="s">
        <v>1</v>
      </c>
      <c r="B1415" t="s">
        <v>19</v>
      </c>
      <c r="C1415" t="s">
        <v>23490</v>
      </c>
      <c r="D1415" t="str">
        <f>HYPERLINK("https://rhld.insurance.arkansas.gov/NPILookup?Npi=1164917852","1164917852")</f>
        <v>1164917852</v>
      </c>
      <c r="E1415" t="s">
        <v>13398</v>
      </c>
    </row>
    <row r="1416" spans="1:5" x14ac:dyDescent="0.25">
      <c r="A1416" t="s">
        <v>1</v>
      </c>
      <c r="B1416" t="s">
        <v>19</v>
      </c>
      <c r="C1416" t="s">
        <v>23490</v>
      </c>
      <c r="D1416" t="str">
        <f>HYPERLINK("https://rhld.insurance.arkansas.gov/NPILookup?Npi=1164923066","1164923066")</f>
        <v>1164923066</v>
      </c>
      <c r="E1416" t="s">
        <v>12787</v>
      </c>
    </row>
    <row r="1417" spans="1:5" x14ac:dyDescent="0.25">
      <c r="A1417" t="s">
        <v>1</v>
      </c>
      <c r="B1417" t="s">
        <v>19</v>
      </c>
      <c r="C1417" t="s">
        <v>23490</v>
      </c>
      <c r="D1417" t="str">
        <f>HYPERLINK("https://rhld.insurance.arkansas.gov/NPILookup?Npi=1164951117","1164951117")</f>
        <v>1164951117</v>
      </c>
      <c r="E1417" t="s">
        <v>14835</v>
      </c>
    </row>
    <row r="1418" spans="1:5" x14ac:dyDescent="0.25">
      <c r="A1418" t="s">
        <v>1</v>
      </c>
      <c r="B1418" t="s">
        <v>19</v>
      </c>
      <c r="C1418" t="s">
        <v>23490</v>
      </c>
      <c r="D1418" t="str">
        <f>HYPERLINK("https://rhld.insurance.arkansas.gov/NPILookup?Npi=1164952412","1164952412")</f>
        <v>1164952412</v>
      </c>
      <c r="E1418" t="s">
        <v>19482</v>
      </c>
    </row>
    <row r="1419" spans="1:5" x14ac:dyDescent="0.25">
      <c r="A1419" t="s">
        <v>1</v>
      </c>
      <c r="B1419" t="s">
        <v>19</v>
      </c>
      <c r="C1419" t="s">
        <v>23490</v>
      </c>
      <c r="D1419" t="str">
        <f>HYPERLINK("https://rhld.insurance.arkansas.gov/NPILookup?Npi=1164956199","1164956199")</f>
        <v>1164956199</v>
      </c>
      <c r="E1419" t="s">
        <v>17883</v>
      </c>
    </row>
    <row r="1420" spans="1:5" x14ac:dyDescent="0.25">
      <c r="A1420" t="s">
        <v>1</v>
      </c>
      <c r="B1420" t="s">
        <v>19</v>
      </c>
      <c r="C1420" t="s">
        <v>23490</v>
      </c>
      <c r="D1420" t="str">
        <f>HYPERLINK("https://rhld.insurance.arkansas.gov/NPILookup?Npi=1164956884","1164956884")</f>
        <v>1164956884</v>
      </c>
      <c r="E1420" t="s">
        <v>10703</v>
      </c>
    </row>
    <row r="1421" spans="1:5" x14ac:dyDescent="0.25">
      <c r="A1421" t="s">
        <v>1</v>
      </c>
      <c r="B1421" t="s">
        <v>19</v>
      </c>
      <c r="C1421" t="s">
        <v>23490</v>
      </c>
      <c r="D1421" t="str">
        <f>HYPERLINK("https://rhld.insurance.arkansas.gov/NPILookup?Npi=1164958013","1164958013")</f>
        <v>1164958013</v>
      </c>
      <c r="E1421" t="s">
        <v>10704</v>
      </c>
    </row>
    <row r="1422" spans="1:5" x14ac:dyDescent="0.25">
      <c r="A1422" t="s">
        <v>1</v>
      </c>
      <c r="B1422" t="s">
        <v>19</v>
      </c>
      <c r="C1422" t="s">
        <v>23490</v>
      </c>
      <c r="D1422" t="str">
        <f>HYPERLINK("https://rhld.insurance.arkansas.gov/NPILookup?Npi=1164979605","1164979605")</f>
        <v>1164979605</v>
      </c>
      <c r="E1422" t="s">
        <v>10705</v>
      </c>
    </row>
    <row r="1423" spans="1:5" x14ac:dyDescent="0.25">
      <c r="A1423" t="s">
        <v>1</v>
      </c>
      <c r="B1423" t="s">
        <v>19</v>
      </c>
      <c r="C1423" t="s">
        <v>23490</v>
      </c>
      <c r="D1423" t="str">
        <f>HYPERLINK("https://rhld.insurance.arkansas.gov/NPILookup?Npi=1164980975","1164980975")</f>
        <v>1164980975</v>
      </c>
      <c r="E1423" t="s">
        <v>19483</v>
      </c>
    </row>
    <row r="1424" spans="1:5" x14ac:dyDescent="0.25">
      <c r="A1424" t="s">
        <v>1</v>
      </c>
      <c r="B1424" t="s">
        <v>19</v>
      </c>
      <c r="C1424" t="s">
        <v>23490</v>
      </c>
      <c r="D1424" t="str">
        <f>HYPERLINK("https://rhld.insurance.arkansas.gov/NPILookup?Npi=1164991048","1164991048")</f>
        <v>1164991048</v>
      </c>
      <c r="E1424" t="s">
        <v>17884</v>
      </c>
    </row>
    <row r="1425" spans="1:5" x14ac:dyDescent="0.25">
      <c r="A1425" t="s">
        <v>1</v>
      </c>
      <c r="B1425" t="s">
        <v>19</v>
      </c>
      <c r="C1425" t="s">
        <v>23490</v>
      </c>
      <c r="D1425" t="str">
        <f>HYPERLINK("https://rhld.insurance.arkansas.gov/NPILookup?Npi=1164998084","1164998084")</f>
        <v>1164998084</v>
      </c>
      <c r="E1425" t="s">
        <v>14836</v>
      </c>
    </row>
    <row r="1426" spans="1:5" x14ac:dyDescent="0.25">
      <c r="A1426" t="s">
        <v>1</v>
      </c>
      <c r="B1426" t="s">
        <v>19</v>
      </c>
      <c r="C1426" t="s">
        <v>23490</v>
      </c>
      <c r="D1426" t="str">
        <f>HYPERLINK("https://rhld.insurance.arkansas.gov/NPILookup?Npi=1174001382","1174001382")</f>
        <v>1174001382</v>
      </c>
      <c r="E1426" t="s">
        <v>13399</v>
      </c>
    </row>
    <row r="1427" spans="1:5" x14ac:dyDescent="0.25">
      <c r="A1427" t="s">
        <v>1</v>
      </c>
      <c r="B1427" t="s">
        <v>19</v>
      </c>
      <c r="C1427" t="s">
        <v>23490</v>
      </c>
      <c r="D1427" t="str">
        <f>HYPERLINK("https://rhld.insurance.arkansas.gov/NPILookup?Npi=1174017917","1174017917")</f>
        <v>1174017917</v>
      </c>
      <c r="E1427" t="s">
        <v>19484</v>
      </c>
    </row>
    <row r="1428" spans="1:5" x14ac:dyDescent="0.25">
      <c r="A1428" t="s">
        <v>1</v>
      </c>
      <c r="B1428" t="s">
        <v>19</v>
      </c>
      <c r="C1428" t="s">
        <v>23490</v>
      </c>
      <c r="D1428" t="str">
        <f>HYPERLINK("https://rhld.insurance.arkansas.gov/NPILookup?Npi=1174018295","1174018295")</f>
        <v>1174018295</v>
      </c>
      <c r="E1428" t="s">
        <v>13400</v>
      </c>
    </row>
    <row r="1429" spans="1:5" x14ac:dyDescent="0.25">
      <c r="A1429" t="s">
        <v>1</v>
      </c>
      <c r="B1429" t="s">
        <v>19</v>
      </c>
      <c r="C1429" t="s">
        <v>23490</v>
      </c>
      <c r="D1429" t="str">
        <f>HYPERLINK("https://rhld.insurance.arkansas.gov/NPILookup?Npi=1174021067","1174021067")</f>
        <v>1174021067</v>
      </c>
      <c r="E1429" t="s">
        <v>19485</v>
      </c>
    </row>
    <row r="1430" spans="1:5" x14ac:dyDescent="0.25">
      <c r="A1430" t="s">
        <v>1</v>
      </c>
      <c r="B1430" t="s">
        <v>19</v>
      </c>
      <c r="C1430" t="s">
        <v>23490</v>
      </c>
      <c r="D1430" t="str">
        <f>HYPERLINK("https://rhld.insurance.arkansas.gov/NPILookup?Npi=1174026165","1174026165")</f>
        <v>1174026165</v>
      </c>
      <c r="E1430" t="s">
        <v>13401</v>
      </c>
    </row>
    <row r="1431" spans="1:5" x14ac:dyDescent="0.25">
      <c r="A1431" t="s">
        <v>1</v>
      </c>
      <c r="B1431" t="s">
        <v>19</v>
      </c>
      <c r="C1431" t="s">
        <v>23490</v>
      </c>
      <c r="D1431" t="str">
        <f>HYPERLINK("https://rhld.insurance.arkansas.gov/NPILookup?Npi=1174041818","1174041818")</f>
        <v>1174041818</v>
      </c>
      <c r="E1431" t="s">
        <v>10706</v>
      </c>
    </row>
    <row r="1432" spans="1:5" x14ac:dyDescent="0.25">
      <c r="A1432" t="s">
        <v>1</v>
      </c>
      <c r="B1432" t="s">
        <v>19</v>
      </c>
      <c r="C1432" t="s">
        <v>23490</v>
      </c>
      <c r="D1432" t="str">
        <f>HYPERLINK("https://rhld.insurance.arkansas.gov/NPILookup?Npi=1174044531","1174044531")</f>
        <v>1174044531</v>
      </c>
      <c r="E1432" t="s">
        <v>12788</v>
      </c>
    </row>
    <row r="1433" spans="1:5" x14ac:dyDescent="0.25">
      <c r="A1433" t="s">
        <v>1</v>
      </c>
      <c r="B1433" t="s">
        <v>19</v>
      </c>
      <c r="C1433" t="s">
        <v>23490</v>
      </c>
      <c r="D1433" t="str">
        <f>HYPERLINK("https://rhld.insurance.arkansas.gov/NPILookup?Npi=1174046940","1174046940")</f>
        <v>1174046940</v>
      </c>
      <c r="E1433" t="s">
        <v>10707</v>
      </c>
    </row>
    <row r="1434" spans="1:5" x14ac:dyDescent="0.25">
      <c r="A1434" t="s">
        <v>1</v>
      </c>
      <c r="B1434" t="s">
        <v>19</v>
      </c>
      <c r="C1434" t="s">
        <v>23490</v>
      </c>
      <c r="D1434" t="str">
        <f>HYPERLINK("https://rhld.insurance.arkansas.gov/NPILookup?Npi=1174048201","1174048201")</f>
        <v>1174048201</v>
      </c>
      <c r="E1434" t="s">
        <v>12789</v>
      </c>
    </row>
    <row r="1435" spans="1:5" x14ac:dyDescent="0.25">
      <c r="A1435" t="s">
        <v>1</v>
      </c>
      <c r="B1435" t="s">
        <v>19</v>
      </c>
      <c r="C1435" t="s">
        <v>23490</v>
      </c>
      <c r="D1435" t="str">
        <f>HYPERLINK("https://rhld.insurance.arkansas.gov/NPILookup?Npi=1174052690","1174052690")</f>
        <v>1174052690</v>
      </c>
      <c r="E1435" t="s">
        <v>10708</v>
      </c>
    </row>
    <row r="1436" spans="1:5" x14ac:dyDescent="0.25">
      <c r="A1436" t="s">
        <v>1</v>
      </c>
      <c r="B1436" t="s">
        <v>19</v>
      </c>
      <c r="C1436" t="s">
        <v>23490</v>
      </c>
      <c r="D1436" t="str">
        <f>HYPERLINK("https://rhld.insurance.arkansas.gov/NPILookup?Npi=1174057376","1174057376")</f>
        <v>1174057376</v>
      </c>
      <c r="E1436" t="s">
        <v>10709</v>
      </c>
    </row>
    <row r="1437" spans="1:5" x14ac:dyDescent="0.25">
      <c r="A1437" t="s">
        <v>1</v>
      </c>
      <c r="B1437" t="s">
        <v>19</v>
      </c>
      <c r="C1437" t="s">
        <v>23490</v>
      </c>
      <c r="D1437" t="str">
        <f>HYPERLINK("https://rhld.insurance.arkansas.gov/NPILookup?Npi=1174057863","1174057863")</f>
        <v>1174057863</v>
      </c>
      <c r="E1437" t="s">
        <v>10710</v>
      </c>
    </row>
    <row r="1438" spans="1:5" x14ac:dyDescent="0.25">
      <c r="A1438" t="s">
        <v>1</v>
      </c>
      <c r="B1438" t="s">
        <v>19</v>
      </c>
      <c r="C1438" t="s">
        <v>23490</v>
      </c>
      <c r="D1438" t="str">
        <f>HYPERLINK("https://rhld.insurance.arkansas.gov/NPILookup?Npi=1174069611","1174069611")</f>
        <v>1174069611</v>
      </c>
      <c r="E1438" t="s">
        <v>10711</v>
      </c>
    </row>
    <row r="1439" spans="1:5" x14ac:dyDescent="0.25">
      <c r="A1439" t="s">
        <v>1</v>
      </c>
      <c r="B1439" t="s">
        <v>19</v>
      </c>
      <c r="C1439" t="s">
        <v>23490</v>
      </c>
      <c r="D1439" t="str">
        <f>HYPERLINK("https://rhld.insurance.arkansas.gov/NPILookup?Npi=1174075220","1174075220")</f>
        <v>1174075220</v>
      </c>
      <c r="E1439" t="s">
        <v>14837</v>
      </c>
    </row>
    <row r="1440" spans="1:5" x14ac:dyDescent="0.25">
      <c r="A1440" t="s">
        <v>1</v>
      </c>
      <c r="B1440" t="s">
        <v>19</v>
      </c>
      <c r="C1440" t="s">
        <v>23490</v>
      </c>
      <c r="D1440" t="str">
        <f>HYPERLINK("https://rhld.insurance.arkansas.gov/NPILookup?Npi=1174080949","1174080949")</f>
        <v>1174080949</v>
      </c>
      <c r="E1440" t="s">
        <v>19486</v>
      </c>
    </row>
    <row r="1441" spans="1:5" x14ac:dyDescent="0.25">
      <c r="A1441" t="s">
        <v>1</v>
      </c>
      <c r="B1441" t="s">
        <v>19</v>
      </c>
      <c r="C1441" t="s">
        <v>23490</v>
      </c>
      <c r="D1441" t="str">
        <f>HYPERLINK("https://rhld.insurance.arkansas.gov/NPILookup?Npi=1174122121","1174122121")</f>
        <v>1174122121</v>
      </c>
      <c r="E1441" t="s">
        <v>7426</v>
      </c>
    </row>
    <row r="1442" spans="1:5" x14ac:dyDescent="0.25">
      <c r="A1442" t="s">
        <v>1</v>
      </c>
      <c r="B1442" t="s">
        <v>19</v>
      </c>
      <c r="C1442" t="s">
        <v>23490</v>
      </c>
      <c r="D1442" t="str">
        <f>HYPERLINK("https://rhld.insurance.arkansas.gov/NPILookup?Npi=1174132948","1174132948")</f>
        <v>1174132948</v>
      </c>
      <c r="E1442" t="s">
        <v>18689</v>
      </c>
    </row>
    <row r="1443" spans="1:5" x14ac:dyDescent="0.25">
      <c r="A1443" t="s">
        <v>1</v>
      </c>
      <c r="B1443" t="s">
        <v>19</v>
      </c>
      <c r="C1443" t="s">
        <v>23490</v>
      </c>
      <c r="D1443" t="str">
        <f>HYPERLINK("https://rhld.insurance.arkansas.gov/NPILookup?Npi=1174134019","1174134019")</f>
        <v>1174134019</v>
      </c>
      <c r="E1443" t="s">
        <v>17397</v>
      </c>
    </row>
    <row r="1444" spans="1:5" x14ac:dyDescent="0.25">
      <c r="A1444" t="s">
        <v>1</v>
      </c>
      <c r="B1444" t="s">
        <v>19</v>
      </c>
      <c r="C1444" t="s">
        <v>23490</v>
      </c>
      <c r="D1444" t="str">
        <f>HYPERLINK("https://rhld.insurance.arkansas.gov/NPILookup?Npi=1174157424","1174157424")</f>
        <v>1174157424</v>
      </c>
      <c r="E1444" t="s">
        <v>16886</v>
      </c>
    </row>
    <row r="1445" spans="1:5" x14ac:dyDescent="0.25">
      <c r="A1445" t="s">
        <v>1</v>
      </c>
      <c r="B1445" t="s">
        <v>19</v>
      </c>
      <c r="C1445" t="s">
        <v>23490</v>
      </c>
      <c r="D1445" t="str">
        <f>HYPERLINK("https://rhld.insurance.arkansas.gov/NPILookup?Npi=1174157523","1174157523")</f>
        <v>1174157523</v>
      </c>
      <c r="E1445" t="s">
        <v>19487</v>
      </c>
    </row>
    <row r="1446" spans="1:5" x14ac:dyDescent="0.25">
      <c r="A1446" t="s">
        <v>1</v>
      </c>
      <c r="B1446" t="s">
        <v>19</v>
      </c>
      <c r="C1446" t="s">
        <v>23490</v>
      </c>
      <c r="D1446" t="str">
        <f>HYPERLINK("https://rhld.insurance.arkansas.gov/NPILookup?Npi=1174157879","1174157879")</f>
        <v>1174157879</v>
      </c>
      <c r="E1446" t="s">
        <v>17885</v>
      </c>
    </row>
    <row r="1447" spans="1:5" x14ac:dyDescent="0.25">
      <c r="A1447" t="s">
        <v>1</v>
      </c>
      <c r="B1447" t="s">
        <v>19</v>
      </c>
      <c r="C1447" t="s">
        <v>23490</v>
      </c>
      <c r="D1447" t="str">
        <f>HYPERLINK("https://rhld.insurance.arkansas.gov/NPILookup?Npi=1174160089","1174160089")</f>
        <v>1174160089</v>
      </c>
      <c r="E1447" t="s">
        <v>19488</v>
      </c>
    </row>
    <row r="1448" spans="1:5" x14ac:dyDescent="0.25">
      <c r="A1448" t="s">
        <v>1</v>
      </c>
      <c r="B1448" t="s">
        <v>19</v>
      </c>
      <c r="C1448" t="s">
        <v>23490</v>
      </c>
      <c r="D1448" t="str">
        <f>HYPERLINK("https://rhld.insurance.arkansas.gov/NPILookup?Npi=1174184931","1174184931")</f>
        <v>1174184931</v>
      </c>
      <c r="E1448" t="s">
        <v>21378</v>
      </c>
    </row>
    <row r="1449" spans="1:5" x14ac:dyDescent="0.25">
      <c r="A1449" t="s">
        <v>1</v>
      </c>
      <c r="B1449" t="s">
        <v>19</v>
      </c>
      <c r="C1449" t="s">
        <v>23490</v>
      </c>
      <c r="D1449" t="str">
        <f>HYPERLINK("https://rhld.insurance.arkansas.gov/NPILookup?Npi=1174185987","1174185987")</f>
        <v>1174185987</v>
      </c>
      <c r="E1449" t="s">
        <v>21379</v>
      </c>
    </row>
    <row r="1450" spans="1:5" x14ac:dyDescent="0.25">
      <c r="A1450" t="s">
        <v>1</v>
      </c>
      <c r="B1450" t="s">
        <v>19</v>
      </c>
      <c r="C1450" t="s">
        <v>23490</v>
      </c>
      <c r="D1450" t="str">
        <f>HYPERLINK("https://rhld.insurance.arkansas.gov/NPILookup?Npi=1174256770","1174256770")</f>
        <v>1174256770</v>
      </c>
      <c r="E1450" t="s">
        <v>20906</v>
      </c>
    </row>
    <row r="1451" spans="1:5" x14ac:dyDescent="0.25">
      <c r="A1451" t="s">
        <v>1</v>
      </c>
      <c r="B1451" t="s">
        <v>19</v>
      </c>
      <c r="C1451" t="s">
        <v>23490</v>
      </c>
      <c r="D1451" t="str">
        <f>HYPERLINK("https://rhld.insurance.arkansas.gov/NPILookup?Npi=1174259295","1174259295")</f>
        <v>1174259295</v>
      </c>
      <c r="E1451" t="s">
        <v>20907</v>
      </c>
    </row>
    <row r="1452" spans="1:5" x14ac:dyDescent="0.25">
      <c r="A1452" t="s">
        <v>1</v>
      </c>
      <c r="B1452" t="s">
        <v>19</v>
      </c>
      <c r="C1452" t="s">
        <v>23490</v>
      </c>
      <c r="D1452" t="str">
        <f>HYPERLINK("https://rhld.insurance.arkansas.gov/NPILookup?Npi=1174294094","1174294094")</f>
        <v>1174294094</v>
      </c>
      <c r="E1452" t="s">
        <v>19489</v>
      </c>
    </row>
    <row r="1453" spans="1:5" x14ac:dyDescent="0.25">
      <c r="A1453" t="s">
        <v>1</v>
      </c>
      <c r="B1453" t="s">
        <v>19</v>
      </c>
      <c r="C1453" t="s">
        <v>23490</v>
      </c>
      <c r="D1453" t="str">
        <f>HYPERLINK("https://rhld.insurance.arkansas.gov/NPILookup?Npi=1174298038","1174298038")</f>
        <v>1174298038</v>
      </c>
      <c r="E1453" t="s">
        <v>18690</v>
      </c>
    </row>
    <row r="1454" spans="1:5" x14ac:dyDescent="0.25">
      <c r="A1454" t="s">
        <v>1</v>
      </c>
      <c r="B1454" t="s">
        <v>19</v>
      </c>
      <c r="C1454" t="s">
        <v>23490</v>
      </c>
      <c r="D1454" t="str">
        <f>HYPERLINK("https://rhld.insurance.arkansas.gov/NPILookup?Npi=1174501449","1174501449")</f>
        <v>1174501449</v>
      </c>
      <c r="E1454" t="s">
        <v>601</v>
      </c>
    </row>
    <row r="1455" spans="1:5" x14ac:dyDescent="0.25">
      <c r="A1455" t="s">
        <v>1</v>
      </c>
      <c r="B1455" t="s">
        <v>19</v>
      </c>
      <c r="C1455" t="s">
        <v>23490</v>
      </c>
      <c r="D1455" t="str">
        <f>HYPERLINK("https://rhld.insurance.arkansas.gov/NPILookup?Npi=1174502710","1174502710")</f>
        <v>1174502710</v>
      </c>
      <c r="E1455" t="s">
        <v>602</v>
      </c>
    </row>
    <row r="1456" spans="1:5" x14ac:dyDescent="0.25">
      <c r="A1456" t="s">
        <v>1</v>
      </c>
      <c r="B1456" t="s">
        <v>19</v>
      </c>
      <c r="C1456" t="s">
        <v>23490</v>
      </c>
      <c r="D1456" t="str">
        <f>HYPERLINK("https://rhld.insurance.arkansas.gov/NPILookup?Npi=1174502991","1174502991")</f>
        <v>1174502991</v>
      </c>
      <c r="E1456" t="s">
        <v>603</v>
      </c>
    </row>
    <row r="1457" spans="1:5" x14ac:dyDescent="0.25">
      <c r="A1457" t="s">
        <v>1</v>
      </c>
      <c r="B1457" t="s">
        <v>19</v>
      </c>
      <c r="C1457" t="s">
        <v>23490</v>
      </c>
      <c r="D1457" t="str">
        <f>HYPERLINK("https://rhld.insurance.arkansas.gov/NPILookup?Npi=1174504641","1174504641")</f>
        <v>1174504641</v>
      </c>
      <c r="E1457" t="s">
        <v>604</v>
      </c>
    </row>
    <row r="1458" spans="1:5" x14ac:dyDescent="0.25">
      <c r="A1458" t="s">
        <v>1</v>
      </c>
      <c r="B1458" t="s">
        <v>19</v>
      </c>
      <c r="C1458" t="s">
        <v>23490</v>
      </c>
      <c r="D1458" t="str">
        <f>HYPERLINK("https://rhld.insurance.arkansas.gov/NPILookup?Npi=1174507578","1174507578")</f>
        <v>1174507578</v>
      </c>
      <c r="E1458" t="s">
        <v>18691</v>
      </c>
    </row>
    <row r="1459" spans="1:5" x14ac:dyDescent="0.25">
      <c r="A1459" t="s">
        <v>1</v>
      </c>
      <c r="B1459" t="s">
        <v>19</v>
      </c>
      <c r="C1459" t="s">
        <v>23490</v>
      </c>
      <c r="D1459" t="str">
        <f>HYPERLINK("https://rhld.insurance.arkansas.gov/NPILookup?Npi=1174508386","1174508386")</f>
        <v>1174508386</v>
      </c>
      <c r="E1459" t="s">
        <v>605</v>
      </c>
    </row>
    <row r="1460" spans="1:5" x14ac:dyDescent="0.25">
      <c r="A1460" t="s">
        <v>1</v>
      </c>
      <c r="B1460" t="s">
        <v>19</v>
      </c>
      <c r="C1460" t="s">
        <v>23490</v>
      </c>
      <c r="D1460" t="str">
        <f>HYPERLINK("https://rhld.insurance.arkansas.gov/NPILookup?Npi=1174512404","1174512404")</f>
        <v>1174512404</v>
      </c>
      <c r="E1460" t="s">
        <v>606</v>
      </c>
    </row>
    <row r="1461" spans="1:5" x14ac:dyDescent="0.25">
      <c r="A1461" t="s">
        <v>1</v>
      </c>
      <c r="B1461" t="s">
        <v>19</v>
      </c>
      <c r="C1461" t="s">
        <v>23490</v>
      </c>
      <c r="D1461" t="str">
        <f>HYPERLINK("https://rhld.insurance.arkansas.gov/NPILookup?Npi=1174517056","1174517056")</f>
        <v>1174517056</v>
      </c>
      <c r="E1461" t="s">
        <v>607</v>
      </c>
    </row>
    <row r="1462" spans="1:5" x14ac:dyDescent="0.25">
      <c r="A1462" t="s">
        <v>1</v>
      </c>
      <c r="B1462" t="s">
        <v>19</v>
      </c>
      <c r="C1462" t="s">
        <v>23490</v>
      </c>
      <c r="D1462" t="str">
        <f>HYPERLINK("https://rhld.insurance.arkansas.gov/NPILookup?Npi=1174518229","1174518229")</f>
        <v>1174518229</v>
      </c>
      <c r="E1462" t="s">
        <v>608</v>
      </c>
    </row>
    <row r="1463" spans="1:5" x14ac:dyDescent="0.25">
      <c r="A1463" t="s">
        <v>1</v>
      </c>
      <c r="B1463" t="s">
        <v>19</v>
      </c>
      <c r="C1463" t="s">
        <v>23490</v>
      </c>
      <c r="D1463" t="str">
        <f>HYPERLINK("https://rhld.insurance.arkansas.gov/NPILookup?Npi=1174520688","1174520688")</f>
        <v>1174520688</v>
      </c>
      <c r="E1463" t="s">
        <v>609</v>
      </c>
    </row>
    <row r="1464" spans="1:5" x14ac:dyDescent="0.25">
      <c r="A1464" t="s">
        <v>1</v>
      </c>
      <c r="B1464" t="s">
        <v>19</v>
      </c>
      <c r="C1464" t="s">
        <v>23490</v>
      </c>
      <c r="D1464" t="str">
        <f>HYPERLINK("https://rhld.insurance.arkansas.gov/NPILookup?Npi=1174521702","1174521702")</f>
        <v>1174521702</v>
      </c>
      <c r="E1464" t="s">
        <v>20908</v>
      </c>
    </row>
    <row r="1465" spans="1:5" x14ac:dyDescent="0.25">
      <c r="A1465" t="s">
        <v>1</v>
      </c>
      <c r="B1465" t="s">
        <v>19</v>
      </c>
      <c r="C1465" t="s">
        <v>23490</v>
      </c>
      <c r="D1465" t="str">
        <f>HYPERLINK("https://rhld.insurance.arkansas.gov/NPILookup?Npi=1174523120","1174523120")</f>
        <v>1174523120</v>
      </c>
      <c r="E1465" t="s">
        <v>610</v>
      </c>
    </row>
    <row r="1466" spans="1:5" x14ac:dyDescent="0.25">
      <c r="A1466" t="s">
        <v>1</v>
      </c>
      <c r="B1466" t="s">
        <v>19</v>
      </c>
      <c r="C1466" t="s">
        <v>23490</v>
      </c>
      <c r="D1466" t="str">
        <f>HYPERLINK("https://rhld.insurance.arkansas.gov/NPILookup?Npi=1174523260","1174523260")</f>
        <v>1174523260</v>
      </c>
      <c r="E1466" t="s">
        <v>611</v>
      </c>
    </row>
    <row r="1467" spans="1:5" x14ac:dyDescent="0.25">
      <c r="A1467" t="s">
        <v>1</v>
      </c>
      <c r="B1467" t="s">
        <v>19</v>
      </c>
      <c r="C1467" t="s">
        <v>23490</v>
      </c>
      <c r="D1467" t="str">
        <f>HYPERLINK("https://rhld.insurance.arkansas.gov/NPILookup?Npi=1174524086","1174524086")</f>
        <v>1174524086</v>
      </c>
      <c r="E1467" t="s">
        <v>612</v>
      </c>
    </row>
    <row r="1468" spans="1:5" x14ac:dyDescent="0.25">
      <c r="A1468" t="s">
        <v>1</v>
      </c>
      <c r="B1468" t="s">
        <v>19</v>
      </c>
      <c r="C1468" t="s">
        <v>23490</v>
      </c>
      <c r="D1468" t="str">
        <f>HYPERLINK("https://rhld.insurance.arkansas.gov/NPILookup?Npi=1174529887","1174529887")</f>
        <v>1174529887</v>
      </c>
      <c r="E1468" t="s">
        <v>613</v>
      </c>
    </row>
    <row r="1469" spans="1:5" x14ac:dyDescent="0.25">
      <c r="A1469" t="s">
        <v>1</v>
      </c>
      <c r="B1469" t="s">
        <v>19</v>
      </c>
      <c r="C1469" t="s">
        <v>23490</v>
      </c>
      <c r="D1469" t="str">
        <f>HYPERLINK("https://rhld.insurance.arkansas.gov/NPILookup?Npi=1174543177","1174543177")</f>
        <v>1174543177</v>
      </c>
      <c r="E1469" t="s">
        <v>614</v>
      </c>
    </row>
    <row r="1470" spans="1:5" x14ac:dyDescent="0.25">
      <c r="A1470" t="s">
        <v>1</v>
      </c>
      <c r="B1470" t="s">
        <v>19</v>
      </c>
      <c r="C1470" t="s">
        <v>23490</v>
      </c>
      <c r="D1470" t="str">
        <f>HYPERLINK("https://rhld.insurance.arkansas.gov/NPILookup?Npi=1174543185","1174543185")</f>
        <v>1174543185</v>
      </c>
      <c r="E1470" t="s">
        <v>615</v>
      </c>
    </row>
    <row r="1471" spans="1:5" x14ac:dyDescent="0.25">
      <c r="A1471" t="s">
        <v>1</v>
      </c>
      <c r="B1471" t="s">
        <v>19</v>
      </c>
      <c r="C1471" t="s">
        <v>23490</v>
      </c>
      <c r="D1471" t="str">
        <f>HYPERLINK("https://rhld.insurance.arkansas.gov/NPILookup?Npi=1174544811","1174544811")</f>
        <v>1174544811</v>
      </c>
      <c r="E1471" t="s">
        <v>616</v>
      </c>
    </row>
    <row r="1472" spans="1:5" x14ac:dyDescent="0.25">
      <c r="A1472" t="s">
        <v>1</v>
      </c>
      <c r="B1472" t="s">
        <v>19</v>
      </c>
      <c r="C1472" t="s">
        <v>23490</v>
      </c>
      <c r="D1472" t="str">
        <f>HYPERLINK("https://rhld.insurance.arkansas.gov/NPILookup?Npi=1174552210","1174552210")</f>
        <v>1174552210</v>
      </c>
      <c r="E1472" t="s">
        <v>617</v>
      </c>
    </row>
    <row r="1473" spans="1:5" x14ac:dyDescent="0.25">
      <c r="A1473" t="s">
        <v>1</v>
      </c>
      <c r="B1473" t="s">
        <v>19</v>
      </c>
      <c r="C1473" t="s">
        <v>23490</v>
      </c>
      <c r="D1473" t="str">
        <f>HYPERLINK("https://rhld.insurance.arkansas.gov/NPILookup?Npi=1174560965","1174560965")</f>
        <v>1174560965</v>
      </c>
      <c r="E1473" t="s">
        <v>618</v>
      </c>
    </row>
    <row r="1474" spans="1:5" x14ac:dyDescent="0.25">
      <c r="A1474" t="s">
        <v>1</v>
      </c>
      <c r="B1474" t="s">
        <v>19</v>
      </c>
      <c r="C1474" t="s">
        <v>23490</v>
      </c>
      <c r="D1474" t="str">
        <f>HYPERLINK("https://rhld.insurance.arkansas.gov/NPILookup?Npi=1174562219","1174562219")</f>
        <v>1174562219</v>
      </c>
      <c r="E1474" t="s">
        <v>14838</v>
      </c>
    </row>
    <row r="1475" spans="1:5" x14ac:dyDescent="0.25">
      <c r="A1475" t="s">
        <v>1</v>
      </c>
      <c r="B1475" t="s">
        <v>19</v>
      </c>
      <c r="C1475" t="s">
        <v>23490</v>
      </c>
      <c r="D1475" t="str">
        <f>HYPERLINK("https://rhld.insurance.arkansas.gov/NPILookup?Npi=1174572895","1174572895")</f>
        <v>1174572895</v>
      </c>
      <c r="E1475" t="s">
        <v>14839</v>
      </c>
    </row>
    <row r="1476" spans="1:5" x14ac:dyDescent="0.25">
      <c r="A1476" t="s">
        <v>1</v>
      </c>
      <c r="B1476" t="s">
        <v>19</v>
      </c>
      <c r="C1476" t="s">
        <v>23490</v>
      </c>
      <c r="D1476" t="str">
        <f>HYPERLINK("https://rhld.insurance.arkansas.gov/NPILookup?Npi=1174573026","1174573026")</f>
        <v>1174573026</v>
      </c>
      <c r="E1476" t="s">
        <v>620</v>
      </c>
    </row>
    <row r="1477" spans="1:5" x14ac:dyDescent="0.25">
      <c r="A1477" t="s">
        <v>1</v>
      </c>
      <c r="B1477" t="s">
        <v>19</v>
      </c>
      <c r="C1477" t="s">
        <v>23490</v>
      </c>
      <c r="D1477" t="str">
        <f>HYPERLINK("https://rhld.insurance.arkansas.gov/NPILookup?Npi=1174580765","1174580765")</f>
        <v>1174580765</v>
      </c>
      <c r="E1477" t="s">
        <v>621</v>
      </c>
    </row>
    <row r="1478" spans="1:5" x14ac:dyDescent="0.25">
      <c r="A1478" t="s">
        <v>1</v>
      </c>
      <c r="B1478" t="s">
        <v>19</v>
      </c>
      <c r="C1478" t="s">
        <v>23490</v>
      </c>
      <c r="D1478" t="str">
        <f>HYPERLINK("https://rhld.insurance.arkansas.gov/NPILookup?Npi=1174582407","1174582407")</f>
        <v>1174582407</v>
      </c>
      <c r="E1478" t="s">
        <v>622</v>
      </c>
    </row>
    <row r="1479" spans="1:5" x14ac:dyDescent="0.25">
      <c r="A1479" t="s">
        <v>1</v>
      </c>
      <c r="B1479" t="s">
        <v>19</v>
      </c>
      <c r="C1479" t="s">
        <v>23490</v>
      </c>
      <c r="D1479" t="str">
        <f>HYPERLINK("https://rhld.insurance.arkansas.gov/NPILookup?Npi=1174586275","1174586275")</f>
        <v>1174586275</v>
      </c>
      <c r="E1479" t="s">
        <v>14840</v>
      </c>
    </row>
    <row r="1480" spans="1:5" x14ac:dyDescent="0.25">
      <c r="A1480" t="s">
        <v>1</v>
      </c>
      <c r="B1480" t="s">
        <v>19</v>
      </c>
      <c r="C1480" t="s">
        <v>23490</v>
      </c>
      <c r="D1480" t="str">
        <f>HYPERLINK("https://rhld.insurance.arkansas.gov/NPILookup?Npi=1174586861","1174586861")</f>
        <v>1174586861</v>
      </c>
      <c r="E1480" t="s">
        <v>14841</v>
      </c>
    </row>
    <row r="1481" spans="1:5" x14ac:dyDescent="0.25">
      <c r="A1481" t="s">
        <v>1</v>
      </c>
      <c r="B1481" t="s">
        <v>19</v>
      </c>
      <c r="C1481" t="s">
        <v>23490</v>
      </c>
      <c r="D1481" t="str">
        <f>HYPERLINK("https://rhld.insurance.arkansas.gov/NPILookup?Npi=1174587463","1174587463")</f>
        <v>1174587463</v>
      </c>
      <c r="E1481" t="s">
        <v>623</v>
      </c>
    </row>
    <row r="1482" spans="1:5" x14ac:dyDescent="0.25">
      <c r="A1482" t="s">
        <v>1</v>
      </c>
      <c r="B1482" t="s">
        <v>19</v>
      </c>
      <c r="C1482" t="s">
        <v>23490</v>
      </c>
      <c r="D1482" t="str">
        <f>HYPERLINK("https://rhld.insurance.arkansas.gov/NPILookup?Npi=1174590848","1174590848")</f>
        <v>1174590848</v>
      </c>
      <c r="E1482" t="s">
        <v>624</v>
      </c>
    </row>
    <row r="1483" spans="1:5" x14ac:dyDescent="0.25">
      <c r="A1483" t="s">
        <v>1</v>
      </c>
      <c r="B1483" t="s">
        <v>19</v>
      </c>
      <c r="C1483" t="s">
        <v>23490</v>
      </c>
      <c r="D1483" t="str">
        <f>HYPERLINK("https://rhld.insurance.arkansas.gov/NPILookup?Npi=1174593446","1174593446")</f>
        <v>1174593446</v>
      </c>
      <c r="E1483" t="s">
        <v>625</v>
      </c>
    </row>
    <row r="1484" spans="1:5" x14ac:dyDescent="0.25">
      <c r="A1484" t="s">
        <v>1</v>
      </c>
      <c r="B1484" t="s">
        <v>19</v>
      </c>
      <c r="C1484" t="s">
        <v>23490</v>
      </c>
      <c r="D1484" t="str">
        <f>HYPERLINK("https://rhld.insurance.arkansas.gov/NPILookup?Npi=1174596910","1174596910")</f>
        <v>1174596910</v>
      </c>
      <c r="E1484" t="s">
        <v>626</v>
      </c>
    </row>
    <row r="1485" spans="1:5" x14ac:dyDescent="0.25">
      <c r="A1485" t="s">
        <v>1</v>
      </c>
      <c r="B1485" t="s">
        <v>19</v>
      </c>
      <c r="C1485" t="s">
        <v>23490</v>
      </c>
      <c r="D1485" t="str">
        <f>HYPERLINK("https://rhld.insurance.arkansas.gov/NPILookup?Npi=1174613657","1174613657")</f>
        <v>1174613657</v>
      </c>
      <c r="E1485" t="s">
        <v>627</v>
      </c>
    </row>
    <row r="1486" spans="1:5" x14ac:dyDescent="0.25">
      <c r="A1486" t="s">
        <v>1</v>
      </c>
      <c r="B1486" t="s">
        <v>19</v>
      </c>
      <c r="C1486" t="s">
        <v>23490</v>
      </c>
      <c r="D1486" t="str">
        <f>HYPERLINK("https://rhld.insurance.arkansas.gov/NPILookup?Npi=1174613962","1174613962")</f>
        <v>1174613962</v>
      </c>
      <c r="E1486" t="s">
        <v>12790</v>
      </c>
    </row>
    <row r="1487" spans="1:5" x14ac:dyDescent="0.25">
      <c r="A1487" t="s">
        <v>1</v>
      </c>
      <c r="B1487" t="s">
        <v>19</v>
      </c>
      <c r="C1487" t="s">
        <v>23490</v>
      </c>
      <c r="D1487" t="str">
        <f>HYPERLINK("https://rhld.insurance.arkansas.gov/NPILookup?Npi=1174685465","1174685465")</f>
        <v>1174685465</v>
      </c>
      <c r="E1487" t="s">
        <v>10713</v>
      </c>
    </row>
    <row r="1488" spans="1:5" x14ac:dyDescent="0.25">
      <c r="A1488" t="s">
        <v>1</v>
      </c>
      <c r="B1488" t="s">
        <v>19</v>
      </c>
      <c r="C1488" t="s">
        <v>23490</v>
      </c>
      <c r="D1488" t="str">
        <f>HYPERLINK("https://rhld.insurance.arkansas.gov/NPILookup?Npi=1174696595","1174696595")</f>
        <v>1174696595</v>
      </c>
      <c r="E1488" t="s">
        <v>628</v>
      </c>
    </row>
    <row r="1489" spans="1:5" x14ac:dyDescent="0.25">
      <c r="A1489" t="s">
        <v>1</v>
      </c>
      <c r="B1489" t="s">
        <v>19</v>
      </c>
      <c r="C1489" t="s">
        <v>23490</v>
      </c>
      <c r="D1489" t="str">
        <f>HYPERLINK("https://rhld.insurance.arkansas.gov/NPILookup?Npi=1174729735","1174729735")</f>
        <v>1174729735</v>
      </c>
      <c r="E1489" t="s">
        <v>630</v>
      </c>
    </row>
    <row r="1490" spans="1:5" x14ac:dyDescent="0.25">
      <c r="A1490" t="s">
        <v>1</v>
      </c>
      <c r="B1490" t="s">
        <v>19</v>
      </c>
      <c r="C1490" t="s">
        <v>23490</v>
      </c>
      <c r="D1490" t="str">
        <f>HYPERLINK("https://rhld.insurance.arkansas.gov/NPILookup?Npi=1174748412","1174748412")</f>
        <v>1174748412</v>
      </c>
      <c r="E1490" t="s">
        <v>631</v>
      </c>
    </row>
    <row r="1491" spans="1:5" x14ac:dyDescent="0.25">
      <c r="A1491" t="s">
        <v>1</v>
      </c>
      <c r="B1491" t="s">
        <v>19</v>
      </c>
      <c r="C1491" t="s">
        <v>23490</v>
      </c>
      <c r="D1491" t="str">
        <f>HYPERLINK("https://rhld.insurance.arkansas.gov/NPILookup?Npi=1174750962","1174750962")</f>
        <v>1174750962</v>
      </c>
      <c r="E1491" t="s">
        <v>632</v>
      </c>
    </row>
    <row r="1492" spans="1:5" x14ac:dyDescent="0.25">
      <c r="A1492" t="s">
        <v>1</v>
      </c>
      <c r="B1492" t="s">
        <v>19</v>
      </c>
      <c r="C1492" t="s">
        <v>23490</v>
      </c>
      <c r="D1492" t="str">
        <f>HYPERLINK("https://rhld.insurance.arkansas.gov/NPILookup?Npi=1174771349","1174771349")</f>
        <v>1174771349</v>
      </c>
      <c r="E1492" t="s">
        <v>8524</v>
      </c>
    </row>
    <row r="1493" spans="1:5" x14ac:dyDescent="0.25">
      <c r="A1493" t="s">
        <v>1</v>
      </c>
      <c r="B1493" t="s">
        <v>19</v>
      </c>
      <c r="C1493" t="s">
        <v>23490</v>
      </c>
      <c r="D1493" t="str">
        <f>HYPERLINK("https://rhld.insurance.arkansas.gov/NPILookup?Npi=1174791081","1174791081")</f>
        <v>1174791081</v>
      </c>
      <c r="E1493" t="s">
        <v>633</v>
      </c>
    </row>
    <row r="1494" spans="1:5" x14ac:dyDescent="0.25">
      <c r="A1494" t="s">
        <v>1</v>
      </c>
      <c r="B1494" t="s">
        <v>19</v>
      </c>
      <c r="C1494" t="s">
        <v>23490</v>
      </c>
      <c r="D1494" t="str">
        <f>HYPERLINK("https://rhld.insurance.arkansas.gov/NPILookup?Npi=1174791784","1174791784")</f>
        <v>1174791784</v>
      </c>
      <c r="E1494" t="s">
        <v>634</v>
      </c>
    </row>
    <row r="1495" spans="1:5" x14ac:dyDescent="0.25">
      <c r="A1495" t="s">
        <v>1</v>
      </c>
      <c r="B1495" t="s">
        <v>19</v>
      </c>
      <c r="C1495" t="s">
        <v>23490</v>
      </c>
      <c r="D1495" t="str">
        <f>HYPERLINK("https://rhld.insurance.arkansas.gov/NPILookup?Npi=1174799258","1174799258")</f>
        <v>1174799258</v>
      </c>
      <c r="E1495" t="s">
        <v>635</v>
      </c>
    </row>
    <row r="1496" spans="1:5" x14ac:dyDescent="0.25">
      <c r="A1496" t="s">
        <v>1</v>
      </c>
      <c r="B1496" t="s">
        <v>19</v>
      </c>
      <c r="C1496" t="s">
        <v>23490</v>
      </c>
      <c r="D1496" t="str">
        <f>HYPERLINK("https://rhld.insurance.arkansas.gov/NPILookup?Npi=1174847313","1174847313")</f>
        <v>1174847313</v>
      </c>
      <c r="E1496" t="s">
        <v>636</v>
      </c>
    </row>
    <row r="1497" spans="1:5" x14ac:dyDescent="0.25">
      <c r="A1497" t="s">
        <v>1</v>
      </c>
      <c r="B1497" t="s">
        <v>19</v>
      </c>
      <c r="C1497" t="s">
        <v>23490</v>
      </c>
      <c r="D1497" t="str">
        <f>HYPERLINK("https://rhld.insurance.arkansas.gov/NPILookup?Npi=1174879720","1174879720")</f>
        <v>1174879720</v>
      </c>
      <c r="E1497" t="s">
        <v>14842</v>
      </c>
    </row>
    <row r="1498" spans="1:5" x14ac:dyDescent="0.25">
      <c r="A1498" t="s">
        <v>1</v>
      </c>
      <c r="B1498" t="s">
        <v>19</v>
      </c>
      <c r="C1498" t="s">
        <v>23490</v>
      </c>
      <c r="D1498" t="str">
        <f>HYPERLINK("https://rhld.insurance.arkansas.gov/NPILookup?Npi=1174881478","1174881478")</f>
        <v>1174881478</v>
      </c>
      <c r="E1498" t="s">
        <v>638</v>
      </c>
    </row>
    <row r="1499" spans="1:5" x14ac:dyDescent="0.25">
      <c r="A1499" t="s">
        <v>1</v>
      </c>
      <c r="B1499" t="s">
        <v>19</v>
      </c>
      <c r="C1499" t="s">
        <v>23490</v>
      </c>
      <c r="D1499" t="str">
        <f>HYPERLINK("https://rhld.insurance.arkansas.gov/NPILookup?Npi=1174890065","1174890065")</f>
        <v>1174890065</v>
      </c>
      <c r="E1499" t="s">
        <v>639</v>
      </c>
    </row>
    <row r="1500" spans="1:5" x14ac:dyDescent="0.25">
      <c r="A1500" t="s">
        <v>1</v>
      </c>
      <c r="B1500" t="s">
        <v>19</v>
      </c>
      <c r="C1500" t="s">
        <v>23490</v>
      </c>
      <c r="D1500" t="str">
        <f>HYPERLINK("https://rhld.insurance.arkansas.gov/NPILookup?Npi=1174902795","1174902795")</f>
        <v>1174902795</v>
      </c>
      <c r="E1500" t="s">
        <v>640</v>
      </c>
    </row>
    <row r="1501" spans="1:5" x14ac:dyDescent="0.25">
      <c r="A1501" t="s">
        <v>1</v>
      </c>
      <c r="B1501" t="s">
        <v>19</v>
      </c>
      <c r="C1501" t="s">
        <v>23490</v>
      </c>
      <c r="D1501" t="str">
        <f>HYPERLINK("https://rhld.insurance.arkansas.gov/NPILookup?Npi=1174903389","1174903389")</f>
        <v>1174903389</v>
      </c>
      <c r="E1501" t="s">
        <v>13402</v>
      </c>
    </row>
    <row r="1502" spans="1:5" x14ac:dyDescent="0.25">
      <c r="A1502" t="s">
        <v>1</v>
      </c>
      <c r="B1502" t="s">
        <v>19</v>
      </c>
      <c r="C1502" t="s">
        <v>23490</v>
      </c>
      <c r="D1502" t="str">
        <f>HYPERLINK("https://rhld.insurance.arkansas.gov/NPILookup?Npi=1174904510","1174904510")</f>
        <v>1174904510</v>
      </c>
      <c r="E1502" t="s">
        <v>14843</v>
      </c>
    </row>
    <row r="1503" spans="1:5" x14ac:dyDescent="0.25">
      <c r="A1503" t="s">
        <v>1</v>
      </c>
      <c r="B1503" t="s">
        <v>19</v>
      </c>
      <c r="C1503" t="s">
        <v>23490</v>
      </c>
      <c r="D1503" t="str">
        <f>HYPERLINK("https://rhld.insurance.arkansas.gov/NPILookup?Npi=1174907679","1174907679")</f>
        <v>1174907679</v>
      </c>
      <c r="E1503" t="s">
        <v>8525</v>
      </c>
    </row>
    <row r="1504" spans="1:5" x14ac:dyDescent="0.25">
      <c r="A1504" t="s">
        <v>1</v>
      </c>
      <c r="B1504" t="s">
        <v>19</v>
      </c>
      <c r="C1504" t="s">
        <v>23490</v>
      </c>
      <c r="D1504" t="str">
        <f>HYPERLINK("https://rhld.insurance.arkansas.gov/NPILookup?Npi=1174910210","1174910210")</f>
        <v>1174910210</v>
      </c>
      <c r="E1504" t="s">
        <v>13403</v>
      </c>
    </row>
    <row r="1505" spans="1:5" x14ac:dyDescent="0.25">
      <c r="A1505" t="s">
        <v>1</v>
      </c>
      <c r="B1505" t="s">
        <v>19</v>
      </c>
      <c r="C1505" t="s">
        <v>23490</v>
      </c>
      <c r="D1505" t="str">
        <f>HYPERLINK("https://rhld.insurance.arkansas.gov/NPILookup?Npi=1174930747","1174930747")</f>
        <v>1174930747</v>
      </c>
      <c r="E1505" t="s">
        <v>10714</v>
      </c>
    </row>
    <row r="1506" spans="1:5" x14ac:dyDescent="0.25">
      <c r="A1506" t="s">
        <v>1</v>
      </c>
      <c r="B1506" t="s">
        <v>19</v>
      </c>
      <c r="C1506" t="s">
        <v>23490</v>
      </c>
      <c r="D1506" t="str">
        <f>HYPERLINK("https://rhld.insurance.arkansas.gov/NPILookup?Npi=1174946149","1174946149")</f>
        <v>1174946149</v>
      </c>
      <c r="E1506" t="s">
        <v>17886</v>
      </c>
    </row>
    <row r="1507" spans="1:5" x14ac:dyDescent="0.25">
      <c r="A1507" t="s">
        <v>1</v>
      </c>
      <c r="B1507" t="s">
        <v>19</v>
      </c>
      <c r="C1507" t="s">
        <v>23490</v>
      </c>
      <c r="D1507" t="str">
        <f>HYPERLINK("https://rhld.insurance.arkansas.gov/NPILookup?Npi=1174949747","1174949747")</f>
        <v>1174949747</v>
      </c>
      <c r="E1507" t="s">
        <v>641</v>
      </c>
    </row>
    <row r="1508" spans="1:5" x14ac:dyDescent="0.25">
      <c r="A1508" t="s">
        <v>1</v>
      </c>
      <c r="B1508" t="s">
        <v>19</v>
      </c>
      <c r="C1508" t="s">
        <v>23490</v>
      </c>
      <c r="D1508" t="str">
        <f>HYPERLINK("https://rhld.insurance.arkansas.gov/NPILookup?Npi=1174973317","1174973317")</f>
        <v>1174973317</v>
      </c>
      <c r="E1508" t="s">
        <v>18692</v>
      </c>
    </row>
    <row r="1509" spans="1:5" x14ac:dyDescent="0.25">
      <c r="A1509" t="s">
        <v>1</v>
      </c>
      <c r="B1509" t="s">
        <v>19</v>
      </c>
      <c r="C1509" t="s">
        <v>23490</v>
      </c>
      <c r="D1509" t="str">
        <f>HYPERLINK("https://rhld.insurance.arkansas.gov/NPILookup?Npi=1174978795","1174978795")</f>
        <v>1174978795</v>
      </c>
      <c r="E1509" t="s">
        <v>21492</v>
      </c>
    </row>
    <row r="1510" spans="1:5" x14ac:dyDescent="0.25">
      <c r="A1510" t="s">
        <v>1</v>
      </c>
      <c r="B1510" t="s">
        <v>19</v>
      </c>
      <c r="C1510" t="s">
        <v>23490</v>
      </c>
      <c r="D1510" t="str">
        <f>HYPERLINK("https://rhld.insurance.arkansas.gov/NPILookup?Npi=1174978985","1174978985")</f>
        <v>1174978985</v>
      </c>
      <c r="E1510" t="s">
        <v>8526</v>
      </c>
    </row>
    <row r="1511" spans="1:5" x14ac:dyDescent="0.25">
      <c r="A1511" t="s">
        <v>1</v>
      </c>
      <c r="B1511" t="s">
        <v>19</v>
      </c>
      <c r="C1511" t="s">
        <v>23490</v>
      </c>
      <c r="D1511" t="str">
        <f>HYPERLINK("https://rhld.insurance.arkansas.gov/NPILookup?Npi=1174981104","1174981104")</f>
        <v>1174981104</v>
      </c>
      <c r="E1511" t="s">
        <v>10715</v>
      </c>
    </row>
    <row r="1512" spans="1:5" x14ac:dyDescent="0.25">
      <c r="A1512" t="s">
        <v>1</v>
      </c>
      <c r="B1512" t="s">
        <v>19</v>
      </c>
      <c r="C1512" t="s">
        <v>23490</v>
      </c>
      <c r="D1512" t="str">
        <f>HYPERLINK("https://rhld.insurance.arkansas.gov/NPILookup?Npi=1184003261","1184003261")</f>
        <v>1184003261</v>
      </c>
      <c r="E1512" t="s">
        <v>19490</v>
      </c>
    </row>
    <row r="1513" spans="1:5" x14ac:dyDescent="0.25">
      <c r="A1513" t="s">
        <v>1</v>
      </c>
      <c r="B1513" t="s">
        <v>19</v>
      </c>
      <c r="C1513" t="s">
        <v>23490</v>
      </c>
      <c r="D1513" t="str">
        <f>HYPERLINK("https://rhld.insurance.arkansas.gov/NPILookup?Npi=1184010340","1184010340")</f>
        <v>1184010340</v>
      </c>
      <c r="E1513" t="s">
        <v>8528</v>
      </c>
    </row>
    <row r="1514" spans="1:5" x14ac:dyDescent="0.25">
      <c r="A1514" t="s">
        <v>1</v>
      </c>
      <c r="B1514" t="s">
        <v>19</v>
      </c>
      <c r="C1514" t="s">
        <v>23490</v>
      </c>
      <c r="D1514" t="str">
        <f>HYPERLINK("https://rhld.insurance.arkansas.gov/NPILookup?Npi=1184015422","1184015422")</f>
        <v>1184015422</v>
      </c>
      <c r="E1514" t="s">
        <v>642</v>
      </c>
    </row>
    <row r="1515" spans="1:5" x14ac:dyDescent="0.25">
      <c r="A1515" t="s">
        <v>1</v>
      </c>
      <c r="B1515" t="s">
        <v>19</v>
      </c>
      <c r="C1515" t="s">
        <v>23490</v>
      </c>
      <c r="D1515" t="str">
        <f>HYPERLINK("https://rhld.insurance.arkansas.gov/NPILookup?Npi=1184016842","1184016842")</f>
        <v>1184016842</v>
      </c>
      <c r="E1515" t="s">
        <v>643</v>
      </c>
    </row>
    <row r="1516" spans="1:5" x14ac:dyDescent="0.25">
      <c r="A1516" t="s">
        <v>1</v>
      </c>
      <c r="B1516" t="s">
        <v>19</v>
      </c>
      <c r="C1516" t="s">
        <v>23490</v>
      </c>
      <c r="D1516" t="str">
        <f>HYPERLINK("https://rhld.insurance.arkansas.gov/NPILookup?Npi=1184018285","1184018285")</f>
        <v>1184018285</v>
      </c>
      <c r="E1516" t="s">
        <v>13404</v>
      </c>
    </row>
    <row r="1517" spans="1:5" x14ac:dyDescent="0.25">
      <c r="A1517" t="s">
        <v>1</v>
      </c>
      <c r="B1517" t="s">
        <v>19</v>
      </c>
      <c r="C1517" t="s">
        <v>23490</v>
      </c>
      <c r="D1517" t="str">
        <f>HYPERLINK("https://rhld.insurance.arkansas.gov/NPILookup?Npi=1184019796","1184019796")</f>
        <v>1184019796</v>
      </c>
      <c r="E1517" t="s">
        <v>14844</v>
      </c>
    </row>
    <row r="1518" spans="1:5" x14ac:dyDescent="0.25">
      <c r="A1518" t="s">
        <v>1</v>
      </c>
      <c r="B1518" t="s">
        <v>19</v>
      </c>
      <c r="C1518" t="s">
        <v>23490</v>
      </c>
      <c r="D1518" t="str">
        <f>HYPERLINK("https://rhld.insurance.arkansas.gov/NPILookup?Npi=1184030579","1184030579")</f>
        <v>1184030579</v>
      </c>
      <c r="E1518" t="s">
        <v>644</v>
      </c>
    </row>
    <row r="1519" spans="1:5" x14ac:dyDescent="0.25">
      <c r="A1519" t="s">
        <v>1</v>
      </c>
      <c r="B1519" t="s">
        <v>19</v>
      </c>
      <c r="C1519" t="s">
        <v>23490</v>
      </c>
      <c r="D1519" t="str">
        <f>HYPERLINK("https://rhld.insurance.arkansas.gov/NPILookup?Npi=1184034522","1184034522")</f>
        <v>1184034522</v>
      </c>
      <c r="E1519" t="s">
        <v>645</v>
      </c>
    </row>
    <row r="1520" spans="1:5" x14ac:dyDescent="0.25">
      <c r="A1520" t="s">
        <v>1</v>
      </c>
      <c r="B1520" t="s">
        <v>19</v>
      </c>
      <c r="C1520" t="s">
        <v>23490</v>
      </c>
      <c r="D1520" t="str">
        <f>HYPERLINK("https://rhld.insurance.arkansas.gov/NPILookup?Npi=1184038598","1184038598")</f>
        <v>1184038598</v>
      </c>
      <c r="E1520" t="s">
        <v>14323</v>
      </c>
    </row>
    <row r="1521" spans="1:5" x14ac:dyDescent="0.25">
      <c r="A1521" t="s">
        <v>1</v>
      </c>
      <c r="B1521" t="s">
        <v>19</v>
      </c>
      <c r="C1521" t="s">
        <v>23490</v>
      </c>
      <c r="D1521" t="str">
        <f>HYPERLINK("https://rhld.insurance.arkansas.gov/NPILookup?Npi=1184039471","1184039471")</f>
        <v>1184039471</v>
      </c>
      <c r="E1521" t="s">
        <v>13405</v>
      </c>
    </row>
    <row r="1522" spans="1:5" x14ac:dyDescent="0.25">
      <c r="A1522" t="s">
        <v>1</v>
      </c>
      <c r="B1522" t="s">
        <v>19</v>
      </c>
      <c r="C1522" t="s">
        <v>23490</v>
      </c>
      <c r="D1522" t="str">
        <f>HYPERLINK("https://rhld.insurance.arkansas.gov/NPILookup?Npi=1184047730","1184047730")</f>
        <v>1184047730</v>
      </c>
      <c r="E1522" t="s">
        <v>646</v>
      </c>
    </row>
    <row r="1523" spans="1:5" x14ac:dyDescent="0.25">
      <c r="A1523" t="s">
        <v>1</v>
      </c>
      <c r="B1523" t="s">
        <v>19</v>
      </c>
      <c r="C1523" t="s">
        <v>23490</v>
      </c>
      <c r="D1523" t="str">
        <f>HYPERLINK("https://rhld.insurance.arkansas.gov/NPILookup?Npi=1184069015","1184069015")</f>
        <v>1184069015</v>
      </c>
      <c r="E1523" t="s">
        <v>8529</v>
      </c>
    </row>
    <row r="1524" spans="1:5" x14ac:dyDescent="0.25">
      <c r="A1524" t="s">
        <v>1</v>
      </c>
      <c r="B1524" t="s">
        <v>19</v>
      </c>
      <c r="C1524" t="s">
        <v>23490</v>
      </c>
      <c r="D1524" t="str">
        <f>HYPERLINK("https://rhld.insurance.arkansas.gov/NPILookup?Npi=1184072258","1184072258")</f>
        <v>1184072258</v>
      </c>
      <c r="E1524" t="s">
        <v>8530</v>
      </c>
    </row>
    <row r="1525" spans="1:5" x14ac:dyDescent="0.25">
      <c r="A1525" t="s">
        <v>1</v>
      </c>
      <c r="B1525" t="s">
        <v>19</v>
      </c>
      <c r="C1525" t="s">
        <v>23490</v>
      </c>
      <c r="D1525" t="str">
        <f>HYPERLINK("https://rhld.insurance.arkansas.gov/NPILookup?Npi=1184074197","1184074197")</f>
        <v>1184074197</v>
      </c>
      <c r="E1525" t="s">
        <v>10716</v>
      </c>
    </row>
    <row r="1526" spans="1:5" x14ac:dyDescent="0.25">
      <c r="A1526" t="s">
        <v>1</v>
      </c>
      <c r="B1526" t="s">
        <v>19</v>
      </c>
      <c r="C1526" t="s">
        <v>23490</v>
      </c>
      <c r="D1526" t="str">
        <f>HYPERLINK("https://rhld.insurance.arkansas.gov/NPILookup?Npi=1184079246","1184079246")</f>
        <v>1184079246</v>
      </c>
      <c r="E1526" t="s">
        <v>17887</v>
      </c>
    </row>
    <row r="1527" spans="1:5" x14ac:dyDescent="0.25">
      <c r="A1527" t="s">
        <v>1</v>
      </c>
      <c r="B1527" t="s">
        <v>19</v>
      </c>
      <c r="C1527" t="s">
        <v>23490</v>
      </c>
      <c r="D1527" t="str">
        <f>HYPERLINK("https://rhld.insurance.arkansas.gov/NPILookup?Npi=1184082273","1184082273")</f>
        <v>1184082273</v>
      </c>
      <c r="E1527" t="s">
        <v>8531</v>
      </c>
    </row>
    <row r="1528" spans="1:5" x14ac:dyDescent="0.25">
      <c r="A1528" t="s">
        <v>1</v>
      </c>
      <c r="B1528" t="s">
        <v>19</v>
      </c>
      <c r="C1528" t="s">
        <v>23490</v>
      </c>
      <c r="D1528" t="str">
        <f>HYPERLINK("https://rhld.insurance.arkansas.gov/NPILookup?Npi=1184083263","1184083263")</f>
        <v>1184083263</v>
      </c>
      <c r="E1528" t="s">
        <v>10717</v>
      </c>
    </row>
    <row r="1529" spans="1:5" x14ac:dyDescent="0.25">
      <c r="A1529" t="s">
        <v>1</v>
      </c>
      <c r="B1529" t="s">
        <v>19</v>
      </c>
      <c r="C1529" t="s">
        <v>23490</v>
      </c>
      <c r="D1529" t="str">
        <f>HYPERLINK("https://rhld.insurance.arkansas.gov/NPILookup?Npi=1184091407","1184091407")</f>
        <v>1184091407</v>
      </c>
      <c r="E1529" t="s">
        <v>14845</v>
      </c>
    </row>
    <row r="1530" spans="1:5" x14ac:dyDescent="0.25">
      <c r="A1530" t="s">
        <v>1</v>
      </c>
      <c r="B1530" t="s">
        <v>19</v>
      </c>
      <c r="C1530" t="s">
        <v>23490</v>
      </c>
      <c r="D1530" t="str">
        <f>HYPERLINK("https://rhld.insurance.arkansas.gov/NPILookup?Npi=1184091415","1184091415")</f>
        <v>1184091415</v>
      </c>
      <c r="E1530" t="s">
        <v>647</v>
      </c>
    </row>
    <row r="1531" spans="1:5" x14ac:dyDescent="0.25">
      <c r="A1531" t="s">
        <v>1</v>
      </c>
      <c r="B1531" t="s">
        <v>19</v>
      </c>
      <c r="C1531" t="s">
        <v>23490</v>
      </c>
      <c r="D1531" t="str">
        <f>HYPERLINK("https://rhld.insurance.arkansas.gov/NPILookup?Npi=1184096745","1184096745")</f>
        <v>1184096745</v>
      </c>
      <c r="E1531" t="s">
        <v>648</v>
      </c>
    </row>
    <row r="1532" spans="1:5" x14ac:dyDescent="0.25">
      <c r="A1532" t="s">
        <v>1</v>
      </c>
      <c r="B1532" t="s">
        <v>19</v>
      </c>
      <c r="C1532" t="s">
        <v>23490</v>
      </c>
      <c r="D1532" t="str">
        <f>HYPERLINK("https://rhld.insurance.arkansas.gov/NPILookup?Npi=1184102303","1184102303")</f>
        <v>1184102303</v>
      </c>
      <c r="E1532" t="s">
        <v>13406</v>
      </c>
    </row>
    <row r="1533" spans="1:5" x14ac:dyDescent="0.25">
      <c r="A1533" t="s">
        <v>1</v>
      </c>
      <c r="B1533" t="s">
        <v>19</v>
      </c>
      <c r="C1533" t="s">
        <v>23490</v>
      </c>
      <c r="D1533" t="str">
        <f>HYPERLINK("https://rhld.insurance.arkansas.gov/NPILookup?Npi=1184107104","1184107104")</f>
        <v>1184107104</v>
      </c>
      <c r="E1533" t="s">
        <v>13407</v>
      </c>
    </row>
    <row r="1534" spans="1:5" x14ac:dyDescent="0.25">
      <c r="A1534" t="s">
        <v>1</v>
      </c>
      <c r="B1534" t="s">
        <v>19</v>
      </c>
      <c r="C1534" t="s">
        <v>23490</v>
      </c>
      <c r="D1534" t="str">
        <f>HYPERLINK("https://rhld.insurance.arkansas.gov/NPILookup?Npi=1184107138","1184107138")</f>
        <v>1184107138</v>
      </c>
      <c r="E1534" t="s">
        <v>14846</v>
      </c>
    </row>
    <row r="1535" spans="1:5" x14ac:dyDescent="0.25">
      <c r="A1535" t="s">
        <v>1</v>
      </c>
      <c r="B1535" t="s">
        <v>19</v>
      </c>
      <c r="C1535" t="s">
        <v>23490</v>
      </c>
      <c r="D1535" t="str">
        <f>HYPERLINK("https://rhld.insurance.arkansas.gov/NPILookup?Npi=1184112112","1184112112")</f>
        <v>1184112112</v>
      </c>
      <c r="E1535" t="s">
        <v>20909</v>
      </c>
    </row>
    <row r="1536" spans="1:5" x14ac:dyDescent="0.25">
      <c r="A1536" t="s">
        <v>1</v>
      </c>
      <c r="B1536" t="s">
        <v>19</v>
      </c>
      <c r="C1536" t="s">
        <v>8427</v>
      </c>
      <c r="D1536" t="str">
        <f>HYPERLINK("https://rhld.insurance.arkansas.gov/NPILookup?Npi=1184118051","1184118051")</f>
        <v>1184118051</v>
      </c>
      <c r="E1536" t="s">
        <v>8470</v>
      </c>
    </row>
    <row r="1537" spans="1:5" x14ac:dyDescent="0.25">
      <c r="A1537" t="s">
        <v>1</v>
      </c>
      <c r="B1537" t="s">
        <v>19</v>
      </c>
      <c r="C1537" t="s">
        <v>23490</v>
      </c>
      <c r="D1537" t="str">
        <f>HYPERLINK("https://rhld.insurance.arkansas.gov/NPILookup?Npi=1184161895","1184161895")</f>
        <v>1184161895</v>
      </c>
      <c r="E1537" t="s">
        <v>10718</v>
      </c>
    </row>
    <row r="1538" spans="1:5" x14ac:dyDescent="0.25">
      <c r="A1538" t="s">
        <v>1</v>
      </c>
      <c r="B1538" t="s">
        <v>19</v>
      </c>
      <c r="C1538" t="s">
        <v>23490</v>
      </c>
      <c r="D1538" t="str">
        <f>HYPERLINK("https://rhld.insurance.arkansas.gov/NPILookup?Npi=1184165441","1184165441")</f>
        <v>1184165441</v>
      </c>
      <c r="E1538" t="s">
        <v>10719</v>
      </c>
    </row>
    <row r="1539" spans="1:5" x14ac:dyDescent="0.25">
      <c r="A1539" t="s">
        <v>1</v>
      </c>
      <c r="B1539" t="s">
        <v>19</v>
      </c>
      <c r="C1539" t="s">
        <v>23490</v>
      </c>
      <c r="D1539" t="str">
        <f>HYPERLINK("https://rhld.insurance.arkansas.gov/NPILookup?Npi=1184173247","1184173247")</f>
        <v>1184173247</v>
      </c>
      <c r="E1539" t="s">
        <v>14847</v>
      </c>
    </row>
    <row r="1540" spans="1:5" x14ac:dyDescent="0.25">
      <c r="A1540" t="s">
        <v>1</v>
      </c>
      <c r="B1540" t="s">
        <v>19</v>
      </c>
      <c r="C1540" t="s">
        <v>23490</v>
      </c>
      <c r="D1540" t="str">
        <f>HYPERLINK("https://rhld.insurance.arkansas.gov/NPILookup?Npi=1184181216","1184181216")</f>
        <v>1184181216</v>
      </c>
      <c r="E1540" t="s">
        <v>19491</v>
      </c>
    </row>
    <row r="1541" spans="1:5" x14ac:dyDescent="0.25">
      <c r="A1541" t="s">
        <v>1</v>
      </c>
      <c r="B1541" t="s">
        <v>19</v>
      </c>
      <c r="C1541" t="s">
        <v>23490</v>
      </c>
      <c r="D1541" t="str">
        <f>HYPERLINK("https://rhld.insurance.arkansas.gov/NPILookup?Npi=1184189219","1184189219")</f>
        <v>1184189219</v>
      </c>
      <c r="E1541" t="s">
        <v>19492</v>
      </c>
    </row>
    <row r="1542" spans="1:5" x14ac:dyDescent="0.25">
      <c r="A1542" t="s">
        <v>1</v>
      </c>
      <c r="B1542" t="s">
        <v>19</v>
      </c>
      <c r="C1542" t="s">
        <v>23490</v>
      </c>
      <c r="D1542" t="str">
        <f>HYPERLINK("https://rhld.insurance.arkansas.gov/NPILookup?Npi=1184192510","1184192510")</f>
        <v>1184192510</v>
      </c>
      <c r="E1542" t="s">
        <v>19493</v>
      </c>
    </row>
    <row r="1543" spans="1:5" x14ac:dyDescent="0.25">
      <c r="A1543" t="s">
        <v>1</v>
      </c>
      <c r="B1543" t="s">
        <v>19</v>
      </c>
      <c r="C1543" t="s">
        <v>23490</v>
      </c>
      <c r="D1543" t="str">
        <f>HYPERLINK("https://rhld.insurance.arkansas.gov/NPILookup?Npi=1184197501","1184197501")</f>
        <v>1184197501</v>
      </c>
      <c r="E1543" t="s">
        <v>13408</v>
      </c>
    </row>
    <row r="1544" spans="1:5" x14ac:dyDescent="0.25">
      <c r="A1544" t="s">
        <v>1</v>
      </c>
      <c r="B1544" t="s">
        <v>19</v>
      </c>
      <c r="C1544" t="s">
        <v>23490</v>
      </c>
      <c r="D1544" t="str">
        <f>HYPERLINK("https://rhld.insurance.arkansas.gov/NPILookup?Npi=1184199119","1184199119")</f>
        <v>1184199119</v>
      </c>
      <c r="E1544" t="s">
        <v>13409</v>
      </c>
    </row>
    <row r="1545" spans="1:5" x14ac:dyDescent="0.25">
      <c r="A1545" t="s">
        <v>1</v>
      </c>
      <c r="B1545" t="s">
        <v>19</v>
      </c>
      <c r="C1545" t="s">
        <v>23490</v>
      </c>
      <c r="D1545" t="str">
        <f>HYPERLINK("https://rhld.insurance.arkansas.gov/NPILookup?Npi=1184225096","1184225096")</f>
        <v>1184225096</v>
      </c>
      <c r="E1545" t="s">
        <v>17888</v>
      </c>
    </row>
    <row r="1546" spans="1:5" x14ac:dyDescent="0.25">
      <c r="A1546" t="s">
        <v>1</v>
      </c>
      <c r="B1546" t="s">
        <v>19</v>
      </c>
      <c r="C1546" t="s">
        <v>23490</v>
      </c>
      <c r="D1546" t="str">
        <f>HYPERLINK("https://rhld.insurance.arkansas.gov/NPILookup?Npi=1184230286","1184230286")</f>
        <v>1184230286</v>
      </c>
      <c r="E1546" t="s">
        <v>17889</v>
      </c>
    </row>
    <row r="1547" spans="1:5" x14ac:dyDescent="0.25">
      <c r="A1547" t="s">
        <v>1</v>
      </c>
      <c r="B1547" t="s">
        <v>19</v>
      </c>
      <c r="C1547" t="s">
        <v>23490</v>
      </c>
      <c r="D1547" t="str">
        <f>HYPERLINK("https://rhld.insurance.arkansas.gov/NPILookup?Npi=1184232571","1184232571")</f>
        <v>1184232571</v>
      </c>
      <c r="E1547" t="s">
        <v>17890</v>
      </c>
    </row>
    <row r="1548" spans="1:5" x14ac:dyDescent="0.25">
      <c r="A1548" t="s">
        <v>1</v>
      </c>
      <c r="B1548" t="s">
        <v>19</v>
      </c>
      <c r="C1548" t="s">
        <v>23490</v>
      </c>
      <c r="D1548" t="str">
        <f>HYPERLINK("https://rhld.insurance.arkansas.gov/NPILookup?Npi=1184238149","1184238149")</f>
        <v>1184238149</v>
      </c>
      <c r="E1548" t="s">
        <v>19494</v>
      </c>
    </row>
    <row r="1549" spans="1:5" x14ac:dyDescent="0.25">
      <c r="A1549" t="s">
        <v>1</v>
      </c>
      <c r="B1549" t="s">
        <v>19</v>
      </c>
      <c r="C1549" t="s">
        <v>23490</v>
      </c>
      <c r="D1549" t="str">
        <f>HYPERLINK("https://rhld.insurance.arkansas.gov/NPILookup?Npi=1184250805","1184250805")</f>
        <v>1184250805</v>
      </c>
      <c r="E1549" t="s">
        <v>17891</v>
      </c>
    </row>
    <row r="1550" spans="1:5" x14ac:dyDescent="0.25">
      <c r="A1550" t="s">
        <v>1</v>
      </c>
      <c r="B1550" t="s">
        <v>19</v>
      </c>
      <c r="C1550" t="s">
        <v>23490</v>
      </c>
      <c r="D1550" t="str">
        <f>HYPERLINK("https://rhld.insurance.arkansas.gov/NPILookup?Npi=1184255226","1184255226")</f>
        <v>1184255226</v>
      </c>
      <c r="E1550" t="s">
        <v>17892</v>
      </c>
    </row>
    <row r="1551" spans="1:5" x14ac:dyDescent="0.25">
      <c r="A1551" t="s">
        <v>1</v>
      </c>
      <c r="B1551" t="s">
        <v>19</v>
      </c>
      <c r="C1551" t="s">
        <v>23490</v>
      </c>
      <c r="D1551" t="str">
        <f>HYPERLINK("https://rhld.insurance.arkansas.gov/NPILookup?Npi=1184284473","1184284473")</f>
        <v>1184284473</v>
      </c>
      <c r="E1551" t="s">
        <v>17893</v>
      </c>
    </row>
    <row r="1552" spans="1:5" x14ac:dyDescent="0.25">
      <c r="A1552" t="s">
        <v>1</v>
      </c>
      <c r="B1552" t="s">
        <v>19</v>
      </c>
      <c r="C1552" t="s">
        <v>23490</v>
      </c>
      <c r="D1552" t="str">
        <f>HYPERLINK("https://rhld.insurance.arkansas.gov/NPILookup?Npi=1184284804","1184284804")</f>
        <v>1184284804</v>
      </c>
      <c r="E1552" t="s">
        <v>19495</v>
      </c>
    </row>
    <row r="1553" spans="1:5" x14ac:dyDescent="0.25">
      <c r="A1553" t="s">
        <v>1</v>
      </c>
      <c r="B1553" t="s">
        <v>19</v>
      </c>
      <c r="C1553" t="s">
        <v>23490</v>
      </c>
      <c r="D1553" t="str">
        <f>HYPERLINK("https://rhld.insurance.arkansas.gov/NPILookup?Npi=1184292880","1184292880")</f>
        <v>1184292880</v>
      </c>
      <c r="E1553" t="s">
        <v>18693</v>
      </c>
    </row>
    <row r="1554" spans="1:5" x14ac:dyDescent="0.25">
      <c r="A1554" t="s">
        <v>1</v>
      </c>
      <c r="B1554" t="s">
        <v>19</v>
      </c>
      <c r="C1554" t="s">
        <v>23490</v>
      </c>
      <c r="D1554" t="str">
        <f>HYPERLINK("https://rhld.insurance.arkansas.gov/NPILookup?Npi=1184293383","1184293383")</f>
        <v>1184293383</v>
      </c>
      <c r="E1554" t="s">
        <v>18694</v>
      </c>
    </row>
    <row r="1555" spans="1:5" x14ac:dyDescent="0.25">
      <c r="A1555" t="s">
        <v>1</v>
      </c>
      <c r="B1555" t="s">
        <v>19</v>
      </c>
      <c r="C1555" t="s">
        <v>23490</v>
      </c>
      <c r="D1555" t="str">
        <f>HYPERLINK("https://rhld.insurance.arkansas.gov/NPILookup?Npi=1184324113","1184324113")</f>
        <v>1184324113</v>
      </c>
      <c r="E1555" t="s">
        <v>21493</v>
      </c>
    </row>
    <row r="1556" spans="1:5" x14ac:dyDescent="0.25">
      <c r="A1556" t="s">
        <v>1</v>
      </c>
      <c r="B1556" t="s">
        <v>19</v>
      </c>
      <c r="C1556" t="s">
        <v>23490</v>
      </c>
      <c r="D1556" t="str">
        <f>HYPERLINK("https://rhld.insurance.arkansas.gov/NPILookup?Npi=1184356248","1184356248")</f>
        <v>1184356248</v>
      </c>
      <c r="E1556" t="s">
        <v>20910</v>
      </c>
    </row>
    <row r="1557" spans="1:5" x14ac:dyDescent="0.25">
      <c r="A1557" t="s">
        <v>1</v>
      </c>
      <c r="B1557" t="s">
        <v>19</v>
      </c>
      <c r="C1557" t="s">
        <v>23490</v>
      </c>
      <c r="D1557" t="str">
        <f>HYPERLINK("https://rhld.insurance.arkansas.gov/NPILookup?Npi=1184373680","1184373680")</f>
        <v>1184373680</v>
      </c>
      <c r="E1557" t="s">
        <v>21494</v>
      </c>
    </row>
    <row r="1558" spans="1:5" x14ac:dyDescent="0.25">
      <c r="A1558" t="s">
        <v>1</v>
      </c>
      <c r="B1558" t="s">
        <v>19</v>
      </c>
      <c r="C1558" t="s">
        <v>23490</v>
      </c>
      <c r="D1558" t="str">
        <f>HYPERLINK("https://rhld.insurance.arkansas.gov/NPILookup?Npi=1184602450","1184602450")</f>
        <v>1184602450</v>
      </c>
      <c r="E1558" t="s">
        <v>17894</v>
      </c>
    </row>
    <row r="1559" spans="1:5" x14ac:dyDescent="0.25">
      <c r="A1559" t="s">
        <v>1</v>
      </c>
      <c r="B1559" t="s">
        <v>19</v>
      </c>
      <c r="C1559" t="s">
        <v>23490</v>
      </c>
      <c r="D1559" t="str">
        <f>HYPERLINK("https://rhld.insurance.arkansas.gov/NPILookup?Npi=1184603805","1184603805")</f>
        <v>1184603805</v>
      </c>
      <c r="E1559" t="s">
        <v>14849</v>
      </c>
    </row>
    <row r="1560" spans="1:5" x14ac:dyDescent="0.25">
      <c r="A1560" t="s">
        <v>1</v>
      </c>
      <c r="B1560" t="s">
        <v>19</v>
      </c>
      <c r="C1560" t="s">
        <v>23490</v>
      </c>
      <c r="D1560" t="str">
        <f>HYPERLINK("https://rhld.insurance.arkansas.gov/NPILookup?Npi=1184608754","1184608754")</f>
        <v>1184608754</v>
      </c>
      <c r="E1560" t="s">
        <v>10720</v>
      </c>
    </row>
    <row r="1561" spans="1:5" x14ac:dyDescent="0.25">
      <c r="A1561" t="s">
        <v>1</v>
      </c>
      <c r="B1561" t="s">
        <v>19</v>
      </c>
      <c r="C1561" t="s">
        <v>23490</v>
      </c>
      <c r="D1561" t="str">
        <f>HYPERLINK("https://rhld.insurance.arkansas.gov/NPILookup?Npi=1184610792","1184610792")</f>
        <v>1184610792</v>
      </c>
      <c r="E1561" t="s">
        <v>649</v>
      </c>
    </row>
    <row r="1562" spans="1:5" x14ac:dyDescent="0.25">
      <c r="A1562" t="s">
        <v>1</v>
      </c>
      <c r="B1562" t="s">
        <v>19</v>
      </c>
      <c r="C1562" t="s">
        <v>23490</v>
      </c>
      <c r="D1562" t="str">
        <f>HYPERLINK("https://rhld.insurance.arkansas.gov/NPILookup?Npi=1184621294","1184621294")</f>
        <v>1184621294</v>
      </c>
      <c r="E1562" t="s">
        <v>650</v>
      </c>
    </row>
    <row r="1563" spans="1:5" x14ac:dyDescent="0.25">
      <c r="A1563" t="s">
        <v>1</v>
      </c>
      <c r="B1563" t="s">
        <v>19</v>
      </c>
      <c r="C1563" t="s">
        <v>23490</v>
      </c>
      <c r="D1563" t="str">
        <f>HYPERLINK("https://rhld.insurance.arkansas.gov/NPILookup?Npi=1184622037","1184622037")</f>
        <v>1184622037</v>
      </c>
      <c r="E1563" t="s">
        <v>14850</v>
      </c>
    </row>
    <row r="1564" spans="1:5" x14ac:dyDescent="0.25">
      <c r="A1564" t="s">
        <v>1</v>
      </c>
      <c r="B1564" t="s">
        <v>19</v>
      </c>
      <c r="C1564" t="s">
        <v>23490</v>
      </c>
      <c r="D1564" t="str">
        <f>HYPERLINK("https://rhld.insurance.arkansas.gov/NPILookup?Npi=1184626020","1184626020")</f>
        <v>1184626020</v>
      </c>
      <c r="E1564" t="s">
        <v>10721</v>
      </c>
    </row>
    <row r="1565" spans="1:5" x14ac:dyDescent="0.25">
      <c r="A1565" t="s">
        <v>1</v>
      </c>
      <c r="B1565" t="s">
        <v>19</v>
      </c>
      <c r="C1565" t="s">
        <v>23490</v>
      </c>
      <c r="D1565" t="str">
        <f>HYPERLINK("https://rhld.insurance.arkansas.gov/NPILookup?Npi=1184630212","1184630212")</f>
        <v>1184630212</v>
      </c>
      <c r="E1565" t="s">
        <v>651</v>
      </c>
    </row>
    <row r="1566" spans="1:5" x14ac:dyDescent="0.25">
      <c r="A1566" t="s">
        <v>1</v>
      </c>
      <c r="B1566" t="s">
        <v>19</v>
      </c>
      <c r="C1566" t="s">
        <v>23490</v>
      </c>
      <c r="D1566" t="str">
        <f>HYPERLINK("https://rhld.insurance.arkansas.gov/NPILookup?Npi=1184631376","1184631376")</f>
        <v>1184631376</v>
      </c>
      <c r="E1566" t="s">
        <v>652</v>
      </c>
    </row>
    <row r="1567" spans="1:5" x14ac:dyDescent="0.25">
      <c r="A1567" t="s">
        <v>1</v>
      </c>
      <c r="B1567" t="s">
        <v>19</v>
      </c>
      <c r="C1567" t="s">
        <v>23490</v>
      </c>
      <c r="D1567" t="str">
        <f>HYPERLINK("https://rhld.insurance.arkansas.gov/NPILookup?Npi=1184631798","1184631798")</f>
        <v>1184631798</v>
      </c>
      <c r="E1567" t="s">
        <v>653</v>
      </c>
    </row>
    <row r="1568" spans="1:5" x14ac:dyDescent="0.25">
      <c r="A1568" t="s">
        <v>1</v>
      </c>
      <c r="B1568" t="s">
        <v>19</v>
      </c>
      <c r="C1568" t="s">
        <v>23490</v>
      </c>
      <c r="D1568" t="str">
        <f>HYPERLINK("https://rhld.insurance.arkansas.gov/NPILookup?Npi=1184632705","1184632705")</f>
        <v>1184632705</v>
      </c>
      <c r="E1568" t="s">
        <v>654</v>
      </c>
    </row>
    <row r="1569" spans="1:5" x14ac:dyDescent="0.25">
      <c r="A1569" t="s">
        <v>1</v>
      </c>
      <c r="B1569" t="s">
        <v>19</v>
      </c>
      <c r="C1569" t="s">
        <v>23490</v>
      </c>
      <c r="D1569" t="str">
        <f>HYPERLINK("https://rhld.insurance.arkansas.gov/NPILookup?Npi=1184641151","1184641151")</f>
        <v>1184641151</v>
      </c>
      <c r="E1569" t="s">
        <v>655</v>
      </c>
    </row>
    <row r="1570" spans="1:5" x14ac:dyDescent="0.25">
      <c r="A1570" t="s">
        <v>1</v>
      </c>
      <c r="B1570" t="s">
        <v>19</v>
      </c>
      <c r="C1570" t="s">
        <v>23490</v>
      </c>
      <c r="D1570" t="str">
        <f>HYPERLINK("https://rhld.insurance.arkansas.gov/NPILookup?Npi=1184647166","1184647166")</f>
        <v>1184647166</v>
      </c>
      <c r="E1570" t="s">
        <v>656</v>
      </c>
    </row>
    <row r="1571" spans="1:5" x14ac:dyDescent="0.25">
      <c r="A1571" t="s">
        <v>1</v>
      </c>
      <c r="B1571" t="s">
        <v>19</v>
      </c>
      <c r="C1571" t="s">
        <v>23490</v>
      </c>
      <c r="D1571" t="str">
        <f>HYPERLINK("https://rhld.insurance.arkansas.gov/NPILookup?Npi=1184650319","1184650319")</f>
        <v>1184650319</v>
      </c>
      <c r="E1571" t="s">
        <v>14851</v>
      </c>
    </row>
    <row r="1572" spans="1:5" x14ac:dyDescent="0.25">
      <c r="A1572" t="s">
        <v>1</v>
      </c>
      <c r="B1572" t="s">
        <v>19</v>
      </c>
      <c r="C1572" t="s">
        <v>23490</v>
      </c>
      <c r="D1572" t="str">
        <f>HYPERLINK("https://rhld.insurance.arkansas.gov/NPILookup?Npi=1184650616","1184650616")</f>
        <v>1184650616</v>
      </c>
      <c r="E1572" t="s">
        <v>657</v>
      </c>
    </row>
    <row r="1573" spans="1:5" x14ac:dyDescent="0.25">
      <c r="A1573" t="s">
        <v>1</v>
      </c>
      <c r="B1573" t="s">
        <v>19</v>
      </c>
      <c r="C1573" t="s">
        <v>23490</v>
      </c>
      <c r="D1573" t="str">
        <f>HYPERLINK("https://rhld.insurance.arkansas.gov/NPILookup?Npi=1184658635","1184658635")</f>
        <v>1184658635</v>
      </c>
      <c r="E1573" t="s">
        <v>658</v>
      </c>
    </row>
    <row r="1574" spans="1:5" x14ac:dyDescent="0.25">
      <c r="A1574" t="s">
        <v>1</v>
      </c>
      <c r="B1574" t="s">
        <v>19</v>
      </c>
      <c r="C1574" t="s">
        <v>23490</v>
      </c>
      <c r="D1574" t="str">
        <f>HYPERLINK("https://rhld.insurance.arkansas.gov/NPILookup?Npi=1184660698","1184660698")</f>
        <v>1184660698</v>
      </c>
      <c r="E1574" t="s">
        <v>14852</v>
      </c>
    </row>
    <row r="1575" spans="1:5" x14ac:dyDescent="0.25">
      <c r="A1575" t="s">
        <v>1</v>
      </c>
      <c r="B1575" t="s">
        <v>19</v>
      </c>
      <c r="C1575" t="s">
        <v>23490</v>
      </c>
      <c r="D1575" t="str">
        <f>HYPERLINK("https://rhld.insurance.arkansas.gov/NPILookup?Npi=1184661431","1184661431")</f>
        <v>1184661431</v>
      </c>
      <c r="E1575" t="s">
        <v>659</v>
      </c>
    </row>
    <row r="1576" spans="1:5" x14ac:dyDescent="0.25">
      <c r="A1576" t="s">
        <v>1</v>
      </c>
      <c r="B1576" t="s">
        <v>19</v>
      </c>
      <c r="C1576" t="s">
        <v>23490</v>
      </c>
      <c r="D1576" t="str">
        <f>HYPERLINK("https://rhld.insurance.arkansas.gov/NPILookup?Npi=1184675332","1184675332")</f>
        <v>1184675332</v>
      </c>
      <c r="E1576" t="s">
        <v>660</v>
      </c>
    </row>
    <row r="1577" spans="1:5" x14ac:dyDescent="0.25">
      <c r="A1577" t="s">
        <v>1</v>
      </c>
      <c r="B1577" t="s">
        <v>19</v>
      </c>
      <c r="C1577" t="s">
        <v>23490</v>
      </c>
      <c r="D1577" t="str">
        <f>HYPERLINK("https://rhld.insurance.arkansas.gov/NPILookup?Npi=1184676041","1184676041")</f>
        <v>1184676041</v>
      </c>
      <c r="E1577" t="s">
        <v>661</v>
      </c>
    </row>
    <row r="1578" spans="1:5" x14ac:dyDescent="0.25">
      <c r="A1578" t="s">
        <v>1</v>
      </c>
      <c r="B1578" t="s">
        <v>19</v>
      </c>
      <c r="C1578" t="s">
        <v>23490</v>
      </c>
      <c r="D1578" t="str">
        <f>HYPERLINK("https://rhld.insurance.arkansas.gov/NPILookup?Npi=1184680530","1184680530")</f>
        <v>1184680530</v>
      </c>
      <c r="E1578" t="s">
        <v>662</v>
      </c>
    </row>
    <row r="1579" spans="1:5" x14ac:dyDescent="0.25">
      <c r="A1579" t="s">
        <v>1</v>
      </c>
      <c r="B1579" t="s">
        <v>19</v>
      </c>
      <c r="C1579" t="s">
        <v>23490</v>
      </c>
      <c r="D1579" t="str">
        <f>HYPERLINK("https://rhld.insurance.arkansas.gov/NPILookup?Npi=1184682866","1184682866")</f>
        <v>1184682866</v>
      </c>
      <c r="E1579" t="s">
        <v>663</v>
      </c>
    </row>
    <row r="1580" spans="1:5" x14ac:dyDescent="0.25">
      <c r="A1580" t="s">
        <v>1</v>
      </c>
      <c r="B1580" t="s">
        <v>19</v>
      </c>
      <c r="C1580" t="s">
        <v>23490</v>
      </c>
      <c r="D1580" t="str">
        <f>HYPERLINK("https://rhld.insurance.arkansas.gov/NPILookup?Npi=1184684912","1184684912")</f>
        <v>1184684912</v>
      </c>
      <c r="E1580" t="s">
        <v>14853</v>
      </c>
    </row>
    <row r="1581" spans="1:5" x14ac:dyDescent="0.25">
      <c r="A1581" t="s">
        <v>1</v>
      </c>
      <c r="B1581" t="s">
        <v>19</v>
      </c>
      <c r="C1581" t="s">
        <v>23490</v>
      </c>
      <c r="D1581" t="str">
        <f>HYPERLINK("https://rhld.insurance.arkansas.gov/NPILookup?Npi=1184687212","1184687212")</f>
        <v>1184687212</v>
      </c>
      <c r="E1581" t="s">
        <v>664</v>
      </c>
    </row>
    <row r="1582" spans="1:5" x14ac:dyDescent="0.25">
      <c r="A1582" t="s">
        <v>1</v>
      </c>
      <c r="B1582" t="s">
        <v>19</v>
      </c>
      <c r="C1582" t="s">
        <v>23490</v>
      </c>
      <c r="D1582" t="str">
        <f>HYPERLINK("https://rhld.insurance.arkansas.gov/NPILookup?Npi=1184690455","1184690455")</f>
        <v>1184690455</v>
      </c>
      <c r="E1582" t="s">
        <v>666</v>
      </c>
    </row>
    <row r="1583" spans="1:5" x14ac:dyDescent="0.25">
      <c r="A1583" t="s">
        <v>1</v>
      </c>
      <c r="B1583" t="s">
        <v>19</v>
      </c>
      <c r="C1583" t="s">
        <v>23490</v>
      </c>
      <c r="D1583" t="str">
        <f>HYPERLINK("https://rhld.insurance.arkansas.gov/NPILookup?Npi=1184697203","1184697203")</f>
        <v>1184697203</v>
      </c>
      <c r="E1583" t="s">
        <v>667</v>
      </c>
    </row>
    <row r="1584" spans="1:5" x14ac:dyDescent="0.25">
      <c r="A1584" t="s">
        <v>1</v>
      </c>
      <c r="B1584" t="s">
        <v>19</v>
      </c>
      <c r="C1584" t="s">
        <v>23490</v>
      </c>
      <c r="D1584" t="str">
        <f>HYPERLINK("https://rhld.insurance.arkansas.gov/NPILookup?Npi=1184715724","1184715724")</f>
        <v>1184715724</v>
      </c>
      <c r="E1584" t="s">
        <v>669</v>
      </c>
    </row>
    <row r="1585" spans="1:5" x14ac:dyDescent="0.25">
      <c r="A1585" t="s">
        <v>1</v>
      </c>
      <c r="B1585" t="s">
        <v>19</v>
      </c>
      <c r="C1585" t="s">
        <v>23490</v>
      </c>
      <c r="D1585" t="str">
        <f>HYPERLINK("https://rhld.insurance.arkansas.gov/NPILookup?Npi=1184727745","1184727745")</f>
        <v>1184727745</v>
      </c>
      <c r="E1585" t="s">
        <v>670</v>
      </c>
    </row>
    <row r="1586" spans="1:5" x14ac:dyDescent="0.25">
      <c r="A1586" t="s">
        <v>1</v>
      </c>
      <c r="B1586" t="s">
        <v>19</v>
      </c>
      <c r="C1586" t="s">
        <v>23490</v>
      </c>
      <c r="D1586" t="str">
        <f>HYPERLINK("https://rhld.insurance.arkansas.gov/NPILookup?Npi=1184735151","1184735151")</f>
        <v>1184735151</v>
      </c>
      <c r="E1586" t="s">
        <v>671</v>
      </c>
    </row>
    <row r="1587" spans="1:5" x14ac:dyDescent="0.25">
      <c r="A1587" t="s">
        <v>1</v>
      </c>
      <c r="B1587" t="s">
        <v>19</v>
      </c>
      <c r="C1587" t="s">
        <v>23490</v>
      </c>
      <c r="D1587" t="str">
        <f>HYPERLINK("https://rhld.insurance.arkansas.gov/NPILookup?Npi=1184758617","1184758617")</f>
        <v>1184758617</v>
      </c>
      <c r="E1587" t="s">
        <v>672</v>
      </c>
    </row>
    <row r="1588" spans="1:5" x14ac:dyDescent="0.25">
      <c r="A1588" t="s">
        <v>1</v>
      </c>
      <c r="B1588" t="s">
        <v>19</v>
      </c>
      <c r="C1588" t="s">
        <v>23490</v>
      </c>
      <c r="D1588" t="str">
        <f>HYPERLINK("https://rhld.insurance.arkansas.gov/NPILookup?Npi=1184811879","1184811879")</f>
        <v>1184811879</v>
      </c>
      <c r="E1588" t="s">
        <v>16887</v>
      </c>
    </row>
    <row r="1589" spans="1:5" x14ac:dyDescent="0.25">
      <c r="A1589" t="s">
        <v>1</v>
      </c>
      <c r="B1589" t="s">
        <v>19</v>
      </c>
      <c r="C1589" t="s">
        <v>23490</v>
      </c>
      <c r="D1589" t="str">
        <f>HYPERLINK("https://rhld.insurance.arkansas.gov/NPILookup?Npi=1184825721","1184825721")</f>
        <v>1184825721</v>
      </c>
      <c r="E1589" t="s">
        <v>673</v>
      </c>
    </row>
    <row r="1590" spans="1:5" x14ac:dyDescent="0.25">
      <c r="A1590" t="s">
        <v>1</v>
      </c>
      <c r="B1590" t="s">
        <v>19</v>
      </c>
      <c r="C1590" t="s">
        <v>23490</v>
      </c>
      <c r="D1590" t="str">
        <f>HYPERLINK("https://rhld.insurance.arkansas.gov/NPILookup?Npi=1184848343","1184848343")</f>
        <v>1184848343</v>
      </c>
      <c r="E1590" t="s">
        <v>674</v>
      </c>
    </row>
    <row r="1591" spans="1:5" x14ac:dyDescent="0.25">
      <c r="A1591" t="s">
        <v>1</v>
      </c>
      <c r="B1591" t="s">
        <v>19</v>
      </c>
      <c r="C1591" t="s">
        <v>23490</v>
      </c>
      <c r="D1591" t="str">
        <f>HYPERLINK("https://rhld.insurance.arkansas.gov/NPILookup?Npi=1184857690","1184857690")</f>
        <v>1184857690</v>
      </c>
      <c r="E1591" t="s">
        <v>675</v>
      </c>
    </row>
    <row r="1592" spans="1:5" x14ac:dyDescent="0.25">
      <c r="A1592" t="s">
        <v>1</v>
      </c>
      <c r="B1592" t="s">
        <v>19</v>
      </c>
      <c r="C1592" t="s">
        <v>23490</v>
      </c>
      <c r="D1592" t="str">
        <f>HYPERLINK("https://rhld.insurance.arkansas.gov/NPILookup?Npi=1184859993","1184859993")</f>
        <v>1184859993</v>
      </c>
      <c r="E1592" t="s">
        <v>676</v>
      </c>
    </row>
    <row r="1593" spans="1:5" x14ac:dyDescent="0.25">
      <c r="A1593" t="s">
        <v>1</v>
      </c>
      <c r="B1593" t="s">
        <v>19</v>
      </c>
      <c r="C1593" t="s">
        <v>23490</v>
      </c>
      <c r="D1593" t="str">
        <f>HYPERLINK("https://rhld.insurance.arkansas.gov/NPILookup?Npi=1184863938","1184863938")</f>
        <v>1184863938</v>
      </c>
      <c r="E1593" t="s">
        <v>14854</v>
      </c>
    </row>
    <row r="1594" spans="1:5" x14ac:dyDescent="0.25">
      <c r="A1594" t="s">
        <v>1</v>
      </c>
      <c r="B1594" t="s">
        <v>19</v>
      </c>
      <c r="C1594" t="s">
        <v>23490</v>
      </c>
      <c r="D1594" t="str">
        <f>HYPERLINK("https://rhld.insurance.arkansas.gov/NPILookup?Npi=1184865164","1184865164")</f>
        <v>1184865164</v>
      </c>
      <c r="E1594" t="s">
        <v>677</v>
      </c>
    </row>
    <row r="1595" spans="1:5" x14ac:dyDescent="0.25">
      <c r="A1595" t="s">
        <v>1</v>
      </c>
      <c r="B1595" t="s">
        <v>19</v>
      </c>
      <c r="C1595" t="s">
        <v>23490</v>
      </c>
      <c r="D1595" t="str">
        <f>HYPERLINK("https://rhld.insurance.arkansas.gov/NPILookup?Npi=1184882383","1184882383")</f>
        <v>1184882383</v>
      </c>
      <c r="E1595" t="s">
        <v>19496</v>
      </c>
    </row>
    <row r="1596" spans="1:5" x14ac:dyDescent="0.25">
      <c r="A1596" t="s">
        <v>1</v>
      </c>
      <c r="B1596" t="s">
        <v>19</v>
      </c>
      <c r="C1596" t="s">
        <v>23490</v>
      </c>
      <c r="D1596" t="str">
        <f>HYPERLINK("https://rhld.insurance.arkansas.gov/NPILookup?Npi=1184886137","1184886137")</f>
        <v>1184886137</v>
      </c>
      <c r="E1596" t="s">
        <v>678</v>
      </c>
    </row>
    <row r="1597" spans="1:5" x14ac:dyDescent="0.25">
      <c r="A1597" t="s">
        <v>1</v>
      </c>
      <c r="B1597" t="s">
        <v>19</v>
      </c>
      <c r="C1597" t="s">
        <v>23490</v>
      </c>
      <c r="D1597" t="str">
        <f>HYPERLINK("https://rhld.insurance.arkansas.gov/NPILookup?Npi=1184903023","1184903023")</f>
        <v>1184903023</v>
      </c>
      <c r="E1597" t="s">
        <v>13410</v>
      </c>
    </row>
    <row r="1598" spans="1:5" x14ac:dyDescent="0.25">
      <c r="A1598" t="s">
        <v>1</v>
      </c>
      <c r="B1598" t="s">
        <v>19</v>
      </c>
      <c r="C1598" t="s">
        <v>23490</v>
      </c>
      <c r="D1598" t="str">
        <f>HYPERLINK("https://rhld.insurance.arkansas.gov/NPILookup?Npi=1184929622","1184929622")</f>
        <v>1184929622</v>
      </c>
      <c r="E1598" t="s">
        <v>679</v>
      </c>
    </row>
    <row r="1599" spans="1:5" x14ac:dyDescent="0.25">
      <c r="A1599" t="s">
        <v>1</v>
      </c>
      <c r="B1599" t="s">
        <v>19</v>
      </c>
      <c r="C1599" t="s">
        <v>23490</v>
      </c>
      <c r="D1599" t="str">
        <f>HYPERLINK("https://rhld.insurance.arkansas.gov/NPILookup?Npi=1184933145","1184933145")</f>
        <v>1184933145</v>
      </c>
      <c r="E1599" t="s">
        <v>680</v>
      </c>
    </row>
    <row r="1600" spans="1:5" x14ac:dyDescent="0.25">
      <c r="A1600" t="s">
        <v>1</v>
      </c>
      <c r="B1600" t="s">
        <v>19</v>
      </c>
      <c r="C1600" t="s">
        <v>23490</v>
      </c>
      <c r="D1600" t="str">
        <f>HYPERLINK("https://rhld.insurance.arkansas.gov/NPILookup?Npi=1184935827","1184935827")</f>
        <v>1184935827</v>
      </c>
      <c r="E1600" t="s">
        <v>681</v>
      </c>
    </row>
    <row r="1601" spans="1:5" x14ac:dyDescent="0.25">
      <c r="A1601" t="s">
        <v>1</v>
      </c>
      <c r="B1601" t="s">
        <v>19</v>
      </c>
      <c r="C1601" t="s">
        <v>23490</v>
      </c>
      <c r="D1601" t="str">
        <f>HYPERLINK("https://rhld.insurance.arkansas.gov/NPILookup?Npi=1184954034","1184954034")</f>
        <v>1184954034</v>
      </c>
      <c r="E1601" t="s">
        <v>21495</v>
      </c>
    </row>
    <row r="1602" spans="1:5" x14ac:dyDescent="0.25">
      <c r="A1602" t="s">
        <v>1</v>
      </c>
      <c r="B1602" t="s">
        <v>19</v>
      </c>
      <c r="C1602" t="s">
        <v>23490</v>
      </c>
      <c r="D1602" t="str">
        <f>HYPERLINK("https://rhld.insurance.arkansas.gov/NPILookup?Npi=1184954851","1184954851")</f>
        <v>1184954851</v>
      </c>
      <c r="E1602" t="s">
        <v>682</v>
      </c>
    </row>
    <row r="1603" spans="1:5" x14ac:dyDescent="0.25">
      <c r="A1603" t="s">
        <v>1</v>
      </c>
      <c r="B1603" t="s">
        <v>19</v>
      </c>
      <c r="C1603" t="s">
        <v>23490</v>
      </c>
      <c r="D1603" t="str">
        <f>HYPERLINK("https://rhld.insurance.arkansas.gov/NPILookup?Npi=1184965113","1184965113")</f>
        <v>1184965113</v>
      </c>
      <c r="E1603" t="s">
        <v>19497</v>
      </c>
    </row>
    <row r="1604" spans="1:5" x14ac:dyDescent="0.25">
      <c r="A1604" t="s">
        <v>1</v>
      </c>
      <c r="B1604" t="s">
        <v>19</v>
      </c>
      <c r="C1604" t="s">
        <v>23490</v>
      </c>
      <c r="D1604" t="str">
        <f>HYPERLINK("https://rhld.insurance.arkansas.gov/NPILookup?Npi=1184967945","1184967945")</f>
        <v>1184967945</v>
      </c>
      <c r="E1604" t="s">
        <v>12791</v>
      </c>
    </row>
    <row r="1605" spans="1:5" x14ac:dyDescent="0.25">
      <c r="A1605" t="s">
        <v>1</v>
      </c>
      <c r="B1605" t="s">
        <v>19</v>
      </c>
      <c r="C1605" t="s">
        <v>23490</v>
      </c>
      <c r="D1605" t="str">
        <f>HYPERLINK("https://rhld.insurance.arkansas.gov/NPILookup?Npi=1184978421","1184978421")</f>
        <v>1184978421</v>
      </c>
      <c r="E1605" t="s">
        <v>683</v>
      </c>
    </row>
    <row r="1606" spans="1:5" x14ac:dyDescent="0.25">
      <c r="A1606" t="s">
        <v>1</v>
      </c>
      <c r="B1606" t="s">
        <v>19</v>
      </c>
      <c r="C1606" t="s">
        <v>23490</v>
      </c>
      <c r="D1606" t="str">
        <f>HYPERLINK("https://rhld.insurance.arkansas.gov/NPILookup?Npi=1194019794","1194019794")</f>
        <v>1194019794</v>
      </c>
      <c r="E1606" t="s">
        <v>684</v>
      </c>
    </row>
    <row r="1607" spans="1:5" x14ac:dyDescent="0.25">
      <c r="A1607" t="s">
        <v>1</v>
      </c>
      <c r="B1607" t="s">
        <v>19</v>
      </c>
      <c r="C1607" t="s">
        <v>23490</v>
      </c>
      <c r="D1607" t="str">
        <f>HYPERLINK("https://rhld.insurance.arkansas.gov/NPILookup?Npi=1194022533","1194022533")</f>
        <v>1194022533</v>
      </c>
      <c r="E1607" t="s">
        <v>685</v>
      </c>
    </row>
    <row r="1608" spans="1:5" x14ac:dyDescent="0.25">
      <c r="A1608" t="s">
        <v>1</v>
      </c>
      <c r="B1608" t="s">
        <v>19</v>
      </c>
      <c r="C1608" t="s">
        <v>23490</v>
      </c>
      <c r="D1608" t="str">
        <f>HYPERLINK("https://rhld.insurance.arkansas.gov/NPILookup?Npi=1194024158","1194024158")</f>
        <v>1194024158</v>
      </c>
      <c r="E1608" t="s">
        <v>19498</v>
      </c>
    </row>
    <row r="1609" spans="1:5" x14ac:dyDescent="0.25">
      <c r="A1609" t="s">
        <v>1</v>
      </c>
      <c r="B1609" t="s">
        <v>19</v>
      </c>
      <c r="C1609" t="s">
        <v>23490</v>
      </c>
      <c r="D1609" t="str">
        <f>HYPERLINK("https://rhld.insurance.arkansas.gov/NPILookup?Npi=1194032706","1194032706")</f>
        <v>1194032706</v>
      </c>
      <c r="E1609" t="s">
        <v>8532</v>
      </c>
    </row>
    <row r="1610" spans="1:5" x14ac:dyDescent="0.25">
      <c r="A1610" t="s">
        <v>1</v>
      </c>
      <c r="B1610" t="s">
        <v>19</v>
      </c>
      <c r="C1610" t="s">
        <v>23490</v>
      </c>
      <c r="D1610" t="str">
        <f>HYPERLINK("https://rhld.insurance.arkansas.gov/NPILookup?Npi=1194037739","1194037739")</f>
        <v>1194037739</v>
      </c>
      <c r="E1610" t="s">
        <v>10723</v>
      </c>
    </row>
    <row r="1611" spans="1:5" x14ac:dyDescent="0.25">
      <c r="A1611" t="s">
        <v>1</v>
      </c>
      <c r="B1611" t="s">
        <v>19</v>
      </c>
      <c r="C1611" t="s">
        <v>23490</v>
      </c>
      <c r="D1611" t="str">
        <f>HYPERLINK("https://rhld.insurance.arkansas.gov/NPILookup?Npi=1194040865","1194040865")</f>
        <v>1194040865</v>
      </c>
      <c r="E1611" t="s">
        <v>686</v>
      </c>
    </row>
    <row r="1612" spans="1:5" x14ac:dyDescent="0.25">
      <c r="A1612" t="s">
        <v>1</v>
      </c>
      <c r="B1612" t="s">
        <v>19</v>
      </c>
      <c r="C1612" t="s">
        <v>23490</v>
      </c>
      <c r="D1612" t="str">
        <f>HYPERLINK("https://rhld.insurance.arkansas.gov/NPILookup?Npi=1194086926","1194086926")</f>
        <v>1194086926</v>
      </c>
      <c r="E1612" t="s">
        <v>8533</v>
      </c>
    </row>
    <row r="1613" spans="1:5" x14ac:dyDescent="0.25">
      <c r="A1613" t="s">
        <v>1</v>
      </c>
      <c r="B1613" t="s">
        <v>19</v>
      </c>
      <c r="C1613" t="s">
        <v>23490</v>
      </c>
      <c r="D1613" t="str">
        <f>HYPERLINK("https://rhld.insurance.arkansas.gov/NPILookup?Npi=1194088054","1194088054")</f>
        <v>1194088054</v>
      </c>
      <c r="E1613" t="s">
        <v>687</v>
      </c>
    </row>
    <row r="1614" spans="1:5" x14ac:dyDescent="0.25">
      <c r="A1614" t="s">
        <v>1</v>
      </c>
      <c r="B1614" t="s">
        <v>19</v>
      </c>
      <c r="C1614" t="s">
        <v>23490</v>
      </c>
      <c r="D1614" t="str">
        <f>HYPERLINK("https://rhld.insurance.arkansas.gov/NPILookup?Npi=1194089763","1194089763")</f>
        <v>1194089763</v>
      </c>
      <c r="E1614" t="s">
        <v>688</v>
      </c>
    </row>
    <row r="1615" spans="1:5" x14ac:dyDescent="0.25">
      <c r="A1615" t="s">
        <v>1</v>
      </c>
      <c r="B1615" t="s">
        <v>19</v>
      </c>
      <c r="C1615" t="s">
        <v>23490</v>
      </c>
      <c r="D1615" t="str">
        <f>HYPERLINK("https://rhld.insurance.arkansas.gov/NPILookup?Npi=1194090787","1194090787")</f>
        <v>1194090787</v>
      </c>
      <c r="E1615" t="s">
        <v>19221</v>
      </c>
    </row>
    <row r="1616" spans="1:5" x14ac:dyDescent="0.25">
      <c r="A1616" t="s">
        <v>1</v>
      </c>
      <c r="B1616" t="s">
        <v>19</v>
      </c>
      <c r="C1616" t="s">
        <v>23490</v>
      </c>
      <c r="D1616" t="str">
        <f>HYPERLINK("https://rhld.insurance.arkansas.gov/NPILookup?Npi=1194095448","1194095448")</f>
        <v>1194095448</v>
      </c>
      <c r="E1616" t="s">
        <v>19499</v>
      </c>
    </row>
    <row r="1617" spans="1:5" x14ac:dyDescent="0.25">
      <c r="A1617" t="s">
        <v>1</v>
      </c>
      <c r="B1617" t="s">
        <v>19</v>
      </c>
      <c r="C1617" t="s">
        <v>23490</v>
      </c>
      <c r="D1617" t="str">
        <f>HYPERLINK("https://rhld.insurance.arkansas.gov/NPILookup?Npi=1194108597","1194108597")</f>
        <v>1194108597</v>
      </c>
      <c r="E1617" t="s">
        <v>19500</v>
      </c>
    </row>
    <row r="1618" spans="1:5" x14ac:dyDescent="0.25">
      <c r="A1618" t="s">
        <v>1</v>
      </c>
      <c r="B1618" t="s">
        <v>19</v>
      </c>
      <c r="C1618" t="s">
        <v>23490</v>
      </c>
      <c r="D1618" t="str">
        <f>HYPERLINK("https://rhld.insurance.arkansas.gov/NPILookup?Npi=1194115691","1194115691")</f>
        <v>1194115691</v>
      </c>
      <c r="E1618" t="s">
        <v>689</v>
      </c>
    </row>
    <row r="1619" spans="1:5" x14ac:dyDescent="0.25">
      <c r="A1619" t="s">
        <v>1</v>
      </c>
      <c r="B1619" t="s">
        <v>19</v>
      </c>
      <c r="C1619" t="s">
        <v>23490</v>
      </c>
      <c r="D1619" t="str">
        <f>HYPERLINK("https://rhld.insurance.arkansas.gov/NPILookup?Npi=1194118588","1194118588")</f>
        <v>1194118588</v>
      </c>
      <c r="E1619" t="s">
        <v>14855</v>
      </c>
    </row>
    <row r="1620" spans="1:5" x14ac:dyDescent="0.25">
      <c r="A1620" t="s">
        <v>1</v>
      </c>
      <c r="B1620" t="s">
        <v>19</v>
      </c>
      <c r="C1620" t="s">
        <v>23490</v>
      </c>
      <c r="D1620" t="str">
        <f>HYPERLINK("https://rhld.insurance.arkansas.gov/NPILookup?Npi=1194121624","1194121624")</f>
        <v>1194121624</v>
      </c>
      <c r="E1620" t="s">
        <v>19501</v>
      </c>
    </row>
    <row r="1621" spans="1:5" x14ac:dyDescent="0.25">
      <c r="A1621" t="s">
        <v>1</v>
      </c>
      <c r="B1621" t="s">
        <v>19</v>
      </c>
      <c r="C1621" t="s">
        <v>23490</v>
      </c>
      <c r="D1621" t="str">
        <f>HYPERLINK("https://rhld.insurance.arkansas.gov/NPILookup?Npi=1194141267","1194141267")</f>
        <v>1194141267</v>
      </c>
      <c r="E1621" t="s">
        <v>10724</v>
      </c>
    </row>
    <row r="1622" spans="1:5" x14ac:dyDescent="0.25">
      <c r="A1622" t="s">
        <v>1</v>
      </c>
      <c r="B1622" t="s">
        <v>19</v>
      </c>
      <c r="C1622" t="s">
        <v>23490</v>
      </c>
      <c r="D1622" t="str">
        <f>HYPERLINK("https://rhld.insurance.arkansas.gov/NPILookup?Npi=1194141317","1194141317")</f>
        <v>1194141317</v>
      </c>
      <c r="E1622" t="s">
        <v>690</v>
      </c>
    </row>
    <row r="1623" spans="1:5" x14ac:dyDescent="0.25">
      <c r="A1623" t="s">
        <v>1</v>
      </c>
      <c r="B1623" t="s">
        <v>19</v>
      </c>
      <c r="C1623" t="s">
        <v>23490</v>
      </c>
      <c r="D1623" t="str">
        <f>HYPERLINK("https://rhld.insurance.arkansas.gov/NPILookup?Npi=1194144964","1194144964")</f>
        <v>1194144964</v>
      </c>
      <c r="E1623" t="s">
        <v>691</v>
      </c>
    </row>
    <row r="1624" spans="1:5" x14ac:dyDescent="0.25">
      <c r="A1624" t="s">
        <v>1</v>
      </c>
      <c r="B1624" t="s">
        <v>19</v>
      </c>
      <c r="C1624" t="s">
        <v>23490</v>
      </c>
      <c r="D1624" t="str">
        <f>HYPERLINK("https://rhld.insurance.arkansas.gov/NPILookup?Npi=1194145607","1194145607")</f>
        <v>1194145607</v>
      </c>
      <c r="E1624" t="s">
        <v>14856</v>
      </c>
    </row>
    <row r="1625" spans="1:5" x14ac:dyDescent="0.25">
      <c r="A1625" t="s">
        <v>1</v>
      </c>
      <c r="B1625" t="s">
        <v>19</v>
      </c>
      <c r="C1625" t="s">
        <v>23490</v>
      </c>
      <c r="D1625" t="str">
        <f>HYPERLINK("https://rhld.insurance.arkansas.gov/NPILookup?Npi=1194148197","1194148197")</f>
        <v>1194148197</v>
      </c>
      <c r="E1625" t="s">
        <v>692</v>
      </c>
    </row>
    <row r="1626" spans="1:5" x14ac:dyDescent="0.25">
      <c r="A1626" t="s">
        <v>1</v>
      </c>
      <c r="B1626" t="s">
        <v>19</v>
      </c>
      <c r="C1626" t="s">
        <v>23490</v>
      </c>
      <c r="D1626" t="str">
        <f>HYPERLINK("https://rhld.insurance.arkansas.gov/NPILookup?Npi=1194162180","1194162180")</f>
        <v>1194162180</v>
      </c>
      <c r="E1626" t="s">
        <v>8534</v>
      </c>
    </row>
    <row r="1627" spans="1:5" x14ac:dyDescent="0.25">
      <c r="A1627" t="s">
        <v>1</v>
      </c>
      <c r="B1627" t="s">
        <v>19</v>
      </c>
      <c r="C1627" t="s">
        <v>23490</v>
      </c>
      <c r="D1627" t="str">
        <f>HYPERLINK("https://rhld.insurance.arkansas.gov/NPILookup?Npi=1194166199","1194166199")</f>
        <v>1194166199</v>
      </c>
      <c r="E1627" t="s">
        <v>18765</v>
      </c>
    </row>
    <row r="1628" spans="1:5" x14ac:dyDescent="0.25">
      <c r="A1628" t="s">
        <v>1</v>
      </c>
      <c r="B1628" t="s">
        <v>19</v>
      </c>
      <c r="C1628" t="s">
        <v>23490</v>
      </c>
      <c r="D1628" t="str">
        <f>HYPERLINK("https://rhld.insurance.arkansas.gov/NPILookup?Npi=1194166850","1194166850")</f>
        <v>1194166850</v>
      </c>
      <c r="E1628" t="s">
        <v>17398</v>
      </c>
    </row>
    <row r="1629" spans="1:5" x14ac:dyDescent="0.25">
      <c r="A1629" t="s">
        <v>1</v>
      </c>
      <c r="B1629" t="s">
        <v>19</v>
      </c>
      <c r="C1629" t="s">
        <v>23490</v>
      </c>
      <c r="D1629" t="str">
        <f>HYPERLINK("https://rhld.insurance.arkansas.gov/NPILookup?Npi=1194174086","1194174086")</f>
        <v>1194174086</v>
      </c>
      <c r="E1629" t="s">
        <v>14857</v>
      </c>
    </row>
    <row r="1630" spans="1:5" x14ac:dyDescent="0.25">
      <c r="A1630" t="s">
        <v>1</v>
      </c>
      <c r="B1630" t="s">
        <v>19</v>
      </c>
      <c r="C1630" t="s">
        <v>23490</v>
      </c>
      <c r="D1630" t="str">
        <f>HYPERLINK("https://rhld.insurance.arkansas.gov/NPILookup?Npi=1194178475","1194178475")</f>
        <v>1194178475</v>
      </c>
      <c r="E1630" t="s">
        <v>14858</v>
      </c>
    </row>
    <row r="1631" spans="1:5" x14ac:dyDescent="0.25">
      <c r="A1631" t="s">
        <v>1</v>
      </c>
      <c r="B1631" t="s">
        <v>19</v>
      </c>
      <c r="C1631" t="s">
        <v>23490</v>
      </c>
      <c r="D1631" t="str">
        <f>HYPERLINK("https://rhld.insurance.arkansas.gov/NPILookup?Npi=1194179101","1194179101")</f>
        <v>1194179101</v>
      </c>
      <c r="E1631" t="s">
        <v>14859</v>
      </c>
    </row>
    <row r="1632" spans="1:5" x14ac:dyDescent="0.25">
      <c r="A1632" t="s">
        <v>1</v>
      </c>
      <c r="B1632" t="s">
        <v>19</v>
      </c>
      <c r="C1632" t="s">
        <v>23490</v>
      </c>
      <c r="D1632" t="str">
        <f>HYPERLINK("https://rhld.insurance.arkansas.gov/NPILookup?Npi=1194182832","1194182832")</f>
        <v>1194182832</v>
      </c>
      <c r="E1632" t="s">
        <v>12792</v>
      </c>
    </row>
    <row r="1633" spans="1:5" x14ac:dyDescent="0.25">
      <c r="A1633" t="s">
        <v>1</v>
      </c>
      <c r="B1633" t="s">
        <v>19</v>
      </c>
      <c r="C1633" t="s">
        <v>23490</v>
      </c>
      <c r="D1633" t="str">
        <f>HYPERLINK("https://rhld.insurance.arkansas.gov/NPILookup?Npi=1194183137","1194183137")</f>
        <v>1194183137</v>
      </c>
      <c r="E1633" t="s">
        <v>14860</v>
      </c>
    </row>
    <row r="1634" spans="1:5" x14ac:dyDescent="0.25">
      <c r="A1634" t="s">
        <v>1</v>
      </c>
      <c r="B1634" t="s">
        <v>19</v>
      </c>
      <c r="C1634" t="s">
        <v>23490</v>
      </c>
      <c r="D1634" t="str">
        <f>HYPERLINK("https://rhld.insurance.arkansas.gov/NPILookup?Npi=1194210070","1194210070")</f>
        <v>1194210070</v>
      </c>
      <c r="E1634" t="s">
        <v>13411</v>
      </c>
    </row>
    <row r="1635" spans="1:5" x14ac:dyDescent="0.25">
      <c r="A1635" t="s">
        <v>1</v>
      </c>
      <c r="B1635" t="s">
        <v>19</v>
      </c>
      <c r="C1635" t="s">
        <v>23490</v>
      </c>
      <c r="D1635" t="str">
        <f>HYPERLINK("https://rhld.insurance.arkansas.gov/NPILookup?Npi=1194215814","1194215814")</f>
        <v>1194215814</v>
      </c>
      <c r="E1635" t="s">
        <v>4429</v>
      </c>
    </row>
    <row r="1636" spans="1:5" x14ac:dyDescent="0.25">
      <c r="A1636" t="s">
        <v>1</v>
      </c>
      <c r="B1636" t="s">
        <v>19</v>
      </c>
      <c r="C1636" t="s">
        <v>23490</v>
      </c>
      <c r="D1636" t="str">
        <f>HYPERLINK("https://rhld.insurance.arkansas.gov/NPILookup?Npi=1194220186","1194220186")</f>
        <v>1194220186</v>
      </c>
      <c r="E1636" t="s">
        <v>17895</v>
      </c>
    </row>
    <row r="1637" spans="1:5" x14ac:dyDescent="0.25">
      <c r="A1637" t="s">
        <v>1</v>
      </c>
      <c r="B1637" t="s">
        <v>19</v>
      </c>
      <c r="C1637" t="s">
        <v>23490</v>
      </c>
      <c r="D1637" t="str">
        <f>HYPERLINK("https://rhld.insurance.arkansas.gov/NPILookup?Npi=1194223891","1194223891")</f>
        <v>1194223891</v>
      </c>
      <c r="E1637" t="s">
        <v>21496</v>
      </c>
    </row>
    <row r="1638" spans="1:5" x14ac:dyDescent="0.25">
      <c r="A1638" t="s">
        <v>1</v>
      </c>
      <c r="B1638" t="s">
        <v>19</v>
      </c>
      <c r="C1638" t="s">
        <v>23490</v>
      </c>
      <c r="D1638" t="str">
        <f>HYPERLINK("https://rhld.insurance.arkansas.gov/NPILookup?Npi=1194232439","1194232439")</f>
        <v>1194232439</v>
      </c>
      <c r="E1638" t="s">
        <v>12793</v>
      </c>
    </row>
    <row r="1639" spans="1:5" x14ac:dyDescent="0.25">
      <c r="A1639" t="s">
        <v>1</v>
      </c>
      <c r="B1639" t="s">
        <v>19</v>
      </c>
      <c r="C1639" t="s">
        <v>23490</v>
      </c>
      <c r="D1639" t="str">
        <f>HYPERLINK("https://rhld.insurance.arkansas.gov/NPILookup?Npi=1194254664","1194254664")</f>
        <v>1194254664</v>
      </c>
      <c r="E1639" t="s">
        <v>10726</v>
      </c>
    </row>
    <row r="1640" spans="1:5" x14ac:dyDescent="0.25">
      <c r="A1640" t="s">
        <v>1</v>
      </c>
      <c r="B1640" t="s">
        <v>19</v>
      </c>
      <c r="C1640" t="s">
        <v>23490</v>
      </c>
      <c r="D1640" t="str">
        <f>HYPERLINK("https://rhld.insurance.arkansas.gov/NPILookup?Npi=1194257378","1194257378")</f>
        <v>1194257378</v>
      </c>
      <c r="E1640" t="s">
        <v>13412</v>
      </c>
    </row>
    <row r="1641" spans="1:5" x14ac:dyDescent="0.25">
      <c r="A1641" t="s">
        <v>1</v>
      </c>
      <c r="B1641" t="s">
        <v>19</v>
      </c>
      <c r="C1641" t="s">
        <v>23490</v>
      </c>
      <c r="D1641" t="str">
        <f>HYPERLINK("https://rhld.insurance.arkansas.gov/NPILookup?Npi=1194263863","1194263863")</f>
        <v>1194263863</v>
      </c>
      <c r="E1641" t="s">
        <v>12967</v>
      </c>
    </row>
    <row r="1642" spans="1:5" x14ac:dyDescent="0.25">
      <c r="A1642" t="s">
        <v>1</v>
      </c>
      <c r="B1642" t="s">
        <v>19</v>
      </c>
      <c r="C1642" t="s">
        <v>23490</v>
      </c>
      <c r="D1642" t="str">
        <f>HYPERLINK("https://rhld.insurance.arkansas.gov/NPILookup?Npi=1194281188","1194281188")</f>
        <v>1194281188</v>
      </c>
      <c r="E1642" t="s">
        <v>17896</v>
      </c>
    </row>
    <row r="1643" spans="1:5" x14ac:dyDescent="0.25">
      <c r="A1643" t="s">
        <v>1</v>
      </c>
      <c r="B1643" t="s">
        <v>19</v>
      </c>
      <c r="C1643" t="s">
        <v>23490</v>
      </c>
      <c r="D1643" t="str">
        <f>HYPERLINK("https://rhld.insurance.arkansas.gov/NPILookup?Npi=1194281840","1194281840")</f>
        <v>1194281840</v>
      </c>
      <c r="E1643" t="s">
        <v>14861</v>
      </c>
    </row>
    <row r="1644" spans="1:5" x14ac:dyDescent="0.25">
      <c r="A1644" t="s">
        <v>1</v>
      </c>
      <c r="B1644" t="s">
        <v>19</v>
      </c>
      <c r="C1644" t="s">
        <v>8427</v>
      </c>
      <c r="D1644" t="str">
        <f>HYPERLINK("https://rhld.insurance.arkansas.gov/NPILookup?Npi=1194285478","1194285478")</f>
        <v>1194285478</v>
      </c>
      <c r="E1644" t="s">
        <v>22904</v>
      </c>
    </row>
    <row r="1645" spans="1:5" x14ac:dyDescent="0.25">
      <c r="A1645" t="s">
        <v>1</v>
      </c>
      <c r="B1645" t="s">
        <v>19</v>
      </c>
      <c r="C1645" t="s">
        <v>23490</v>
      </c>
      <c r="D1645" t="str">
        <f>HYPERLINK("https://rhld.insurance.arkansas.gov/NPILookup?Npi=1194288662","1194288662")</f>
        <v>1194288662</v>
      </c>
      <c r="E1645" t="s">
        <v>6807</v>
      </c>
    </row>
    <row r="1646" spans="1:5" x14ac:dyDescent="0.25">
      <c r="A1646" t="s">
        <v>1</v>
      </c>
      <c r="B1646" t="s">
        <v>19</v>
      </c>
      <c r="C1646" t="s">
        <v>23490</v>
      </c>
      <c r="D1646" t="str">
        <f>HYPERLINK("https://rhld.insurance.arkansas.gov/NPILookup?Npi=1194291054","1194291054")</f>
        <v>1194291054</v>
      </c>
      <c r="E1646" t="s">
        <v>14862</v>
      </c>
    </row>
    <row r="1647" spans="1:5" x14ac:dyDescent="0.25">
      <c r="A1647" t="s">
        <v>1</v>
      </c>
      <c r="B1647" t="s">
        <v>19</v>
      </c>
      <c r="C1647" t="s">
        <v>23490</v>
      </c>
      <c r="D1647" t="str">
        <f>HYPERLINK("https://rhld.insurance.arkansas.gov/NPILookup?Npi=1194291336","1194291336")</f>
        <v>1194291336</v>
      </c>
      <c r="E1647" t="s">
        <v>13413</v>
      </c>
    </row>
    <row r="1648" spans="1:5" x14ac:dyDescent="0.25">
      <c r="A1648" t="s">
        <v>1</v>
      </c>
      <c r="B1648" t="s">
        <v>19</v>
      </c>
      <c r="C1648" t="s">
        <v>23490</v>
      </c>
      <c r="D1648" t="str">
        <f>HYPERLINK("https://rhld.insurance.arkansas.gov/NPILookup?Npi=1194293928","1194293928")</f>
        <v>1194293928</v>
      </c>
      <c r="E1648" t="s">
        <v>16888</v>
      </c>
    </row>
    <row r="1649" spans="1:5" x14ac:dyDescent="0.25">
      <c r="A1649" t="s">
        <v>1</v>
      </c>
      <c r="B1649" t="s">
        <v>19</v>
      </c>
      <c r="C1649" t="s">
        <v>23490</v>
      </c>
      <c r="D1649" t="str">
        <f>HYPERLINK("https://rhld.insurance.arkansas.gov/NPILookup?Npi=1194294710","1194294710")</f>
        <v>1194294710</v>
      </c>
      <c r="E1649" t="s">
        <v>16889</v>
      </c>
    </row>
    <row r="1650" spans="1:5" x14ac:dyDescent="0.25">
      <c r="A1650" t="s">
        <v>1</v>
      </c>
      <c r="B1650" t="s">
        <v>19</v>
      </c>
      <c r="C1650" t="s">
        <v>23490</v>
      </c>
      <c r="D1650" t="str">
        <f>HYPERLINK("https://rhld.insurance.arkansas.gov/NPILookup?Npi=1194295642","1194295642")</f>
        <v>1194295642</v>
      </c>
      <c r="E1650" t="s">
        <v>16890</v>
      </c>
    </row>
    <row r="1651" spans="1:5" x14ac:dyDescent="0.25">
      <c r="A1651" t="s">
        <v>1</v>
      </c>
      <c r="B1651" t="s">
        <v>19</v>
      </c>
      <c r="C1651" t="s">
        <v>23490</v>
      </c>
      <c r="D1651" t="str">
        <f>HYPERLINK("https://rhld.insurance.arkansas.gov/NPILookup?Npi=1194300525","1194300525")</f>
        <v>1194300525</v>
      </c>
      <c r="E1651" t="s">
        <v>19502</v>
      </c>
    </row>
    <row r="1652" spans="1:5" x14ac:dyDescent="0.25">
      <c r="A1652" t="s">
        <v>1</v>
      </c>
      <c r="B1652" t="s">
        <v>19</v>
      </c>
      <c r="C1652" t="s">
        <v>23490</v>
      </c>
      <c r="D1652" t="str">
        <f>HYPERLINK("https://rhld.insurance.arkansas.gov/NPILookup?Npi=1194308841","1194308841")</f>
        <v>1194308841</v>
      </c>
      <c r="E1652" t="s">
        <v>20911</v>
      </c>
    </row>
    <row r="1653" spans="1:5" x14ac:dyDescent="0.25">
      <c r="A1653" t="s">
        <v>1</v>
      </c>
      <c r="B1653" t="s">
        <v>19</v>
      </c>
      <c r="C1653" t="s">
        <v>23490</v>
      </c>
      <c r="D1653" t="str">
        <f>HYPERLINK("https://rhld.insurance.arkansas.gov/NPILookup?Npi=1194311498","1194311498")</f>
        <v>1194311498</v>
      </c>
      <c r="E1653" t="s">
        <v>17897</v>
      </c>
    </row>
    <row r="1654" spans="1:5" x14ac:dyDescent="0.25">
      <c r="A1654" t="s">
        <v>1</v>
      </c>
      <c r="B1654" t="s">
        <v>19</v>
      </c>
      <c r="C1654" t="s">
        <v>23490</v>
      </c>
      <c r="D1654" t="str">
        <f>HYPERLINK("https://rhld.insurance.arkansas.gov/NPILookup?Npi=1194321711","1194321711")</f>
        <v>1194321711</v>
      </c>
      <c r="E1654" t="s">
        <v>17898</v>
      </c>
    </row>
    <row r="1655" spans="1:5" x14ac:dyDescent="0.25">
      <c r="A1655" t="s">
        <v>1</v>
      </c>
      <c r="B1655" t="s">
        <v>19</v>
      </c>
      <c r="C1655" t="s">
        <v>23490</v>
      </c>
      <c r="D1655" t="str">
        <f>HYPERLINK("https://rhld.insurance.arkansas.gov/NPILookup?Npi=1194331744","1194331744")</f>
        <v>1194331744</v>
      </c>
      <c r="E1655" t="s">
        <v>22905</v>
      </c>
    </row>
    <row r="1656" spans="1:5" x14ac:dyDescent="0.25">
      <c r="A1656" t="s">
        <v>1</v>
      </c>
      <c r="B1656" t="s">
        <v>19</v>
      </c>
      <c r="C1656" t="s">
        <v>23490</v>
      </c>
      <c r="D1656" t="str">
        <f>HYPERLINK("https://rhld.insurance.arkansas.gov/NPILookup?Npi=1194340034","1194340034")</f>
        <v>1194340034</v>
      </c>
      <c r="E1656" t="s">
        <v>17899</v>
      </c>
    </row>
    <row r="1657" spans="1:5" x14ac:dyDescent="0.25">
      <c r="A1657" t="s">
        <v>1</v>
      </c>
      <c r="B1657" t="s">
        <v>19</v>
      </c>
      <c r="C1657" t="s">
        <v>23490</v>
      </c>
      <c r="D1657" t="str">
        <f>HYPERLINK("https://rhld.insurance.arkansas.gov/NPILookup?Npi=1194360800","1194360800")</f>
        <v>1194360800</v>
      </c>
      <c r="E1657" t="s">
        <v>19503</v>
      </c>
    </row>
    <row r="1658" spans="1:5" x14ac:dyDescent="0.25">
      <c r="A1658" t="s">
        <v>1</v>
      </c>
      <c r="B1658" t="s">
        <v>19</v>
      </c>
      <c r="C1658" t="s">
        <v>23490</v>
      </c>
      <c r="D1658" t="str">
        <f>HYPERLINK("https://rhld.insurance.arkansas.gov/NPILookup?Npi=1194360842","1194360842")</f>
        <v>1194360842</v>
      </c>
      <c r="E1658" t="s">
        <v>19504</v>
      </c>
    </row>
    <row r="1659" spans="1:5" x14ac:dyDescent="0.25">
      <c r="A1659" t="s">
        <v>1</v>
      </c>
      <c r="B1659" t="s">
        <v>19</v>
      </c>
      <c r="C1659" t="s">
        <v>23490</v>
      </c>
      <c r="D1659" t="str">
        <f>HYPERLINK("https://rhld.insurance.arkansas.gov/NPILookup?Npi=1194385989","1194385989")</f>
        <v>1194385989</v>
      </c>
      <c r="E1659" t="s">
        <v>19505</v>
      </c>
    </row>
    <row r="1660" spans="1:5" x14ac:dyDescent="0.25">
      <c r="A1660" t="s">
        <v>1</v>
      </c>
      <c r="B1660" t="s">
        <v>19</v>
      </c>
      <c r="C1660" t="s">
        <v>23490</v>
      </c>
      <c r="D1660" t="str">
        <f>HYPERLINK("https://rhld.insurance.arkansas.gov/NPILookup?Npi=1194700146","1194700146")</f>
        <v>1194700146</v>
      </c>
      <c r="E1660" t="s">
        <v>693</v>
      </c>
    </row>
    <row r="1661" spans="1:5" x14ac:dyDescent="0.25">
      <c r="A1661" t="s">
        <v>1</v>
      </c>
      <c r="B1661" t="s">
        <v>19</v>
      </c>
      <c r="C1661" t="s">
        <v>23490</v>
      </c>
      <c r="D1661" t="str">
        <f>HYPERLINK("https://rhld.insurance.arkansas.gov/NPILookup?Npi=1194710160","1194710160")</f>
        <v>1194710160</v>
      </c>
      <c r="E1661" t="s">
        <v>694</v>
      </c>
    </row>
    <row r="1662" spans="1:5" x14ac:dyDescent="0.25">
      <c r="A1662" t="s">
        <v>1</v>
      </c>
      <c r="B1662" t="s">
        <v>19</v>
      </c>
      <c r="C1662" t="s">
        <v>23490</v>
      </c>
      <c r="D1662" t="str">
        <f>HYPERLINK("https://rhld.insurance.arkansas.gov/NPILookup?Npi=1194710376","1194710376")</f>
        <v>1194710376</v>
      </c>
      <c r="E1662" t="s">
        <v>695</v>
      </c>
    </row>
    <row r="1663" spans="1:5" x14ac:dyDescent="0.25">
      <c r="A1663" t="s">
        <v>1</v>
      </c>
      <c r="B1663" t="s">
        <v>19</v>
      </c>
      <c r="C1663" t="s">
        <v>23490</v>
      </c>
      <c r="D1663" t="str">
        <f>HYPERLINK("https://rhld.insurance.arkansas.gov/NPILookup?Npi=1194711697","1194711697")</f>
        <v>1194711697</v>
      </c>
      <c r="E1663" t="s">
        <v>696</v>
      </c>
    </row>
    <row r="1664" spans="1:5" x14ac:dyDescent="0.25">
      <c r="A1664" t="s">
        <v>1</v>
      </c>
      <c r="B1664" t="s">
        <v>19</v>
      </c>
      <c r="C1664" t="s">
        <v>23490</v>
      </c>
      <c r="D1664" t="str">
        <f>HYPERLINK("https://rhld.insurance.arkansas.gov/NPILookup?Npi=1194715888","1194715888")</f>
        <v>1194715888</v>
      </c>
      <c r="E1664" t="s">
        <v>10727</v>
      </c>
    </row>
    <row r="1665" spans="1:5" x14ac:dyDescent="0.25">
      <c r="A1665" t="s">
        <v>1</v>
      </c>
      <c r="B1665" t="s">
        <v>19</v>
      </c>
      <c r="C1665" t="s">
        <v>23490</v>
      </c>
      <c r="D1665" t="str">
        <f>HYPERLINK("https://rhld.insurance.arkansas.gov/NPILookup?Npi=1194719518","1194719518")</f>
        <v>1194719518</v>
      </c>
      <c r="E1665" t="s">
        <v>17900</v>
      </c>
    </row>
    <row r="1666" spans="1:5" x14ac:dyDescent="0.25">
      <c r="A1666" t="s">
        <v>1</v>
      </c>
      <c r="B1666" t="s">
        <v>19</v>
      </c>
      <c r="C1666" t="s">
        <v>23490</v>
      </c>
      <c r="D1666" t="str">
        <f>HYPERLINK("https://rhld.insurance.arkansas.gov/NPILookup?Npi=1194720169","1194720169")</f>
        <v>1194720169</v>
      </c>
      <c r="E1666" t="s">
        <v>697</v>
      </c>
    </row>
    <row r="1667" spans="1:5" x14ac:dyDescent="0.25">
      <c r="A1667" t="s">
        <v>1</v>
      </c>
      <c r="B1667" t="s">
        <v>19</v>
      </c>
      <c r="C1667" t="s">
        <v>23490</v>
      </c>
      <c r="D1667" t="str">
        <f>HYPERLINK("https://rhld.insurance.arkansas.gov/NPILookup?Npi=1194720862","1194720862")</f>
        <v>1194720862</v>
      </c>
      <c r="E1667" t="s">
        <v>14863</v>
      </c>
    </row>
    <row r="1668" spans="1:5" x14ac:dyDescent="0.25">
      <c r="A1668" t="s">
        <v>1</v>
      </c>
      <c r="B1668" t="s">
        <v>19</v>
      </c>
      <c r="C1668" t="s">
        <v>23490</v>
      </c>
      <c r="D1668" t="str">
        <f>HYPERLINK("https://rhld.insurance.arkansas.gov/NPILookup?Npi=1194722173","1194722173")</f>
        <v>1194722173</v>
      </c>
      <c r="E1668" t="s">
        <v>698</v>
      </c>
    </row>
    <row r="1669" spans="1:5" x14ac:dyDescent="0.25">
      <c r="A1669" t="s">
        <v>1</v>
      </c>
      <c r="B1669" t="s">
        <v>19</v>
      </c>
      <c r="C1669" t="s">
        <v>23490</v>
      </c>
      <c r="D1669" t="str">
        <f>HYPERLINK("https://rhld.insurance.arkansas.gov/NPILookup?Npi=1194725432","1194725432")</f>
        <v>1194725432</v>
      </c>
      <c r="E1669" t="s">
        <v>8535</v>
      </c>
    </row>
    <row r="1670" spans="1:5" x14ac:dyDescent="0.25">
      <c r="A1670" t="s">
        <v>1</v>
      </c>
      <c r="B1670" t="s">
        <v>19</v>
      </c>
      <c r="C1670" t="s">
        <v>23490</v>
      </c>
      <c r="D1670" t="str">
        <f>HYPERLINK("https://rhld.insurance.arkansas.gov/NPILookup?Npi=1194726679","1194726679")</f>
        <v>1194726679</v>
      </c>
      <c r="E1670" t="s">
        <v>699</v>
      </c>
    </row>
    <row r="1671" spans="1:5" x14ac:dyDescent="0.25">
      <c r="A1671" t="s">
        <v>1</v>
      </c>
      <c r="B1671" t="s">
        <v>19</v>
      </c>
      <c r="C1671" t="s">
        <v>23490</v>
      </c>
      <c r="D1671" t="str">
        <f>HYPERLINK("https://rhld.insurance.arkansas.gov/NPILookup?Npi=1194743658","1194743658")</f>
        <v>1194743658</v>
      </c>
      <c r="E1671" t="s">
        <v>700</v>
      </c>
    </row>
    <row r="1672" spans="1:5" x14ac:dyDescent="0.25">
      <c r="A1672" t="s">
        <v>1</v>
      </c>
      <c r="B1672" t="s">
        <v>19</v>
      </c>
      <c r="C1672" t="s">
        <v>23490</v>
      </c>
      <c r="D1672" t="str">
        <f>HYPERLINK("https://rhld.insurance.arkansas.gov/NPILookup?Npi=1194745521","1194745521")</f>
        <v>1194745521</v>
      </c>
      <c r="E1672" t="s">
        <v>10728</v>
      </c>
    </row>
    <row r="1673" spans="1:5" x14ac:dyDescent="0.25">
      <c r="A1673" t="s">
        <v>1</v>
      </c>
      <c r="B1673" t="s">
        <v>19</v>
      </c>
      <c r="C1673" t="s">
        <v>23490</v>
      </c>
      <c r="D1673" t="str">
        <f>HYPERLINK("https://rhld.insurance.arkansas.gov/NPILookup?Npi=1194750653","1194750653")</f>
        <v>1194750653</v>
      </c>
      <c r="E1673" t="s">
        <v>701</v>
      </c>
    </row>
    <row r="1674" spans="1:5" x14ac:dyDescent="0.25">
      <c r="A1674" t="s">
        <v>1</v>
      </c>
      <c r="B1674" t="s">
        <v>19</v>
      </c>
      <c r="C1674" t="s">
        <v>23490</v>
      </c>
      <c r="D1674" t="str">
        <f>HYPERLINK("https://rhld.insurance.arkansas.gov/NPILookup?Npi=1194753913","1194753913")</f>
        <v>1194753913</v>
      </c>
      <c r="E1674" t="s">
        <v>702</v>
      </c>
    </row>
    <row r="1675" spans="1:5" x14ac:dyDescent="0.25">
      <c r="A1675" t="s">
        <v>1</v>
      </c>
      <c r="B1675" t="s">
        <v>19</v>
      </c>
      <c r="C1675" t="s">
        <v>23490</v>
      </c>
      <c r="D1675" t="str">
        <f>HYPERLINK("https://rhld.insurance.arkansas.gov/NPILookup?Npi=1194756437","1194756437")</f>
        <v>1194756437</v>
      </c>
      <c r="E1675" t="s">
        <v>703</v>
      </c>
    </row>
    <row r="1676" spans="1:5" x14ac:dyDescent="0.25">
      <c r="A1676" t="s">
        <v>1</v>
      </c>
      <c r="B1676" t="s">
        <v>19</v>
      </c>
      <c r="C1676" t="s">
        <v>23490</v>
      </c>
      <c r="D1676" t="str">
        <f>HYPERLINK("https://rhld.insurance.arkansas.gov/NPILookup?Npi=1194757849","1194757849")</f>
        <v>1194757849</v>
      </c>
      <c r="E1676" t="s">
        <v>704</v>
      </c>
    </row>
    <row r="1677" spans="1:5" x14ac:dyDescent="0.25">
      <c r="A1677" t="s">
        <v>1</v>
      </c>
      <c r="B1677" t="s">
        <v>19</v>
      </c>
      <c r="C1677" t="s">
        <v>23490</v>
      </c>
      <c r="D1677" t="str">
        <f>HYPERLINK("https://rhld.insurance.arkansas.gov/NPILookup?Npi=1194757872","1194757872")</f>
        <v>1194757872</v>
      </c>
      <c r="E1677" t="s">
        <v>705</v>
      </c>
    </row>
    <row r="1678" spans="1:5" x14ac:dyDescent="0.25">
      <c r="A1678" t="s">
        <v>1</v>
      </c>
      <c r="B1678" t="s">
        <v>19</v>
      </c>
      <c r="C1678" t="s">
        <v>23490</v>
      </c>
      <c r="D1678" t="str">
        <f>HYPERLINK("https://rhld.insurance.arkansas.gov/NPILookup?Npi=1194760587","1194760587")</f>
        <v>1194760587</v>
      </c>
      <c r="E1678" t="s">
        <v>706</v>
      </c>
    </row>
    <row r="1679" spans="1:5" x14ac:dyDescent="0.25">
      <c r="A1679" t="s">
        <v>1</v>
      </c>
      <c r="B1679" t="s">
        <v>19</v>
      </c>
      <c r="C1679" t="s">
        <v>23490</v>
      </c>
      <c r="D1679" t="str">
        <f>HYPERLINK("https://rhld.insurance.arkansas.gov/NPILookup?Npi=1194767657","1194767657")</f>
        <v>1194767657</v>
      </c>
      <c r="E1679" t="s">
        <v>707</v>
      </c>
    </row>
    <row r="1680" spans="1:5" x14ac:dyDescent="0.25">
      <c r="A1680" t="s">
        <v>1</v>
      </c>
      <c r="B1680" t="s">
        <v>19</v>
      </c>
      <c r="C1680" t="s">
        <v>23490</v>
      </c>
      <c r="D1680" t="str">
        <f>HYPERLINK("https://rhld.insurance.arkansas.gov/NPILookup?Npi=1194767897","1194767897")</f>
        <v>1194767897</v>
      </c>
      <c r="E1680" t="s">
        <v>708</v>
      </c>
    </row>
    <row r="1681" spans="1:5" x14ac:dyDescent="0.25">
      <c r="A1681" t="s">
        <v>1</v>
      </c>
      <c r="B1681" t="s">
        <v>19</v>
      </c>
      <c r="C1681" t="s">
        <v>23490</v>
      </c>
      <c r="D1681" t="str">
        <f>HYPERLINK("https://rhld.insurance.arkansas.gov/NPILookup?Npi=1194768721","1194768721")</f>
        <v>1194768721</v>
      </c>
      <c r="E1681" t="s">
        <v>709</v>
      </c>
    </row>
    <row r="1682" spans="1:5" x14ac:dyDescent="0.25">
      <c r="A1682" t="s">
        <v>1</v>
      </c>
      <c r="B1682" t="s">
        <v>19</v>
      </c>
      <c r="C1682" t="s">
        <v>23490</v>
      </c>
      <c r="D1682" t="str">
        <f>HYPERLINK("https://rhld.insurance.arkansas.gov/NPILookup?Npi=1194768903","1194768903")</f>
        <v>1194768903</v>
      </c>
      <c r="E1682" t="s">
        <v>710</v>
      </c>
    </row>
    <row r="1683" spans="1:5" x14ac:dyDescent="0.25">
      <c r="A1683" t="s">
        <v>1</v>
      </c>
      <c r="B1683" t="s">
        <v>19</v>
      </c>
      <c r="C1683" t="s">
        <v>23490</v>
      </c>
      <c r="D1683" t="str">
        <f>HYPERLINK("https://rhld.insurance.arkansas.gov/NPILookup?Npi=1194774646","1194774646")</f>
        <v>1194774646</v>
      </c>
      <c r="E1683" t="s">
        <v>10729</v>
      </c>
    </row>
    <row r="1684" spans="1:5" x14ac:dyDescent="0.25">
      <c r="A1684" t="s">
        <v>1</v>
      </c>
      <c r="B1684" t="s">
        <v>19</v>
      </c>
      <c r="C1684" t="s">
        <v>23490</v>
      </c>
      <c r="D1684" t="str">
        <f>HYPERLINK("https://rhld.insurance.arkansas.gov/NPILookup?Npi=1194774802","1194774802")</f>
        <v>1194774802</v>
      </c>
      <c r="E1684" t="s">
        <v>14864</v>
      </c>
    </row>
    <row r="1685" spans="1:5" x14ac:dyDescent="0.25">
      <c r="A1685" t="s">
        <v>1</v>
      </c>
      <c r="B1685" t="s">
        <v>19</v>
      </c>
      <c r="C1685" t="s">
        <v>23490</v>
      </c>
      <c r="D1685" t="str">
        <f>HYPERLINK("https://rhld.insurance.arkansas.gov/NPILookup?Npi=1194776344","1194776344")</f>
        <v>1194776344</v>
      </c>
      <c r="E1685" t="s">
        <v>10730</v>
      </c>
    </row>
    <row r="1686" spans="1:5" x14ac:dyDescent="0.25">
      <c r="A1686" t="s">
        <v>1</v>
      </c>
      <c r="B1686" t="s">
        <v>19</v>
      </c>
      <c r="C1686" t="s">
        <v>23490</v>
      </c>
      <c r="D1686" t="str">
        <f>HYPERLINK("https://rhld.insurance.arkansas.gov/NPILookup?Npi=1194783472","1194783472")</f>
        <v>1194783472</v>
      </c>
      <c r="E1686" t="s">
        <v>19506</v>
      </c>
    </row>
    <row r="1687" spans="1:5" x14ac:dyDescent="0.25">
      <c r="A1687" t="s">
        <v>1</v>
      </c>
      <c r="B1687" t="s">
        <v>19</v>
      </c>
      <c r="C1687" t="s">
        <v>23490</v>
      </c>
      <c r="D1687" t="str">
        <f>HYPERLINK("https://rhld.insurance.arkansas.gov/NPILookup?Npi=1194786111","1194786111")</f>
        <v>1194786111</v>
      </c>
      <c r="E1687" t="s">
        <v>711</v>
      </c>
    </row>
    <row r="1688" spans="1:5" x14ac:dyDescent="0.25">
      <c r="A1688" t="s">
        <v>1</v>
      </c>
      <c r="B1688" t="s">
        <v>19</v>
      </c>
      <c r="C1688" t="s">
        <v>23490</v>
      </c>
      <c r="D1688" t="str">
        <f>HYPERLINK("https://rhld.insurance.arkansas.gov/NPILookup?Npi=1194786533","1194786533")</f>
        <v>1194786533</v>
      </c>
      <c r="E1688" t="s">
        <v>712</v>
      </c>
    </row>
    <row r="1689" spans="1:5" x14ac:dyDescent="0.25">
      <c r="A1689" t="s">
        <v>1</v>
      </c>
      <c r="B1689" t="s">
        <v>19</v>
      </c>
      <c r="C1689" t="s">
        <v>23490</v>
      </c>
      <c r="D1689" t="str">
        <f>HYPERLINK("https://rhld.insurance.arkansas.gov/NPILookup?Npi=1194793224","1194793224")</f>
        <v>1194793224</v>
      </c>
      <c r="E1689" t="s">
        <v>713</v>
      </c>
    </row>
    <row r="1690" spans="1:5" x14ac:dyDescent="0.25">
      <c r="A1690" t="s">
        <v>1</v>
      </c>
      <c r="B1690" t="s">
        <v>19</v>
      </c>
      <c r="C1690" t="s">
        <v>23490</v>
      </c>
      <c r="D1690" t="str">
        <f>HYPERLINK("https://rhld.insurance.arkansas.gov/NPILookup?Npi=1194807024","1194807024")</f>
        <v>1194807024</v>
      </c>
      <c r="E1690" t="s">
        <v>13414</v>
      </c>
    </row>
    <row r="1691" spans="1:5" x14ac:dyDescent="0.25">
      <c r="A1691" t="s">
        <v>1</v>
      </c>
      <c r="B1691" t="s">
        <v>19</v>
      </c>
      <c r="C1691" t="s">
        <v>23490</v>
      </c>
      <c r="D1691" t="str">
        <f>HYPERLINK("https://rhld.insurance.arkansas.gov/NPILookup?Npi=1194816652","1194816652")</f>
        <v>1194816652</v>
      </c>
      <c r="E1691" t="s">
        <v>22898</v>
      </c>
    </row>
    <row r="1692" spans="1:5" x14ac:dyDescent="0.25">
      <c r="A1692" t="s">
        <v>1</v>
      </c>
      <c r="B1692" t="s">
        <v>19</v>
      </c>
      <c r="C1692" t="s">
        <v>23490</v>
      </c>
      <c r="D1692" t="str">
        <f>HYPERLINK("https://rhld.insurance.arkansas.gov/NPILookup?Npi=1194824193","1194824193")</f>
        <v>1194824193</v>
      </c>
      <c r="E1692" t="s">
        <v>10731</v>
      </c>
    </row>
    <row r="1693" spans="1:5" x14ac:dyDescent="0.25">
      <c r="A1693" t="s">
        <v>1</v>
      </c>
      <c r="B1693" t="s">
        <v>19</v>
      </c>
      <c r="C1693" t="s">
        <v>23490</v>
      </c>
      <c r="D1693" t="str">
        <f>HYPERLINK("https://rhld.insurance.arkansas.gov/NPILookup?Npi=1194881748","1194881748")</f>
        <v>1194881748</v>
      </c>
      <c r="E1693" t="s">
        <v>14865</v>
      </c>
    </row>
    <row r="1694" spans="1:5" x14ac:dyDescent="0.25">
      <c r="A1694" t="s">
        <v>1</v>
      </c>
      <c r="B1694" t="s">
        <v>19</v>
      </c>
      <c r="C1694" t="s">
        <v>23490</v>
      </c>
      <c r="D1694" t="str">
        <f>HYPERLINK("https://rhld.insurance.arkansas.gov/NPILookup?Npi=1194895490","1194895490")</f>
        <v>1194895490</v>
      </c>
      <c r="E1694" t="s">
        <v>10732</v>
      </c>
    </row>
    <row r="1695" spans="1:5" x14ac:dyDescent="0.25">
      <c r="A1695" t="s">
        <v>1</v>
      </c>
      <c r="B1695" t="s">
        <v>19</v>
      </c>
      <c r="C1695" t="s">
        <v>23490</v>
      </c>
      <c r="D1695" t="str">
        <f>HYPERLINK("https://rhld.insurance.arkansas.gov/NPILookup?Npi=1194921635","1194921635")</f>
        <v>1194921635</v>
      </c>
      <c r="E1695" t="s">
        <v>715</v>
      </c>
    </row>
    <row r="1696" spans="1:5" x14ac:dyDescent="0.25">
      <c r="A1696" t="s">
        <v>1</v>
      </c>
      <c r="B1696" t="s">
        <v>19</v>
      </c>
      <c r="C1696" t="s">
        <v>23490</v>
      </c>
      <c r="D1696" t="str">
        <f>HYPERLINK("https://rhld.insurance.arkansas.gov/NPILookup?Npi=1194930537","1194930537")</f>
        <v>1194930537</v>
      </c>
      <c r="E1696" t="s">
        <v>17399</v>
      </c>
    </row>
    <row r="1697" spans="1:5" x14ac:dyDescent="0.25">
      <c r="A1697" t="s">
        <v>1</v>
      </c>
      <c r="B1697" t="s">
        <v>19</v>
      </c>
      <c r="C1697" t="s">
        <v>23490</v>
      </c>
      <c r="D1697" t="str">
        <f>HYPERLINK("https://rhld.insurance.arkansas.gov/NPILookup?Npi=1194953141","1194953141")</f>
        <v>1194953141</v>
      </c>
      <c r="E1697" t="s">
        <v>17400</v>
      </c>
    </row>
    <row r="1698" spans="1:5" x14ac:dyDescent="0.25">
      <c r="A1698" t="s">
        <v>1</v>
      </c>
      <c r="B1698" t="s">
        <v>19</v>
      </c>
      <c r="C1698" t="s">
        <v>23490</v>
      </c>
      <c r="D1698" t="str">
        <f>HYPERLINK("https://rhld.insurance.arkansas.gov/NPILookup?Npi=1194963355","1194963355")</f>
        <v>1194963355</v>
      </c>
      <c r="E1698" t="s">
        <v>716</v>
      </c>
    </row>
    <row r="1699" spans="1:5" x14ac:dyDescent="0.25">
      <c r="A1699" t="s">
        <v>1</v>
      </c>
      <c r="B1699" t="s">
        <v>19</v>
      </c>
      <c r="C1699" t="s">
        <v>23490</v>
      </c>
      <c r="D1699" t="str">
        <f>HYPERLINK("https://rhld.insurance.arkansas.gov/NPILookup?Npi=1194967414","1194967414")</f>
        <v>1194967414</v>
      </c>
      <c r="E1699" t="s">
        <v>717</v>
      </c>
    </row>
    <row r="1700" spans="1:5" x14ac:dyDescent="0.25">
      <c r="A1700" t="s">
        <v>1</v>
      </c>
      <c r="B1700" t="s">
        <v>19</v>
      </c>
      <c r="C1700" t="s">
        <v>23490</v>
      </c>
      <c r="D1700" t="str">
        <f>HYPERLINK("https://rhld.insurance.arkansas.gov/NPILookup?Npi=1194976852","1194976852")</f>
        <v>1194976852</v>
      </c>
      <c r="E1700" t="s">
        <v>718</v>
      </c>
    </row>
    <row r="1701" spans="1:5" x14ac:dyDescent="0.25">
      <c r="A1701" t="s">
        <v>1</v>
      </c>
      <c r="B1701" t="s">
        <v>19</v>
      </c>
      <c r="C1701" t="s">
        <v>23490</v>
      </c>
      <c r="D1701" t="str">
        <f>HYPERLINK("https://rhld.insurance.arkansas.gov/NPILookup?Npi=1194990366","1194990366")</f>
        <v>1194990366</v>
      </c>
      <c r="E1701" t="s">
        <v>719</v>
      </c>
    </row>
    <row r="1702" spans="1:5" x14ac:dyDescent="0.25">
      <c r="A1702" t="s">
        <v>1</v>
      </c>
      <c r="B1702" t="s">
        <v>19</v>
      </c>
      <c r="C1702" t="s">
        <v>23490</v>
      </c>
      <c r="D1702" t="str">
        <f>HYPERLINK("https://rhld.insurance.arkansas.gov/NPILookup?Npi=1205006871","1205006871")</f>
        <v>1205006871</v>
      </c>
      <c r="E1702" t="s">
        <v>14866</v>
      </c>
    </row>
    <row r="1703" spans="1:5" x14ac:dyDescent="0.25">
      <c r="A1703" t="s">
        <v>1</v>
      </c>
      <c r="B1703" t="s">
        <v>19</v>
      </c>
      <c r="C1703" t="s">
        <v>23490</v>
      </c>
      <c r="D1703" t="str">
        <f>HYPERLINK("https://rhld.insurance.arkansas.gov/NPILookup?Npi=1205007309","1205007309")</f>
        <v>1205007309</v>
      </c>
      <c r="E1703" t="s">
        <v>8536</v>
      </c>
    </row>
    <row r="1704" spans="1:5" x14ac:dyDescent="0.25">
      <c r="A1704" t="s">
        <v>1</v>
      </c>
      <c r="B1704" t="s">
        <v>19</v>
      </c>
      <c r="C1704" t="s">
        <v>23490</v>
      </c>
      <c r="D1704" t="str">
        <f>HYPERLINK("https://rhld.insurance.arkansas.gov/NPILookup?Npi=1205009818","1205009818")</f>
        <v>1205009818</v>
      </c>
      <c r="E1704" t="s">
        <v>720</v>
      </c>
    </row>
    <row r="1705" spans="1:5" x14ac:dyDescent="0.25">
      <c r="A1705" t="s">
        <v>1</v>
      </c>
      <c r="B1705" t="s">
        <v>19</v>
      </c>
      <c r="C1705" t="s">
        <v>23490</v>
      </c>
      <c r="D1705" t="str">
        <f>HYPERLINK("https://rhld.insurance.arkansas.gov/NPILookup?Npi=1205011541","1205011541")</f>
        <v>1205011541</v>
      </c>
      <c r="E1705" t="s">
        <v>721</v>
      </c>
    </row>
    <row r="1706" spans="1:5" x14ac:dyDescent="0.25">
      <c r="A1706" t="s">
        <v>1</v>
      </c>
      <c r="B1706" t="s">
        <v>19</v>
      </c>
      <c r="C1706" t="s">
        <v>23490</v>
      </c>
      <c r="D1706" t="str">
        <f>HYPERLINK("https://rhld.insurance.arkansas.gov/NPILookup?Npi=1205023207","1205023207")</f>
        <v>1205023207</v>
      </c>
      <c r="E1706" t="s">
        <v>722</v>
      </c>
    </row>
    <row r="1707" spans="1:5" x14ac:dyDescent="0.25">
      <c r="A1707" t="s">
        <v>1</v>
      </c>
      <c r="B1707" t="s">
        <v>19</v>
      </c>
      <c r="C1707" t="s">
        <v>23490</v>
      </c>
      <c r="D1707" t="str">
        <f>HYPERLINK("https://rhld.insurance.arkansas.gov/NPILookup?Npi=1205030335","1205030335")</f>
        <v>1205030335</v>
      </c>
      <c r="E1707" t="s">
        <v>723</v>
      </c>
    </row>
    <row r="1708" spans="1:5" x14ac:dyDescent="0.25">
      <c r="A1708" t="s">
        <v>1</v>
      </c>
      <c r="B1708" t="s">
        <v>19</v>
      </c>
      <c r="C1708" t="s">
        <v>23490</v>
      </c>
      <c r="D1708" t="str">
        <f>HYPERLINK("https://rhld.insurance.arkansas.gov/NPILookup?Npi=1205032745","1205032745")</f>
        <v>1205032745</v>
      </c>
      <c r="E1708" t="s">
        <v>724</v>
      </c>
    </row>
    <row r="1709" spans="1:5" x14ac:dyDescent="0.25">
      <c r="A1709" t="s">
        <v>1</v>
      </c>
      <c r="B1709" t="s">
        <v>19</v>
      </c>
      <c r="C1709" t="s">
        <v>23490</v>
      </c>
      <c r="D1709" t="str">
        <f>HYPERLINK("https://rhld.insurance.arkansas.gov/NPILookup?Npi=1205037611","1205037611")</f>
        <v>1205037611</v>
      </c>
      <c r="E1709" t="s">
        <v>725</v>
      </c>
    </row>
    <row r="1710" spans="1:5" x14ac:dyDescent="0.25">
      <c r="A1710" t="s">
        <v>1</v>
      </c>
      <c r="B1710" t="s">
        <v>19</v>
      </c>
      <c r="C1710" t="s">
        <v>23490</v>
      </c>
      <c r="D1710" t="str">
        <f>HYPERLINK("https://rhld.insurance.arkansas.gov/NPILookup?Npi=1205043510","1205043510")</f>
        <v>1205043510</v>
      </c>
      <c r="E1710" t="s">
        <v>726</v>
      </c>
    </row>
    <row r="1711" spans="1:5" x14ac:dyDescent="0.25">
      <c r="A1711" t="s">
        <v>1</v>
      </c>
      <c r="B1711" t="s">
        <v>19</v>
      </c>
      <c r="C1711" t="s">
        <v>23490</v>
      </c>
      <c r="D1711" t="str">
        <f>HYPERLINK("https://rhld.insurance.arkansas.gov/NPILookup?Npi=1205057957","1205057957")</f>
        <v>1205057957</v>
      </c>
      <c r="E1711" t="s">
        <v>727</v>
      </c>
    </row>
    <row r="1712" spans="1:5" x14ac:dyDescent="0.25">
      <c r="A1712" t="s">
        <v>1</v>
      </c>
      <c r="B1712" t="s">
        <v>19</v>
      </c>
      <c r="C1712" t="s">
        <v>23490</v>
      </c>
      <c r="D1712" t="str">
        <f>HYPERLINK("https://rhld.insurance.arkansas.gov/NPILookup?Npi=1205064581","1205064581")</f>
        <v>1205064581</v>
      </c>
      <c r="E1712" t="s">
        <v>728</v>
      </c>
    </row>
    <row r="1713" spans="1:5" x14ac:dyDescent="0.25">
      <c r="A1713" t="s">
        <v>1</v>
      </c>
      <c r="B1713" t="s">
        <v>19</v>
      </c>
      <c r="C1713" t="s">
        <v>23490</v>
      </c>
      <c r="D1713" t="str">
        <f>HYPERLINK("https://rhld.insurance.arkansas.gov/NPILookup?Npi=1205065810","1205065810")</f>
        <v>1205065810</v>
      </c>
      <c r="E1713" t="s">
        <v>334</v>
      </c>
    </row>
    <row r="1714" spans="1:5" x14ac:dyDescent="0.25">
      <c r="A1714" t="s">
        <v>1</v>
      </c>
      <c r="B1714" t="s">
        <v>19</v>
      </c>
      <c r="C1714" t="s">
        <v>23490</v>
      </c>
      <c r="D1714" t="str">
        <f>HYPERLINK("https://rhld.insurance.arkansas.gov/NPILookup?Npi=1205069630","1205069630")</f>
        <v>1205069630</v>
      </c>
      <c r="E1714" t="s">
        <v>729</v>
      </c>
    </row>
    <row r="1715" spans="1:5" x14ac:dyDescent="0.25">
      <c r="A1715" t="s">
        <v>1</v>
      </c>
      <c r="B1715" t="s">
        <v>19</v>
      </c>
      <c r="C1715" t="s">
        <v>23490</v>
      </c>
      <c r="D1715" t="str">
        <f>HYPERLINK("https://rhld.insurance.arkansas.gov/NPILookup?Npi=1205076403","1205076403")</f>
        <v>1205076403</v>
      </c>
      <c r="E1715" t="s">
        <v>18695</v>
      </c>
    </row>
    <row r="1716" spans="1:5" x14ac:dyDescent="0.25">
      <c r="A1716" t="s">
        <v>1</v>
      </c>
      <c r="B1716" t="s">
        <v>19</v>
      </c>
      <c r="C1716" t="s">
        <v>23490</v>
      </c>
      <c r="D1716" t="str">
        <f>HYPERLINK("https://rhld.insurance.arkansas.gov/NPILookup?Npi=1205078144","1205078144")</f>
        <v>1205078144</v>
      </c>
      <c r="E1716" t="s">
        <v>19507</v>
      </c>
    </row>
    <row r="1717" spans="1:5" x14ac:dyDescent="0.25">
      <c r="A1717" t="s">
        <v>1</v>
      </c>
      <c r="B1717" t="s">
        <v>19</v>
      </c>
      <c r="C1717" t="s">
        <v>23490</v>
      </c>
      <c r="D1717" t="str">
        <f>HYPERLINK("https://rhld.insurance.arkansas.gov/NPILookup?Npi=1205078482","1205078482")</f>
        <v>1205078482</v>
      </c>
      <c r="E1717" t="s">
        <v>730</v>
      </c>
    </row>
    <row r="1718" spans="1:5" x14ac:dyDescent="0.25">
      <c r="A1718" t="s">
        <v>1</v>
      </c>
      <c r="B1718" t="s">
        <v>19</v>
      </c>
      <c r="C1718" t="s">
        <v>23490</v>
      </c>
      <c r="D1718" t="str">
        <f>HYPERLINK("https://rhld.insurance.arkansas.gov/NPILookup?Npi=1205084597","1205084597")</f>
        <v>1205084597</v>
      </c>
      <c r="E1718" t="s">
        <v>19508</v>
      </c>
    </row>
    <row r="1719" spans="1:5" x14ac:dyDescent="0.25">
      <c r="A1719" t="s">
        <v>1</v>
      </c>
      <c r="B1719" t="s">
        <v>19</v>
      </c>
      <c r="C1719" t="s">
        <v>23490</v>
      </c>
      <c r="D1719" t="str">
        <f>HYPERLINK("https://rhld.insurance.arkansas.gov/NPILookup?Npi=1205093085","1205093085")</f>
        <v>1205093085</v>
      </c>
      <c r="E1719" t="s">
        <v>731</v>
      </c>
    </row>
    <row r="1720" spans="1:5" x14ac:dyDescent="0.25">
      <c r="A1720" t="s">
        <v>1</v>
      </c>
      <c r="B1720" t="s">
        <v>19</v>
      </c>
      <c r="C1720" t="s">
        <v>23490</v>
      </c>
      <c r="D1720" t="str">
        <f>HYPERLINK("https://rhld.insurance.arkansas.gov/NPILookup?Npi=1205096351","1205096351")</f>
        <v>1205096351</v>
      </c>
      <c r="E1720" t="s">
        <v>732</v>
      </c>
    </row>
    <row r="1721" spans="1:5" x14ac:dyDescent="0.25">
      <c r="A1721" t="s">
        <v>1</v>
      </c>
      <c r="B1721" t="s">
        <v>19</v>
      </c>
      <c r="C1721" t="s">
        <v>23490</v>
      </c>
      <c r="D1721" t="str">
        <f>HYPERLINK("https://rhld.insurance.arkansas.gov/NPILookup?Npi=1205097987","1205097987")</f>
        <v>1205097987</v>
      </c>
      <c r="E1721" t="s">
        <v>733</v>
      </c>
    </row>
    <row r="1722" spans="1:5" x14ac:dyDescent="0.25">
      <c r="A1722" t="s">
        <v>1</v>
      </c>
      <c r="B1722" t="s">
        <v>19</v>
      </c>
      <c r="C1722" t="s">
        <v>23490</v>
      </c>
      <c r="D1722" t="str">
        <f>HYPERLINK("https://rhld.insurance.arkansas.gov/NPILookup?Npi=1205110301","1205110301")</f>
        <v>1205110301</v>
      </c>
      <c r="E1722" t="s">
        <v>14867</v>
      </c>
    </row>
    <row r="1723" spans="1:5" x14ac:dyDescent="0.25">
      <c r="A1723" t="s">
        <v>1</v>
      </c>
      <c r="B1723" t="s">
        <v>19</v>
      </c>
      <c r="C1723" t="s">
        <v>23490</v>
      </c>
      <c r="D1723" t="str">
        <f>HYPERLINK("https://rhld.insurance.arkansas.gov/NPILookup?Npi=1205148210","1205148210")</f>
        <v>1205148210</v>
      </c>
      <c r="E1723" t="s">
        <v>18696</v>
      </c>
    </row>
    <row r="1724" spans="1:5" x14ac:dyDescent="0.25">
      <c r="A1724" t="s">
        <v>1</v>
      </c>
      <c r="B1724" t="s">
        <v>19</v>
      </c>
      <c r="C1724" t="s">
        <v>23490</v>
      </c>
      <c r="D1724" t="str">
        <f>HYPERLINK("https://rhld.insurance.arkansas.gov/NPILookup?Npi=1205153863","1205153863")</f>
        <v>1205153863</v>
      </c>
      <c r="E1724" t="s">
        <v>8537</v>
      </c>
    </row>
    <row r="1725" spans="1:5" x14ac:dyDescent="0.25">
      <c r="A1725" t="s">
        <v>1</v>
      </c>
      <c r="B1725" t="s">
        <v>19</v>
      </c>
      <c r="C1725" t="s">
        <v>23490</v>
      </c>
      <c r="D1725" t="str">
        <f>HYPERLINK("https://rhld.insurance.arkansas.gov/NPILookup?Npi=1205177698","1205177698")</f>
        <v>1205177698</v>
      </c>
      <c r="E1725" t="s">
        <v>14868</v>
      </c>
    </row>
    <row r="1726" spans="1:5" x14ac:dyDescent="0.25">
      <c r="A1726" t="s">
        <v>1</v>
      </c>
      <c r="B1726" t="s">
        <v>19</v>
      </c>
      <c r="C1726" t="s">
        <v>23490</v>
      </c>
      <c r="D1726" t="str">
        <f>HYPERLINK("https://rhld.insurance.arkansas.gov/NPILookup?Npi=1205179298","1205179298")</f>
        <v>1205179298</v>
      </c>
      <c r="E1726" t="s">
        <v>22906</v>
      </c>
    </row>
    <row r="1727" spans="1:5" x14ac:dyDescent="0.25">
      <c r="A1727" t="s">
        <v>1</v>
      </c>
      <c r="B1727" t="s">
        <v>19</v>
      </c>
      <c r="C1727" t="s">
        <v>23490</v>
      </c>
      <c r="D1727" t="str">
        <f>HYPERLINK("https://rhld.insurance.arkansas.gov/NPILookup?Npi=1205219516","1205219516")</f>
        <v>1205219516</v>
      </c>
      <c r="E1727" t="s">
        <v>13415</v>
      </c>
    </row>
    <row r="1728" spans="1:5" x14ac:dyDescent="0.25">
      <c r="A1728" t="s">
        <v>1</v>
      </c>
      <c r="B1728" t="s">
        <v>19</v>
      </c>
      <c r="C1728" t="s">
        <v>23490</v>
      </c>
      <c r="D1728" t="str">
        <f>HYPERLINK("https://rhld.insurance.arkansas.gov/NPILookup?Npi=1205220654","1205220654")</f>
        <v>1205220654</v>
      </c>
      <c r="E1728" t="s">
        <v>13416</v>
      </c>
    </row>
    <row r="1729" spans="1:5" x14ac:dyDescent="0.25">
      <c r="A1729" t="s">
        <v>1</v>
      </c>
      <c r="B1729" t="s">
        <v>19</v>
      </c>
      <c r="C1729" t="s">
        <v>23490</v>
      </c>
      <c r="D1729" t="str">
        <f>HYPERLINK("https://rhld.insurance.arkansas.gov/NPILookup?Npi=1205224870","1205224870")</f>
        <v>1205224870</v>
      </c>
      <c r="E1729" t="s">
        <v>734</v>
      </c>
    </row>
    <row r="1730" spans="1:5" x14ac:dyDescent="0.25">
      <c r="A1730" t="s">
        <v>1</v>
      </c>
      <c r="B1730" t="s">
        <v>19</v>
      </c>
      <c r="C1730" t="s">
        <v>23490</v>
      </c>
      <c r="D1730" t="str">
        <f>HYPERLINK("https://rhld.insurance.arkansas.gov/NPILookup?Npi=1205226925","1205226925")</f>
        <v>1205226925</v>
      </c>
      <c r="E1730" t="s">
        <v>735</v>
      </c>
    </row>
    <row r="1731" spans="1:5" x14ac:dyDescent="0.25">
      <c r="A1731" t="s">
        <v>1</v>
      </c>
      <c r="B1731" t="s">
        <v>19</v>
      </c>
      <c r="C1731" t="s">
        <v>23490</v>
      </c>
      <c r="D1731" t="str">
        <f>HYPERLINK("https://rhld.insurance.arkansas.gov/NPILookup?Npi=1205236551","1205236551")</f>
        <v>1205236551</v>
      </c>
      <c r="E1731" t="s">
        <v>17401</v>
      </c>
    </row>
    <row r="1732" spans="1:5" x14ac:dyDescent="0.25">
      <c r="A1732" t="s">
        <v>1</v>
      </c>
      <c r="B1732" t="s">
        <v>19</v>
      </c>
      <c r="C1732" t="s">
        <v>23490</v>
      </c>
      <c r="D1732" t="str">
        <f>HYPERLINK("https://rhld.insurance.arkansas.gov/NPILookup?Npi=1205240041","1205240041")</f>
        <v>1205240041</v>
      </c>
      <c r="E1732" t="s">
        <v>10734</v>
      </c>
    </row>
    <row r="1733" spans="1:5" x14ac:dyDescent="0.25">
      <c r="A1733" t="s">
        <v>1</v>
      </c>
      <c r="B1733" t="s">
        <v>19</v>
      </c>
      <c r="C1733" t="s">
        <v>23490</v>
      </c>
      <c r="D1733" t="str">
        <f>HYPERLINK("https://rhld.insurance.arkansas.gov/NPILookup?Npi=1205279437","1205279437")</f>
        <v>1205279437</v>
      </c>
      <c r="E1733" t="s">
        <v>14869</v>
      </c>
    </row>
    <row r="1734" spans="1:5" x14ac:dyDescent="0.25">
      <c r="A1734" t="s">
        <v>1</v>
      </c>
      <c r="B1734" t="s">
        <v>19</v>
      </c>
      <c r="C1734" t="s">
        <v>23490</v>
      </c>
      <c r="D1734" t="str">
        <f>HYPERLINK("https://rhld.insurance.arkansas.gov/NPILookup?Npi=1205292968","1205292968")</f>
        <v>1205292968</v>
      </c>
      <c r="E1734" t="s">
        <v>8539</v>
      </c>
    </row>
    <row r="1735" spans="1:5" x14ac:dyDescent="0.25">
      <c r="A1735" t="s">
        <v>1</v>
      </c>
      <c r="B1735" t="s">
        <v>19</v>
      </c>
      <c r="C1735" t="s">
        <v>23490</v>
      </c>
      <c r="D1735" t="str">
        <f>HYPERLINK("https://rhld.insurance.arkansas.gov/NPILookup?Npi=1205293750","1205293750")</f>
        <v>1205293750</v>
      </c>
      <c r="E1735" t="s">
        <v>8540</v>
      </c>
    </row>
    <row r="1736" spans="1:5" x14ac:dyDescent="0.25">
      <c r="A1736" t="s">
        <v>1</v>
      </c>
      <c r="B1736" t="s">
        <v>19</v>
      </c>
      <c r="C1736" t="s">
        <v>23490</v>
      </c>
      <c r="D1736" t="str">
        <f>HYPERLINK("https://rhld.insurance.arkansas.gov/NPILookup?Npi=1205314432","1205314432")</f>
        <v>1205314432</v>
      </c>
      <c r="E1736" t="s">
        <v>14870</v>
      </c>
    </row>
    <row r="1737" spans="1:5" x14ac:dyDescent="0.25">
      <c r="A1737" t="s">
        <v>1</v>
      </c>
      <c r="B1737" t="s">
        <v>19</v>
      </c>
      <c r="C1737" t="s">
        <v>23490</v>
      </c>
      <c r="D1737" t="str">
        <f>HYPERLINK("https://rhld.insurance.arkansas.gov/NPILookup?Npi=1205315637","1205315637")</f>
        <v>1205315637</v>
      </c>
      <c r="E1737" t="s">
        <v>13417</v>
      </c>
    </row>
    <row r="1738" spans="1:5" x14ac:dyDescent="0.25">
      <c r="A1738" t="s">
        <v>1</v>
      </c>
      <c r="B1738" t="s">
        <v>19</v>
      </c>
      <c r="C1738" t="s">
        <v>23490</v>
      </c>
      <c r="D1738" t="str">
        <f>HYPERLINK("https://rhld.insurance.arkansas.gov/NPILookup?Npi=1205315900","1205315900")</f>
        <v>1205315900</v>
      </c>
      <c r="E1738" t="s">
        <v>13418</v>
      </c>
    </row>
    <row r="1739" spans="1:5" x14ac:dyDescent="0.25">
      <c r="A1739" t="s">
        <v>1</v>
      </c>
      <c r="B1739" t="s">
        <v>19</v>
      </c>
      <c r="C1739" t="s">
        <v>23490</v>
      </c>
      <c r="D1739" t="str">
        <f>HYPERLINK("https://rhld.insurance.arkansas.gov/NPILookup?Npi=1205340395","1205340395")</f>
        <v>1205340395</v>
      </c>
      <c r="E1739" t="s">
        <v>16892</v>
      </c>
    </row>
    <row r="1740" spans="1:5" x14ac:dyDescent="0.25">
      <c r="A1740" t="s">
        <v>1</v>
      </c>
      <c r="B1740" t="s">
        <v>19</v>
      </c>
      <c r="C1740" t="s">
        <v>23490</v>
      </c>
      <c r="D1740" t="str">
        <f>HYPERLINK("https://rhld.insurance.arkansas.gov/NPILookup?Npi=1205344041","1205344041")</f>
        <v>1205344041</v>
      </c>
      <c r="E1740" t="s">
        <v>12794</v>
      </c>
    </row>
    <row r="1741" spans="1:5" x14ac:dyDescent="0.25">
      <c r="A1741" t="s">
        <v>1</v>
      </c>
      <c r="B1741" t="s">
        <v>19</v>
      </c>
      <c r="C1741" t="s">
        <v>23490</v>
      </c>
      <c r="D1741" t="str">
        <f>HYPERLINK("https://rhld.insurance.arkansas.gov/NPILookup?Npi=1205345386","1205345386")</f>
        <v>1205345386</v>
      </c>
      <c r="E1741" t="s">
        <v>10735</v>
      </c>
    </row>
    <row r="1742" spans="1:5" x14ac:dyDescent="0.25">
      <c r="A1742" t="s">
        <v>1</v>
      </c>
      <c r="B1742" t="s">
        <v>19</v>
      </c>
      <c r="C1742" t="s">
        <v>23490</v>
      </c>
      <c r="D1742" t="str">
        <f>HYPERLINK("https://rhld.insurance.arkansas.gov/NPILookup?Npi=1205355526","1205355526")</f>
        <v>1205355526</v>
      </c>
      <c r="E1742" t="s">
        <v>12795</v>
      </c>
    </row>
    <row r="1743" spans="1:5" x14ac:dyDescent="0.25">
      <c r="A1743" t="s">
        <v>1</v>
      </c>
      <c r="B1743" t="s">
        <v>19</v>
      </c>
      <c r="C1743" t="s">
        <v>23490</v>
      </c>
      <c r="D1743" t="str">
        <f>HYPERLINK("https://rhld.insurance.arkansas.gov/NPILookup?Npi=1205355641","1205355641")</f>
        <v>1205355641</v>
      </c>
      <c r="E1743" t="s">
        <v>10736</v>
      </c>
    </row>
    <row r="1744" spans="1:5" x14ac:dyDescent="0.25">
      <c r="A1744" t="s">
        <v>1</v>
      </c>
      <c r="B1744" t="s">
        <v>19</v>
      </c>
      <c r="C1744" t="s">
        <v>23490</v>
      </c>
      <c r="D1744" t="str">
        <f>HYPERLINK("https://rhld.insurance.arkansas.gov/NPILookup?Npi=1205362738","1205362738")</f>
        <v>1205362738</v>
      </c>
      <c r="E1744" t="s">
        <v>13419</v>
      </c>
    </row>
    <row r="1745" spans="1:5" x14ac:dyDescent="0.25">
      <c r="A1745" t="s">
        <v>1</v>
      </c>
      <c r="B1745" t="s">
        <v>19</v>
      </c>
      <c r="C1745" t="s">
        <v>23490</v>
      </c>
      <c r="D1745" t="str">
        <f>HYPERLINK("https://rhld.insurance.arkansas.gov/NPILookup?Npi=1205362969","1205362969")</f>
        <v>1205362969</v>
      </c>
      <c r="E1745" t="s">
        <v>10737</v>
      </c>
    </row>
    <row r="1746" spans="1:5" x14ac:dyDescent="0.25">
      <c r="A1746" t="s">
        <v>1</v>
      </c>
      <c r="B1746" t="s">
        <v>19</v>
      </c>
      <c r="C1746" t="s">
        <v>23490</v>
      </c>
      <c r="D1746" t="str">
        <f>HYPERLINK("https://rhld.insurance.arkansas.gov/NPILookup?Npi=1205386604","1205386604")</f>
        <v>1205386604</v>
      </c>
      <c r="E1746" t="s">
        <v>10738</v>
      </c>
    </row>
    <row r="1747" spans="1:5" x14ac:dyDescent="0.25">
      <c r="A1747" t="s">
        <v>1</v>
      </c>
      <c r="B1747" t="s">
        <v>19</v>
      </c>
      <c r="C1747" t="s">
        <v>23490</v>
      </c>
      <c r="D1747" t="str">
        <f>HYPERLINK("https://rhld.insurance.arkansas.gov/NPILookup?Npi=1205388212","1205388212")</f>
        <v>1205388212</v>
      </c>
      <c r="E1747" t="s">
        <v>10739</v>
      </c>
    </row>
    <row r="1748" spans="1:5" x14ac:dyDescent="0.25">
      <c r="A1748" t="s">
        <v>1</v>
      </c>
      <c r="B1748" t="s">
        <v>19</v>
      </c>
      <c r="C1748" t="s">
        <v>23490</v>
      </c>
      <c r="D1748" t="str">
        <f>HYPERLINK("https://rhld.insurance.arkansas.gov/NPILookup?Npi=1205389632","1205389632")</f>
        <v>1205389632</v>
      </c>
      <c r="E1748" t="s">
        <v>16893</v>
      </c>
    </row>
    <row r="1749" spans="1:5" x14ac:dyDescent="0.25">
      <c r="A1749" t="s">
        <v>1</v>
      </c>
      <c r="B1749" t="s">
        <v>19</v>
      </c>
      <c r="C1749" t="s">
        <v>23490</v>
      </c>
      <c r="D1749" t="str">
        <f>HYPERLINK("https://rhld.insurance.arkansas.gov/NPILookup?Npi=1205392164","1205392164")</f>
        <v>1205392164</v>
      </c>
      <c r="E1749" t="s">
        <v>13420</v>
      </c>
    </row>
    <row r="1750" spans="1:5" x14ac:dyDescent="0.25">
      <c r="A1750" t="s">
        <v>1</v>
      </c>
      <c r="B1750" t="s">
        <v>19</v>
      </c>
      <c r="C1750" t="s">
        <v>23490</v>
      </c>
      <c r="D1750" t="str">
        <f>HYPERLINK("https://rhld.insurance.arkansas.gov/NPILookup?Npi=1205392396","1205392396")</f>
        <v>1205392396</v>
      </c>
      <c r="E1750" t="s">
        <v>17901</v>
      </c>
    </row>
    <row r="1751" spans="1:5" x14ac:dyDescent="0.25">
      <c r="A1751" t="s">
        <v>1</v>
      </c>
      <c r="B1751" t="s">
        <v>19</v>
      </c>
      <c r="C1751" t="s">
        <v>23490</v>
      </c>
      <c r="D1751" t="str">
        <f>HYPERLINK("https://rhld.insurance.arkansas.gov/NPILookup?Npi=1205397304","1205397304")</f>
        <v>1205397304</v>
      </c>
      <c r="E1751" t="s">
        <v>18697</v>
      </c>
    </row>
    <row r="1752" spans="1:5" x14ac:dyDescent="0.25">
      <c r="A1752" t="s">
        <v>1</v>
      </c>
      <c r="B1752" t="s">
        <v>19</v>
      </c>
      <c r="C1752" t="s">
        <v>23490</v>
      </c>
      <c r="D1752" t="str">
        <f>HYPERLINK("https://rhld.insurance.arkansas.gov/NPILookup?Npi=1205399631","1205399631")</f>
        <v>1205399631</v>
      </c>
      <c r="E1752" t="s">
        <v>19509</v>
      </c>
    </row>
    <row r="1753" spans="1:5" x14ac:dyDescent="0.25">
      <c r="A1753" t="s">
        <v>1</v>
      </c>
      <c r="B1753" t="s">
        <v>19</v>
      </c>
      <c r="C1753" t="s">
        <v>8427</v>
      </c>
      <c r="D1753" t="str">
        <f>HYPERLINK("https://rhld.insurance.arkansas.gov/NPILookup?Npi=1205402351","1205402351")</f>
        <v>1205402351</v>
      </c>
      <c r="E1753" t="s">
        <v>22907</v>
      </c>
    </row>
    <row r="1754" spans="1:5" x14ac:dyDescent="0.25">
      <c r="A1754" t="s">
        <v>1</v>
      </c>
      <c r="B1754" t="s">
        <v>19</v>
      </c>
      <c r="C1754" t="s">
        <v>23490</v>
      </c>
      <c r="D1754" t="str">
        <f>HYPERLINK("https://rhld.insurance.arkansas.gov/NPILookup?Npi=1205406709","1205406709")</f>
        <v>1205406709</v>
      </c>
      <c r="E1754" t="s">
        <v>18698</v>
      </c>
    </row>
    <row r="1755" spans="1:5" x14ac:dyDescent="0.25">
      <c r="A1755" t="s">
        <v>1</v>
      </c>
      <c r="B1755" t="s">
        <v>19</v>
      </c>
      <c r="C1755" t="s">
        <v>23490</v>
      </c>
      <c r="D1755" t="str">
        <f>HYPERLINK("https://rhld.insurance.arkansas.gov/NPILookup?Npi=1205407962","1205407962")</f>
        <v>1205407962</v>
      </c>
      <c r="E1755" t="s">
        <v>2924</v>
      </c>
    </row>
    <row r="1756" spans="1:5" x14ac:dyDescent="0.25">
      <c r="A1756" t="s">
        <v>1</v>
      </c>
      <c r="B1756" t="s">
        <v>19</v>
      </c>
      <c r="C1756" t="s">
        <v>23490</v>
      </c>
      <c r="D1756" t="str">
        <f>HYPERLINK("https://rhld.insurance.arkansas.gov/NPILookup?Npi=1205408176","1205408176")</f>
        <v>1205408176</v>
      </c>
      <c r="E1756" t="s">
        <v>19510</v>
      </c>
    </row>
    <row r="1757" spans="1:5" x14ac:dyDescent="0.25">
      <c r="A1757" t="s">
        <v>1</v>
      </c>
      <c r="B1757" t="s">
        <v>19</v>
      </c>
      <c r="C1757" t="s">
        <v>23490</v>
      </c>
      <c r="D1757" t="str">
        <f>HYPERLINK("https://rhld.insurance.arkansas.gov/NPILookup?Npi=1205415791","1205415791")</f>
        <v>1205415791</v>
      </c>
      <c r="E1757" t="s">
        <v>18699</v>
      </c>
    </row>
    <row r="1758" spans="1:5" x14ac:dyDescent="0.25">
      <c r="A1758" t="s">
        <v>1</v>
      </c>
      <c r="B1758" t="s">
        <v>19</v>
      </c>
      <c r="C1758" t="s">
        <v>23490</v>
      </c>
      <c r="D1758" t="str">
        <f>HYPERLINK("https://rhld.insurance.arkansas.gov/NPILookup?Npi=1205426145","1205426145")</f>
        <v>1205426145</v>
      </c>
      <c r="E1758" t="s">
        <v>17902</v>
      </c>
    </row>
    <row r="1759" spans="1:5" x14ac:dyDescent="0.25">
      <c r="A1759" t="s">
        <v>1</v>
      </c>
      <c r="B1759" t="s">
        <v>19</v>
      </c>
      <c r="C1759" t="s">
        <v>23490</v>
      </c>
      <c r="D1759" t="str">
        <f>HYPERLINK("https://rhld.insurance.arkansas.gov/NPILookup?Npi=1205434719","1205434719")</f>
        <v>1205434719</v>
      </c>
      <c r="E1759" t="s">
        <v>17903</v>
      </c>
    </row>
    <row r="1760" spans="1:5" x14ac:dyDescent="0.25">
      <c r="A1760" t="s">
        <v>1</v>
      </c>
      <c r="B1760" t="s">
        <v>19</v>
      </c>
      <c r="C1760" t="s">
        <v>23490</v>
      </c>
      <c r="D1760" t="str">
        <f>HYPERLINK("https://rhld.insurance.arkansas.gov/NPILookup?Npi=1205451853","1205451853")</f>
        <v>1205451853</v>
      </c>
      <c r="E1760" t="s">
        <v>17904</v>
      </c>
    </row>
    <row r="1761" spans="1:5" x14ac:dyDescent="0.25">
      <c r="A1761" t="s">
        <v>1</v>
      </c>
      <c r="B1761" t="s">
        <v>19</v>
      </c>
      <c r="C1761" t="s">
        <v>23490</v>
      </c>
      <c r="D1761" t="str">
        <f>HYPERLINK("https://rhld.insurance.arkansas.gov/NPILookup?Npi=1205499019","1205499019")</f>
        <v>1205499019</v>
      </c>
      <c r="E1761" t="s">
        <v>16894</v>
      </c>
    </row>
    <row r="1762" spans="1:5" x14ac:dyDescent="0.25">
      <c r="A1762" t="s">
        <v>1</v>
      </c>
      <c r="B1762" t="s">
        <v>19</v>
      </c>
      <c r="C1762" t="s">
        <v>23490</v>
      </c>
      <c r="D1762" t="str">
        <f>HYPERLINK("https://rhld.insurance.arkansas.gov/NPILookup?Npi=1205504750","1205504750")</f>
        <v>1205504750</v>
      </c>
      <c r="E1762" t="s">
        <v>19511</v>
      </c>
    </row>
    <row r="1763" spans="1:5" x14ac:dyDescent="0.25">
      <c r="A1763" t="s">
        <v>1</v>
      </c>
      <c r="B1763" t="s">
        <v>19</v>
      </c>
      <c r="C1763" t="s">
        <v>23490</v>
      </c>
      <c r="D1763" t="str">
        <f>HYPERLINK("https://rhld.insurance.arkansas.gov/NPILookup?Npi=1205580834","1205580834")</f>
        <v>1205580834</v>
      </c>
      <c r="E1763" t="s">
        <v>21497</v>
      </c>
    </row>
    <row r="1764" spans="1:5" x14ac:dyDescent="0.25">
      <c r="A1764" t="s">
        <v>1</v>
      </c>
      <c r="B1764" t="s">
        <v>19</v>
      </c>
      <c r="C1764" t="s">
        <v>23490</v>
      </c>
      <c r="D1764" t="str">
        <f>HYPERLINK("https://rhld.insurance.arkansas.gov/NPILookup?Npi=1205589058","1205589058")</f>
        <v>1205589058</v>
      </c>
      <c r="E1764" t="s">
        <v>19512</v>
      </c>
    </row>
    <row r="1765" spans="1:5" x14ac:dyDescent="0.25">
      <c r="A1765" t="s">
        <v>1</v>
      </c>
      <c r="B1765" t="s">
        <v>19</v>
      </c>
      <c r="C1765" t="s">
        <v>23490</v>
      </c>
      <c r="D1765" t="str">
        <f>HYPERLINK("https://rhld.insurance.arkansas.gov/NPILookup?Npi=1205593068","1205593068")</f>
        <v>1205593068</v>
      </c>
      <c r="E1765" t="s">
        <v>19513</v>
      </c>
    </row>
    <row r="1766" spans="1:5" x14ac:dyDescent="0.25">
      <c r="A1766" t="s">
        <v>1</v>
      </c>
      <c r="B1766" t="s">
        <v>19</v>
      </c>
      <c r="C1766" t="s">
        <v>23490</v>
      </c>
      <c r="D1766" t="str">
        <f>HYPERLINK("https://rhld.insurance.arkansas.gov/NPILookup?Npi=1205599917","1205599917")</f>
        <v>1205599917</v>
      </c>
      <c r="E1766" t="s">
        <v>19514</v>
      </c>
    </row>
    <row r="1767" spans="1:5" x14ac:dyDescent="0.25">
      <c r="A1767" t="s">
        <v>1</v>
      </c>
      <c r="B1767" t="s">
        <v>19</v>
      </c>
      <c r="C1767" t="s">
        <v>23490</v>
      </c>
      <c r="D1767" t="str">
        <f>HYPERLINK("https://rhld.insurance.arkansas.gov/NPILookup?Npi=1205802584","1205802584")</f>
        <v>1205802584</v>
      </c>
      <c r="E1767" t="s">
        <v>14871</v>
      </c>
    </row>
    <row r="1768" spans="1:5" x14ac:dyDescent="0.25">
      <c r="A1768" t="s">
        <v>1</v>
      </c>
      <c r="B1768" t="s">
        <v>19</v>
      </c>
      <c r="C1768" t="s">
        <v>23490</v>
      </c>
      <c r="D1768" t="str">
        <f>HYPERLINK("https://rhld.insurance.arkansas.gov/NPILookup?Npi=1205811247","1205811247")</f>
        <v>1205811247</v>
      </c>
      <c r="E1768" t="s">
        <v>736</v>
      </c>
    </row>
    <row r="1769" spans="1:5" x14ac:dyDescent="0.25">
      <c r="A1769" t="s">
        <v>1</v>
      </c>
      <c r="B1769" t="s">
        <v>19</v>
      </c>
      <c r="C1769" t="s">
        <v>23490</v>
      </c>
      <c r="D1769" t="str">
        <f>HYPERLINK("https://rhld.insurance.arkansas.gov/NPILookup?Npi=1205813979","1205813979")</f>
        <v>1205813979</v>
      </c>
      <c r="E1769" t="s">
        <v>737</v>
      </c>
    </row>
    <row r="1770" spans="1:5" x14ac:dyDescent="0.25">
      <c r="A1770" t="s">
        <v>1</v>
      </c>
      <c r="B1770" t="s">
        <v>19</v>
      </c>
      <c r="C1770" t="s">
        <v>23490</v>
      </c>
      <c r="D1770" t="str">
        <f>HYPERLINK("https://rhld.insurance.arkansas.gov/NPILookup?Npi=1205820123","1205820123")</f>
        <v>1205820123</v>
      </c>
      <c r="E1770" t="s">
        <v>738</v>
      </c>
    </row>
    <row r="1771" spans="1:5" x14ac:dyDescent="0.25">
      <c r="A1771" t="s">
        <v>1</v>
      </c>
      <c r="B1771" t="s">
        <v>19</v>
      </c>
      <c r="C1771" t="s">
        <v>23490</v>
      </c>
      <c r="D1771" t="str">
        <f>HYPERLINK("https://rhld.insurance.arkansas.gov/NPILookup?Npi=1205820974","1205820974")</f>
        <v>1205820974</v>
      </c>
      <c r="E1771" t="s">
        <v>14872</v>
      </c>
    </row>
    <row r="1772" spans="1:5" x14ac:dyDescent="0.25">
      <c r="A1772" t="s">
        <v>1</v>
      </c>
      <c r="B1772" t="s">
        <v>19</v>
      </c>
      <c r="C1772" t="s">
        <v>23490</v>
      </c>
      <c r="D1772" t="str">
        <f>HYPERLINK("https://rhld.insurance.arkansas.gov/NPILookup?Npi=1205826187","1205826187")</f>
        <v>1205826187</v>
      </c>
      <c r="E1772" t="s">
        <v>17402</v>
      </c>
    </row>
    <row r="1773" spans="1:5" x14ac:dyDescent="0.25">
      <c r="A1773" t="s">
        <v>1</v>
      </c>
      <c r="B1773" t="s">
        <v>19</v>
      </c>
      <c r="C1773" t="s">
        <v>23490</v>
      </c>
      <c r="D1773" t="str">
        <f>HYPERLINK("https://rhld.insurance.arkansas.gov/NPILookup?Npi=1205827565","1205827565")</f>
        <v>1205827565</v>
      </c>
      <c r="E1773" t="s">
        <v>739</v>
      </c>
    </row>
    <row r="1774" spans="1:5" x14ac:dyDescent="0.25">
      <c r="A1774" t="s">
        <v>1</v>
      </c>
      <c r="B1774" t="s">
        <v>19</v>
      </c>
      <c r="C1774" t="s">
        <v>23490</v>
      </c>
      <c r="D1774" t="str">
        <f>HYPERLINK("https://rhld.insurance.arkansas.gov/NPILookup?Npi=1205829710","1205829710")</f>
        <v>1205829710</v>
      </c>
      <c r="E1774" t="s">
        <v>740</v>
      </c>
    </row>
    <row r="1775" spans="1:5" x14ac:dyDescent="0.25">
      <c r="A1775" t="s">
        <v>1</v>
      </c>
      <c r="B1775" t="s">
        <v>19</v>
      </c>
      <c r="C1775" t="s">
        <v>23490</v>
      </c>
      <c r="D1775" t="str">
        <f>HYPERLINK("https://rhld.insurance.arkansas.gov/NPILookup?Npi=1205831997","1205831997")</f>
        <v>1205831997</v>
      </c>
      <c r="E1775" t="s">
        <v>14873</v>
      </c>
    </row>
    <row r="1776" spans="1:5" x14ac:dyDescent="0.25">
      <c r="A1776" t="s">
        <v>1</v>
      </c>
      <c r="B1776" t="s">
        <v>19</v>
      </c>
      <c r="C1776" t="s">
        <v>23490</v>
      </c>
      <c r="D1776" t="str">
        <f>HYPERLINK("https://rhld.insurance.arkansas.gov/NPILookup?Npi=1205832219","1205832219")</f>
        <v>1205832219</v>
      </c>
      <c r="E1776" t="s">
        <v>741</v>
      </c>
    </row>
    <row r="1777" spans="1:5" x14ac:dyDescent="0.25">
      <c r="A1777" t="s">
        <v>1</v>
      </c>
      <c r="B1777" t="s">
        <v>19</v>
      </c>
      <c r="C1777" t="s">
        <v>23490</v>
      </c>
      <c r="D1777" t="str">
        <f>HYPERLINK("https://rhld.insurance.arkansas.gov/NPILookup?Npi=1205832920","1205832920")</f>
        <v>1205832920</v>
      </c>
      <c r="E1777" t="s">
        <v>742</v>
      </c>
    </row>
    <row r="1778" spans="1:5" x14ac:dyDescent="0.25">
      <c r="A1778" t="s">
        <v>1</v>
      </c>
      <c r="B1778" t="s">
        <v>19</v>
      </c>
      <c r="C1778" t="s">
        <v>23490</v>
      </c>
      <c r="D1778" t="str">
        <f>HYPERLINK("https://rhld.insurance.arkansas.gov/NPILookup?Npi=1205833738","1205833738")</f>
        <v>1205833738</v>
      </c>
      <c r="E1778" t="s">
        <v>743</v>
      </c>
    </row>
    <row r="1779" spans="1:5" x14ac:dyDescent="0.25">
      <c r="A1779" t="s">
        <v>1</v>
      </c>
      <c r="B1779" t="s">
        <v>19</v>
      </c>
      <c r="C1779" t="s">
        <v>23490</v>
      </c>
      <c r="D1779" t="str">
        <f>HYPERLINK("https://rhld.insurance.arkansas.gov/NPILookup?Npi=1205846813","1205846813")</f>
        <v>1205846813</v>
      </c>
      <c r="E1779" t="s">
        <v>21498</v>
      </c>
    </row>
    <row r="1780" spans="1:5" x14ac:dyDescent="0.25">
      <c r="A1780" t="s">
        <v>1</v>
      </c>
      <c r="B1780" t="s">
        <v>19</v>
      </c>
      <c r="C1780" t="s">
        <v>23490</v>
      </c>
      <c r="D1780" t="str">
        <f>HYPERLINK("https://rhld.insurance.arkansas.gov/NPILookup?Npi=1205848249","1205848249")</f>
        <v>1205848249</v>
      </c>
      <c r="E1780" t="s">
        <v>10740</v>
      </c>
    </row>
    <row r="1781" spans="1:5" x14ac:dyDescent="0.25">
      <c r="A1781" t="s">
        <v>1</v>
      </c>
      <c r="B1781" t="s">
        <v>19</v>
      </c>
      <c r="C1781" t="s">
        <v>23490</v>
      </c>
      <c r="D1781" t="str">
        <f>HYPERLINK("https://rhld.insurance.arkansas.gov/NPILookup?Npi=1205850542","1205850542")</f>
        <v>1205850542</v>
      </c>
      <c r="E1781" t="s">
        <v>744</v>
      </c>
    </row>
    <row r="1782" spans="1:5" x14ac:dyDescent="0.25">
      <c r="A1782" t="s">
        <v>1</v>
      </c>
      <c r="B1782" t="s">
        <v>19</v>
      </c>
      <c r="C1782" t="s">
        <v>23490</v>
      </c>
      <c r="D1782" t="str">
        <f>HYPERLINK("https://rhld.insurance.arkansas.gov/NPILookup?Npi=1205867843","1205867843")</f>
        <v>1205867843</v>
      </c>
      <c r="E1782" t="s">
        <v>746</v>
      </c>
    </row>
    <row r="1783" spans="1:5" x14ac:dyDescent="0.25">
      <c r="A1783" t="s">
        <v>1</v>
      </c>
      <c r="B1783" t="s">
        <v>19</v>
      </c>
      <c r="C1783" t="s">
        <v>23490</v>
      </c>
      <c r="D1783" t="str">
        <f>HYPERLINK("https://rhld.insurance.arkansas.gov/NPILookup?Npi=1205875846","1205875846")</f>
        <v>1205875846</v>
      </c>
      <c r="E1783" t="s">
        <v>747</v>
      </c>
    </row>
    <row r="1784" spans="1:5" x14ac:dyDescent="0.25">
      <c r="A1784" t="s">
        <v>1</v>
      </c>
      <c r="B1784" t="s">
        <v>19</v>
      </c>
      <c r="C1784" t="s">
        <v>23490</v>
      </c>
      <c r="D1784" t="str">
        <f>HYPERLINK("https://rhld.insurance.arkansas.gov/NPILookup?Npi=1205878105","1205878105")</f>
        <v>1205878105</v>
      </c>
      <c r="E1784" t="s">
        <v>748</v>
      </c>
    </row>
    <row r="1785" spans="1:5" x14ac:dyDescent="0.25">
      <c r="A1785" t="s">
        <v>1</v>
      </c>
      <c r="B1785" t="s">
        <v>19</v>
      </c>
      <c r="C1785" t="s">
        <v>23490</v>
      </c>
      <c r="D1785" t="str">
        <f>HYPERLINK("https://rhld.insurance.arkansas.gov/NPILookup?Npi=1205884640","1205884640")</f>
        <v>1205884640</v>
      </c>
      <c r="E1785" t="s">
        <v>19515</v>
      </c>
    </row>
    <row r="1786" spans="1:5" x14ac:dyDescent="0.25">
      <c r="A1786" t="s">
        <v>1</v>
      </c>
      <c r="B1786" t="s">
        <v>19</v>
      </c>
      <c r="C1786" t="s">
        <v>23490</v>
      </c>
      <c r="D1786" t="str">
        <f>HYPERLINK("https://rhld.insurance.arkansas.gov/NPILookup?Npi=1205886090","1205886090")</f>
        <v>1205886090</v>
      </c>
      <c r="E1786" t="s">
        <v>749</v>
      </c>
    </row>
    <row r="1787" spans="1:5" x14ac:dyDescent="0.25">
      <c r="A1787" t="s">
        <v>1</v>
      </c>
      <c r="B1787" t="s">
        <v>19</v>
      </c>
      <c r="C1787" t="s">
        <v>23490</v>
      </c>
      <c r="D1787" t="str">
        <f>HYPERLINK("https://rhld.insurance.arkansas.gov/NPILookup?Npi=1205895448","1205895448")</f>
        <v>1205895448</v>
      </c>
      <c r="E1787" t="s">
        <v>8541</v>
      </c>
    </row>
    <row r="1788" spans="1:5" x14ac:dyDescent="0.25">
      <c r="A1788" t="s">
        <v>1</v>
      </c>
      <c r="B1788" t="s">
        <v>19</v>
      </c>
      <c r="C1788" t="s">
        <v>23490</v>
      </c>
      <c r="D1788" t="str">
        <f>HYPERLINK("https://rhld.insurance.arkansas.gov/NPILookup?Npi=1205896347","1205896347")</f>
        <v>1205896347</v>
      </c>
      <c r="E1788" t="s">
        <v>750</v>
      </c>
    </row>
    <row r="1789" spans="1:5" x14ac:dyDescent="0.25">
      <c r="A1789" t="s">
        <v>1</v>
      </c>
      <c r="B1789" t="s">
        <v>19</v>
      </c>
      <c r="C1789" t="s">
        <v>23490</v>
      </c>
      <c r="D1789" t="str">
        <f>HYPERLINK("https://rhld.insurance.arkansas.gov/NPILookup?Npi=1205899267","1205899267")</f>
        <v>1205899267</v>
      </c>
      <c r="E1789" t="s">
        <v>14874</v>
      </c>
    </row>
    <row r="1790" spans="1:5" x14ac:dyDescent="0.25">
      <c r="A1790" t="s">
        <v>1</v>
      </c>
      <c r="B1790" t="s">
        <v>19</v>
      </c>
      <c r="C1790" t="s">
        <v>23490</v>
      </c>
      <c r="D1790" t="str">
        <f>HYPERLINK("https://rhld.insurance.arkansas.gov/NPILookup?Npi=1205899572","1205899572")</f>
        <v>1205899572</v>
      </c>
      <c r="E1790" t="s">
        <v>751</v>
      </c>
    </row>
    <row r="1791" spans="1:5" x14ac:dyDescent="0.25">
      <c r="A1791" t="s">
        <v>1</v>
      </c>
      <c r="B1791" t="s">
        <v>19</v>
      </c>
      <c r="C1791" t="s">
        <v>23490</v>
      </c>
      <c r="D1791" t="str">
        <f>HYPERLINK("https://rhld.insurance.arkansas.gov/NPILookup?Npi=1205916806","1205916806")</f>
        <v>1205916806</v>
      </c>
      <c r="E1791" t="s">
        <v>10741</v>
      </c>
    </row>
    <row r="1792" spans="1:5" x14ac:dyDescent="0.25">
      <c r="A1792" t="s">
        <v>1</v>
      </c>
      <c r="B1792" t="s">
        <v>19</v>
      </c>
      <c r="C1792" t="s">
        <v>23490</v>
      </c>
      <c r="D1792" t="str">
        <f>HYPERLINK("https://rhld.insurance.arkansas.gov/NPILookup?Npi=1205923471","1205923471")</f>
        <v>1205923471</v>
      </c>
      <c r="E1792" t="s">
        <v>21499</v>
      </c>
    </row>
    <row r="1793" spans="1:5" x14ac:dyDescent="0.25">
      <c r="A1793" t="s">
        <v>1</v>
      </c>
      <c r="B1793" t="s">
        <v>19</v>
      </c>
      <c r="C1793" t="s">
        <v>23490</v>
      </c>
      <c r="D1793" t="str">
        <f>HYPERLINK("https://rhld.insurance.arkansas.gov/NPILookup?Npi=1205934957","1205934957")</f>
        <v>1205934957</v>
      </c>
      <c r="E1793" t="s">
        <v>753</v>
      </c>
    </row>
    <row r="1794" spans="1:5" x14ac:dyDescent="0.25">
      <c r="A1794" t="s">
        <v>1</v>
      </c>
      <c r="B1794" t="s">
        <v>19</v>
      </c>
      <c r="C1794" t="s">
        <v>23490</v>
      </c>
      <c r="D1794" t="str">
        <f>HYPERLINK("https://rhld.insurance.arkansas.gov/NPILookup?Npi=1205937695","1205937695")</f>
        <v>1205937695</v>
      </c>
      <c r="E1794" t="s">
        <v>754</v>
      </c>
    </row>
    <row r="1795" spans="1:5" x14ac:dyDescent="0.25">
      <c r="A1795" t="s">
        <v>1</v>
      </c>
      <c r="B1795" t="s">
        <v>19</v>
      </c>
      <c r="C1795" t="s">
        <v>23490</v>
      </c>
      <c r="D1795" t="str">
        <f>HYPERLINK("https://rhld.insurance.arkansas.gov/NPILookup?Npi=1205943289","1205943289")</f>
        <v>1205943289</v>
      </c>
      <c r="E1795" t="s">
        <v>755</v>
      </c>
    </row>
    <row r="1796" spans="1:5" x14ac:dyDescent="0.25">
      <c r="A1796" t="s">
        <v>1</v>
      </c>
      <c r="B1796" t="s">
        <v>19</v>
      </c>
      <c r="C1796" t="s">
        <v>23490</v>
      </c>
      <c r="D1796" t="str">
        <f>HYPERLINK("https://rhld.insurance.arkansas.gov/NPILookup?Npi=1205947041","1205947041")</f>
        <v>1205947041</v>
      </c>
      <c r="E1796" t="s">
        <v>16895</v>
      </c>
    </row>
    <row r="1797" spans="1:5" x14ac:dyDescent="0.25">
      <c r="A1797" t="s">
        <v>1</v>
      </c>
      <c r="B1797" t="s">
        <v>19</v>
      </c>
      <c r="C1797" t="s">
        <v>23490</v>
      </c>
      <c r="D1797" t="str">
        <f>HYPERLINK("https://rhld.insurance.arkansas.gov/NPILookup?Npi=1205970209","1205970209")</f>
        <v>1205970209</v>
      </c>
      <c r="E1797" t="s">
        <v>757</v>
      </c>
    </row>
    <row r="1798" spans="1:5" x14ac:dyDescent="0.25">
      <c r="A1798" t="s">
        <v>1</v>
      </c>
      <c r="B1798" t="s">
        <v>19</v>
      </c>
      <c r="C1798" t="s">
        <v>23490</v>
      </c>
      <c r="D1798" t="str">
        <f>HYPERLINK("https://rhld.insurance.arkansas.gov/NPILookup?Npi=1215021001","1215021001")</f>
        <v>1215021001</v>
      </c>
      <c r="E1798" t="s">
        <v>14875</v>
      </c>
    </row>
    <row r="1799" spans="1:5" x14ac:dyDescent="0.25">
      <c r="A1799" t="s">
        <v>1</v>
      </c>
      <c r="B1799" t="s">
        <v>19</v>
      </c>
      <c r="C1799" t="s">
        <v>23490</v>
      </c>
      <c r="D1799" t="str">
        <f>HYPERLINK("https://rhld.insurance.arkansas.gov/NPILookup?Npi=1215026620","1215026620")</f>
        <v>1215026620</v>
      </c>
      <c r="E1799" t="s">
        <v>8542</v>
      </c>
    </row>
    <row r="1800" spans="1:5" x14ac:dyDescent="0.25">
      <c r="A1800" t="s">
        <v>1</v>
      </c>
      <c r="B1800" t="s">
        <v>19</v>
      </c>
      <c r="C1800" t="s">
        <v>23490</v>
      </c>
      <c r="D1800" t="str">
        <f>HYPERLINK("https://rhld.insurance.arkansas.gov/NPILookup?Npi=1215030820","1215030820")</f>
        <v>1215030820</v>
      </c>
      <c r="E1800" t="s">
        <v>759</v>
      </c>
    </row>
    <row r="1801" spans="1:5" x14ac:dyDescent="0.25">
      <c r="A1801" t="s">
        <v>1</v>
      </c>
      <c r="B1801" t="s">
        <v>19</v>
      </c>
      <c r="C1801" t="s">
        <v>23490</v>
      </c>
      <c r="D1801" t="str">
        <f>HYPERLINK("https://rhld.insurance.arkansas.gov/NPILookup?Npi=1215044052","1215044052")</f>
        <v>1215044052</v>
      </c>
      <c r="E1801" t="s">
        <v>22908</v>
      </c>
    </row>
    <row r="1802" spans="1:5" x14ac:dyDescent="0.25">
      <c r="A1802" t="s">
        <v>1</v>
      </c>
      <c r="B1802" t="s">
        <v>19</v>
      </c>
      <c r="C1802" t="s">
        <v>23490</v>
      </c>
      <c r="D1802" t="str">
        <f>HYPERLINK("https://rhld.insurance.arkansas.gov/NPILookup?Npi=1215046404","1215046404")</f>
        <v>1215046404</v>
      </c>
      <c r="E1802" t="s">
        <v>760</v>
      </c>
    </row>
    <row r="1803" spans="1:5" x14ac:dyDescent="0.25">
      <c r="A1803" t="s">
        <v>1</v>
      </c>
      <c r="B1803" t="s">
        <v>19</v>
      </c>
      <c r="C1803" t="s">
        <v>23490</v>
      </c>
      <c r="D1803" t="str">
        <f>HYPERLINK("https://rhld.insurance.arkansas.gov/NPILookup?Npi=1215050406","1215050406")</f>
        <v>1215050406</v>
      </c>
      <c r="E1803" t="s">
        <v>14876</v>
      </c>
    </row>
    <row r="1804" spans="1:5" x14ac:dyDescent="0.25">
      <c r="A1804" t="s">
        <v>1</v>
      </c>
      <c r="B1804" t="s">
        <v>19</v>
      </c>
      <c r="C1804" t="s">
        <v>23490</v>
      </c>
      <c r="D1804" t="str">
        <f>HYPERLINK("https://rhld.insurance.arkansas.gov/NPILookup?Npi=1215051628","1215051628")</f>
        <v>1215051628</v>
      </c>
      <c r="E1804" t="s">
        <v>8543</v>
      </c>
    </row>
    <row r="1805" spans="1:5" x14ac:dyDescent="0.25">
      <c r="A1805" t="s">
        <v>1</v>
      </c>
      <c r="B1805" t="s">
        <v>19</v>
      </c>
      <c r="C1805" t="s">
        <v>23490</v>
      </c>
      <c r="D1805" t="str">
        <f>HYPERLINK("https://rhld.insurance.arkansas.gov/NPILookup?Npi=1215065867","1215065867")</f>
        <v>1215065867</v>
      </c>
      <c r="E1805" t="s">
        <v>761</v>
      </c>
    </row>
    <row r="1806" spans="1:5" x14ac:dyDescent="0.25">
      <c r="A1806" t="s">
        <v>1</v>
      </c>
      <c r="B1806" t="s">
        <v>19</v>
      </c>
      <c r="C1806" t="s">
        <v>23490</v>
      </c>
      <c r="D1806" t="str">
        <f>HYPERLINK("https://rhld.insurance.arkansas.gov/NPILookup?Npi=1215067822","1215067822")</f>
        <v>1215067822</v>
      </c>
      <c r="E1806" t="s">
        <v>8544</v>
      </c>
    </row>
    <row r="1807" spans="1:5" x14ac:dyDescent="0.25">
      <c r="A1807" t="s">
        <v>1</v>
      </c>
      <c r="B1807" t="s">
        <v>19</v>
      </c>
      <c r="C1807" t="s">
        <v>23490</v>
      </c>
      <c r="D1807" t="str">
        <f>HYPERLINK("https://rhld.insurance.arkansas.gov/NPILookup?Npi=1215082458","1215082458")</f>
        <v>1215082458</v>
      </c>
      <c r="E1807" t="s">
        <v>762</v>
      </c>
    </row>
    <row r="1808" spans="1:5" x14ac:dyDescent="0.25">
      <c r="A1808" t="s">
        <v>1</v>
      </c>
      <c r="B1808" t="s">
        <v>19</v>
      </c>
      <c r="C1808" t="s">
        <v>23490</v>
      </c>
      <c r="D1808" t="str">
        <f>HYPERLINK("https://rhld.insurance.arkansas.gov/NPILookup?Npi=1215092630","1215092630")</f>
        <v>1215092630</v>
      </c>
      <c r="E1808" t="s">
        <v>14877</v>
      </c>
    </row>
    <row r="1809" spans="1:5" x14ac:dyDescent="0.25">
      <c r="A1809" t="s">
        <v>1</v>
      </c>
      <c r="B1809" t="s">
        <v>19</v>
      </c>
      <c r="C1809" t="s">
        <v>23490</v>
      </c>
      <c r="D1809" t="str">
        <f>HYPERLINK("https://rhld.insurance.arkansas.gov/NPILookup?Npi=1215154398","1215154398")</f>
        <v>1215154398</v>
      </c>
      <c r="E1809" t="s">
        <v>764</v>
      </c>
    </row>
    <row r="1810" spans="1:5" x14ac:dyDescent="0.25">
      <c r="A1810" t="s">
        <v>1</v>
      </c>
      <c r="B1810" t="s">
        <v>19</v>
      </c>
      <c r="C1810" t="s">
        <v>23490</v>
      </c>
      <c r="D1810" t="str">
        <f>HYPERLINK("https://rhld.insurance.arkansas.gov/NPILookup?Npi=1215163118","1215163118")</f>
        <v>1215163118</v>
      </c>
      <c r="E1810" t="s">
        <v>765</v>
      </c>
    </row>
    <row r="1811" spans="1:5" x14ac:dyDescent="0.25">
      <c r="A1811" t="s">
        <v>1</v>
      </c>
      <c r="B1811" t="s">
        <v>19</v>
      </c>
      <c r="C1811" t="s">
        <v>23490</v>
      </c>
      <c r="D1811" t="str">
        <f>HYPERLINK("https://rhld.insurance.arkansas.gov/NPILookup?Npi=1215164629","1215164629")</f>
        <v>1215164629</v>
      </c>
      <c r="E1811" t="s">
        <v>766</v>
      </c>
    </row>
    <row r="1812" spans="1:5" x14ac:dyDescent="0.25">
      <c r="A1812" t="s">
        <v>1</v>
      </c>
      <c r="B1812" t="s">
        <v>19</v>
      </c>
      <c r="C1812" t="s">
        <v>23490</v>
      </c>
      <c r="D1812" t="str">
        <f>HYPERLINK("https://rhld.insurance.arkansas.gov/NPILookup?Npi=1215165576","1215165576")</f>
        <v>1215165576</v>
      </c>
      <c r="E1812" t="s">
        <v>767</v>
      </c>
    </row>
    <row r="1813" spans="1:5" x14ac:dyDescent="0.25">
      <c r="A1813" t="s">
        <v>1</v>
      </c>
      <c r="B1813" t="s">
        <v>19</v>
      </c>
      <c r="C1813" t="s">
        <v>23490</v>
      </c>
      <c r="D1813" t="str">
        <f>HYPERLINK("https://rhld.insurance.arkansas.gov/NPILookup?Npi=1215167150","1215167150")</f>
        <v>1215167150</v>
      </c>
      <c r="E1813" t="s">
        <v>768</v>
      </c>
    </row>
    <row r="1814" spans="1:5" x14ac:dyDescent="0.25">
      <c r="A1814" t="s">
        <v>1</v>
      </c>
      <c r="B1814" t="s">
        <v>19</v>
      </c>
      <c r="C1814" t="s">
        <v>23490</v>
      </c>
      <c r="D1814" t="str">
        <f>HYPERLINK("https://rhld.insurance.arkansas.gov/NPILookup?Npi=1215170121","1215170121")</f>
        <v>1215170121</v>
      </c>
      <c r="E1814" t="s">
        <v>19516</v>
      </c>
    </row>
    <row r="1815" spans="1:5" x14ac:dyDescent="0.25">
      <c r="A1815" t="s">
        <v>1</v>
      </c>
      <c r="B1815" t="s">
        <v>19</v>
      </c>
      <c r="C1815" t="s">
        <v>23490</v>
      </c>
      <c r="D1815" t="str">
        <f>HYPERLINK("https://rhld.insurance.arkansas.gov/NPILookup?Npi=1215171368","1215171368")</f>
        <v>1215171368</v>
      </c>
      <c r="E1815" t="s">
        <v>14878</v>
      </c>
    </row>
    <row r="1816" spans="1:5" x14ac:dyDescent="0.25">
      <c r="A1816" t="s">
        <v>1</v>
      </c>
      <c r="B1816" t="s">
        <v>19</v>
      </c>
      <c r="C1816" t="s">
        <v>23490</v>
      </c>
      <c r="D1816" t="str">
        <f>HYPERLINK("https://rhld.insurance.arkansas.gov/NPILookup?Npi=1215172713","1215172713")</f>
        <v>1215172713</v>
      </c>
      <c r="E1816" t="s">
        <v>10742</v>
      </c>
    </row>
    <row r="1817" spans="1:5" x14ac:dyDescent="0.25">
      <c r="A1817" t="s">
        <v>1</v>
      </c>
      <c r="B1817" t="s">
        <v>19</v>
      </c>
      <c r="C1817" t="s">
        <v>23490</v>
      </c>
      <c r="D1817" t="str">
        <f>HYPERLINK("https://rhld.insurance.arkansas.gov/NPILookup?Npi=1215176706","1215176706")</f>
        <v>1215176706</v>
      </c>
      <c r="E1817" t="s">
        <v>769</v>
      </c>
    </row>
    <row r="1818" spans="1:5" x14ac:dyDescent="0.25">
      <c r="A1818" t="s">
        <v>1</v>
      </c>
      <c r="B1818" t="s">
        <v>19</v>
      </c>
      <c r="C1818" t="s">
        <v>23490</v>
      </c>
      <c r="D1818" t="str">
        <f>HYPERLINK("https://rhld.insurance.arkansas.gov/NPILookup?Npi=1215186028","1215186028")</f>
        <v>1215186028</v>
      </c>
      <c r="E1818" t="s">
        <v>14879</v>
      </c>
    </row>
    <row r="1819" spans="1:5" x14ac:dyDescent="0.25">
      <c r="A1819" t="s">
        <v>1</v>
      </c>
      <c r="B1819" t="s">
        <v>19</v>
      </c>
      <c r="C1819" t="s">
        <v>23490</v>
      </c>
      <c r="D1819" t="str">
        <f>HYPERLINK("https://rhld.insurance.arkansas.gov/NPILookup?Npi=1215189618","1215189618")</f>
        <v>1215189618</v>
      </c>
      <c r="E1819" t="s">
        <v>770</v>
      </c>
    </row>
    <row r="1820" spans="1:5" x14ac:dyDescent="0.25">
      <c r="A1820" t="s">
        <v>1</v>
      </c>
      <c r="B1820" t="s">
        <v>19</v>
      </c>
      <c r="C1820" t="s">
        <v>23490</v>
      </c>
      <c r="D1820" t="str">
        <f>HYPERLINK("https://rhld.insurance.arkansas.gov/NPILookup?Npi=1215213160","1215213160")</f>
        <v>1215213160</v>
      </c>
      <c r="E1820" t="s">
        <v>8545</v>
      </c>
    </row>
    <row r="1821" spans="1:5" x14ac:dyDescent="0.25">
      <c r="A1821" t="s">
        <v>1</v>
      </c>
      <c r="B1821" t="s">
        <v>19</v>
      </c>
      <c r="C1821" t="s">
        <v>23490</v>
      </c>
      <c r="D1821" t="str">
        <f>HYPERLINK("https://rhld.insurance.arkansas.gov/NPILookup?Npi=1215224704","1215224704")</f>
        <v>1215224704</v>
      </c>
      <c r="E1821" t="s">
        <v>772</v>
      </c>
    </row>
    <row r="1822" spans="1:5" x14ac:dyDescent="0.25">
      <c r="A1822" t="s">
        <v>1</v>
      </c>
      <c r="B1822" t="s">
        <v>19</v>
      </c>
      <c r="C1822" t="s">
        <v>23490</v>
      </c>
      <c r="D1822" t="str">
        <f>HYPERLINK("https://rhld.insurance.arkansas.gov/NPILookup?Npi=1215233887","1215233887")</f>
        <v>1215233887</v>
      </c>
      <c r="E1822" t="s">
        <v>8546</v>
      </c>
    </row>
    <row r="1823" spans="1:5" x14ac:dyDescent="0.25">
      <c r="A1823" t="s">
        <v>1</v>
      </c>
      <c r="B1823" t="s">
        <v>19</v>
      </c>
      <c r="C1823" t="s">
        <v>23490</v>
      </c>
      <c r="D1823" t="str">
        <f>HYPERLINK("https://rhld.insurance.arkansas.gov/NPILookup?Npi=1215234836","1215234836")</f>
        <v>1215234836</v>
      </c>
      <c r="E1823" t="s">
        <v>773</v>
      </c>
    </row>
    <row r="1824" spans="1:5" x14ac:dyDescent="0.25">
      <c r="A1824" t="s">
        <v>1</v>
      </c>
      <c r="B1824" t="s">
        <v>19</v>
      </c>
      <c r="C1824" t="s">
        <v>23490</v>
      </c>
      <c r="D1824" t="str">
        <f>HYPERLINK("https://rhld.insurance.arkansas.gov/NPILookup?Npi=1215249016","1215249016")</f>
        <v>1215249016</v>
      </c>
      <c r="E1824" t="s">
        <v>17905</v>
      </c>
    </row>
    <row r="1825" spans="1:5" x14ac:dyDescent="0.25">
      <c r="A1825" t="s">
        <v>1</v>
      </c>
      <c r="B1825" t="s">
        <v>19</v>
      </c>
      <c r="C1825" t="s">
        <v>23490</v>
      </c>
      <c r="D1825" t="str">
        <f>HYPERLINK("https://rhld.insurance.arkansas.gov/NPILookup?Npi=1215249156","1215249156")</f>
        <v>1215249156</v>
      </c>
      <c r="E1825" t="s">
        <v>774</v>
      </c>
    </row>
    <row r="1826" spans="1:5" x14ac:dyDescent="0.25">
      <c r="A1826" t="s">
        <v>1</v>
      </c>
      <c r="B1826" t="s">
        <v>19</v>
      </c>
      <c r="C1826" t="s">
        <v>23490</v>
      </c>
      <c r="D1826" t="str">
        <f>HYPERLINK("https://rhld.insurance.arkansas.gov/NPILookup?Npi=1215251764","1215251764")</f>
        <v>1215251764</v>
      </c>
      <c r="E1826" t="s">
        <v>775</v>
      </c>
    </row>
    <row r="1827" spans="1:5" x14ac:dyDescent="0.25">
      <c r="A1827" t="s">
        <v>1</v>
      </c>
      <c r="B1827" t="s">
        <v>19</v>
      </c>
      <c r="C1827" t="s">
        <v>23490</v>
      </c>
      <c r="D1827" t="str">
        <f>HYPERLINK("https://rhld.insurance.arkansas.gov/NPILookup?Npi=1215256680","1215256680")</f>
        <v>1215256680</v>
      </c>
      <c r="E1827" t="s">
        <v>19517</v>
      </c>
    </row>
    <row r="1828" spans="1:5" x14ac:dyDescent="0.25">
      <c r="A1828" t="s">
        <v>1</v>
      </c>
      <c r="B1828" t="s">
        <v>19</v>
      </c>
      <c r="C1828" t="s">
        <v>23490</v>
      </c>
      <c r="D1828" t="str">
        <f>HYPERLINK("https://rhld.insurance.arkansas.gov/NPILookup?Npi=1215271069","1215271069")</f>
        <v>1215271069</v>
      </c>
      <c r="E1828" t="s">
        <v>776</v>
      </c>
    </row>
    <row r="1829" spans="1:5" x14ac:dyDescent="0.25">
      <c r="A1829" t="s">
        <v>1</v>
      </c>
      <c r="B1829" t="s">
        <v>19</v>
      </c>
      <c r="C1829" t="s">
        <v>23490</v>
      </c>
      <c r="D1829" t="str">
        <f>HYPERLINK("https://rhld.insurance.arkansas.gov/NPILookup?Npi=1215271176","1215271176")</f>
        <v>1215271176</v>
      </c>
      <c r="E1829" t="s">
        <v>777</v>
      </c>
    </row>
    <row r="1830" spans="1:5" x14ac:dyDescent="0.25">
      <c r="A1830" t="s">
        <v>1</v>
      </c>
      <c r="B1830" t="s">
        <v>19</v>
      </c>
      <c r="C1830" t="s">
        <v>23490</v>
      </c>
      <c r="D1830" t="str">
        <f>HYPERLINK("https://rhld.insurance.arkansas.gov/NPILookup?Npi=1215278163","1215278163")</f>
        <v>1215278163</v>
      </c>
      <c r="E1830" t="s">
        <v>778</v>
      </c>
    </row>
    <row r="1831" spans="1:5" x14ac:dyDescent="0.25">
      <c r="A1831" t="s">
        <v>1</v>
      </c>
      <c r="B1831" t="s">
        <v>19</v>
      </c>
      <c r="C1831" t="s">
        <v>23490</v>
      </c>
      <c r="D1831" t="str">
        <f>HYPERLINK("https://rhld.insurance.arkansas.gov/NPILookup?Npi=1215284187","1215284187")</f>
        <v>1215284187</v>
      </c>
      <c r="E1831" t="s">
        <v>10743</v>
      </c>
    </row>
    <row r="1832" spans="1:5" x14ac:dyDescent="0.25">
      <c r="A1832" t="s">
        <v>1</v>
      </c>
      <c r="B1832" t="s">
        <v>19</v>
      </c>
      <c r="C1832" t="s">
        <v>23490</v>
      </c>
      <c r="D1832" t="str">
        <f>HYPERLINK("https://rhld.insurance.arkansas.gov/NPILookup?Npi=1215287750","1215287750")</f>
        <v>1215287750</v>
      </c>
      <c r="E1832" t="s">
        <v>20912</v>
      </c>
    </row>
    <row r="1833" spans="1:5" x14ac:dyDescent="0.25">
      <c r="A1833" t="s">
        <v>1</v>
      </c>
      <c r="B1833" t="s">
        <v>19</v>
      </c>
      <c r="C1833" t="s">
        <v>23490</v>
      </c>
      <c r="D1833" t="str">
        <f>HYPERLINK("https://rhld.insurance.arkansas.gov/NPILookup?Npi=1215310503","1215310503")</f>
        <v>1215310503</v>
      </c>
      <c r="E1833" t="s">
        <v>8547</v>
      </c>
    </row>
    <row r="1834" spans="1:5" x14ac:dyDescent="0.25">
      <c r="A1834" t="s">
        <v>1</v>
      </c>
      <c r="B1834" t="s">
        <v>19</v>
      </c>
      <c r="C1834" t="s">
        <v>23490</v>
      </c>
      <c r="D1834" t="str">
        <f>HYPERLINK("https://rhld.insurance.arkansas.gov/NPILookup?Npi=1215310784","1215310784")</f>
        <v>1215310784</v>
      </c>
      <c r="E1834" t="s">
        <v>10744</v>
      </c>
    </row>
    <row r="1835" spans="1:5" x14ac:dyDescent="0.25">
      <c r="A1835" t="s">
        <v>1</v>
      </c>
      <c r="B1835" t="s">
        <v>19</v>
      </c>
      <c r="C1835" t="s">
        <v>23490</v>
      </c>
      <c r="D1835" t="str">
        <f>HYPERLINK("https://rhld.insurance.arkansas.gov/NPILookup?Npi=1215313598","1215313598")</f>
        <v>1215313598</v>
      </c>
      <c r="E1835" t="s">
        <v>10745</v>
      </c>
    </row>
    <row r="1836" spans="1:5" x14ac:dyDescent="0.25">
      <c r="A1836" t="s">
        <v>1</v>
      </c>
      <c r="B1836" t="s">
        <v>19</v>
      </c>
      <c r="C1836" t="s">
        <v>23490</v>
      </c>
      <c r="D1836" t="str">
        <f>HYPERLINK("https://rhld.insurance.arkansas.gov/NPILookup?Npi=1215323639","1215323639")</f>
        <v>1215323639</v>
      </c>
      <c r="E1836" t="s">
        <v>14881</v>
      </c>
    </row>
    <row r="1837" spans="1:5" x14ac:dyDescent="0.25">
      <c r="A1837" t="s">
        <v>1</v>
      </c>
      <c r="B1837" t="s">
        <v>19</v>
      </c>
      <c r="C1837" t="s">
        <v>23490</v>
      </c>
      <c r="D1837" t="str">
        <f>HYPERLINK("https://rhld.insurance.arkansas.gov/NPILookup?Npi=1215330550","1215330550")</f>
        <v>1215330550</v>
      </c>
      <c r="E1837" t="s">
        <v>779</v>
      </c>
    </row>
    <row r="1838" spans="1:5" x14ac:dyDescent="0.25">
      <c r="A1838" t="s">
        <v>1</v>
      </c>
      <c r="B1838" t="s">
        <v>19</v>
      </c>
      <c r="C1838" t="s">
        <v>23490</v>
      </c>
      <c r="D1838" t="str">
        <f>HYPERLINK("https://rhld.insurance.arkansas.gov/NPILookup?Npi=1215331996","1215331996")</f>
        <v>1215331996</v>
      </c>
      <c r="E1838" t="s">
        <v>780</v>
      </c>
    </row>
    <row r="1839" spans="1:5" x14ac:dyDescent="0.25">
      <c r="A1839" t="s">
        <v>1</v>
      </c>
      <c r="B1839" t="s">
        <v>19</v>
      </c>
      <c r="C1839" t="s">
        <v>23490</v>
      </c>
      <c r="D1839" t="str">
        <f>HYPERLINK("https://rhld.insurance.arkansas.gov/NPILookup?Npi=1215336474","1215336474")</f>
        <v>1215336474</v>
      </c>
      <c r="E1839" t="s">
        <v>781</v>
      </c>
    </row>
    <row r="1840" spans="1:5" x14ac:dyDescent="0.25">
      <c r="A1840" t="s">
        <v>1</v>
      </c>
      <c r="B1840" t="s">
        <v>19</v>
      </c>
      <c r="C1840" t="s">
        <v>23490</v>
      </c>
      <c r="D1840" t="str">
        <f>HYPERLINK("https://rhld.insurance.arkansas.gov/NPILookup?Npi=1215341656","1215341656")</f>
        <v>1215341656</v>
      </c>
      <c r="E1840" t="s">
        <v>13421</v>
      </c>
    </row>
    <row r="1841" spans="1:5" x14ac:dyDescent="0.25">
      <c r="A1841" t="s">
        <v>1</v>
      </c>
      <c r="B1841" t="s">
        <v>19</v>
      </c>
      <c r="C1841" t="s">
        <v>23490</v>
      </c>
      <c r="D1841" t="str">
        <f>HYPERLINK("https://rhld.insurance.arkansas.gov/NPILookup?Npi=1215367230","1215367230")</f>
        <v>1215367230</v>
      </c>
      <c r="E1841" t="s">
        <v>14882</v>
      </c>
    </row>
    <row r="1842" spans="1:5" x14ac:dyDescent="0.25">
      <c r="A1842" t="s">
        <v>1</v>
      </c>
      <c r="B1842" t="s">
        <v>19</v>
      </c>
      <c r="C1842" t="s">
        <v>23490</v>
      </c>
      <c r="D1842" t="str">
        <f>HYPERLINK("https://rhld.insurance.arkansas.gov/NPILookup?Npi=1215379706","1215379706")</f>
        <v>1215379706</v>
      </c>
      <c r="E1842" t="s">
        <v>14883</v>
      </c>
    </row>
    <row r="1843" spans="1:5" x14ac:dyDescent="0.25">
      <c r="A1843" t="s">
        <v>1</v>
      </c>
      <c r="B1843" t="s">
        <v>19</v>
      </c>
      <c r="C1843" t="s">
        <v>23490</v>
      </c>
      <c r="D1843" t="str">
        <f>HYPERLINK("https://rhld.insurance.arkansas.gov/NPILookup?Npi=1215386065","1215386065")</f>
        <v>1215386065</v>
      </c>
      <c r="E1843" t="s">
        <v>8548</v>
      </c>
    </row>
    <row r="1844" spans="1:5" x14ac:dyDescent="0.25">
      <c r="A1844" t="s">
        <v>1</v>
      </c>
      <c r="B1844" t="s">
        <v>19</v>
      </c>
      <c r="C1844" t="s">
        <v>23490</v>
      </c>
      <c r="D1844" t="str">
        <f>HYPERLINK("https://rhld.insurance.arkansas.gov/NPILookup?Npi=1215394218","1215394218")</f>
        <v>1215394218</v>
      </c>
      <c r="E1844" t="s">
        <v>10746</v>
      </c>
    </row>
    <row r="1845" spans="1:5" x14ac:dyDescent="0.25">
      <c r="A1845" t="s">
        <v>1</v>
      </c>
      <c r="B1845" t="s">
        <v>19</v>
      </c>
      <c r="C1845" t="s">
        <v>23490</v>
      </c>
      <c r="D1845" t="str">
        <f>HYPERLINK("https://rhld.insurance.arkansas.gov/NPILookup?Npi=1215401955","1215401955")</f>
        <v>1215401955</v>
      </c>
      <c r="E1845" t="s">
        <v>14884</v>
      </c>
    </row>
    <row r="1846" spans="1:5" x14ac:dyDescent="0.25">
      <c r="A1846" t="s">
        <v>1</v>
      </c>
      <c r="B1846" t="s">
        <v>19</v>
      </c>
      <c r="C1846" t="s">
        <v>23490</v>
      </c>
      <c r="D1846" t="str">
        <f>HYPERLINK("https://rhld.insurance.arkansas.gov/NPILookup?Npi=1215414560","1215414560")</f>
        <v>1215414560</v>
      </c>
      <c r="E1846" t="s">
        <v>17906</v>
      </c>
    </row>
    <row r="1847" spans="1:5" x14ac:dyDescent="0.25">
      <c r="A1847" t="s">
        <v>1</v>
      </c>
      <c r="B1847" t="s">
        <v>19</v>
      </c>
      <c r="C1847" t="s">
        <v>23490</v>
      </c>
      <c r="D1847" t="str">
        <f>HYPERLINK("https://rhld.insurance.arkansas.gov/NPILookup?Npi=1215426036","1215426036")</f>
        <v>1215426036</v>
      </c>
      <c r="E1847" t="s">
        <v>13154</v>
      </c>
    </row>
    <row r="1848" spans="1:5" x14ac:dyDescent="0.25">
      <c r="A1848" t="s">
        <v>1</v>
      </c>
      <c r="B1848" t="s">
        <v>19</v>
      </c>
      <c r="C1848" t="s">
        <v>23490</v>
      </c>
      <c r="D1848" t="str">
        <f>HYPERLINK("https://rhld.insurance.arkansas.gov/NPILookup?Npi=1215438379","1215438379")</f>
        <v>1215438379</v>
      </c>
      <c r="E1848" t="s">
        <v>14885</v>
      </c>
    </row>
    <row r="1849" spans="1:5" x14ac:dyDescent="0.25">
      <c r="A1849" t="s">
        <v>1</v>
      </c>
      <c r="B1849" t="s">
        <v>19</v>
      </c>
      <c r="C1849" t="s">
        <v>23490</v>
      </c>
      <c r="D1849" t="str">
        <f>HYPERLINK("https://rhld.insurance.arkansas.gov/NPILookup?Npi=1215454178","1215454178")</f>
        <v>1215454178</v>
      </c>
      <c r="E1849" t="s">
        <v>12797</v>
      </c>
    </row>
    <row r="1850" spans="1:5" x14ac:dyDescent="0.25">
      <c r="A1850" t="s">
        <v>1</v>
      </c>
      <c r="B1850" t="s">
        <v>19</v>
      </c>
      <c r="C1850" t="s">
        <v>23490</v>
      </c>
      <c r="D1850" t="str">
        <f>HYPERLINK("https://rhld.insurance.arkansas.gov/NPILookup?Npi=1215456074","1215456074")</f>
        <v>1215456074</v>
      </c>
      <c r="E1850" t="s">
        <v>14886</v>
      </c>
    </row>
    <row r="1851" spans="1:5" x14ac:dyDescent="0.25">
      <c r="A1851" t="s">
        <v>1</v>
      </c>
      <c r="B1851" t="s">
        <v>19</v>
      </c>
      <c r="C1851" t="s">
        <v>8427</v>
      </c>
      <c r="D1851" t="str">
        <f>HYPERLINK("https://rhld.insurance.arkansas.gov/NPILookup?Npi=1215459169","1215459169")</f>
        <v>1215459169</v>
      </c>
      <c r="E1851" t="s">
        <v>22909</v>
      </c>
    </row>
    <row r="1852" spans="1:5" x14ac:dyDescent="0.25">
      <c r="A1852" t="s">
        <v>1</v>
      </c>
      <c r="B1852" t="s">
        <v>19</v>
      </c>
      <c r="C1852" t="s">
        <v>23490</v>
      </c>
      <c r="D1852" t="str">
        <f>HYPERLINK("https://rhld.insurance.arkansas.gov/NPILookup?Npi=1215470489","1215470489")</f>
        <v>1215470489</v>
      </c>
      <c r="E1852" t="s">
        <v>10747</v>
      </c>
    </row>
    <row r="1853" spans="1:5" x14ac:dyDescent="0.25">
      <c r="A1853" t="s">
        <v>1</v>
      </c>
      <c r="B1853" t="s">
        <v>19</v>
      </c>
      <c r="C1853" t="s">
        <v>23490</v>
      </c>
      <c r="D1853" t="str">
        <f>HYPERLINK("https://rhld.insurance.arkansas.gov/NPILookup?Npi=1215472436","1215472436")</f>
        <v>1215472436</v>
      </c>
      <c r="E1853" t="s">
        <v>10748</v>
      </c>
    </row>
    <row r="1854" spans="1:5" x14ac:dyDescent="0.25">
      <c r="A1854" t="s">
        <v>1</v>
      </c>
      <c r="B1854" t="s">
        <v>19</v>
      </c>
      <c r="C1854" t="s">
        <v>23490</v>
      </c>
      <c r="D1854" t="str">
        <f>HYPERLINK("https://rhld.insurance.arkansas.gov/NPILookup?Npi=1215478367","1215478367")</f>
        <v>1215478367</v>
      </c>
      <c r="E1854" t="s">
        <v>13422</v>
      </c>
    </row>
    <row r="1855" spans="1:5" x14ac:dyDescent="0.25">
      <c r="A1855" t="s">
        <v>1</v>
      </c>
      <c r="B1855" t="s">
        <v>19</v>
      </c>
      <c r="C1855" t="s">
        <v>23490</v>
      </c>
      <c r="D1855" t="str">
        <f>HYPERLINK("https://rhld.insurance.arkansas.gov/NPILookup?Npi=1215478375","1215478375")</f>
        <v>1215478375</v>
      </c>
      <c r="E1855" t="s">
        <v>10749</v>
      </c>
    </row>
    <row r="1856" spans="1:5" x14ac:dyDescent="0.25">
      <c r="A1856" t="s">
        <v>1</v>
      </c>
      <c r="B1856" t="s">
        <v>19</v>
      </c>
      <c r="C1856" t="s">
        <v>23490</v>
      </c>
      <c r="D1856" t="str">
        <f>HYPERLINK("https://rhld.insurance.arkansas.gov/NPILookup?Npi=1215489331","1215489331")</f>
        <v>1215489331</v>
      </c>
      <c r="E1856" t="s">
        <v>10750</v>
      </c>
    </row>
    <row r="1857" spans="1:5" x14ac:dyDescent="0.25">
      <c r="A1857" t="s">
        <v>1</v>
      </c>
      <c r="B1857" t="s">
        <v>19</v>
      </c>
      <c r="C1857" t="s">
        <v>23490</v>
      </c>
      <c r="D1857" t="str">
        <f>HYPERLINK("https://rhld.insurance.arkansas.gov/NPILookup?Npi=1215490578","1215490578")</f>
        <v>1215490578</v>
      </c>
      <c r="E1857" t="s">
        <v>21380</v>
      </c>
    </row>
    <row r="1858" spans="1:5" x14ac:dyDescent="0.25">
      <c r="A1858" t="s">
        <v>1</v>
      </c>
      <c r="B1858" t="s">
        <v>19</v>
      </c>
      <c r="C1858" t="s">
        <v>23490</v>
      </c>
      <c r="D1858" t="str">
        <f>HYPERLINK("https://rhld.insurance.arkansas.gov/NPILookup?Npi=1215498332","1215498332")</f>
        <v>1215498332</v>
      </c>
      <c r="E1858" t="s">
        <v>18700</v>
      </c>
    </row>
    <row r="1859" spans="1:5" x14ac:dyDescent="0.25">
      <c r="A1859" t="s">
        <v>1</v>
      </c>
      <c r="B1859" t="s">
        <v>19</v>
      </c>
      <c r="C1859" t="s">
        <v>23490</v>
      </c>
      <c r="D1859" t="str">
        <f>HYPERLINK("https://rhld.insurance.arkansas.gov/NPILookup?Npi=1215498399","1215498399")</f>
        <v>1215498399</v>
      </c>
      <c r="E1859" t="s">
        <v>21381</v>
      </c>
    </row>
    <row r="1860" spans="1:5" x14ac:dyDescent="0.25">
      <c r="A1860" t="s">
        <v>1</v>
      </c>
      <c r="B1860" t="s">
        <v>19</v>
      </c>
      <c r="C1860" t="s">
        <v>23490</v>
      </c>
      <c r="D1860" t="str">
        <f>HYPERLINK("https://rhld.insurance.arkansas.gov/NPILookup?Npi=1215505615","1215505615")</f>
        <v>1215505615</v>
      </c>
      <c r="E1860" t="s">
        <v>18701</v>
      </c>
    </row>
    <row r="1861" spans="1:5" x14ac:dyDescent="0.25">
      <c r="A1861" t="s">
        <v>1</v>
      </c>
      <c r="B1861" t="s">
        <v>19</v>
      </c>
      <c r="C1861" t="s">
        <v>23490</v>
      </c>
      <c r="D1861" t="str">
        <f>HYPERLINK("https://rhld.insurance.arkansas.gov/NPILookup?Npi=1215507884","1215507884")</f>
        <v>1215507884</v>
      </c>
      <c r="E1861" t="s">
        <v>18702</v>
      </c>
    </row>
    <row r="1862" spans="1:5" x14ac:dyDescent="0.25">
      <c r="A1862" t="s">
        <v>1</v>
      </c>
      <c r="B1862" t="s">
        <v>19</v>
      </c>
      <c r="C1862" t="s">
        <v>23490</v>
      </c>
      <c r="D1862" t="str">
        <f>HYPERLINK("https://rhld.insurance.arkansas.gov/NPILookup?Npi=1215536792","1215536792")</f>
        <v>1215536792</v>
      </c>
      <c r="E1862" t="s">
        <v>17403</v>
      </c>
    </row>
    <row r="1863" spans="1:5" x14ac:dyDescent="0.25">
      <c r="A1863" t="s">
        <v>1</v>
      </c>
      <c r="B1863" t="s">
        <v>19</v>
      </c>
      <c r="C1863" t="s">
        <v>23490</v>
      </c>
      <c r="D1863" t="str">
        <f>HYPERLINK("https://rhld.insurance.arkansas.gov/NPILookup?Npi=1215538285","1215538285")</f>
        <v>1215538285</v>
      </c>
      <c r="E1863" t="s">
        <v>81</v>
      </c>
    </row>
    <row r="1864" spans="1:5" x14ac:dyDescent="0.25">
      <c r="A1864" t="s">
        <v>1</v>
      </c>
      <c r="B1864" t="s">
        <v>19</v>
      </c>
      <c r="C1864" t="s">
        <v>23490</v>
      </c>
      <c r="D1864" t="str">
        <f>HYPERLINK("https://rhld.insurance.arkansas.gov/NPILookup?Npi=1215545298","1215545298")</f>
        <v>1215545298</v>
      </c>
      <c r="E1864" t="s">
        <v>17404</v>
      </c>
    </row>
    <row r="1865" spans="1:5" x14ac:dyDescent="0.25">
      <c r="A1865" t="s">
        <v>1</v>
      </c>
      <c r="B1865" t="s">
        <v>19</v>
      </c>
      <c r="C1865" t="s">
        <v>23490</v>
      </c>
      <c r="D1865" t="str">
        <f>HYPERLINK("https://rhld.insurance.arkansas.gov/NPILookup?Npi=1215549217","1215549217")</f>
        <v>1215549217</v>
      </c>
      <c r="E1865" t="s">
        <v>18703</v>
      </c>
    </row>
    <row r="1866" spans="1:5" x14ac:dyDescent="0.25">
      <c r="A1866" t="s">
        <v>1</v>
      </c>
      <c r="B1866" t="s">
        <v>19</v>
      </c>
      <c r="C1866" t="s">
        <v>23490</v>
      </c>
      <c r="D1866" t="str">
        <f>HYPERLINK("https://rhld.insurance.arkansas.gov/NPILookup?Npi=1215561642","1215561642")</f>
        <v>1215561642</v>
      </c>
      <c r="E1866" t="s">
        <v>17907</v>
      </c>
    </row>
    <row r="1867" spans="1:5" x14ac:dyDescent="0.25">
      <c r="A1867" t="s">
        <v>1</v>
      </c>
      <c r="B1867" t="s">
        <v>19</v>
      </c>
      <c r="C1867" t="s">
        <v>23490</v>
      </c>
      <c r="D1867" t="str">
        <f>HYPERLINK("https://rhld.insurance.arkansas.gov/NPILookup?Npi=1215562970","1215562970")</f>
        <v>1215562970</v>
      </c>
      <c r="E1867" t="s">
        <v>21500</v>
      </c>
    </row>
    <row r="1868" spans="1:5" x14ac:dyDescent="0.25">
      <c r="A1868" t="s">
        <v>1</v>
      </c>
      <c r="B1868" t="s">
        <v>19</v>
      </c>
      <c r="C1868" t="s">
        <v>8427</v>
      </c>
      <c r="D1868" t="str">
        <f>HYPERLINK("https://rhld.insurance.arkansas.gov/NPILookup?Npi=1215564315","1215564315")</f>
        <v>1215564315</v>
      </c>
      <c r="E1868" t="s">
        <v>22910</v>
      </c>
    </row>
    <row r="1869" spans="1:5" x14ac:dyDescent="0.25">
      <c r="A1869" t="s">
        <v>1</v>
      </c>
      <c r="B1869" t="s">
        <v>19</v>
      </c>
      <c r="C1869" t="s">
        <v>23490</v>
      </c>
      <c r="D1869" t="str">
        <f>HYPERLINK("https://rhld.insurance.arkansas.gov/NPILookup?Npi=1215567995","1215567995")</f>
        <v>1215567995</v>
      </c>
      <c r="E1869" t="s">
        <v>17405</v>
      </c>
    </row>
    <row r="1870" spans="1:5" x14ac:dyDescent="0.25">
      <c r="A1870" t="s">
        <v>1</v>
      </c>
      <c r="B1870" t="s">
        <v>19</v>
      </c>
      <c r="C1870" t="s">
        <v>23490</v>
      </c>
      <c r="D1870" t="str">
        <f>HYPERLINK("https://rhld.insurance.arkansas.gov/NPILookup?Npi=1215596168","1215596168")</f>
        <v>1215596168</v>
      </c>
      <c r="E1870" t="s">
        <v>19518</v>
      </c>
    </row>
    <row r="1871" spans="1:5" x14ac:dyDescent="0.25">
      <c r="A1871" t="s">
        <v>1</v>
      </c>
      <c r="B1871" t="s">
        <v>19</v>
      </c>
      <c r="C1871" t="s">
        <v>23490</v>
      </c>
      <c r="D1871" t="str">
        <f>HYPERLINK("https://rhld.insurance.arkansas.gov/NPILookup?Npi=1215597273","1215597273")</f>
        <v>1215597273</v>
      </c>
      <c r="E1871" t="s">
        <v>18704</v>
      </c>
    </row>
    <row r="1872" spans="1:5" x14ac:dyDescent="0.25">
      <c r="A1872" t="s">
        <v>1</v>
      </c>
      <c r="B1872" t="s">
        <v>19</v>
      </c>
      <c r="C1872" t="s">
        <v>23490</v>
      </c>
      <c r="D1872" t="str">
        <f>HYPERLINK("https://rhld.insurance.arkansas.gov/NPILookup?Npi=1215604459","1215604459")</f>
        <v>1215604459</v>
      </c>
      <c r="E1872" t="s">
        <v>18705</v>
      </c>
    </row>
    <row r="1873" spans="1:5" x14ac:dyDescent="0.25">
      <c r="A1873" t="s">
        <v>1</v>
      </c>
      <c r="B1873" t="s">
        <v>19</v>
      </c>
      <c r="C1873" t="s">
        <v>23490</v>
      </c>
      <c r="D1873" t="str">
        <f>HYPERLINK("https://rhld.insurance.arkansas.gov/NPILookup?Npi=1215608328","1215608328")</f>
        <v>1215608328</v>
      </c>
      <c r="E1873" t="s">
        <v>19519</v>
      </c>
    </row>
    <row r="1874" spans="1:5" x14ac:dyDescent="0.25">
      <c r="A1874" t="s">
        <v>1</v>
      </c>
      <c r="B1874" t="s">
        <v>19</v>
      </c>
      <c r="C1874" t="s">
        <v>23490</v>
      </c>
      <c r="D1874" t="str">
        <f>HYPERLINK("https://rhld.insurance.arkansas.gov/NPILookup?Npi=1215665708","1215665708")</f>
        <v>1215665708</v>
      </c>
      <c r="E1874" t="s">
        <v>20913</v>
      </c>
    </row>
    <row r="1875" spans="1:5" x14ac:dyDescent="0.25">
      <c r="A1875" t="s">
        <v>1</v>
      </c>
      <c r="B1875" t="s">
        <v>19</v>
      </c>
      <c r="C1875" t="s">
        <v>23490</v>
      </c>
      <c r="D1875" t="str">
        <f>HYPERLINK("https://rhld.insurance.arkansas.gov/NPILookup?Npi=1215683586","1215683586")</f>
        <v>1215683586</v>
      </c>
      <c r="E1875" t="s">
        <v>19520</v>
      </c>
    </row>
    <row r="1876" spans="1:5" x14ac:dyDescent="0.25">
      <c r="A1876" t="s">
        <v>1</v>
      </c>
      <c r="B1876" t="s">
        <v>19</v>
      </c>
      <c r="C1876" t="s">
        <v>23490</v>
      </c>
      <c r="D1876" t="str">
        <f>HYPERLINK("https://rhld.insurance.arkansas.gov/NPILookup?Npi=1215687637","1215687637")</f>
        <v>1215687637</v>
      </c>
      <c r="E1876" t="s">
        <v>19521</v>
      </c>
    </row>
    <row r="1877" spans="1:5" x14ac:dyDescent="0.25">
      <c r="A1877" t="s">
        <v>1</v>
      </c>
      <c r="B1877" t="s">
        <v>19</v>
      </c>
      <c r="C1877" t="s">
        <v>23490</v>
      </c>
      <c r="D1877" t="str">
        <f>HYPERLINK("https://rhld.insurance.arkansas.gov/NPILookup?Npi=1215902358","1215902358")</f>
        <v>1215902358</v>
      </c>
      <c r="E1877" t="s">
        <v>8549</v>
      </c>
    </row>
    <row r="1878" spans="1:5" x14ac:dyDescent="0.25">
      <c r="A1878" t="s">
        <v>1</v>
      </c>
      <c r="B1878" t="s">
        <v>19</v>
      </c>
      <c r="C1878" t="s">
        <v>23490</v>
      </c>
      <c r="D1878" t="str">
        <f>HYPERLINK("https://rhld.insurance.arkansas.gov/NPILookup?Npi=1215905575","1215905575")</f>
        <v>1215905575</v>
      </c>
      <c r="E1878" t="s">
        <v>782</v>
      </c>
    </row>
    <row r="1879" spans="1:5" x14ac:dyDescent="0.25">
      <c r="A1879" t="s">
        <v>1</v>
      </c>
      <c r="B1879" t="s">
        <v>19</v>
      </c>
      <c r="C1879" t="s">
        <v>23490</v>
      </c>
      <c r="D1879" t="str">
        <f>HYPERLINK("https://rhld.insurance.arkansas.gov/NPILookup?Npi=1215916861","1215916861")</f>
        <v>1215916861</v>
      </c>
      <c r="E1879" t="s">
        <v>783</v>
      </c>
    </row>
    <row r="1880" spans="1:5" x14ac:dyDescent="0.25">
      <c r="A1880" t="s">
        <v>1</v>
      </c>
      <c r="B1880" t="s">
        <v>19</v>
      </c>
      <c r="C1880" t="s">
        <v>23490</v>
      </c>
      <c r="D1880" t="str">
        <f>HYPERLINK("https://rhld.insurance.arkansas.gov/NPILookup?Npi=1215930029","1215930029")</f>
        <v>1215930029</v>
      </c>
      <c r="E1880" t="s">
        <v>785</v>
      </c>
    </row>
    <row r="1881" spans="1:5" x14ac:dyDescent="0.25">
      <c r="A1881" t="s">
        <v>1</v>
      </c>
      <c r="B1881" t="s">
        <v>19</v>
      </c>
      <c r="C1881" t="s">
        <v>23490</v>
      </c>
      <c r="D1881" t="str">
        <f>HYPERLINK("https://rhld.insurance.arkansas.gov/NPILookup?Npi=1215930094","1215930094")</f>
        <v>1215930094</v>
      </c>
      <c r="E1881" t="s">
        <v>786</v>
      </c>
    </row>
    <row r="1882" spans="1:5" x14ac:dyDescent="0.25">
      <c r="A1882" t="s">
        <v>1</v>
      </c>
      <c r="B1882" t="s">
        <v>19</v>
      </c>
      <c r="C1882" t="s">
        <v>23490</v>
      </c>
      <c r="D1882" t="str">
        <f>HYPERLINK("https://rhld.insurance.arkansas.gov/NPILookup?Npi=1215932488","1215932488")</f>
        <v>1215932488</v>
      </c>
      <c r="E1882" t="s">
        <v>12798</v>
      </c>
    </row>
    <row r="1883" spans="1:5" x14ac:dyDescent="0.25">
      <c r="A1883" t="s">
        <v>1</v>
      </c>
      <c r="B1883" t="s">
        <v>19</v>
      </c>
      <c r="C1883" t="s">
        <v>23490</v>
      </c>
      <c r="D1883" t="str">
        <f>HYPERLINK("https://rhld.insurance.arkansas.gov/NPILookup?Npi=1215937537","1215937537")</f>
        <v>1215937537</v>
      </c>
      <c r="E1883" t="s">
        <v>787</v>
      </c>
    </row>
    <row r="1884" spans="1:5" x14ac:dyDescent="0.25">
      <c r="A1884" t="s">
        <v>1</v>
      </c>
      <c r="B1884" t="s">
        <v>19</v>
      </c>
      <c r="C1884" t="s">
        <v>23490</v>
      </c>
      <c r="D1884" t="str">
        <f>HYPERLINK("https://rhld.insurance.arkansas.gov/NPILookup?Npi=1215946348","1215946348")</f>
        <v>1215946348</v>
      </c>
      <c r="E1884" t="s">
        <v>8550</v>
      </c>
    </row>
    <row r="1885" spans="1:5" x14ac:dyDescent="0.25">
      <c r="A1885" t="s">
        <v>1</v>
      </c>
      <c r="B1885" t="s">
        <v>19</v>
      </c>
      <c r="C1885" t="s">
        <v>23490</v>
      </c>
      <c r="D1885" t="str">
        <f>HYPERLINK("https://rhld.insurance.arkansas.gov/NPILookup?Npi=1215952791","1215952791")</f>
        <v>1215952791</v>
      </c>
      <c r="E1885" t="s">
        <v>13423</v>
      </c>
    </row>
    <row r="1886" spans="1:5" x14ac:dyDescent="0.25">
      <c r="A1886" t="s">
        <v>1</v>
      </c>
      <c r="B1886" t="s">
        <v>19</v>
      </c>
      <c r="C1886" t="s">
        <v>23490</v>
      </c>
      <c r="D1886" t="str">
        <f>HYPERLINK("https://rhld.insurance.arkansas.gov/NPILookup?Npi=1215952965","1215952965")</f>
        <v>1215952965</v>
      </c>
      <c r="E1886" t="s">
        <v>10751</v>
      </c>
    </row>
    <row r="1887" spans="1:5" x14ac:dyDescent="0.25">
      <c r="A1887" t="s">
        <v>1</v>
      </c>
      <c r="B1887" t="s">
        <v>19</v>
      </c>
      <c r="C1887" t="s">
        <v>23490</v>
      </c>
      <c r="D1887" t="str">
        <f>HYPERLINK("https://rhld.insurance.arkansas.gov/NPILookup?Npi=1215959655","1215959655")</f>
        <v>1215959655</v>
      </c>
      <c r="E1887" t="s">
        <v>14887</v>
      </c>
    </row>
    <row r="1888" spans="1:5" x14ac:dyDescent="0.25">
      <c r="A1888" t="s">
        <v>1</v>
      </c>
      <c r="B1888" t="s">
        <v>19</v>
      </c>
      <c r="C1888" t="s">
        <v>23490</v>
      </c>
      <c r="D1888" t="str">
        <f>HYPERLINK("https://rhld.insurance.arkansas.gov/NPILookup?Npi=1215965579","1215965579")</f>
        <v>1215965579</v>
      </c>
      <c r="E1888" t="s">
        <v>13424</v>
      </c>
    </row>
    <row r="1889" spans="1:5" x14ac:dyDescent="0.25">
      <c r="A1889" t="s">
        <v>1</v>
      </c>
      <c r="B1889" t="s">
        <v>19</v>
      </c>
      <c r="C1889" t="s">
        <v>23490</v>
      </c>
      <c r="D1889" t="str">
        <f>HYPERLINK("https://rhld.insurance.arkansas.gov/NPILookup?Npi=1215968599","1215968599")</f>
        <v>1215968599</v>
      </c>
      <c r="E1889" t="s">
        <v>8551</v>
      </c>
    </row>
    <row r="1890" spans="1:5" x14ac:dyDescent="0.25">
      <c r="A1890" t="s">
        <v>1</v>
      </c>
      <c r="B1890" t="s">
        <v>19</v>
      </c>
      <c r="C1890" t="s">
        <v>23490</v>
      </c>
      <c r="D1890" t="str">
        <f>HYPERLINK("https://rhld.insurance.arkansas.gov/NPILookup?Npi=1215971338","1215971338")</f>
        <v>1215971338</v>
      </c>
      <c r="E1890" t="s">
        <v>788</v>
      </c>
    </row>
    <row r="1891" spans="1:5" x14ac:dyDescent="0.25">
      <c r="A1891" t="s">
        <v>1</v>
      </c>
      <c r="B1891" t="s">
        <v>19</v>
      </c>
      <c r="C1891" t="s">
        <v>23490</v>
      </c>
      <c r="D1891" t="str">
        <f>HYPERLINK("https://rhld.insurance.arkansas.gov/NPILookup?Npi=1215972252","1215972252")</f>
        <v>1215972252</v>
      </c>
      <c r="E1891" t="s">
        <v>789</v>
      </c>
    </row>
    <row r="1892" spans="1:5" x14ac:dyDescent="0.25">
      <c r="A1892" t="s">
        <v>1</v>
      </c>
      <c r="B1892" t="s">
        <v>19</v>
      </c>
      <c r="C1892" t="s">
        <v>23490</v>
      </c>
      <c r="D1892" t="str">
        <f>HYPERLINK("https://rhld.insurance.arkansas.gov/NPILookup?Npi=1215985973","1215985973")</f>
        <v>1215985973</v>
      </c>
      <c r="E1892" t="s">
        <v>8552</v>
      </c>
    </row>
    <row r="1893" spans="1:5" x14ac:dyDescent="0.25">
      <c r="A1893" t="s">
        <v>1</v>
      </c>
      <c r="B1893" t="s">
        <v>19</v>
      </c>
      <c r="C1893" t="s">
        <v>23490</v>
      </c>
      <c r="D1893" t="str">
        <f>HYPERLINK("https://rhld.insurance.arkansas.gov/NPILookup?Npi=1215993787","1215993787")</f>
        <v>1215993787</v>
      </c>
      <c r="E1893" t="s">
        <v>790</v>
      </c>
    </row>
    <row r="1894" spans="1:5" x14ac:dyDescent="0.25">
      <c r="A1894" t="s">
        <v>1</v>
      </c>
      <c r="B1894" t="s">
        <v>19</v>
      </c>
      <c r="C1894" t="s">
        <v>23490</v>
      </c>
      <c r="D1894" t="str">
        <f>HYPERLINK("https://rhld.insurance.arkansas.gov/NPILookup?Npi=1215999016","1215999016")</f>
        <v>1215999016</v>
      </c>
      <c r="E1894" t="s">
        <v>12799</v>
      </c>
    </row>
    <row r="1895" spans="1:5" x14ac:dyDescent="0.25">
      <c r="A1895" t="s">
        <v>1</v>
      </c>
      <c r="B1895" t="s">
        <v>19</v>
      </c>
      <c r="C1895" t="s">
        <v>23490</v>
      </c>
      <c r="D1895" t="str">
        <f>HYPERLINK("https://rhld.insurance.arkansas.gov/NPILookup?Npi=1225005705","1225005705")</f>
        <v>1225005705</v>
      </c>
      <c r="E1895" t="s">
        <v>16896</v>
      </c>
    </row>
    <row r="1896" spans="1:5" x14ac:dyDescent="0.25">
      <c r="A1896" t="s">
        <v>1</v>
      </c>
      <c r="B1896" t="s">
        <v>19</v>
      </c>
      <c r="C1896" t="s">
        <v>23490</v>
      </c>
      <c r="D1896" t="str">
        <f>HYPERLINK("https://rhld.insurance.arkansas.gov/NPILookup?Npi=1225013063","1225013063")</f>
        <v>1225013063</v>
      </c>
      <c r="E1896" t="s">
        <v>8553</v>
      </c>
    </row>
    <row r="1897" spans="1:5" x14ac:dyDescent="0.25">
      <c r="A1897" t="s">
        <v>1</v>
      </c>
      <c r="B1897" t="s">
        <v>19</v>
      </c>
      <c r="C1897" t="s">
        <v>23490</v>
      </c>
      <c r="D1897" t="str">
        <f>HYPERLINK("https://rhld.insurance.arkansas.gov/NPILookup?Npi=1225018518","1225018518")</f>
        <v>1225018518</v>
      </c>
      <c r="E1897" t="s">
        <v>791</v>
      </c>
    </row>
    <row r="1898" spans="1:5" x14ac:dyDescent="0.25">
      <c r="A1898" t="s">
        <v>1</v>
      </c>
      <c r="B1898" t="s">
        <v>19</v>
      </c>
      <c r="C1898" t="s">
        <v>23490</v>
      </c>
      <c r="D1898" t="str">
        <f>HYPERLINK("https://rhld.insurance.arkansas.gov/NPILookup?Npi=1225022395","1225022395")</f>
        <v>1225022395</v>
      </c>
      <c r="E1898" t="s">
        <v>792</v>
      </c>
    </row>
    <row r="1899" spans="1:5" x14ac:dyDescent="0.25">
      <c r="A1899" t="s">
        <v>1</v>
      </c>
      <c r="B1899" t="s">
        <v>19</v>
      </c>
      <c r="C1899" t="s">
        <v>23490</v>
      </c>
      <c r="D1899" t="str">
        <f>HYPERLINK("https://rhld.insurance.arkansas.gov/NPILookup?Npi=1225024482","1225024482")</f>
        <v>1225024482</v>
      </c>
      <c r="E1899" t="s">
        <v>793</v>
      </c>
    </row>
    <row r="1900" spans="1:5" x14ac:dyDescent="0.25">
      <c r="A1900" t="s">
        <v>1</v>
      </c>
      <c r="B1900" t="s">
        <v>19</v>
      </c>
      <c r="C1900" t="s">
        <v>23490</v>
      </c>
      <c r="D1900" t="str">
        <f>HYPERLINK("https://rhld.insurance.arkansas.gov/NPILookup?Npi=1225032956","1225032956")</f>
        <v>1225032956</v>
      </c>
      <c r="E1900" t="s">
        <v>14888</v>
      </c>
    </row>
    <row r="1901" spans="1:5" x14ac:dyDescent="0.25">
      <c r="A1901" t="s">
        <v>1</v>
      </c>
      <c r="B1901" t="s">
        <v>19</v>
      </c>
      <c r="C1901" t="s">
        <v>23490</v>
      </c>
      <c r="D1901" t="str">
        <f>HYPERLINK("https://rhld.insurance.arkansas.gov/NPILookup?Npi=1225047863","1225047863")</f>
        <v>1225047863</v>
      </c>
      <c r="E1901" t="s">
        <v>10752</v>
      </c>
    </row>
    <row r="1902" spans="1:5" x14ac:dyDescent="0.25">
      <c r="A1902" t="s">
        <v>1</v>
      </c>
      <c r="B1902" t="s">
        <v>19</v>
      </c>
      <c r="C1902" t="s">
        <v>23490</v>
      </c>
      <c r="D1902" t="str">
        <f>HYPERLINK("https://rhld.insurance.arkansas.gov/NPILookup?Npi=1225051246","1225051246")</f>
        <v>1225051246</v>
      </c>
      <c r="E1902" t="s">
        <v>794</v>
      </c>
    </row>
    <row r="1903" spans="1:5" x14ac:dyDescent="0.25">
      <c r="A1903" t="s">
        <v>1</v>
      </c>
      <c r="B1903" t="s">
        <v>19</v>
      </c>
      <c r="C1903" t="s">
        <v>23490</v>
      </c>
      <c r="D1903" t="str">
        <f>HYPERLINK("https://rhld.insurance.arkansas.gov/NPILookup?Npi=1225056872","1225056872")</f>
        <v>1225056872</v>
      </c>
      <c r="E1903" t="s">
        <v>795</v>
      </c>
    </row>
    <row r="1904" spans="1:5" x14ac:dyDescent="0.25">
      <c r="A1904" t="s">
        <v>1</v>
      </c>
      <c r="B1904" t="s">
        <v>19</v>
      </c>
      <c r="C1904" t="s">
        <v>23490</v>
      </c>
      <c r="D1904" t="str">
        <f>HYPERLINK("https://rhld.insurance.arkansas.gov/NPILookup?Npi=1225058407","1225058407")</f>
        <v>1225058407</v>
      </c>
      <c r="E1904" t="s">
        <v>14890</v>
      </c>
    </row>
    <row r="1905" spans="1:5" x14ac:dyDescent="0.25">
      <c r="A1905" t="s">
        <v>1</v>
      </c>
      <c r="B1905" t="s">
        <v>19</v>
      </c>
      <c r="C1905" t="s">
        <v>23490</v>
      </c>
      <c r="D1905" t="str">
        <f>HYPERLINK("https://rhld.insurance.arkansas.gov/NPILookup?Npi=1225065048","1225065048")</f>
        <v>1225065048</v>
      </c>
      <c r="E1905" t="s">
        <v>796</v>
      </c>
    </row>
    <row r="1906" spans="1:5" x14ac:dyDescent="0.25">
      <c r="A1906" t="s">
        <v>1</v>
      </c>
      <c r="B1906" t="s">
        <v>19</v>
      </c>
      <c r="C1906" t="s">
        <v>23490</v>
      </c>
      <c r="D1906" t="str">
        <f>HYPERLINK("https://rhld.insurance.arkansas.gov/NPILookup?Npi=1225065709","1225065709")</f>
        <v>1225065709</v>
      </c>
      <c r="E1906" t="s">
        <v>196</v>
      </c>
    </row>
    <row r="1907" spans="1:5" x14ac:dyDescent="0.25">
      <c r="A1907" t="s">
        <v>1</v>
      </c>
      <c r="B1907" t="s">
        <v>19</v>
      </c>
      <c r="C1907" t="s">
        <v>23490</v>
      </c>
      <c r="D1907" t="str">
        <f>HYPERLINK("https://rhld.insurance.arkansas.gov/NPILookup?Npi=1225072044","1225072044")</f>
        <v>1225072044</v>
      </c>
      <c r="E1907" t="s">
        <v>797</v>
      </c>
    </row>
    <row r="1908" spans="1:5" x14ac:dyDescent="0.25">
      <c r="A1908" t="s">
        <v>1</v>
      </c>
      <c r="B1908" t="s">
        <v>19</v>
      </c>
      <c r="C1908" t="s">
        <v>23490</v>
      </c>
      <c r="D1908" t="str">
        <f>HYPERLINK("https://rhld.insurance.arkansas.gov/NPILookup?Npi=1225079825","1225079825")</f>
        <v>1225079825</v>
      </c>
      <c r="E1908" t="s">
        <v>10753</v>
      </c>
    </row>
    <row r="1909" spans="1:5" x14ac:dyDescent="0.25">
      <c r="A1909" t="s">
        <v>1</v>
      </c>
      <c r="B1909" t="s">
        <v>19</v>
      </c>
      <c r="C1909" t="s">
        <v>23490</v>
      </c>
      <c r="D1909" t="str">
        <f>HYPERLINK("https://rhld.insurance.arkansas.gov/NPILookup?Npi=1225082159","1225082159")</f>
        <v>1225082159</v>
      </c>
      <c r="E1909" t="s">
        <v>8554</v>
      </c>
    </row>
    <row r="1910" spans="1:5" x14ac:dyDescent="0.25">
      <c r="A1910" t="s">
        <v>1</v>
      </c>
      <c r="B1910" t="s">
        <v>19</v>
      </c>
      <c r="C1910" t="s">
        <v>23490</v>
      </c>
      <c r="D1910" t="str">
        <f>HYPERLINK("https://rhld.insurance.arkansas.gov/NPILookup?Npi=1225084577","1225084577")</f>
        <v>1225084577</v>
      </c>
      <c r="E1910" t="s">
        <v>798</v>
      </c>
    </row>
    <row r="1911" spans="1:5" x14ac:dyDescent="0.25">
      <c r="A1911" t="s">
        <v>1</v>
      </c>
      <c r="B1911" t="s">
        <v>19</v>
      </c>
      <c r="C1911" t="s">
        <v>23490</v>
      </c>
      <c r="D1911" t="str">
        <f>HYPERLINK("https://rhld.insurance.arkansas.gov/NPILookup?Npi=1225086630","1225086630")</f>
        <v>1225086630</v>
      </c>
      <c r="E1911" t="s">
        <v>799</v>
      </c>
    </row>
    <row r="1912" spans="1:5" x14ac:dyDescent="0.25">
      <c r="A1912" t="s">
        <v>1</v>
      </c>
      <c r="B1912" t="s">
        <v>19</v>
      </c>
      <c r="C1912" t="s">
        <v>23490</v>
      </c>
      <c r="D1912" t="str">
        <f>HYPERLINK("https://rhld.insurance.arkansas.gov/NPILookup?Npi=1225090962","1225090962")</f>
        <v>1225090962</v>
      </c>
      <c r="E1912" t="s">
        <v>800</v>
      </c>
    </row>
    <row r="1913" spans="1:5" x14ac:dyDescent="0.25">
      <c r="A1913" t="s">
        <v>1</v>
      </c>
      <c r="B1913" t="s">
        <v>19</v>
      </c>
      <c r="C1913" t="s">
        <v>23490</v>
      </c>
      <c r="D1913" t="str">
        <f>HYPERLINK("https://rhld.insurance.arkansas.gov/NPILookup?Npi=1225128796","1225128796")</f>
        <v>1225128796</v>
      </c>
      <c r="E1913" t="s">
        <v>801</v>
      </c>
    </row>
    <row r="1914" spans="1:5" x14ac:dyDescent="0.25">
      <c r="A1914" t="s">
        <v>1</v>
      </c>
      <c r="B1914" t="s">
        <v>19</v>
      </c>
      <c r="C1914" t="s">
        <v>23490</v>
      </c>
      <c r="D1914" t="str">
        <f>HYPERLINK("https://rhld.insurance.arkansas.gov/NPILookup?Npi=1225142607","1225142607")</f>
        <v>1225142607</v>
      </c>
      <c r="E1914" t="s">
        <v>8555</v>
      </c>
    </row>
    <row r="1915" spans="1:5" x14ac:dyDescent="0.25">
      <c r="A1915" t="s">
        <v>1</v>
      </c>
      <c r="B1915" t="s">
        <v>19</v>
      </c>
      <c r="C1915" t="s">
        <v>23490</v>
      </c>
      <c r="D1915" t="str">
        <f>HYPERLINK("https://rhld.insurance.arkansas.gov/NPILookup?Npi=1225148315","1225148315")</f>
        <v>1225148315</v>
      </c>
      <c r="E1915" t="s">
        <v>802</v>
      </c>
    </row>
    <row r="1916" spans="1:5" x14ac:dyDescent="0.25">
      <c r="A1916" t="s">
        <v>1</v>
      </c>
      <c r="B1916" t="s">
        <v>19</v>
      </c>
      <c r="C1916" t="s">
        <v>23490</v>
      </c>
      <c r="D1916" t="str">
        <f>HYPERLINK("https://rhld.insurance.arkansas.gov/NPILookup?Npi=1225149685","1225149685")</f>
        <v>1225149685</v>
      </c>
      <c r="E1916" t="s">
        <v>17908</v>
      </c>
    </row>
    <row r="1917" spans="1:5" x14ac:dyDescent="0.25">
      <c r="A1917" t="s">
        <v>1</v>
      </c>
      <c r="B1917" t="s">
        <v>19</v>
      </c>
      <c r="C1917" t="s">
        <v>23490</v>
      </c>
      <c r="D1917" t="str">
        <f>HYPERLINK("https://rhld.insurance.arkansas.gov/NPILookup?Npi=1225158066","1225158066")</f>
        <v>1225158066</v>
      </c>
      <c r="E1917" t="s">
        <v>10754</v>
      </c>
    </row>
    <row r="1918" spans="1:5" x14ac:dyDescent="0.25">
      <c r="A1918" t="s">
        <v>1</v>
      </c>
      <c r="B1918" t="s">
        <v>19</v>
      </c>
      <c r="C1918" t="s">
        <v>23490</v>
      </c>
      <c r="D1918" t="str">
        <f>HYPERLINK("https://rhld.insurance.arkansas.gov/NPILookup?Npi=1225161805","1225161805")</f>
        <v>1225161805</v>
      </c>
      <c r="E1918" t="s">
        <v>19522</v>
      </c>
    </row>
    <row r="1919" spans="1:5" x14ac:dyDescent="0.25">
      <c r="A1919" t="s">
        <v>1</v>
      </c>
      <c r="B1919" t="s">
        <v>19</v>
      </c>
      <c r="C1919" t="s">
        <v>23490</v>
      </c>
      <c r="D1919" t="str">
        <f>HYPERLINK("https://rhld.insurance.arkansas.gov/NPILookup?Npi=1225162779","1225162779")</f>
        <v>1225162779</v>
      </c>
      <c r="E1919" t="s">
        <v>803</v>
      </c>
    </row>
    <row r="1920" spans="1:5" x14ac:dyDescent="0.25">
      <c r="A1920" t="s">
        <v>1</v>
      </c>
      <c r="B1920" t="s">
        <v>19</v>
      </c>
      <c r="C1920" t="s">
        <v>23490</v>
      </c>
      <c r="D1920" t="str">
        <f>HYPERLINK("https://rhld.insurance.arkansas.gov/NPILookup?Npi=1225172158","1225172158")</f>
        <v>1225172158</v>
      </c>
      <c r="E1920" t="s">
        <v>14891</v>
      </c>
    </row>
    <row r="1921" spans="1:5" x14ac:dyDescent="0.25">
      <c r="A1921" t="s">
        <v>1</v>
      </c>
      <c r="B1921" t="s">
        <v>19</v>
      </c>
      <c r="C1921" t="s">
        <v>23490</v>
      </c>
      <c r="D1921" t="str">
        <f>HYPERLINK("https://rhld.insurance.arkansas.gov/NPILookup?Npi=1225188121","1225188121")</f>
        <v>1225188121</v>
      </c>
      <c r="E1921" t="s">
        <v>804</v>
      </c>
    </row>
    <row r="1922" spans="1:5" x14ac:dyDescent="0.25">
      <c r="A1922" t="s">
        <v>1</v>
      </c>
      <c r="B1922" t="s">
        <v>19</v>
      </c>
      <c r="C1922" t="s">
        <v>23490</v>
      </c>
      <c r="D1922" t="str">
        <f>HYPERLINK("https://rhld.insurance.arkansas.gov/NPILookup?Npi=1225194178","1225194178")</f>
        <v>1225194178</v>
      </c>
      <c r="E1922" t="s">
        <v>14892</v>
      </c>
    </row>
    <row r="1923" spans="1:5" x14ac:dyDescent="0.25">
      <c r="A1923" t="s">
        <v>1</v>
      </c>
      <c r="B1923" t="s">
        <v>19</v>
      </c>
      <c r="C1923" t="s">
        <v>23490</v>
      </c>
      <c r="D1923" t="str">
        <f>HYPERLINK("https://rhld.insurance.arkansas.gov/NPILookup?Npi=1225200546","1225200546")</f>
        <v>1225200546</v>
      </c>
      <c r="E1923" t="s">
        <v>8556</v>
      </c>
    </row>
    <row r="1924" spans="1:5" x14ac:dyDescent="0.25">
      <c r="A1924" t="s">
        <v>1</v>
      </c>
      <c r="B1924" t="s">
        <v>19</v>
      </c>
      <c r="C1924" t="s">
        <v>23490</v>
      </c>
      <c r="D1924" t="str">
        <f>HYPERLINK("https://rhld.insurance.arkansas.gov/NPILookup?Npi=1225206436","1225206436")</f>
        <v>1225206436</v>
      </c>
      <c r="E1924" t="s">
        <v>371</v>
      </c>
    </row>
    <row r="1925" spans="1:5" x14ac:dyDescent="0.25">
      <c r="A1925" t="s">
        <v>1</v>
      </c>
      <c r="B1925" t="s">
        <v>19</v>
      </c>
      <c r="C1925" t="s">
        <v>23490</v>
      </c>
      <c r="D1925" t="str">
        <f>HYPERLINK("https://rhld.insurance.arkansas.gov/NPILookup?Npi=1225213812","1225213812")</f>
        <v>1225213812</v>
      </c>
      <c r="E1925" t="s">
        <v>805</v>
      </c>
    </row>
    <row r="1926" spans="1:5" x14ac:dyDescent="0.25">
      <c r="A1926" t="s">
        <v>1</v>
      </c>
      <c r="B1926" t="s">
        <v>19</v>
      </c>
      <c r="C1926" t="s">
        <v>23490</v>
      </c>
      <c r="D1926" t="str">
        <f>HYPERLINK("https://rhld.insurance.arkansas.gov/NPILookup?Npi=1225249972","1225249972")</f>
        <v>1225249972</v>
      </c>
      <c r="E1926" t="s">
        <v>806</v>
      </c>
    </row>
    <row r="1927" spans="1:5" x14ac:dyDescent="0.25">
      <c r="A1927" t="s">
        <v>1</v>
      </c>
      <c r="B1927" t="s">
        <v>19</v>
      </c>
      <c r="C1927" t="s">
        <v>23490</v>
      </c>
      <c r="D1927" t="str">
        <f>HYPERLINK("https://rhld.insurance.arkansas.gov/NPILookup?Npi=1225253883","1225253883")</f>
        <v>1225253883</v>
      </c>
      <c r="E1927" t="s">
        <v>14893</v>
      </c>
    </row>
    <row r="1928" spans="1:5" x14ac:dyDescent="0.25">
      <c r="A1928" t="s">
        <v>1</v>
      </c>
      <c r="B1928" t="s">
        <v>19</v>
      </c>
      <c r="C1928" t="s">
        <v>23490</v>
      </c>
      <c r="D1928" t="str">
        <f>HYPERLINK("https://rhld.insurance.arkansas.gov/NPILookup?Npi=1225256381","1225256381")</f>
        <v>1225256381</v>
      </c>
      <c r="E1928" t="s">
        <v>807</v>
      </c>
    </row>
    <row r="1929" spans="1:5" x14ac:dyDescent="0.25">
      <c r="A1929" t="s">
        <v>1</v>
      </c>
      <c r="B1929" t="s">
        <v>19</v>
      </c>
      <c r="C1929" t="s">
        <v>23490</v>
      </c>
      <c r="D1929" t="str">
        <f>HYPERLINK("https://rhld.insurance.arkansas.gov/NPILookup?Npi=1225261779","1225261779")</f>
        <v>1225261779</v>
      </c>
      <c r="E1929" t="s">
        <v>19523</v>
      </c>
    </row>
    <row r="1930" spans="1:5" x14ac:dyDescent="0.25">
      <c r="A1930" t="s">
        <v>1</v>
      </c>
      <c r="B1930" t="s">
        <v>19</v>
      </c>
      <c r="C1930" t="s">
        <v>23490</v>
      </c>
      <c r="D1930" t="str">
        <f>HYPERLINK("https://rhld.insurance.arkansas.gov/NPILookup?Npi=1225295322","1225295322")</f>
        <v>1225295322</v>
      </c>
      <c r="E1930" t="s">
        <v>808</v>
      </c>
    </row>
    <row r="1931" spans="1:5" x14ac:dyDescent="0.25">
      <c r="A1931" t="s">
        <v>1</v>
      </c>
      <c r="B1931" t="s">
        <v>19</v>
      </c>
      <c r="C1931" t="s">
        <v>23490</v>
      </c>
      <c r="D1931" t="str">
        <f>HYPERLINK("https://rhld.insurance.arkansas.gov/NPILookup?Npi=1225297260","1225297260")</f>
        <v>1225297260</v>
      </c>
      <c r="E1931" t="s">
        <v>809</v>
      </c>
    </row>
    <row r="1932" spans="1:5" x14ac:dyDescent="0.25">
      <c r="A1932" t="s">
        <v>1</v>
      </c>
      <c r="B1932" t="s">
        <v>19</v>
      </c>
      <c r="C1932" t="s">
        <v>23490</v>
      </c>
      <c r="D1932" t="str">
        <f>HYPERLINK("https://rhld.insurance.arkansas.gov/NPILookup?Npi=1225298128","1225298128")</f>
        <v>1225298128</v>
      </c>
      <c r="E1932" t="s">
        <v>10755</v>
      </c>
    </row>
    <row r="1933" spans="1:5" x14ac:dyDescent="0.25">
      <c r="A1933" t="s">
        <v>1</v>
      </c>
      <c r="B1933" t="s">
        <v>19</v>
      </c>
      <c r="C1933" t="s">
        <v>23490</v>
      </c>
      <c r="D1933" t="str">
        <f>HYPERLINK("https://rhld.insurance.arkansas.gov/NPILookup?Npi=1225299761","1225299761")</f>
        <v>1225299761</v>
      </c>
      <c r="E1933" t="s">
        <v>810</v>
      </c>
    </row>
    <row r="1934" spans="1:5" x14ac:dyDescent="0.25">
      <c r="A1934" t="s">
        <v>1</v>
      </c>
      <c r="B1934" t="s">
        <v>19</v>
      </c>
      <c r="C1934" t="s">
        <v>23490</v>
      </c>
      <c r="D1934" t="str">
        <f>HYPERLINK("https://rhld.insurance.arkansas.gov/NPILookup?Npi=1225304801","1225304801")</f>
        <v>1225304801</v>
      </c>
      <c r="E1934" t="s">
        <v>811</v>
      </c>
    </row>
    <row r="1935" spans="1:5" x14ac:dyDescent="0.25">
      <c r="A1935" t="s">
        <v>1</v>
      </c>
      <c r="B1935" t="s">
        <v>19</v>
      </c>
      <c r="C1935" t="s">
        <v>23490</v>
      </c>
      <c r="D1935" t="str">
        <f>HYPERLINK("https://rhld.insurance.arkansas.gov/NPILookup?Npi=1225309883","1225309883")</f>
        <v>1225309883</v>
      </c>
      <c r="E1935" t="s">
        <v>19524</v>
      </c>
    </row>
    <row r="1936" spans="1:5" x14ac:dyDescent="0.25">
      <c r="A1936" t="s">
        <v>1</v>
      </c>
      <c r="B1936" t="s">
        <v>19</v>
      </c>
      <c r="C1936" t="s">
        <v>23490</v>
      </c>
      <c r="D1936" t="str">
        <f>HYPERLINK("https://rhld.insurance.arkansas.gov/NPILookup?Npi=1225320047","1225320047")</f>
        <v>1225320047</v>
      </c>
      <c r="E1936" t="s">
        <v>812</v>
      </c>
    </row>
    <row r="1937" spans="1:5" x14ac:dyDescent="0.25">
      <c r="A1937" t="s">
        <v>1</v>
      </c>
      <c r="B1937" t="s">
        <v>19</v>
      </c>
      <c r="C1937" t="s">
        <v>23490</v>
      </c>
      <c r="D1937" t="str">
        <f>HYPERLINK("https://rhld.insurance.arkansas.gov/NPILookup?Npi=1225323090","1225323090")</f>
        <v>1225323090</v>
      </c>
      <c r="E1937" t="s">
        <v>8557</v>
      </c>
    </row>
    <row r="1938" spans="1:5" x14ac:dyDescent="0.25">
      <c r="A1938" t="s">
        <v>1</v>
      </c>
      <c r="B1938" t="s">
        <v>19</v>
      </c>
      <c r="C1938" t="s">
        <v>23490</v>
      </c>
      <c r="D1938" t="str">
        <f>HYPERLINK("https://rhld.insurance.arkansas.gov/NPILookup?Npi=1225323595","1225323595")</f>
        <v>1225323595</v>
      </c>
      <c r="E1938" t="s">
        <v>813</v>
      </c>
    </row>
    <row r="1939" spans="1:5" x14ac:dyDescent="0.25">
      <c r="A1939" t="s">
        <v>1</v>
      </c>
      <c r="B1939" t="s">
        <v>19</v>
      </c>
      <c r="C1939" t="s">
        <v>23490</v>
      </c>
      <c r="D1939" t="str">
        <f>HYPERLINK("https://rhld.insurance.arkansas.gov/NPILookup?Npi=1225335953","1225335953")</f>
        <v>1225335953</v>
      </c>
      <c r="E1939" t="s">
        <v>814</v>
      </c>
    </row>
    <row r="1940" spans="1:5" x14ac:dyDescent="0.25">
      <c r="A1940" t="s">
        <v>1</v>
      </c>
      <c r="B1940" t="s">
        <v>19</v>
      </c>
      <c r="C1940" t="s">
        <v>23490</v>
      </c>
      <c r="D1940" t="str">
        <f>HYPERLINK("https://rhld.insurance.arkansas.gov/NPILookup?Npi=1225336407","1225336407")</f>
        <v>1225336407</v>
      </c>
      <c r="E1940" t="s">
        <v>17406</v>
      </c>
    </row>
    <row r="1941" spans="1:5" x14ac:dyDescent="0.25">
      <c r="A1941" t="s">
        <v>1</v>
      </c>
      <c r="B1941" t="s">
        <v>19</v>
      </c>
      <c r="C1941" t="s">
        <v>23490</v>
      </c>
      <c r="D1941" t="str">
        <f>HYPERLINK("https://rhld.insurance.arkansas.gov/NPILookup?Npi=1225339385","1225339385")</f>
        <v>1225339385</v>
      </c>
      <c r="E1941" t="s">
        <v>815</v>
      </c>
    </row>
    <row r="1942" spans="1:5" x14ac:dyDescent="0.25">
      <c r="A1942" t="s">
        <v>1</v>
      </c>
      <c r="B1942" t="s">
        <v>19</v>
      </c>
      <c r="C1942" t="s">
        <v>23490</v>
      </c>
      <c r="D1942" t="str">
        <f>HYPERLINK("https://rhld.insurance.arkansas.gov/NPILookup?Npi=1225357635","1225357635")</f>
        <v>1225357635</v>
      </c>
      <c r="E1942" t="s">
        <v>10756</v>
      </c>
    </row>
    <row r="1943" spans="1:5" x14ac:dyDescent="0.25">
      <c r="A1943" t="s">
        <v>1</v>
      </c>
      <c r="B1943" t="s">
        <v>19</v>
      </c>
      <c r="C1943" t="s">
        <v>23490</v>
      </c>
      <c r="D1943" t="str">
        <f>HYPERLINK("https://rhld.insurance.arkansas.gov/NPILookup?Npi=1225373749","1225373749")</f>
        <v>1225373749</v>
      </c>
      <c r="E1943" t="s">
        <v>816</v>
      </c>
    </row>
    <row r="1944" spans="1:5" x14ac:dyDescent="0.25">
      <c r="A1944" t="s">
        <v>1</v>
      </c>
      <c r="B1944" t="s">
        <v>19</v>
      </c>
      <c r="C1944" t="s">
        <v>23490</v>
      </c>
      <c r="D1944" t="str">
        <f>HYPERLINK("https://rhld.insurance.arkansas.gov/NPILookup?Npi=1225374358","1225374358")</f>
        <v>1225374358</v>
      </c>
      <c r="E1944" t="s">
        <v>817</v>
      </c>
    </row>
    <row r="1945" spans="1:5" x14ac:dyDescent="0.25">
      <c r="A1945" t="s">
        <v>1</v>
      </c>
      <c r="B1945" t="s">
        <v>19</v>
      </c>
      <c r="C1945" t="s">
        <v>23490</v>
      </c>
      <c r="D1945" t="str">
        <f>HYPERLINK("https://rhld.insurance.arkansas.gov/NPILookup?Npi=1225376411","1225376411")</f>
        <v>1225376411</v>
      </c>
      <c r="E1945" t="s">
        <v>818</v>
      </c>
    </row>
    <row r="1946" spans="1:5" x14ac:dyDescent="0.25">
      <c r="A1946" t="s">
        <v>1</v>
      </c>
      <c r="B1946" t="s">
        <v>19</v>
      </c>
      <c r="C1946" t="s">
        <v>23490</v>
      </c>
      <c r="D1946" t="str">
        <f>HYPERLINK("https://rhld.insurance.arkansas.gov/NPILookup?Npi=1225391428","1225391428")</f>
        <v>1225391428</v>
      </c>
      <c r="E1946" t="s">
        <v>8558</v>
      </c>
    </row>
    <row r="1947" spans="1:5" x14ac:dyDescent="0.25">
      <c r="A1947" t="s">
        <v>1</v>
      </c>
      <c r="B1947" t="s">
        <v>19</v>
      </c>
      <c r="C1947" t="s">
        <v>23490</v>
      </c>
      <c r="D1947" t="str">
        <f>HYPERLINK("https://rhld.insurance.arkansas.gov/NPILookup?Npi=1225394653","1225394653")</f>
        <v>1225394653</v>
      </c>
      <c r="E1947" t="s">
        <v>16897</v>
      </c>
    </row>
    <row r="1948" spans="1:5" x14ac:dyDescent="0.25">
      <c r="A1948" t="s">
        <v>1</v>
      </c>
      <c r="B1948" t="s">
        <v>19</v>
      </c>
      <c r="C1948" t="s">
        <v>23490</v>
      </c>
      <c r="D1948" t="str">
        <f>HYPERLINK("https://rhld.insurance.arkansas.gov/NPILookup?Npi=1225400484","1225400484")</f>
        <v>1225400484</v>
      </c>
      <c r="E1948" t="s">
        <v>14894</v>
      </c>
    </row>
    <row r="1949" spans="1:5" x14ac:dyDescent="0.25">
      <c r="A1949" t="s">
        <v>1</v>
      </c>
      <c r="B1949" t="s">
        <v>19</v>
      </c>
      <c r="C1949" t="s">
        <v>23490</v>
      </c>
      <c r="D1949" t="str">
        <f>HYPERLINK("https://rhld.insurance.arkansas.gov/NPILookup?Npi=1225413693","1225413693")</f>
        <v>1225413693</v>
      </c>
      <c r="E1949" t="s">
        <v>819</v>
      </c>
    </row>
    <row r="1950" spans="1:5" x14ac:dyDescent="0.25">
      <c r="A1950" t="s">
        <v>1</v>
      </c>
      <c r="B1950" t="s">
        <v>19</v>
      </c>
      <c r="C1950" t="s">
        <v>23490</v>
      </c>
      <c r="D1950" t="str">
        <f>HYPERLINK("https://rhld.insurance.arkansas.gov/NPILookup?Npi=1225424146","1225424146")</f>
        <v>1225424146</v>
      </c>
      <c r="E1950" t="s">
        <v>820</v>
      </c>
    </row>
    <row r="1951" spans="1:5" x14ac:dyDescent="0.25">
      <c r="A1951" t="s">
        <v>1</v>
      </c>
      <c r="B1951" t="s">
        <v>19</v>
      </c>
      <c r="C1951" t="s">
        <v>23490</v>
      </c>
      <c r="D1951" t="str">
        <f>HYPERLINK("https://rhld.insurance.arkansas.gov/NPILookup?Npi=1225453905","1225453905")</f>
        <v>1225453905</v>
      </c>
      <c r="E1951" t="s">
        <v>14895</v>
      </c>
    </row>
    <row r="1952" spans="1:5" x14ac:dyDescent="0.25">
      <c r="A1952" t="s">
        <v>1</v>
      </c>
      <c r="B1952" t="s">
        <v>19</v>
      </c>
      <c r="C1952" t="s">
        <v>23490</v>
      </c>
      <c r="D1952" t="str">
        <f>HYPERLINK("https://rhld.insurance.arkansas.gov/NPILookup?Npi=1225458987","1225458987")</f>
        <v>1225458987</v>
      </c>
      <c r="E1952" t="s">
        <v>16898</v>
      </c>
    </row>
    <row r="1953" spans="1:5" x14ac:dyDescent="0.25">
      <c r="A1953" t="s">
        <v>1</v>
      </c>
      <c r="B1953" t="s">
        <v>19</v>
      </c>
      <c r="C1953" t="s">
        <v>23490</v>
      </c>
      <c r="D1953" t="str">
        <f>HYPERLINK("https://rhld.insurance.arkansas.gov/NPILookup?Npi=1225478472","1225478472")</f>
        <v>1225478472</v>
      </c>
      <c r="E1953" t="s">
        <v>21501</v>
      </c>
    </row>
    <row r="1954" spans="1:5" x14ac:dyDescent="0.25">
      <c r="A1954" t="s">
        <v>1</v>
      </c>
      <c r="B1954" t="s">
        <v>19</v>
      </c>
      <c r="C1954" t="s">
        <v>23490</v>
      </c>
      <c r="D1954" t="str">
        <f>HYPERLINK("https://rhld.insurance.arkansas.gov/NPILookup?Npi=1225479090","1225479090")</f>
        <v>1225479090</v>
      </c>
      <c r="E1954" t="s">
        <v>10757</v>
      </c>
    </row>
    <row r="1955" spans="1:5" x14ac:dyDescent="0.25">
      <c r="A1955" t="s">
        <v>1</v>
      </c>
      <c r="B1955" t="s">
        <v>19</v>
      </c>
      <c r="C1955" t="s">
        <v>23490</v>
      </c>
      <c r="D1955" t="str">
        <f>HYPERLINK("https://rhld.insurance.arkansas.gov/NPILookup?Npi=1225484512","1225484512")</f>
        <v>1225484512</v>
      </c>
      <c r="E1955" t="s">
        <v>8559</v>
      </c>
    </row>
    <row r="1956" spans="1:5" x14ac:dyDescent="0.25">
      <c r="A1956" t="s">
        <v>1</v>
      </c>
      <c r="B1956" t="s">
        <v>19</v>
      </c>
      <c r="C1956" t="s">
        <v>23490</v>
      </c>
      <c r="D1956" t="str">
        <f>HYPERLINK("https://rhld.insurance.arkansas.gov/NPILookup?Npi=1225495914","1225495914")</f>
        <v>1225495914</v>
      </c>
      <c r="E1956" t="s">
        <v>8560</v>
      </c>
    </row>
    <row r="1957" spans="1:5" x14ac:dyDescent="0.25">
      <c r="A1957" t="s">
        <v>1</v>
      </c>
      <c r="B1957" t="s">
        <v>19</v>
      </c>
      <c r="C1957" t="s">
        <v>23490</v>
      </c>
      <c r="D1957" t="str">
        <f>HYPERLINK("https://rhld.insurance.arkansas.gov/NPILookup?Npi=1225498074","1225498074")</f>
        <v>1225498074</v>
      </c>
      <c r="E1957" t="s">
        <v>19525</v>
      </c>
    </row>
    <row r="1958" spans="1:5" x14ac:dyDescent="0.25">
      <c r="A1958" t="s">
        <v>1</v>
      </c>
      <c r="B1958" t="s">
        <v>19</v>
      </c>
      <c r="C1958" t="s">
        <v>23490</v>
      </c>
      <c r="D1958" t="str">
        <f>HYPERLINK("https://rhld.insurance.arkansas.gov/NPILookup?Npi=1225502297","1225502297")</f>
        <v>1225502297</v>
      </c>
      <c r="E1958" t="s">
        <v>14896</v>
      </c>
    </row>
    <row r="1959" spans="1:5" x14ac:dyDescent="0.25">
      <c r="A1959" t="s">
        <v>1</v>
      </c>
      <c r="B1959" t="s">
        <v>19</v>
      </c>
      <c r="C1959" t="s">
        <v>23490</v>
      </c>
      <c r="D1959" t="str">
        <f>HYPERLINK("https://rhld.insurance.arkansas.gov/NPILookup?Npi=1225503642","1225503642")</f>
        <v>1225503642</v>
      </c>
      <c r="E1959" t="s">
        <v>17910</v>
      </c>
    </row>
    <row r="1960" spans="1:5" x14ac:dyDescent="0.25">
      <c r="A1960" t="s">
        <v>1</v>
      </c>
      <c r="B1960" t="s">
        <v>19</v>
      </c>
      <c r="C1960" t="s">
        <v>23490</v>
      </c>
      <c r="D1960" t="str">
        <f>HYPERLINK("https://rhld.insurance.arkansas.gov/NPILookup?Npi=1225512635","1225512635")</f>
        <v>1225512635</v>
      </c>
      <c r="E1960" t="s">
        <v>14897</v>
      </c>
    </row>
    <row r="1961" spans="1:5" x14ac:dyDescent="0.25">
      <c r="A1961" t="s">
        <v>1</v>
      </c>
      <c r="B1961" t="s">
        <v>19</v>
      </c>
      <c r="C1961" t="s">
        <v>23490</v>
      </c>
      <c r="D1961" t="str">
        <f>HYPERLINK("https://rhld.insurance.arkansas.gov/NPILookup?Npi=1225516826","1225516826")</f>
        <v>1225516826</v>
      </c>
      <c r="E1961" t="s">
        <v>16899</v>
      </c>
    </row>
    <row r="1962" spans="1:5" x14ac:dyDescent="0.25">
      <c r="A1962" t="s">
        <v>1</v>
      </c>
      <c r="B1962" t="s">
        <v>19</v>
      </c>
      <c r="C1962" t="s">
        <v>23490</v>
      </c>
      <c r="D1962" t="str">
        <f>HYPERLINK("https://rhld.insurance.arkansas.gov/NPILookup?Npi=1225518384","1225518384")</f>
        <v>1225518384</v>
      </c>
      <c r="E1962" t="s">
        <v>18706</v>
      </c>
    </row>
    <row r="1963" spans="1:5" x14ac:dyDescent="0.25">
      <c r="A1963" t="s">
        <v>1</v>
      </c>
      <c r="B1963" t="s">
        <v>19</v>
      </c>
      <c r="C1963" t="s">
        <v>23490</v>
      </c>
      <c r="D1963" t="str">
        <f>HYPERLINK("https://rhld.insurance.arkansas.gov/NPILookup?Npi=1225520356","1225520356")</f>
        <v>1225520356</v>
      </c>
      <c r="E1963" t="s">
        <v>19526</v>
      </c>
    </row>
    <row r="1964" spans="1:5" x14ac:dyDescent="0.25">
      <c r="A1964" t="s">
        <v>1</v>
      </c>
      <c r="B1964" t="s">
        <v>19</v>
      </c>
      <c r="C1964" t="s">
        <v>23490</v>
      </c>
      <c r="D1964" t="str">
        <f>HYPERLINK("https://rhld.insurance.arkansas.gov/NPILookup?Npi=1225528540","1225528540")</f>
        <v>1225528540</v>
      </c>
      <c r="E1964" t="s">
        <v>18707</v>
      </c>
    </row>
    <row r="1965" spans="1:5" x14ac:dyDescent="0.25">
      <c r="A1965" t="s">
        <v>1</v>
      </c>
      <c r="B1965" t="s">
        <v>19</v>
      </c>
      <c r="C1965" t="s">
        <v>23490</v>
      </c>
      <c r="D1965" t="str">
        <f>HYPERLINK("https://rhld.insurance.arkansas.gov/NPILookup?Npi=1225535024","1225535024")</f>
        <v>1225535024</v>
      </c>
      <c r="E1965" t="s">
        <v>19527</v>
      </c>
    </row>
    <row r="1966" spans="1:5" x14ac:dyDescent="0.25">
      <c r="A1966" t="s">
        <v>1</v>
      </c>
      <c r="B1966" t="s">
        <v>19</v>
      </c>
      <c r="C1966" t="s">
        <v>23490</v>
      </c>
      <c r="D1966" t="str">
        <f>HYPERLINK("https://rhld.insurance.arkansas.gov/NPILookup?Npi=1225547185","1225547185")</f>
        <v>1225547185</v>
      </c>
      <c r="E1966" t="s">
        <v>14898</v>
      </c>
    </row>
    <row r="1967" spans="1:5" x14ac:dyDescent="0.25">
      <c r="A1967" t="s">
        <v>1</v>
      </c>
      <c r="B1967" t="s">
        <v>19</v>
      </c>
      <c r="C1967" t="s">
        <v>23490</v>
      </c>
      <c r="D1967" t="str">
        <f>HYPERLINK("https://rhld.insurance.arkansas.gov/NPILookup?Npi=1225547763","1225547763")</f>
        <v>1225547763</v>
      </c>
      <c r="E1967" t="s">
        <v>13427</v>
      </c>
    </row>
    <row r="1968" spans="1:5" x14ac:dyDescent="0.25">
      <c r="A1968" t="s">
        <v>1</v>
      </c>
      <c r="B1968" t="s">
        <v>19</v>
      </c>
      <c r="C1968" t="s">
        <v>23490</v>
      </c>
      <c r="D1968" t="str">
        <f>HYPERLINK("https://rhld.insurance.arkansas.gov/NPILookup?Npi=1225559800","1225559800")</f>
        <v>1225559800</v>
      </c>
      <c r="E1968" t="s">
        <v>10758</v>
      </c>
    </row>
    <row r="1969" spans="1:5" x14ac:dyDescent="0.25">
      <c r="A1969" t="s">
        <v>1</v>
      </c>
      <c r="B1969" t="s">
        <v>19</v>
      </c>
      <c r="C1969" t="s">
        <v>23490</v>
      </c>
      <c r="D1969" t="str">
        <f>HYPERLINK("https://rhld.insurance.arkansas.gov/NPILookup?Npi=1225560162","1225560162")</f>
        <v>1225560162</v>
      </c>
      <c r="E1969" t="s">
        <v>10759</v>
      </c>
    </row>
    <row r="1970" spans="1:5" x14ac:dyDescent="0.25">
      <c r="A1970" t="s">
        <v>1</v>
      </c>
      <c r="B1970" t="s">
        <v>19</v>
      </c>
      <c r="C1970" t="s">
        <v>23490</v>
      </c>
      <c r="D1970" t="str">
        <f>HYPERLINK("https://rhld.insurance.arkansas.gov/NPILookup?Npi=1225564834","1225564834")</f>
        <v>1225564834</v>
      </c>
      <c r="E1970" t="s">
        <v>17911</v>
      </c>
    </row>
    <row r="1971" spans="1:5" x14ac:dyDescent="0.25">
      <c r="A1971" t="s">
        <v>1</v>
      </c>
      <c r="B1971" t="s">
        <v>19</v>
      </c>
      <c r="C1971" t="s">
        <v>23490</v>
      </c>
      <c r="D1971" t="str">
        <f>HYPERLINK("https://rhld.insurance.arkansas.gov/NPILookup?Npi=1225568272","1225568272")</f>
        <v>1225568272</v>
      </c>
      <c r="E1971" t="s">
        <v>18708</v>
      </c>
    </row>
    <row r="1972" spans="1:5" x14ac:dyDescent="0.25">
      <c r="A1972" t="s">
        <v>1</v>
      </c>
      <c r="B1972" t="s">
        <v>19</v>
      </c>
      <c r="C1972" t="s">
        <v>23490</v>
      </c>
      <c r="D1972" t="str">
        <f>HYPERLINK("https://rhld.insurance.arkansas.gov/NPILookup?Npi=1225594336","1225594336")</f>
        <v>1225594336</v>
      </c>
      <c r="E1972" t="s">
        <v>19528</v>
      </c>
    </row>
    <row r="1973" spans="1:5" x14ac:dyDescent="0.25">
      <c r="A1973" t="s">
        <v>1</v>
      </c>
      <c r="B1973" t="s">
        <v>19</v>
      </c>
      <c r="C1973" t="s">
        <v>23490</v>
      </c>
      <c r="D1973" t="str">
        <f>HYPERLINK("https://rhld.insurance.arkansas.gov/NPILookup?Npi=1225599863","1225599863")</f>
        <v>1225599863</v>
      </c>
      <c r="E1973" t="s">
        <v>19529</v>
      </c>
    </row>
    <row r="1974" spans="1:5" x14ac:dyDescent="0.25">
      <c r="A1974" t="s">
        <v>1</v>
      </c>
      <c r="B1974" t="s">
        <v>19</v>
      </c>
      <c r="C1974" t="s">
        <v>23490</v>
      </c>
      <c r="D1974" t="str">
        <f>HYPERLINK("https://rhld.insurance.arkansas.gov/NPILookup?Npi=1225602170","1225602170")</f>
        <v>1225602170</v>
      </c>
      <c r="E1974" t="s">
        <v>18709</v>
      </c>
    </row>
    <row r="1975" spans="1:5" x14ac:dyDescent="0.25">
      <c r="A1975" t="s">
        <v>1</v>
      </c>
      <c r="B1975" t="s">
        <v>19</v>
      </c>
      <c r="C1975" t="s">
        <v>23490</v>
      </c>
      <c r="D1975" t="str">
        <f>HYPERLINK("https://rhld.insurance.arkansas.gov/NPILookup?Npi=1225607724","1225607724")</f>
        <v>1225607724</v>
      </c>
      <c r="E1975" t="s">
        <v>18710</v>
      </c>
    </row>
    <row r="1976" spans="1:5" x14ac:dyDescent="0.25">
      <c r="A1976" t="s">
        <v>1</v>
      </c>
      <c r="B1976" t="s">
        <v>19</v>
      </c>
      <c r="C1976" t="s">
        <v>23490</v>
      </c>
      <c r="D1976" t="str">
        <f>HYPERLINK("https://rhld.insurance.arkansas.gov/NPILookup?Npi=1225622608","1225622608")</f>
        <v>1225622608</v>
      </c>
      <c r="E1976" t="s">
        <v>17912</v>
      </c>
    </row>
    <row r="1977" spans="1:5" x14ac:dyDescent="0.25">
      <c r="A1977" t="s">
        <v>1</v>
      </c>
      <c r="B1977" t="s">
        <v>19</v>
      </c>
      <c r="C1977" t="s">
        <v>23490</v>
      </c>
      <c r="D1977" t="str">
        <f>HYPERLINK("https://rhld.insurance.arkansas.gov/NPILookup?Npi=1225658149","1225658149")</f>
        <v>1225658149</v>
      </c>
      <c r="E1977" t="s">
        <v>17407</v>
      </c>
    </row>
    <row r="1978" spans="1:5" x14ac:dyDescent="0.25">
      <c r="A1978" t="s">
        <v>1</v>
      </c>
      <c r="B1978" t="s">
        <v>19</v>
      </c>
      <c r="C1978" t="s">
        <v>8427</v>
      </c>
      <c r="D1978" t="str">
        <f>HYPERLINK("https://rhld.insurance.arkansas.gov/NPILookup?Npi=1225659998","1225659998")</f>
        <v>1225659998</v>
      </c>
      <c r="E1978" t="s">
        <v>22911</v>
      </c>
    </row>
    <row r="1979" spans="1:5" x14ac:dyDescent="0.25">
      <c r="A1979" t="s">
        <v>1</v>
      </c>
      <c r="B1979" t="s">
        <v>19</v>
      </c>
      <c r="C1979" t="s">
        <v>23490</v>
      </c>
      <c r="D1979" t="str">
        <f>HYPERLINK("https://rhld.insurance.arkansas.gov/NPILookup?Npi=1225679558","1225679558")</f>
        <v>1225679558</v>
      </c>
      <c r="E1979" t="s">
        <v>16900</v>
      </c>
    </row>
    <row r="1980" spans="1:5" x14ac:dyDescent="0.25">
      <c r="A1980" t="s">
        <v>1</v>
      </c>
      <c r="B1980" t="s">
        <v>19</v>
      </c>
      <c r="C1980" t="s">
        <v>23490</v>
      </c>
      <c r="D1980" t="str">
        <f>HYPERLINK("https://rhld.insurance.arkansas.gov/NPILookup?Npi=1225681604","1225681604")</f>
        <v>1225681604</v>
      </c>
      <c r="E1980" t="s">
        <v>19530</v>
      </c>
    </row>
    <row r="1981" spans="1:5" x14ac:dyDescent="0.25">
      <c r="A1981" t="s">
        <v>1</v>
      </c>
      <c r="B1981" t="s">
        <v>19</v>
      </c>
      <c r="C1981" t="s">
        <v>23490</v>
      </c>
      <c r="D1981" t="str">
        <f>HYPERLINK("https://rhld.insurance.arkansas.gov/NPILookup?Npi=1225704315","1225704315")</f>
        <v>1225704315</v>
      </c>
      <c r="E1981" t="s">
        <v>18713</v>
      </c>
    </row>
    <row r="1982" spans="1:5" x14ac:dyDescent="0.25">
      <c r="A1982" t="s">
        <v>1</v>
      </c>
      <c r="B1982" t="s">
        <v>19</v>
      </c>
      <c r="C1982" t="s">
        <v>23490</v>
      </c>
      <c r="D1982" t="str">
        <f>HYPERLINK("https://rhld.insurance.arkansas.gov/NPILookup?Npi=1225768443","1225768443")</f>
        <v>1225768443</v>
      </c>
      <c r="E1982" t="s">
        <v>21502</v>
      </c>
    </row>
    <row r="1983" spans="1:5" x14ac:dyDescent="0.25">
      <c r="A1983" t="s">
        <v>1</v>
      </c>
      <c r="B1983" t="s">
        <v>19</v>
      </c>
      <c r="C1983" t="s">
        <v>23490</v>
      </c>
      <c r="D1983" t="str">
        <f>HYPERLINK("https://rhld.insurance.arkansas.gov/NPILookup?Npi=1225781032","1225781032")</f>
        <v>1225781032</v>
      </c>
      <c r="E1983" t="s">
        <v>19531</v>
      </c>
    </row>
    <row r="1984" spans="1:5" x14ac:dyDescent="0.25">
      <c r="A1984" t="s">
        <v>1</v>
      </c>
      <c r="B1984" t="s">
        <v>19</v>
      </c>
      <c r="C1984" t="s">
        <v>23490</v>
      </c>
      <c r="D1984" t="str">
        <f>HYPERLINK("https://rhld.insurance.arkansas.gov/NPILookup?Npi=1235102674","1235102674")</f>
        <v>1235102674</v>
      </c>
      <c r="E1984" t="s">
        <v>14899</v>
      </c>
    </row>
    <row r="1985" spans="1:5" x14ac:dyDescent="0.25">
      <c r="A1985" t="s">
        <v>1</v>
      </c>
      <c r="B1985" t="s">
        <v>19</v>
      </c>
      <c r="C1985" t="s">
        <v>23490</v>
      </c>
      <c r="D1985" t="str">
        <f>HYPERLINK("https://rhld.insurance.arkansas.gov/NPILookup?Npi=1235106154","1235106154")</f>
        <v>1235106154</v>
      </c>
      <c r="E1985" t="s">
        <v>821</v>
      </c>
    </row>
    <row r="1986" spans="1:5" x14ac:dyDescent="0.25">
      <c r="A1986" t="s">
        <v>1</v>
      </c>
      <c r="B1986" t="s">
        <v>19</v>
      </c>
      <c r="C1986" t="s">
        <v>23490</v>
      </c>
      <c r="D1986" t="str">
        <f>HYPERLINK("https://rhld.insurance.arkansas.gov/NPILookup?Npi=1235119033","1235119033")</f>
        <v>1235119033</v>
      </c>
      <c r="E1986" t="s">
        <v>14900</v>
      </c>
    </row>
    <row r="1987" spans="1:5" x14ac:dyDescent="0.25">
      <c r="A1987" t="s">
        <v>1</v>
      </c>
      <c r="B1987" t="s">
        <v>19</v>
      </c>
      <c r="C1987" t="s">
        <v>23490</v>
      </c>
      <c r="D1987" t="str">
        <f>HYPERLINK("https://rhld.insurance.arkansas.gov/NPILookup?Npi=1235120262","1235120262")</f>
        <v>1235120262</v>
      </c>
      <c r="E1987" t="s">
        <v>10004</v>
      </c>
    </row>
    <row r="1988" spans="1:5" x14ac:dyDescent="0.25">
      <c r="A1988" t="s">
        <v>1</v>
      </c>
      <c r="B1988" t="s">
        <v>19</v>
      </c>
      <c r="C1988" t="s">
        <v>23490</v>
      </c>
      <c r="D1988" t="str">
        <f>HYPERLINK("https://rhld.insurance.arkansas.gov/NPILookup?Npi=1235122383","1235122383")</f>
        <v>1235122383</v>
      </c>
      <c r="E1988" t="s">
        <v>822</v>
      </c>
    </row>
    <row r="1989" spans="1:5" x14ac:dyDescent="0.25">
      <c r="A1989" t="s">
        <v>1</v>
      </c>
      <c r="B1989" t="s">
        <v>19</v>
      </c>
      <c r="C1989" t="s">
        <v>23490</v>
      </c>
      <c r="D1989" t="str">
        <f>HYPERLINK("https://rhld.insurance.arkansas.gov/NPILookup?Npi=1235124223","1235124223")</f>
        <v>1235124223</v>
      </c>
      <c r="E1989" t="s">
        <v>14901</v>
      </c>
    </row>
    <row r="1990" spans="1:5" x14ac:dyDescent="0.25">
      <c r="A1990" t="s">
        <v>1</v>
      </c>
      <c r="B1990" t="s">
        <v>19</v>
      </c>
      <c r="C1990" t="s">
        <v>23490</v>
      </c>
      <c r="D1990" t="str">
        <f>HYPERLINK("https://rhld.insurance.arkansas.gov/NPILookup?Npi=1235124363","1235124363")</f>
        <v>1235124363</v>
      </c>
      <c r="E1990" t="s">
        <v>8561</v>
      </c>
    </row>
    <row r="1991" spans="1:5" x14ac:dyDescent="0.25">
      <c r="A1991" t="s">
        <v>1</v>
      </c>
      <c r="B1991" t="s">
        <v>19</v>
      </c>
      <c r="C1991" t="s">
        <v>23490</v>
      </c>
      <c r="D1991" t="str">
        <f>HYPERLINK("https://rhld.insurance.arkansas.gov/NPILookup?Npi=1235130444","1235130444")</f>
        <v>1235130444</v>
      </c>
      <c r="E1991" t="s">
        <v>823</v>
      </c>
    </row>
    <row r="1992" spans="1:5" x14ac:dyDescent="0.25">
      <c r="A1992" t="s">
        <v>1</v>
      </c>
      <c r="B1992" t="s">
        <v>19</v>
      </c>
      <c r="C1992" t="s">
        <v>23490</v>
      </c>
      <c r="D1992" t="str">
        <f>HYPERLINK("https://rhld.insurance.arkansas.gov/NPILookup?Npi=1235131723","1235131723")</f>
        <v>1235131723</v>
      </c>
      <c r="E1992" t="s">
        <v>14902</v>
      </c>
    </row>
    <row r="1993" spans="1:5" x14ac:dyDescent="0.25">
      <c r="A1993" t="s">
        <v>1</v>
      </c>
      <c r="B1993" t="s">
        <v>19</v>
      </c>
      <c r="C1993" t="s">
        <v>23490</v>
      </c>
      <c r="D1993" t="str">
        <f>HYPERLINK("https://rhld.insurance.arkansas.gov/NPILookup?Npi=1235146846","1235146846")</f>
        <v>1235146846</v>
      </c>
      <c r="E1993" t="s">
        <v>824</v>
      </c>
    </row>
    <row r="1994" spans="1:5" x14ac:dyDescent="0.25">
      <c r="A1994" t="s">
        <v>1</v>
      </c>
      <c r="B1994" t="s">
        <v>19</v>
      </c>
      <c r="C1994" t="s">
        <v>23490</v>
      </c>
      <c r="D1994" t="str">
        <f>HYPERLINK("https://rhld.insurance.arkansas.gov/NPILookup?Npi=1235147513","1235147513")</f>
        <v>1235147513</v>
      </c>
      <c r="E1994" t="s">
        <v>825</v>
      </c>
    </row>
    <row r="1995" spans="1:5" x14ac:dyDescent="0.25">
      <c r="A1995" t="s">
        <v>1</v>
      </c>
      <c r="B1995" t="s">
        <v>19</v>
      </c>
      <c r="C1995" t="s">
        <v>23490</v>
      </c>
      <c r="D1995" t="str">
        <f>HYPERLINK("https://rhld.insurance.arkansas.gov/NPILookup?Npi=1235161829","1235161829")</f>
        <v>1235161829</v>
      </c>
      <c r="E1995" t="s">
        <v>827</v>
      </c>
    </row>
    <row r="1996" spans="1:5" x14ac:dyDescent="0.25">
      <c r="A1996" t="s">
        <v>1</v>
      </c>
      <c r="B1996" t="s">
        <v>19</v>
      </c>
      <c r="C1996" t="s">
        <v>23490</v>
      </c>
      <c r="D1996" t="str">
        <f>HYPERLINK("https://rhld.insurance.arkansas.gov/NPILookup?Npi=1235163353","1235163353")</f>
        <v>1235163353</v>
      </c>
      <c r="E1996" t="s">
        <v>828</v>
      </c>
    </row>
    <row r="1997" spans="1:5" x14ac:dyDescent="0.25">
      <c r="A1997" t="s">
        <v>1</v>
      </c>
      <c r="B1997" t="s">
        <v>19</v>
      </c>
      <c r="C1997" t="s">
        <v>23490</v>
      </c>
      <c r="D1997" t="str">
        <f>HYPERLINK("https://rhld.insurance.arkansas.gov/NPILookup?Npi=1235168691","1235168691")</f>
        <v>1235168691</v>
      </c>
      <c r="E1997" t="s">
        <v>17913</v>
      </c>
    </row>
    <row r="1998" spans="1:5" x14ac:dyDescent="0.25">
      <c r="A1998" t="s">
        <v>1</v>
      </c>
      <c r="B1998" t="s">
        <v>19</v>
      </c>
      <c r="C1998" t="s">
        <v>23490</v>
      </c>
      <c r="D1998" t="str">
        <f>HYPERLINK("https://rhld.insurance.arkansas.gov/NPILookup?Npi=1235169723","1235169723")</f>
        <v>1235169723</v>
      </c>
      <c r="E1998" t="s">
        <v>14903</v>
      </c>
    </row>
    <row r="1999" spans="1:5" x14ac:dyDescent="0.25">
      <c r="A1999" t="s">
        <v>1</v>
      </c>
      <c r="B1999" t="s">
        <v>19</v>
      </c>
      <c r="C1999" t="s">
        <v>23490</v>
      </c>
      <c r="D1999" t="str">
        <f>HYPERLINK("https://rhld.insurance.arkansas.gov/NPILookup?Npi=1235172156","1235172156")</f>
        <v>1235172156</v>
      </c>
      <c r="E1999" t="s">
        <v>829</v>
      </c>
    </row>
    <row r="2000" spans="1:5" x14ac:dyDescent="0.25">
      <c r="A2000" t="s">
        <v>1</v>
      </c>
      <c r="B2000" t="s">
        <v>19</v>
      </c>
      <c r="C2000" t="s">
        <v>23490</v>
      </c>
      <c r="D2000" t="str">
        <f>HYPERLINK("https://rhld.insurance.arkansas.gov/NPILookup?Npi=1235175225","1235175225")</f>
        <v>1235175225</v>
      </c>
      <c r="E2000" t="s">
        <v>831</v>
      </c>
    </row>
    <row r="2001" spans="1:5" x14ac:dyDescent="0.25">
      <c r="A2001" t="s">
        <v>1</v>
      </c>
      <c r="B2001" t="s">
        <v>19</v>
      </c>
      <c r="C2001" t="s">
        <v>23490</v>
      </c>
      <c r="D2001" t="str">
        <f>HYPERLINK("https://rhld.insurance.arkansas.gov/NPILookup?Npi=1235178963","1235178963")</f>
        <v>1235178963</v>
      </c>
      <c r="E2001" t="s">
        <v>833</v>
      </c>
    </row>
    <row r="2002" spans="1:5" x14ac:dyDescent="0.25">
      <c r="A2002" t="s">
        <v>1</v>
      </c>
      <c r="B2002" t="s">
        <v>19</v>
      </c>
      <c r="C2002" t="s">
        <v>23490</v>
      </c>
      <c r="D2002" t="str">
        <f>HYPERLINK("https://rhld.insurance.arkansas.gov/NPILookup?Npi=1235181710","1235181710")</f>
        <v>1235181710</v>
      </c>
      <c r="E2002" t="s">
        <v>834</v>
      </c>
    </row>
    <row r="2003" spans="1:5" x14ac:dyDescent="0.25">
      <c r="A2003" t="s">
        <v>1</v>
      </c>
      <c r="B2003" t="s">
        <v>19</v>
      </c>
      <c r="C2003" t="s">
        <v>23490</v>
      </c>
      <c r="D2003" t="str">
        <f>HYPERLINK("https://rhld.insurance.arkansas.gov/NPILookup?Npi=1235190349","1235190349")</f>
        <v>1235190349</v>
      </c>
      <c r="E2003" t="s">
        <v>19532</v>
      </c>
    </row>
    <row r="2004" spans="1:5" x14ac:dyDescent="0.25">
      <c r="A2004" t="s">
        <v>1</v>
      </c>
      <c r="B2004" t="s">
        <v>19</v>
      </c>
      <c r="C2004" t="s">
        <v>23490</v>
      </c>
      <c r="D2004" t="str">
        <f>HYPERLINK("https://rhld.insurance.arkansas.gov/NPILookup?Npi=1235194481","1235194481")</f>
        <v>1235194481</v>
      </c>
      <c r="E2004" t="s">
        <v>835</v>
      </c>
    </row>
    <row r="2005" spans="1:5" x14ac:dyDescent="0.25">
      <c r="A2005" t="s">
        <v>1</v>
      </c>
      <c r="B2005" t="s">
        <v>19</v>
      </c>
      <c r="C2005" t="s">
        <v>23490</v>
      </c>
      <c r="D2005" t="str">
        <f>HYPERLINK("https://rhld.insurance.arkansas.gov/NPILookup?Npi=1235195785","1235195785")</f>
        <v>1235195785</v>
      </c>
      <c r="E2005" t="s">
        <v>836</v>
      </c>
    </row>
    <row r="2006" spans="1:5" x14ac:dyDescent="0.25">
      <c r="A2006" t="s">
        <v>1</v>
      </c>
      <c r="B2006" t="s">
        <v>19</v>
      </c>
      <c r="C2006" t="s">
        <v>23490</v>
      </c>
      <c r="D2006" t="str">
        <f>HYPERLINK("https://rhld.insurance.arkansas.gov/NPILookup?Npi=1235196569","1235196569")</f>
        <v>1235196569</v>
      </c>
      <c r="E2006" t="s">
        <v>837</v>
      </c>
    </row>
    <row r="2007" spans="1:5" x14ac:dyDescent="0.25">
      <c r="A2007" t="s">
        <v>1</v>
      </c>
      <c r="B2007" t="s">
        <v>19</v>
      </c>
      <c r="C2007" t="s">
        <v>23490</v>
      </c>
      <c r="D2007" t="str">
        <f>HYPERLINK("https://rhld.insurance.arkansas.gov/NPILookup?Npi=1235207713","1235207713")</f>
        <v>1235207713</v>
      </c>
      <c r="E2007" t="s">
        <v>14807</v>
      </c>
    </row>
    <row r="2008" spans="1:5" x14ac:dyDescent="0.25">
      <c r="A2008" t="s">
        <v>1</v>
      </c>
      <c r="B2008" t="s">
        <v>19</v>
      </c>
      <c r="C2008" t="s">
        <v>23490</v>
      </c>
      <c r="D2008" t="str">
        <f>HYPERLINK("https://rhld.insurance.arkansas.gov/NPILookup?Npi=1235209198","1235209198")</f>
        <v>1235209198</v>
      </c>
      <c r="E2008" t="s">
        <v>838</v>
      </c>
    </row>
    <row r="2009" spans="1:5" x14ac:dyDescent="0.25">
      <c r="A2009" t="s">
        <v>1</v>
      </c>
      <c r="B2009" t="s">
        <v>19</v>
      </c>
      <c r="C2009" t="s">
        <v>23490</v>
      </c>
      <c r="D2009" t="str">
        <f>HYPERLINK("https://rhld.insurance.arkansas.gov/NPILookup?Npi=1235244401","1235244401")</f>
        <v>1235244401</v>
      </c>
      <c r="E2009" t="s">
        <v>839</v>
      </c>
    </row>
    <row r="2010" spans="1:5" x14ac:dyDescent="0.25">
      <c r="A2010" t="s">
        <v>1</v>
      </c>
      <c r="B2010" t="s">
        <v>19</v>
      </c>
      <c r="C2010" t="s">
        <v>23490</v>
      </c>
      <c r="D2010" t="str">
        <f>HYPERLINK("https://rhld.insurance.arkansas.gov/NPILookup?Npi=1235244955","1235244955")</f>
        <v>1235244955</v>
      </c>
      <c r="E2010" t="s">
        <v>840</v>
      </c>
    </row>
    <row r="2011" spans="1:5" x14ac:dyDescent="0.25">
      <c r="A2011" t="s">
        <v>1</v>
      </c>
      <c r="B2011" t="s">
        <v>19</v>
      </c>
      <c r="C2011" t="s">
        <v>23490</v>
      </c>
      <c r="D2011" t="str">
        <f>HYPERLINK("https://rhld.insurance.arkansas.gov/NPILookup?Npi=1235247230","1235247230")</f>
        <v>1235247230</v>
      </c>
      <c r="E2011" t="s">
        <v>841</v>
      </c>
    </row>
    <row r="2012" spans="1:5" x14ac:dyDescent="0.25">
      <c r="A2012" t="s">
        <v>1</v>
      </c>
      <c r="B2012" t="s">
        <v>19</v>
      </c>
      <c r="C2012" t="s">
        <v>23490</v>
      </c>
      <c r="D2012" t="str">
        <f>HYPERLINK("https://rhld.insurance.arkansas.gov/NPILookup?Npi=1235268517","1235268517")</f>
        <v>1235268517</v>
      </c>
      <c r="E2012" t="s">
        <v>842</v>
      </c>
    </row>
    <row r="2013" spans="1:5" x14ac:dyDescent="0.25">
      <c r="A2013" t="s">
        <v>1</v>
      </c>
      <c r="B2013" t="s">
        <v>19</v>
      </c>
      <c r="C2013" t="s">
        <v>23490</v>
      </c>
      <c r="D2013" t="str">
        <f>HYPERLINK("https://rhld.insurance.arkansas.gov/NPILookup?Npi=1235269705","1235269705")</f>
        <v>1235269705</v>
      </c>
      <c r="E2013" t="s">
        <v>843</v>
      </c>
    </row>
    <row r="2014" spans="1:5" x14ac:dyDescent="0.25">
      <c r="A2014" t="s">
        <v>1</v>
      </c>
      <c r="B2014" t="s">
        <v>19</v>
      </c>
      <c r="C2014" t="s">
        <v>23490</v>
      </c>
      <c r="D2014" t="str">
        <f>HYPERLINK("https://rhld.insurance.arkansas.gov/NPILookup?Npi=1235279688","1235279688")</f>
        <v>1235279688</v>
      </c>
      <c r="E2014" t="s">
        <v>14904</v>
      </c>
    </row>
    <row r="2015" spans="1:5" x14ac:dyDescent="0.25">
      <c r="A2015" t="s">
        <v>1</v>
      </c>
      <c r="B2015" t="s">
        <v>19</v>
      </c>
      <c r="C2015" t="s">
        <v>23490</v>
      </c>
      <c r="D2015" t="str">
        <f>HYPERLINK("https://rhld.insurance.arkansas.gov/NPILookup?Npi=1235331042","1235331042")</f>
        <v>1235331042</v>
      </c>
      <c r="E2015" t="s">
        <v>844</v>
      </c>
    </row>
    <row r="2016" spans="1:5" x14ac:dyDescent="0.25">
      <c r="A2016" t="s">
        <v>1</v>
      </c>
      <c r="B2016" t="s">
        <v>19</v>
      </c>
      <c r="C2016" t="s">
        <v>23490</v>
      </c>
      <c r="D2016" t="str">
        <f>HYPERLINK("https://rhld.insurance.arkansas.gov/NPILookup?Npi=1235332529","1235332529")</f>
        <v>1235332529</v>
      </c>
      <c r="E2016" t="s">
        <v>845</v>
      </c>
    </row>
    <row r="2017" spans="1:5" x14ac:dyDescent="0.25">
      <c r="A2017" t="s">
        <v>1</v>
      </c>
      <c r="B2017" t="s">
        <v>19</v>
      </c>
      <c r="C2017" t="s">
        <v>23490</v>
      </c>
      <c r="D2017" t="str">
        <f>HYPERLINK("https://rhld.insurance.arkansas.gov/NPILookup?Npi=1235337049","1235337049")</f>
        <v>1235337049</v>
      </c>
      <c r="E2017" t="s">
        <v>846</v>
      </c>
    </row>
    <row r="2018" spans="1:5" x14ac:dyDescent="0.25">
      <c r="A2018" t="s">
        <v>1</v>
      </c>
      <c r="B2018" t="s">
        <v>19</v>
      </c>
      <c r="C2018" t="s">
        <v>23490</v>
      </c>
      <c r="D2018" t="str">
        <f>HYPERLINK("https://rhld.insurance.arkansas.gov/NPILookup?Npi=1235360819","1235360819")</f>
        <v>1235360819</v>
      </c>
      <c r="E2018" t="s">
        <v>19533</v>
      </c>
    </row>
    <row r="2019" spans="1:5" x14ac:dyDescent="0.25">
      <c r="A2019" t="s">
        <v>1</v>
      </c>
      <c r="B2019" t="s">
        <v>19</v>
      </c>
      <c r="C2019" t="s">
        <v>23490</v>
      </c>
      <c r="D2019" t="str">
        <f>HYPERLINK("https://rhld.insurance.arkansas.gov/NPILookup?Npi=1235365800","1235365800")</f>
        <v>1235365800</v>
      </c>
      <c r="E2019" t="s">
        <v>847</v>
      </c>
    </row>
    <row r="2020" spans="1:5" x14ac:dyDescent="0.25">
      <c r="A2020" t="s">
        <v>1</v>
      </c>
      <c r="B2020" t="s">
        <v>19</v>
      </c>
      <c r="C2020" t="s">
        <v>23490</v>
      </c>
      <c r="D2020" t="str">
        <f>HYPERLINK("https://rhld.insurance.arkansas.gov/NPILookup?Npi=1235369307","1235369307")</f>
        <v>1235369307</v>
      </c>
      <c r="E2020" t="s">
        <v>848</v>
      </c>
    </row>
    <row r="2021" spans="1:5" x14ac:dyDescent="0.25">
      <c r="A2021" t="s">
        <v>1</v>
      </c>
      <c r="B2021" t="s">
        <v>19</v>
      </c>
      <c r="C2021" t="s">
        <v>23490</v>
      </c>
      <c r="D2021" t="str">
        <f>HYPERLINK("https://rhld.insurance.arkansas.gov/NPILookup?Npi=1235369497","1235369497")</f>
        <v>1235369497</v>
      </c>
      <c r="E2021" t="s">
        <v>849</v>
      </c>
    </row>
    <row r="2022" spans="1:5" x14ac:dyDescent="0.25">
      <c r="A2022" t="s">
        <v>1</v>
      </c>
      <c r="B2022" t="s">
        <v>19</v>
      </c>
      <c r="C2022" t="s">
        <v>23490</v>
      </c>
      <c r="D2022" t="str">
        <f>HYPERLINK("https://rhld.insurance.arkansas.gov/NPILookup?Npi=1235371758","1235371758")</f>
        <v>1235371758</v>
      </c>
      <c r="E2022" t="s">
        <v>850</v>
      </c>
    </row>
    <row r="2023" spans="1:5" x14ac:dyDescent="0.25">
      <c r="A2023" t="s">
        <v>1</v>
      </c>
      <c r="B2023" t="s">
        <v>19</v>
      </c>
      <c r="C2023" t="s">
        <v>23490</v>
      </c>
      <c r="D2023" t="str">
        <f>HYPERLINK("https://rhld.insurance.arkansas.gov/NPILookup?Npi=1235385238","1235385238")</f>
        <v>1235385238</v>
      </c>
      <c r="E2023" t="s">
        <v>851</v>
      </c>
    </row>
    <row r="2024" spans="1:5" x14ac:dyDescent="0.25">
      <c r="A2024" t="s">
        <v>1</v>
      </c>
      <c r="B2024" t="s">
        <v>19</v>
      </c>
      <c r="C2024" t="s">
        <v>23490</v>
      </c>
      <c r="D2024" t="str">
        <f>HYPERLINK("https://rhld.insurance.arkansas.gov/NPILookup?Npi=1235400532","1235400532")</f>
        <v>1235400532</v>
      </c>
      <c r="E2024" t="s">
        <v>14905</v>
      </c>
    </row>
    <row r="2025" spans="1:5" x14ac:dyDescent="0.25">
      <c r="A2025" t="s">
        <v>1</v>
      </c>
      <c r="B2025" t="s">
        <v>19</v>
      </c>
      <c r="C2025" t="s">
        <v>23490</v>
      </c>
      <c r="D2025" t="str">
        <f>HYPERLINK("https://rhld.insurance.arkansas.gov/NPILookup?Npi=1235413154","1235413154")</f>
        <v>1235413154</v>
      </c>
      <c r="E2025" t="s">
        <v>852</v>
      </c>
    </row>
    <row r="2026" spans="1:5" x14ac:dyDescent="0.25">
      <c r="A2026" t="s">
        <v>1</v>
      </c>
      <c r="B2026" t="s">
        <v>19</v>
      </c>
      <c r="C2026" t="s">
        <v>23490</v>
      </c>
      <c r="D2026" t="str">
        <f>HYPERLINK("https://rhld.insurance.arkansas.gov/NPILookup?Npi=1235457789","1235457789")</f>
        <v>1235457789</v>
      </c>
      <c r="E2026" t="s">
        <v>10761</v>
      </c>
    </row>
    <row r="2027" spans="1:5" x14ac:dyDescent="0.25">
      <c r="A2027" t="s">
        <v>1</v>
      </c>
      <c r="B2027" t="s">
        <v>19</v>
      </c>
      <c r="C2027" t="s">
        <v>23490</v>
      </c>
      <c r="D2027" t="str">
        <f>HYPERLINK("https://rhld.insurance.arkansas.gov/NPILookup?Npi=1235491838","1235491838")</f>
        <v>1235491838</v>
      </c>
      <c r="E2027" t="s">
        <v>14906</v>
      </c>
    </row>
    <row r="2028" spans="1:5" x14ac:dyDescent="0.25">
      <c r="A2028" t="s">
        <v>1</v>
      </c>
      <c r="B2028" t="s">
        <v>19</v>
      </c>
      <c r="C2028" t="s">
        <v>23490</v>
      </c>
      <c r="D2028" t="str">
        <f>HYPERLINK("https://rhld.insurance.arkansas.gov/NPILookup?Npi=1235509043","1235509043")</f>
        <v>1235509043</v>
      </c>
      <c r="E2028" t="s">
        <v>14907</v>
      </c>
    </row>
    <row r="2029" spans="1:5" x14ac:dyDescent="0.25">
      <c r="A2029" t="s">
        <v>1</v>
      </c>
      <c r="B2029" t="s">
        <v>19</v>
      </c>
      <c r="C2029" t="s">
        <v>23490</v>
      </c>
      <c r="D2029" t="str">
        <f>HYPERLINK("https://rhld.insurance.arkansas.gov/NPILookup?Npi=1235511981","1235511981")</f>
        <v>1235511981</v>
      </c>
      <c r="E2029" t="s">
        <v>853</v>
      </c>
    </row>
    <row r="2030" spans="1:5" x14ac:dyDescent="0.25">
      <c r="A2030" t="s">
        <v>1</v>
      </c>
      <c r="B2030" t="s">
        <v>19</v>
      </c>
      <c r="C2030" t="s">
        <v>23490</v>
      </c>
      <c r="D2030" t="str">
        <f>HYPERLINK("https://rhld.insurance.arkansas.gov/NPILookup?Npi=1235513151","1235513151")</f>
        <v>1235513151</v>
      </c>
      <c r="E2030" t="s">
        <v>854</v>
      </c>
    </row>
    <row r="2031" spans="1:5" x14ac:dyDescent="0.25">
      <c r="A2031" t="s">
        <v>1</v>
      </c>
      <c r="B2031" t="s">
        <v>19</v>
      </c>
      <c r="C2031" t="s">
        <v>23490</v>
      </c>
      <c r="D2031" t="str">
        <f>HYPERLINK("https://rhld.insurance.arkansas.gov/NPILookup?Npi=1235517152","1235517152")</f>
        <v>1235517152</v>
      </c>
      <c r="E2031" t="s">
        <v>19534</v>
      </c>
    </row>
    <row r="2032" spans="1:5" x14ac:dyDescent="0.25">
      <c r="A2032" t="s">
        <v>1</v>
      </c>
      <c r="B2032" t="s">
        <v>19</v>
      </c>
      <c r="C2032" t="s">
        <v>23490</v>
      </c>
      <c r="D2032" t="str">
        <f>HYPERLINK("https://rhld.insurance.arkansas.gov/NPILookup?Npi=1235522780","1235522780")</f>
        <v>1235522780</v>
      </c>
      <c r="E2032" t="s">
        <v>16901</v>
      </c>
    </row>
    <row r="2033" spans="1:5" x14ac:dyDescent="0.25">
      <c r="A2033" t="s">
        <v>1</v>
      </c>
      <c r="B2033" t="s">
        <v>19</v>
      </c>
      <c r="C2033" t="s">
        <v>23490</v>
      </c>
      <c r="D2033" t="str">
        <f>HYPERLINK("https://rhld.insurance.arkansas.gov/NPILookup?Npi=1235524869","1235524869")</f>
        <v>1235524869</v>
      </c>
      <c r="E2033" t="s">
        <v>13428</v>
      </c>
    </row>
    <row r="2034" spans="1:5" x14ac:dyDescent="0.25">
      <c r="A2034" t="s">
        <v>1</v>
      </c>
      <c r="B2034" t="s">
        <v>19</v>
      </c>
      <c r="C2034" t="s">
        <v>23490</v>
      </c>
      <c r="D2034" t="str">
        <f>HYPERLINK("https://rhld.insurance.arkansas.gov/NPILookup?Npi=1235530478","1235530478")</f>
        <v>1235530478</v>
      </c>
      <c r="E2034" t="s">
        <v>855</v>
      </c>
    </row>
    <row r="2035" spans="1:5" x14ac:dyDescent="0.25">
      <c r="A2035" t="s">
        <v>1</v>
      </c>
      <c r="B2035" t="s">
        <v>19</v>
      </c>
      <c r="C2035" t="s">
        <v>23490</v>
      </c>
      <c r="D2035" t="str">
        <f>HYPERLINK("https://rhld.insurance.arkansas.gov/NPILookup?Npi=1235541012","1235541012")</f>
        <v>1235541012</v>
      </c>
      <c r="E2035" t="s">
        <v>17408</v>
      </c>
    </row>
    <row r="2036" spans="1:5" x14ac:dyDescent="0.25">
      <c r="A2036" t="s">
        <v>1</v>
      </c>
      <c r="B2036" t="s">
        <v>19</v>
      </c>
      <c r="C2036" t="s">
        <v>23490</v>
      </c>
      <c r="D2036" t="str">
        <f>HYPERLINK("https://rhld.insurance.arkansas.gov/NPILookup?Npi=1235542739","1235542739")</f>
        <v>1235542739</v>
      </c>
      <c r="E2036" t="s">
        <v>10763</v>
      </c>
    </row>
    <row r="2037" spans="1:5" x14ac:dyDescent="0.25">
      <c r="A2037" t="s">
        <v>1</v>
      </c>
      <c r="B2037" t="s">
        <v>19</v>
      </c>
      <c r="C2037" t="s">
        <v>23490</v>
      </c>
      <c r="D2037" t="str">
        <f>HYPERLINK("https://rhld.insurance.arkansas.gov/NPILookup?Npi=1235546490","1235546490")</f>
        <v>1235546490</v>
      </c>
      <c r="E2037" t="s">
        <v>856</v>
      </c>
    </row>
    <row r="2038" spans="1:5" x14ac:dyDescent="0.25">
      <c r="A2038" t="s">
        <v>1</v>
      </c>
      <c r="B2038" t="s">
        <v>19</v>
      </c>
      <c r="C2038" t="s">
        <v>23490</v>
      </c>
      <c r="D2038" t="str">
        <f>HYPERLINK("https://rhld.insurance.arkansas.gov/NPILookup?Npi=1235547589","1235547589")</f>
        <v>1235547589</v>
      </c>
      <c r="E2038" t="s">
        <v>10764</v>
      </c>
    </row>
    <row r="2039" spans="1:5" x14ac:dyDescent="0.25">
      <c r="A2039" t="s">
        <v>1</v>
      </c>
      <c r="B2039" t="s">
        <v>19</v>
      </c>
      <c r="C2039" t="s">
        <v>23490</v>
      </c>
      <c r="D2039" t="str">
        <f>HYPERLINK("https://rhld.insurance.arkansas.gov/NPILookup?Npi=1235553611","1235553611")</f>
        <v>1235553611</v>
      </c>
      <c r="E2039" t="s">
        <v>17297</v>
      </c>
    </row>
    <row r="2040" spans="1:5" x14ac:dyDescent="0.25">
      <c r="A2040" t="s">
        <v>1</v>
      </c>
      <c r="B2040" t="s">
        <v>19</v>
      </c>
      <c r="C2040" t="s">
        <v>23490</v>
      </c>
      <c r="D2040" t="str">
        <f>HYPERLINK("https://rhld.insurance.arkansas.gov/NPILookup?Npi=1235581802","1235581802")</f>
        <v>1235581802</v>
      </c>
      <c r="E2040" t="s">
        <v>8562</v>
      </c>
    </row>
    <row r="2041" spans="1:5" x14ac:dyDescent="0.25">
      <c r="A2041" t="s">
        <v>1</v>
      </c>
      <c r="B2041" t="s">
        <v>19</v>
      </c>
      <c r="C2041" t="s">
        <v>23490</v>
      </c>
      <c r="D2041" t="str">
        <f>HYPERLINK("https://rhld.insurance.arkansas.gov/NPILookup?Npi=1235585563","1235585563")</f>
        <v>1235585563</v>
      </c>
      <c r="E2041" t="s">
        <v>8563</v>
      </c>
    </row>
    <row r="2042" spans="1:5" x14ac:dyDescent="0.25">
      <c r="A2042" t="s">
        <v>1</v>
      </c>
      <c r="B2042" t="s">
        <v>19</v>
      </c>
      <c r="C2042" t="s">
        <v>23490</v>
      </c>
      <c r="D2042" t="str">
        <f>HYPERLINK("https://rhld.insurance.arkansas.gov/NPILookup?Npi=1235589748","1235589748")</f>
        <v>1235589748</v>
      </c>
      <c r="E2042" t="s">
        <v>14908</v>
      </c>
    </row>
    <row r="2043" spans="1:5" x14ac:dyDescent="0.25">
      <c r="A2043" t="s">
        <v>1</v>
      </c>
      <c r="B2043" t="s">
        <v>19</v>
      </c>
      <c r="C2043" t="s">
        <v>23490</v>
      </c>
      <c r="D2043" t="str">
        <f>HYPERLINK("https://rhld.insurance.arkansas.gov/NPILookup?Npi=1235595059","1235595059")</f>
        <v>1235595059</v>
      </c>
      <c r="E2043" t="s">
        <v>19222</v>
      </c>
    </row>
    <row r="2044" spans="1:5" x14ac:dyDescent="0.25">
      <c r="A2044" t="s">
        <v>1</v>
      </c>
      <c r="B2044" t="s">
        <v>19</v>
      </c>
      <c r="C2044" t="s">
        <v>23490</v>
      </c>
      <c r="D2044" t="str">
        <f>HYPERLINK("https://rhld.insurance.arkansas.gov/NPILookup?Npi=1235603614","1235603614")</f>
        <v>1235603614</v>
      </c>
      <c r="E2044" t="s">
        <v>13429</v>
      </c>
    </row>
    <row r="2045" spans="1:5" x14ac:dyDescent="0.25">
      <c r="A2045" t="s">
        <v>1</v>
      </c>
      <c r="B2045" t="s">
        <v>19</v>
      </c>
      <c r="C2045" t="s">
        <v>23490</v>
      </c>
      <c r="D2045" t="str">
        <f>HYPERLINK("https://rhld.insurance.arkansas.gov/NPILookup?Npi=1235604919","1235604919")</f>
        <v>1235604919</v>
      </c>
      <c r="E2045" t="s">
        <v>19535</v>
      </c>
    </row>
    <row r="2046" spans="1:5" x14ac:dyDescent="0.25">
      <c r="A2046" t="s">
        <v>1</v>
      </c>
      <c r="B2046" t="s">
        <v>19</v>
      </c>
      <c r="C2046" t="s">
        <v>23490</v>
      </c>
      <c r="D2046" t="str">
        <f>HYPERLINK("https://rhld.insurance.arkansas.gov/NPILookup?Npi=1235629130","1235629130")</f>
        <v>1235629130</v>
      </c>
      <c r="E2046" t="s">
        <v>13430</v>
      </c>
    </row>
    <row r="2047" spans="1:5" x14ac:dyDescent="0.25">
      <c r="A2047" t="s">
        <v>1</v>
      </c>
      <c r="B2047" t="s">
        <v>19</v>
      </c>
      <c r="C2047" t="s">
        <v>23490</v>
      </c>
      <c r="D2047" t="str">
        <f>HYPERLINK("https://rhld.insurance.arkansas.gov/NPILookup?Npi=1235635111","1235635111")</f>
        <v>1235635111</v>
      </c>
      <c r="E2047" t="s">
        <v>18714</v>
      </c>
    </row>
    <row r="2048" spans="1:5" x14ac:dyDescent="0.25">
      <c r="A2048" t="s">
        <v>1</v>
      </c>
      <c r="B2048" t="s">
        <v>19</v>
      </c>
      <c r="C2048" t="s">
        <v>23490</v>
      </c>
      <c r="D2048" t="str">
        <f>HYPERLINK("https://rhld.insurance.arkansas.gov/NPILookup?Npi=1235635160","1235635160")</f>
        <v>1235635160</v>
      </c>
      <c r="E2048" t="s">
        <v>19536</v>
      </c>
    </row>
    <row r="2049" spans="1:5" x14ac:dyDescent="0.25">
      <c r="A2049" t="s">
        <v>1</v>
      </c>
      <c r="B2049" t="s">
        <v>19</v>
      </c>
      <c r="C2049" t="s">
        <v>23490</v>
      </c>
      <c r="D2049" t="str">
        <f>HYPERLINK("https://rhld.insurance.arkansas.gov/NPILookup?Npi=1235648874","1235648874")</f>
        <v>1235648874</v>
      </c>
      <c r="E2049" t="s">
        <v>12802</v>
      </c>
    </row>
    <row r="2050" spans="1:5" x14ac:dyDescent="0.25">
      <c r="A2050" t="s">
        <v>1</v>
      </c>
      <c r="B2050" t="s">
        <v>19</v>
      </c>
      <c r="C2050" t="s">
        <v>23490</v>
      </c>
      <c r="D2050" t="str">
        <f>HYPERLINK("https://rhld.insurance.arkansas.gov/NPILookup?Npi=1235652611","1235652611")</f>
        <v>1235652611</v>
      </c>
      <c r="E2050" t="s">
        <v>10765</v>
      </c>
    </row>
    <row r="2051" spans="1:5" x14ac:dyDescent="0.25">
      <c r="A2051" t="s">
        <v>1</v>
      </c>
      <c r="B2051" t="s">
        <v>19</v>
      </c>
      <c r="C2051" t="s">
        <v>23490</v>
      </c>
      <c r="D2051" t="str">
        <f>HYPERLINK("https://rhld.insurance.arkansas.gov/NPILookup?Npi=1235653692","1235653692")</f>
        <v>1235653692</v>
      </c>
      <c r="E2051" t="s">
        <v>10766</v>
      </c>
    </row>
    <row r="2052" spans="1:5" x14ac:dyDescent="0.25">
      <c r="A2052" t="s">
        <v>1</v>
      </c>
      <c r="B2052" t="s">
        <v>19</v>
      </c>
      <c r="C2052" t="s">
        <v>23490</v>
      </c>
      <c r="D2052" t="str">
        <f>HYPERLINK("https://rhld.insurance.arkansas.gov/NPILookup?Npi=1235655531","1235655531")</f>
        <v>1235655531</v>
      </c>
      <c r="E2052" t="s">
        <v>13431</v>
      </c>
    </row>
    <row r="2053" spans="1:5" x14ac:dyDescent="0.25">
      <c r="A2053" t="s">
        <v>1</v>
      </c>
      <c r="B2053" t="s">
        <v>19</v>
      </c>
      <c r="C2053" t="s">
        <v>23490</v>
      </c>
      <c r="D2053" t="str">
        <f>HYPERLINK("https://rhld.insurance.arkansas.gov/NPILookup?Npi=1235667965","1235667965")</f>
        <v>1235667965</v>
      </c>
      <c r="E2053" t="s">
        <v>10767</v>
      </c>
    </row>
    <row r="2054" spans="1:5" x14ac:dyDescent="0.25">
      <c r="A2054" t="s">
        <v>1</v>
      </c>
      <c r="B2054" t="s">
        <v>19</v>
      </c>
      <c r="C2054" t="s">
        <v>23490</v>
      </c>
      <c r="D2054" t="str">
        <f>HYPERLINK("https://rhld.insurance.arkansas.gov/NPILookup?Npi=1235676792","1235676792")</f>
        <v>1235676792</v>
      </c>
      <c r="E2054" t="s">
        <v>14909</v>
      </c>
    </row>
    <row r="2055" spans="1:5" x14ac:dyDescent="0.25">
      <c r="A2055" t="s">
        <v>1</v>
      </c>
      <c r="B2055" t="s">
        <v>19</v>
      </c>
      <c r="C2055" t="s">
        <v>23490</v>
      </c>
      <c r="D2055" t="str">
        <f>HYPERLINK("https://rhld.insurance.arkansas.gov/NPILookup?Npi=1235687773","1235687773")</f>
        <v>1235687773</v>
      </c>
      <c r="E2055" t="s">
        <v>10768</v>
      </c>
    </row>
    <row r="2056" spans="1:5" x14ac:dyDescent="0.25">
      <c r="A2056" t="s">
        <v>1</v>
      </c>
      <c r="B2056" t="s">
        <v>19</v>
      </c>
      <c r="C2056" t="s">
        <v>23490</v>
      </c>
      <c r="D2056" t="str">
        <f>HYPERLINK("https://rhld.insurance.arkansas.gov/NPILookup?Npi=1235695768","1235695768")</f>
        <v>1235695768</v>
      </c>
      <c r="E2056" t="s">
        <v>14910</v>
      </c>
    </row>
    <row r="2057" spans="1:5" x14ac:dyDescent="0.25">
      <c r="A2057" t="s">
        <v>1</v>
      </c>
      <c r="B2057" t="s">
        <v>19</v>
      </c>
      <c r="C2057" t="s">
        <v>23490</v>
      </c>
      <c r="D2057" t="str">
        <f>HYPERLINK("https://rhld.insurance.arkansas.gov/NPILookup?Npi=1235721259","1235721259")</f>
        <v>1235721259</v>
      </c>
      <c r="E2057" t="s">
        <v>17914</v>
      </c>
    </row>
    <row r="2058" spans="1:5" x14ac:dyDescent="0.25">
      <c r="A2058" t="s">
        <v>1</v>
      </c>
      <c r="B2058" t="s">
        <v>19</v>
      </c>
      <c r="C2058" t="s">
        <v>23490</v>
      </c>
      <c r="D2058" t="str">
        <f>HYPERLINK("https://rhld.insurance.arkansas.gov/NPILookup?Npi=1235762816","1235762816")</f>
        <v>1235762816</v>
      </c>
      <c r="E2058" t="s">
        <v>19537</v>
      </c>
    </row>
    <row r="2059" spans="1:5" x14ac:dyDescent="0.25">
      <c r="A2059" t="s">
        <v>1</v>
      </c>
      <c r="B2059" t="s">
        <v>19</v>
      </c>
      <c r="C2059" t="s">
        <v>23490</v>
      </c>
      <c r="D2059" t="str">
        <f>HYPERLINK("https://rhld.insurance.arkansas.gov/NPILookup?Npi=1235770942","1235770942")</f>
        <v>1235770942</v>
      </c>
      <c r="E2059" t="s">
        <v>19538</v>
      </c>
    </row>
    <row r="2060" spans="1:5" x14ac:dyDescent="0.25">
      <c r="A2060" t="s">
        <v>1</v>
      </c>
      <c r="B2060" t="s">
        <v>19</v>
      </c>
      <c r="C2060" t="s">
        <v>23490</v>
      </c>
      <c r="D2060" t="str">
        <f>HYPERLINK("https://rhld.insurance.arkansas.gov/NPILookup?Npi=1235776311","1235776311")</f>
        <v>1235776311</v>
      </c>
      <c r="E2060" t="s">
        <v>17409</v>
      </c>
    </row>
    <row r="2061" spans="1:5" x14ac:dyDescent="0.25">
      <c r="A2061" t="s">
        <v>1</v>
      </c>
      <c r="B2061" t="s">
        <v>19</v>
      </c>
      <c r="C2061" t="s">
        <v>23490</v>
      </c>
      <c r="D2061" t="str">
        <f>HYPERLINK("https://rhld.insurance.arkansas.gov/NPILookup?Npi=1235796145","1235796145")</f>
        <v>1235796145</v>
      </c>
      <c r="E2061" t="s">
        <v>17915</v>
      </c>
    </row>
    <row r="2062" spans="1:5" x14ac:dyDescent="0.25">
      <c r="A2062" t="s">
        <v>1</v>
      </c>
      <c r="B2062" t="s">
        <v>19</v>
      </c>
      <c r="C2062" t="s">
        <v>23490</v>
      </c>
      <c r="D2062" t="str">
        <f>HYPERLINK("https://rhld.insurance.arkansas.gov/NPILookup?Npi=1235837279","1235837279")</f>
        <v>1235837279</v>
      </c>
      <c r="E2062" t="s">
        <v>21503</v>
      </c>
    </row>
    <row r="2063" spans="1:5" x14ac:dyDescent="0.25">
      <c r="A2063" t="s">
        <v>1</v>
      </c>
      <c r="B2063" t="s">
        <v>19</v>
      </c>
      <c r="C2063" t="s">
        <v>23490</v>
      </c>
      <c r="D2063" t="str">
        <f>HYPERLINK("https://rhld.insurance.arkansas.gov/NPILookup?Npi=1235874512","1235874512")</f>
        <v>1235874512</v>
      </c>
      <c r="E2063" t="s">
        <v>20914</v>
      </c>
    </row>
    <row r="2064" spans="1:5" x14ac:dyDescent="0.25">
      <c r="A2064" t="s">
        <v>1</v>
      </c>
      <c r="B2064" t="s">
        <v>19</v>
      </c>
      <c r="C2064" t="s">
        <v>23490</v>
      </c>
      <c r="D2064" t="str">
        <f>HYPERLINK("https://rhld.insurance.arkansas.gov/NPILookup?Npi=1235891417","1235891417")</f>
        <v>1235891417</v>
      </c>
      <c r="E2064" t="s">
        <v>19539</v>
      </c>
    </row>
    <row r="2065" spans="1:5" x14ac:dyDescent="0.25">
      <c r="A2065" t="s">
        <v>1</v>
      </c>
      <c r="B2065" t="s">
        <v>19</v>
      </c>
      <c r="C2065" t="s">
        <v>23490</v>
      </c>
      <c r="D2065" t="str">
        <f>HYPERLINK("https://rhld.insurance.arkansas.gov/NPILookup?Npi=1245200468","1245200468")</f>
        <v>1245200468</v>
      </c>
      <c r="E2065" t="s">
        <v>857</v>
      </c>
    </row>
    <row r="2066" spans="1:5" x14ac:dyDescent="0.25">
      <c r="A2066" t="s">
        <v>1</v>
      </c>
      <c r="B2066" t="s">
        <v>19</v>
      </c>
      <c r="C2066" t="s">
        <v>23490</v>
      </c>
      <c r="D2066" t="str">
        <f>HYPERLINK("https://rhld.insurance.arkansas.gov/NPILookup?Npi=1245200971","1245200971")</f>
        <v>1245200971</v>
      </c>
      <c r="E2066" t="s">
        <v>19540</v>
      </c>
    </row>
    <row r="2067" spans="1:5" x14ac:dyDescent="0.25">
      <c r="A2067" t="s">
        <v>1</v>
      </c>
      <c r="B2067" t="s">
        <v>19</v>
      </c>
      <c r="C2067" t="s">
        <v>23490</v>
      </c>
      <c r="D2067" t="str">
        <f>HYPERLINK("https://rhld.insurance.arkansas.gov/NPILookup?Npi=1245202654","1245202654")</f>
        <v>1245202654</v>
      </c>
      <c r="E2067" t="s">
        <v>858</v>
      </c>
    </row>
    <row r="2068" spans="1:5" x14ac:dyDescent="0.25">
      <c r="A2068" t="s">
        <v>1</v>
      </c>
      <c r="B2068" t="s">
        <v>19</v>
      </c>
      <c r="C2068" t="s">
        <v>23490</v>
      </c>
      <c r="D2068" t="str">
        <f>HYPERLINK("https://rhld.insurance.arkansas.gov/NPILookup?Npi=1245205335","1245205335")</f>
        <v>1245205335</v>
      </c>
      <c r="E2068" t="s">
        <v>859</v>
      </c>
    </row>
    <row r="2069" spans="1:5" x14ac:dyDescent="0.25">
      <c r="A2069" t="s">
        <v>1</v>
      </c>
      <c r="B2069" t="s">
        <v>19</v>
      </c>
      <c r="C2069" t="s">
        <v>23490</v>
      </c>
      <c r="D2069" t="str">
        <f>HYPERLINK("https://rhld.insurance.arkansas.gov/NPILookup?Npi=1245222348","1245222348")</f>
        <v>1245222348</v>
      </c>
      <c r="E2069" t="s">
        <v>861</v>
      </c>
    </row>
    <row r="2070" spans="1:5" x14ac:dyDescent="0.25">
      <c r="A2070" t="s">
        <v>1</v>
      </c>
      <c r="B2070" t="s">
        <v>19</v>
      </c>
      <c r="C2070" t="s">
        <v>23490</v>
      </c>
      <c r="D2070" t="str">
        <f>HYPERLINK("https://rhld.insurance.arkansas.gov/NPILookup?Npi=1245223577","1245223577")</f>
        <v>1245223577</v>
      </c>
      <c r="E2070" t="s">
        <v>862</v>
      </c>
    </row>
    <row r="2071" spans="1:5" x14ac:dyDescent="0.25">
      <c r="A2071" t="s">
        <v>1</v>
      </c>
      <c r="B2071" t="s">
        <v>19</v>
      </c>
      <c r="C2071" t="s">
        <v>23490</v>
      </c>
      <c r="D2071" t="str">
        <f>HYPERLINK("https://rhld.insurance.arkansas.gov/NPILookup?Npi=1245223866","1245223866")</f>
        <v>1245223866</v>
      </c>
      <c r="E2071" t="s">
        <v>863</v>
      </c>
    </row>
    <row r="2072" spans="1:5" x14ac:dyDescent="0.25">
      <c r="A2072" t="s">
        <v>1</v>
      </c>
      <c r="B2072" t="s">
        <v>19</v>
      </c>
      <c r="C2072" t="s">
        <v>23490</v>
      </c>
      <c r="D2072" t="str">
        <f>HYPERLINK("https://rhld.insurance.arkansas.gov/NPILookup?Npi=1245224229","1245224229")</f>
        <v>1245224229</v>
      </c>
      <c r="E2072" t="s">
        <v>864</v>
      </c>
    </row>
    <row r="2073" spans="1:5" x14ac:dyDescent="0.25">
      <c r="A2073" t="s">
        <v>1</v>
      </c>
      <c r="B2073" t="s">
        <v>19</v>
      </c>
      <c r="C2073" t="s">
        <v>23490</v>
      </c>
      <c r="D2073" t="str">
        <f>HYPERLINK("https://rhld.insurance.arkansas.gov/NPILookup?Npi=1245227313","1245227313")</f>
        <v>1245227313</v>
      </c>
      <c r="E2073" t="s">
        <v>866</v>
      </c>
    </row>
    <row r="2074" spans="1:5" x14ac:dyDescent="0.25">
      <c r="A2074" t="s">
        <v>1</v>
      </c>
      <c r="B2074" t="s">
        <v>19</v>
      </c>
      <c r="C2074" t="s">
        <v>23490</v>
      </c>
      <c r="D2074" t="str">
        <f>HYPERLINK("https://rhld.insurance.arkansas.gov/NPILookup?Npi=1245234061","1245234061")</f>
        <v>1245234061</v>
      </c>
      <c r="E2074" t="s">
        <v>867</v>
      </c>
    </row>
    <row r="2075" spans="1:5" x14ac:dyDescent="0.25">
      <c r="A2075" t="s">
        <v>1</v>
      </c>
      <c r="B2075" t="s">
        <v>19</v>
      </c>
      <c r="C2075" t="s">
        <v>23490</v>
      </c>
      <c r="D2075" t="str">
        <f>HYPERLINK("https://rhld.insurance.arkansas.gov/NPILookup?Npi=1245237528","1245237528")</f>
        <v>1245237528</v>
      </c>
      <c r="E2075" t="s">
        <v>868</v>
      </c>
    </row>
    <row r="2076" spans="1:5" x14ac:dyDescent="0.25">
      <c r="A2076" t="s">
        <v>1</v>
      </c>
      <c r="B2076" t="s">
        <v>19</v>
      </c>
      <c r="C2076" t="s">
        <v>23490</v>
      </c>
      <c r="D2076" t="str">
        <f>HYPERLINK("https://rhld.insurance.arkansas.gov/NPILookup?Npi=1245250547","1245250547")</f>
        <v>1245250547</v>
      </c>
      <c r="E2076" t="s">
        <v>869</v>
      </c>
    </row>
    <row r="2077" spans="1:5" x14ac:dyDescent="0.25">
      <c r="A2077" t="s">
        <v>1</v>
      </c>
      <c r="B2077" t="s">
        <v>19</v>
      </c>
      <c r="C2077" t="s">
        <v>23490</v>
      </c>
      <c r="D2077" t="str">
        <f>HYPERLINK("https://rhld.insurance.arkansas.gov/NPILookup?Npi=1245260140","1245260140")</f>
        <v>1245260140</v>
      </c>
      <c r="E2077" t="s">
        <v>870</v>
      </c>
    </row>
    <row r="2078" spans="1:5" x14ac:dyDescent="0.25">
      <c r="A2078" t="s">
        <v>1</v>
      </c>
      <c r="B2078" t="s">
        <v>19</v>
      </c>
      <c r="C2078" t="s">
        <v>23490</v>
      </c>
      <c r="D2078" t="str">
        <f>HYPERLINK("https://rhld.insurance.arkansas.gov/NPILookup?Npi=1245264696","1245264696")</f>
        <v>1245264696</v>
      </c>
      <c r="E2078" t="s">
        <v>871</v>
      </c>
    </row>
    <row r="2079" spans="1:5" x14ac:dyDescent="0.25">
      <c r="A2079" t="s">
        <v>1</v>
      </c>
      <c r="B2079" t="s">
        <v>19</v>
      </c>
      <c r="C2079" t="s">
        <v>23490</v>
      </c>
      <c r="D2079" t="str">
        <f>HYPERLINK("https://rhld.insurance.arkansas.gov/NPILookup?Npi=1245266360","1245266360")</f>
        <v>1245266360</v>
      </c>
      <c r="E2079" t="s">
        <v>872</v>
      </c>
    </row>
    <row r="2080" spans="1:5" x14ac:dyDescent="0.25">
      <c r="A2080" t="s">
        <v>1</v>
      </c>
      <c r="B2080" t="s">
        <v>19</v>
      </c>
      <c r="C2080" t="s">
        <v>23490</v>
      </c>
      <c r="D2080" t="str">
        <f>HYPERLINK("https://rhld.insurance.arkansas.gov/NPILookup?Npi=1245268937","1245268937")</f>
        <v>1245268937</v>
      </c>
      <c r="E2080" t="s">
        <v>10769</v>
      </c>
    </row>
    <row r="2081" spans="1:5" x14ac:dyDescent="0.25">
      <c r="A2081" t="s">
        <v>1</v>
      </c>
      <c r="B2081" t="s">
        <v>19</v>
      </c>
      <c r="C2081" t="s">
        <v>23490</v>
      </c>
      <c r="D2081" t="str">
        <f>HYPERLINK("https://rhld.insurance.arkansas.gov/NPILookup?Npi=1245286442","1245286442")</f>
        <v>1245286442</v>
      </c>
      <c r="E2081" t="s">
        <v>873</v>
      </c>
    </row>
    <row r="2082" spans="1:5" x14ac:dyDescent="0.25">
      <c r="A2082" t="s">
        <v>1</v>
      </c>
      <c r="B2082" t="s">
        <v>19</v>
      </c>
      <c r="C2082" t="s">
        <v>23490</v>
      </c>
      <c r="D2082" t="str">
        <f>HYPERLINK("https://rhld.insurance.arkansas.gov/NPILookup?Npi=1245286921","1245286921")</f>
        <v>1245286921</v>
      </c>
      <c r="E2082" t="s">
        <v>874</v>
      </c>
    </row>
    <row r="2083" spans="1:5" x14ac:dyDescent="0.25">
      <c r="A2083" t="s">
        <v>1</v>
      </c>
      <c r="B2083" t="s">
        <v>19</v>
      </c>
      <c r="C2083" t="s">
        <v>23490</v>
      </c>
      <c r="D2083" t="str">
        <f>HYPERLINK("https://rhld.insurance.arkansas.gov/NPILookup?Npi=1245291301","1245291301")</f>
        <v>1245291301</v>
      </c>
      <c r="E2083" t="s">
        <v>875</v>
      </c>
    </row>
    <row r="2084" spans="1:5" x14ac:dyDescent="0.25">
      <c r="A2084" t="s">
        <v>1</v>
      </c>
      <c r="B2084" t="s">
        <v>19</v>
      </c>
      <c r="C2084" t="s">
        <v>23490</v>
      </c>
      <c r="D2084" t="str">
        <f>HYPERLINK("https://rhld.insurance.arkansas.gov/NPILookup?Npi=1245298132","1245298132")</f>
        <v>1245298132</v>
      </c>
      <c r="E2084" t="s">
        <v>876</v>
      </c>
    </row>
    <row r="2085" spans="1:5" x14ac:dyDescent="0.25">
      <c r="A2085" t="s">
        <v>1</v>
      </c>
      <c r="B2085" t="s">
        <v>19</v>
      </c>
      <c r="C2085" t="s">
        <v>23490</v>
      </c>
      <c r="D2085" t="str">
        <f>HYPERLINK("https://rhld.insurance.arkansas.gov/NPILookup?Npi=1245307586","1245307586")</f>
        <v>1245307586</v>
      </c>
      <c r="E2085" t="s">
        <v>877</v>
      </c>
    </row>
    <row r="2086" spans="1:5" x14ac:dyDescent="0.25">
      <c r="A2086" t="s">
        <v>1</v>
      </c>
      <c r="B2086" t="s">
        <v>19</v>
      </c>
      <c r="C2086" t="s">
        <v>23490</v>
      </c>
      <c r="D2086" t="str">
        <f>HYPERLINK("https://rhld.insurance.arkansas.gov/NPILookup?Npi=1245309418","1245309418")</f>
        <v>1245309418</v>
      </c>
      <c r="E2086" t="s">
        <v>878</v>
      </c>
    </row>
    <row r="2087" spans="1:5" x14ac:dyDescent="0.25">
      <c r="A2087" t="s">
        <v>1</v>
      </c>
      <c r="B2087" t="s">
        <v>19</v>
      </c>
      <c r="C2087" t="s">
        <v>23490</v>
      </c>
      <c r="D2087" t="str">
        <f>HYPERLINK("https://rhld.insurance.arkansas.gov/NPILookup?Npi=1245322387","1245322387")</f>
        <v>1245322387</v>
      </c>
      <c r="E2087" t="s">
        <v>879</v>
      </c>
    </row>
    <row r="2088" spans="1:5" x14ac:dyDescent="0.25">
      <c r="A2088" t="s">
        <v>1</v>
      </c>
      <c r="B2088" t="s">
        <v>19</v>
      </c>
      <c r="C2088" t="s">
        <v>23490</v>
      </c>
      <c r="D2088" t="str">
        <f>HYPERLINK("https://rhld.insurance.arkansas.gov/NPILookup?Npi=1245325430","1245325430")</f>
        <v>1245325430</v>
      </c>
      <c r="E2088" t="s">
        <v>880</v>
      </c>
    </row>
    <row r="2089" spans="1:5" x14ac:dyDescent="0.25">
      <c r="A2089" t="s">
        <v>1</v>
      </c>
      <c r="B2089" t="s">
        <v>19</v>
      </c>
      <c r="C2089" t="s">
        <v>23490</v>
      </c>
      <c r="D2089" t="str">
        <f>HYPERLINK("https://rhld.insurance.arkansas.gov/NPILookup?Npi=1245329663","1245329663")</f>
        <v>1245329663</v>
      </c>
      <c r="E2089" t="s">
        <v>881</v>
      </c>
    </row>
    <row r="2090" spans="1:5" x14ac:dyDescent="0.25">
      <c r="A2090" t="s">
        <v>1</v>
      </c>
      <c r="B2090" t="s">
        <v>19</v>
      </c>
      <c r="C2090" t="s">
        <v>23490</v>
      </c>
      <c r="D2090" t="str">
        <f>HYPERLINK("https://rhld.insurance.arkansas.gov/NPILookup?Npi=1245378413","1245378413")</f>
        <v>1245378413</v>
      </c>
      <c r="E2090" t="s">
        <v>14911</v>
      </c>
    </row>
    <row r="2091" spans="1:5" x14ac:dyDescent="0.25">
      <c r="A2091" t="s">
        <v>1</v>
      </c>
      <c r="B2091" t="s">
        <v>19</v>
      </c>
      <c r="C2091" t="s">
        <v>23490</v>
      </c>
      <c r="D2091" t="str">
        <f>HYPERLINK("https://rhld.insurance.arkansas.gov/NPILookup?Npi=1245379528","1245379528")</f>
        <v>1245379528</v>
      </c>
      <c r="E2091" t="s">
        <v>882</v>
      </c>
    </row>
    <row r="2092" spans="1:5" x14ac:dyDescent="0.25">
      <c r="A2092" t="s">
        <v>1</v>
      </c>
      <c r="B2092" t="s">
        <v>19</v>
      </c>
      <c r="C2092" t="s">
        <v>23490</v>
      </c>
      <c r="D2092" t="str">
        <f>HYPERLINK("https://rhld.insurance.arkansas.gov/NPILookup?Npi=1245383264","1245383264")</f>
        <v>1245383264</v>
      </c>
      <c r="E2092" t="s">
        <v>883</v>
      </c>
    </row>
    <row r="2093" spans="1:5" x14ac:dyDescent="0.25">
      <c r="A2093" t="s">
        <v>1</v>
      </c>
      <c r="B2093" t="s">
        <v>19</v>
      </c>
      <c r="C2093" t="s">
        <v>23490</v>
      </c>
      <c r="D2093" t="str">
        <f>HYPERLINK("https://rhld.insurance.arkansas.gov/NPILookup?Npi=1245386762","1245386762")</f>
        <v>1245386762</v>
      </c>
      <c r="E2093" t="s">
        <v>884</v>
      </c>
    </row>
    <row r="2094" spans="1:5" x14ac:dyDescent="0.25">
      <c r="A2094" t="s">
        <v>1</v>
      </c>
      <c r="B2094" t="s">
        <v>19</v>
      </c>
      <c r="C2094" t="s">
        <v>23490</v>
      </c>
      <c r="D2094" t="str">
        <f>HYPERLINK("https://rhld.insurance.arkansas.gov/NPILookup?Npi=1245387091","1245387091")</f>
        <v>1245387091</v>
      </c>
      <c r="E2094" t="s">
        <v>885</v>
      </c>
    </row>
    <row r="2095" spans="1:5" x14ac:dyDescent="0.25">
      <c r="A2095" t="s">
        <v>1</v>
      </c>
      <c r="B2095" t="s">
        <v>19</v>
      </c>
      <c r="C2095" t="s">
        <v>23490</v>
      </c>
      <c r="D2095" t="str">
        <f>HYPERLINK("https://rhld.insurance.arkansas.gov/NPILookup?Npi=1245389584","1245389584")</f>
        <v>1245389584</v>
      </c>
      <c r="E2095" t="s">
        <v>14912</v>
      </c>
    </row>
    <row r="2096" spans="1:5" x14ac:dyDescent="0.25">
      <c r="A2096" t="s">
        <v>1</v>
      </c>
      <c r="B2096" t="s">
        <v>19</v>
      </c>
      <c r="C2096" t="s">
        <v>23490</v>
      </c>
      <c r="D2096" t="str">
        <f>HYPERLINK("https://rhld.insurance.arkansas.gov/NPILookup?Npi=1245407576","1245407576")</f>
        <v>1245407576</v>
      </c>
      <c r="E2096" t="s">
        <v>886</v>
      </c>
    </row>
    <row r="2097" spans="1:5" x14ac:dyDescent="0.25">
      <c r="A2097" t="s">
        <v>1</v>
      </c>
      <c r="B2097" t="s">
        <v>19</v>
      </c>
      <c r="C2097" t="s">
        <v>23490</v>
      </c>
      <c r="D2097" t="str">
        <f>HYPERLINK("https://rhld.insurance.arkansas.gov/NPILookup?Npi=1245440304","1245440304")</f>
        <v>1245440304</v>
      </c>
      <c r="E2097" t="s">
        <v>19541</v>
      </c>
    </row>
    <row r="2098" spans="1:5" x14ac:dyDescent="0.25">
      <c r="A2098" t="s">
        <v>1</v>
      </c>
      <c r="B2098" t="s">
        <v>19</v>
      </c>
      <c r="C2098" t="s">
        <v>23490</v>
      </c>
      <c r="D2098" t="str">
        <f>HYPERLINK("https://rhld.insurance.arkansas.gov/NPILookup?Npi=1245445980","1245445980")</f>
        <v>1245445980</v>
      </c>
      <c r="E2098" t="s">
        <v>887</v>
      </c>
    </row>
    <row r="2099" spans="1:5" x14ac:dyDescent="0.25">
      <c r="A2099" t="s">
        <v>1</v>
      </c>
      <c r="B2099" t="s">
        <v>19</v>
      </c>
      <c r="C2099" t="s">
        <v>23490</v>
      </c>
      <c r="D2099" t="str">
        <f>HYPERLINK("https://rhld.insurance.arkansas.gov/NPILookup?Npi=1245456938","1245456938")</f>
        <v>1245456938</v>
      </c>
      <c r="E2099" t="s">
        <v>2607</v>
      </c>
    </row>
    <row r="2100" spans="1:5" x14ac:dyDescent="0.25">
      <c r="A2100" t="s">
        <v>1</v>
      </c>
      <c r="B2100" t="s">
        <v>19</v>
      </c>
      <c r="C2100" t="s">
        <v>23490</v>
      </c>
      <c r="D2100" t="str">
        <f>HYPERLINK("https://rhld.insurance.arkansas.gov/NPILookup?Npi=1245486547","1245486547")</f>
        <v>1245486547</v>
      </c>
      <c r="E2100" t="s">
        <v>17916</v>
      </c>
    </row>
    <row r="2101" spans="1:5" x14ac:dyDescent="0.25">
      <c r="A2101" t="s">
        <v>1</v>
      </c>
      <c r="B2101" t="s">
        <v>19</v>
      </c>
      <c r="C2101" t="s">
        <v>23490</v>
      </c>
      <c r="D2101" t="str">
        <f>HYPERLINK("https://rhld.insurance.arkansas.gov/NPILookup?Npi=1245491380","1245491380")</f>
        <v>1245491380</v>
      </c>
      <c r="E2101" t="s">
        <v>6949</v>
      </c>
    </row>
    <row r="2102" spans="1:5" x14ac:dyDescent="0.25">
      <c r="A2102" t="s">
        <v>1</v>
      </c>
      <c r="B2102" t="s">
        <v>19</v>
      </c>
      <c r="C2102" t="s">
        <v>23490</v>
      </c>
      <c r="D2102" t="str">
        <f>HYPERLINK("https://rhld.insurance.arkansas.gov/NPILookup?Npi=1245502640","1245502640")</f>
        <v>1245502640</v>
      </c>
      <c r="E2102" t="s">
        <v>888</v>
      </c>
    </row>
    <row r="2103" spans="1:5" x14ac:dyDescent="0.25">
      <c r="A2103" t="s">
        <v>1</v>
      </c>
      <c r="B2103" t="s">
        <v>19</v>
      </c>
      <c r="C2103" t="s">
        <v>23490</v>
      </c>
      <c r="D2103" t="str">
        <f>HYPERLINK("https://rhld.insurance.arkansas.gov/NPILookup?Npi=1245508159","1245508159")</f>
        <v>1245508159</v>
      </c>
      <c r="E2103" t="s">
        <v>12803</v>
      </c>
    </row>
    <row r="2104" spans="1:5" x14ac:dyDescent="0.25">
      <c r="A2104" t="s">
        <v>1</v>
      </c>
      <c r="B2104" t="s">
        <v>19</v>
      </c>
      <c r="C2104" t="s">
        <v>23490</v>
      </c>
      <c r="D2104" t="str">
        <f>HYPERLINK("https://rhld.insurance.arkansas.gov/NPILookup?Npi=1245517127","1245517127")</f>
        <v>1245517127</v>
      </c>
      <c r="E2104" t="s">
        <v>889</v>
      </c>
    </row>
    <row r="2105" spans="1:5" x14ac:dyDescent="0.25">
      <c r="A2105" t="s">
        <v>1</v>
      </c>
      <c r="B2105" t="s">
        <v>19</v>
      </c>
      <c r="C2105" t="s">
        <v>23490</v>
      </c>
      <c r="D2105" t="str">
        <f>HYPERLINK("https://rhld.insurance.arkansas.gov/NPILookup?Npi=1245530294","1245530294")</f>
        <v>1245530294</v>
      </c>
      <c r="E2105" t="s">
        <v>891</v>
      </c>
    </row>
    <row r="2106" spans="1:5" x14ac:dyDescent="0.25">
      <c r="A2106" t="s">
        <v>1</v>
      </c>
      <c r="B2106" t="s">
        <v>19</v>
      </c>
      <c r="C2106" t="s">
        <v>23490</v>
      </c>
      <c r="D2106" t="str">
        <f>HYPERLINK("https://rhld.insurance.arkansas.gov/NPILookup?Npi=1245539998","1245539998")</f>
        <v>1245539998</v>
      </c>
      <c r="E2106" t="s">
        <v>19542</v>
      </c>
    </row>
    <row r="2107" spans="1:5" x14ac:dyDescent="0.25">
      <c r="A2107" t="s">
        <v>1</v>
      </c>
      <c r="B2107" t="s">
        <v>19</v>
      </c>
      <c r="C2107" t="s">
        <v>23490</v>
      </c>
      <c r="D2107" t="str">
        <f>HYPERLINK("https://rhld.insurance.arkansas.gov/NPILookup?Npi=1245542323","1245542323")</f>
        <v>1245542323</v>
      </c>
      <c r="E2107" t="s">
        <v>20915</v>
      </c>
    </row>
    <row r="2108" spans="1:5" x14ac:dyDescent="0.25">
      <c r="A2108" t="s">
        <v>1</v>
      </c>
      <c r="B2108" t="s">
        <v>19</v>
      </c>
      <c r="C2108" t="s">
        <v>23490</v>
      </c>
      <c r="D2108" t="str">
        <f>HYPERLINK("https://rhld.insurance.arkansas.gov/NPILookup?Npi=1245547702","1245547702")</f>
        <v>1245547702</v>
      </c>
      <c r="E2108" t="s">
        <v>892</v>
      </c>
    </row>
    <row r="2109" spans="1:5" x14ac:dyDescent="0.25">
      <c r="A2109" t="s">
        <v>1</v>
      </c>
      <c r="B2109" t="s">
        <v>19</v>
      </c>
      <c r="C2109" t="s">
        <v>23490</v>
      </c>
      <c r="D2109" t="str">
        <f>HYPERLINK("https://rhld.insurance.arkansas.gov/NPILookup?Npi=1245557859","1245557859")</f>
        <v>1245557859</v>
      </c>
      <c r="E2109" t="s">
        <v>17410</v>
      </c>
    </row>
    <row r="2110" spans="1:5" x14ac:dyDescent="0.25">
      <c r="A2110" t="s">
        <v>1</v>
      </c>
      <c r="B2110" t="s">
        <v>19</v>
      </c>
      <c r="C2110" t="s">
        <v>23490</v>
      </c>
      <c r="D2110" t="str">
        <f>HYPERLINK("https://rhld.insurance.arkansas.gov/NPILookup?Npi=1245559681","1245559681")</f>
        <v>1245559681</v>
      </c>
      <c r="E2110" t="s">
        <v>893</v>
      </c>
    </row>
    <row r="2111" spans="1:5" x14ac:dyDescent="0.25">
      <c r="A2111" t="s">
        <v>1</v>
      </c>
      <c r="B2111" t="s">
        <v>19</v>
      </c>
      <c r="C2111" t="s">
        <v>23490</v>
      </c>
      <c r="D2111" t="str">
        <f>HYPERLINK("https://rhld.insurance.arkansas.gov/NPILookup?Npi=1245564186","1245564186")</f>
        <v>1245564186</v>
      </c>
      <c r="E2111" t="s">
        <v>894</v>
      </c>
    </row>
    <row r="2112" spans="1:5" x14ac:dyDescent="0.25">
      <c r="A2112" t="s">
        <v>1</v>
      </c>
      <c r="B2112" t="s">
        <v>19</v>
      </c>
      <c r="C2112" t="s">
        <v>23490</v>
      </c>
      <c r="D2112" t="str">
        <f>HYPERLINK("https://rhld.insurance.arkansas.gov/NPILookup?Npi=1245586874","1245586874")</f>
        <v>1245586874</v>
      </c>
      <c r="E2112" t="s">
        <v>8564</v>
      </c>
    </row>
    <row r="2113" spans="1:5" x14ac:dyDescent="0.25">
      <c r="A2113" t="s">
        <v>1</v>
      </c>
      <c r="B2113" t="s">
        <v>19</v>
      </c>
      <c r="C2113" t="s">
        <v>23490</v>
      </c>
      <c r="D2113" t="str">
        <f>HYPERLINK("https://rhld.insurance.arkansas.gov/NPILookup?Npi=1245595149","1245595149")</f>
        <v>1245595149</v>
      </c>
      <c r="E2113" t="s">
        <v>10770</v>
      </c>
    </row>
    <row r="2114" spans="1:5" x14ac:dyDescent="0.25">
      <c r="A2114" t="s">
        <v>1</v>
      </c>
      <c r="B2114" t="s">
        <v>19</v>
      </c>
      <c r="C2114" t="s">
        <v>23490</v>
      </c>
      <c r="D2114" t="str">
        <f>HYPERLINK("https://rhld.insurance.arkansas.gov/NPILookup?Npi=1245599109","1245599109")</f>
        <v>1245599109</v>
      </c>
      <c r="E2114" t="s">
        <v>895</v>
      </c>
    </row>
    <row r="2115" spans="1:5" x14ac:dyDescent="0.25">
      <c r="A2115" t="s">
        <v>1</v>
      </c>
      <c r="B2115" t="s">
        <v>19</v>
      </c>
      <c r="C2115" t="s">
        <v>23490</v>
      </c>
      <c r="D2115" t="str">
        <f>HYPERLINK("https://rhld.insurance.arkansas.gov/NPILookup?Npi=1245603273","1245603273")</f>
        <v>1245603273</v>
      </c>
      <c r="E2115" t="s">
        <v>10771</v>
      </c>
    </row>
    <row r="2116" spans="1:5" x14ac:dyDescent="0.25">
      <c r="A2116" t="s">
        <v>1</v>
      </c>
      <c r="B2116" t="s">
        <v>19</v>
      </c>
      <c r="C2116" t="s">
        <v>23490</v>
      </c>
      <c r="D2116" t="str">
        <f>HYPERLINK("https://rhld.insurance.arkansas.gov/NPILookup?Npi=1245612472","1245612472")</f>
        <v>1245612472</v>
      </c>
      <c r="E2116" t="s">
        <v>14913</v>
      </c>
    </row>
    <row r="2117" spans="1:5" x14ac:dyDescent="0.25">
      <c r="A2117" t="s">
        <v>1</v>
      </c>
      <c r="B2117" t="s">
        <v>19</v>
      </c>
      <c r="C2117" t="s">
        <v>23490</v>
      </c>
      <c r="D2117" t="str">
        <f>HYPERLINK("https://rhld.insurance.arkansas.gov/NPILookup?Npi=1245618768","1245618768")</f>
        <v>1245618768</v>
      </c>
      <c r="E2117" t="s">
        <v>13432</v>
      </c>
    </row>
    <row r="2118" spans="1:5" x14ac:dyDescent="0.25">
      <c r="A2118" t="s">
        <v>1</v>
      </c>
      <c r="B2118" t="s">
        <v>19</v>
      </c>
      <c r="C2118" t="s">
        <v>23490</v>
      </c>
      <c r="D2118" t="str">
        <f>HYPERLINK("https://rhld.insurance.arkansas.gov/NPILookup?Npi=1245621093","1245621093")</f>
        <v>1245621093</v>
      </c>
      <c r="E2118" t="s">
        <v>14914</v>
      </c>
    </row>
    <row r="2119" spans="1:5" x14ac:dyDescent="0.25">
      <c r="A2119" t="s">
        <v>1</v>
      </c>
      <c r="B2119" t="s">
        <v>19</v>
      </c>
      <c r="C2119" t="s">
        <v>23490</v>
      </c>
      <c r="D2119" t="str">
        <f>HYPERLINK("https://rhld.insurance.arkansas.gov/NPILookup?Npi=1245633304","1245633304")</f>
        <v>1245633304</v>
      </c>
      <c r="E2119" t="s">
        <v>896</v>
      </c>
    </row>
    <row r="2120" spans="1:5" x14ac:dyDescent="0.25">
      <c r="A2120" t="s">
        <v>1</v>
      </c>
      <c r="B2120" t="s">
        <v>19</v>
      </c>
      <c r="C2120" t="s">
        <v>23490</v>
      </c>
      <c r="D2120" t="str">
        <f>HYPERLINK("https://rhld.insurance.arkansas.gov/NPILookup?Npi=1245635291","1245635291")</f>
        <v>1245635291</v>
      </c>
      <c r="E2120" t="s">
        <v>17917</v>
      </c>
    </row>
    <row r="2121" spans="1:5" x14ac:dyDescent="0.25">
      <c r="A2121" t="s">
        <v>1</v>
      </c>
      <c r="B2121" t="s">
        <v>19</v>
      </c>
      <c r="C2121" t="s">
        <v>23490</v>
      </c>
      <c r="D2121" t="str">
        <f>HYPERLINK("https://rhld.insurance.arkansas.gov/NPILookup?Npi=1245635507","1245635507")</f>
        <v>1245635507</v>
      </c>
      <c r="E2121" t="s">
        <v>19543</v>
      </c>
    </row>
    <row r="2122" spans="1:5" x14ac:dyDescent="0.25">
      <c r="A2122" t="s">
        <v>1</v>
      </c>
      <c r="B2122" t="s">
        <v>19</v>
      </c>
      <c r="C2122" t="s">
        <v>23490</v>
      </c>
      <c r="D2122" t="str">
        <f>HYPERLINK("https://rhld.insurance.arkansas.gov/NPILookup?Npi=1245638642","1245638642")</f>
        <v>1245638642</v>
      </c>
      <c r="E2122" t="s">
        <v>14915</v>
      </c>
    </row>
    <row r="2123" spans="1:5" x14ac:dyDescent="0.25">
      <c r="A2123" t="s">
        <v>1</v>
      </c>
      <c r="B2123" t="s">
        <v>19</v>
      </c>
      <c r="C2123" t="s">
        <v>23490</v>
      </c>
      <c r="D2123" t="str">
        <f>HYPERLINK("https://rhld.insurance.arkansas.gov/NPILookup?Npi=1245644012","1245644012")</f>
        <v>1245644012</v>
      </c>
      <c r="E2123" t="s">
        <v>14916</v>
      </c>
    </row>
    <row r="2124" spans="1:5" x14ac:dyDescent="0.25">
      <c r="A2124" t="s">
        <v>1</v>
      </c>
      <c r="B2124" t="s">
        <v>19</v>
      </c>
      <c r="C2124" t="s">
        <v>23490</v>
      </c>
      <c r="D2124" t="str">
        <f>HYPERLINK("https://rhld.insurance.arkansas.gov/NPILookup?Npi=1245644814","1245644814")</f>
        <v>1245644814</v>
      </c>
      <c r="E2124" t="s">
        <v>13433</v>
      </c>
    </row>
    <row r="2125" spans="1:5" x14ac:dyDescent="0.25">
      <c r="A2125" t="s">
        <v>1</v>
      </c>
      <c r="B2125" t="s">
        <v>19</v>
      </c>
      <c r="C2125" t="s">
        <v>23490</v>
      </c>
      <c r="D2125" t="str">
        <f>HYPERLINK("https://rhld.insurance.arkansas.gov/NPILookup?Npi=1245646934","1245646934")</f>
        <v>1245646934</v>
      </c>
      <c r="E2125" t="s">
        <v>897</v>
      </c>
    </row>
    <row r="2126" spans="1:5" x14ac:dyDescent="0.25">
      <c r="A2126" t="s">
        <v>1</v>
      </c>
      <c r="B2126" t="s">
        <v>19</v>
      </c>
      <c r="C2126" t="s">
        <v>23490</v>
      </c>
      <c r="D2126" t="str">
        <f>HYPERLINK("https://rhld.insurance.arkansas.gov/NPILookup?Npi=1245647494","1245647494")</f>
        <v>1245647494</v>
      </c>
      <c r="E2126" t="s">
        <v>10772</v>
      </c>
    </row>
    <row r="2127" spans="1:5" x14ac:dyDescent="0.25">
      <c r="A2127" t="s">
        <v>1</v>
      </c>
      <c r="B2127" t="s">
        <v>19</v>
      </c>
      <c r="C2127" t="s">
        <v>23490</v>
      </c>
      <c r="D2127" t="str">
        <f>HYPERLINK("https://rhld.insurance.arkansas.gov/NPILookup?Npi=1245650803","1245650803")</f>
        <v>1245650803</v>
      </c>
      <c r="E2127" t="s">
        <v>13434</v>
      </c>
    </row>
    <row r="2128" spans="1:5" x14ac:dyDescent="0.25">
      <c r="A2128" t="s">
        <v>1</v>
      </c>
      <c r="B2128" t="s">
        <v>19</v>
      </c>
      <c r="C2128" t="s">
        <v>23490</v>
      </c>
      <c r="D2128" t="str">
        <f>HYPERLINK("https://rhld.insurance.arkansas.gov/NPILookup?Npi=1245657683","1245657683")</f>
        <v>1245657683</v>
      </c>
      <c r="E2128" t="s">
        <v>10773</v>
      </c>
    </row>
    <row r="2129" spans="1:5" x14ac:dyDescent="0.25">
      <c r="A2129" t="s">
        <v>1</v>
      </c>
      <c r="B2129" t="s">
        <v>19</v>
      </c>
      <c r="C2129" t="s">
        <v>23490</v>
      </c>
      <c r="D2129" t="str">
        <f>HYPERLINK("https://rhld.insurance.arkansas.gov/NPILookup?Npi=1245659309","1245659309")</f>
        <v>1245659309</v>
      </c>
      <c r="E2129" t="s">
        <v>10774</v>
      </c>
    </row>
    <row r="2130" spans="1:5" x14ac:dyDescent="0.25">
      <c r="A2130" t="s">
        <v>1</v>
      </c>
      <c r="B2130" t="s">
        <v>19</v>
      </c>
      <c r="C2130" t="s">
        <v>23490</v>
      </c>
      <c r="D2130" t="str">
        <f>HYPERLINK("https://rhld.insurance.arkansas.gov/NPILookup?Npi=1245666536","1245666536")</f>
        <v>1245666536</v>
      </c>
      <c r="E2130" t="s">
        <v>898</v>
      </c>
    </row>
    <row r="2131" spans="1:5" x14ac:dyDescent="0.25">
      <c r="A2131" t="s">
        <v>1</v>
      </c>
      <c r="B2131" t="s">
        <v>19</v>
      </c>
      <c r="C2131" t="s">
        <v>23490</v>
      </c>
      <c r="D2131" t="str">
        <f>HYPERLINK("https://rhld.insurance.arkansas.gov/NPILookup?Npi=1245680321","1245680321")</f>
        <v>1245680321</v>
      </c>
      <c r="E2131" t="s">
        <v>8565</v>
      </c>
    </row>
    <row r="2132" spans="1:5" x14ac:dyDescent="0.25">
      <c r="A2132" t="s">
        <v>1</v>
      </c>
      <c r="B2132" t="s">
        <v>19</v>
      </c>
      <c r="C2132" t="s">
        <v>23490</v>
      </c>
      <c r="D2132" t="str">
        <f>HYPERLINK("https://rhld.insurance.arkansas.gov/NPILookup?Npi=1245683895","1245683895")</f>
        <v>1245683895</v>
      </c>
      <c r="E2132" t="s">
        <v>22912</v>
      </c>
    </row>
    <row r="2133" spans="1:5" x14ac:dyDescent="0.25">
      <c r="A2133" t="s">
        <v>1</v>
      </c>
      <c r="B2133" t="s">
        <v>19</v>
      </c>
      <c r="C2133" t="s">
        <v>23490</v>
      </c>
      <c r="D2133" t="str">
        <f>HYPERLINK("https://rhld.insurance.arkansas.gov/NPILookup?Npi=1245694769","1245694769")</f>
        <v>1245694769</v>
      </c>
      <c r="E2133" t="s">
        <v>9557</v>
      </c>
    </row>
    <row r="2134" spans="1:5" x14ac:dyDescent="0.25">
      <c r="A2134" t="s">
        <v>1</v>
      </c>
      <c r="B2134" t="s">
        <v>19</v>
      </c>
      <c r="C2134" t="s">
        <v>23490</v>
      </c>
      <c r="D2134" t="str">
        <f>HYPERLINK("https://rhld.insurance.arkansas.gov/NPILookup?Npi=1245699024","1245699024")</f>
        <v>1245699024</v>
      </c>
      <c r="E2134" t="s">
        <v>10775</v>
      </c>
    </row>
    <row r="2135" spans="1:5" x14ac:dyDescent="0.25">
      <c r="A2135" t="s">
        <v>1</v>
      </c>
      <c r="B2135" t="s">
        <v>19</v>
      </c>
      <c r="C2135" t="s">
        <v>23490</v>
      </c>
      <c r="D2135" t="str">
        <f>HYPERLINK("https://rhld.insurance.arkansas.gov/NPILookup?Npi=1245702539","1245702539")</f>
        <v>1245702539</v>
      </c>
      <c r="E2135" t="s">
        <v>14917</v>
      </c>
    </row>
    <row r="2136" spans="1:5" x14ac:dyDescent="0.25">
      <c r="A2136" t="s">
        <v>1</v>
      </c>
      <c r="B2136" t="s">
        <v>19</v>
      </c>
      <c r="C2136" t="s">
        <v>23490</v>
      </c>
      <c r="D2136" t="str">
        <f>HYPERLINK("https://rhld.insurance.arkansas.gov/NPILookup?Npi=1245712579","1245712579")</f>
        <v>1245712579</v>
      </c>
      <c r="E2136" t="s">
        <v>19544</v>
      </c>
    </row>
    <row r="2137" spans="1:5" x14ac:dyDescent="0.25">
      <c r="A2137" t="s">
        <v>1</v>
      </c>
      <c r="B2137" t="s">
        <v>19</v>
      </c>
      <c r="C2137" t="s">
        <v>23490</v>
      </c>
      <c r="D2137" t="str">
        <f>HYPERLINK("https://rhld.insurance.arkansas.gov/NPILookup?Npi=1245712959","1245712959")</f>
        <v>1245712959</v>
      </c>
      <c r="E2137" t="s">
        <v>13435</v>
      </c>
    </row>
    <row r="2138" spans="1:5" x14ac:dyDescent="0.25">
      <c r="A2138" t="s">
        <v>1</v>
      </c>
      <c r="B2138" t="s">
        <v>19</v>
      </c>
      <c r="C2138" t="s">
        <v>23490</v>
      </c>
      <c r="D2138" t="str">
        <f>HYPERLINK("https://rhld.insurance.arkansas.gov/NPILookup?Npi=1245726512","1245726512")</f>
        <v>1245726512</v>
      </c>
      <c r="E2138" t="s">
        <v>14918</v>
      </c>
    </row>
    <row r="2139" spans="1:5" x14ac:dyDescent="0.25">
      <c r="A2139" t="s">
        <v>1</v>
      </c>
      <c r="B2139" t="s">
        <v>19</v>
      </c>
      <c r="C2139" t="s">
        <v>23490</v>
      </c>
      <c r="D2139" t="str">
        <f>HYPERLINK("https://rhld.insurance.arkansas.gov/NPILookup?Npi=1245727163","1245727163")</f>
        <v>1245727163</v>
      </c>
      <c r="E2139" t="s">
        <v>21504</v>
      </c>
    </row>
    <row r="2140" spans="1:5" x14ac:dyDescent="0.25">
      <c r="A2140" t="s">
        <v>1</v>
      </c>
      <c r="B2140" t="s">
        <v>19</v>
      </c>
      <c r="C2140" t="s">
        <v>23490</v>
      </c>
      <c r="D2140" t="str">
        <f>HYPERLINK("https://rhld.insurance.arkansas.gov/NPILookup?Npi=1245738004","1245738004")</f>
        <v>1245738004</v>
      </c>
      <c r="E2140" t="s">
        <v>12804</v>
      </c>
    </row>
    <row r="2141" spans="1:5" x14ac:dyDescent="0.25">
      <c r="A2141" t="s">
        <v>1</v>
      </c>
      <c r="B2141" t="s">
        <v>19</v>
      </c>
      <c r="C2141" t="s">
        <v>23490</v>
      </c>
      <c r="D2141" t="str">
        <f>HYPERLINK("https://rhld.insurance.arkansas.gov/NPILookup?Npi=1245738244","1245738244")</f>
        <v>1245738244</v>
      </c>
      <c r="E2141" t="s">
        <v>14919</v>
      </c>
    </row>
    <row r="2142" spans="1:5" x14ac:dyDescent="0.25">
      <c r="A2142" t="s">
        <v>1</v>
      </c>
      <c r="B2142" t="s">
        <v>19</v>
      </c>
      <c r="C2142" t="s">
        <v>23490</v>
      </c>
      <c r="D2142" t="str">
        <f>HYPERLINK("https://rhld.insurance.arkansas.gov/NPILookup?Npi=1245741735","1245741735")</f>
        <v>1245741735</v>
      </c>
      <c r="E2142" t="s">
        <v>19545</v>
      </c>
    </row>
    <row r="2143" spans="1:5" x14ac:dyDescent="0.25">
      <c r="A2143" t="s">
        <v>1</v>
      </c>
      <c r="B2143" t="s">
        <v>19</v>
      </c>
      <c r="C2143" t="s">
        <v>23490</v>
      </c>
      <c r="D2143" t="str">
        <f>HYPERLINK("https://rhld.insurance.arkansas.gov/NPILookup?Npi=1245746932","1245746932")</f>
        <v>1245746932</v>
      </c>
      <c r="E2143" t="s">
        <v>16902</v>
      </c>
    </row>
    <row r="2144" spans="1:5" x14ac:dyDescent="0.25">
      <c r="A2144" t="s">
        <v>1</v>
      </c>
      <c r="B2144" t="s">
        <v>19</v>
      </c>
      <c r="C2144" t="s">
        <v>23490</v>
      </c>
      <c r="D2144" t="str">
        <f>HYPERLINK("https://rhld.insurance.arkansas.gov/NPILookup?Npi=1245752070","1245752070")</f>
        <v>1245752070</v>
      </c>
      <c r="E2144" t="s">
        <v>10776</v>
      </c>
    </row>
    <row r="2145" spans="1:5" x14ac:dyDescent="0.25">
      <c r="A2145" t="s">
        <v>1</v>
      </c>
      <c r="B2145" t="s">
        <v>19</v>
      </c>
      <c r="C2145" t="s">
        <v>23490</v>
      </c>
      <c r="D2145" t="str">
        <f>HYPERLINK("https://rhld.insurance.arkansas.gov/NPILookup?Npi=1245756972","1245756972")</f>
        <v>1245756972</v>
      </c>
      <c r="E2145" t="s">
        <v>22913</v>
      </c>
    </row>
    <row r="2146" spans="1:5" x14ac:dyDescent="0.25">
      <c r="A2146" t="s">
        <v>1</v>
      </c>
      <c r="B2146" t="s">
        <v>19</v>
      </c>
      <c r="C2146" t="s">
        <v>23490</v>
      </c>
      <c r="D2146" t="str">
        <f>HYPERLINK("https://rhld.insurance.arkansas.gov/NPILookup?Npi=1245768696","1245768696")</f>
        <v>1245768696</v>
      </c>
      <c r="E2146" t="s">
        <v>17918</v>
      </c>
    </row>
    <row r="2147" spans="1:5" x14ac:dyDescent="0.25">
      <c r="A2147" t="s">
        <v>1</v>
      </c>
      <c r="B2147" t="s">
        <v>19</v>
      </c>
      <c r="C2147" t="s">
        <v>23490</v>
      </c>
      <c r="D2147" t="str">
        <f>HYPERLINK("https://rhld.insurance.arkansas.gov/NPILookup?Npi=1245841626","1245841626")</f>
        <v>1245841626</v>
      </c>
      <c r="E2147" t="s">
        <v>21382</v>
      </c>
    </row>
    <row r="2148" spans="1:5" x14ac:dyDescent="0.25">
      <c r="A2148" t="s">
        <v>1</v>
      </c>
      <c r="B2148" t="s">
        <v>19</v>
      </c>
      <c r="C2148" t="s">
        <v>23490</v>
      </c>
      <c r="D2148" t="str">
        <f>HYPERLINK("https://rhld.insurance.arkansas.gov/NPILookup?Npi=1245870989","1245870989")</f>
        <v>1245870989</v>
      </c>
      <c r="E2148" t="s">
        <v>17919</v>
      </c>
    </row>
    <row r="2149" spans="1:5" x14ac:dyDescent="0.25">
      <c r="A2149" t="s">
        <v>1</v>
      </c>
      <c r="B2149" t="s">
        <v>19</v>
      </c>
      <c r="C2149" t="s">
        <v>23490</v>
      </c>
      <c r="D2149" t="str">
        <f>HYPERLINK("https://rhld.insurance.arkansas.gov/NPILookup?Npi=1245877224","1245877224")</f>
        <v>1245877224</v>
      </c>
      <c r="E2149" t="s">
        <v>19546</v>
      </c>
    </row>
    <row r="2150" spans="1:5" x14ac:dyDescent="0.25">
      <c r="A2150" t="s">
        <v>1</v>
      </c>
      <c r="B2150" t="s">
        <v>19</v>
      </c>
      <c r="C2150" t="s">
        <v>23490</v>
      </c>
      <c r="D2150" t="str">
        <f>HYPERLINK("https://rhld.insurance.arkansas.gov/NPILookup?Npi=1245877794","1245877794")</f>
        <v>1245877794</v>
      </c>
      <c r="E2150" t="s">
        <v>17411</v>
      </c>
    </row>
    <row r="2151" spans="1:5" x14ac:dyDescent="0.25">
      <c r="A2151" t="s">
        <v>1</v>
      </c>
      <c r="B2151" t="s">
        <v>19</v>
      </c>
      <c r="C2151" t="s">
        <v>23490</v>
      </c>
      <c r="D2151" t="str">
        <f>HYPERLINK("https://rhld.insurance.arkansas.gov/NPILookup?Npi=1245886829","1245886829")</f>
        <v>1245886829</v>
      </c>
      <c r="E2151" t="s">
        <v>16903</v>
      </c>
    </row>
    <row r="2152" spans="1:5" x14ac:dyDescent="0.25">
      <c r="A2152" t="s">
        <v>1</v>
      </c>
      <c r="B2152" t="s">
        <v>19</v>
      </c>
      <c r="C2152" t="s">
        <v>23490</v>
      </c>
      <c r="D2152" t="str">
        <f>HYPERLINK("https://rhld.insurance.arkansas.gov/NPILookup?Npi=1245908292","1245908292")</f>
        <v>1245908292</v>
      </c>
      <c r="E2152" t="s">
        <v>18715</v>
      </c>
    </row>
    <row r="2153" spans="1:5" x14ac:dyDescent="0.25">
      <c r="A2153" t="s">
        <v>1</v>
      </c>
      <c r="B2153" t="s">
        <v>19</v>
      </c>
      <c r="C2153" t="s">
        <v>23490</v>
      </c>
      <c r="D2153" t="str">
        <f>HYPERLINK("https://rhld.insurance.arkansas.gov/NPILookup?Npi=1245962315","1245962315")</f>
        <v>1245962315</v>
      </c>
      <c r="E2153" t="s">
        <v>21383</v>
      </c>
    </row>
    <row r="2154" spans="1:5" x14ac:dyDescent="0.25">
      <c r="A2154" t="s">
        <v>1</v>
      </c>
      <c r="B2154" t="s">
        <v>19</v>
      </c>
      <c r="C2154" t="s">
        <v>23490</v>
      </c>
      <c r="D2154" t="str">
        <f>HYPERLINK("https://rhld.insurance.arkansas.gov/NPILookup?Npi=1245971621","1245971621")</f>
        <v>1245971621</v>
      </c>
      <c r="E2154" t="s">
        <v>19547</v>
      </c>
    </row>
    <row r="2155" spans="1:5" x14ac:dyDescent="0.25">
      <c r="A2155" t="s">
        <v>1</v>
      </c>
      <c r="B2155" t="s">
        <v>19</v>
      </c>
      <c r="C2155" t="s">
        <v>23490</v>
      </c>
      <c r="D2155" t="str">
        <f>HYPERLINK("https://rhld.insurance.arkansas.gov/NPILookup?Npi=1255008843","1255008843")</f>
        <v>1255008843</v>
      </c>
      <c r="E2155" t="s">
        <v>19548</v>
      </c>
    </row>
    <row r="2156" spans="1:5" x14ac:dyDescent="0.25">
      <c r="A2156" t="s">
        <v>1</v>
      </c>
      <c r="B2156" t="s">
        <v>19</v>
      </c>
      <c r="C2156" t="s">
        <v>23490</v>
      </c>
      <c r="D2156" t="str">
        <f>HYPERLINK("https://rhld.insurance.arkansas.gov/NPILookup?Npi=1255042347","1255042347")</f>
        <v>1255042347</v>
      </c>
      <c r="E2156" t="s">
        <v>21505</v>
      </c>
    </row>
    <row r="2157" spans="1:5" x14ac:dyDescent="0.25">
      <c r="A2157" t="s">
        <v>1</v>
      </c>
      <c r="B2157" t="s">
        <v>19</v>
      </c>
      <c r="C2157" t="s">
        <v>23490</v>
      </c>
      <c r="D2157" t="str">
        <f>HYPERLINK("https://rhld.insurance.arkansas.gov/NPILookup?Npi=1255063160","1255063160")</f>
        <v>1255063160</v>
      </c>
      <c r="E2157" t="s">
        <v>20916</v>
      </c>
    </row>
    <row r="2158" spans="1:5" x14ac:dyDescent="0.25">
      <c r="A2158" t="s">
        <v>1</v>
      </c>
      <c r="B2158" t="s">
        <v>19</v>
      </c>
      <c r="C2158" t="s">
        <v>23490</v>
      </c>
      <c r="D2158" t="str">
        <f>HYPERLINK("https://rhld.insurance.arkansas.gov/NPILookup?Npi=1255077160","1255077160")</f>
        <v>1255077160</v>
      </c>
      <c r="E2158" t="s">
        <v>20917</v>
      </c>
    </row>
    <row r="2159" spans="1:5" x14ac:dyDescent="0.25">
      <c r="A2159" t="s">
        <v>1</v>
      </c>
      <c r="B2159" t="s">
        <v>19</v>
      </c>
      <c r="C2159" t="s">
        <v>23490</v>
      </c>
      <c r="D2159" t="str">
        <f>HYPERLINK("https://rhld.insurance.arkansas.gov/NPILookup?Npi=1255084042","1255084042")</f>
        <v>1255084042</v>
      </c>
      <c r="E2159" t="s">
        <v>19549</v>
      </c>
    </row>
    <row r="2160" spans="1:5" x14ac:dyDescent="0.25">
      <c r="A2160" t="s">
        <v>1</v>
      </c>
      <c r="B2160" t="s">
        <v>19</v>
      </c>
      <c r="C2160" t="s">
        <v>23490</v>
      </c>
      <c r="D2160" t="str">
        <f>HYPERLINK("https://rhld.insurance.arkansas.gov/NPILookup?Npi=1255095956","1255095956")</f>
        <v>1255095956</v>
      </c>
      <c r="E2160" t="s">
        <v>19550</v>
      </c>
    </row>
    <row r="2161" spans="1:5" x14ac:dyDescent="0.25">
      <c r="A2161" t="s">
        <v>1</v>
      </c>
      <c r="B2161" t="s">
        <v>19</v>
      </c>
      <c r="C2161" t="s">
        <v>23490</v>
      </c>
      <c r="D2161" t="str">
        <f>HYPERLINK("https://rhld.insurance.arkansas.gov/NPILookup?Npi=1255304564","1255304564")</f>
        <v>1255304564</v>
      </c>
      <c r="E2161" t="s">
        <v>14920</v>
      </c>
    </row>
    <row r="2162" spans="1:5" x14ac:dyDescent="0.25">
      <c r="A2162" t="s">
        <v>1</v>
      </c>
      <c r="B2162" t="s">
        <v>19</v>
      </c>
      <c r="C2162" t="s">
        <v>23490</v>
      </c>
      <c r="D2162" t="str">
        <f>HYPERLINK("https://rhld.insurance.arkansas.gov/NPILookup?Npi=1255306502","1255306502")</f>
        <v>1255306502</v>
      </c>
      <c r="E2162" t="s">
        <v>899</v>
      </c>
    </row>
    <row r="2163" spans="1:5" x14ac:dyDescent="0.25">
      <c r="A2163" t="s">
        <v>1</v>
      </c>
      <c r="B2163" t="s">
        <v>19</v>
      </c>
      <c r="C2163" t="s">
        <v>23490</v>
      </c>
      <c r="D2163" t="str">
        <f>HYPERLINK("https://rhld.insurance.arkansas.gov/NPILookup?Npi=1255307559","1255307559")</f>
        <v>1255307559</v>
      </c>
      <c r="E2163" t="s">
        <v>14921</v>
      </c>
    </row>
    <row r="2164" spans="1:5" x14ac:dyDescent="0.25">
      <c r="A2164" t="s">
        <v>1</v>
      </c>
      <c r="B2164" t="s">
        <v>19</v>
      </c>
      <c r="C2164" t="s">
        <v>23490</v>
      </c>
      <c r="D2164" t="str">
        <f>HYPERLINK("https://rhld.insurance.arkansas.gov/NPILookup?Npi=1255310819","1255310819")</f>
        <v>1255310819</v>
      </c>
      <c r="E2164" t="s">
        <v>900</v>
      </c>
    </row>
    <row r="2165" spans="1:5" x14ac:dyDescent="0.25">
      <c r="A2165" t="s">
        <v>1</v>
      </c>
      <c r="B2165" t="s">
        <v>19</v>
      </c>
      <c r="C2165" t="s">
        <v>23490</v>
      </c>
      <c r="D2165" t="str">
        <f>HYPERLINK("https://rhld.insurance.arkansas.gov/NPILookup?Npi=1255318093","1255318093")</f>
        <v>1255318093</v>
      </c>
      <c r="E2165" t="s">
        <v>901</v>
      </c>
    </row>
    <row r="2166" spans="1:5" x14ac:dyDescent="0.25">
      <c r="A2166" t="s">
        <v>1</v>
      </c>
      <c r="B2166" t="s">
        <v>19</v>
      </c>
      <c r="C2166" t="s">
        <v>23490</v>
      </c>
      <c r="D2166" t="str">
        <f>HYPERLINK("https://rhld.insurance.arkansas.gov/NPILookup?Npi=1255323499","1255323499")</f>
        <v>1255323499</v>
      </c>
      <c r="E2166" t="s">
        <v>14922</v>
      </c>
    </row>
    <row r="2167" spans="1:5" x14ac:dyDescent="0.25">
      <c r="A2167" t="s">
        <v>1</v>
      </c>
      <c r="B2167" t="s">
        <v>19</v>
      </c>
      <c r="C2167" t="s">
        <v>23490</v>
      </c>
      <c r="D2167" t="str">
        <f>HYPERLINK("https://rhld.insurance.arkansas.gov/NPILookup?Npi=1255325643","1255325643")</f>
        <v>1255325643</v>
      </c>
      <c r="E2167" t="s">
        <v>14923</v>
      </c>
    </row>
    <row r="2168" spans="1:5" x14ac:dyDescent="0.25">
      <c r="A2168" t="s">
        <v>1</v>
      </c>
      <c r="B2168" t="s">
        <v>19</v>
      </c>
      <c r="C2168" t="s">
        <v>23490</v>
      </c>
      <c r="D2168" t="str">
        <f>HYPERLINK("https://rhld.insurance.arkansas.gov/NPILookup?Npi=1255338679","1255338679")</f>
        <v>1255338679</v>
      </c>
      <c r="E2168" t="s">
        <v>903</v>
      </c>
    </row>
    <row r="2169" spans="1:5" x14ac:dyDescent="0.25">
      <c r="A2169" t="s">
        <v>1</v>
      </c>
      <c r="B2169" t="s">
        <v>19</v>
      </c>
      <c r="C2169" t="s">
        <v>23490</v>
      </c>
      <c r="D2169" t="str">
        <f>HYPERLINK("https://rhld.insurance.arkansas.gov/NPILookup?Npi=1255338943","1255338943")</f>
        <v>1255338943</v>
      </c>
      <c r="E2169" t="s">
        <v>904</v>
      </c>
    </row>
    <row r="2170" spans="1:5" x14ac:dyDescent="0.25">
      <c r="A2170" t="s">
        <v>1</v>
      </c>
      <c r="B2170" t="s">
        <v>19</v>
      </c>
      <c r="C2170" t="s">
        <v>23490</v>
      </c>
      <c r="D2170" t="str">
        <f>HYPERLINK("https://rhld.insurance.arkansas.gov/NPILookup?Npi=1255355996","1255355996")</f>
        <v>1255355996</v>
      </c>
      <c r="E2170" t="s">
        <v>10777</v>
      </c>
    </row>
    <row r="2171" spans="1:5" x14ac:dyDescent="0.25">
      <c r="A2171" t="s">
        <v>1</v>
      </c>
      <c r="B2171" t="s">
        <v>19</v>
      </c>
      <c r="C2171" t="s">
        <v>23490</v>
      </c>
      <c r="D2171" t="str">
        <f>HYPERLINK("https://rhld.insurance.arkansas.gov/NPILookup?Npi=1255360731","1255360731")</f>
        <v>1255360731</v>
      </c>
      <c r="E2171" t="s">
        <v>14924</v>
      </c>
    </row>
    <row r="2172" spans="1:5" x14ac:dyDescent="0.25">
      <c r="A2172" t="s">
        <v>1</v>
      </c>
      <c r="B2172" t="s">
        <v>19</v>
      </c>
      <c r="C2172" t="s">
        <v>23490</v>
      </c>
      <c r="D2172" t="str">
        <f>HYPERLINK("https://rhld.insurance.arkansas.gov/NPILookup?Npi=1255361879","1255361879")</f>
        <v>1255361879</v>
      </c>
      <c r="E2172" t="s">
        <v>906</v>
      </c>
    </row>
    <row r="2173" spans="1:5" x14ac:dyDescent="0.25">
      <c r="A2173" t="s">
        <v>1</v>
      </c>
      <c r="B2173" t="s">
        <v>19</v>
      </c>
      <c r="C2173" t="s">
        <v>23490</v>
      </c>
      <c r="D2173" t="str">
        <f>HYPERLINK("https://rhld.insurance.arkansas.gov/NPILookup?Npi=1255368270","1255368270")</f>
        <v>1255368270</v>
      </c>
      <c r="E2173" t="s">
        <v>8566</v>
      </c>
    </row>
    <row r="2174" spans="1:5" x14ac:dyDescent="0.25">
      <c r="A2174" t="s">
        <v>1</v>
      </c>
      <c r="B2174" t="s">
        <v>19</v>
      </c>
      <c r="C2174" t="s">
        <v>23490</v>
      </c>
      <c r="D2174" t="str">
        <f>HYPERLINK("https://rhld.insurance.arkansas.gov/NPILookup?Npi=1255369666","1255369666")</f>
        <v>1255369666</v>
      </c>
      <c r="E2174" t="s">
        <v>907</v>
      </c>
    </row>
    <row r="2175" spans="1:5" x14ac:dyDescent="0.25">
      <c r="A2175" t="s">
        <v>1</v>
      </c>
      <c r="B2175" t="s">
        <v>19</v>
      </c>
      <c r="C2175" t="s">
        <v>23490</v>
      </c>
      <c r="D2175" t="str">
        <f>HYPERLINK("https://rhld.insurance.arkansas.gov/NPILookup?Npi=1255376786","1255376786")</f>
        <v>1255376786</v>
      </c>
      <c r="E2175" t="s">
        <v>908</v>
      </c>
    </row>
    <row r="2176" spans="1:5" x14ac:dyDescent="0.25">
      <c r="A2176" t="s">
        <v>1</v>
      </c>
      <c r="B2176" t="s">
        <v>19</v>
      </c>
      <c r="C2176" t="s">
        <v>23490</v>
      </c>
      <c r="D2176" t="str">
        <f>HYPERLINK("https://rhld.insurance.arkansas.gov/NPILookup?Npi=1255394466","1255394466")</f>
        <v>1255394466</v>
      </c>
      <c r="E2176" t="s">
        <v>909</v>
      </c>
    </row>
    <row r="2177" spans="1:5" x14ac:dyDescent="0.25">
      <c r="A2177" t="s">
        <v>1</v>
      </c>
      <c r="B2177" t="s">
        <v>19</v>
      </c>
      <c r="C2177" t="s">
        <v>23490</v>
      </c>
      <c r="D2177" t="str">
        <f>HYPERLINK("https://rhld.insurance.arkansas.gov/NPILookup?Npi=1255395752","1255395752")</f>
        <v>1255395752</v>
      </c>
      <c r="E2177" t="s">
        <v>910</v>
      </c>
    </row>
    <row r="2178" spans="1:5" x14ac:dyDescent="0.25">
      <c r="A2178" t="s">
        <v>1</v>
      </c>
      <c r="B2178" t="s">
        <v>19</v>
      </c>
      <c r="C2178" t="s">
        <v>23490</v>
      </c>
      <c r="D2178" t="str">
        <f>HYPERLINK("https://rhld.insurance.arkansas.gov/NPILookup?Npi=1255397006","1255397006")</f>
        <v>1255397006</v>
      </c>
      <c r="E2178" t="s">
        <v>911</v>
      </c>
    </row>
    <row r="2179" spans="1:5" x14ac:dyDescent="0.25">
      <c r="A2179" t="s">
        <v>1</v>
      </c>
      <c r="B2179" t="s">
        <v>19</v>
      </c>
      <c r="C2179" t="s">
        <v>23490</v>
      </c>
      <c r="D2179" t="str">
        <f>HYPERLINK("https://rhld.insurance.arkansas.gov/NPILookup?Npi=1255398897","1255398897")</f>
        <v>1255398897</v>
      </c>
      <c r="E2179" t="s">
        <v>913</v>
      </c>
    </row>
    <row r="2180" spans="1:5" x14ac:dyDescent="0.25">
      <c r="A2180" t="s">
        <v>1</v>
      </c>
      <c r="B2180" t="s">
        <v>19</v>
      </c>
      <c r="C2180" t="s">
        <v>23490</v>
      </c>
      <c r="D2180" t="str">
        <f>HYPERLINK("https://rhld.insurance.arkansas.gov/NPILookup?Npi=1255402897","1255402897")</f>
        <v>1255402897</v>
      </c>
      <c r="E2180" t="s">
        <v>14925</v>
      </c>
    </row>
    <row r="2181" spans="1:5" x14ac:dyDescent="0.25">
      <c r="A2181" t="s">
        <v>1</v>
      </c>
      <c r="B2181" t="s">
        <v>19</v>
      </c>
      <c r="C2181" t="s">
        <v>23490</v>
      </c>
      <c r="D2181" t="str">
        <f>HYPERLINK("https://rhld.insurance.arkansas.gov/NPILookup?Npi=1255405379","1255405379")</f>
        <v>1255405379</v>
      </c>
      <c r="E2181" t="s">
        <v>914</v>
      </c>
    </row>
    <row r="2182" spans="1:5" x14ac:dyDescent="0.25">
      <c r="A2182" t="s">
        <v>1</v>
      </c>
      <c r="B2182" t="s">
        <v>19</v>
      </c>
      <c r="C2182" t="s">
        <v>23490</v>
      </c>
      <c r="D2182" t="str">
        <f>HYPERLINK("https://rhld.insurance.arkansas.gov/NPILookup?Npi=1255411989","1255411989")</f>
        <v>1255411989</v>
      </c>
      <c r="E2182" t="s">
        <v>14926</v>
      </c>
    </row>
    <row r="2183" spans="1:5" x14ac:dyDescent="0.25">
      <c r="A2183" t="s">
        <v>1</v>
      </c>
      <c r="B2183" t="s">
        <v>19</v>
      </c>
      <c r="C2183" t="s">
        <v>23490</v>
      </c>
      <c r="D2183" t="str">
        <f>HYPERLINK("https://rhld.insurance.arkansas.gov/NPILookup?Npi=1255412417","1255412417")</f>
        <v>1255412417</v>
      </c>
      <c r="E2183" t="s">
        <v>915</v>
      </c>
    </row>
    <row r="2184" spans="1:5" x14ac:dyDescent="0.25">
      <c r="A2184" t="s">
        <v>1</v>
      </c>
      <c r="B2184" t="s">
        <v>19</v>
      </c>
      <c r="C2184" t="s">
        <v>23490</v>
      </c>
      <c r="D2184" t="str">
        <f>HYPERLINK("https://rhld.insurance.arkansas.gov/NPILookup?Npi=1255413092","1255413092")</f>
        <v>1255413092</v>
      </c>
      <c r="E2184" t="s">
        <v>916</v>
      </c>
    </row>
    <row r="2185" spans="1:5" x14ac:dyDescent="0.25">
      <c r="A2185" t="s">
        <v>1</v>
      </c>
      <c r="B2185" t="s">
        <v>19</v>
      </c>
      <c r="C2185" t="s">
        <v>23490</v>
      </c>
      <c r="D2185" t="str">
        <f>HYPERLINK("https://rhld.insurance.arkansas.gov/NPILookup?Npi=1255436549","1255436549")</f>
        <v>1255436549</v>
      </c>
      <c r="E2185" t="s">
        <v>19551</v>
      </c>
    </row>
    <row r="2186" spans="1:5" x14ac:dyDescent="0.25">
      <c r="A2186" t="s">
        <v>1</v>
      </c>
      <c r="B2186" t="s">
        <v>19</v>
      </c>
      <c r="C2186" t="s">
        <v>23490</v>
      </c>
      <c r="D2186" t="str">
        <f>HYPERLINK("https://rhld.insurance.arkansas.gov/NPILookup?Npi=1255449245","1255449245")</f>
        <v>1255449245</v>
      </c>
      <c r="E2186" t="s">
        <v>8567</v>
      </c>
    </row>
    <row r="2187" spans="1:5" x14ac:dyDescent="0.25">
      <c r="A2187" t="s">
        <v>1</v>
      </c>
      <c r="B2187" t="s">
        <v>19</v>
      </c>
      <c r="C2187" t="s">
        <v>23490</v>
      </c>
      <c r="D2187" t="str">
        <f>HYPERLINK("https://rhld.insurance.arkansas.gov/NPILookup?Npi=1255476677","1255476677")</f>
        <v>1255476677</v>
      </c>
      <c r="E2187" t="s">
        <v>917</v>
      </c>
    </row>
    <row r="2188" spans="1:5" x14ac:dyDescent="0.25">
      <c r="A2188" t="s">
        <v>1</v>
      </c>
      <c r="B2188" t="s">
        <v>19</v>
      </c>
      <c r="C2188" t="s">
        <v>23490</v>
      </c>
      <c r="D2188" t="str">
        <f>HYPERLINK("https://rhld.insurance.arkansas.gov/NPILookup?Npi=1255507877","1255507877")</f>
        <v>1255507877</v>
      </c>
      <c r="E2188" t="s">
        <v>10778</v>
      </c>
    </row>
    <row r="2189" spans="1:5" x14ac:dyDescent="0.25">
      <c r="A2189" t="s">
        <v>1</v>
      </c>
      <c r="B2189" t="s">
        <v>19</v>
      </c>
      <c r="C2189" t="s">
        <v>23490</v>
      </c>
      <c r="D2189" t="str">
        <f>HYPERLINK("https://rhld.insurance.arkansas.gov/NPILookup?Npi=1255546974","1255546974")</f>
        <v>1255546974</v>
      </c>
      <c r="E2189" t="s">
        <v>919</v>
      </c>
    </row>
    <row r="2190" spans="1:5" x14ac:dyDescent="0.25">
      <c r="A2190" t="s">
        <v>1</v>
      </c>
      <c r="B2190" t="s">
        <v>19</v>
      </c>
      <c r="C2190" t="s">
        <v>23490</v>
      </c>
      <c r="D2190" t="str">
        <f>HYPERLINK("https://rhld.insurance.arkansas.gov/NPILookup?Npi=1255549598","1255549598")</f>
        <v>1255549598</v>
      </c>
      <c r="E2190" t="s">
        <v>8568</v>
      </c>
    </row>
    <row r="2191" spans="1:5" x14ac:dyDescent="0.25">
      <c r="A2191" t="s">
        <v>1</v>
      </c>
      <c r="B2191" t="s">
        <v>19</v>
      </c>
      <c r="C2191" t="s">
        <v>23490</v>
      </c>
      <c r="D2191" t="str">
        <f>HYPERLINK("https://rhld.insurance.arkansas.gov/NPILookup?Npi=1255562856","1255562856")</f>
        <v>1255562856</v>
      </c>
      <c r="E2191" t="s">
        <v>12805</v>
      </c>
    </row>
    <row r="2192" spans="1:5" x14ac:dyDescent="0.25">
      <c r="A2192" t="s">
        <v>1</v>
      </c>
      <c r="B2192" t="s">
        <v>19</v>
      </c>
      <c r="C2192" t="s">
        <v>23490</v>
      </c>
      <c r="D2192" t="str">
        <f>HYPERLINK("https://rhld.insurance.arkansas.gov/NPILookup?Npi=1255584637","1255584637")</f>
        <v>1255584637</v>
      </c>
      <c r="E2192" t="s">
        <v>16904</v>
      </c>
    </row>
    <row r="2193" spans="1:5" x14ac:dyDescent="0.25">
      <c r="A2193" t="s">
        <v>1</v>
      </c>
      <c r="B2193" t="s">
        <v>19</v>
      </c>
      <c r="C2193" t="s">
        <v>23490</v>
      </c>
      <c r="D2193" t="str">
        <f>HYPERLINK("https://rhld.insurance.arkansas.gov/NPILookup?Npi=1255612081","1255612081")</f>
        <v>1255612081</v>
      </c>
      <c r="E2193" t="s">
        <v>14927</v>
      </c>
    </row>
    <row r="2194" spans="1:5" x14ac:dyDescent="0.25">
      <c r="A2194" t="s">
        <v>1</v>
      </c>
      <c r="B2194" t="s">
        <v>19</v>
      </c>
      <c r="C2194" t="s">
        <v>23490</v>
      </c>
      <c r="D2194" t="str">
        <f>HYPERLINK("https://rhld.insurance.arkansas.gov/NPILookup?Npi=1255615951","1255615951")</f>
        <v>1255615951</v>
      </c>
      <c r="E2194" t="s">
        <v>17920</v>
      </c>
    </row>
    <row r="2195" spans="1:5" x14ac:dyDescent="0.25">
      <c r="A2195" t="s">
        <v>1</v>
      </c>
      <c r="B2195" t="s">
        <v>19</v>
      </c>
      <c r="C2195" t="s">
        <v>23490</v>
      </c>
      <c r="D2195" t="str">
        <f>HYPERLINK("https://rhld.insurance.arkansas.gov/NPILookup?Npi=1255626602","1255626602")</f>
        <v>1255626602</v>
      </c>
      <c r="E2195" t="s">
        <v>13436</v>
      </c>
    </row>
    <row r="2196" spans="1:5" x14ac:dyDescent="0.25">
      <c r="A2196" t="s">
        <v>1</v>
      </c>
      <c r="B2196" t="s">
        <v>19</v>
      </c>
      <c r="C2196" t="s">
        <v>23490</v>
      </c>
      <c r="D2196" t="str">
        <f>HYPERLINK("https://rhld.insurance.arkansas.gov/NPILookup?Npi=1255635801","1255635801")</f>
        <v>1255635801</v>
      </c>
      <c r="E2196" t="s">
        <v>13437</v>
      </c>
    </row>
    <row r="2197" spans="1:5" x14ac:dyDescent="0.25">
      <c r="A2197" t="s">
        <v>1</v>
      </c>
      <c r="B2197" t="s">
        <v>19</v>
      </c>
      <c r="C2197" t="s">
        <v>23490</v>
      </c>
      <c r="D2197" t="str">
        <f>HYPERLINK("https://rhld.insurance.arkansas.gov/NPILookup?Npi=1255654331","1255654331")</f>
        <v>1255654331</v>
      </c>
      <c r="E2197" t="s">
        <v>920</v>
      </c>
    </row>
    <row r="2198" spans="1:5" x14ac:dyDescent="0.25">
      <c r="A2198" t="s">
        <v>1</v>
      </c>
      <c r="B2198" t="s">
        <v>19</v>
      </c>
      <c r="C2198" t="s">
        <v>23490</v>
      </c>
      <c r="D2198" t="str">
        <f>HYPERLINK("https://rhld.insurance.arkansas.gov/NPILookup?Npi=1255670782","1255670782")</f>
        <v>1255670782</v>
      </c>
      <c r="E2198" t="s">
        <v>921</v>
      </c>
    </row>
    <row r="2199" spans="1:5" x14ac:dyDescent="0.25">
      <c r="A2199" t="s">
        <v>1</v>
      </c>
      <c r="B2199" t="s">
        <v>19</v>
      </c>
      <c r="C2199" t="s">
        <v>23490</v>
      </c>
      <c r="D2199" t="str">
        <f>HYPERLINK("https://rhld.insurance.arkansas.gov/NPILookup?Npi=1255688016","1255688016")</f>
        <v>1255688016</v>
      </c>
      <c r="E2199" t="s">
        <v>922</v>
      </c>
    </row>
    <row r="2200" spans="1:5" x14ac:dyDescent="0.25">
      <c r="A2200" t="s">
        <v>1</v>
      </c>
      <c r="B2200" t="s">
        <v>19</v>
      </c>
      <c r="C2200" t="s">
        <v>8427</v>
      </c>
      <c r="D2200" t="str">
        <f>HYPERLINK("https://rhld.insurance.arkansas.gov/NPILookup?Npi=1255710885","1255710885")</f>
        <v>1255710885</v>
      </c>
      <c r="E2200" t="s">
        <v>22914</v>
      </c>
    </row>
    <row r="2201" spans="1:5" x14ac:dyDescent="0.25">
      <c r="A2201" t="s">
        <v>1</v>
      </c>
      <c r="B2201" t="s">
        <v>19</v>
      </c>
      <c r="C2201" t="s">
        <v>23490</v>
      </c>
      <c r="D2201" t="str">
        <f>HYPERLINK("https://rhld.insurance.arkansas.gov/NPILookup?Npi=1255715348","1255715348")</f>
        <v>1255715348</v>
      </c>
      <c r="E2201" t="s">
        <v>19552</v>
      </c>
    </row>
    <row r="2202" spans="1:5" x14ac:dyDescent="0.25">
      <c r="A2202" t="s">
        <v>1</v>
      </c>
      <c r="B2202" t="s">
        <v>19</v>
      </c>
      <c r="C2202" t="s">
        <v>23490</v>
      </c>
      <c r="D2202" t="str">
        <f>HYPERLINK("https://rhld.insurance.arkansas.gov/NPILookup?Npi=1255730107","1255730107")</f>
        <v>1255730107</v>
      </c>
      <c r="E2202" t="s">
        <v>923</v>
      </c>
    </row>
    <row r="2203" spans="1:5" x14ac:dyDescent="0.25">
      <c r="A2203" t="s">
        <v>1</v>
      </c>
      <c r="B2203" t="s">
        <v>19</v>
      </c>
      <c r="C2203" t="s">
        <v>23490</v>
      </c>
      <c r="D2203" t="str">
        <f>HYPERLINK("https://rhld.insurance.arkansas.gov/NPILookup?Npi=1255746491","1255746491")</f>
        <v>1255746491</v>
      </c>
      <c r="E2203" t="s">
        <v>8569</v>
      </c>
    </row>
    <row r="2204" spans="1:5" x14ac:dyDescent="0.25">
      <c r="A2204" t="s">
        <v>1</v>
      </c>
      <c r="B2204" t="s">
        <v>19</v>
      </c>
      <c r="C2204" t="s">
        <v>23490</v>
      </c>
      <c r="D2204" t="str">
        <f>HYPERLINK("https://rhld.insurance.arkansas.gov/NPILookup?Npi=1255755260","1255755260")</f>
        <v>1255755260</v>
      </c>
      <c r="E2204" t="s">
        <v>8570</v>
      </c>
    </row>
    <row r="2205" spans="1:5" x14ac:dyDescent="0.25">
      <c r="A2205" t="s">
        <v>1</v>
      </c>
      <c r="B2205" t="s">
        <v>19</v>
      </c>
      <c r="C2205" t="s">
        <v>23490</v>
      </c>
      <c r="D2205" t="str">
        <f>HYPERLINK("https://rhld.insurance.arkansas.gov/NPILookup?Npi=1255767828","1255767828")</f>
        <v>1255767828</v>
      </c>
      <c r="E2205" t="s">
        <v>924</v>
      </c>
    </row>
    <row r="2206" spans="1:5" x14ac:dyDescent="0.25">
      <c r="A2206" t="s">
        <v>1</v>
      </c>
      <c r="B2206" t="s">
        <v>19</v>
      </c>
      <c r="C2206" t="s">
        <v>23490</v>
      </c>
      <c r="D2206" t="str">
        <f>HYPERLINK("https://rhld.insurance.arkansas.gov/NPILookup?Npi=1255768263","1255768263")</f>
        <v>1255768263</v>
      </c>
      <c r="E2206" t="s">
        <v>14928</v>
      </c>
    </row>
    <row r="2207" spans="1:5" x14ac:dyDescent="0.25">
      <c r="A2207" t="s">
        <v>1</v>
      </c>
      <c r="B2207" t="s">
        <v>19</v>
      </c>
      <c r="C2207" t="s">
        <v>8427</v>
      </c>
      <c r="D2207" t="str">
        <f>HYPERLINK("https://rhld.insurance.arkansas.gov/NPILookup?Npi=1255781555","1255781555")</f>
        <v>1255781555</v>
      </c>
      <c r="E2207" t="s">
        <v>22915</v>
      </c>
    </row>
    <row r="2208" spans="1:5" x14ac:dyDescent="0.25">
      <c r="A2208" t="s">
        <v>1</v>
      </c>
      <c r="B2208" t="s">
        <v>19</v>
      </c>
      <c r="C2208" t="s">
        <v>23490</v>
      </c>
      <c r="D2208" t="str">
        <f>HYPERLINK("https://rhld.insurance.arkansas.gov/NPILookup?Npi=1255790135","1255790135")</f>
        <v>1255790135</v>
      </c>
      <c r="E2208" t="s">
        <v>8571</v>
      </c>
    </row>
    <row r="2209" spans="1:5" x14ac:dyDescent="0.25">
      <c r="A2209" t="s">
        <v>1</v>
      </c>
      <c r="B2209" t="s">
        <v>19</v>
      </c>
      <c r="C2209" t="s">
        <v>23490</v>
      </c>
      <c r="D2209" t="str">
        <f>HYPERLINK("https://rhld.insurance.arkansas.gov/NPILookup?Npi=1255790531","1255790531")</f>
        <v>1255790531</v>
      </c>
      <c r="E2209" t="s">
        <v>8572</v>
      </c>
    </row>
    <row r="2210" spans="1:5" x14ac:dyDescent="0.25">
      <c r="A2210" t="s">
        <v>1</v>
      </c>
      <c r="B2210" t="s">
        <v>19</v>
      </c>
      <c r="C2210" t="s">
        <v>23490</v>
      </c>
      <c r="D2210" t="str">
        <f>HYPERLINK("https://rhld.insurance.arkansas.gov/NPILookup?Npi=1255797627","1255797627")</f>
        <v>1255797627</v>
      </c>
      <c r="E2210" t="s">
        <v>13438</v>
      </c>
    </row>
    <row r="2211" spans="1:5" x14ac:dyDescent="0.25">
      <c r="A2211" t="s">
        <v>1</v>
      </c>
      <c r="B2211" t="s">
        <v>19</v>
      </c>
      <c r="C2211" t="s">
        <v>23490</v>
      </c>
      <c r="D2211" t="str">
        <f>HYPERLINK("https://rhld.insurance.arkansas.gov/NPILookup?Npi=1255803946","1255803946")</f>
        <v>1255803946</v>
      </c>
      <c r="E2211" t="s">
        <v>13439</v>
      </c>
    </row>
    <row r="2212" spans="1:5" x14ac:dyDescent="0.25">
      <c r="A2212" t="s">
        <v>1</v>
      </c>
      <c r="B2212" t="s">
        <v>19</v>
      </c>
      <c r="C2212" t="s">
        <v>23490</v>
      </c>
      <c r="D2212" t="str">
        <f>HYPERLINK("https://rhld.insurance.arkansas.gov/NPILookup?Npi=1255806493","1255806493")</f>
        <v>1255806493</v>
      </c>
      <c r="E2212" t="s">
        <v>13440</v>
      </c>
    </row>
    <row r="2213" spans="1:5" x14ac:dyDescent="0.25">
      <c r="A2213" t="s">
        <v>1</v>
      </c>
      <c r="B2213" t="s">
        <v>19</v>
      </c>
      <c r="C2213" t="s">
        <v>23490</v>
      </c>
      <c r="D2213" t="str">
        <f>HYPERLINK("https://rhld.insurance.arkansas.gov/NPILookup?Npi=1255813879","1255813879")</f>
        <v>1255813879</v>
      </c>
      <c r="E2213" t="s">
        <v>14929</v>
      </c>
    </row>
    <row r="2214" spans="1:5" x14ac:dyDescent="0.25">
      <c r="A2214" t="s">
        <v>1</v>
      </c>
      <c r="B2214" t="s">
        <v>19</v>
      </c>
      <c r="C2214" t="s">
        <v>23490</v>
      </c>
      <c r="D2214" t="str">
        <f>HYPERLINK("https://rhld.insurance.arkansas.gov/NPILookup?Npi=1255815171","1255815171")</f>
        <v>1255815171</v>
      </c>
      <c r="E2214" t="s">
        <v>16905</v>
      </c>
    </row>
    <row r="2215" spans="1:5" x14ac:dyDescent="0.25">
      <c r="A2215" t="s">
        <v>1</v>
      </c>
      <c r="B2215" t="s">
        <v>19</v>
      </c>
      <c r="C2215" t="s">
        <v>23490</v>
      </c>
      <c r="D2215" t="str">
        <f>HYPERLINK("https://rhld.insurance.arkansas.gov/NPILookup?Npi=1255816062","1255816062")</f>
        <v>1255816062</v>
      </c>
      <c r="E2215" t="s">
        <v>19553</v>
      </c>
    </row>
    <row r="2216" spans="1:5" x14ac:dyDescent="0.25">
      <c r="A2216" t="s">
        <v>1</v>
      </c>
      <c r="B2216" t="s">
        <v>19</v>
      </c>
      <c r="C2216" t="s">
        <v>23490</v>
      </c>
      <c r="D2216" t="str">
        <f>HYPERLINK("https://rhld.insurance.arkansas.gov/NPILookup?Npi=1255835898","1255835898")</f>
        <v>1255835898</v>
      </c>
      <c r="E2216" t="s">
        <v>18716</v>
      </c>
    </row>
    <row r="2217" spans="1:5" x14ac:dyDescent="0.25">
      <c r="A2217" t="s">
        <v>1</v>
      </c>
      <c r="B2217" t="s">
        <v>19</v>
      </c>
      <c r="C2217" t="s">
        <v>23490</v>
      </c>
      <c r="D2217" t="str">
        <f>HYPERLINK("https://rhld.insurance.arkansas.gov/NPILookup?Npi=1255839858","1255839858")</f>
        <v>1255839858</v>
      </c>
      <c r="E2217" t="s">
        <v>10830</v>
      </c>
    </row>
    <row r="2218" spans="1:5" x14ac:dyDescent="0.25">
      <c r="A2218" t="s">
        <v>1</v>
      </c>
      <c r="B2218" t="s">
        <v>19</v>
      </c>
      <c r="C2218" t="s">
        <v>23490</v>
      </c>
      <c r="D2218" t="str">
        <f>HYPERLINK("https://rhld.insurance.arkansas.gov/NPILookup?Npi=1255844429","1255844429")</f>
        <v>1255844429</v>
      </c>
      <c r="E2218" t="s">
        <v>14930</v>
      </c>
    </row>
    <row r="2219" spans="1:5" x14ac:dyDescent="0.25">
      <c r="A2219" t="s">
        <v>1</v>
      </c>
      <c r="B2219" t="s">
        <v>19</v>
      </c>
      <c r="C2219" t="s">
        <v>23490</v>
      </c>
      <c r="D2219" t="str">
        <f>HYPERLINK("https://rhld.insurance.arkansas.gov/NPILookup?Npi=1255851515","1255851515")</f>
        <v>1255851515</v>
      </c>
      <c r="E2219" t="s">
        <v>10779</v>
      </c>
    </row>
    <row r="2220" spans="1:5" x14ac:dyDescent="0.25">
      <c r="A2220" t="s">
        <v>1</v>
      </c>
      <c r="B2220" t="s">
        <v>19</v>
      </c>
      <c r="C2220" t="s">
        <v>23490</v>
      </c>
      <c r="D2220" t="str">
        <f>HYPERLINK("https://rhld.insurance.arkansas.gov/NPILookup?Npi=1255852281","1255852281")</f>
        <v>1255852281</v>
      </c>
      <c r="E2220" t="s">
        <v>14931</v>
      </c>
    </row>
    <row r="2221" spans="1:5" x14ac:dyDescent="0.25">
      <c r="A2221" t="s">
        <v>1</v>
      </c>
      <c r="B2221" t="s">
        <v>19</v>
      </c>
      <c r="C2221" t="s">
        <v>23490</v>
      </c>
      <c r="D2221" t="str">
        <f>HYPERLINK("https://rhld.insurance.arkansas.gov/NPILookup?Npi=1255887550","1255887550")</f>
        <v>1255887550</v>
      </c>
      <c r="E2221" t="s">
        <v>10780</v>
      </c>
    </row>
    <row r="2222" spans="1:5" x14ac:dyDescent="0.25">
      <c r="A2222" t="s">
        <v>1</v>
      </c>
      <c r="B2222" t="s">
        <v>19</v>
      </c>
      <c r="C2222" t="s">
        <v>23490</v>
      </c>
      <c r="D2222" t="str">
        <f>HYPERLINK("https://rhld.insurance.arkansas.gov/NPILookup?Npi=1255892527","1255892527")</f>
        <v>1255892527</v>
      </c>
      <c r="E2222" t="s">
        <v>17921</v>
      </c>
    </row>
    <row r="2223" spans="1:5" x14ac:dyDescent="0.25">
      <c r="A2223" t="s">
        <v>1</v>
      </c>
      <c r="B2223" t="s">
        <v>19</v>
      </c>
      <c r="C2223" t="s">
        <v>23490</v>
      </c>
      <c r="D2223" t="str">
        <f>HYPERLINK("https://rhld.insurance.arkansas.gov/NPILookup?Npi=1255901963","1255901963")</f>
        <v>1255901963</v>
      </c>
      <c r="E2223" t="s">
        <v>19554</v>
      </c>
    </row>
    <row r="2224" spans="1:5" x14ac:dyDescent="0.25">
      <c r="A2224" t="s">
        <v>1</v>
      </c>
      <c r="B2224" t="s">
        <v>19</v>
      </c>
      <c r="C2224" t="s">
        <v>23490</v>
      </c>
      <c r="D2224" t="str">
        <f>HYPERLINK("https://rhld.insurance.arkansas.gov/NPILookup?Npi=1255902581","1255902581")</f>
        <v>1255902581</v>
      </c>
      <c r="E2224" t="s">
        <v>18717</v>
      </c>
    </row>
    <row r="2225" spans="1:5" x14ac:dyDescent="0.25">
      <c r="A2225" t="s">
        <v>1</v>
      </c>
      <c r="B2225" t="s">
        <v>19</v>
      </c>
      <c r="C2225" t="s">
        <v>23490</v>
      </c>
      <c r="D2225" t="str">
        <f>HYPERLINK("https://rhld.insurance.arkansas.gov/NPILookup?Npi=1255907705","1255907705")</f>
        <v>1255907705</v>
      </c>
      <c r="E2225" t="s">
        <v>18718</v>
      </c>
    </row>
    <row r="2226" spans="1:5" x14ac:dyDescent="0.25">
      <c r="A2226" t="s">
        <v>1</v>
      </c>
      <c r="B2226" t="s">
        <v>19</v>
      </c>
      <c r="C2226" t="s">
        <v>23490</v>
      </c>
      <c r="D2226" t="str">
        <f>HYPERLINK("https://rhld.insurance.arkansas.gov/NPILookup?Npi=1255908455","1255908455")</f>
        <v>1255908455</v>
      </c>
      <c r="E2226" t="s">
        <v>18719</v>
      </c>
    </row>
    <row r="2227" spans="1:5" x14ac:dyDescent="0.25">
      <c r="A2227" t="s">
        <v>1</v>
      </c>
      <c r="B2227" t="s">
        <v>19</v>
      </c>
      <c r="C2227" t="s">
        <v>23490</v>
      </c>
      <c r="D2227" t="str">
        <f>HYPERLINK("https://rhld.insurance.arkansas.gov/NPILookup?Npi=1255912127","1255912127")</f>
        <v>1255912127</v>
      </c>
      <c r="E2227" t="s">
        <v>22916</v>
      </c>
    </row>
    <row r="2228" spans="1:5" x14ac:dyDescent="0.25">
      <c r="A2228" t="s">
        <v>1</v>
      </c>
      <c r="B2228" t="s">
        <v>19</v>
      </c>
      <c r="C2228" t="s">
        <v>23490</v>
      </c>
      <c r="D2228" t="str">
        <f>HYPERLINK("https://rhld.insurance.arkansas.gov/NPILookup?Npi=1255912705","1255912705")</f>
        <v>1255912705</v>
      </c>
      <c r="E2228" t="s">
        <v>19555</v>
      </c>
    </row>
    <row r="2229" spans="1:5" x14ac:dyDescent="0.25">
      <c r="A2229" t="s">
        <v>1</v>
      </c>
      <c r="B2229" t="s">
        <v>19</v>
      </c>
      <c r="C2229" t="s">
        <v>23490</v>
      </c>
      <c r="D2229" t="str">
        <f>HYPERLINK("https://rhld.insurance.arkansas.gov/NPILookup?Npi=1255918157","1255918157")</f>
        <v>1255918157</v>
      </c>
      <c r="E2229" t="s">
        <v>21506</v>
      </c>
    </row>
    <row r="2230" spans="1:5" x14ac:dyDescent="0.25">
      <c r="A2230" t="s">
        <v>1</v>
      </c>
      <c r="B2230" t="s">
        <v>19</v>
      </c>
      <c r="C2230" t="s">
        <v>23490</v>
      </c>
      <c r="D2230" t="str">
        <f>HYPERLINK("https://rhld.insurance.arkansas.gov/NPILookup?Npi=1255973871","1255973871")</f>
        <v>1255973871</v>
      </c>
      <c r="E2230" t="s">
        <v>19556</v>
      </c>
    </row>
    <row r="2231" spans="1:5" x14ac:dyDescent="0.25">
      <c r="A2231" t="s">
        <v>1</v>
      </c>
      <c r="B2231" t="s">
        <v>19</v>
      </c>
      <c r="C2231" t="s">
        <v>23490</v>
      </c>
      <c r="D2231" t="str">
        <f>HYPERLINK("https://rhld.insurance.arkansas.gov/NPILookup?Npi=1255987699","1255987699")</f>
        <v>1255987699</v>
      </c>
      <c r="E2231" t="s">
        <v>19557</v>
      </c>
    </row>
    <row r="2232" spans="1:5" x14ac:dyDescent="0.25">
      <c r="A2232" t="s">
        <v>1</v>
      </c>
      <c r="B2232" t="s">
        <v>19</v>
      </c>
      <c r="C2232" t="s">
        <v>23490</v>
      </c>
      <c r="D2232" t="str">
        <f>HYPERLINK("https://rhld.insurance.arkansas.gov/NPILookup?Npi=1265002513","1265002513")</f>
        <v>1265002513</v>
      </c>
      <c r="E2232" t="s">
        <v>18720</v>
      </c>
    </row>
    <row r="2233" spans="1:5" x14ac:dyDescent="0.25">
      <c r="A2233" t="s">
        <v>1</v>
      </c>
      <c r="B2233" t="s">
        <v>19</v>
      </c>
      <c r="C2233" t="s">
        <v>23490</v>
      </c>
      <c r="D2233" t="str">
        <f>HYPERLINK("https://rhld.insurance.arkansas.gov/NPILookup?Npi=1265002554","1265002554")</f>
        <v>1265002554</v>
      </c>
      <c r="E2233" t="s">
        <v>18721</v>
      </c>
    </row>
    <row r="2234" spans="1:5" x14ac:dyDescent="0.25">
      <c r="A2234" t="s">
        <v>1</v>
      </c>
      <c r="B2234" t="s">
        <v>19</v>
      </c>
      <c r="C2234" t="s">
        <v>23490</v>
      </c>
      <c r="D2234" t="str">
        <f>HYPERLINK("https://rhld.insurance.arkansas.gov/NPILookup?Npi=1265003180","1265003180")</f>
        <v>1265003180</v>
      </c>
      <c r="E2234" t="s">
        <v>18722</v>
      </c>
    </row>
    <row r="2235" spans="1:5" x14ac:dyDescent="0.25">
      <c r="A2235" t="s">
        <v>1</v>
      </c>
      <c r="B2235" t="s">
        <v>19</v>
      </c>
      <c r="C2235" t="s">
        <v>23490</v>
      </c>
      <c r="D2235" t="str">
        <f>HYPERLINK("https://rhld.insurance.arkansas.gov/NPILookup?Npi=1265004550","1265004550")</f>
        <v>1265004550</v>
      </c>
      <c r="E2235" t="s">
        <v>19558</v>
      </c>
    </row>
    <row r="2236" spans="1:5" x14ac:dyDescent="0.25">
      <c r="A2236" t="s">
        <v>1</v>
      </c>
      <c r="B2236" t="s">
        <v>19</v>
      </c>
      <c r="C2236" t="s">
        <v>23490</v>
      </c>
      <c r="D2236" t="str">
        <f>HYPERLINK("https://rhld.insurance.arkansas.gov/NPILookup?Npi=1265038848","1265038848")</f>
        <v>1265038848</v>
      </c>
      <c r="E2236" t="s">
        <v>17922</v>
      </c>
    </row>
    <row r="2237" spans="1:5" x14ac:dyDescent="0.25">
      <c r="A2237" t="s">
        <v>1</v>
      </c>
      <c r="B2237" t="s">
        <v>19</v>
      </c>
      <c r="C2237" t="s">
        <v>23490</v>
      </c>
      <c r="D2237" t="str">
        <f>HYPERLINK("https://rhld.insurance.arkansas.gov/NPILookup?Npi=1265057129","1265057129")</f>
        <v>1265057129</v>
      </c>
      <c r="E2237" t="s">
        <v>17329</v>
      </c>
    </row>
    <row r="2238" spans="1:5" x14ac:dyDescent="0.25">
      <c r="A2238" t="s">
        <v>1</v>
      </c>
      <c r="B2238" t="s">
        <v>19</v>
      </c>
      <c r="C2238" t="s">
        <v>23490</v>
      </c>
      <c r="D2238" t="str">
        <f>HYPERLINK("https://rhld.insurance.arkansas.gov/NPILookup?Npi=1265092134","1265092134")</f>
        <v>1265092134</v>
      </c>
      <c r="E2238" t="s">
        <v>16906</v>
      </c>
    </row>
    <row r="2239" spans="1:5" x14ac:dyDescent="0.25">
      <c r="A2239" t="s">
        <v>1</v>
      </c>
      <c r="B2239" t="s">
        <v>19</v>
      </c>
      <c r="C2239" t="s">
        <v>23490</v>
      </c>
      <c r="D2239" t="str">
        <f>HYPERLINK("https://rhld.insurance.arkansas.gov/NPILookup?Npi=1265094213","1265094213")</f>
        <v>1265094213</v>
      </c>
      <c r="E2239" t="s">
        <v>21384</v>
      </c>
    </row>
    <row r="2240" spans="1:5" x14ac:dyDescent="0.25">
      <c r="A2240" t="s">
        <v>1</v>
      </c>
      <c r="B2240" t="s">
        <v>19</v>
      </c>
      <c r="C2240" t="s">
        <v>23490</v>
      </c>
      <c r="D2240" t="str">
        <f>HYPERLINK("https://rhld.insurance.arkansas.gov/NPILookup?Npi=1265094478","1265094478")</f>
        <v>1265094478</v>
      </c>
      <c r="E2240" t="s">
        <v>16907</v>
      </c>
    </row>
    <row r="2241" spans="1:5" x14ac:dyDescent="0.25">
      <c r="A2241" t="s">
        <v>1</v>
      </c>
      <c r="B2241" t="s">
        <v>19</v>
      </c>
      <c r="C2241" t="s">
        <v>23490</v>
      </c>
      <c r="D2241" t="str">
        <f>HYPERLINK("https://rhld.insurance.arkansas.gov/NPILookup?Npi=1265095277","1265095277")</f>
        <v>1265095277</v>
      </c>
      <c r="E2241" t="s">
        <v>14932</v>
      </c>
    </row>
    <row r="2242" spans="1:5" x14ac:dyDescent="0.25">
      <c r="A2242" t="s">
        <v>1</v>
      </c>
      <c r="B2242" t="s">
        <v>19</v>
      </c>
      <c r="C2242" t="s">
        <v>23490</v>
      </c>
      <c r="D2242" t="str">
        <f>HYPERLINK("https://rhld.insurance.arkansas.gov/NPILookup?Npi=1265100093","1265100093")</f>
        <v>1265100093</v>
      </c>
      <c r="E2242" t="s">
        <v>18723</v>
      </c>
    </row>
    <row r="2243" spans="1:5" x14ac:dyDescent="0.25">
      <c r="A2243" t="s">
        <v>1</v>
      </c>
      <c r="B2243" t="s">
        <v>19</v>
      </c>
      <c r="C2243" t="s">
        <v>23490</v>
      </c>
      <c r="D2243" t="str">
        <f>HYPERLINK("https://rhld.insurance.arkansas.gov/NPILookup?Npi=1265102859","1265102859")</f>
        <v>1265102859</v>
      </c>
      <c r="E2243" t="s">
        <v>18724</v>
      </c>
    </row>
    <row r="2244" spans="1:5" x14ac:dyDescent="0.25">
      <c r="A2244" t="s">
        <v>1</v>
      </c>
      <c r="B2244" t="s">
        <v>19</v>
      </c>
      <c r="C2244" t="s">
        <v>23490</v>
      </c>
      <c r="D2244" t="str">
        <f>HYPERLINK("https://rhld.insurance.arkansas.gov/NPILookup?Npi=1265163513","1265163513")</f>
        <v>1265163513</v>
      </c>
      <c r="E2244" t="s">
        <v>21507</v>
      </c>
    </row>
    <row r="2245" spans="1:5" x14ac:dyDescent="0.25">
      <c r="A2245" t="s">
        <v>1</v>
      </c>
      <c r="B2245" t="s">
        <v>19</v>
      </c>
      <c r="C2245" t="s">
        <v>23490</v>
      </c>
      <c r="D2245" t="str">
        <f>HYPERLINK("https://rhld.insurance.arkansas.gov/NPILookup?Npi=1265194914","1265194914")</f>
        <v>1265194914</v>
      </c>
      <c r="E2245" t="s">
        <v>19559</v>
      </c>
    </row>
    <row r="2246" spans="1:5" x14ac:dyDescent="0.25">
      <c r="A2246" t="s">
        <v>1</v>
      </c>
      <c r="B2246" t="s">
        <v>19</v>
      </c>
      <c r="C2246" t="s">
        <v>23490</v>
      </c>
      <c r="D2246" t="str">
        <f>HYPERLINK("https://rhld.insurance.arkansas.gov/NPILookup?Npi=1265196828","1265196828")</f>
        <v>1265196828</v>
      </c>
      <c r="E2246" t="s">
        <v>19560</v>
      </c>
    </row>
    <row r="2247" spans="1:5" x14ac:dyDescent="0.25">
      <c r="A2247" t="s">
        <v>1</v>
      </c>
      <c r="B2247" t="s">
        <v>19</v>
      </c>
      <c r="C2247" t="s">
        <v>23490</v>
      </c>
      <c r="D2247" t="str">
        <f>HYPERLINK("https://rhld.insurance.arkansas.gov/NPILookup?Npi=1265401160","1265401160")</f>
        <v>1265401160</v>
      </c>
      <c r="E2247" t="s">
        <v>925</v>
      </c>
    </row>
    <row r="2248" spans="1:5" x14ac:dyDescent="0.25">
      <c r="A2248" t="s">
        <v>1</v>
      </c>
      <c r="B2248" t="s">
        <v>19</v>
      </c>
      <c r="C2248" t="s">
        <v>23490</v>
      </c>
      <c r="D2248" t="str">
        <f>HYPERLINK("https://rhld.insurance.arkansas.gov/NPILookup?Npi=1265401426","1265401426")</f>
        <v>1265401426</v>
      </c>
      <c r="E2248" t="s">
        <v>926</v>
      </c>
    </row>
    <row r="2249" spans="1:5" x14ac:dyDescent="0.25">
      <c r="A2249" t="s">
        <v>1</v>
      </c>
      <c r="B2249" t="s">
        <v>19</v>
      </c>
      <c r="C2249" t="s">
        <v>23490</v>
      </c>
      <c r="D2249" t="str">
        <f>HYPERLINK("https://rhld.insurance.arkansas.gov/NPILookup?Npi=1265407936","1265407936")</f>
        <v>1265407936</v>
      </c>
      <c r="E2249" t="s">
        <v>927</v>
      </c>
    </row>
    <row r="2250" spans="1:5" x14ac:dyDescent="0.25">
      <c r="A2250" t="s">
        <v>1</v>
      </c>
      <c r="B2250" t="s">
        <v>19</v>
      </c>
      <c r="C2250" t="s">
        <v>23490</v>
      </c>
      <c r="D2250" t="str">
        <f>HYPERLINK("https://rhld.insurance.arkansas.gov/NPILookup?Npi=1265413629","1265413629")</f>
        <v>1265413629</v>
      </c>
      <c r="E2250" t="s">
        <v>19561</v>
      </c>
    </row>
    <row r="2251" spans="1:5" x14ac:dyDescent="0.25">
      <c r="A2251" t="s">
        <v>1</v>
      </c>
      <c r="B2251" t="s">
        <v>19</v>
      </c>
      <c r="C2251" t="s">
        <v>23490</v>
      </c>
      <c r="D2251" t="str">
        <f>HYPERLINK("https://rhld.insurance.arkansas.gov/NPILookup?Npi=1265419774","1265419774")</f>
        <v>1265419774</v>
      </c>
      <c r="E2251" t="s">
        <v>928</v>
      </c>
    </row>
    <row r="2252" spans="1:5" x14ac:dyDescent="0.25">
      <c r="A2252" t="s">
        <v>1</v>
      </c>
      <c r="B2252" t="s">
        <v>19</v>
      </c>
      <c r="C2252" t="s">
        <v>23490</v>
      </c>
      <c r="D2252" t="str">
        <f>HYPERLINK("https://rhld.insurance.arkansas.gov/NPILookup?Npi=1265420293","1265420293")</f>
        <v>1265420293</v>
      </c>
      <c r="E2252" t="s">
        <v>13441</v>
      </c>
    </row>
    <row r="2253" spans="1:5" x14ac:dyDescent="0.25">
      <c r="A2253" t="s">
        <v>1</v>
      </c>
      <c r="B2253" t="s">
        <v>19</v>
      </c>
      <c r="C2253" t="s">
        <v>23490</v>
      </c>
      <c r="D2253" t="str">
        <f>HYPERLINK("https://rhld.insurance.arkansas.gov/NPILookup?Npi=1265423347","1265423347")</f>
        <v>1265423347</v>
      </c>
      <c r="E2253" t="s">
        <v>8573</v>
      </c>
    </row>
    <row r="2254" spans="1:5" x14ac:dyDescent="0.25">
      <c r="A2254" t="s">
        <v>1</v>
      </c>
      <c r="B2254" t="s">
        <v>19</v>
      </c>
      <c r="C2254" t="s">
        <v>23490</v>
      </c>
      <c r="D2254" t="str">
        <f>HYPERLINK("https://rhld.insurance.arkansas.gov/NPILookup?Npi=1265430201","1265430201")</f>
        <v>1265430201</v>
      </c>
      <c r="E2254" t="s">
        <v>929</v>
      </c>
    </row>
    <row r="2255" spans="1:5" x14ac:dyDescent="0.25">
      <c r="A2255" t="s">
        <v>1</v>
      </c>
      <c r="B2255" t="s">
        <v>19</v>
      </c>
      <c r="C2255" t="s">
        <v>23490</v>
      </c>
      <c r="D2255" t="str">
        <f>HYPERLINK("https://rhld.insurance.arkansas.gov/NPILookup?Npi=1265432645","1265432645")</f>
        <v>1265432645</v>
      </c>
      <c r="E2255" t="s">
        <v>930</v>
      </c>
    </row>
    <row r="2256" spans="1:5" x14ac:dyDescent="0.25">
      <c r="A2256" t="s">
        <v>1</v>
      </c>
      <c r="B2256" t="s">
        <v>19</v>
      </c>
      <c r="C2256" t="s">
        <v>23490</v>
      </c>
      <c r="D2256" t="str">
        <f>HYPERLINK("https://rhld.insurance.arkansas.gov/NPILookup?Npi=1265450654","1265450654")</f>
        <v>1265450654</v>
      </c>
      <c r="E2256" t="s">
        <v>931</v>
      </c>
    </row>
    <row r="2257" spans="1:5" x14ac:dyDescent="0.25">
      <c r="A2257" t="s">
        <v>1</v>
      </c>
      <c r="B2257" t="s">
        <v>19</v>
      </c>
      <c r="C2257" t="s">
        <v>23490</v>
      </c>
      <c r="D2257" t="str">
        <f>HYPERLINK("https://rhld.insurance.arkansas.gov/NPILookup?Npi=1265455596","1265455596")</f>
        <v>1265455596</v>
      </c>
      <c r="E2257" t="s">
        <v>8574</v>
      </c>
    </row>
    <row r="2258" spans="1:5" x14ac:dyDescent="0.25">
      <c r="A2258" t="s">
        <v>1</v>
      </c>
      <c r="B2258" t="s">
        <v>19</v>
      </c>
      <c r="C2258" t="s">
        <v>23490</v>
      </c>
      <c r="D2258" t="str">
        <f>HYPERLINK("https://rhld.insurance.arkansas.gov/NPILookup?Npi=1265460430","1265460430")</f>
        <v>1265460430</v>
      </c>
      <c r="E2258" t="s">
        <v>4764</v>
      </c>
    </row>
    <row r="2259" spans="1:5" x14ac:dyDescent="0.25">
      <c r="A2259" t="s">
        <v>1</v>
      </c>
      <c r="B2259" t="s">
        <v>19</v>
      </c>
      <c r="C2259" t="s">
        <v>23490</v>
      </c>
      <c r="D2259" t="str">
        <f>HYPERLINK("https://rhld.insurance.arkansas.gov/NPILookup?Npi=1265464838","1265464838")</f>
        <v>1265464838</v>
      </c>
      <c r="E2259" t="s">
        <v>932</v>
      </c>
    </row>
    <row r="2260" spans="1:5" x14ac:dyDescent="0.25">
      <c r="A2260" t="s">
        <v>1</v>
      </c>
      <c r="B2260" t="s">
        <v>19</v>
      </c>
      <c r="C2260" t="s">
        <v>23490</v>
      </c>
      <c r="D2260" t="str">
        <f>HYPERLINK("https://rhld.insurance.arkansas.gov/NPILookup?Npi=1265477517","1265477517")</f>
        <v>1265477517</v>
      </c>
      <c r="E2260" t="s">
        <v>933</v>
      </c>
    </row>
    <row r="2261" spans="1:5" x14ac:dyDescent="0.25">
      <c r="A2261" t="s">
        <v>1</v>
      </c>
      <c r="B2261" t="s">
        <v>19</v>
      </c>
      <c r="C2261" t="s">
        <v>23490</v>
      </c>
      <c r="D2261" t="str">
        <f>HYPERLINK("https://rhld.insurance.arkansas.gov/NPILookup?Npi=1265484919","1265484919")</f>
        <v>1265484919</v>
      </c>
      <c r="E2261" t="s">
        <v>14933</v>
      </c>
    </row>
    <row r="2262" spans="1:5" x14ac:dyDescent="0.25">
      <c r="A2262" t="s">
        <v>1</v>
      </c>
      <c r="B2262" t="s">
        <v>19</v>
      </c>
      <c r="C2262" t="s">
        <v>23490</v>
      </c>
      <c r="D2262" t="str">
        <f>HYPERLINK("https://rhld.insurance.arkansas.gov/NPILookup?Npi=1265489421","1265489421")</f>
        <v>1265489421</v>
      </c>
      <c r="E2262" t="s">
        <v>934</v>
      </c>
    </row>
    <row r="2263" spans="1:5" x14ac:dyDescent="0.25">
      <c r="A2263" t="s">
        <v>1</v>
      </c>
      <c r="B2263" t="s">
        <v>19</v>
      </c>
      <c r="C2263" t="s">
        <v>23490</v>
      </c>
      <c r="D2263" t="str">
        <f>HYPERLINK("https://rhld.insurance.arkansas.gov/NPILookup?Npi=1265494108","1265494108")</f>
        <v>1265494108</v>
      </c>
      <c r="E2263" t="s">
        <v>16908</v>
      </c>
    </row>
    <row r="2264" spans="1:5" x14ac:dyDescent="0.25">
      <c r="A2264" t="s">
        <v>1</v>
      </c>
      <c r="B2264" t="s">
        <v>19</v>
      </c>
      <c r="C2264" t="s">
        <v>23490</v>
      </c>
      <c r="D2264" t="str">
        <f>HYPERLINK("https://rhld.insurance.arkansas.gov/NPILookup?Npi=1265497242","1265497242")</f>
        <v>1265497242</v>
      </c>
      <c r="E2264" t="s">
        <v>935</v>
      </c>
    </row>
    <row r="2265" spans="1:5" x14ac:dyDescent="0.25">
      <c r="A2265" t="s">
        <v>1</v>
      </c>
      <c r="B2265" t="s">
        <v>19</v>
      </c>
      <c r="C2265" t="s">
        <v>23490</v>
      </c>
      <c r="D2265" t="str">
        <f>HYPERLINK("https://rhld.insurance.arkansas.gov/NPILookup?Npi=1265514368","1265514368")</f>
        <v>1265514368</v>
      </c>
      <c r="E2265" t="s">
        <v>17923</v>
      </c>
    </row>
    <row r="2266" spans="1:5" x14ac:dyDescent="0.25">
      <c r="A2266" t="s">
        <v>1</v>
      </c>
      <c r="B2266" t="s">
        <v>19</v>
      </c>
      <c r="C2266" t="s">
        <v>23490</v>
      </c>
      <c r="D2266" t="str">
        <f>HYPERLINK("https://rhld.insurance.arkansas.gov/NPILookup?Npi=1265522742","1265522742")</f>
        <v>1265522742</v>
      </c>
      <c r="E2266" t="s">
        <v>14934</v>
      </c>
    </row>
    <row r="2267" spans="1:5" x14ac:dyDescent="0.25">
      <c r="A2267" t="s">
        <v>1</v>
      </c>
      <c r="B2267" t="s">
        <v>19</v>
      </c>
      <c r="C2267" t="s">
        <v>23490</v>
      </c>
      <c r="D2267" t="str">
        <f>HYPERLINK("https://rhld.insurance.arkansas.gov/NPILookup?Npi=1265524300","1265524300")</f>
        <v>1265524300</v>
      </c>
      <c r="E2267" t="s">
        <v>936</v>
      </c>
    </row>
    <row r="2268" spans="1:5" x14ac:dyDescent="0.25">
      <c r="A2268" t="s">
        <v>1</v>
      </c>
      <c r="B2268" t="s">
        <v>19</v>
      </c>
      <c r="C2268" t="s">
        <v>23490</v>
      </c>
      <c r="D2268" t="str">
        <f>HYPERLINK("https://rhld.insurance.arkansas.gov/NPILookup?Npi=1265525331","1265525331")</f>
        <v>1265525331</v>
      </c>
      <c r="E2268" t="s">
        <v>8575</v>
      </c>
    </row>
    <row r="2269" spans="1:5" x14ac:dyDescent="0.25">
      <c r="A2269" t="s">
        <v>1</v>
      </c>
      <c r="B2269" t="s">
        <v>19</v>
      </c>
      <c r="C2269" t="s">
        <v>23490</v>
      </c>
      <c r="D2269" t="str">
        <f>HYPERLINK("https://rhld.insurance.arkansas.gov/NPILookup?Npi=1265530984","1265530984")</f>
        <v>1265530984</v>
      </c>
      <c r="E2269" t="s">
        <v>937</v>
      </c>
    </row>
    <row r="2270" spans="1:5" x14ac:dyDescent="0.25">
      <c r="A2270" t="s">
        <v>1</v>
      </c>
      <c r="B2270" t="s">
        <v>19</v>
      </c>
      <c r="C2270" t="s">
        <v>23490</v>
      </c>
      <c r="D2270" t="str">
        <f>HYPERLINK("https://rhld.insurance.arkansas.gov/NPILookup?Npi=1265532899","1265532899")</f>
        <v>1265532899</v>
      </c>
      <c r="E2270" t="s">
        <v>16909</v>
      </c>
    </row>
    <row r="2271" spans="1:5" x14ac:dyDescent="0.25">
      <c r="A2271" t="s">
        <v>1</v>
      </c>
      <c r="B2271" t="s">
        <v>19</v>
      </c>
      <c r="C2271" t="s">
        <v>23490</v>
      </c>
      <c r="D2271" t="str">
        <f>HYPERLINK("https://rhld.insurance.arkansas.gov/NPILookup?Npi=1265534184","1265534184")</f>
        <v>1265534184</v>
      </c>
      <c r="E2271" t="s">
        <v>938</v>
      </c>
    </row>
    <row r="2272" spans="1:5" x14ac:dyDescent="0.25">
      <c r="A2272" t="s">
        <v>1</v>
      </c>
      <c r="B2272" t="s">
        <v>19</v>
      </c>
      <c r="C2272" t="s">
        <v>23490</v>
      </c>
      <c r="D2272" t="str">
        <f>HYPERLINK("https://rhld.insurance.arkansas.gov/NPILookup?Npi=1265539720","1265539720")</f>
        <v>1265539720</v>
      </c>
      <c r="E2272" t="s">
        <v>939</v>
      </c>
    </row>
    <row r="2273" spans="1:5" x14ac:dyDescent="0.25">
      <c r="A2273" t="s">
        <v>1</v>
      </c>
      <c r="B2273" t="s">
        <v>19</v>
      </c>
      <c r="C2273" t="s">
        <v>23490</v>
      </c>
      <c r="D2273" t="str">
        <f>HYPERLINK("https://rhld.insurance.arkansas.gov/NPILookup?Npi=1265540777","1265540777")</f>
        <v>1265540777</v>
      </c>
      <c r="E2273" t="s">
        <v>940</v>
      </c>
    </row>
    <row r="2274" spans="1:5" x14ac:dyDescent="0.25">
      <c r="A2274" t="s">
        <v>1</v>
      </c>
      <c r="B2274" t="s">
        <v>19</v>
      </c>
      <c r="C2274" t="s">
        <v>23490</v>
      </c>
      <c r="D2274" t="str">
        <f>HYPERLINK("https://rhld.insurance.arkansas.gov/NPILookup?Npi=1265546840","1265546840")</f>
        <v>1265546840</v>
      </c>
      <c r="E2274" t="s">
        <v>10781</v>
      </c>
    </row>
    <row r="2275" spans="1:5" x14ac:dyDescent="0.25">
      <c r="A2275" t="s">
        <v>1</v>
      </c>
      <c r="B2275" t="s">
        <v>19</v>
      </c>
      <c r="C2275" t="s">
        <v>23490</v>
      </c>
      <c r="D2275" t="str">
        <f>HYPERLINK("https://rhld.insurance.arkansas.gov/NPILookup?Npi=1265622468","1265622468")</f>
        <v>1265622468</v>
      </c>
      <c r="E2275" t="s">
        <v>941</v>
      </c>
    </row>
    <row r="2276" spans="1:5" x14ac:dyDescent="0.25">
      <c r="A2276" t="s">
        <v>1</v>
      </c>
      <c r="B2276" t="s">
        <v>19</v>
      </c>
      <c r="C2276" t="s">
        <v>23490</v>
      </c>
      <c r="D2276" t="str">
        <f>HYPERLINK("https://rhld.insurance.arkansas.gov/NPILookup?Npi=1265624621","1265624621")</f>
        <v>1265624621</v>
      </c>
      <c r="E2276" t="s">
        <v>942</v>
      </c>
    </row>
    <row r="2277" spans="1:5" x14ac:dyDescent="0.25">
      <c r="A2277" t="s">
        <v>1</v>
      </c>
      <c r="B2277" t="s">
        <v>19</v>
      </c>
      <c r="C2277" t="s">
        <v>23490</v>
      </c>
      <c r="D2277" t="str">
        <f>HYPERLINK("https://rhld.insurance.arkansas.gov/NPILookup?Npi=1265626790","1265626790")</f>
        <v>1265626790</v>
      </c>
      <c r="E2277" t="s">
        <v>943</v>
      </c>
    </row>
    <row r="2278" spans="1:5" x14ac:dyDescent="0.25">
      <c r="A2278" t="s">
        <v>1</v>
      </c>
      <c r="B2278" t="s">
        <v>19</v>
      </c>
      <c r="C2278" t="s">
        <v>23490</v>
      </c>
      <c r="D2278" t="str">
        <f>HYPERLINK("https://rhld.insurance.arkansas.gov/NPILookup?Npi=1265632368","1265632368")</f>
        <v>1265632368</v>
      </c>
      <c r="E2278" t="s">
        <v>944</v>
      </c>
    </row>
    <row r="2279" spans="1:5" x14ac:dyDescent="0.25">
      <c r="A2279" t="s">
        <v>1</v>
      </c>
      <c r="B2279" t="s">
        <v>19</v>
      </c>
      <c r="C2279" t="s">
        <v>23490</v>
      </c>
      <c r="D2279" t="str">
        <f>HYPERLINK("https://rhld.insurance.arkansas.gov/NPILookup?Npi=1265635981","1265635981")</f>
        <v>1265635981</v>
      </c>
      <c r="E2279" t="s">
        <v>945</v>
      </c>
    </row>
    <row r="2280" spans="1:5" x14ac:dyDescent="0.25">
      <c r="A2280" t="s">
        <v>1</v>
      </c>
      <c r="B2280" t="s">
        <v>19</v>
      </c>
      <c r="C2280" t="s">
        <v>23490</v>
      </c>
      <c r="D2280" t="str">
        <f>HYPERLINK("https://rhld.insurance.arkansas.gov/NPILookup?Npi=1265653372","1265653372")</f>
        <v>1265653372</v>
      </c>
      <c r="E2280" t="s">
        <v>10782</v>
      </c>
    </row>
    <row r="2281" spans="1:5" x14ac:dyDescent="0.25">
      <c r="A2281" t="s">
        <v>1</v>
      </c>
      <c r="B2281" t="s">
        <v>19</v>
      </c>
      <c r="C2281" t="s">
        <v>23490</v>
      </c>
      <c r="D2281" t="str">
        <f>HYPERLINK("https://rhld.insurance.arkansas.gov/NPILookup?Npi=1265662092","1265662092")</f>
        <v>1265662092</v>
      </c>
      <c r="E2281" t="s">
        <v>946</v>
      </c>
    </row>
    <row r="2282" spans="1:5" x14ac:dyDescent="0.25">
      <c r="A2282" t="s">
        <v>1</v>
      </c>
      <c r="B2282" t="s">
        <v>19</v>
      </c>
      <c r="C2282" t="s">
        <v>23490</v>
      </c>
      <c r="D2282" t="str">
        <f>HYPERLINK("https://rhld.insurance.arkansas.gov/NPILookup?Npi=1265662969","1265662969")</f>
        <v>1265662969</v>
      </c>
      <c r="E2282" t="s">
        <v>947</v>
      </c>
    </row>
    <row r="2283" spans="1:5" x14ac:dyDescent="0.25">
      <c r="A2283" t="s">
        <v>1</v>
      </c>
      <c r="B2283" t="s">
        <v>19</v>
      </c>
      <c r="C2283" t="s">
        <v>23490</v>
      </c>
      <c r="D2283" t="str">
        <f>HYPERLINK("https://rhld.insurance.arkansas.gov/NPILookup?Npi=1265666093","1265666093")</f>
        <v>1265666093</v>
      </c>
      <c r="E2283" t="s">
        <v>948</v>
      </c>
    </row>
    <row r="2284" spans="1:5" x14ac:dyDescent="0.25">
      <c r="A2284" t="s">
        <v>1</v>
      </c>
      <c r="B2284" t="s">
        <v>19</v>
      </c>
      <c r="C2284" t="s">
        <v>23490</v>
      </c>
      <c r="D2284" t="str">
        <f>HYPERLINK("https://rhld.insurance.arkansas.gov/NPILookup?Npi=1265675201","1265675201")</f>
        <v>1265675201</v>
      </c>
      <c r="E2284" t="s">
        <v>949</v>
      </c>
    </row>
    <row r="2285" spans="1:5" x14ac:dyDescent="0.25">
      <c r="A2285" t="s">
        <v>1</v>
      </c>
      <c r="B2285" t="s">
        <v>19</v>
      </c>
      <c r="C2285" t="s">
        <v>23490</v>
      </c>
      <c r="D2285" t="str">
        <f>HYPERLINK("https://rhld.insurance.arkansas.gov/NPILookup?Npi=1265677686","1265677686")</f>
        <v>1265677686</v>
      </c>
      <c r="E2285" t="s">
        <v>8576</v>
      </c>
    </row>
    <row r="2286" spans="1:5" x14ac:dyDescent="0.25">
      <c r="A2286" t="s">
        <v>1</v>
      </c>
      <c r="B2286" t="s">
        <v>19</v>
      </c>
      <c r="C2286" t="s">
        <v>23490</v>
      </c>
      <c r="D2286" t="str">
        <f>HYPERLINK("https://rhld.insurance.arkansas.gov/NPILookup?Npi=1265680243","1265680243")</f>
        <v>1265680243</v>
      </c>
      <c r="E2286" t="s">
        <v>950</v>
      </c>
    </row>
    <row r="2287" spans="1:5" x14ac:dyDescent="0.25">
      <c r="A2287" t="s">
        <v>1</v>
      </c>
      <c r="B2287" t="s">
        <v>19</v>
      </c>
      <c r="C2287" t="s">
        <v>23490</v>
      </c>
      <c r="D2287" t="str">
        <f>HYPERLINK("https://rhld.insurance.arkansas.gov/NPILookup?Npi=1265691612","1265691612")</f>
        <v>1265691612</v>
      </c>
      <c r="E2287" t="s">
        <v>19562</v>
      </c>
    </row>
    <row r="2288" spans="1:5" x14ac:dyDescent="0.25">
      <c r="A2288" t="s">
        <v>1</v>
      </c>
      <c r="B2288" t="s">
        <v>19</v>
      </c>
      <c r="C2288" t="s">
        <v>23490</v>
      </c>
      <c r="D2288" t="str">
        <f>HYPERLINK("https://rhld.insurance.arkansas.gov/NPILookup?Npi=1265710958","1265710958")</f>
        <v>1265710958</v>
      </c>
      <c r="E2288" t="s">
        <v>951</v>
      </c>
    </row>
    <row r="2289" spans="1:5" x14ac:dyDescent="0.25">
      <c r="A2289" t="s">
        <v>1</v>
      </c>
      <c r="B2289" t="s">
        <v>19</v>
      </c>
      <c r="C2289" t="s">
        <v>23490</v>
      </c>
      <c r="D2289" t="str">
        <f>HYPERLINK("https://rhld.insurance.arkansas.gov/NPILookup?Npi=1265722268","1265722268")</f>
        <v>1265722268</v>
      </c>
      <c r="E2289" t="s">
        <v>21508</v>
      </c>
    </row>
    <row r="2290" spans="1:5" x14ac:dyDescent="0.25">
      <c r="A2290" t="s">
        <v>1</v>
      </c>
      <c r="B2290" t="s">
        <v>19</v>
      </c>
      <c r="C2290" t="s">
        <v>23490</v>
      </c>
      <c r="D2290" t="str">
        <f>HYPERLINK("https://rhld.insurance.arkansas.gov/NPILookup?Npi=1265725550","1265725550")</f>
        <v>1265725550</v>
      </c>
      <c r="E2290" t="s">
        <v>14935</v>
      </c>
    </row>
    <row r="2291" spans="1:5" x14ac:dyDescent="0.25">
      <c r="A2291" t="s">
        <v>1</v>
      </c>
      <c r="B2291" t="s">
        <v>19</v>
      </c>
      <c r="C2291" t="s">
        <v>23490</v>
      </c>
      <c r="D2291" t="str">
        <f>HYPERLINK("https://rhld.insurance.arkansas.gov/NPILookup?Npi=1265727960","1265727960")</f>
        <v>1265727960</v>
      </c>
      <c r="E2291" t="s">
        <v>952</v>
      </c>
    </row>
    <row r="2292" spans="1:5" x14ac:dyDescent="0.25">
      <c r="A2292" t="s">
        <v>1</v>
      </c>
      <c r="B2292" t="s">
        <v>19</v>
      </c>
      <c r="C2292" t="s">
        <v>23490</v>
      </c>
      <c r="D2292" t="str">
        <f>HYPERLINK("https://rhld.insurance.arkansas.gov/NPILookup?Npi=1265735922","1265735922")</f>
        <v>1265735922</v>
      </c>
      <c r="E2292" t="s">
        <v>18725</v>
      </c>
    </row>
    <row r="2293" spans="1:5" x14ac:dyDescent="0.25">
      <c r="A2293" t="s">
        <v>1</v>
      </c>
      <c r="B2293" t="s">
        <v>19</v>
      </c>
      <c r="C2293" t="s">
        <v>23490</v>
      </c>
      <c r="D2293" t="str">
        <f>HYPERLINK("https://rhld.insurance.arkansas.gov/NPILookup?Npi=1265736045","1265736045")</f>
        <v>1265736045</v>
      </c>
      <c r="E2293" t="s">
        <v>14936</v>
      </c>
    </row>
    <row r="2294" spans="1:5" x14ac:dyDescent="0.25">
      <c r="A2294" t="s">
        <v>1</v>
      </c>
      <c r="B2294" t="s">
        <v>19</v>
      </c>
      <c r="C2294" t="s">
        <v>23490</v>
      </c>
      <c r="D2294" t="str">
        <f>HYPERLINK("https://rhld.insurance.arkansas.gov/NPILookup?Npi=1265737753","1265737753")</f>
        <v>1265737753</v>
      </c>
      <c r="E2294" t="s">
        <v>10783</v>
      </c>
    </row>
    <row r="2295" spans="1:5" x14ac:dyDescent="0.25">
      <c r="A2295" t="s">
        <v>1</v>
      </c>
      <c r="B2295" t="s">
        <v>19</v>
      </c>
      <c r="C2295" t="s">
        <v>23490</v>
      </c>
      <c r="D2295" t="str">
        <f>HYPERLINK("https://rhld.insurance.arkansas.gov/NPILookup?Npi=1265746820","1265746820")</f>
        <v>1265746820</v>
      </c>
      <c r="E2295" t="s">
        <v>19563</v>
      </c>
    </row>
    <row r="2296" spans="1:5" x14ac:dyDescent="0.25">
      <c r="A2296" t="s">
        <v>1</v>
      </c>
      <c r="B2296" t="s">
        <v>19</v>
      </c>
      <c r="C2296" t="s">
        <v>23490</v>
      </c>
      <c r="D2296" t="str">
        <f>HYPERLINK("https://rhld.insurance.arkansas.gov/NPILookup?Npi=1265751101","1265751101")</f>
        <v>1265751101</v>
      </c>
      <c r="E2296" t="s">
        <v>953</v>
      </c>
    </row>
    <row r="2297" spans="1:5" x14ac:dyDescent="0.25">
      <c r="A2297" t="s">
        <v>1</v>
      </c>
      <c r="B2297" t="s">
        <v>19</v>
      </c>
      <c r="C2297" t="s">
        <v>23490</v>
      </c>
      <c r="D2297" t="str">
        <f>HYPERLINK("https://rhld.insurance.arkansas.gov/NPILookup?Npi=1265752810","1265752810")</f>
        <v>1265752810</v>
      </c>
      <c r="E2297" t="s">
        <v>20918</v>
      </c>
    </row>
    <row r="2298" spans="1:5" x14ac:dyDescent="0.25">
      <c r="A2298" t="s">
        <v>1</v>
      </c>
      <c r="B2298" t="s">
        <v>19</v>
      </c>
      <c r="C2298" t="s">
        <v>23490</v>
      </c>
      <c r="D2298" t="str">
        <f>HYPERLINK("https://rhld.insurance.arkansas.gov/NPILookup?Npi=1265788178","1265788178")</f>
        <v>1265788178</v>
      </c>
      <c r="E2298" t="s">
        <v>14937</v>
      </c>
    </row>
    <row r="2299" spans="1:5" x14ac:dyDescent="0.25">
      <c r="A2299" t="s">
        <v>1</v>
      </c>
      <c r="B2299" t="s">
        <v>19</v>
      </c>
      <c r="C2299" t="s">
        <v>23490</v>
      </c>
      <c r="D2299" t="str">
        <f>HYPERLINK("https://rhld.insurance.arkansas.gov/NPILookup?Npi=1265789853","1265789853")</f>
        <v>1265789853</v>
      </c>
      <c r="E2299" t="s">
        <v>14938</v>
      </c>
    </row>
    <row r="2300" spans="1:5" x14ac:dyDescent="0.25">
      <c r="A2300" t="s">
        <v>1</v>
      </c>
      <c r="B2300" t="s">
        <v>19</v>
      </c>
      <c r="C2300" t="s">
        <v>23490</v>
      </c>
      <c r="D2300" t="str">
        <f>HYPERLINK("https://rhld.insurance.arkansas.gov/NPILookup?Npi=1265794564","1265794564")</f>
        <v>1265794564</v>
      </c>
      <c r="E2300" t="s">
        <v>954</v>
      </c>
    </row>
    <row r="2301" spans="1:5" x14ac:dyDescent="0.25">
      <c r="A2301" t="s">
        <v>1</v>
      </c>
      <c r="B2301" t="s">
        <v>19</v>
      </c>
      <c r="C2301" t="s">
        <v>23490</v>
      </c>
      <c r="D2301" t="str">
        <f>HYPERLINK("https://rhld.insurance.arkansas.gov/NPILookup?Npi=1265798805","1265798805")</f>
        <v>1265798805</v>
      </c>
      <c r="E2301" t="s">
        <v>13442</v>
      </c>
    </row>
    <row r="2302" spans="1:5" x14ac:dyDescent="0.25">
      <c r="A2302" t="s">
        <v>1</v>
      </c>
      <c r="B2302" t="s">
        <v>19</v>
      </c>
      <c r="C2302" t="s">
        <v>23490</v>
      </c>
      <c r="D2302" t="str">
        <f>HYPERLINK("https://rhld.insurance.arkansas.gov/NPILookup?Npi=1265801682","1265801682")</f>
        <v>1265801682</v>
      </c>
      <c r="E2302" t="s">
        <v>17924</v>
      </c>
    </row>
    <row r="2303" spans="1:5" x14ac:dyDescent="0.25">
      <c r="A2303" t="s">
        <v>1</v>
      </c>
      <c r="B2303" t="s">
        <v>19</v>
      </c>
      <c r="C2303" t="s">
        <v>23490</v>
      </c>
      <c r="D2303" t="str">
        <f>HYPERLINK("https://rhld.insurance.arkansas.gov/NPILookup?Npi=1265812630","1265812630")</f>
        <v>1265812630</v>
      </c>
      <c r="E2303" t="s">
        <v>13443</v>
      </c>
    </row>
    <row r="2304" spans="1:5" x14ac:dyDescent="0.25">
      <c r="A2304" t="s">
        <v>1</v>
      </c>
      <c r="B2304" t="s">
        <v>19</v>
      </c>
      <c r="C2304" t="s">
        <v>23490</v>
      </c>
      <c r="D2304" t="str">
        <f>HYPERLINK("https://rhld.insurance.arkansas.gov/NPILookup?Npi=1265814529","1265814529")</f>
        <v>1265814529</v>
      </c>
      <c r="E2304" t="s">
        <v>955</v>
      </c>
    </row>
    <row r="2305" spans="1:5" x14ac:dyDescent="0.25">
      <c r="A2305" t="s">
        <v>1</v>
      </c>
      <c r="B2305" t="s">
        <v>19</v>
      </c>
      <c r="C2305" t="s">
        <v>23490</v>
      </c>
      <c r="D2305" t="str">
        <f>HYPERLINK("https://rhld.insurance.arkansas.gov/NPILookup?Npi=1265820500","1265820500")</f>
        <v>1265820500</v>
      </c>
      <c r="E2305" t="s">
        <v>956</v>
      </c>
    </row>
    <row r="2306" spans="1:5" x14ac:dyDescent="0.25">
      <c r="A2306" t="s">
        <v>1</v>
      </c>
      <c r="B2306" t="s">
        <v>19</v>
      </c>
      <c r="C2306" t="s">
        <v>23490</v>
      </c>
      <c r="D2306" t="str">
        <f>HYPERLINK("https://rhld.insurance.arkansas.gov/NPILookup?Npi=1265820542","1265820542")</f>
        <v>1265820542</v>
      </c>
      <c r="E2306" t="s">
        <v>957</v>
      </c>
    </row>
    <row r="2307" spans="1:5" x14ac:dyDescent="0.25">
      <c r="A2307" t="s">
        <v>1</v>
      </c>
      <c r="B2307" t="s">
        <v>19</v>
      </c>
      <c r="C2307" t="s">
        <v>23490</v>
      </c>
      <c r="D2307" t="str">
        <f>HYPERLINK("https://rhld.insurance.arkansas.gov/NPILookup?Npi=1265822092","1265822092")</f>
        <v>1265822092</v>
      </c>
      <c r="E2307" t="s">
        <v>19564</v>
      </c>
    </row>
    <row r="2308" spans="1:5" x14ac:dyDescent="0.25">
      <c r="A2308" t="s">
        <v>1</v>
      </c>
      <c r="B2308" t="s">
        <v>19</v>
      </c>
      <c r="C2308" t="s">
        <v>23490</v>
      </c>
      <c r="D2308" t="str">
        <f>HYPERLINK("https://rhld.insurance.arkansas.gov/NPILookup?Npi=1265841282","1265841282")</f>
        <v>1265841282</v>
      </c>
      <c r="E2308" t="s">
        <v>958</v>
      </c>
    </row>
    <row r="2309" spans="1:5" x14ac:dyDescent="0.25">
      <c r="A2309" t="s">
        <v>1</v>
      </c>
      <c r="B2309" t="s">
        <v>19</v>
      </c>
      <c r="C2309" t="s">
        <v>23490</v>
      </c>
      <c r="D2309" t="str">
        <f>HYPERLINK("https://rhld.insurance.arkansas.gov/NPILookup?Npi=1265884910","1265884910")</f>
        <v>1265884910</v>
      </c>
      <c r="E2309" t="s">
        <v>10784</v>
      </c>
    </row>
    <row r="2310" spans="1:5" x14ac:dyDescent="0.25">
      <c r="A2310" t="s">
        <v>1</v>
      </c>
      <c r="B2310" t="s">
        <v>19</v>
      </c>
      <c r="C2310" t="s">
        <v>23490</v>
      </c>
      <c r="D2310" t="str">
        <f>HYPERLINK("https://rhld.insurance.arkansas.gov/NPILookup?Npi=1265889638","1265889638")</f>
        <v>1265889638</v>
      </c>
      <c r="E2310" t="s">
        <v>13444</v>
      </c>
    </row>
    <row r="2311" spans="1:5" x14ac:dyDescent="0.25">
      <c r="A2311" t="s">
        <v>1</v>
      </c>
      <c r="B2311" t="s">
        <v>19</v>
      </c>
      <c r="C2311" t="s">
        <v>23490</v>
      </c>
      <c r="D2311" t="str">
        <f>HYPERLINK("https://rhld.insurance.arkansas.gov/NPILookup?Npi=1265892186","1265892186")</f>
        <v>1265892186</v>
      </c>
      <c r="E2311" t="s">
        <v>13445</v>
      </c>
    </row>
    <row r="2312" spans="1:5" x14ac:dyDescent="0.25">
      <c r="A2312" t="s">
        <v>1</v>
      </c>
      <c r="B2312" t="s">
        <v>19</v>
      </c>
      <c r="C2312" t="s">
        <v>23490</v>
      </c>
      <c r="D2312" t="str">
        <f>HYPERLINK("https://rhld.insurance.arkansas.gov/NPILookup?Npi=1265892475","1265892475")</f>
        <v>1265892475</v>
      </c>
      <c r="E2312" t="s">
        <v>8577</v>
      </c>
    </row>
    <row r="2313" spans="1:5" x14ac:dyDescent="0.25">
      <c r="A2313" t="s">
        <v>1</v>
      </c>
      <c r="B2313" t="s">
        <v>19</v>
      </c>
      <c r="C2313" t="s">
        <v>23490</v>
      </c>
      <c r="D2313" t="str">
        <f>HYPERLINK("https://rhld.insurance.arkansas.gov/NPILookup?Npi=1265895981","1265895981")</f>
        <v>1265895981</v>
      </c>
      <c r="E2313" t="s">
        <v>5124</v>
      </c>
    </row>
    <row r="2314" spans="1:5" x14ac:dyDescent="0.25">
      <c r="A2314" t="s">
        <v>1</v>
      </c>
      <c r="B2314" t="s">
        <v>19</v>
      </c>
      <c r="C2314" t="s">
        <v>23490</v>
      </c>
      <c r="D2314" t="str">
        <f>HYPERLINK("https://rhld.insurance.arkansas.gov/NPILookup?Npi=1265910749","1265910749")</f>
        <v>1265910749</v>
      </c>
      <c r="E2314" t="s">
        <v>13446</v>
      </c>
    </row>
    <row r="2315" spans="1:5" x14ac:dyDescent="0.25">
      <c r="A2315" t="s">
        <v>1</v>
      </c>
      <c r="B2315" t="s">
        <v>19</v>
      </c>
      <c r="C2315" t="s">
        <v>23490</v>
      </c>
      <c r="D2315" t="str">
        <f>HYPERLINK("https://rhld.insurance.arkansas.gov/NPILookup?Npi=1265919708","1265919708")</f>
        <v>1265919708</v>
      </c>
      <c r="E2315" t="s">
        <v>13447</v>
      </c>
    </row>
    <row r="2316" spans="1:5" x14ac:dyDescent="0.25">
      <c r="A2316" t="s">
        <v>1</v>
      </c>
      <c r="B2316" t="s">
        <v>19</v>
      </c>
      <c r="C2316" t="s">
        <v>23490</v>
      </c>
      <c r="D2316" t="str">
        <f>HYPERLINK("https://rhld.insurance.arkansas.gov/NPILookup?Npi=1265920177","1265920177")</f>
        <v>1265920177</v>
      </c>
      <c r="E2316" t="s">
        <v>13448</v>
      </c>
    </row>
    <row r="2317" spans="1:5" x14ac:dyDescent="0.25">
      <c r="A2317" t="s">
        <v>1</v>
      </c>
      <c r="B2317" t="s">
        <v>19</v>
      </c>
      <c r="C2317" t="s">
        <v>23490</v>
      </c>
      <c r="D2317" t="str">
        <f>HYPERLINK("https://rhld.insurance.arkansas.gov/NPILookup?Npi=1265939342","1265939342")</f>
        <v>1265939342</v>
      </c>
      <c r="E2317" t="s">
        <v>17690</v>
      </c>
    </row>
    <row r="2318" spans="1:5" x14ac:dyDescent="0.25">
      <c r="A2318" t="s">
        <v>1</v>
      </c>
      <c r="B2318" t="s">
        <v>19</v>
      </c>
      <c r="C2318" t="s">
        <v>23490</v>
      </c>
      <c r="D2318" t="str">
        <f>HYPERLINK("https://rhld.insurance.arkansas.gov/NPILookup?Npi=1265949895","1265949895")</f>
        <v>1265949895</v>
      </c>
      <c r="E2318" t="s">
        <v>13449</v>
      </c>
    </row>
    <row r="2319" spans="1:5" x14ac:dyDescent="0.25">
      <c r="A2319" t="s">
        <v>1</v>
      </c>
      <c r="B2319" t="s">
        <v>19</v>
      </c>
      <c r="C2319" t="s">
        <v>23490</v>
      </c>
      <c r="D2319" t="str">
        <f>HYPERLINK("https://rhld.insurance.arkansas.gov/NPILookup?Npi=1265959415","1265959415")</f>
        <v>1265959415</v>
      </c>
      <c r="E2319" t="s">
        <v>10785</v>
      </c>
    </row>
    <row r="2320" spans="1:5" x14ac:dyDescent="0.25">
      <c r="A2320" t="s">
        <v>1</v>
      </c>
      <c r="B2320" t="s">
        <v>19</v>
      </c>
      <c r="C2320" t="s">
        <v>23490</v>
      </c>
      <c r="D2320" t="str">
        <f>HYPERLINK("https://rhld.insurance.arkansas.gov/NPILookup?Npi=1265986913","1265986913")</f>
        <v>1265986913</v>
      </c>
      <c r="E2320" t="s">
        <v>10786</v>
      </c>
    </row>
    <row r="2321" spans="1:5" x14ac:dyDescent="0.25">
      <c r="A2321" t="s">
        <v>1</v>
      </c>
      <c r="B2321" t="s">
        <v>19</v>
      </c>
      <c r="C2321" t="s">
        <v>23490</v>
      </c>
      <c r="D2321" t="str">
        <f>HYPERLINK("https://rhld.insurance.arkansas.gov/NPILookup?Npi=1265988208","1265988208")</f>
        <v>1265988208</v>
      </c>
      <c r="E2321" t="s">
        <v>10787</v>
      </c>
    </row>
    <row r="2322" spans="1:5" x14ac:dyDescent="0.25">
      <c r="A2322" t="s">
        <v>1</v>
      </c>
      <c r="B2322" t="s">
        <v>19</v>
      </c>
      <c r="C2322" t="s">
        <v>23490</v>
      </c>
      <c r="D2322" t="str">
        <f>HYPERLINK("https://rhld.insurance.arkansas.gov/NPILookup?Npi=1265993182","1265993182")</f>
        <v>1265993182</v>
      </c>
      <c r="E2322" t="s">
        <v>14939</v>
      </c>
    </row>
    <row r="2323" spans="1:5" x14ac:dyDescent="0.25">
      <c r="A2323" t="s">
        <v>1</v>
      </c>
      <c r="B2323" t="s">
        <v>19</v>
      </c>
      <c r="C2323" t="s">
        <v>23490</v>
      </c>
      <c r="D2323" t="str">
        <f>HYPERLINK("https://rhld.insurance.arkansas.gov/NPILookup?Npi=1265996094","1265996094")</f>
        <v>1265996094</v>
      </c>
      <c r="E2323" t="s">
        <v>14940</v>
      </c>
    </row>
    <row r="2324" spans="1:5" x14ac:dyDescent="0.25">
      <c r="A2324" t="s">
        <v>1</v>
      </c>
      <c r="B2324" t="s">
        <v>19</v>
      </c>
      <c r="C2324" t="s">
        <v>23490</v>
      </c>
      <c r="D2324" t="str">
        <f>HYPERLINK("https://rhld.insurance.arkansas.gov/NPILookup?Npi=1265999007","1265999007")</f>
        <v>1265999007</v>
      </c>
      <c r="E2324" t="s">
        <v>14941</v>
      </c>
    </row>
    <row r="2325" spans="1:5" x14ac:dyDescent="0.25">
      <c r="A2325" t="s">
        <v>1</v>
      </c>
      <c r="B2325" t="s">
        <v>19</v>
      </c>
      <c r="C2325" t="s">
        <v>23490</v>
      </c>
      <c r="D2325" t="str">
        <f>HYPERLINK("https://rhld.insurance.arkansas.gov/NPILookup?Npi=1275007072","1275007072")</f>
        <v>1275007072</v>
      </c>
      <c r="E2325" t="s">
        <v>13450</v>
      </c>
    </row>
    <row r="2326" spans="1:5" x14ac:dyDescent="0.25">
      <c r="A2326" t="s">
        <v>1</v>
      </c>
      <c r="B2326" t="s">
        <v>19</v>
      </c>
      <c r="C2326" t="s">
        <v>23490</v>
      </c>
      <c r="D2326" t="str">
        <f>HYPERLINK("https://rhld.insurance.arkansas.gov/NPILookup?Npi=1275014409","1275014409")</f>
        <v>1275014409</v>
      </c>
      <c r="E2326" t="s">
        <v>14942</v>
      </c>
    </row>
    <row r="2327" spans="1:5" x14ac:dyDescent="0.25">
      <c r="A2327" t="s">
        <v>1</v>
      </c>
      <c r="B2327" t="s">
        <v>19</v>
      </c>
      <c r="C2327" t="s">
        <v>23490</v>
      </c>
      <c r="D2327" t="str">
        <f>HYPERLINK("https://rhld.insurance.arkansas.gov/NPILookup?Npi=1275024127","1275024127")</f>
        <v>1275024127</v>
      </c>
      <c r="E2327" t="s">
        <v>19565</v>
      </c>
    </row>
    <row r="2328" spans="1:5" x14ac:dyDescent="0.25">
      <c r="A2328" t="s">
        <v>1</v>
      </c>
      <c r="B2328" t="s">
        <v>19</v>
      </c>
      <c r="C2328" t="s">
        <v>23490</v>
      </c>
      <c r="D2328" t="str">
        <f>HYPERLINK("https://rhld.insurance.arkansas.gov/NPILookup?Npi=1275039885","1275039885")</f>
        <v>1275039885</v>
      </c>
      <c r="E2328" t="s">
        <v>17925</v>
      </c>
    </row>
    <row r="2329" spans="1:5" x14ac:dyDescent="0.25">
      <c r="A2329" t="s">
        <v>1</v>
      </c>
      <c r="B2329" t="s">
        <v>19</v>
      </c>
      <c r="C2329" t="s">
        <v>23490</v>
      </c>
      <c r="D2329" t="str">
        <f>HYPERLINK("https://rhld.insurance.arkansas.gov/NPILookup?Npi=1275040511","1275040511")</f>
        <v>1275040511</v>
      </c>
      <c r="E2329" t="s">
        <v>12806</v>
      </c>
    </row>
    <row r="2330" spans="1:5" x14ac:dyDescent="0.25">
      <c r="A2330" t="s">
        <v>1</v>
      </c>
      <c r="B2330" t="s">
        <v>19</v>
      </c>
      <c r="C2330" t="s">
        <v>23490</v>
      </c>
      <c r="D2330" t="str">
        <f>HYPERLINK("https://rhld.insurance.arkansas.gov/NPILookup?Npi=1275041923","1275041923")</f>
        <v>1275041923</v>
      </c>
      <c r="E2330" t="s">
        <v>13451</v>
      </c>
    </row>
    <row r="2331" spans="1:5" x14ac:dyDescent="0.25">
      <c r="A2331" t="s">
        <v>1</v>
      </c>
      <c r="B2331" t="s">
        <v>19</v>
      </c>
      <c r="C2331" t="s">
        <v>23490</v>
      </c>
      <c r="D2331" t="str">
        <f>HYPERLINK("https://rhld.insurance.arkansas.gov/NPILookup?Npi=1275048480","1275048480")</f>
        <v>1275048480</v>
      </c>
      <c r="E2331" t="s">
        <v>19566</v>
      </c>
    </row>
    <row r="2332" spans="1:5" x14ac:dyDescent="0.25">
      <c r="A2332" t="s">
        <v>1</v>
      </c>
      <c r="B2332" t="s">
        <v>19</v>
      </c>
      <c r="C2332" t="s">
        <v>23490</v>
      </c>
      <c r="D2332" t="str">
        <f>HYPERLINK("https://rhld.insurance.arkansas.gov/NPILookup?Npi=1275054215","1275054215")</f>
        <v>1275054215</v>
      </c>
      <c r="E2332" t="s">
        <v>17412</v>
      </c>
    </row>
    <row r="2333" spans="1:5" x14ac:dyDescent="0.25">
      <c r="A2333" t="s">
        <v>1</v>
      </c>
      <c r="B2333" t="s">
        <v>19</v>
      </c>
      <c r="C2333" t="s">
        <v>23490</v>
      </c>
      <c r="D2333" t="str">
        <f>HYPERLINK("https://rhld.insurance.arkansas.gov/NPILookup?Npi=1275061657","1275061657")</f>
        <v>1275061657</v>
      </c>
      <c r="E2333" t="s">
        <v>14943</v>
      </c>
    </row>
    <row r="2334" spans="1:5" x14ac:dyDescent="0.25">
      <c r="A2334" t="s">
        <v>1</v>
      </c>
      <c r="B2334" t="s">
        <v>19</v>
      </c>
      <c r="C2334" t="s">
        <v>23490</v>
      </c>
      <c r="D2334" t="str">
        <f>HYPERLINK("https://rhld.insurance.arkansas.gov/NPILookup?Npi=1275065500","1275065500")</f>
        <v>1275065500</v>
      </c>
      <c r="E2334" t="s">
        <v>10788</v>
      </c>
    </row>
    <row r="2335" spans="1:5" x14ac:dyDescent="0.25">
      <c r="A2335" t="s">
        <v>1</v>
      </c>
      <c r="B2335" t="s">
        <v>19</v>
      </c>
      <c r="C2335" t="s">
        <v>23490</v>
      </c>
      <c r="D2335" t="str">
        <f>HYPERLINK("https://rhld.insurance.arkansas.gov/NPILookup?Npi=1275066839","1275066839")</f>
        <v>1275066839</v>
      </c>
      <c r="E2335" t="s">
        <v>10789</v>
      </c>
    </row>
    <row r="2336" spans="1:5" x14ac:dyDescent="0.25">
      <c r="A2336" t="s">
        <v>1</v>
      </c>
      <c r="B2336" t="s">
        <v>19</v>
      </c>
      <c r="C2336" t="s">
        <v>23490</v>
      </c>
      <c r="D2336" t="str">
        <f>HYPERLINK("https://rhld.insurance.arkansas.gov/NPILookup?Npi=1275071516","1275071516")</f>
        <v>1275071516</v>
      </c>
      <c r="E2336" t="s">
        <v>13452</v>
      </c>
    </row>
    <row r="2337" spans="1:5" x14ac:dyDescent="0.25">
      <c r="A2337" t="s">
        <v>1</v>
      </c>
      <c r="B2337" t="s">
        <v>19</v>
      </c>
      <c r="C2337" t="s">
        <v>23490</v>
      </c>
      <c r="D2337" t="str">
        <f>HYPERLINK("https://rhld.insurance.arkansas.gov/NPILookup?Npi=1275071755","1275071755")</f>
        <v>1275071755</v>
      </c>
      <c r="E2337" t="s">
        <v>10790</v>
      </c>
    </row>
    <row r="2338" spans="1:5" x14ac:dyDescent="0.25">
      <c r="A2338" t="s">
        <v>1</v>
      </c>
      <c r="B2338" t="s">
        <v>19</v>
      </c>
      <c r="C2338" t="s">
        <v>23490</v>
      </c>
      <c r="D2338" t="str">
        <f>HYPERLINK("https://rhld.insurance.arkansas.gov/NPILookup?Npi=1275074049","1275074049")</f>
        <v>1275074049</v>
      </c>
      <c r="E2338" t="s">
        <v>10791</v>
      </c>
    </row>
    <row r="2339" spans="1:5" x14ac:dyDescent="0.25">
      <c r="A2339" t="s">
        <v>1</v>
      </c>
      <c r="B2339" t="s">
        <v>19</v>
      </c>
      <c r="C2339" t="s">
        <v>23490</v>
      </c>
      <c r="D2339" t="str">
        <f>HYPERLINK("https://rhld.insurance.arkansas.gov/NPILookup?Npi=1275086902","1275086902")</f>
        <v>1275086902</v>
      </c>
      <c r="E2339" t="s">
        <v>13453</v>
      </c>
    </row>
    <row r="2340" spans="1:5" x14ac:dyDescent="0.25">
      <c r="A2340" t="s">
        <v>1</v>
      </c>
      <c r="B2340" t="s">
        <v>19</v>
      </c>
      <c r="C2340" t="s">
        <v>23490</v>
      </c>
      <c r="D2340" t="str">
        <f>HYPERLINK("https://rhld.insurance.arkansas.gov/NPILookup?Npi=1275092199","1275092199")</f>
        <v>1275092199</v>
      </c>
      <c r="E2340" t="s">
        <v>20919</v>
      </c>
    </row>
    <row r="2341" spans="1:5" x14ac:dyDescent="0.25">
      <c r="A2341" t="s">
        <v>1</v>
      </c>
      <c r="B2341" t="s">
        <v>19</v>
      </c>
      <c r="C2341" t="s">
        <v>23490</v>
      </c>
      <c r="D2341" t="str">
        <f>HYPERLINK("https://rhld.insurance.arkansas.gov/NPILookup?Npi=1275099475","1275099475")</f>
        <v>1275099475</v>
      </c>
      <c r="E2341" t="s">
        <v>14944</v>
      </c>
    </row>
    <row r="2342" spans="1:5" x14ac:dyDescent="0.25">
      <c r="A2342" t="s">
        <v>1</v>
      </c>
      <c r="B2342" t="s">
        <v>19</v>
      </c>
      <c r="C2342" t="s">
        <v>23490</v>
      </c>
      <c r="D2342" t="str">
        <f>HYPERLINK("https://rhld.insurance.arkansas.gov/NPILookup?Npi=1275104523","1275104523")</f>
        <v>1275104523</v>
      </c>
      <c r="E2342" t="s">
        <v>18726</v>
      </c>
    </row>
    <row r="2343" spans="1:5" x14ac:dyDescent="0.25">
      <c r="A2343" t="s">
        <v>1</v>
      </c>
      <c r="B2343" t="s">
        <v>19</v>
      </c>
      <c r="C2343" t="s">
        <v>23490</v>
      </c>
      <c r="D2343" t="str">
        <f>HYPERLINK("https://rhld.insurance.arkansas.gov/NPILookup?Npi=1275105983","1275105983")</f>
        <v>1275105983</v>
      </c>
      <c r="E2343" t="s">
        <v>19567</v>
      </c>
    </row>
    <row r="2344" spans="1:5" x14ac:dyDescent="0.25">
      <c r="A2344" t="s">
        <v>1</v>
      </c>
      <c r="B2344" t="s">
        <v>19</v>
      </c>
      <c r="C2344" t="s">
        <v>23490</v>
      </c>
      <c r="D2344" t="str">
        <f>HYPERLINK("https://rhld.insurance.arkansas.gov/NPILookup?Npi=1275112468","1275112468")</f>
        <v>1275112468</v>
      </c>
      <c r="E2344" t="s">
        <v>18727</v>
      </c>
    </row>
    <row r="2345" spans="1:5" x14ac:dyDescent="0.25">
      <c r="A2345" t="s">
        <v>1</v>
      </c>
      <c r="B2345" t="s">
        <v>19</v>
      </c>
      <c r="C2345" t="s">
        <v>23490</v>
      </c>
      <c r="D2345" t="str">
        <f>HYPERLINK("https://rhld.insurance.arkansas.gov/NPILookup?Npi=1275151524","1275151524")</f>
        <v>1275151524</v>
      </c>
      <c r="E2345" t="s">
        <v>19568</v>
      </c>
    </row>
    <row r="2346" spans="1:5" x14ac:dyDescent="0.25">
      <c r="A2346" t="s">
        <v>1</v>
      </c>
      <c r="B2346" t="s">
        <v>19</v>
      </c>
      <c r="C2346" t="s">
        <v>23490</v>
      </c>
      <c r="D2346" t="str">
        <f>HYPERLINK("https://rhld.insurance.arkansas.gov/NPILookup?Npi=1275159295","1275159295")</f>
        <v>1275159295</v>
      </c>
      <c r="E2346" t="s">
        <v>19569</v>
      </c>
    </row>
    <row r="2347" spans="1:5" x14ac:dyDescent="0.25">
      <c r="A2347" t="s">
        <v>1</v>
      </c>
      <c r="B2347" t="s">
        <v>19</v>
      </c>
      <c r="C2347" t="s">
        <v>23490</v>
      </c>
      <c r="D2347" t="str">
        <f>HYPERLINK("https://rhld.insurance.arkansas.gov/NPILookup?Npi=1275167397","1275167397")</f>
        <v>1275167397</v>
      </c>
      <c r="E2347" t="s">
        <v>20920</v>
      </c>
    </row>
    <row r="2348" spans="1:5" x14ac:dyDescent="0.25">
      <c r="A2348" t="s">
        <v>1</v>
      </c>
      <c r="B2348" t="s">
        <v>19</v>
      </c>
      <c r="C2348" t="s">
        <v>23490</v>
      </c>
      <c r="D2348" t="str">
        <f>HYPERLINK("https://rhld.insurance.arkansas.gov/NPILookup?Npi=1275168130","1275168130")</f>
        <v>1275168130</v>
      </c>
      <c r="E2348" t="s">
        <v>19570</v>
      </c>
    </row>
    <row r="2349" spans="1:5" x14ac:dyDescent="0.25">
      <c r="A2349" t="s">
        <v>1</v>
      </c>
      <c r="B2349" t="s">
        <v>19</v>
      </c>
      <c r="C2349" t="s">
        <v>23490</v>
      </c>
      <c r="D2349" t="str">
        <f>HYPERLINK("https://rhld.insurance.arkansas.gov/NPILookup?Npi=1275168643","1275168643")</f>
        <v>1275168643</v>
      </c>
      <c r="E2349" t="s">
        <v>17926</v>
      </c>
    </row>
    <row r="2350" spans="1:5" x14ac:dyDescent="0.25">
      <c r="A2350" t="s">
        <v>1</v>
      </c>
      <c r="B2350" t="s">
        <v>19</v>
      </c>
      <c r="C2350" t="s">
        <v>23490</v>
      </c>
      <c r="D2350" t="str">
        <f>HYPERLINK("https://rhld.insurance.arkansas.gov/NPILookup?Npi=1275173544","1275173544")</f>
        <v>1275173544</v>
      </c>
      <c r="E2350" t="s">
        <v>16910</v>
      </c>
    </row>
    <row r="2351" spans="1:5" x14ac:dyDescent="0.25">
      <c r="A2351" t="s">
        <v>1</v>
      </c>
      <c r="B2351" t="s">
        <v>19</v>
      </c>
      <c r="C2351" t="s">
        <v>23490</v>
      </c>
      <c r="D2351" t="str">
        <f>HYPERLINK("https://rhld.insurance.arkansas.gov/NPILookup?Npi=1275174518","1275174518")</f>
        <v>1275174518</v>
      </c>
      <c r="E2351" t="s">
        <v>19571</v>
      </c>
    </row>
    <row r="2352" spans="1:5" x14ac:dyDescent="0.25">
      <c r="A2352" t="s">
        <v>1</v>
      </c>
      <c r="B2352" t="s">
        <v>19</v>
      </c>
      <c r="C2352" t="s">
        <v>23490</v>
      </c>
      <c r="D2352" t="str">
        <f>HYPERLINK("https://rhld.insurance.arkansas.gov/NPILookup?Npi=1275177073","1275177073")</f>
        <v>1275177073</v>
      </c>
      <c r="E2352" t="s">
        <v>17927</v>
      </c>
    </row>
    <row r="2353" spans="1:5" x14ac:dyDescent="0.25">
      <c r="A2353" t="s">
        <v>1</v>
      </c>
      <c r="B2353" t="s">
        <v>19</v>
      </c>
      <c r="C2353" t="s">
        <v>23490</v>
      </c>
      <c r="D2353" t="str">
        <f>HYPERLINK("https://rhld.insurance.arkansas.gov/NPILookup?Npi=1275180630","1275180630")</f>
        <v>1275180630</v>
      </c>
      <c r="E2353" t="s">
        <v>16911</v>
      </c>
    </row>
    <row r="2354" spans="1:5" x14ac:dyDescent="0.25">
      <c r="A2354" t="s">
        <v>1</v>
      </c>
      <c r="B2354" t="s">
        <v>19</v>
      </c>
      <c r="C2354" t="s">
        <v>23490</v>
      </c>
      <c r="D2354" t="str">
        <f>HYPERLINK("https://rhld.insurance.arkansas.gov/NPILookup?Npi=1275183782","1275183782")</f>
        <v>1275183782</v>
      </c>
      <c r="E2354" t="s">
        <v>16912</v>
      </c>
    </row>
    <row r="2355" spans="1:5" x14ac:dyDescent="0.25">
      <c r="A2355" t="s">
        <v>1</v>
      </c>
      <c r="B2355" t="s">
        <v>19</v>
      </c>
      <c r="C2355" t="s">
        <v>23490</v>
      </c>
      <c r="D2355" t="str">
        <f>HYPERLINK("https://rhld.insurance.arkansas.gov/NPILookup?Npi=1275204091","1275204091")</f>
        <v>1275204091</v>
      </c>
      <c r="E2355" t="s">
        <v>16164</v>
      </c>
    </row>
    <row r="2356" spans="1:5" x14ac:dyDescent="0.25">
      <c r="A2356" t="s">
        <v>1</v>
      </c>
      <c r="B2356" t="s">
        <v>19</v>
      </c>
      <c r="C2356" t="s">
        <v>23490</v>
      </c>
      <c r="D2356" t="str">
        <f>HYPERLINK("https://rhld.insurance.arkansas.gov/NPILookup?Npi=1275256752","1275256752")</f>
        <v>1275256752</v>
      </c>
      <c r="E2356" t="s">
        <v>21385</v>
      </c>
    </row>
    <row r="2357" spans="1:5" x14ac:dyDescent="0.25">
      <c r="A2357" t="s">
        <v>1</v>
      </c>
      <c r="B2357" t="s">
        <v>19</v>
      </c>
      <c r="C2357" t="s">
        <v>23490</v>
      </c>
      <c r="D2357" t="str">
        <f>HYPERLINK("https://rhld.insurance.arkansas.gov/NPILookup?Npi=1275502379","1275502379")</f>
        <v>1275502379</v>
      </c>
      <c r="E2357" t="s">
        <v>14945</v>
      </c>
    </row>
    <row r="2358" spans="1:5" x14ac:dyDescent="0.25">
      <c r="A2358" t="s">
        <v>1</v>
      </c>
      <c r="B2358" t="s">
        <v>19</v>
      </c>
      <c r="C2358" t="s">
        <v>23490</v>
      </c>
      <c r="D2358" t="str">
        <f>HYPERLINK("https://rhld.insurance.arkansas.gov/NPILookup?Npi=1275504516","1275504516")</f>
        <v>1275504516</v>
      </c>
      <c r="E2358" t="s">
        <v>959</v>
      </c>
    </row>
    <row r="2359" spans="1:5" x14ac:dyDescent="0.25">
      <c r="A2359" t="s">
        <v>1</v>
      </c>
      <c r="B2359" t="s">
        <v>19</v>
      </c>
      <c r="C2359" t="s">
        <v>23490</v>
      </c>
      <c r="D2359" t="str">
        <f>HYPERLINK("https://rhld.insurance.arkansas.gov/NPILookup?Npi=1275508061","1275508061")</f>
        <v>1275508061</v>
      </c>
      <c r="E2359" t="s">
        <v>14946</v>
      </c>
    </row>
    <row r="2360" spans="1:5" x14ac:dyDescent="0.25">
      <c r="A2360" t="s">
        <v>1</v>
      </c>
      <c r="B2360" t="s">
        <v>19</v>
      </c>
      <c r="C2360" t="s">
        <v>23490</v>
      </c>
      <c r="D2360" t="str">
        <f>HYPERLINK("https://rhld.insurance.arkansas.gov/NPILookup?Npi=1275509069","1275509069")</f>
        <v>1275509069</v>
      </c>
      <c r="E2360" t="s">
        <v>960</v>
      </c>
    </row>
    <row r="2361" spans="1:5" x14ac:dyDescent="0.25">
      <c r="A2361" t="s">
        <v>1</v>
      </c>
      <c r="B2361" t="s">
        <v>19</v>
      </c>
      <c r="C2361" t="s">
        <v>23490</v>
      </c>
      <c r="D2361" t="str">
        <f>HYPERLINK("https://rhld.insurance.arkansas.gov/NPILookup?Npi=1275514929","1275514929")</f>
        <v>1275514929</v>
      </c>
      <c r="E2361" t="s">
        <v>961</v>
      </c>
    </row>
    <row r="2362" spans="1:5" x14ac:dyDescent="0.25">
      <c r="A2362" t="s">
        <v>1</v>
      </c>
      <c r="B2362" t="s">
        <v>19</v>
      </c>
      <c r="C2362" t="s">
        <v>23490</v>
      </c>
      <c r="D2362" t="str">
        <f>HYPERLINK("https://rhld.insurance.arkansas.gov/NPILookup?Npi=1275514978","1275514978")</f>
        <v>1275514978</v>
      </c>
      <c r="E2362" t="s">
        <v>962</v>
      </c>
    </row>
    <row r="2363" spans="1:5" x14ac:dyDescent="0.25">
      <c r="A2363" t="s">
        <v>1</v>
      </c>
      <c r="B2363" t="s">
        <v>19</v>
      </c>
      <c r="C2363" t="s">
        <v>23490</v>
      </c>
      <c r="D2363" t="str">
        <f>HYPERLINK("https://rhld.insurance.arkansas.gov/NPILookup?Npi=1275521056","1275521056")</f>
        <v>1275521056</v>
      </c>
      <c r="E2363" t="s">
        <v>19572</v>
      </c>
    </row>
    <row r="2364" spans="1:5" x14ac:dyDescent="0.25">
      <c r="A2364" t="s">
        <v>1</v>
      </c>
      <c r="B2364" t="s">
        <v>19</v>
      </c>
      <c r="C2364" t="s">
        <v>23490</v>
      </c>
      <c r="D2364" t="str">
        <f>HYPERLINK("https://rhld.insurance.arkansas.gov/NPILookup?Npi=1275521262","1275521262")</f>
        <v>1275521262</v>
      </c>
      <c r="E2364" t="s">
        <v>963</v>
      </c>
    </row>
    <row r="2365" spans="1:5" x14ac:dyDescent="0.25">
      <c r="A2365" t="s">
        <v>1</v>
      </c>
      <c r="B2365" t="s">
        <v>19</v>
      </c>
      <c r="C2365" t="s">
        <v>23490</v>
      </c>
      <c r="D2365" t="str">
        <f>HYPERLINK("https://rhld.insurance.arkansas.gov/NPILookup?Npi=1275521296","1275521296")</f>
        <v>1275521296</v>
      </c>
      <c r="E2365" t="s">
        <v>19573</v>
      </c>
    </row>
    <row r="2366" spans="1:5" x14ac:dyDescent="0.25">
      <c r="A2366" t="s">
        <v>1</v>
      </c>
      <c r="B2366" t="s">
        <v>19</v>
      </c>
      <c r="C2366" t="s">
        <v>23490</v>
      </c>
      <c r="D2366" t="str">
        <f>HYPERLINK("https://rhld.insurance.arkansas.gov/NPILookup?Npi=1275528267","1275528267")</f>
        <v>1275528267</v>
      </c>
      <c r="E2366" t="s">
        <v>964</v>
      </c>
    </row>
    <row r="2367" spans="1:5" x14ac:dyDescent="0.25">
      <c r="A2367" t="s">
        <v>1</v>
      </c>
      <c r="B2367" t="s">
        <v>19</v>
      </c>
      <c r="C2367" t="s">
        <v>23490</v>
      </c>
      <c r="D2367" t="str">
        <f>HYPERLINK("https://rhld.insurance.arkansas.gov/NPILookup?Npi=1275534752","1275534752")</f>
        <v>1275534752</v>
      </c>
      <c r="E2367" t="s">
        <v>965</v>
      </c>
    </row>
    <row r="2368" spans="1:5" x14ac:dyDescent="0.25">
      <c r="A2368" t="s">
        <v>1</v>
      </c>
      <c r="B2368" t="s">
        <v>19</v>
      </c>
      <c r="C2368" t="s">
        <v>23490</v>
      </c>
      <c r="D2368" t="str">
        <f>HYPERLINK("https://rhld.insurance.arkansas.gov/NPILookup?Npi=1275536682","1275536682")</f>
        <v>1275536682</v>
      </c>
      <c r="E2368" t="s">
        <v>14947</v>
      </c>
    </row>
    <row r="2369" spans="1:5" x14ac:dyDescent="0.25">
      <c r="A2369" t="s">
        <v>1</v>
      </c>
      <c r="B2369" t="s">
        <v>19</v>
      </c>
      <c r="C2369" t="s">
        <v>23490</v>
      </c>
      <c r="D2369" t="str">
        <f>HYPERLINK("https://rhld.insurance.arkansas.gov/NPILookup?Npi=1275537912","1275537912")</f>
        <v>1275537912</v>
      </c>
      <c r="E2369" t="s">
        <v>966</v>
      </c>
    </row>
    <row r="2370" spans="1:5" x14ac:dyDescent="0.25">
      <c r="A2370" t="s">
        <v>1</v>
      </c>
      <c r="B2370" t="s">
        <v>19</v>
      </c>
      <c r="C2370" t="s">
        <v>23490</v>
      </c>
      <c r="D2370" t="str">
        <f>HYPERLINK("https://rhld.insurance.arkansas.gov/NPILookup?Npi=1275538977","1275538977")</f>
        <v>1275538977</v>
      </c>
      <c r="E2370" t="s">
        <v>8578</v>
      </c>
    </row>
    <row r="2371" spans="1:5" x14ac:dyDescent="0.25">
      <c r="A2371" t="s">
        <v>1</v>
      </c>
      <c r="B2371" t="s">
        <v>19</v>
      </c>
      <c r="C2371" t="s">
        <v>23490</v>
      </c>
      <c r="D2371" t="str">
        <f>HYPERLINK("https://rhld.insurance.arkansas.gov/NPILookup?Npi=1275542029","1275542029")</f>
        <v>1275542029</v>
      </c>
      <c r="E2371" t="s">
        <v>967</v>
      </c>
    </row>
    <row r="2372" spans="1:5" x14ac:dyDescent="0.25">
      <c r="A2372" t="s">
        <v>1</v>
      </c>
      <c r="B2372" t="s">
        <v>19</v>
      </c>
      <c r="C2372" t="s">
        <v>23490</v>
      </c>
      <c r="D2372" t="str">
        <f>HYPERLINK("https://rhld.insurance.arkansas.gov/NPILookup?Npi=1275544397","1275544397")</f>
        <v>1275544397</v>
      </c>
      <c r="E2372" t="s">
        <v>1196</v>
      </c>
    </row>
    <row r="2373" spans="1:5" x14ac:dyDescent="0.25">
      <c r="A2373" t="s">
        <v>1</v>
      </c>
      <c r="B2373" t="s">
        <v>19</v>
      </c>
      <c r="C2373" t="s">
        <v>23490</v>
      </c>
      <c r="D2373" t="str">
        <f>HYPERLINK("https://rhld.insurance.arkansas.gov/NPILookup?Npi=1275547242","1275547242")</f>
        <v>1275547242</v>
      </c>
      <c r="E2373" t="s">
        <v>968</v>
      </c>
    </row>
    <row r="2374" spans="1:5" x14ac:dyDescent="0.25">
      <c r="A2374" t="s">
        <v>1</v>
      </c>
      <c r="B2374" t="s">
        <v>19</v>
      </c>
      <c r="C2374" t="s">
        <v>23490</v>
      </c>
      <c r="D2374" t="str">
        <f>HYPERLINK("https://rhld.insurance.arkansas.gov/NPILookup?Npi=1275547978","1275547978")</f>
        <v>1275547978</v>
      </c>
      <c r="E2374" t="s">
        <v>969</v>
      </c>
    </row>
    <row r="2375" spans="1:5" x14ac:dyDescent="0.25">
      <c r="A2375" t="s">
        <v>1</v>
      </c>
      <c r="B2375" t="s">
        <v>19</v>
      </c>
      <c r="C2375" t="s">
        <v>23490</v>
      </c>
      <c r="D2375" t="str">
        <f>HYPERLINK("https://rhld.insurance.arkansas.gov/NPILookup?Npi=1275549172","1275549172")</f>
        <v>1275549172</v>
      </c>
      <c r="E2375" t="s">
        <v>970</v>
      </c>
    </row>
    <row r="2376" spans="1:5" x14ac:dyDescent="0.25">
      <c r="A2376" t="s">
        <v>1</v>
      </c>
      <c r="B2376" t="s">
        <v>19</v>
      </c>
      <c r="C2376" t="s">
        <v>23490</v>
      </c>
      <c r="D2376" t="str">
        <f>HYPERLINK("https://rhld.insurance.arkansas.gov/NPILookup?Npi=1275553794","1275553794")</f>
        <v>1275553794</v>
      </c>
      <c r="E2376" t="s">
        <v>16913</v>
      </c>
    </row>
    <row r="2377" spans="1:5" x14ac:dyDescent="0.25">
      <c r="A2377" t="s">
        <v>1</v>
      </c>
      <c r="B2377" t="s">
        <v>19</v>
      </c>
      <c r="C2377" t="s">
        <v>23490</v>
      </c>
      <c r="D2377" t="str">
        <f>HYPERLINK("https://rhld.insurance.arkansas.gov/NPILookup?Npi=1275558918","1275558918")</f>
        <v>1275558918</v>
      </c>
      <c r="E2377" t="s">
        <v>971</v>
      </c>
    </row>
    <row r="2378" spans="1:5" x14ac:dyDescent="0.25">
      <c r="A2378" t="s">
        <v>1</v>
      </c>
      <c r="B2378" t="s">
        <v>19</v>
      </c>
      <c r="C2378" t="s">
        <v>23490</v>
      </c>
      <c r="D2378" t="str">
        <f>HYPERLINK("https://rhld.insurance.arkansas.gov/NPILookup?Npi=1275562258","1275562258")</f>
        <v>1275562258</v>
      </c>
      <c r="E2378" t="s">
        <v>19574</v>
      </c>
    </row>
    <row r="2379" spans="1:5" x14ac:dyDescent="0.25">
      <c r="A2379" t="s">
        <v>1</v>
      </c>
      <c r="B2379" t="s">
        <v>19</v>
      </c>
      <c r="C2379" t="s">
        <v>23490</v>
      </c>
      <c r="D2379" t="str">
        <f>HYPERLINK("https://rhld.insurance.arkansas.gov/NPILookup?Npi=1275562464","1275562464")</f>
        <v>1275562464</v>
      </c>
      <c r="E2379" t="s">
        <v>972</v>
      </c>
    </row>
    <row r="2380" spans="1:5" x14ac:dyDescent="0.25">
      <c r="A2380" t="s">
        <v>1</v>
      </c>
      <c r="B2380" t="s">
        <v>19</v>
      </c>
      <c r="C2380" t="s">
        <v>23490</v>
      </c>
      <c r="D2380" t="str">
        <f>HYPERLINK("https://rhld.insurance.arkansas.gov/NPILookup?Npi=1275565905","1275565905")</f>
        <v>1275565905</v>
      </c>
      <c r="E2380" t="s">
        <v>973</v>
      </c>
    </row>
    <row r="2381" spans="1:5" x14ac:dyDescent="0.25">
      <c r="A2381" t="s">
        <v>1</v>
      </c>
      <c r="B2381" t="s">
        <v>19</v>
      </c>
      <c r="C2381" t="s">
        <v>23490</v>
      </c>
      <c r="D2381" t="str">
        <f>HYPERLINK("https://rhld.insurance.arkansas.gov/NPILookup?Npi=1275569055","1275569055")</f>
        <v>1275569055</v>
      </c>
      <c r="E2381" t="s">
        <v>974</v>
      </c>
    </row>
    <row r="2382" spans="1:5" x14ac:dyDescent="0.25">
      <c r="A2382" t="s">
        <v>1</v>
      </c>
      <c r="B2382" t="s">
        <v>19</v>
      </c>
      <c r="C2382" t="s">
        <v>23490</v>
      </c>
      <c r="D2382" t="str">
        <f>HYPERLINK("https://rhld.insurance.arkansas.gov/NPILookup?Npi=1275572380","1275572380")</f>
        <v>1275572380</v>
      </c>
      <c r="E2382" t="s">
        <v>975</v>
      </c>
    </row>
    <row r="2383" spans="1:5" x14ac:dyDescent="0.25">
      <c r="A2383" t="s">
        <v>1</v>
      </c>
      <c r="B2383" t="s">
        <v>19</v>
      </c>
      <c r="C2383" t="s">
        <v>23490</v>
      </c>
      <c r="D2383" t="str">
        <f>HYPERLINK("https://rhld.insurance.arkansas.gov/NPILookup?Npi=1275573750","1275573750")</f>
        <v>1275573750</v>
      </c>
      <c r="E2383" t="s">
        <v>976</v>
      </c>
    </row>
    <row r="2384" spans="1:5" x14ac:dyDescent="0.25">
      <c r="A2384" t="s">
        <v>1</v>
      </c>
      <c r="B2384" t="s">
        <v>19</v>
      </c>
      <c r="C2384" t="s">
        <v>23490</v>
      </c>
      <c r="D2384" t="str">
        <f>HYPERLINK("https://rhld.insurance.arkansas.gov/NPILookup?Npi=1275577280","1275577280")</f>
        <v>1275577280</v>
      </c>
      <c r="E2384" t="s">
        <v>977</v>
      </c>
    </row>
    <row r="2385" spans="1:5" x14ac:dyDescent="0.25">
      <c r="A2385" t="s">
        <v>1</v>
      </c>
      <c r="B2385" t="s">
        <v>19</v>
      </c>
      <c r="C2385" t="s">
        <v>23490</v>
      </c>
      <c r="D2385" t="str">
        <f>HYPERLINK("https://rhld.insurance.arkansas.gov/NPILookup?Npi=1275582991","1275582991")</f>
        <v>1275582991</v>
      </c>
      <c r="E2385" t="s">
        <v>12807</v>
      </c>
    </row>
    <row r="2386" spans="1:5" x14ac:dyDescent="0.25">
      <c r="A2386" t="s">
        <v>1</v>
      </c>
      <c r="B2386" t="s">
        <v>19</v>
      </c>
      <c r="C2386" t="s">
        <v>23490</v>
      </c>
      <c r="D2386" t="str">
        <f>HYPERLINK("https://rhld.insurance.arkansas.gov/NPILookup?Npi=1275583056","1275583056")</f>
        <v>1275583056</v>
      </c>
      <c r="E2386" t="s">
        <v>978</v>
      </c>
    </row>
    <row r="2387" spans="1:5" x14ac:dyDescent="0.25">
      <c r="A2387" t="s">
        <v>1</v>
      </c>
      <c r="B2387" t="s">
        <v>19</v>
      </c>
      <c r="C2387" t="s">
        <v>23490</v>
      </c>
      <c r="D2387" t="str">
        <f>HYPERLINK("https://rhld.insurance.arkansas.gov/NPILookup?Npi=1275584690","1275584690")</f>
        <v>1275584690</v>
      </c>
      <c r="E2387" t="s">
        <v>979</v>
      </c>
    </row>
    <row r="2388" spans="1:5" x14ac:dyDescent="0.25">
      <c r="A2388" t="s">
        <v>1</v>
      </c>
      <c r="B2388" t="s">
        <v>19</v>
      </c>
      <c r="C2388" t="s">
        <v>23490</v>
      </c>
      <c r="D2388" t="str">
        <f>HYPERLINK("https://rhld.insurance.arkansas.gov/NPILookup?Npi=1275588899","1275588899")</f>
        <v>1275588899</v>
      </c>
      <c r="E2388" t="s">
        <v>14948</v>
      </c>
    </row>
    <row r="2389" spans="1:5" x14ac:dyDescent="0.25">
      <c r="A2389" t="s">
        <v>1</v>
      </c>
      <c r="B2389" t="s">
        <v>19</v>
      </c>
      <c r="C2389" t="s">
        <v>23490</v>
      </c>
      <c r="D2389" t="str">
        <f>HYPERLINK("https://rhld.insurance.arkansas.gov/NPILookup?Npi=1275596587","1275596587")</f>
        <v>1275596587</v>
      </c>
      <c r="E2389" t="s">
        <v>980</v>
      </c>
    </row>
    <row r="2390" spans="1:5" x14ac:dyDescent="0.25">
      <c r="A2390" t="s">
        <v>1</v>
      </c>
      <c r="B2390" t="s">
        <v>19</v>
      </c>
      <c r="C2390" t="s">
        <v>23490</v>
      </c>
      <c r="D2390" t="str">
        <f>HYPERLINK("https://rhld.insurance.arkansas.gov/NPILookup?Npi=1275598740","1275598740")</f>
        <v>1275598740</v>
      </c>
      <c r="E2390" t="s">
        <v>981</v>
      </c>
    </row>
    <row r="2391" spans="1:5" x14ac:dyDescent="0.25">
      <c r="A2391" t="s">
        <v>1</v>
      </c>
      <c r="B2391" t="s">
        <v>19</v>
      </c>
      <c r="C2391" t="s">
        <v>23490</v>
      </c>
      <c r="D2391" t="str">
        <f>HYPERLINK("https://rhld.insurance.arkansas.gov/NPILookup?Npi=1275599987","1275599987")</f>
        <v>1275599987</v>
      </c>
      <c r="E2391" t="s">
        <v>982</v>
      </c>
    </row>
    <row r="2392" spans="1:5" x14ac:dyDescent="0.25">
      <c r="A2392" t="s">
        <v>1</v>
      </c>
      <c r="B2392" t="s">
        <v>19</v>
      </c>
      <c r="C2392" t="s">
        <v>23490</v>
      </c>
      <c r="D2392" t="str">
        <f>HYPERLINK("https://rhld.insurance.arkansas.gov/NPILookup?Npi=1275601346","1275601346")</f>
        <v>1275601346</v>
      </c>
      <c r="E2392" t="s">
        <v>983</v>
      </c>
    </row>
    <row r="2393" spans="1:5" x14ac:dyDescent="0.25">
      <c r="A2393" t="s">
        <v>1</v>
      </c>
      <c r="B2393" t="s">
        <v>19</v>
      </c>
      <c r="C2393" t="s">
        <v>23490</v>
      </c>
      <c r="D2393" t="str">
        <f>HYPERLINK("https://rhld.insurance.arkansas.gov/NPILookup?Npi=1275605032","1275605032")</f>
        <v>1275605032</v>
      </c>
      <c r="E2393" t="s">
        <v>8579</v>
      </c>
    </row>
    <row r="2394" spans="1:5" x14ac:dyDescent="0.25">
      <c r="A2394" t="s">
        <v>1</v>
      </c>
      <c r="B2394" t="s">
        <v>19</v>
      </c>
      <c r="C2394" t="s">
        <v>23490</v>
      </c>
      <c r="D2394" t="str">
        <f>HYPERLINK("https://rhld.insurance.arkansas.gov/NPILookup?Npi=1275619272","1275619272")</f>
        <v>1275619272</v>
      </c>
      <c r="E2394" t="s">
        <v>19575</v>
      </c>
    </row>
    <row r="2395" spans="1:5" x14ac:dyDescent="0.25">
      <c r="A2395" t="s">
        <v>1</v>
      </c>
      <c r="B2395" t="s">
        <v>19</v>
      </c>
      <c r="C2395" t="s">
        <v>23490</v>
      </c>
      <c r="D2395" t="str">
        <f>HYPERLINK("https://rhld.insurance.arkansas.gov/NPILookup?Npi=1275628349","1275628349")</f>
        <v>1275628349</v>
      </c>
      <c r="E2395" t="s">
        <v>984</v>
      </c>
    </row>
    <row r="2396" spans="1:5" x14ac:dyDescent="0.25">
      <c r="A2396" t="s">
        <v>1</v>
      </c>
      <c r="B2396" t="s">
        <v>19</v>
      </c>
      <c r="C2396" t="s">
        <v>23490</v>
      </c>
      <c r="D2396" t="str">
        <f>HYPERLINK("https://rhld.insurance.arkansas.gov/NPILookup?Npi=1275630717","1275630717")</f>
        <v>1275630717</v>
      </c>
      <c r="E2396" t="s">
        <v>14949</v>
      </c>
    </row>
    <row r="2397" spans="1:5" x14ac:dyDescent="0.25">
      <c r="A2397" t="s">
        <v>1</v>
      </c>
      <c r="B2397" t="s">
        <v>19</v>
      </c>
      <c r="C2397" t="s">
        <v>23490</v>
      </c>
      <c r="D2397" t="str">
        <f>HYPERLINK("https://rhld.insurance.arkansas.gov/NPILookup?Npi=1275632903","1275632903")</f>
        <v>1275632903</v>
      </c>
      <c r="E2397" t="s">
        <v>12808</v>
      </c>
    </row>
    <row r="2398" spans="1:5" x14ac:dyDescent="0.25">
      <c r="A2398" t="s">
        <v>1</v>
      </c>
      <c r="B2398" t="s">
        <v>19</v>
      </c>
      <c r="C2398" t="s">
        <v>23490</v>
      </c>
      <c r="D2398" t="str">
        <f>HYPERLINK("https://rhld.insurance.arkansas.gov/NPILookup?Npi=1275638363","1275638363")</f>
        <v>1275638363</v>
      </c>
      <c r="E2398" t="s">
        <v>985</v>
      </c>
    </row>
    <row r="2399" spans="1:5" x14ac:dyDescent="0.25">
      <c r="A2399" t="s">
        <v>1</v>
      </c>
      <c r="B2399" t="s">
        <v>19</v>
      </c>
      <c r="C2399" t="s">
        <v>23490</v>
      </c>
      <c r="D2399" t="str">
        <f>HYPERLINK("https://rhld.insurance.arkansas.gov/NPILookup?Npi=1275638728","1275638728")</f>
        <v>1275638728</v>
      </c>
      <c r="E2399" t="s">
        <v>986</v>
      </c>
    </row>
    <row r="2400" spans="1:5" x14ac:dyDescent="0.25">
      <c r="A2400" t="s">
        <v>1</v>
      </c>
      <c r="B2400" t="s">
        <v>19</v>
      </c>
      <c r="C2400" t="s">
        <v>23490</v>
      </c>
      <c r="D2400" t="str">
        <f>HYPERLINK("https://rhld.insurance.arkansas.gov/NPILookup?Npi=1275639759","1275639759")</f>
        <v>1275639759</v>
      </c>
      <c r="E2400" t="s">
        <v>8580</v>
      </c>
    </row>
    <row r="2401" spans="1:5" x14ac:dyDescent="0.25">
      <c r="A2401" t="s">
        <v>1</v>
      </c>
      <c r="B2401" t="s">
        <v>19</v>
      </c>
      <c r="C2401" t="s">
        <v>23490</v>
      </c>
      <c r="D2401" t="str">
        <f>HYPERLINK("https://rhld.insurance.arkansas.gov/NPILookup?Npi=1275691941","1275691941")</f>
        <v>1275691941</v>
      </c>
      <c r="E2401" t="s">
        <v>987</v>
      </c>
    </row>
    <row r="2402" spans="1:5" x14ac:dyDescent="0.25">
      <c r="A2402" t="s">
        <v>1</v>
      </c>
      <c r="B2402" t="s">
        <v>19</v>
      </c>
      <c r="C2402" t="s">
        <v>23490</v>
      </c>
      <c r="D2402" t="str">
        <f>HYPERLINK("https://rhld.insurance.arkansas.gov/NPILookup?Npi=1275702672","1275702672")</f>
        <v>1275702672</v>
      </c>
      <c r="E2402" t="s">
        <v>988</v>
      </c>
    </row>
    <row r="2403" spans="1:5" x14ac:dyDescent="0.25">
      <c r="A2403" t="s">
        <v>1</v>
      </c>
      <c r="B2403" t="s">
        <v>19</v>
      </c>
      <c r="C2403" t="s">
        <v>23490</v>
      </c>
      <c r="D2403" t="str">
        <f>HYPERLINK("https://rhld.insurance.arkansas.gov/NPILookup?Npi=1275733636","1275733636")</f>
        <v>1275733636</v>
      </c>
      <c r="E2403" t="s">
        <v>990</v>
      </c>
    </row>
    <row r="2404" spans="1:5" x14ac:dyDescent="0.25">
      <c r="A2404" t="s">
        <v>1</v>
      </c>
      <c r="B2404" t="s">
        <v>19</v>
      </c>
      <c r="C2404" t="s">
        <v>23490</v>
      </c>
      <c r="D2404" t="str">
        <f>HYPERLINK("https://rhld.insurance.arkansas.gov/NPILookup?Npi=1275752354","1275752354")</f>
        <v>1275752354</v>
      </c>
      <c r="E2404" t="s">
        <v>18728</v>
      </c>
    </row>
    <row r="2405" spans="1:5" x14ac:dyDescent="0.25">
      <c r="A2405" t="s">
        <v>1</v>
      </c>
      <c r="B2405" t="s">
        <v>19</v>
      </c>
      <c r="C2405" t="s">
        <v>23490</v>
      </c>
      <c r="D2405" t="str">
        <f>HYPERLINK("https://rhld.insurance.arkansas.gov/NPILookup?Npi=1275762536","1275762536")</f>
        <v>1275762536</v>
      </c>
      <c r="E2405" t="s">
        <v>991</v>
      </c>
    </row>
    <row r="2406" spans="1:5" x14ac:dyDescent="0.25">
      <c r="A2406" t="s">
        <v>1</v>
      </c>
      <c r="B2406" t="s">
        <v>19</v>
      </c>
      <c r="C2406" t="s">
        <v>23490</v>
      </c>
      <c r="D2406" t="str">
        <f>HYPERLINK("https://rhld.insurance.arkansas.gov/NPILookup?Npi=1275774440","1275774440")</f>
        <v>1275774440</v>
      </c>
      <c r="E2406" t="s">
        <v>992</v>
      </c>
    </row>
    <row r="2407" spans="1:5" x14ac:dyDescent="0.25">
      <c r="A2407" t="s">
        <v>1</v>
      </c>
      <c r="B2407" t="s">
        <v>19</v>
      </c>
      <c r="C2407" t="s">
        <v>23490</v>
      </c>
      <c r="D2407" t="str">
        <f>HYPERLINK("https://rhld.insurance.arkansas.gov/NPILookup?Npi=1275780736","1275780736")</f>
        <v>1275780736</v>
      </c>
      <c r="E2407" t="s">
        <v>12809</v>
      </c>
    </row>
    <row r="2408" spans="1:5" x14ac:dyDescent="0.25">
      <c r="A2408" t="s">
        <v>1</v>
      </c>
      <c r="B2408" t="s">
        <v>19</v>
      </c>
      <c r="C2408" t="s">
        <v>23490</v>
      </c>
      <c r="D2408" t="str">
        <f>HYPERLINK("https://rhld.insurance.arkansas.gov/NPILookup?Npi=1275791402","1275791402")</f>
        <v>1275791402</v>
      </c>
      <c r="E2408" t="s">
        <v>993</v>
      </c>
    </row>
    <row r="2409" spans="1:5" x14ac:dyDescent="0.25">
      <c r="A2409" t="s">
        <v>1</v>
      </c>
      <c r="B2409" t="s">
        <v>19</v>
      </c>
      <c r="C2409" t="s">
        <v>23490</v>
      </c>
      <c r="D2409" t="str">
        <f>HYPERLINK("https://rhld.insurance.arkansas.gov/NPILookup?Npi=1275800344","1275800344")</f>
        <v>1275800344</v>
      </c>
      <c r="E2409" t="s">
        <v>18729</v>
      </c>
    </row>
    <row r="2410" spans="1:5" x14ac:dyDescent="0.25">
      <c r="A2410" t="s">
        <v>1</v>
      </c>
      <c r="B2410" t="s">
        <v>19</v>
      </c>
      <c r="C2410" t="s">
        <v>23490</v>
      </c>
      <c r="D2410" t="str">
        <f>HYPERLINK("https://rhld.insurance.arkansas.gov/NPILookup?Npi=1275800351","1275800351")</f>
        <v>1275800351</v>
      </c>
      <c r="E2410" t="s">
        <v>8581</v>
      </c>
    </row>
    <row r="2411" spans="1:5" x14ac:dyDescent="0.25">
      <c r="A2411" t="s">
        <v>1</v>
      </c>
      <c r="B2411" t="s">
        <v>19</v>
      </c>
      <c r="C2411" t="s">
        <v>23490</v>
      </c>
      <c r="D2411" t="str">
        <f>HYPERLINK("https://rhld.insurance.arkansas.gov/NPILookup?Npi=1275836371","1275836371")</f>
        <v>1275836371</v>
      </c>
      <c r="E2411" t="s">
        <v>994</v>
      </c>
    </row>
    <row r="2412" spans="1:5" x14ac:dyDescent="0.25">
      <c r="A2412" t="s">
        <v>1</v>
      </c>
      <c r="B2412" t="s">
        <v>19</v>
      </c>
      <c r="C2412" t="s">
        <v>23490</v>
      </c>
      <c r="D2412" t="str">
        <f>HYPERLINK("https://rhld.insurance.arkansas.gov/NPILookup?Npi=1275840480","1275840480")</f>
        <v>1275840480</v>
      </c>
      <c r="E2412" t="s">
        <v>995</v>
      </c>
    </row>
    <row r="2413" spans="1:5" x14ac:dyDescent="0.25">
      <c r="A2413" t="s">
        <v>1</v>
      </c>
      <c r="B2413" t="s">
        <v>19</v>
      </c>
      <c r="C2413" t="s">
        <v>23490</v>
      </c>
      <c r="D2413" t="str">
        <f>HYPERLINK("https://rhld.insurance.arkansas.gov/NPILookup?Npi=1275852188","1275852188")</f>
        <v>1275852188</v>
      </c>
      <c r="E2413" t="s">
        <v>996</v>
      </c>
    </row>
    <row r="2414" spans="1:5" x14ac:dyDescent="0.25">
      <c r="A2414" t="s">
        <v>1</v>
      </c>
      <c r="B2414" t="s">
        <v>19</v>
      </c>
      <c r="C2414" t="s">
        <v>23490</v>
      </c>
      <c r="D2414" t="str">
        <f>HYPERLINK("https://rhld.insurance.arkansas.gov/NPILookup?Npi=1275858599","1275858599")</f>
        <v>1275858599</v>
      </c>
      <c r="E2414" t="s">
        <v>14950</v>
      </c>
    </row>
    <row r="2415" spans="1:5" x14ac:dyDescent="0.25">
      <c r="A2415" t="s">
        <v>1</v>
      </c>
      <c r="B2415" t="s">
        <v>19</v>
      </c>
      <c r="C2415" t="s">
        <v>23490</v>
      </c>
      <c r="D2415" t="str">
        <f>HYPERLINK("https://rhld.insurance.arkansas.gov/NPILookup?Npi=1275870057","1275870057")</f>
        <v>1275870057</v>
      </c>
      <c r="E2415" t="s">
        <v>997</v>
      </c>
    </row>
    <row r="2416" spans="1:5" x14ac:dyDescent="0.25">
      <c r="A2416" t="s">
        <v>1</v>
      </c>
      <c r="B2416" t="s">
        <v>19</v>
      </c>
      <c r="C2416" t="s">
        <v>23490</v>
      </c>
      <c r="D2416" t="str">
        <f>HYPERLINK("https://rhld.insurance.arkansas.gov/NPILookup?Npi=1275872384","1275872384")</f>
        <v>1275872384</v>
      </c>
      <c r="E2416" t="s">
        <v>14951</v>
      </c>
    </row>
    <row r="2417" spans="1:5" x14ac:dyDescent="0.25">
      <c r="A2417" t="s">
        <v>1</v>
      </c>
      <c r="B2417" t="s">
        <v>19</v>
      </c>
      <c r="C2417" t="s">
        <v>23490</v>
      </c>
      <c r="D2417" t="str">
        <f>HYPERLINK("https://rhld.insurance.arkansas.gov/NPILookup?Npi=1275889164","1275889164")</f>
        <v>1275889164</v>
      </c>
      <c r="E2417" t="s">
        <v>10792</v>
      </c>
    </row>
    <row r="2418" spans="1:5" x14ac:dyDescent="0.25">
      <c r="A2418" t="s">
        <v>1</v>
      </c>
      <c r="B2418" t="s">
        <v>19</v>
      </c>
      <c r="C2418" t="s">
        <v>23490</v>
      </c>
      <c r="D2418" t="str">
        <f>HYPERLINK("https://rhld.insurance.arkansas.gov/NPILookup?Npi=1275920654","1275920654")</f>
        <v>1275920654</v>
      </c>
      <c r="E2418" t="s">
        <v>998</v>
      </c>
    </row>
    <row r="2419" spans="1:5" x14ac:dyDescent="0.25">
      <c r="A2419" t="s">
        <v>1</v>
      </c>
      <c r="B2419" t="s">
        <v>19</v>
      </c>
      <c r="C2419" t="s">
        <v>23490</v>
      </c>
      <c r="D2419" t="str">
        <f>HYPERLINK("https://rhld.insurance.arkansas.gov/NPILookup?Npi=1275924821","1275924821")</f>
        <v>1275924821</v>
      </c>
      <c r="E2419" t="s">
        <v>8582</v>
      </c>
    </row>
    <row r="2420" spans="1:5" x14ac:dyDescent="0.25">
      <c r="A2420" t="s">
        <v>1</v>
      </c>
      <c r="B2420" t="s">
        <v>19</v>
      </c>
      <c r="C2420" t="s">
        <v>23490</v>
      </c>
      <c r="D2420" t="str">
        <f>HYPERLINK("https://rhld.insurance.arkansas.gov/NPILookup?Npi=1275932253","1275932253")</f>
        <v>1275932253</v>
      </c>
      <c r="E2420" t="s">
        <v>999</v>
      </c>
    </row>
    <row r="2421" spans="1:5" x14ac:dyDescent="0.25">
      <c r="A2421" t="s">
        <v>1</v>
      </c>
      <c r="B2421" t="s">
        <v>19</v>
      </c>
      <c r="C2421" t="s">
        <v>23490</v>
      </c>
      <c r="D2421" t="str">
        <f>HYPERLINK("https://rhld.insurance.arkansas.gov/NPILookup?Npi=1275932634","1275932634")</f>
        <v>1275932634</v>
      </c>
      <c r="E2421" t="s">
        <v>10793</v>
      </c>
    </row>
    <row r="2422" spans="1:5" x14ac:dyDescent="0.25">
      <c r="A2422" t="s">
        <v>1</v>
      </c>
      <c r="B2422" t="s">
        <v>19</v>
      </c>
      <c r="C2422" t="s">
        <v>23490</v>
      </c>
      <c r="D2422" t="str">
        <f>HYPERLINK("https://rhld.insurance.arkansas.gov/NPILookup?Npi=1275936163","1275936163")</f>
        <v>1275936163</v>
      </c>
      <c r="E2422" t="s">
        <v>1000</v>
      </c>
    </row>
    <row r="2423" spans="1:5" x14ac:dyDescent="0.25">
      <c r="A2423" t="s">
        <v>1</v>
      </c>
      <c r="B2423" t="s">
        <v>19</v>
      </c>
      <c r="C2423" t="s">
        <v>23490</v>
      </c>
      <c r="D2423" t="str">
        <f>HYPERLINK("https://rhld.insurance.arkansas.gov/NPILookup?Npi=1275940645","1275940645")</f>
        <v>1275940645</v>
      </c>
      <c r="E2423" t="s">
        <v>14952</v>
      </c>
    </row>
    <row r="2424" spans="1:5" x14ac:dyDescent="0.25">
      <c r="A2424" t="s">
        <v>1</v>
      </c>
      <c r="B2424" t="s">
        <v>19</v>
      </c>
      <c r="C2424" t="s">
        <v>23490</v>
      </c>
      <c r="D2424" t="str">
        <f>HYPERLINK("https://rhld.insurance.arkansas.gov/NPILookup?Npi=1275941312","1275941312")</f>
        <v>1275941312</v>
      </c>
      <c r="E2424" t="s">
        <v>1001</v>
      </c>
    </row>
    <row r="2425" spans="1:5" x14ac:dyDescent="0.25">
      <c r="A2425" t="s">
        <v>1</v>
      </c>
      <c r="B2425" t="s">
        <v>19</v>
      </c>
      <c r="C2425" t="s">
        <v>23490</v>
      </c>
      <c r="D2425" t="str">
        <f>HYPERLINK("https://rhld.insurance.arkansas.gov/NPILookup?Npi=1275964645","1275964645")</f>
        <v>1275964645</v>
      </c>
      <c r="E2425" t="s">
        <v>8583</v>
      </c>
    </row>
    <row r="2426" spans="1:5" x14ac:dyDescent="0.25">
      <c r="A2426" t="s">
        <v>1</v>
      </c>
      <c r="B2426" t="s">
        <v>19</v>
      </c>
      <c r="C2426" t="s">
        <v>23490</v>
      </c>
      <c r="D2426" t="str">
        <f>HYPERLINK("https://rhld.insurance.arkansas.gov/NPILookup?Npi=1275976664","1275976664")</f>
        <v>1275976664</v>
      </c>
      <c r="E2426" t="s">
        <v>14953</v>
      </c>
    </row>
    <row r="2427" spans="1:5" x14ac:dyDescent="0.25">
      <c r="A2427" t="s">
        <v>1</v>
      </c>
      <c r="B2427" t="s">
        <v>19</v>
      </c>
      <c r="C2427" t="s">
        <v>23490</v>
      </c>
      <c r="D2427" t="str">
        <f>HYPERLINK("https://rhld.insurance.arkansas.gov/NPILookup?Npi=1275984858","1275984858")</f>
        <v>1275984858</v>
      </c>
      <c r="E2427" t="s">
        <v>10794</v>
      </c>
    </row>
    <row r="2428" spans="1:5" x14ac:dyDescent="0.25">
      <c r="A2428" t="s">
        <v>1</v>
      </c>
      <c r="B2428" t="s">
        <v>19</v>
      </c>
      <c r="C2428" t="s">
        <v>23490</v>
      </c>
      <c r="D2428" t="str">
        <f>HYPERLINK("https://rhld.insurance.arkansas.gov/NPILookup?Npi=1275989907","1275989907")</f>
        <v>1275989907</v>
      </c>
      <c r="E2428" t="s">
        <v>21386</v>
      </c>
    </row>
    <row r="2429" spans="1:5" x14ac:dyDescent="0.25">
      <c r="A2429" t="s">
        <v>1</v>
      </c>
      <c r="B2429" t="s">
        <v>19</v>
      </c>
      <c r="C2429" t="s">
        <v>23490</v>
      </c>
      <c r="D2429" t="str">
        <f>HYPERLINK("https://rhld.insurance.arkansas.gov/NPILookup?Npi=1275995383","1275995383")</f>
        <v>1275995383</v>
      </c>
      <c r="E2429" t="s">
        <v>11143</v>
      </c>
    </row>
    <row r="2430" spans="1:5" x14ac:dyDescent="0.25">
      <c r="A2430" t="s">
        <v>1</v>
      </c>
      <c r="B2430" t="s">
        <v>19</v>
      </c>
      <c r="C2430" t="s">
        <v>23490</v>
      </c>
      <c r="D2430" t="str">
        <f>HYPERLINK("https://rhld.insurance.arkansas.gov/NPILookup?Npi=1275998577","1275998577")</f>
        <v>1275998577</v>
      </c>
      <c r="E2430" t="s">
        <v>8584</v>
      </c>
    </row>
    <row r="2431" spans="1:5" x14ac:dyDescent="0.25">
      <c r="A2431" t="s">
        <v>1</v>
      </c>
      <c r="B2431" t="s">
        <v>19</v>
      </c>
      <c r="C2431" t="s">
        <v>23490</v>
      </c>
      <c r="D2431" t="str">
        <f>HYPERLINK("https://rhld.insurance.arkansas.gov/NPILookup?Npi=1285003509","1285003509")</f>
        <v>1285003509</v>
      </c>
      <c r="E2431" t="s">
        <v>19576</v>
      </c>
    </row>
    <row r="2432" spans="1:5" x14ac:dyDescent="0.25">
      <c r="A2432" t="s">
        <v>1</v>
      </c>
      <c r="B2432" t="s">
        <v>19</v>
      </c>
      <c r="C2432" t="s">
        <v>23490</v>
      </c>
      <c r="D2432" t="str">
        <f>HYPERLINK("https://rhld.insurance.arkansas.gov/NPILookup?Npi=1285014712","1285014712")</f>
        <v>1285014712</v>
      </c>
      <c r="E2432" t="s">
        <v>16914</v>
      </c>
    </row>
    <row r="2433" spans="1:5" x14ac:dyDescent="0.25">
      <c r="A2433" t="s">
        <v>1</v>
      </c>
      <c r="B2433" t="s">
        <v>19</v>
      </c>
      <c r="C2433" t="s">
        <v>23490</v>
      </c>
      <c r="D2433" t="str">
        <f>HYPERLINK("https://rhld.insurance.arkansas.gov/NPILookup?Npi=1285017517","1285017517")</f>
        <v>1285017517</v>
      </c>
      <c r="E2433" t="s">
        <v>1002</v>
      </c>
    </row>
    <row r="2434" spans="1:5" x14ac:dyDescent="0.25">
      <c r="A2434" t="s">
        <v>1</v>
      </c>
      <c r="B2434" t="s">
        <v>19</v>
      </c>
      <c r="C2434" t="s">
        <v>23490</v>
      </c>
      <c r="D2434" t="str">
        <f>HYPERLINK("https://rhld.insurance.arkansas.gov/NPILookup?Npi=1285019380","1285019380")</f>
        <v>1285019380</v>
      </c>
      <c r="E2434" t="s">
        <v>10795</v>
      </c>
    </row>
    <row r="2435" spans="1:5" x14ac:dyDescent="0.25">
      <c r="A2435" t="s">
        <v>1</v>
      </c>
      <c r="B2435" t="s">
        <v>19</v>
      </c>
      <c r="C2435" t="s">
        <v>23490</v>
      </c>
      <c r="D2435" t="str">
        <f>HYPERLINK("https://rhld.insurance.arkansas.gov/NPILookup?Npi=1285022632","1285022632")</f>
        <v>1285022632</v>
      </c>
      <c r="E2435" t="s">
        <v>8585</v>
      </c>
    </row>
    <row r="2436" spans="1:5" x14ac:dyDescent="0.25">
      <c r="A2436" t="s">
        <v>1</v>
      </c>
      <c r="B2436" t="s">
        <v>19</v>
      </c>
      <c r="C2436" t="s">
        <v>23490</v>
      </c>
      <c r="D2436" t="str">
        <f>HYPERLINK("https://rhld.insurance.arkansas.gov/NPILookup?Npi=1285023101","1285023101")</f>
        <v>1285023101</v>
      </c>
      <c r="E2436" t="s">
        <v>8586</v>
      </c>
    </row>
    <row r="2437" spans="1:5" x14ac:dyDescent="0.25">
      <c r="A2437" t="s">
        <v>1</v>
      </c>
      <c r="B2437" t="s">
        <v>19</v>
      </c>
      <c r="C2437" t="s">
        <v>23490</v>
      </c>
      <c r="D2437" t="str">
        <f>HYPERLINK("https://rhld.insurance.arkansas.gov/NPILookup?Npi=1285023440","1285023440")</f>
        <v>1285023440</v>
      </c>
      <c r="E2437" t="s">
        <v>8587</v>
      </c>
    </row>
    <row r="2438" spans="1:5" x14ac:dyDescent="0.25">
      <c r="A2438" t="s">
        <v>1</v>
      </c>
      <c r="B2438" t="s">
        <v>19</v>
      </c>
      <c r="C2438" t="s">
        <v>23490</v>
      </c>
      <c r="D2438" t="str">
        <f>HYPERLINK("https://rhld.insurance.arkansas.gov/NPILookup?Npi=1285025262","1285025262")</f>
        <v>1285025262</v>
      </c>
      <c r="E2438" t="s">
        <v>1003</v>
      </c>
    </row>
    <row r="2439" spans="1:5" x14ac:dyDescent="0.25">
      <c r="A2439" t="s">
        <v>1</v>
      </c>
      <c r="B2439" t="s">
        <v>19</v>
      </c>
      <c r="C2439" t="s">
        <v>23490</v>
      </c>
      <c r="D2439" t="str">
        <f>HYPERLINK("https://rhld.insurance.arkansas.gov/NPILookup?Npi=1285028514","1285028514")</f>
        <v>1285028514</v>
      </c>
      <c r="E2439" t="s">
        <v>10796</v>
      </c>
    </row>
    <row r="2440" spans="1:5" x14ac:dyDescent="0.25">
      <c r="A2440" t="s">
        <v>1</v>
      </c>
      <c r="B2440" t="s">
        <v>19</v>
      </c>
      <c r="C2440" t="s">
        <v>23490</v>
      </c>
      <c r="D2440" t="str">
        <f>HYPERLINK("https://rhld.insurance.arkansas.gov/NPILookup?Npi=1285041665","1285041665")</f>
        <v>1285041665</v>
      </c>
      <c r="E2440" t="s">
        <v>14954</v>
      </c>
    </row>
    <row r="2441" spans="1:5" x14ac:dyDescent="0.25">
      <c r="A2441" t="s">
        <v>1</v>
      </c>
      <c r="B2441" t="s">
        <v>19</v>
      </c>
      <c r="C2441" t="s">
        <v>23490</v>
      </c>
      <c r="D2441" t="str">
        <f>HYPERLINK("https://rhld.insurance.arkansas.gov/NPILookup?Npi=1285042259","1285042259")</f>
        <v>1285042259</v>
      </c>
      <c r="E2441" t="s">
        <v>1004</v>
      </c>
    </row>
    <row r="2442" spans="1:5" x14ac:dyDescent="0.25">
      <c r="A2442" t="s">
        <v>1</v>
      </c>
      <c r="B2442" t="s">
        <v>19</v>
      </c>
      <c r="C2442" t="s">
        <v>23490</v>
      </c>
      <c r="D2442" t="str">
        <f>HYPERLINK("https://rhld.insurance.arkansas.gov/NPILookup?Npi=1285044479","1285044479")</f>
        <v>1285044479</v>
      </c>
      <c r="E2442" t="s">
        <v>12810</v>
      </c>
    </row>
    <row r="2443" spans="1:5" x14ac:dyDescent="0.25">
      <c r="A2443" t="s">
        <v>1</v>
      </c>
      <c r="B2443" t="s">
        <v>19</v>
      </c>
      <c r="C2443" t="s">
        <v>23490</v>
      </c>
      <c r="D2443" t="str">
        <f>HYPERLINK("https://rhld.insurance.arkansas.gov/NPILookup?Npi=1285053983","1285053983")</f>
        <v>1285053983</v>
      </c>
      <c r="E2443" t="s">
        <v>10797</v>
      </c>
    </row>
    <row r="2444" spans="1:5" x14ac:dyDescent="0.25">
      <c r="A2444" t="s">
        <v>1</v>
      </c>
      <c r="B2444" t="s">
        <v>19</v>
      </c>
      <c r="C2444" t="s">
        <v>23490</v>
      </c>
      <c r="D2444" t="str">
        <f>HYPERLINK("https://rhld.insurance.arkansas.gov/NPILookup?Npi=1285056408","1285056408")</f>
        <v>1285056408</v>
      </c>
      <c r="E2444" t="s">
        <v>1005</v>
      </c>
    </row>
    <row r="2445" spans="1:5" x14ac:dyDescent="0.25">
      <c r="A2445" t="s">
        <v>1</v>
      </c>
      <c r="B2445" t="s">
        <v>19</v>
      </c>
      <c r="C2445" t="s">
        <v>23490</v>
      </c>
      <c r="D2445" t="str">
        <f>HYPERLINK("https://rhld.insurance.arkansas.gov/NPILookup?Npi=1285071894","1285071894")</f>
        <v>1285071894</v>
      </c>
      <c r="E2445" t="s">
        <v>19577</v>
      </c>
    </row>
    <row r="2446" spans="1:5" x14ac:dyDescent="0.25">
      <c r="A2446" t="s">
        <v>1</v>
      </c>
      <c r="B2446" t="s">
        <v>19</v>
      </c>
      <c r="C2446" t="s">
        <v>23490</v>
      </c>
      <c r="D2446" t="str">
        <f>HYPERLINK("https://rhld.insurance.arkansas.gov/NPILookup?Npi=1285080853","1285080853")</f>
        <v>1285080853</v>
      </c>
      <c r="E2446" t="s">
        <v>14955</v>
      </c>
    </row>
    <row r="2447" spans="1:5" x14ac:dyDescent="0.25">
      <c r="A2447" t="s">
        <v>1</v>
      </c>
      <c r="B2447" t="s">
        <v>19</v>
      </c>
      <c r="C2447" t="s">
        <v>23490</v>
      </c>
      <c r="D2447" t="str">
        <f>HYPERLINK("https://rhld.insurance.arkansas.gov/NPILookup?Npi=1285082925","1285082925")</f>
        <v>1285082925</v>
      </c>
      <c r="E2447" t="s">
        <v>14956</v>
      </c>
    </row>
    <row r="2448" spans="1:5" x14ac:dyDescent="0.25">
      <c r="A2448" t="s">
        <v>1</v>
      </c>
      <c r="B2448" t="s">
        <v>19</v>
      </c>
      <c r="C2448" t="s">
        <v>23490</v>
      </c>
      <c r="D2448" t="str">
        <f>HYPERLINK("https://rhld.insurance.arkansas.gov/NPILookup?Npi=1285087429","1285087429")</f>
        <v>1285087429</v>
      </c>
      <c r="E2448" t="s">
        <v>19578</v>
      </c>
    </row>
    <row r="2449" spans="1:5" x14ac:dyDescent="0.25">
      <c r="A2449" t="s">
        <v>1</v>
      </c>
      <c r="B2449" t="s">
        <v>19</v>
      </c>
      <c r="C2449" t="s">
        <v>23490</v>
      </c>
      <c r="D2449" t="str">
        <f>HYPERLINK("https://rhld.insurance.arkansas.gov/NPILookup?Npi=1285088146","1285088146")</f>
        <v>1285088146</v>
      </c>
      <c r="E2449" t="s">
        <v>8588</v>
      </c>
    </row>
    <row r="2450" spans="1:5" x14ac:dyDescent="0.25">
      <c r="A2450" t="s">
        <v>1</v>
      </c>
      <c r="B2450" t="s">
        <v>19</v>
      </c>
      <c r="C2450" t="s">
        <v>23490</v>
      </c>
      <c r="D2450" t="str">
        <f>HYPERLINK("https://rhld.insurance.arkansas.gov/NPILookup?Npi=1285090647","1285090647")</f>
        <v>1285090647</v>
      </c>
      <c r="E2450" t="s">
        <v>17930</v>
      </c>
    </row>
    <row r="2451" spans="1:5" x14ac:dyDescent="0.25">
      <c r="A2451" t="s">
        <v>1</v>
      </c>
      <c r="B2451" t="s">
        <v>19</v>
      </c>
      <c r="C2451" t="s">
        <v>23490</v>
      </c>
      <c r="D2451" t="str">
        <f>HYPERLINK("https://rhld.insurance.arkansas.gov/NPILookup?Npi=1285091140","1285091140")</f>
        <v>1285091140</v>
      </c>
      <c r="E2451" t="s">
        <v>8589</v>
      </c>
    </row>
    <row r="2452" spans="1:5" x14ac:dyDescent="0.25">
      <c r="A2452" t="s">
        <v>1</v>
      </c>
      <c r="B2452" t="s">
        <v>19</v>
      </c>
      <c r="C2452" t="s">
        <v>23490</v>
      </c>
      <c r="D2452" t="str">
        <f>HYPERLINK("https://rhld.insurance.arkansas.gov/NPILookup?Npi=1285094052","1285094052")</f>
        <v>1285094052</v>
      </c>
      <c r="E2452" t="s">
        <v>22917</v>
      </c>
    </row>
    <row r="2453" spans="1:5" x14ac:dyDescent="0.25">
      <c r="A2453" t="s">
        <v>1</v>
      </c>
      <c r="B2453" t="s">
        <v>19</v>
      </c>
      <c r="C2453" t="s">
        <v>23490</v>
      </c>
      <c r="D2453" t="str">
        <f>HYPERLINK("https://rhld.insurance.arkansas.gov/NPILookup?Npi=1285095174","1285095174")</f>
        <v>1285095174</v>
      </c>
      <c r="E2453" t="s">
        <v>13454</v>
      </c>
    </row>
    <row r="2454" spans="1:5" x14ac:dyDescent="0.25">
      <c r="A2454" t="s">
        <v>1</v>
      </c>
      <c r="B2454" t="s">
        <v>19</v>
      </c>
      <c r="C2454" t="s">
        <v>23490</v>
      </c>
      <c r="D2454" t="str">
        <f>HYPERLINK("https://rhld.insurance.arkansas.gov/NPILookup?Npi=1285097949","1285097949")</f>
        <v>1285097949</v>
      </c>
      <c r="E2454" t="s">
        <v>14957</v>
      </c>
    </row>
    <row r="2455" spans="1:5" x14ac:dyDescent="0.25">
      <c r="A2455" t="s">
        <v>1</v>
      </c>
      <c r="B2455" t="s">
        <v>19</v>
      </c>
      <c r="C2455" t="s">
        <v>23490</v>
      </c>
      <c r="D2455" t="str">
        <f>HYPERLINK("https://rhld.insurance.arkansas.gov/NPILookup?Npi=1285098921","1285098921")</f>
        <v>1285098921</v>
      </c>
      <c r="E2455" t="s">
        <v>13455</v>
      </c>
    </row>
    <row r="2456" spans="1:5" x14ac:dyDescent="0.25">
      <c r="A2456" t="s">
        <v>1</v>
      </c>
      <c r="B2456" t="s">
        <v>19</v>
      </c>
      <c r="C2456" t="s">
        <v>23490</v>
      </c>
      <c r="D2456" t="str">
        <f>HYPERLINK("https://rhld.insurance.arkansas.gov/NPILookup?Npi=1285112755","1285112755")</f>
        <v>1285112755</v>
      </c>
      <c r="E2456" t="s">
        <v>13456</v>
      </c>
    </row>
    <row r="2457" spans="1:5" x14ac:dyDescent="0.25">
      <c r="A2457" t="s">
        <v>1</v>
      </c>
      <c r="B2457" t="s">
        <v>19</v>
      </c>
      <c r="C2457" t="s">
        <v>23490</v>
      </c>
      <c r="D2457" t="str">
        <f>HYPERLINK("https://rhld.insurance.arkansas.gov/NPILookup?Npi=1285116830","1285116830")</f>
        <v>1285116830</v>
      </c>
      <c r="E2457" t="s">
        <v>14958</v>
      </c>
    </row>
    <row r="2458" spans="1:5" x14ac:dyDescent="0.25">
      <c r="A2458" t="s">
        <v>1</v>
      </c>
      <c r="B2458" t="s">
        <v>19</v>
      </c>
      <c r="C2458" t="s">
        <v>23490</v>
      </c>
      <c r="D2458" t="str">
        <f>HYPERLINK("https://rhld.insurance.arkansas.gov/NPILookup?Npi=1285129197","1285129197")</f>
        <v>1285129197</v>
      </c>
      <c r="E2458" t="s">
        <v>14959</v>
      </c>
    </row>
    <row r="2459" spans="1:5" x14ac:dyDescent="0.25">
      <c r="A2459" t="s">
        <v>1</v>
      </c>
      <c r="B2459" t="s">
        <v>19</v>
      </c>
      <c r="C2459" t="s">
        <v>23490</v>
      </c>
      <c r="D2459" t="str">
        <f>HYPERLINK("https://rhld.insurance.arkansas.gov/NPILookup?Npi=1285131383","1285131383")</f>
        <v>1285131383</v>
      </c>
      <c r="E2459" t="s">
        <v>19579</v>
      </c>
    </row>
    <row r="2460" spans="1:5" x14ac:dyDescent="0.25">
      <c r="A2460" t="s">
        <v>1</v>
      </c>
      <c r="B2460" t="s">
        <v>19</v>
      </c>
      <c r="C2460" t="s">
        <v>23490</v>
      </c>
      <c r="D2460" t="str">
        <f>HYPERLINK("https://rhld.insurance.arkansas.gov/NPILookup?Npi=1285158436","1285158436")</f>
        <v>1285158436</v>
      </c>
      <c r="E2460" t="s">
        <v>12811</v>
      </c>
    </row>
    <row r="2461" spans="1:5" x14ac:dyDescent="0.25">
      <c r="A2461" t="s">
        <v>1</v>
      </c>
      <c r="B2461" t="s">
        <v>19</v>
      </c>
      <c r="C2461" t="s">
        <v>23490</v>
      </c>
      <c r="D2461" t="str">
        <f>HYPERLINK("https://rhld.insurance.arkansas.gov/NPILookup?Npi=1285159780","1285159780")</f>
        <v>1285159780</v>
      </c>
      <c r="E2461" t="s">
        <v>10798</v>
      </c>
    </row>
    <row r="2462" spans="1:5" x14ac:dyDescent="0.25">
      <c r="A2462" t="s">
        <v>1</v>
      </c>
      <c r="B2462" t="s">
        <v>19</v>
      </c>
      <c r="C2462" t="s">
        <v>23490</v>
      </c>
      <c r="D2462" t="str">
        <f>HYPERLINK("https://rhld.insurance.arkansas.gov/NPILookup?Npi=1285160531","1285160531")</f>
        <v>1285160531</v>
      </c>
      <c r="E2462" t="s">
        <v>14960</v>
      </c>
    </row>
    <row r="2463" spans="1:5" x14ac:dyDescent="0.25">
      <c r="A2463" t="s">
        <v>1</v>
      </c>
      <c r="B2463" t="s">
        <v>19</v>
      </c>
      <c r="C2463" t="s">
        <v>23490</v>
      </c>
      <c r="D2463" t="str">
        <f>HYPERLINK("https://rhld.insurance.arkansas.gov/NPILookup?Npi=1285162453","1285162453")</f>
        <v>1285162453</v>
      </c>
      <c r="E2463" t="s">
        <v>10799</v>
      </c>
    </row>
    <row r="2464" spans="1:5" x14ac:dyDescent="0.25">
      <c r="A2464" t="s">
        <v>1</v>
      </c>
      <c r="B2464" t="s">
        <v>19</v>
      </c>
      <c r="C2464" t="s">
        <v>23490</v>
      </c>
      <c r="D2464" t="str">
        <f>HYPERLINK("https://rhld.insurance.arkansas.gov/NPILookup?Npi=1285164145","1285164145")</f>
        <v>1285164145</v>
      </c>
      <c r="E2464" t="s">
        <v>10800</v>
      </c>
    </row>
    <row r="2465" spans="1:5" x14ac:dyDescent="0.25">
      <c r="A2465" t="s">
        <v>1</v>
      </c>
      <c r="B2465" t="s">
        <v>19</v>
      </c>
      <c r="C2465" t="s">
        <v>23490</v>
      </c>
      <c r="D2465" t="str">
        <f>HYPERLINK("https://rhld.insurance.arkansas.gov/NPILookup?Npi=1285171876","1285171876")</f>
        <v>1285171876</v>
      </c>
      <c r="E2465" t="s">
        <v>13457</v>
      </c>
    </row>
    <row r="2466" spans="1:5" x14ac:dyDescent="0.25">
      <c r="A2466" t="s">
        <v>1</v>
      </c>
      <c r="B2466" t="s">
        <v>19</v>
      </c>
      <c r="C2466" t="s">
        <v>23490</v>
      </c>
      <c r="D2466" t="str">
        <f>HYPERLINK("https://rhld.insurance.arkansas.gov/NPILookup?Npi=1285174342","1285174342")</f>
        <v>1285174342</v>
      </c>
      <c r="E2466" t="s">
        <v>14961</v>
      </c>
    </row>
    <row r="2467" spans="1:5" x14ac:dyDescent="0.25">
      <c r="A2467" t="s">
        <v>1</v>
      </c>
      <c r="B2467" t="s">
        <v>19</v>
      </c>
      <c r="C2467" t="s">
        <v>23490</v>
      </c>
      <c r="D2467" t="str">
        <f>HYPERLINK("https://rhld.insurance.arkansas.gov/NPILookup?Npi=1285180281","1285180281")</f>
        <v>1285180281</v>
      </c>
      <c r="E2467" t="s">
        <v>16915</v>
      </c>
    </row>
    <row r="2468" spans="1:5" x14ac:dyDescent="0.25">
      <c r="A2468" t="s">
        <v>1</v>
      </c>
      <c r="B2468" t="s">
        <v>19</v>
      </c>
      <c r="C2468" t="s">
        <v>23490</v>
      </c>
      <c r="D2468" t="str">
        <f>HYPERLINK("https://rhld.insurance.arkansas.gov/NPILookup?Npi=1285183822","1285183822")</f>
        <v>1285183822</v>
      </c>
      <c r="E2468" t="s">
        <v>20921</v>
      </c>
    </row>
    <row r="2469" spans="1:5" x14ac:dyDescent="0.25">
      <c r="A2469" t="s">
        <v>1</v>
      </c>
      <c r="B2469" t="s">
        <v>19</v>
      </c>
      <c r="C2469" t="s">
        <v>23490</v>
      </c>
      <c r="D2469" t="str">
        <f>HYPERLINK("https://rhld.insurance.arkansas.gov/NPILookup?Npi=1285186759","1285186759")</f>
        <v>1285186759</v>
      </c>
      <c r="E2469" t="s">
        <v>19580</v>
      </c>
    </row>
    <row r="2470" spans="1:5" x14ac:dyDescent="0.25">
      <c r="A2470" t="s">
        <v>1</v>
      </c>
      <c r="B2470" t="s">
        <v>19</v>
      </c>
      <c r="C2470" t="s">
        <v>23490</v>
      </c>
      <c r="D2470" t="str">
        <f>HYPERLINK("https://rhld.insurance.arkansas.gov/NPILookup?Npi=1285198507","1285198507")</f>
        <v>1285198507</v>
      </c>
      <c r="E2470" t="s">
        <v>14962</v>
      </c>
    </row>
    <row r="2471" spans="1:5" x14ac:dyDescent="0.25">
      <c r="A2471" t="s">
        <v>1</v>
      </c>
      <c r="B2471" t="s">
        <v>19</v>
      </c>
      <c r="C2471" t="s">
        <v>23490</v>
      </c>
      <c r="D2471" t="str">
        <f>HYPERLINK("https://rhld.insurance.arkansas.gov/NPILookup?Npi=1285215491","1285215491")</f>
        <v>1285215491</v>
      </c>
      <c r="E2471" t="s">
        <v>17931</v>
      </c>
    </row>
    <row r="2472" spans="1:5" x14ac:dyDescent="0.25">
      <c r="A2472" t="s">
        <v>1</v>
      </c>
      <c r="B2472" t="s">
        <v>19</v>
      </c>
      <c r="C2472" t="s">
        <v>23490</v>
      </c>
      <c r="D2472" t="str">
        <f>HYPERLINK("https://rhld.insurance.arkansas.gov/NPILookup?Npi=1285219303","1285219303")</f>
        <v>1285219303</v>
      </c>
      <c r="E2472" t="s">
        <v>18730</v>
      </c>
    </row>
    <row r="2473" spans="1:5" x14ac:dyDescent="0.25">
      <c r="A2473" t="s">
        <v>1</v>
      </c>
      <c r="B2473" t="s">
        <v>19</v>
      </c>
      <c r="C2473" t="s">
        <v>23490</v>
      </c>
      <c r="D2473" t="str">
        <f>HYPERLINK("https://rhld.insurance.arkansas.gov/NPILookup?Npi=1285229559","1285229559")</f>
        <v>1285229559</v>
      </c>
      <c r="E2473" t="s">
        <v>18731</v>
      </c>
    </row>
    <row r="2474" spans="1:5" x14ac:dyDescent="0.25">
      <c r="A2474" t="s">
        <v>1</v>
      </c>
      <c r="B2474" t="s">
        <v>19</v>
      </c>
      <c r="C2474" t="s">
        <v>23490</v>
      </c>
      <c r="D2474" t="str">
        <f>HYPERLINK("https://rhld.insurance.arkansas.gov/NPILookup?Npi=1285235937","1285235937")</f>
        <v>1285235937</v>
      </c>
      <c r="E2474" t="s">
        <v>17932</v>
      </c>
    </row>
    <row r="2475" spans="1:5" x14ac:dyDescent="0.25">
      <c r="A2475" t="s">
        <v>1</v>
      </c>
      <c r="B2475" t="s">
        <v>19</v>
      </c>
      <c r="C2475" t="s">
        <v>23490</v>
      </c>
      <c r="D2475" t="str">
        <f>HYPERLINK("https://rhld.insurance.arkansas.gov/NPILookup?Npi=1285237305","1285237305")</f>
        <v>1285237305</v>
      </c>
      <c r="E2475" t="s">
        <v>17933</v>
      </c>
    </row>
    <row r="2476" spans="1:5" x14ac:dyDescent="0.25">
      <c r="A2476" t="s">
        <v>1</v>
      </c>
      <c r="B2476" t="s">
        <v>19</v>
      </c>
      <c r="C2476" t="s">
        <v>23490</v>
      </c>
      <c r="D2476" t="str">
        <f>HYPERLINK("https://rhld.insurance.arkansas.gov/NPILookup?Npi=1285244178","1285244178")</f>
        <v>1285244178</v>
      </c>
      <c r="E2476" t="s">
        <v>17934</v>
      </c>
    </row>
    <row r="2477" spans="1:5" x14ac:dyDescent="0.25">
      <c r="A2477" t="s">
        <v>1</v>
      </c>
      <c r="B2477" t="s">
        <v>19</v>
      </c>
      <c r="C2477" t="s">
        <v>23490</v>
      </c>
      <c r="D2477" t="str">
        <f>HYPERLINK("https://rhld.insurance.arkansas.gov/NPILookup?Npi=1285253641","1285253641")</f>
        <v>1285253641</v>
      </c>
      <c r="E2477" t="s">
        <v>21509</v>
      </c>
    </row>
    <row r="2478" spans="1:5" x14ac:dyDescent="0.25">
      <c r="A2478" t="s">
        <v>1</v>
      </c>
      <c r="B2478" t="s">
        <v>19</v>
      </c>
      <c r="C2478" t="s">
        <v>23490</v>
      </c>
      <c r="D2478" t="str">
        <f>HYPERLINK("https://rhld.insurance.arkansas.gov/NPILookup?Npi=1285271411","1285271411")</f>
        <v>1285271411</v>
      </c>
      <c r="E2478" t="s">
        <v>16916</v>
      </c>
    </row>
    <row r="2479" spans="1:5" x14ac:dyDescent="0.25">
      <c r="A2479" t="s">
        <v>1</v>
      </c>
      <c r="B2479" t="s">
        <v>19</v>
      </c>
      <c r="C2479" t="s">
        <v>23490</v>
      </c>
      <c r="D2479" t="str">
        <f>HYPERLINK("https://rhld.insurance.arkansas.gov/NPILookup?Npi=1285273326","1285273326")</f>
        <v>1285273326</v>
      </c>
      <c r="E2479" t="s">
        <v>19581</v>
      </c>
    </row>
    <row r="2480" spans="1:5" x14ac:dyDescent="0.25">
      <c r="A2480" t="s">
        <v>1</v>
      </c>
      <c r="B2480" t="s">
        <v>19</v>
      </c>
      <c r="C2480" t="s">
        <v>23490</v>
      </c>
      <c r="D2480" t="str">
        <f>HYPERLINK("https://rhld.insurance.arkansas.gov/NPILookup?Npi=1285274605","1285274605")</f>
        <v>1285274605</v>
      </c>
      <c r="E2480" t="s">
        <v>16917</v>
      </c>
    </row>
    <row r="2481" spans="1:5" x14ac:dyDescent="0.25">
      <c r="A2481" t="s">
        <v>1</v>
      </c>
      <c r="B2481" t="s">
        <v>19</v>
      </c>
      <c r="C2481" t="s">
        <v>23490</v>
      </c>
      <c r="D2481" t="str">
        <f>HYPERLINK("https://rhld.insurance.arkansas.gov/NPILookup?Npi=1285288357","1285288357")</f>
        <v>1285288357</v>
      </c>
      <c r="E2481" t="s">
        <v>17935</v>
      </c>
    </row>
    <row r="2482" spans="1:5" x14ac:dyDescent="0.25">
      <c r="A2482" t="s">
        <v>1</v>
      </c>
      <c r="B2482" t="s">
        <v>19</v>
      </c>
      <c r="C2482" t="s">
        <v>23490</v>
      </c>
      <c r="D2482" t="str">
        <f>HYPERLINK("https://rhld.insurance.arkansas.gov/NPILookup?Npi=1285289488","1285289488")</f>
        <v>1285289488</v>
      </c>
      <c r="E2482" t="s">
        <v>18732</v>
      </c>
    </row>
    <row r="2483" spans="1:5" x14ac:dyDescent="0.25">
      <c r="A2483" t="s">
        <v>1</v>
      </c>
      <c r="B2483" t="s">
        <v>19</v>
      </c>
      <c r="C2483" t="s">
        <v>23490</v>
      </c>
      <c r="D2483" t="str">
        <f>HYPERLINK("https://rhld.insurance.arkansas.gov/NPILookup?Npi=1285295865","1285295865")</f>
        <v>1285295865</v>
      </c>
      <c r="E2483" t="s">
        <v>16918</v>
      </c>
    </row>
    <row r="2484" spans="1:5" x14ac:dyDescent="0.25">
      <c r="A2484" t="s">
        <v>1</v>
      </c>
      <c r="B2484" t="s">
        <v>19</v>
      </c>
      <c r="C2484" t="s">
        <v>23490</v>
      </c>
      <c r="D2484" t="str">
        <f>HYPERLINK("https://rhld.insurance.arkansas.gov/NPILookup?Npi=1285362913","1285362913")</f>
        <v>1285362913</v>
      </c>
      <c r="E2484" t="s">
        <v>21388</v>
      </c>
    </row>
    <row r="2485" spans="1:5" x14ac:dyDescent="0.25">
      <c r="A2485" t="s">
        <v>1</v>
      </c>
      <c r="B2485" t="s">
        <v>19</v>
      </c>
      <c r="C2485" t="s">
        <v>23490</v>
      </c>
      <c r="D2485" t="str">
        <f>HYPERLINK("https://rhld.insurance.arkansas.gov/NPILookup?Npi=1285389262","1285389262")</f>
        <v>1285389262</v>
      </c>
      <c r="E2485" t="s">
        <v>21510</v>
      </c>
    </row>
    <row r="2486" spans="1:5" x14ac:dyDescent="0.25">
      <c r="A2486" t="s">
        <v>1</v>
      </c>
      <c r="B2486" t="s">
        <v>19</v>
      </c>
      <c r="C2486" t="s">
        <v>23490</v>
      </c>
      <c r="D2486" t="str">
        <f>HYPERLINK("https://rhld.insurance.arkansas.gov/NPILookup?Npi=1285395533","1285395533")</f>
        <v>1285395533</v>
      </c>
      <c r="E2486" t="s">
        <v>19582</v>
      </c>
    </row>
    <row r="2487" spans="1:5" x14ac:dyDescent="0.25">
      <c r="A2487" t="s">
        <v>1</v>
      </c>
      <c r="B2487" t="s">
        <v>19</v>
      </c>
      <c r="C2487" t="s">
        <v>23490</v>
      </c>
      <c r="D2487" t="str">
        <f>HYPERLINK("https://rhld.insurance.arkansas.gov/NPILookup?Npi=1285397240","1285397240")</f>
        <v>1285397240</v>
      </c>
      <c r="E2487" t="s">
        <v>19583</v>
      </c>
    </row>
    <row r="2488" spans="1:5" x14ac:dyDescent="0.25">
      <c r="A2488" t="s">
        <v>1</v>
      </c>
      <c r="B2488" t="s">
        <v>19</v>
      </c>
      <c r="C2488" t="s">
        <v>23490</v>
      </c>
      <c r="D2488" t="str">
        <f>HYPERLINK("https://rhld.insurance.arkansas.gov/NPILookup?Npi=1285600049","1285600049")</f>
        <v>1285600049</v>
      </c>
      <c r="E2488" t="s">
        <v>1006</v>
      </c>
    </row>
    <row r="2489" spans="1:5" x14ac:dyDescent="0.25">
      <c r="A2489" t="s">
        <v>1</v>
      </c>
      <c r="B2489" t="s">
        <v>19</v>
      </c>
      <c r="C2489" t="s">
        <v>23490</v>
      </c>
      <c r="D2489" t="str">
        <f>HYPERLINK("https://rhld.insurance.arkansas.gov/NPILookup?Npi=1285601815","1285601815")</f>
        <v>1285601815</v>
      </c>
      <c r="E2489" t="s">
        <v>1007</v>
      </c>
    </row>
    <row r="2490" spans="1:5" x14ac:dyDescent="0.25">
      <c r="A2490" t="s">
        <v>1</v>
      </c>
      <c r="B2490" t="s">
        <v>19</v>
      </c>
      <c r="C2490" t="s">
        <v>23490</v>
      </c>
      <c r="D2490" t="str">
        <f>HYPERLINK("https://rhld.insurance.arkansas.gov/NPILookup?Npi=1285612820","1285612820")</f>
        <v>1285612820</v>
      </c>
      <c r="E2490" t="s">
        <v>318</v>
      </c>
    </row>
    <row r="2491" spans="1:5" x14ac:dyDescent="0.25">
      <c r="A2491" t="s">
        <v>1</v>
      </c>
      <c r="B2491" t="s">
        <v>19</v>
      </c>
      <c r="C2491" t="s">
        <v>23490</v>
      </c>
      <c r="D2491" t="str">
        <f>HYPERLINK("https://rhld.insurance.arkansas.gov/NPILookup?Npi=1285613323","1285613323")</f>
        <v>1285613323</v>
      </c>
      <c r="E2491" t="s">
        <v>16919</v>
      </c>
    </row>
    <row r="2492" spans="1:5" x14ac:dyDescent="0.25">
      <c r="A2492" t="s">
        <v>1</v>
      </c>
      <c r="B2492" t="s">
        <v>19</v>
      </c>
      <c r="C2492" t="s">
        <v>23490</v>
      </c>
      <c r="D2492" t="str">
        <f>HYPERLINK("https://rhld.insurance.arkansas.gov/NPILookup?Npi=1285622076","1285622076")</f>
        <v>1285622076</v>
      </c>
      <c r="E2492" t="s">
        <v>1008</v>
      </c>
    </row>
    <row r="2493" spans="1:5" x14ac:dyDescent="0.25">
      <c r="A2493" t="s">
        <v>1</v>
      </c>
      <c r="B2493" t="s">
        <v>19</v>
      </c>
      <c r="C2493" t="s">
        <v>23490</v>
      </c>
      <c r="D2493" t="str">
        <f>HYPERLINK("https://rhld.insurance.arkansas.gov/NPILookup?Npi=1285625129","1285625129")</f>
        <v>1285625129</v>
      </c>
      <c r="E2493" t="s">
        <v>19584</v>
      </c>
    </row>
    <row r="2494" spans="1:5" x14ac:dyDescent="0.25">
      <c r="A2494" t="s">
        <v>1</v>
      </c>
      <c r="B2494" t="s">
        <v>19</v>
      </c>
      <c r="C2494" t="s">
        <v>23490</v>
      </c>
      <c r="D2494" t="str">
        <f>HYPERLINK("https://rhld.insurance.arkansas.gov/NPILookup?Npi=1285626994","1285626994")</f>
        <v>1285626994</v>
      </c>
      <c r="E2494" t="s">
        <v>17936</v>
      </c>
    </row>
    <row r="2495" spans="1:5" x14ac:dyDescent="0.25">
      <c r="A2495" t="s">
        <v>1</v>
      </c>
      <c r="B2495" t="s">
        <v>19</v>
      </c>
      <c r="C2495" t="s">
        <v>23490</v>
      </c>
      <c r="D2495" t="str">
        <f>HYPERLINK("https://rhld.insurance.arkansas.gov/NPILookup?Npi=1285632224","1285632224")</f>
        <v>1285632224</v>
      </c>
      <c r="E2495" t="s">
        <v>6624</v>
      </c>
    </row>
    <row r="2496" spans="1:5" x14ac:dyDescent="0.25">
      <c r="A2496" t="s">
        <v>1</v>
      </c>
      <c r="B2496" t="s">
        <v>19</v>
      </c>
      <c r="C2496" t="s">
        <v>23490</v>
      </c>
      <c r="D2496" t="str">
        <f>HYPERLINK("https://rhld.insurance.arkansas.gov/NPILookup?Npi=1285639302","1285639302")</f>
        <v>1285639302</v>
      </c>
      <c r="E2496" t="s">
        <v>14963</v>
      </c>
    </row>
    <row r="2497" spans="1:5" x14ac:dyDescent="0.25">
      <c r="A2497" t="s">
        <v>1</v>
      </c>
      <c r="B2497" t="s">
        <v>19</v>
      </c>
      <c r="C2497" t="s">
        <v>23490</v>
      </c>
      <c r="D2497" t="str">
        <f>HYPERLINK("https://rhld.insurance.arkansas.gov/NPILookup?Npi=1285650713","1285650713")</f>
        <v>1285650713</v>
      </c>
      <c r="E2497" t="s">
        <v>1009</v>
      </c>
    </row>
    <row r="2498" spans="1:5" x14ac:dyDescent="0.25">
      <c r="A2498" t="s">
        <v>1</v>
      </c>
      <c r="B2498" t="s">
        <v>19</v>
      </c>
      <c r="C2498" t="s">
        <v>23490</v>
      </c>
      <c r="D2498" t="str">
        <f>HYPERLINK("https://rhld.insurance.arkansas.gov/NPILookup?Npi=1285654111","1285654111")</f>
        <v>1285654111</v>
      </c>
      <c r="E2498" t="s">
        <v>14964</v>
      </c>
    </row>
    <row r="2499" spans="1:5" x14ac:dyDescent="0.25">
      <c r="A2499" t="s">
        <v>1</v>
      </c>
      <c r="B2499" t="s">
        <v>19</v>
      </c>
      <c r="C2499" t="s">
        <v>23490</v>
      </c>
      <c r="D2499" t="str">
        <f>HYPERLINK("https://rhld.insurance.arkansas.gov/NPILookup?Npi=1285658237","1285658237")</f>
        <v>1285658237</v>
      </c>
      <c r="E2499" t="s">
        <v>14965</v>
      </c>
    </row>
    <row r="2500" spans="1:5" x14ac:dyDescent="0.25">
      <c r="A2500" t="s">
        <v>1</v>
      </c>
      <c r="B2500" t="s">
        <v>19</v>
      </c>
      <c r="C2500" t="s">
        <v>23490</v>
      </c>
      <c r="D2500" t="str">
        <f>HYPERLINK("https://rhld.insurance.arkansas.gov/NPILookup?Npi=1285660464","1285660464")</f>
        <v>1285660464</v>
      </c>
      <c r="E2500" t="s">
        <v>1010</v>
      </c>
    </row>
    <row r="2501" spans="1:5" x14ac:dyDescent="0.25">
      <c r="A2501" t="s">
        <v>1</v>
      </c>
      <c r="B2501" t="s">
        <v>19</v>
      </c>
      <c r="C2501" t="s">
        <v>23490</v>
      </c>
      <c r="D2501" t="str">
        <f>HYPERLINK("https://rhld.insurance.arkansas.gov/NPILookup?Npi=1285662791","1285662791")</f>
        <v>1285662791</v>
      </c>
      <c r="E2501" t="s">
        <v>1011</v>
      </c>
    </row>
    <row r="2502" spans="1:5" x14ac:dyDescent="0.25">
      <c r="A2502" t="s">
        <v>1</v>
      </c>
      <c r="B2502" t="s">
        <v>19</v>
      </c>
      <c r="C2502" t="s">
        <v>23490</v>
      </c>
      <c r="D2502" t="str">
        <f>HYPERLINK("https://rhld.insurance.arkansas.gov/NPILookup?Npi=1285697466","1285697466")</f>
        <v>1285697466</v>
      </c>
      <c r="E2502" t="s">
        <v>1012</v>
      </c>
    </row>
    <row r="2503" spans="1:5" x14ac:dyDescent="0.25">
      <c r="A2503" t="s">
        <v>1</v>
      </c>
      <c r="B2503" t="s">
        <v>19</v>
      </c>
      <c r="C2503" t="s">
        <v>23490</v>
      </c>
      <c r="D2503" t="str">
        <f>HYPERLINK("https://rhld.insurance.arkansas.gov/NPILookup?Npi=1285697839","1285697839")</f>
        <v>1285697839</v>
      </c>
      <c r="E2503" t="s">
        <v>1013</v>
      </c>
    </row>
    <row r="2504" spans="1:5" x14ac:dyDescent="0.25">
      <c r="A2504" t="s">
        <v>1</v>
      </c>
      <c r="B2504" t="s">
        <v>19</v>
      </c>
      <c r="C2504" t="s">
        <v>23490</v>
      </c>
      <c r="D2504" t="str">
        <f>HYPERLINK("https://rhld.insurance.arkansas.gov/NPILookup?Npi=1285724625","1285724625")</f>
        <v>1285724625</v>
      </c>
      <c r="E2504" t="s">
        <v>14966</v>
      </c>
    </row>
    <row r="2505" spans="1:5" x14ac:dyDescent="0.25">
      <c r="A2505" t="s">
        <v>1</v>
      </c>
      <c r="B2505" t="s">
        <v>19</v>
      </c>
      <c r="C2505" t="s">
        <v>23490</v>
      </c>
      <c r="D2505" t="str">
        <f>HYPERLINK("https://rhld.insurance.arkansas.gov/NPILookup?Npi=1285726869","1285726869")</f>
        <v>1285726869</v>
      </c>
      <c r="E2505" t="s">
        <v>1014</v>
      </c>
    </row>
    <row r="2506" spans="1:5" x14ac:dyDescent="0.25">
      <c r="A2506" t="s">
        <v>1</v>
      </c>
      <c r="B2506" t="s">
        <v>19</v>
      </c>
      <c r="C2506" t="s">
        <v>23490</v>
      </c>
      <c r="D2506" t="str">
        <f>HYPERLINK("https://rhld.insurance.arkansas.gov/NPILookup?Npi=1285741884","1285741884")</f>
        <v>1285741884</v>
      </c>
      <c r="E2506" t="s">
        <v>14967</v>
      </c>
    </row>
    <row r="2507" spans="1:5" x14ac:dyDescent="0.25">
      <c r="A2507" t="s">
        <v>1</v>
      </c>
      <c r="B2507" t="s">
        <v>19</v>
      </c>
      <c r="C2507" t="s">
        <v>23490</v>
      </c>
      <c r="D2507" t="str">
        <f>HYPERLINK("https://rhld.insurance.arkansas.gov/NPILookup?Npi=1285774760","1285774760")</f>
        <v>1285774760</v>
      </c>
      <c r="E2507" t="s">
        <v>14968</v>
      </c>
    </row>
    <row r="2508" spans="1:5" x14ac:dyDescent="0.25">
      <c r="A2508" t="s">
        <v>1</v>
      </c>
      <c r="B2508" t="s">
        <v>19</v>
      </c>
      <c r="C2508" t="s">
        <v>23490</v>
      </c>
      <c r="D2508" t="str">
        <f>HYPERLINK("https://rhld.insurance.arkansas.gov/NPILookup?Npi=1285780643","1285780643")</f>
        <v>1285780643</v>
      </c>
      <c r="E2508" t="s">
        <v>1015</v>
      </c>
    </row>
    <row r="2509" spans="1:5" x14ac:dyDescent="0.25">
      <c r="A2509" t="s">
        <v>1</v>
      </c>
      <c r="B2509" t="s">
        <v>19</v>
      </c>
      <c r="C2509" t="s">
        <v>23490</v>
      </c>
      <c r="D2509" t="str">
        <f>HYPERLINK("https://rhld.insurance.arkansas.gov/NPILookup?Npi=1285780809","1285780809")</f>
        <v>1285780809</v>
      </c>
      <c r="E2509" t="s">
        <v>13458</v>
      </c>
    </row>
    <row r="2510" spans="1:5" x14ac:dyDescent="0.25">
      <c r="A2510" t="s">
        <v>1</v>
      </c>
      <c r="B2510" t="s">
        <v>19</v>
      </c>
      <c r="C2510" t="s">
        <v>23490</v>
      </c>
      <c r="D2510" t="str">
        <f>HYPERLINK("https://rhld.insurance.arkansas.gov/NPILookup?Npi=1285805358","1285805358")</f>
        <v>1285805358</v>
      </c>
      <c r="E2510" t="s">
        <v>1016</v>
      </c>
    </row>
    <row r="2511" spans="1:5" x14ac:dyDescent="0.25">
      <c r="A2511" t="s">
        <v>1</v>
      </c>
      <c r="B2511" t="s">
        <v>19</v>
      </c>
      <c r="C2511" t="s">
        <v>23490</v>
      </c>
      <c r="D2511" t="str">
        <f>HYPERLINK("https://rhld.insurance.arkansas.gov/NPILookup?Npi=1285812685","1285812685")</f>
        <v>1285812685</v>
      </c>
      <c r="E2511" t="s">
        <v>1017</v>
      </c>
    </row>
    <row r="2512" spans="1:5" x14ac:dyDescent="0.25">
      <c r="A2512" t="s">
        <v>1</v>
      </c>
      <c r="B2512" t="s">
        <v>19</v>
      </c>
      <c r="C2512" t="s">
        <v>23490</v>
      </c>
      <c r="D2512" t="str">
        <f>HYPERLINK("https://rhld.insurance.arkansas.gov/NPILookup?Npi=1285819227","1285819227")</f>
        <v>1285819227</v>
      </c>
      <c r="E2512" t="s">
        <v>1018</v>
      </c>
    </row>
    <row r="2513" spans="1:5" x14ac:dyDescent="0.25">
      <c r="A2513" t="s">
        <v>1</v>
      </c>
      <c r="B2513" t="s">
        <v>19</v>
      </c>
      <c r="C2513" t="s">
        <v>23490</v>
      </c>
      <c r="D2513" t="str">
        <f>HYPERLINK("https://rhld.insurance.arkansas.gov/NPILookup?Npi=1285834481","1285834481")</f>
        <v>1285834481</v>
      </c>
      <c r="E2513" t="s">
        <v>8590</v>
      </c>
    </row>
    <row r="2514" spans="1:5" x14ac:dyDescent="0.25">
      <c r="A2514" t="s">
        <v>1</v>
      </c>
      <c r="B2514" t="s">
        <v>19</v>
      </c>
      <c r="C2514" t="s">
        <v>23490</v>
      </c>
      <c r="D2514" t="str">
        <f>HYPERLINK("https://rhld.insurance.arkansas.gov/NPILookup?Npi=1285845727","1285845727")</f>
        <v>1285845727</v>
      </c>
      <c r="E2514" t="s">
        <v>1019</v>
      </c>
    </row>
    <row r="2515" spans="1:5" x14ac:dyDescent="0.25">
      <c r="A2515" t="s">
        <v>1</v>
      </c>
      <c r="B2515" t="s">
        <v>19</v>
      </c>
      <c r="C2515" t="s">
        <v>23490</v>
      </c>
      <c r="D2515" t="str">
        <f>HYPERLINK("https://rhld.insurance.arkansas.gov/NPILookup?Npi=1285849927","1285849927")</f>
        <v>1285849927</v>
      </c>
      <c r="E2515" t="s">
        <v>1020</v>
      </c>
    </row>
    <row r="2516" spans="1:5" x14ac:dyDescent="0.25">
      <c r="A2516" t="s">
        <v>1</v>
      </c>
      <c r="B2516" t="s">
        <v>19</v>
      </c>
      <c r="C2516" t="s">
        <v>23490</v>
      </c>
      <c r="D2516" t="str">
        <f>HYPERLINK("https://rhld.insurance.arkansas.gov/NPILookup?Npi=1285856971","1285856971")</f>
        <v>1285856971</v>
      </c>
      <c r="E2516" t="s">
        <v>1021</v>
      </c>
    </row>
    <row r="2517" spans="1:5" x14ac:dyDescent="0.25">
      <c r="A2517" t="s">
        <v>1</v>
      </c>
      <c r="B2517" t="s">
        <v>19</v>
      </c>
      <c r="C2517" t="s">
        <v>23490</v>
      </c>
      <c r="D2517" t="str">
        <f>HYPERLINK("https://rhld.insurance.arkansas.gov/NPILookup?Npi=1285862540","1285862540")</f>
        <v>1285862540</v>
      </c>
      <c r="E2517" t="s">
        <v>1022</v>
      </c>
    </row>
    <row r="2518" spans="1:5" x14ac:dyDescent="0.25">
      <c r="A2518" t="s">
        <v>1</v>
      </c>
      <c r="B2518" t="s">
        <v>19</v>
      </c>
      <c r="C2518" t="s">
        <v>23490</v>
      </c>
      <c r="D2518" t="str">
        <f>HYPERLINK("https://rhld.insurance.arkansas.gov/NPILookup?Npi=1285863423","1285863423")</f>
        <v>1285863423</v>
      </c>
      <c r="E2518" t="s">
        <v>17413</v>
      </c>
    </row>
    <row r="2519" spans="1:5" x14ac:dyDescent="0.25">
      <c r="A2519" t="s">
        <v>1</v>
      </c>
      <c r="B2519" t="s">
        <v>19</v>
      </c>
      <c r="C2519" t="s">
        <v>23490</v>
      </c>
      <c r="D2519" t="str">
        <f>HYPERLINK("https://rhld.insurance.arkansas.gov/NPILookup?Npi=1285865154","1285865154")</f>
        <v>1285865154</v>
      </c>
      <c r="E2519" t="s">
        <v>19585</v>
      </c>
    </row>
    <row r="2520" spans="1:5" x14ac:dyDescent="0.25">
      <c r="A2520" t="s">
        <v>1</v>
      </c>
      <c r="B2520" t="s">
        <v>19</v>
      </c>
      <c r="C2520" t="s">
        <v>23490</v>
      </c>
      <c r="D2520" t="str">
        <f>HYPERLINK("https://rhld.insurance.arkansas.gov/NPILookup?Npi=1285873984","1285873984")</f>
        <v>1285873984</v>
      </c>
      <c r="E2520" t="s">
        <v>1023</v>
      </c>
    </row>
    <row r="2521" spans="1:5" x14ac:dyDescent="0.25">
      <c r="A2521" t="s">
        <v>1</v>
      </c>
      <c r="B2521" t="s">
        <v>19</v>
      </c>
      <c r="C2521" t="s">
        <v>23490</v>
      </c>
      <c r="D2521" t="str">
        <f>HYPERLINK("https://rhld.insurance.arkansas.gov/NPILookup?Npi=1285893966","1285893966")</f>
        <v>1285893966</v>
      </c>
      <c r="E2521" t="s">
        <v>1024</v>
      </c>
    </row>
    <row r="2522" spans="1:5" x14ac:dyDescent="0.25">
      <c r="A2522" t="s">
        <v>1</v>
      </c>
      <c r="B2522" t="s">
        <v>19</v>
      </c>
      <c r="C2522" t="s">
        <v>23490</v>
      </c>
      <c r="D2522" t="str">
        <f>HYPERLINK("https://rhld.insurance.arkansas.gov/NPILookup?Npi=1285896738","1285896738")</f>
        <v>1285896738</v>
      </c>
      <c r="E2522" t="s">
        <v>1025</v>
      </c>
    </row>
    <row r="2523" spans="1:5" x14ac:dyDescent="0.25">
      <c r="A2523" t="s">
        <v>1</v>
      </c>
      <c r="B2523" t="s">
        <v>19</v>
      </c>
      <c r="C2523" t="s">
        <v>23490</v>
      </c>
      <c r="D2523" t="str">
        <f>HYPERLINK("https://rhld.insurance.arkansas.gov/NPILookup?Npi=1285897553","1285897553")</f>
        <v>1285897553</v>
      </c>
      <c r="E2523" t="s">
        <v>14969</v>
      </c>
    </row>
    <row r="2524" spans="1:5" x14ac:dyDescent="0.25">
      <c r="A2524" t="s">
        <v>1</v>
      </c>
      <c r="B2524" t="s">
        <v>19</v>
      </c>
      <c r="C2524" t="s">
        <v>23490</v>
      </c>
      <c r="D2524" t="str">
        <f>HYPERLINK("https://rhld.insurance.arkansas.gov/NPILookup?Npi=1285902841","1285902841")</f>
        <v>1285902841</v>
      </c>
      <c r="E2524" t="s">
        <v>10802</v>
      </c>
    </row>
    <row r="2525" spans="1:5" x14ac:dyDescent="0.25">
      <c r="A2525" t="s">
        <v>1</v>
      </c>
      <c r="B2525" t="s">
        <v>19</v>
      </c>
      <c r="C2525" t="s">
        <v>23490</v>
      </c>
      <c r="D2525" t="str">
        <f>HYPERLINK("https://rhld.insurance.arkansas.gov/NPILookup?Npi=1285916627","1285916627")</f>
        <v>1285916627</v>
      </c>
      <c r="E2525" t="s">
        <v>1026</v>
      </c>
    </row>
    <row r="2526" spans="1:5" x14ac:dyDescent="0.25">
      <c r="A2526" t="s">
        <v>1</v>
      </c>
      <c r="B2526" t="s">
        <v>19</v>
      </c>
      <c r="C2526" t="s">
        <v>23490</v>
      </c>
      <c r="D2526" t="str">
        <f>HYPERLINK("https://rhld.insurance.arkansas.gov/NPILookup?Npi=1285945915","1285945915")</f>
        <v>1285945915</v>
      </c>
      <c r="E2526" t="s">
        <v>19586</v>
      </c>
    </row>
    <row r="2527" spans="1:5" x14ac:dyDescent="0.25">
      <c r="A2527" t="s">
        <v>1</v>
      </c>
      <c r="B2527" t="s">
        <v>19</v>
      </c>
      <c r="C2527" t="s">
        <v>23490</v>
      </c>
      <c r="D2527" t="str">
        <f>HYPERLINK("https://rhld.insurance.arkansas.gov/NPILookup?Npi=1285956904","1285956904")</f>
        <v>1285956904</v>
      </c>
      <c r="E2527" t="s">
        <v>1027</v>
      </c>
    </row>
    <row r="2528" spans="1:5" x14ac:dyDescent="0.25">
      <c r="A2528" t="s">
        <v>1</v>
      </c>
      <c r="B2528" t="s">
        <v>19</v>
      </c>
      <c r="C2528" t="s">
        <v>23490</v>
      </c>
      <c r="D2528" t="str">
        <f>HYPERLINK("https://rhld.insurance.arkansas.gov/NPILookup?Npi=1285977769","1285977769")</f>
        <v>1285977769</v>
      </c>
      <c r="E2528" t="s">
        <v>8591</v>
      </c>
    </row>
    <row r="2529" spans="1:5" x14ac:dyDescent="0.25">
      <c r="A2529" t="s">
        <v>1</v>
      </c>
      <c r="B2529" t="s">
        <v>19</v>
      </c>
      <c r="C2529" t="s">
        <v>23490</v>
      </c>
      <c r="D2529" t="str">
        <f>HYPERLINK("https://rhld.insurance.arkansas.gov/NPILookup?Npi=1295001600","1295001600")</f>
        <v>1295001600</v>
      </c>
      <c r="E2529" t="s">
        <v>19587</v>
      </c>
    </row>
    <row r="2530" spans="1:5" x14ac:dyDescent="0.25">
      <c r="A2530" t="s">
        <v>1</v>
      </c>
      <c r="B2530" t="s">
        <v>19</v>
      </c>
      <c r="C2530" t="s">
        <v>23490</v>
      </c>
      <c r="D2530" t="str">
        <f>HYPERLINK("https://rhld.insurance.arkansas.gov/NPILookup?Npi=1295007342","1295007342")</f>
        <v>1295007342</v>
      </c>
      <c r="E2530" t="s">
        <v>1028</v>
      </c>
    </row>
    <row r="2531" spans="1:5" x14ac:dyDescent="0.25">
      <c r="A2531" t="s">
        <v>1</v>
      </c>
      <c r="B2531" t="s">
        <v>19</v>
      </c>
      <c r="C2531" t="s">
        <v>23490</v>
      </c>
      <c r="D2531" t="str">
        <f>HYPERLINK("https://rhld.insurance.arkansas.gov/NPILookup?Npi=1295013795","1295013795")</f>
        <v>1295013795</v>
      </c>
      <c r="E2531" t="s">
        <v>21511</v>
      </c>
    </row>
    <row r="2532" spans="1:5" x14ac:dyDescent="0.25">
      <c r="A2532" t="s">
        <v>1</v>
      </c>
      <c r="B2532" t="s">
        <v>19</v>
      </c>
      <c r="C2532" t="s">
        <v>23490</v>
      </c>
      <c r="D2532" t="str">
        <f>HYPERLINK("https://rhld.insurance.arkansas.gov/NPILookup?Npi=1295016400","1295016400")</f>
        <v>1295016400</v>
      </c>
      <c r="E2532" t="s">
        <v>8592</v>
      </c>
    </row>
    <row r="2533" spans="1:5" x14ac:dyDescent="0.25">
      <c r="A2533" t="s">
        <v>1</v>
      </c>
      <c r="B2533" t="s">
        <v>19</v>
      </c>
      <c r="C2533" t="s">
        <v>23490</v>
      </c>
      <c r="D2533" t="str">
        <f>HYPERLINK("https://rhld.insurance.arkansas.gov/NPILookup?Npi=1295025914","1295025914")</f>
        <v>1295025914</v>
      </c>
      <c r="E2533" t="s">
        <v>1029</v>
      </c>
    </row>
    <row r="2534" spans="1:5" x14ac:dyDescent="0.25">
      <c r="A2534" t="s">
        <v>1</v>
      </c>
      <c r="B2534" t="s">
        <v>19</v>
      </c>
      <c r="C2534" t="s">
        <v>23490</v>
      </c>
      <c r="D2534" t="str">
        <f>HYPERLINK("https://rhld.insurance.arkansas.gov/NPILookup?Npi=1295032514","1295032514")</f>
        <v>1295032514</v>
      </c>
      <c r="E2534" t="s">
        <v>12812</v>
      </c>
    </row>
    <row r="2535" spans="1:5" x14ac:dyDescent="0.25">
      <c r="A2535" t="s">
        <v>1</v>
      </c>
      <c r="B2535" t="s">
        <v>19</v>
      </c>
      <c r="C2535" t="s">
        <v>23490</v>
      </c>
      <c r="D2535" t="str">
        <f>HYPERLINK("https://rhld.insurance.arkansas.gov/NPILookup?Npi=1295047918","1295047918")</f>
        <v>1295047918</v>
      </c>
      <c r="E2535" t="s">
        <v>1030</v>
      </c>
    </row>
    <row r="2536" spans="1:5" x14ac:dyDescent="0.25">
      <c r="A2536" t="s">
        <v>1</v>
      </c>
      <c r="B2536" t="s">
        <v>19</v>
      </c>
      <c r="C2536" t="s">
        <v>23490</v>
      </c>
      <c r="D2536" t="str">
        <f>HYPERLINK("https://rhld.insurance.arkansas.gov/NPILookup?Npi=1295056687","1295056687")</f>
        <v>1295056687</v>
      </c>
      <c r="E2536" t="s">
        <v>19588</v>
      </c>
    </row>
    <row r="2537" spans="1:5" x14ac:dyDescent="0.25">
      <c r="A2537" t="s">
        <v>1</v>
      </c>
      <c r="B2537" t="s">
        <v>19</v>
      </c>
      <c r="C2537" t="s">
        <v>23490</v>
      </c>
      <c r="D2537" t="str">
        <f>HYPERLINK("https://rhld.insurance.arkansas.gov/NPILookup?Npi=1295071041","1295071041")</f>
        <v>1295071041</v>
      </c>
      <c r="E2537" t="s">
        <v>14970</v>
      </c>
    </row>
    <row r="2538" spans="1:5" x14ac:dyDescent="0.25">
      <c r="A2538" t="s">
        <v>1</v>
      </c>
      <c r="B2538" t="s">
        <v>19</v>
      </c>
      <c r="C2538" t="s">
        <v>23490</v>
      </c>
      <c r="D2538" t="str">
        <f>HYPERLINK("https://rhld.insurance.arkansas.gov/NPILookup?Npi=1295093532","1295093532")</f>
        <v>1295093532</v>
      </c>
      <c r="E2538" t="s">
        <v>1031</v>
      </c>
    </row>
    <row r="2539" spans="1:5" x14ac:dyDescent="0.25">
      <c r="A2539" t="s">
        <v>1</v>
      </c>
      <c r="B2539" t="s">
        <v>19</v>
      </c>
      <c r="C2539" t="s">
        <v>23490</v>
      </c>
      <c r="D2539" t="str">
        <f>HYPERLINK("https://rhld.insurance.arkansas.gov/NPILookup?Npi=1295098036","1295098036")</f>
        <v>1295098036</v>
      </c>
      <c r="E2539" t="s">
        <v>10803</v>
      </c>
    </row>
    <row r="2540" spans="1:5" x14ac:dyDescent="0.25">
      <c r="A2540" t="s">
        <v>1</v>
      </c>
      <c r="B2540" t="s">
        <v>19</v>
      </c>
      <c r="C2540" t="s">
        <v>23490</v>
      </c>
      <c r="D2540" t="str">
        <f>HYPERLINK("https://rhld.insurance.arkansas.gov/NPILookup?Npi=1295105930","1295105930")</f>
        <v>1295105930</v>
      </c>
      <c r="E2540" t="s">
        <v>8593</v>
      </c>
    </row>
    <row r="2541" spans="1:5" x14ac:dyDescent="0.25">
      <c r="A2541" t="s">
        <v>1</v>
      </c>
      <c r="B2541" t="s">
        <v>19</v>
      </c>
      <c r="C2541" t="s">
        <v>23490</v>
      </c>
      <c r="D2541" t="str">
        <f>HYPERLINK("https://rhld.insurance.arkansas.gov/NPILookup?Npi=1295113272","1295113272")</f>
        <v>1295113272</v>
      </c>
      <c r="E2541" t="s">
        <v>19589</v>
      </c>
    </row>
    <row r="2542" spans="1:5" x14ac:dyDescent="0.25">
      <c r="A2542" t="s">
        <v>1</v>
      </c>
      <c r="B2542" t="s">
        <v>19</v>
      </c>
      <c r="C2542" t="s">
        <v>23490</v>
      </c>
      <c r="D2542" t="str">
        <f>HYPERLINK("https://rhld.insurance.arkansas.gov/NPILookup?Npi=1295117091","1295117091")</f>
        <v>1295117091</v>
      </c>
      <c r="E2542" t="s">
        <v>8594</v>
      </c>
    </row>
    <row r="2543" spans="1:5" x14ac:dyDescent="0.25">
      <c r="A2543" t="s">
        <v>1</v>
      </c>
      <c r="B2543" t="s">
        <v>19</v>
      </c>
      <c r="C2543" t="s">
        <v>23490</v>
      </c>
      <c r="D2543" t="str">
        <f>HYPERLINK("https://rhld.insurance.arkansas.gov/NPILookup?Npi=1295138246","1295138246")</f>
        <v>1295138246</v>
      </c>
      <c r="E2543" t="s">
        <v>10804</v>
      </c>
    </row>
    <row r="2544" spans="1:5" x14ac:dyDescent="0.25">
      <c r="A2544" t="s">
        <v>1</v>
      </c>
      <c r="B2544" t="s">
        <v>19</v>
      </c>
      <c r="C2544" t="s">
        <v>23490</v>
      </c>
      <c r="D2544" t="str">
        <f>HYPERLINK("https://rhld.insurance.arkansas.gov/NPILookup?Npi=1295140374","1295140374")</f>
        <v>1295140374</v>
      </c>
      <c r="E2544" t="s">
        <v>1032</v>
      </c>
    </row>
    <row r="2545" spans="1:5" x14ac:dyDescent="0.25">
      <c r="A2545" t="s">
        <v>1</v>
      </c>
      <c r="B2545" t="s">
        <v>19</v>
      </c>
      <c r="C2545" t="s">
        <v>23490</v>
      </c>
      <c r="D2545" t="str">
        <f>HYPERLINK("https://rhld.insurance.arkansas.gov/NPILookup?Npi=1295144947","1295144947")</f>
        <v>1295144947</v>
      </c>
      <c r="E2545" t="s">
        <v>10805</v>
      </c>
    </row>
    <row r="2546" spans="1:5" x14ac:dyDescent="0.25">
      <c r="A2546" t="s">
        <v>1</v>
      </c>
      <c r="B2546" t="s">
        <v>19</v>
      </c>
      <c r="C2546" t="s">
        <v>23490</v>
      </c>
      <c r="D2546" t="str">
        <f>HYPERLINK("https://rhld.insurance.arkansas.gov/NPILookup?Npi=1295150787","1295150787")</f>
        <v>1295150787</v>
      </c>
      <c r="E2546" t="s">
        <v>1033</v>
      </c>
    </row>
    <row r="2547" spans="1:5" x14ac:dyDescent="0.25">
      <c r="A2547" t="s">
        <v>1</v>
      </c>
      <c r="B2547" t="s">
        <v>19</v>
      </c>
      <c r="C2547" t="s">
        <v>23490</v>
      </c>
      <c r="D2547" t="str">
        <f>HYPERLINK("https://rhld.insurance.arkansas.gov/NPILookup?Npi=1295154300","1295154300")</f>
        <v>1295154300</v>
      </c>
      <c r="E2547" t="s">
        <v>13459</v>
      </c>
    </row>
    <row r="2548" spans="1:5" x14ac:dyDescent="0.25">
      <c r="A2548" t="s">
        <v>1</v>
      </c>
      <c r="B2548" t="s">
        <v>19</v>
      </c>
      <c r="C2548" t="s">
        <v>23490</v>
      </c>
      <c r="D2548" t="str">
        <f>HYPERLINK("https://rhld.insurance.arkansas.gov/NPILookup?Npi=1295154714","1295154714")</f>
        <v>1295154714</v>
      </c>
      <c r="E2548" t="s">
        <v>8595</v>
      </c>
    </row>
    <row r="2549" spans="1:5" x14ac:dyDescent="0.25">
      <c r="A2549" t="s">
        <v>1</v>
      </c>
      <c r="B2549" t="s">
        <v>19</v>
      </c>
      <c r="C2549" t="s">
        <v>23490</v>
      </c>
      <c r="D2549" t="str">
        <f>HYPERLINK("https://rhld.insurance.arkansas.gov/NPILookup?Npi=1295155844","1295155844")</f>
        <v>1295155844</v>
      </c>
      <c r="E2549" t="s">
        <v>10806</v>
      </c>
    </row>
    <row r="2550" spans="1:5" x14ac:dyDescent="0.25">
      <c r="A2550" t="s">
        <v>1</v>
      </c>
      <c r="B2550" t="s">
        <v>19</v>
      </c>
      <c r="C2550" t="s">
        <v>23490</v>
      </c>
      <c r="D2550" t="str">
        <f>HYPERLINK("https://rhld.insurance.arkansas.gov/NPILookup?Npi=1295158913","1295158913")</f>
        <v>1295158913</v>
      </c>
      <c r="E2550" t="s">
        <v>21512</v>
      </c>
    </row>
    <row r="2551" spans="1:5" x14ac:dyDescent="0.25">
      <c r="A2551" t="s">
        <v>1</v>
      </c>
      <c r="B2551" t="s">
        <v>19</v>
      </c>
      <c r="C2551" t="s">
        <v>23490</v>
      </c>
      <c r="D2551" t="str">
        <f>HYPERLINK("https://rhld.insurance.arkansas.gov/NPILookup?Npi=1295169019","1295169019")</f>
        <v>1295169019</v>
      </c>
      <c r="E2551" t="s">
        <v>14971</v>
      </c>
    </row>
    <row r="2552" spans="1:5" x14ac:dyDescent="0.25">
      <c r="A2552" t="s">
        <v>1</v>
      </c>
      <c r="B2552" t="s">
        <v>19</v>
      </c>
      <c r="C2552" t="s">
        <v>23490</v>
      </c>
      <c r="D2552" t="str">
        <f>HYPERLINK("https://rhld.insurance.arkansas.gov/NPILookup?Npi=1295172468","1295172468")</f>
        <v>1295172468</v>
      </c>
      <c r="E2552" t="s">
        <v>1034</v>
      </c>
    </row>
    <row r="2553" spans="1:5" x14ac:dyDescent="0.25">
      <c r="A2553" t="s">
        <v>1</v>
      </c>
      <c r="B2553" t="s">
        <v>19</v>
      </c>
      <c r="C2553" t="s">
        <v>23490</v>
      </c>
      <c r="D2553" t="str">
        <f>HYPERLINK("https://rhld.insurance.arkansas.gov/NPILookup?Npi=1295185106","1295185106")</f>
        <v>1295185106</v>
      </c>
      <c r="E2553" t="s">
        <v>10807</v>
      </c>
    </row>
    <row r="2554" spans="1:5" x14ac:dyDescent="0.25">
      <c r="A2554" t="s">
        <v>1</v>
      </c>
      <c r="B2554" t="s">
        <v>19</v>
      </c>
      <c r="C2554" t="s">
        <v>23490</v>
      </c>
      <c r="D2554" t="str">
        <f>HYPERLINK("https://rhld.insurance.arkansas.gov/NPILookup?Npi=1295192847","1295192847")</f>
        <v>1295192847</v>
      </c>
      <c r="E2554" t="s">
        <v>14972</v>
      </c>
    </row>
    <row r="2555" spans="1:5" x14ac:dyDescent="0.25">
      <c r="A2555" t="s">
        <v>1</v>
      </c>
      <c r="B2555" t="s">
        <v>19</v>
      </c>
      <c r="C2555" t="s">
        <v>23490</v>
      </c>
      <c r="D2555" t="str">
        <f>HYPERLINK("https://rhld.insurance.arkansas.gov/NPILookup?Npi=1295193191","1295193191")</f>
        <v>1295193191</v>
      </c>
      <c r="E2555" t="s">
        <v>8596</v>
      </c>
    </row>
    <row r="2556" spans="1:5" x14ac:dyDescent="0.25">
      <c r="A2556" t="s">
        <v>1</v>
      </c>
      <c r="B2556" t="s">
        <v>19</v>
      </c>
      <c r="C2556" t="s">
        <v>23490</v>
      </c>
      <c r="D2556" t="str">
        <f>HYPERLINK("https://rhld.insurance.arkansas.gov/NPILookup?Npi=1295209500","1295209500")</f>
        <v>1295209500</v>
      </c>
      <c r="E2556" t="s">
        <v>18733</v>
      </c>
    </row>
    <row r="2557" spans="1:5" x14ac:dyDescent="0.25">
      <c r="A2557" t="s">
        <v>1</v>
      </c>
      <c r="B2557" t="s">
        <v>19</v>
      </c>
      <c r="C2557" t="s">
        <v>23490</v>
      </c>
      <c r="D2557" t="str">
        <f>HYPERLINK("https://rhld.insurance.arkansas.gov/NPILookup?Npi=1295218899","1295218899")</f>
        <v>1295218899</v>
      </c>
      <c r="E2557" t="s">
        <v>1973</v>
      </c>
    </row>
    <row r="2558" spans="1:5" x14ac:dyDescent="0.25">
      <c r="A2558" t="s">
        <v>1</v>
      </c>
      <c r="B2558" t="s">
        <v>19</v>
      </c>
      <c r="C2558" t="s">
        <v>23490</v>
      </c>
      <c r="D2558" t="str">
        <f>HYPERLINK("https://rhld.insurance.arkansas.gov/NPILookup?Npi=1295231504","1295231504")</f>
        <v>1295231504</v>
      </c>
      <c r="E2558" t="s">
        <v>19590</v>
      </c>
    </row>
    <row r="2559" spans="1:5" x14ac:dyDescent="0.25">
      <c r="A2559" t="s">
        <v>1</v>
      </c>
      <c r="B2559" t="s">
        <v>19</v>
      </c>
      <c r="C2559" t="s">
        <v>23490</v>
      </c>
      <c r="D2559" t="str">
        <f>HYPERLINK("https://rhld.insurance.arkansas.gov/NPILookup?Npi=1295235331","1295235331")</f>
        <v>1295235331</v>
      </c>
      <c r="E2559" t="s">
        <v>16920</v>
      </c>
    </row>
    <row r="2560" spans="1:5" x14ac:dyDescent="0.25">
      <c r="A2560" t="s">
        <v>1</v>
      </c>
      <c r="B2560" t="s">
        <v>19</v>
      </c>
      <c r="C2560" t="s">
        <v>23490</v>
      </c>
      <c r="D2560" t="str">
        <f>HYPERLINK("https://rhld.insurance.arkansas.gov/NPILookup?Npi=1295239408","1295239408")</f>
        <v>1295239408</v>
      </c>
      <c r="E2560" t="s">
        <v>18734</v>
      </c>
    </row>
    <row r="2561" spans="1:5" x14ac:dyDescent="0.25">
      <c r="A2561" t="s">
        <v>1</v>
      </c>
      <c r="B2561" t="s">
        <v>19</v>
      </c>
      <c r="C2561" t="s">
        <v>23490</v>
      </c>
      <c r="D2561" t="str">
        <f>HYPERLINK("https://rhld.insurance.arkansas.gov/NPILookup?Npi=1295259224","1295259224")</f>
        <v>1295259224</v>
      </c>
      <c r="E2561" t="s">
        <v>14973</v>
      </c>
    </row>
    <row r="2562" spans="1:5" x14ac:dyDescent="0.25">
      <c r="A2562" t="s">
        <v>1</v>
      </c>
      <c r="B2562" t="s">
        <v>19</v>
      </c>
      <c r="C2562" t="s">
        <v>23490</v>
      </c>
      <c r="D2562" t="str">
        <f>HYPERLINK("https://rhld.insurance.arkansas.gov/NPILookup?Npi=1295260073","1295260073")</f>
        <v>1295260073</v>
      </c>
      <c r="E2562" t="s">
        <v>10809</v>
      </c>
    </row>
    <row r="2563" spans="1:5" x14ac:dyDescent="0.25">
      <c r="A2563" t="s">
        <v>1</v>
      </c>
      <c r="B2563" t="s">
        <v>19</v>
      </c>
      <c r="C2563" t="s">
        <v>23490</v>
      </c>
      <c r="D2563" t="str">
        <f>HYPERLINK("https://rhld.insurance.arkansas.gov/NPILookup?Npi=1295276285","1295276285")</f>
        <v>1295276285</v>
      </c>
      <c r="E2563" t="s">
        <v>13460</v>
      </c>
    </row>
    <row r="2564" spans="1:5" x14ac:dyDescent="0.25">
      <c r="A2564" t="s">
        <v>1</v>
      </c>
      <c r="B2564" t="s">
        <v>19</v>
      </c>
      <c r="C2564" t="s">
        <v>23490</v>
      </c>
      <c r="D2564" t="str">
        <f>HYPERLINK("https://rhld.insurance.arkansas.gov/NPILookup?Npi=1295288983","1295288983")</f>
        <v>1295288983</v>
      </c>
      <c r="E2564" t="s">
        <v>10810</v>
      </c>
    </row>
    <row r="2565" spans="1:5" x14ac:dyDescent="0.25">
      <c r="A2565" t="s">
        <v>1</v>
      </c>
      <c r="B2565" t="s">
        <v>19</v>
      </c>
      <c r="C2565" t="s">
        <v>23490</v>
      </c>
      <c r="D2565" t="str">
        <f>HYPERLINK("https://rhld.insurance.arkansas.gov/NPILookup?Npi=1295292332","1295292332")</f>
        <v>1295292332</v>
      </c>
      <c r="E2565" t="s">
        <v>19591</v>
      </c>
    </row>
    <row r="2566" spans="1:5" x14ac:dyDescent="0.25">
      <c r="A2566" t="s">
        <v>1</v>
      </c>
      <c r="B2566" t="s">
        <v>19</v>
      </c>
      <c r="C2566" t="s">
        <v>23490</v>
      </c>
      <c r="D2566" t="str">
        <f>HYPERLINK("https://rhld.insurance.arkansas.gov/NPILookup?Npi=1295310795","1295310795")</f>
        <v>1295310795</v>
      </c>
      <c r="E2566" t="s">
        <v>18735</v>
      </c>
    </row>
    <row r="2567" spans="1:5" x14ac:dyDescent="0.25">
      <c r="A2567" t="s">
        <v>1</v>
      </c>
      <c r="B2567" t="s">
        <v>19</v>
      </c>
      <c r="C2567" t="s">
        <v>23490</v>
      </c>
      <c r="D2567" t="str">
        <f>HYPERLINK("https://rhld.insurance.arkansas.gov/NPILookup?Npi=1295310985","1295310985")</f>
        <v>1295310985</v>
      </c>
      <c r="E2567" t="s">
        <v>19592</v>
      </c>
    </row>
    <row r="2568" spans="1:5" x14ac:dyDescent="0.25">
      <c r="A2568" t="s">
        <v>1</v>
      </c>
      <c r="B2568" t="s">
        <v>19</v>
      </c>
      <c r="C2568" t="s">
        <v>23490</v>
      </c>
      <c r="D2568" t="str">
        <f>HYPERLINK("https://rhld.insurance.arkansas.gov/NPILookup?Npi=1295311280","1295311280")</f>
        <v>1295311280</v>
      </c>
      <c r="E2568" t="s">
        <v>19593</v>
      </c>
    </row>
    <row r="2569" spans="1:5" x14ac:dyDescent="0.25">
      <c r="A2569" t="s">
        <v>1</v>
      </c>
      <c r="B2569" t="s">
        <v>19</v>
      </c>
      <c r="C2569" t="s">
        <v>23490</v>
      </c>
      <c r="D2569" t="str">
        <f>HYPERLINK("https://rhld.insurance.arkansas.gov/NPILookup?Npi=1295324481","1295324481")</f>
        <v>1295324481</v>
      </c>
      <c r="E2569" t="s">
        <v>17937</v>
      </c>
    </row>
    <row r="2570" spans="1:5" x14ac:dyDescent="0.25">
      <c r="A2570" t="s">
        <v>1</v>
      </c>
      <c r="B2570" t="s">
        <v>19</v>
      </c>
      <c r="C2570" t="s">
        <v>23490</v>
      </c>
      <c r="D2570" t="str">
        <f>HYPERLINK("https://rhld.insurance.arkansas.gov/NPILookup?Npi=1295329761","1295329761")</f>
        <v>1295329761</v>
      </c>
      <c r="E2570" t="s">
        <v>17938</v>
      </c>
    </row>
    <row r="2571" spans="1:5" x14ac:dyDescent="0.25">
      <c r="A2571" t="s">
        <v>1</v>
      </c>
      <c r="B2571" t="s">
        <v>19</v>
      </c>
      <c r="C2571" t="s">
        <v>23490</v>
      </c>
      <c r="D2571" t="str">
        <f>HYPERLINK("https://rhld.insurance.arkansas.gov/NPILookup?Npi=1295344968","1295344968")</f>
        <v>1295344968</v>
      </c>
      <c r="E2571" t="s">
        <v>19594</v>
      </c>
    </row>
    <row r="2572" spans="1:5" x14ac:dyDescent="0.25">
      <c r="A2572" t="s">
        <v>1</v>
      </c>
      <c r="B2572" t="s">
        <v>19</v>
      </c>
      <c r="C2572" t="s">
        <v>23490</v>
      </c>
      <c r="D2572" t="str">
        <f>HYPERLINK("https://rhld.insurance.arkansas.gov/NPILookup?Npi=1295348027","1295348027")</f>
        <v>1295348027</v>
      </c>
      <c r="E2572" t="s">
        <v>19595</v>
      </c>
    </row>
    <row r="2573" spans="1:5" x14ac:dyDescent="0.25">
      <c r="A2573" t="s">
        <v>1</v>
      </c>
      <c r="B2573" t="s">
        <v>19</v>
      </c>
      <c r="C2573" t="s">
        <v>23490</v>
      </c>
      <c r="D2573" t="str">
        <f>HYPERLINK("https://rhld.insurance.arkansas.gov/NPILookup?Npi=1295360360","1295360360")</f>
        <v>1295360360</v>
      </c>
      <c r="E2573" t="s">
        <v>19596</v>
      </c>
    </row>
    <row r="2574" spans="1:5" x14ac:dyDescent="0.25">
      <c r="A2574" t="s">
        <v>1</v>
      </c>
      <c r="B2574" t="s">
        <v>19</v>
      </c>
      <c r="C2574" t="s">
        <v>23490</v>
      </c>
      <c r="D2574" t="str">
        <f>HYPERLINK("https://rhld.insurance.arkansas.gov/NPILookup?Npi=1295364263","1295364263")</f>
        <v>1295364263</v>
      </c>
      <c r="E2574" t="s">
        <v>17939</v>
      </c>
    </row>
    <row r="2575" spans="1:5" x14ac:dyDescent="0.25">
      <c r="A2575" t="s">
        <v>1</v>
      </c>
      <c r="B2575" t="s">
        <v>19</v>
      </c>
      <c r="C2575" t="s">
        <v>23490</v>
      </c>
      <c r="D2575" t="str">
        <f>HYPERLINK("https://rhld.insurance.arkansas.gov/NPILookup?Npi=1295372233","1295372233")</f>
        <v>1295372233</v>
      </c>
      <c r="E2575" t="s">
        <v>18736</v>
      </c>
    </row>
    <row r="2576" spans="1:5" x14ac:dyDescent="0.25">
      <c r="A2576" t="s">
        <v>1</v>
      </c>
      <c r="B2576" t="s">
        <v>19</v>
      </c>
      <c r="C2576" t="s">
        <v>23490</v>
      </c>
      <c r="D2576" t="str">
        <f>HYPERLINK("https://rhld.insurance.arkansas.gov/NPILookup?Npi=1295390136","1295390136")</f>
        <v>1295390136</v>
      </c>
      <c r="E2576" t="s">
        <v>14974</v>
      </c>
    </row>
    <row r="2577" spans="1:5" x14ac:dyDescent="0.25">
      <c r="A2577" t="s">
        <v>1</v>
      </c>
      <c r="B2577" t="s">
        <v>19</v>
      </c>
      <c r="C2577" t="s">
        <v>23490</v>
      </c>
      <c r="D2577" t="str">
        <f>HYPERLINK("https://rhld.insurance.arkansas.gov/NPILookup?Npi=1295398865","1295398865")</f>
        <v>1295398865</v>
      </c>
      <c r="E2577" t="s">
        <v>20922</v>
      </c>
    </row>
    <row r="2578" spans="1:5" x14ac:dyDescent="0.25">
      <c r="A2578" t="s">
        <v>1</v>
      </c>
      <c r="B2578" t="s">
        <v>19</v>
      </c>
      <c r="C2578" t="s">
        <v>23490</v>
      </c>
      <c r="D2578" t="str">
        <f>HYPERLINK("https://rhld.insurance.arkansas.gov/NPILookup?Npi=1295405421","1295405421")</f>
        <v>1295405421</v>
      </c>
      <c r="E2578" t="s">
        <v>19597</v>
      </c>
    </row>
    <row r="2579" spans="1:5" x14ac:dyDescent="0.25">
      <c r="A2579" t="s">
        <v>1</v>
      </c>
      <c r="B2579" t="s">
        <v>19</v>
      </c>
      <c r="C2579" t="s">
        <v>23490</v>
      </c>
      <c r="D2579" t="str">
        <f>HYPERLINK("https://rhld.insurance.arkansas.gov/NPILookup?Npi=1295708428","1295708428")</f>
        <v>1295708428</v>
      </c>
      <c r="E2579" t="s">
        <v>1035</v>
      </c>
    </row>
    <row r="2580" spans="1:5" x14ac:dyDescent="0.25">
      <c r="A2580" t="s">
        <v>1</v>
      </c>
      <c r="B2580" t="s">
        <v>19</v>
      </c>
      <c r="C2580" t="s">
        <v>23490</v>
      </c>
      <c r="D2580" t="str">
        <f>HYPERLINK("https://rhld.insurance.arkansas.gov/NPILookup?Npi=1295718294","1295718294")</f>
        <v>1295718294</v>
      </c>
      <c r="E2580" t="s">
        <v>16921</v>
      </c>
    </row>
    <row r="2581" spans="1:5" x14ac:dyDescent="0.25">
      <c r="A2581" t="s">
        <v>1</v>
      </c>
      <c r="B2581" t="s">
        <v>19</v>
      </c>
      <c r="C2581" t="s">
        <v>23490</v>
      </c>
      <c r="D2581" t="str">
        <f>HYPERLINK("https://rhld.insurance.arkansas.gov/NPILookup?Npi=1295722668","1295722668")</f>
        <v>1295722668</v>
      </c>
      <c r="E2581" t="s">
        <v>1036</v>
      </c>
    </row>
    <row r="2582" spans="1:5" x14ac:dyDescent="0.25">
      <c r="A2582" t="s">
        <v>1</v>
      </c>
      <c r="B2582" t="s">
        <v>19</v>
      </c>
      <c r="C2582" t="s">
        <v>23490</v>
      </c>
      <c r="D2582" t="str">
        <f>HYPERLINK("https://rhld.insurance.arkansas.gov/NPILookup?Npi=1295723955","1295723955")</f>
        <v>1295723955</v>
      </c>
      <c r="E2582" t="s">
        <v>1037</v>
      </c>
    </row>
    <row r="2583" spans="1:5" x14ac:dyDescent="0.25">
      <c r="A2583" t="s">
        <v>1</v>
      </c>
      <c r="B2583" t="s">
        <v>19</v>
      </c>
      <c r="C2583" t="s">
        <v>23490</v>
      </c>
      <c r="D2583" t="str">
        <f>HYPERLINK("https://rhld.insurance.arkansas.gov/NPILookup?Npi=1295727071","1295727071")</f>
        <v>1295727071</v>
      </c>
      <c r="E2583" t="s">
        <v>12813</v>
      </c>
    </row>
    <row r="2584" spans="1:5" x14ac:dyDescent="0.25">
      <c r="A2584" t="s">
        <v>1</v>
      </c>
      <c r="B2584" t="s">
        <v>19</v>
      </c>
      <c r="C2584" t="s">
        <v>23490</v>
      </c>
      <c r="D2584" t="str">
        <f>HYPERLINK("https://rhld.insurance.arkansas.gov/NPILookup?Npi=1295727477","1295727477")</f>
        <v>1295727477</v>
      </c>
      <c r="E2584" t="s">
        <v>1038</v>
      </c>
    </row>
    <row r="2585" spans="1:5" x14ac:dyDescent="0.25">
      <c r="A2585" t="s">
        <v>1</v>
      </c>
      <c r="B2585" t="s">
        <v>19</v>
      </c>
      <c r="C2585" t="s">
        <v>23490</v>
      </c>
      <c r="D2585" t="str">
        <f>HYPERLINK("https://rhld.insurance.arkansas.gov/NPILookup?Npi=1295731545","1295731545")</f>
        <v>1295731545</v>
      </c>
      <c r="E2585" t="s">
        <v>1039</v>
      </c>
    </row>
    <row r="2586" spans="1:5" x14ac:dyDescent="0.25">
      <c r="A2586" t="s">
        <v>1</v>
      </c>
      <c r="B2586" t="s">
        <v>19</v>
      </c>
      <c r="C2586" t="s">
        <v>23490</v>
      </c>
      <c r="D2586" t="str">
        <f>HYPERLINK("https://rhld.insurance.arkansas.gov/NPILookup?Npi=1295732758","1295732758")</f>
        <v>1295732758</v>
      </c>
      <c r="E2586" t="s">
        <v>1040</v>
      </c>
    </row>
    <row r="2587" spans="1:5" x14ac:dyDescent="0.25">
      <c r="A2587" t="s">
        <v>1</v>
      </c>
      <c r="B2587" t="s">
        <v>19</v>
      </c>
      <c r="C2587" t="s">
        <v>23490</v>
      </c>
      <c r="D2587" t="str">
        <f>HYPERLINK("https://rhld.insurance.arkansas.gov/NPILookup?Npi=1295732816","1295732816")</f>
        <v>1295732816</v>
      </c>
      <c r="E2587" t="s">
        <v>1041</v>
      </c>
    </row>
    <row r="2588" spans="1:5" x14ac:dyDescent="0.25">
      <c r="A2588" t="s">
        <v>1</v>
      </c>
      <c r="B2588" t="s">
        <v>19</v>
      </c>
      <c r="C2588" t="s">
        <v>23490</v>
      </c>
      <c r="D2588" t="str">
        <f>HYPERLINK("https://rhld.insurance.arkansas.gov/NPILookup?Npi=1295735959","1295735959")</f>
        <v>1295735959</v>
      </c>
      <c r="E2588" t="s">
        <v>10811</v>
      </c>
    </row>
    <row r="2589" spans="1:5" x14ac:dyDescent="0.25">
      <c r="A2589" t="s">
        <v>1</v>
      </c>
      <c r="B2589" t="s">
        <v>19</v>
      </c>
      <c r="C2589" t="s">
        <v>23490</v>
      </c>
      <c r="D2589" t="str">
        <f>HYPERLINK("https://rhld.insurance.arkansas.gov/NPILookup?Npi=1295738128","1295738128")</f>
        <v>1295738128</v>
      </c>
      <c r="E2589" t="s">
        <v>1043</v>
      </c>
    </row>
    <row r="2590" spans="1:5" x14ac:dyDescent="0.25">
      <c r="A2590" t="s">
        <v>1</v>
      </c>
      <c r="B2590" t="s">
        <v>19</v>
      </c>
      <c r="C2590" t="s">
        <v>23490</v>
      </c>
      <c r="D2590" t="str">
        <f>HYPERLINK("https://rhld.insurance.arkansas.gov/NPILookup?Npi=1295744134","1295744134")</f>
        <v>1295744134</v>
      </c>
      <c r="E2590" t="s">
        <v>1044</v>
      </c>
    </row>
    <row r="2591" spans="1:5" x14ac:dyDescent="0.25">
      <c r="A2591" t="s">
        <v>1</v>
      </c>
      <c r="B2591" t="s">
        <v>19</v>
      </c>
      <c r="C2591" t="s">
        <v>23490</v>
      </c>
      <c r="D2591" t="str">
        <f>HYPERLINK("https://rhld.insurance.arkansas.gov/NPILookup?Npi=1295747566","1295747566")</f>
        <v>1295747566</v>
      </c>
      <c r="E2591" t="s">
        <v>1045</v>
      </c>
    </row>
    <row r="2592" spans="1:5" x14ac:dyDescent="0.25">
      <c r="A2592" t="s">
        <v>1</v>
      </c>
      <c r="B2592" t="s">
        <v>19</v>
      </c>
      <c r="C2592" t="s">
        <v>23490</v>
      </c>
      <c r="D2592" t="str">
        <f>HYPERLINK("https://rhld.insurance.arkansas.gov/NPILookup?Npi=1295749349","1295749349")</f>
        <v>1295749349</v>
      </c>
      <c r="E2592" t="s">
        <v>14975</v>
      </c>
    </row>
    <row r="2593" spans="1:5" x14ac:dyDescent="0.25">
      <c r="A2593" t="s">
        <v>1</v>
      </c>
      <c r="B2593" t="s">
        <v>19</v>
      </c>
      <c r="C2593" t="s">
        <v>23490</v>
      </c>
      <c r="D2593" t="str">
        <f>HYPERLINK("https://rhld.insurance.arkansas.gov/NPILookup?Npi=1295751709","1295751709")</f>
        <v>1295751709</v>
      </c>
      <c r="E2593" t="s">
        <v>1046</v>
      </c>
    </row>
    <row r="2594" spans="1:5" x14ac:dyDescent="0.25">
      <c r="A2594" t="s">
        <v>1</v>
      </c>
      <c r="B2594" t="s">
        <v>19</v>
      </c>
      <c r="C2594" t="s">
        <v>23490</v>
      </c>
      <c r="D2594" t="str">
        <f>HYPERLINK("https://rhld.insurance.arkansas.gov/NPILookup?Npi=1295752368","1295752368")</f>
        <v>1295752368</v>
      </c>
      <c r="E2594" t="s">
        <v>1047</v>
      </c>
    </row>
    <row r="2595" spans="1:5" x14ac:dyDescent="0.25">
      <c r="A2595" t="s">
        <v>1</v>
      </c>
      <c r="B2595" t="s">
        <v>19</v>
      </c>
      <c r="C2595" t="s">
        <v>23490</v>
      </c>
      <c r="D2595" t="str">
        <f>HYPERLINK("https://rhld.insurance.arkansas.gov/NPILookup?Npi=1295753762","1295753762")</f>
        <v>1295753762</v>
      </c>
      <c r="E2595" t="s">
        <v>1048</v>
      </c>
    </row>
    <row r="2596" spans="1:5" x14ac:dyDescent="0.25">
      <c r="A2596" t="s">
        <v>1</v>
      </c>
      <c r="B2596" t="s">
        <v>19</v>
      </c>
      <c r="C2596" t="s">
        <v>23490</v>
      </c>
      <c r="D2596" t="str">
        <f>HYPERLINK("https://rhld.insurance.arkansas.gov/NPILookup?Npi=1295759629","1295759629")</f>
        <v>1295759629</v>
      </c>
      <c r="E2596" t="s">
        <v>1049</v>
      </c>
    </row>
    <row r="2597" spans="1:5" x14ac:dyDescent="0.25">
      <c r="A2597" t="s">
        <v>1</v>
      </c>
      <c r="B2597" t="s">
        <v>19</v>
      </c>
      <c r="C2597" t="s">
        <v>23490</v>
      </c>
      <c r="D2597" t="str">
        <f>HYPERLINK("https://rhld.insurance.arkansas.gov/NPILookup?Npi=1295766871","1295766871")</f>
        <v>1295766871</v>
      </c>
      <c r="E2597" t="s">
        <v>16922</v>
      </c>
    </row>
    <row r="2598" spans="1:5" x14ac:dyDescent="0.25">
      <c r="A2598" t="s">
        <v>1</v>
      </c>
      <c r="B2598" t="s">
        <v>19</v>
      </c>
      <c r="C2598" t="s">
        <v>23490</v>
      </c>
      <c r="D2598" t="str">
        <f>HYPERLINK("https://rhld.insurance.arkansas.gov/NPILookup?Npi=1295776045","1295776045")</f>
        <v>1295776045</v>
      </c>
      <c r="E2598" t="s">
        <v>14976</v>
      </c>
    </row>
    <row r="2599" spans="1:5" x14ac:dyDescent="0.25">
      <c r="A2599" t="s">
        <v>1</v>
      </c>
      <c r="B2599" t="s">
        <v>19</v>
      </c>
      <c r="C2599" t="s">
        <v>23490</v>
      </c>
      <c r="D2599" t="str">
        <f>HYPERLINK("https://rhld.insurance.arkansas.gov/NPILookup?Npi=1295780690","1295780690")</f>
        <v>1295780690</v>
      </c>
      <c r="E2599" t="s">
        <v>1050</v>
      </c>
    </row>
    <row r="2600" spans="1:5" x14ac:dyDescent="0.25">
      <c r="A2600" t="s">
        <v>1</v>
      </c>
      <c r="B2600" t="s">
        <v>19</v>
      </c>
      <c r="C2600" t="s">
        <v>23490</v>
      </c>
      <c r="D2600" t="str">
        <f>HYPERLINK("https://rhld.insurance.arkansas.gov/NPILookup?Npi=1295781987","1295781987")</f>
        <v>1295781987</v>
      </c>
      <c r="E2600" t="s">
        <v>8597</v>
      </c>
    </row>
    <row r="2601" spans="1:5" x14ac:dyDescent="0.25">
      <c r="A2601" t="s">
        <v>1</v>
      </c>
      <c r="B2601" t="s">
        <v>19</v>
      </c>
      <c r="C2601" t="s">
        <v>23490</v>
      </c>
      <c r="D2601" t="str">
        <f>HYPERLINK("https://rhld.insurance.arkansas.gov/NPILookup?Npi=1295783322","1295783322")</f>
        <v>1295783322</v>
      </c>
      <c r="E2601" t="s">
        <v>14977</v>
      </c>
    </row>
    <row r="2602" spans="1:5" x14ac:dyDescent="0.25">
      <c r="A2602" t="s">
        <v>1</v>
      </c>
      <c r="B2602" t="s">
        <v>19</v>
      </c>
      <c r="C2602" t="s">
        <v>23490</v>
      </c>
      <c r="D2602" t="str">
        <f>HYPERLINK("https://rhld.insurance.arkansas.gov/NPILookup?Npi=1295791523","1295791523")</f>
        <v>1295791523</v>
      </c>
      <c r="E2602" t="s">
        <v>1051</v>
      </c>
    </row>
    <row r="2603" spans="1:5" x14ac:dyDescent="0.25">
      <c r="A2603" t="s">
        <v>1</v>
      </c>
      <c r="B2603" t="s">
        <v>19</v>
      </c>
      <c r="C2603" t="s">
        <v>23490</v>
      </c>
      <c r="D2603" t="str">
        <f>HYPERLINK("https://rhld.insurance.arkansas.gov/NPILookup?Npi=1295794857","1295794857")</f>
        <v>1295794857</v>
      </c>
      <c r="E2603" t="s">
        <v>1052</v>
      </c>
    </row>
    <row r="2604" spans="1:5" x14ac:dyDescent="0.25">
      <c r="A2604" t="s">
        <v>1</v>
      </c>
      <c r="B2604" t="s">
        <v>19</v>
      </c>
      <c r="C2604" t="s">
        <v>23490</v>
      </c>
      <c r="D2604" t="str">
        <f>HYPERLINK("https://rhld.insurance.arkansas.gov/NPILookup?Npi=1295796720","1295796720")</f>
        <v>1295796720</v>
      </c>
      <c r="E2604" t="s">
        <v>1053</v>
      </c>
    </row>
    <row r="2605" spans="1:5" x14ac:dyDescent="0.25">
      <c r="A2605" t="s">
        <v>1</v>
      </c>
      <c r="B2605" t="s">
        <v>19</v>
      </c>
      <c r="C2605" t="s">
        <v>23490</v>
      </c>
      <c r="D2605" t="str">
        <f>HYPERLINK("https://rhld.insurance.arkansas.gov/NPILookup?Npi=1295798510","1295798510")</f>
        <v>1295798510</v>
      </c>
      <c r="E2605" t="s">
        <v>19598</v>
      </c>
    </row>
    <row r="2606" spans="1:5" x14ac:dyDescent="0.25">
      <c r="A2606" t="s">
        <v>1</v>
      </c>
      <c r="B2606" t="s">
        <v>19</v>
      </c>
      <c r="C2606" t="s">
        <v>23490</v>
      </c>
      <c r="D2606" t="str">
        <f>HYPERLINK("https://rhld.insurance.arkansas.gov/NPILookup?Npi=1295822823","1295822823")</f>
        <v>1295822823</v>
      </c>
      <c r="E2606" t="s">
        <v>14978</v>
      </c>
    </row>
    <row r="2607" spans="1:5" x14ac:dyDescent="0.25">
      <c r="A2607" t="s">
        <v>1</v>
      </c>
      <c r="B2607" t="s">
        <v>19</v>
      </c>
      <c r="C2607" t="s">
        <v>23490</v>
      </c>
      <c r="D2607" t="str">
        <f>HYPERLINK("https://rhld.insurance.arkansas.gov/NPILookup?Npi=1295828614","1295828614")</f>
        <v>1295828614</v>
      </c>
      <c r="E2607" t="s">
        <v>14979</v>
      </c>
    </row>
    <row r="2608" spans="1:5" x14ac:dyDescent="0.25">
      <c r="A2608" t="s">
        <v>1</v>
      </c>
      <c r="B2608" t="s">
        <v>19</v>
      </c>
      <c r="C2608" t="s">
        <v>23490</v>
      </c>
      <c r="D2608" t="str">
        <f>HYPERLINK("https://rhld.insurance.arkansas.gov/NPILookup?Npi=1295833739","1295833739")</f>
        <v>1295833739</v>
      </c>
      <c r="E2608" t="s">
        <v>1054</v>
      </c>
    </row>
    <row r="2609" spans="1:5" x14ac:dyDescent="0.25">
      <c r="A2609" t="s">
        <v>1</v>
      </c>
      <c r="B2609" t="s">
        <v>19</v>
      </c>
      <c r="C2609" t="s">
        <v>23490</v>
      </c>
      <c r="D2609" t="str">
        <f>HYPERLINK("https://rhld.insurance.arkansas.gov/NPILookup?Npi=1295835684","1295835684")</f>
        <v>1295835684</v>
      </c>
      <c r="E2609" t="s">
        <v>1055</v>
      </c>
    </row>
    <row r="2610" spans="1:5" x14ac:dyDescent="0.25">
      <c r="A2610" t="s">
        <v>1</v>
      </c>
      <c r="B2610" t="s">
        <v>19</v>
      </c>
      <c r="C2610" t="s">
        <v>23490</v>
      </c>
      <c r="D2610" t="str">
        <f>HYPERLINK("https://rhld.insurance.arkansas.gov/NPILookup?Npi=1295839397","1295839397")</f>
        <v>1295839397</v>
      </c>
      <c r="E2610" t="s">
        <v>1056</v>
      </c>
    </row>
    <row r="2611" spans="1:5" x14ac:dyDescent="0.25">
      <c r="A2611" t="s">
        <v>1</v>
      </c>
      <c r="B2611" t="s">
        <v>19</v>
      </c>
      <c r="C2611" t="s">
        <v>23490</v>
      </c>
      <c r="D2611" t="str">
        <f>HYPERLINK("https://rhld.insurance.arkansas.gov/NPILookup?Npi=1295840569","1295840569")</f>
        <v>1295840569</v>
      </c>
      <c r="E2611" t="s">
        <v>1057</v>
      </c>
    </row>
    <row r="2612" spans="1:5" x14ac:dyDescent="0.25">
      <c r="A2612" t="s">
        <v>1</v>
      </c>
      <c r="B2612" t="s">
        <v>19</v>
      </c>
      <c r="C2612" t="s">
        <v>23490</v>
      </c>
      <c r="D2612" t="str">
        <f>HYPERLINK("https://rhld.insurance.arkansas.gov/NPILookup?Npi=1295863488","1295863488")</f>
        <v>1295863488</v>
      </c>
      <c r="E2612" t="s">
        <v>1058</v>
      </c>
    </row>
    <row r="2613" spans="1:5" x14ac:dyDescent="0.25">
      <c r="A2613" t="s">
        <v>1</v>
      </c>
      <c r="B2613" t="s">
        <v>19</v>
      </c>
      <c r="C2613" t="s">
        <v>23490</v>
      </c>
      <c r="D2613" t="str">
        <f>HYPERLINK("https://rhld.insurance.arkansas.gov/NPILookup?Npi=1295894442","1295894442")</f>
        <v>1295894442</v>
      </c>
      <c r="E2613" t="s">
        <v>1059</v>
      </c>
    </row>
    <row r="2614" spans="1:5" x14ac:dyDescent="0.25">
      <c r="A2614" t="s">
        <v>1</v>
      </c>
      <c r="B2614" t="s">
        <v>19</v>
      </c>
      <c r="C2614" t="s">
        <v>23490</v>
      </c>
      <c r="D2614" t="str">
        <f>HYPERLINK("https://rhld.insurance.arkansas.gov/NPILookup?Npi=1295895597","1295895597")</f>
        <v>1295895597</v>
      </c>
      <c r="E2614" t="s">
        <v>1060</v>
      </c>
    </row>
    <row r="2615" spans="1:5" x14ac:dyDescent="0.25">
      <c r="A2615" t="s">
        <v>1</v>
      </c>
      <c r="B2615" t="s">
        <v>19</v>
      </c>
      <c r="C2615" t="s">
        <v>23490</v>
      </c>
      <c r="D2615" t="str">
        <f>HYPERLINK("https://rhld.insurance.arkansas.gov/NPILookup?Npi=1295901247","1295901247")</f>
        <v>1295901247</v>
      </c>
      <c r="E2615" t="s">
        <v>8598</v>
      </c>
    </row>
    <row r="2616" spans="1:5" x14ac:dyDescent="0.25">
      <c r="A2616" t="s">
        <v>1</v>
      </c>
      <c r="B2616" t="s">
        <v>19</v>
      </c>
      <c r="C2616" t="s">
        <v>23490</v>
      </c>
      <c r="D2616" t="str">
        <f>HYPERLINK("https://rhld.insurance.arkansas.gov/NPILookup?Npi=1295927226","1295927226")</f>
        <v>1295927226</v>
      </c>
      <c r="E2616" t="s">
        <v>1061</v>
      </c>
    </row>
    <row r="2617" spans="1:5" x14ac:dyDescent="0.25">
      <c r="A2617" t="s">
        <v>1</v>
      </c>
      <c r="B2617" t="s">
        <v>19</v>
      </c>
      <c r="C2617" t="s">
        <v>23490</v>
      </c>
      <c r="D2617" t="str">
        <f>HYPERLINK("https://rhld.insurance.arkansas.gov/NPILookup?Npi=1295929628","1295929628")</f>
        <v>1295929628</v>
      </c>
      <c r="E2617" t="s">
        <v>1062</v>
      </c>
    </row>
    <row r="2618" spans="1:5" x14ac:dyDescent="0.25">
      <c r="A2618" t="s">
        <v>1</v>
      </c>
      <c r="B2618" t="s">
        <v>19</v>
      </c>
      <c r="C2618" t="s">
        <v>23490</v>
      </c>
      <c r="D2618" t="str">
        <f>HYPERLINK("https://rhld.insurance.arkansas.gov/NPILookup?Npi=1295935161","1295935161")</f>
        <v>1295935161</v>
      </c>
      <c r="E2618" t="s">
        <v>10812</v>
      </c>
    </row>
    <row r="2619" spans="1:5" x14ac:dyDescent="0.25">
      <c r="A2619" t="s">
        <v>1</v>
      </c>
      <c r="B2619" t="s">
        <v>19</v>
      </c>
      <c r="C2619" t="s">
        <v>23490</v>
      </c>
      <c r="D2619" t="str">
        <f>HYPERLINK("https://rhld.insurance.arkansas.gov/NPILookup?Npi=1295937001","1295937001")</f>
        <v>1295937001</v>
      </c>
      <c r="E2619" t="s">
        <v>1063</v>
      </c>
    </row>
    <row r="2620" spans="1:5" x14ac:dyDescent="0.25">
      <c r="A2620" t="s">
        <v>1</v>
      </c>
      <c r="B2620" t="s">
        <v>19</v>
      </c>
      <c r="C2620" t="s">
        <v>23490</v>
      </c>
      <c r="D2620" t="str">
        <f>HYPERLINK("https://rhld.insurance.arkansas.gov/NPILookup?Npi=1295937936","1295937936")</f>
        <v>1295937936</v>
      </c>
      <c r="E2620" t="s">
        <v>1064</v>
      </c>
    </row>
    <row r="2621" spans="1:5" x14ac:dyDescent="0.25">
      <c r="A2621" t="s">
        <v>1</v>
      </c>
      <c r="B2621" t="s">
        <v>19</v>
      </c>
      <c r="C2621" t="s">
        <v>23490</v>
      </c>
      <c r="D2621" t="str">
        <f>HYPERLINK("https://rhld.insurance.arkansas.gov/NPILookup?Npi=1295956316","1295956316")</f>
        <v>1295956316</v>
      </c>
      <c r="E2621" t="s">
        <v>1065</v>
      </c>
    </row>
    <row r="2622" spans="1:5" x14ac:dyDescent="0.25">
      <c r="A2622" t="s">
        <v>1</v>
      </c>
      <c r="B2622" t="s">
        <v>19</v>
      </c>
      <c r="C2622" t="s">
        <v>23490</v>
      </c>
      <c r="D2622" t="str">
        <f>HYPERLINK("https://rhld.insurance.arkansas.gov/NPILookup?Npi=1295956472","1295956472")</f>
        <v>1295956472</v>
      </c>
      <c r="E2622" t="s">
        <v>1066</v>
      </c>
    </row>
    <row r="2623" spans="1:5" x14ac:dyDescent="0.25">
      <c r="A2623" t="s">
        <v>1</v>
      </c>
      <c r="B2623" t="s">
        <v>19</v>
      </c>
      <c r="C2623" t="s">
        <v>23490</v>
      </c>
      <c r="D2623" t="str">
        <f>HYPERLINK("https://rhld.insurance.arkansas.gov/NPILookup?Npi=1295959922","1295959922")</f>
        <v>1295959922</v>
      </c>
      <c r="E2623" t="s">
        <v>1067</v>
      </c>
    </row>
    <row r="2624" spans="1:5" x14ac:dyDescent="0.25">
      <c r="A2624" t="s">
        <v>1</v>
      </c>
      <c r="B2624" t="s">
        <v>19</v>
      </c>
      <c r="C2624" t="s">
        <v>23490</v>
      </c>
      <c r="D2624" t="str">
        <f>HYPERLINK("https://rhld.insurance.arkansas.gov/NPILookup?Npi=1295960748","1295960748")</f>
        <v>1295960748</v>
      </c>
      <c r="E2624" t="s">
        <v>1068</v>
      </c>
    </row>
    <row r="2625" spans="1:5" x14ac:dyDescent="0.25">
      <c r="A2625" t="s">
        <v>1</v>
      </c>
      <c r="B2625" t="s">
        <v>19</v>
      </c>
      <c r="C2625" t="s">
        <v>23490</v>
      </c>
      <c r="D2625" t="str">
        <f>HYPERLINK("https://rhld.insurance.arkansas.gov/NPILookup?Npi=1295962504","1295962504")</f>
        <v>1295962504</v>
      </c>
      <c r="E2625" t="s">
        <v>1069</v>
      </c>
    </row>
    <row r="2626" spans="1:5" x14ac:dyDescent="0.25">
      <c r="A2626" t="s">
        <v>1</v>
      </c>
      <c r="B2626" t="s">
        <v>19</v>
      </c>
      <c r="C2626" t="s">
        <v>23490</v>
      </c>
      <c r="D2626" t="str">
        <f>HYPERLINK("https://rhld.insurance.arkansas.gov/NPILookup?Npi=1295966695","1295966695")</f>
        <v>1295966695</v>
      </c>
      <c r="E2626" t="s">
        <v>8599</v>
      </c>
    </row>
    <row r="2627" spans="1:5" x14ac:dyDescent="0.25">
      <c r="A2627" t="s">
        <v>1</v>
      </c>
      <c r="B2627" t="s">
        <v>19</v>
      </c>
      <c r="C2627" t="s">
        <v>23490</v>
      </c>
      <c r="D2627" t="str">
        <f>HYPERLINK("https://rhld.insurance.arkansas.gov/NPILookup?Npi=1306018478","1306018478")</f>
        <v>1306018478</v>
      </c>
      <c r="E2627" t="s">
        <v>21513</v>
      </c>
    </row>
    <row r="2628" spans="1:5" x14ac:dyDescent="0.25">
      <c r="A2628" t="s">
        <v>1</v>
      </c>
      <c r="B2628" t="s">
        <v>19</v>
      </c>
      <c r="C2628" t="s">
        <v>23490</v>
      </c>
      <c r="D2628" t="str">
        <f>HYPERLINK("https://rhld.insurance.arkansas.gov/NPILookup?Npi=1306059753","1306059753")</f>
        <v>1306059753</v>
      </c>
      <c r="E2628" t="s">
        <v>1070</v>
      </c>
    </row>
    <row r="2629" spans="1:5" x14ac:dyDescent="0.25">
      <c r="A2629" t="s">
        <v>1</v>
      </c>
      <c r="B2629" t="s">
        <v>19</v>
      </c>
      <c r="C2629" t="s">
        <v>23490</v>
      </c>
      <c r="D2629" t="str">
        <f>HYPERLINK("https://rhld.insurance.arkansas.gov/NPILookup?Npi=1306060561","1306060561")</f>
        <v>1306060561</v>
      </c>
      <c r="E2629" t="s">
        <v>1071</v>
      </c>
    </row>
    <row r="2630" spans="1:5" x14ac:dyDescent="0.25">
      <c r="A2630" t="s">
        <v>1</v>
      </c>
      <c r="B2630" t="s">
        <v>19</v>
      </c>
      <c r="C2630" t="s">
        <v>23490</v>
      </c>
      <c r="D2630" t="str">
        <f>HYPERLINK("https://rhld.insurance.arkansas.gov/NPILookup?Npi=1306085014","1306085014")</f>
        <v>1306085014</v>
      </c>
      <c r="E2630" t="s">
        <v>1072</v>
      </c>
    </row>
    <row r="2631" spans="1:5" x14ac:dyDescent="0.25">
      <c r="A2631" t="s">
        <v>1</v>
      </c>
      <c r="B2631" t="s">
        <v>19</v>
      </c>
      <c r="C2631" t="s">
        <v>23490</v>
      </c>
      <c r="D2631" t="str">
        <f>HYPERLINK("https://rhld.insurance.arkansas.gov/NPILookup?Npi=1306088927","1306088927")</f>
        <v>1306088927</v>
      </c>
      <c r="E2631" t="s">
        <v>1073</v>
      </c>
    </row>
    <row r="2632" spans="1:5" x14ac:dyDescent="0.25">
      <c r="A2632" t="s">
        <v>1</v>
      </c>
      <c r="B2632" t="s">
        <v>19</v>
      </c>
      <c r="C2632" t="s">
        <v>23490</v>
      </c>
      <c r="D2632" t="str">
        <f>HYPERLINK("https://rhld.insurance.arkansas.gov/NPILookup?Npi=1306101050","1306101050")</f>
        <v>1306101050</v>
      </c>
      <c r="E2632" t="s">
        <v>14980</v>
      </c>
    </row>
    <row r="2633" spans="1:5" x14ac:dyDescent="0.25">
      <c r="A2633" t="s">
        <v>1</v>
      </c>
      <c r="B2633" t="s">
        <v>19</v>
      </c>
      <c r="C2633" t="s">
        <v>23490</v>
      </c>
      <c r="D2633" t="str">
        <f>HYPERLINK("https://rhld.insurance.arkansas.gov/NPILookup?Npi=1306108279","1306108279")</f>
        <v>1306108279</v>
      </c>
      <c r="E2633" t="s">
        <v>8600</v>
      </c>
    </row>
    <row r="2634" spans="1:5" x14ac:dyDescent="0.25">
      <c r="A2634" t="s">
        <v>1</v>
      </c>
      <c r="B2634" t="s">
        <v>19</v>
      </c>
      <c r="C2634" t="s">
        <v>23490</v>
      </c>
      <c r="D2634" t="str">
        <f>HYPERLINK("https://rhld.insurance.arkansas.gov/NPILookup?Npi=1306112354","1306112354")</f>
        <v>1306112354</v>
      </c>
      <c r="E2634" t="s">
        <v>8601</v>
      </c>
    </row>
    <row r="2635" spans="1:5" x14ac:dyDescent="0.25">
      <c r="A2635" t="s">
        <v>1</v>
      </c>
      <c r="B2635" t="s">
        <v>19</v>
      </c>
      <c r="C2635" t="s">
        <v>23490</v>
      </c>
      <c r="D2635" t="str">
        <f>HYPERLINK("https://rhld.insurance.arkansas.gov/NPILookup?Npi=1306126263","1306126263")</f>
        <v>1306126263</v>
      </c>
      <c r="E2635" t="s">
        <v>14981</v>
      </c>
    </row>
    <row r="2636" spans="1:5" x14ac:dyDescent="0.25">
      <c r="A2636" t="s">
        <v>1</v>
      </c>
      <c r="B2636" t="s">
        <v>19</v>
      </c>
      <c r="C2636" t="s">
        <v>23490</v>
      </c>
      <c r="D2636" t="str">
        <f>HYPERLINK("https://rhld.insurance.arkansas.gov/NPILookup?Npi=1306130034","1306130034")</f>
        <v>1306130034</v>
      </c>
      <c r="E2636" t="s">
        <v>1074</v>
      </c>
    </row>
    <row r="2637" spans="1:5" x14ac:dyDescent="0.25">
      <c r="A2637" t="s">
        <v>1</v>
      </c>
      <c r="B2637" t="s">
        <v>19</v>
      </c>
      <c r="C2637" t="s">
        <v>23490</v>
      </c>
      <c r="D2637" t="str">
        <f>HYPERLINK("https://rhld.insurance.arkansas.gov/NPILookup?Npi=1306133921","1306133921")</f>
        <v>1306133921</v>
      </c>
      <c r="E2637" t="s">
        <v>1076</v>
      </c>
    </row>
    <row r="2638" spans="1:5" x14ac:dyDescent="0.25">
      <c r="A2638" t="s">
        <v>1</v>
      </c>
      <c r="B2638" t="s">
        <v>19</v>
      </c>
      <c r="C2638" t="s">
        <v>23490</v>
      </c>
      <c r="D2638" t="str">
        <f>HYPERLINK("https://rhld.insurance.arkansas.gov/NPILookup?Npi=1306142336","1306142336")</f>
        <v>1306142336</v>
      </c>
      <c r="E2638" t="s">
        <v>14982</v>
      </c>
    </row>
    <row r="2639" spans="1:5" x14ac:dyDescent="0.25">
      <c r="A2639" t="s">
        <v>1</v>
      </c>
      <c r="B2639" t="s">
        <v>19</v>
      </c>
      <c r="C2639" t="s">
        <v>23490</v>
      </c>
      <c r="D2639" t="str">
        <f>HYPERLINK("https://rhld.insurance.arkansas.gov/NPILookup?Npi=1306144720","1306144720")</f>
        <v>1306144720</v>
      </c>
      <c r="E2639" t="s">
        <v>13462</v>
      </c>
    </row>
    <row r="2640" spans="1:5" x14ac:dyDescent="0.25">
      <c r="A2640" t="s">
        <v>1</v>
      </c>
      <c r="B2640" t="s">
        <v>19</v>
      </c>
      <c r="C2640" t="s">
        <v>23490</v>
      </c>
      <c r="D2640" t="str">
        <f>HYPERLINK("https://rhld.insurance.arkansas.gov/NPILookup?Npi=1306157037","1306157037")</f>
        <v>1306157037</v>
      </c>
      <c r="E2640" t="s">
        <v>8602</v>
      </c>
    </row>
    <row r="2641" spans="1:5" x14ac:dyDescent="0.25">
      <c r="A2641" t="s">
        <v>1</v>
      </c>
      <c r="B2641" t="s">
        <v>19</v>
      </c>
      <c r="C2641" t="s">
        <v>23490</v>
      </c>
      <c r="D2641" t="str">
        <f>HYPERLINK("https://rhld.insurance.arkansas.gov/NPILookup?Npi=1306160262","1306160262")</f>
        <v>1306160262</v>
      </c>
      <c r="E2641" t="s">
        <v>1078</v>
      </c>
    </row>
    <row r="2642" spans="1:5" x14ac:dyDescent="0.25">
      <c r="A2642" t="s">
        <v>1</v>
      </c>
      <c r="B2642" t="s">
        <v>19</v>
      </c>
      <c r="C2642" t="s">
        <v>23490</v>
      </c>
      <c r="D2642" t="str">
        <f>HYPERLINK("https://rhld.insurance.arkansas.gov/NPILookup?Npi=1306176755","1306176755")</f>
        <v>1306176755</v>
      </c>
      <c r="E2642" t="s">
        <v>1079</v>
      </c>
    </row>
    <row r="2643" spans="1:5" x14ac:dyDescent="0.25">
      <c r="A2643" t="s">
        <v>1</v>
      </c>
      <c r="B2643" t="s">
        <v>19</v>
      </c>
      <c r="C2643" t="s">
        <v>23490</v>
      </c>
      <c r="D2643" t="str">
        <f>HYPERLINK("https://rhld.insurance.arkansas.gov/NPILookup?Npi=1306186010","1306186010")</f>
        <v>1306186010</v>
      </c>
      <c r="E2643" t="s">
        <v>1080</v>
      </c>
    </row>
    <row r="2644" spans="1:5" x14ac:dyDescent="0.25">
      <c r="A2644" t="s">
        <v>1</v>
      </c>
      <c r="B2644" t="s">
        <v>19</v>
      </c>
      <c r="C2644" t="s">
        <v>23490</v>
      </c>
      <c r="D2644" t="str">
        <f>HYPERLINK("https://rhld.insurance.arkansas.gov/NPILookup?Npi=1306205414","1306205414")</f>
        <v>1306205414</v>
      </c>
      <c r="E2644" t="s">
        <v>8603</v>
      </c>
    </row>
    <row r="2645" spans="1:5" x14ac:dyDescent="0.25">
      <c r="A2645" t="s">
        <v>1</v>
      </c>
      <c r="B2645" t="s">
        <v>19</v>
      </c>
      <c r="C2645" t="s">
        <v>23490</v>
      </c>
      <c r="D2645" t="str">
        <f>HYPERLINK("https://rhld.insurance.arkansas.gov/NPILookup?Npi=1306205885","1306205885")</f>
        <v>1306205885</v>
      </c>
      <c r="E2645" t="s">
        <v>12814</v>
      </c>
    </row>
    <row r="2646" spans="1:5" x14ac:dyDescent="0.25">
      <c r="A2646" t="s">
        <v>1</v>
      </c>
      <c r="B2646" t="s">
        <v>19</v>
      </c>
      <c r="C2646" t="s">
        <v>23490</v>
      </c>
      <c r="D2646" t="str">
        <f>HYPERLINK("https://rhld.insurance.arkansas.gov/NPILookup?Npi=1306211164","1306211164")</f>
        <v>1306211164</v>
      </c>
      <c r="E2646" t="s">
        <v>14983</v>
      </c>
    </row>
    <row r="2647" spans="1:5" x14ac:dyDescent="0.25">
      <c r="A2647" t="s">
        <v>1</v>
      </c>
      <c r="B2647" t="s">
        <v>19</v>
      </c>
      <c r="C2647" t="s">
        <v>23490</v>
      </c>
      <c r="D2647" t="str">
        <f>HYPERLINK("https://rhld.insurance.arkansas.gov/NPILookup?Npi=1306212543","1306212543")</f>
        <v>1306212543</v>
      </c>
      <c r="E2647" t="s">
        <v>8604</v>
      </c>
    </row>
    <row r="2648" spans="1:5" x14ac:dyDescent="0.25">
      <c r="A2648" t="s">
        <v>1</v>
      </c>
      <c r="B2648" t="s">
        <v>19</v>
      </c>
      <c r="C2648" t="s">
        <v>23490</v>
      </c>
      <c r="D2648" t="str">
        <f>HYPERLINK("https://rhld.insurance.arkansas.gov/NPILookup?Npi=1306224068","1306224068")</f>
        <v>1306224068</v>
      </c>
      <c r="E2648" t="s">
        <v>13463</v>
      </c>
    </row>
    <row r="2649" spans="1:5" x14ac:dyDescent="0.25">
      <c r="A2649" t="s">
        <v>1</v>
      </c>
      <c r="B2649" t="s">
        <v>19</v>
      </c>
      <c r="C2649" t="s">
        <v>23490</v>
      </c>
      <c r="D2649" t="str">
        <f>HYPERLINK("https://rhld.insurance.arkansas.gov/NPILookup?Npi=1306226212","1306226212")</f>
        <v>1306226212</v>
      </c>
      <c r="E2649" t="s">
        <v>19599</v>
      </c>
    </row>
    <row r="2650" spans="1:5" x14ac:dyDescent="0.25">
      <c r="A2650" t="s">
        <v>1</v>
      </c>
      <c r="B2650" t="s">
        <v>19</v>
      </c>
      <c r="C2650" t="s">
        <v>23490</v>
      </c>
      <c r="D2650" t="str">
        <f>HYPERLINK("https://rhld.insurance.arkansas.gov/NPILookup?Npi=1306227434","1306227434")</f>
        <v>1306227434</v>
      </c>
      <c r="E2650" t="s">
        <v>22918</v>
      </c>
    </row>
    <row r="2651" spans="1:5" x14ac:dyDescent="0.25">
      <c r="A2651" t="s">
        <v>1</v>
      </c>
      <c r="B2651" t="s">
        <v>19</v>
      </c>
      <c r="C2651" t="s">
        <v>23490</v>
      </c>
      <c r="D2651" t="str">
        <f>HYPERLINK("https://rhld.insurance.arkansas.gov/NPILookup?Npi=1306230586","1306230586")</f>
        <v>1306230586</v>
      </c>
      <c r="E2651" t="s">
        <v>10813</v>
      </c>
    </row>
    <row r="2652" spans="1:5" x14ac:dyDescent="0.25">
      <c r="A2652" t="s">
        <v>1</v>
      </c>
      <c r="B2652" t="s">
        <v>19</v>
      </c>
      <c r="C2652" t="s">
        <v>23490</v>
      </c>
      <c r="D2652" t="str">
        <f>HYPERLINK("https://rhld.insurance.arkansas.gov/NPILookup?Npi=1306232459","1306232459")</f>
        <v>1306232459</v>
      </c>
      <c r="E2652" t="s">
        <v>10814</v>
      </c>
    </row>
    <row r="2653" spans="1:5" x14ac:dyDescent="0.25">
      <c r="A2653" t="s">
        <v>1</v>
      </c>
      <c r="B2653" t="s">
        <v>19</v>
      </c>
      <c r="C2653" t="s">
        <v>23490</v>
      </c>
      <c r="D2653" t="str">
        <f>HYPERLINK("https://rhld.insurance.arkansas.gov/NPILookup?Npi=1306245345","1306245345")</f>
        <v>1306245345</v>
      </c>
      <c r="E2653" t="s">
        <v>8605</v>
      </c>
    </row>
    <row r="2654" spans="1:5" x14ac:dyDescent="0.25">
      <c r="A2654" t="s">
        <v>1</v>
      </c>
      <c r="B2654" t="s">
        <v>19</v>
      </c>
      <c r="C2654" t="s">
        <v>23490</v>
      </c>
      <c r="D2654" t="str">
        <f>HYPERLINK("https://rhld.insurance.arkansas.gov/NPILookup?Npi=1306250865","1306250865")</f>
        <v>1306250865</v>
      </c>
      <c r="E2654" t="s">
        <v>16923</v>
      </c>
    </row>
    <row r="2655" spans="1:5" x14ac:dyDescent="0.25">
      <c r="A2655" t="s">
        <v>1</v>
      </c>
      <c r="B2655" t="s">
        <v>19</v>
      </c>
      <c r="C2655" t="s">
        <v>23490</v>
      </c>
      <c r="D2655" t="str">
        <f>HYPERLINK("https://rhld.insurance.arkansas.gov/NPILookup?Npi=1306253877","1306253877")</f>
        <v>1306253877</v>
      </c>
      <c r="E2655" t="s">
        <v>10815</v>
      </c>
    </row>
    <row r="2656" spans="1:5" x14ac:dyDescent="0.25">
      <c r="A2656" t="s">
        <v>1</v>
      </c>
      <c r="B2656" t="s">
        <v>19</v>
      </c>
      <c r="C2656" t="s">
        <v>23490</v>
      </c>
      <c r="D2656" t="str">
        <f>HYPERLINK("https://rhld.insurance.arkansas.gov/NPILookup?Npi=1306259866","1306259866")</f>
        <v>1306259866</v>
      </c>
      <c r="E2656" t="s">
        <v>12815</v>
      </c>
    </row>
    <row r="2657" spans="1:5" x14ac:dyDescent="0.25">
      <c r="A2657" t="s">
        <v>1</v>
      </c>
      <c r="B2657" t="s">
        <v>19</v>
      </c>
      <c r="C2657" t="s">
        <v>23490</v>
      </c>
      <c r="D2657" t="str">
        <f>HYPERLINK("https://rhld.insurance.arkansas.gov/NPILookup?Npi=1306277074","1306277074")</f>
        <v>1306277074</v>
      </c>
      <c r="E2657" t="s">
        <v>458</v>
      </c>
    </row>
    <row r="2658" spans="1:5" x14ac:dyDescent="0.25">
      <c r="A2658" t="s">
        <v>1</v>
      </c>
      <c r="B2658" t="s">
        <v>19</v>
      </c>
      <c r="C2658" t="s">
        <v>23490</v>
      </c>
      <c r="D2658" t="str">
        <f>HYPERLINK("https://rhld.insurance.arkansas.gov/NPILookup?Npi=1306283890","1306283890")</f>
        <v>1306283890</v>
      </c>
      <c r="E2658" t="s">
        <v>19600</v>
      </c>
    </row>
    <row r="2659" spans="1:5" x14ac:dyDescent="0.25">
      <c r="A2659" t="s">
        <v>1</v>
      </c>
      <c r="B2659" t="s">
        <v>19</v>
      </c>
      <c r="C2659" t="s">
        <v>23490</v>
      </c>
      <c r="D2659" t="str">
        <f>HYPERLINK("https://rhld.insurance.arkansas.gov/NPILookup?Npi=1306289012","1306289012")</f>
        <v>1306289012</v>
      </c>
      <c r="E2659" t="s">
        <v>1081</v>
      </c>
    </row>
    <row r="2660" spans="1:5" x14ac:dyDescent="0.25">
      <c r="A2660" t="s">
        <v>1</v>
      </c>
      <c r="B2660" t="s">
        <v>19</v>
      </c>
      <c r="C2660" t="s">
        <v>23490</v>
      </c>
      <c r="D2660" t="str">
        <f>HYPERLINK("https://rhld.insurance.arkansas.gov/NPILookup?Npi=1306289608","1306289608")</f>
        <v>1306289608</v>
      </c>
      <c r="E2660" t="s">
        <v>10816</v>
      </c>
    </row>
    <row r="2661" spans="1:5" x14ac:dyDescent="0.25">
      <c r="A2661" t="s">
        <v>1</v>
      </c>
      <c r="B2661" t="s">
        <v>19</v>
      </c>
      <c r="C2661" t="s">
        <v>23490</v>
      </c>
      <c r="D2661" t="str">
        <f>HYPERLINK("https://rhld.insurance.arkansas.gov/NPILookup?Npi=1306297965","1306297965")</f>
        <v>1306297965</v>
      </c>
      <c r="E2661" t="s">
        <v>10817</v>
      </c>
    </row>
    <row r="2662" spans="1:5" x14ac:dyDescent="0.25">
      <c r="A2662" t="s">
        <v>1</v>
      </c>
      <c r="B2662" t="s">
        <v>19</v>
      </c>
      <c r="C2662" t="s">
        <v>23490</v>
      </c>
      <c r="D2662" t="str">
        <f>HYPERLINK("https://rhld.insurance.arkansas.gov/NPILookup?Npi=1306304605","1306304605")</f>
        <v>1306304605</v>
      </c>
      <c r="E2662" t="s">
        <v>19601</v>
      </c>
    </row>
    <row r="2663" spans="1:5" x14ac:dyDescent="0.25">
      <c r="A2663" t="s">
        <v>1</v>
      </c>
      <c r="B2663" t="s">
        <v>19</v>
      </c>
      <c r="C2663" t="s">
        <v>23490</v>
      </c>
      <c r="D2663" t="str">
        <f>HYPERLINK("https://rhld.insurance.arkansas.gov/NPILookup?Npi=1306307657","1306307657")</f>
        <v>1306307657</v>
      </c>
      <c r="E2663" t="s">
        <v>21389</v>
      </c>
    </row>
    <row r="2664" spans="1:5" x14ac:dyDescent="0.25">
      <c r="A2664" t="s">
        <v>1</v>
      </c>
      <c r="B2664" t="s">
        <v>19</v>
      </c>
      <c r="C2664" t="s">
        <v>23490</v>
      </c>
      <c r="D2664" t="str">
        <f>HYPERLINK("https://rhld.insurance.arkansas.gov/NPILookup?Npi=1306322102","1306322102")</f>
        <v>1306322102</v>
      </c>
      <c r="E2664" t="s">
        <v>14985</v>
      </c>
    </row>
    <row r="2665" spans="1:5" x14ac:dyDescent="0.25">
      <c r="A2665" t="s">
        <v>1</v>
      </c>
      <c r="B2665" t="s">
        <v>19</v>
      </c>
      <c r="C2665" t="s">
        <v>23490</v>
      </c>
      <c r="D2665" t="str">
        <f>HYPERLINK("https://rhld.insurance.arkansas.gov/NPILookup?Npi=1306326855","1306326855")</f>
        <v>1306326855</v>
      </c>
      <c r="E2665" t="s">
        <v>13464</v>
      </c>
    </row>
    <row r="2666" spans="1:5" x14ac:dyDescent="0.25">
      <c r="A2666" t="s">
        <v>1</v>
      </c>
      <c r="B2666" t="s">
        <v>19</v>
      </c>
      <c r="C2666" t="s">
        <v>23490</v>
      </c>
      <c r="D2666" t="str">
        <f>HYPERLINK("https://rhld.insurance.arkansas.gov/NPILookup?Npi=1306340393","1306340393")</f>
        <v>1306340393</v>
      </c>
      <c r="E2666" t="s">
        <v>18737</v>
      </c>
    </row>
    <row r="2667" spans="1:5" x14ac:dyDescent="0.25">
      <c r="A2667" t="s">
        <v>1</v>
      </c>
      <c r="B2667" t="s">
        <v>19</v>
      </c>
      <c r="C2667" t="s">
        <v>23490</v>
      </c>
      <c r="D2667" t="str">
        <f>HYPERLINK("https://rhld.insurance.arkansas.gov/NPILookup?Npi=1306349618","1306349618")</f>
        <v>1306349618</v>
      </c>
      <c r="E2667" t="s">
        <v>14986</v>
      </c>
    </row>
    <row r="2668" spans="1:5" x14ac:dyDescent="0.25">
      <c r="A2668" t="s">
        <v>1</v>
      </c>
      <c r="B2668" t="s">
        <v>19</v>
      </c>
      <c r="C2668" t="s">
        <v>23490</v>
      </c>
      <c r="D2668" t="str">
        <f>HYPERLINK("https://rhld.insurance.arkansas.gov/NPILookup?Npi=1306365358","1306365358")</f>
        <v>1306365358</v>
      </c>
      <c r="E2668" t="s">
        <v>10818</v>
      </c>
    </row>
    <row r="2669" spans="1:5" x14ac:dyDescent="0.25">
      <c r="A2669" t="s">
        <v>1</v>
      </c>
      <c r="B2669" t="s">
        <v>19</v>
      </c>
      <c r="C2669" t="s">
        <v>23490</v>
      </c>
      <c r="D2669" t="str">
        <f>HYPERLINK("https://rhld.insurance.arkansas.gov/NPILookup?Npi=1306366984","1306366984")</f>
        <v>1306366984</v>
      </c>
      <c r="E2669" t="s">
        <v>10819</v>
      </c>
    </row>
    <row r="2670" spans="1:5" x14ac:dyDescent="0.25">
      <c r="A2670" t="s">
        <v>1</v>
      </c>
      <c r="B2670" t="s">
        <v>19</v>
      </c>
      <c r="C2670" t="s">
        <v>23490</v>
      </c>
      <c r="D2670" t="str">
        <f>HYPERLINK("https://rhld.insurance.arkansas.gov/NPILookup?Npi=1306368501","1306368501")</f>
        <v>1306368501</v>
      </c>
      <c r="E2670" t="s">
        <v>14987</v>
      </c>
    </row>
    <row r="2671" spans="1:5" x14ac:dyDescent="0.25">
      <c r="A2671" t="s">
        <v>1</v>
      </c>
      <c r="B2671" t="s">
        <v>19</v>
      </c>
      <c r="C2671" t="s">
        <v>23490</v>
      </c>
      <c r="D2671" t="str">
        <f>HYPERLINK("https://rhld.insurance.arkansas.gov/NPILookup?Npi=1306375084","1306375084")</f>
        <v>1306375084</v>
      </c>
      <c r="E2671" t="s">
        <v>18738</v>
      </c>
    </row>
    <row r="2672" spans="1:5" x14ac:dyDescent="0.25">
      <c r="A2672" t="s">
        <v>1</v>
      </c>
      <c r="B2672" t="s">
        <v>19</v>
      </c>
      <c r="C2672" t="s">
        <v>23490</v>
      </c>
      <c r="D2672" t="str">
        <f>HYPERLINK("https://rhld.insurance.arkansas.gov/NPILookup?Npi=1306393061","1306393061")</f>
        <v>1306393061</v>
      </c>
      <c r="E2672" t="s">
        <v>10820</v>
      </c>
    </row>
    <row r="2673" spans="1:5" x14ac:dyDescent="0.25">
      <c r="A2673" t="s">
        <v>1</v>
      </c>
      <c r="B2673" t="s">
        <v>19</v>
      </c>
      <c r="C2673" t="s">
        <v>23490</v>
      </c>
      <c r="D2673" t="str">
        <f>HYPERLINK("https://rhld.insurance.arkansas.gov/NPILookup?Npi=1306393350","1306393350")</f>
        <v>1306393350</v>
      </c>
      <c r="E2673" t="s">
        <v>14988</v>
      </c>
    </row>
    <row r="2674" spans="1:5" x14ac:dyDescent="0.25">
      <c r="A2674" t="s">
        <v>1</v>
      </c>
      <c r="B2674" t="s">
        <v>19</v>
      </c>
      <c r="C2674" t="s">
        <v>23490</v>
      </c>
      <c r="D2674" t="str">
        <f>HYPERLINK("https://rhld.insurance.arkansas.gov/NPILookup?Npi=1306394465","1306394465")</f>
        <v>1306394465</v>
      </c>
      <c r="E2674" t="s">
        <v>10821</v>
      </c>
    </row>
    <row r="2675" spans="1:5" x14ac:dyDescent="0.25">
      <c r="A2675" t="s">
        <v>1</v>
      </c>
      <c r="B2675" t="s">
        <v>19</v>
      </c>
      <c r="C2675" t="s">
        <v>23490</v>
      </c>
      <c r="D2675" t="str">
        <f>HYPERLINK("https://rhld.insurance.arkansas.gov/NPILookup?Npi=1306406806","1306406806")</f>
        <v>1306406806</v>
      </c>
      <c r="E2675" t="s">
        <v>19602</v>
      </c>
    </row>
    <row r="2676" spans="1:5" x14ac:dyDescent="0.25">
      <c r="A2676" t="s">
        <v>1</v>
      </c>
      <c r="B2676" t="s">
        <v>19</v>
      </c>
      <c r="C2676" t="s">
        <v>23490</v>
      </c>
      <c r="D2676" t="str">
        <f>HYPERLINK("https://rhld.insurance.arkansas.gov/NPILookup?Npi=1306409271","1306409271")</f>
        <v>1306409271</v>
      </c>
      <c r="E2676" t="s">
        <v>16924</v>
      </c>
    </row>
    <row r="2677" spans="1:5" x14ac:dyDescent="0.25">
      <c r="A2677" t="s">
        <v>1</v>
      </c>
      <c r="B2677" t="s">
        <v>19</v>
      </c>
      <c r="C2677" t="s">
        <v>23490</v>
      </c>
      <c r="D2677" t="str">
        <f>HYPERLINK("https://rhld.insurance.arkansas.gov/NPILookup?Npi=1306421862","1306421862")</f>
        <v>1306421862</v>
      </c>
      <c r="E2677" t="s">
        <v>19603</v>
      </c>
    </row>
    <row r="2678" spans="1:5" x14ac:dyDescent="0.25">
      <c r="A2678" t="s">
        <v>1</v>
      </c>
      <c r="B2678" t="s">
        <v>19</v>
      </c>
      <c r="C2678" t="s">
        <v>23490</v>
      </c>
      <c r="D2678" t="str">
        <f>HYPERLINK("https://rhld.insurance.arkansas.gov/NPILookup?Npi=1306431887","1306431887")</f>
        <v>1306431887</v>
      </c>
      <c r="E2678" t="s">
        <v>18739</v>
      </c>
    </row>
    <row r="2679" spans="1:5" x14ac:dyDescent="0.25">
      <c r="A2679" t="s">
        <v>1</v>
      </c>
      <c r="B2679" t="s">
        <v>19</v>
      </c>
      <c r="C2679" t="s">
        <v>23490</v>
      </c>
      <c r="D2679" t="str">
        <f>HYPERLINK("https://rhld.insurance.arkansas.gov/NPILookup?Npi=1306437694","1306437694")</f>
        <v>1306437694</v>
      </c>
      <c r="E2679" t="s">
        <v>19604</v>
      </c>
    </row>
    <row r="2680" spans="1:5" x14ac:dyDescent="0.25">
      <c r="A2680" t="s">
        <v>1</v>
      </c>
      <c r="B2680" t="s">
        <v>19</v>
      </c>
      <c r="C2680" t="s">
        <v>23490</v>
      </c>
      <c r="D2680" t="str">
        <f>HYPERLINK("https://rhld.insurance.arkansas.gov/NPILookup?Npi=1306452347","1306452347")</f>
        <v>1306452347</v>
      </c>
      <c r="E2680" t="s">
        <v>17942</v>
      </c>
    </row>
    <row r="2681" spans="1:5" x14ac:dyDescent="0.25">
      <c r="A2681" t="s">
        <v>1</v>
      </c>
      <c r="B2681" t="s">
        <v>19</v>
      </c>
      <c r="C2681" t="s">
        <v>23490</v>
      </c>
      <c r="D2681" t="str">
        <f>HYPERLINK("https://rhld.insurance.arkansas.gov/NPILookup?Npi=1306459516","1306459516")</f>
        <v>1306459516</v>
      </c>
      <c r="E2681" t="s">
        <v>18740</v>
      </c>
    </row>
    <row r="2682" spans="1:5" x14ac:dyDescent="0.25">
      <c r="A2682" t="s">
        <v>1</v>
      </c>
      <c r="B2682" t="s">
        <v>19</v>
      </c>
      <c r="C2682" t="s">
        <v>8427</v>
      </c>
      <c r="D2682" t="str">
        <f>HYPERLINK("https://rhld.insurance.arkansas.gov/NPILookup?Npi=1306475470","1306475470")</f>
        <v>1306475470</v>
      </c>
      <c r="E2682" t="s">
        <v>22919</v>
      </c>
    </row>
    <row r="2683" spans="1:5" x14ac:dyDescent="0.25">
      <c r="A2683" t="s">
        <v>1</v>
      </c>
      <c r="B2683" t="s">
        <v>19</v>
      </c>
      <c r="C2683" t="s">
        <v>23490</v>
      </c>
      <c r="D2683" t="str">
        <f>HYPERLINK("https://rhld.insurance.arkansas.gov/NPILookup?Npi=1306476676","1306476676")</f>
        <v>1306476676</v>
      </c>
      <c r="E2683" t="s">
        <v>17414</v>
      </c>
    </row>
    <row r="2684" spans="1:5" x14ac:dyDescent="0.25">
      <c r="A2684" t="s">
        <v>1</v>
      </c>
      <c r="B2684" t="s">
        <v>19</v>
      </c>
      <c r="C2684" t="s">
        <v>23490</v>
      </c>
      <c r="D2684" t="str">
        <f>HYPERLINK("https://rhld.insurance.arkansas.gov/NPILookup?Npi=1306476957","1306476957")</f>
        <v>1306476957</v>
      </c>
      <c r="E2684" t="s">
        <v>16925</v>
      </c>
    </row>
    <row r="2685" spans="1:5" x14ac:dyDescent="0.25">
      <c r="A2685" t="s">
        <v>1</v>
      </c>
      <c r="B2685" t="s">
        <v>19</v>
      </c>
      <c r="C2685" t="s">
        <v>23490</v>
      </c>
      <c r="D2685" t="str">
        <f>HYPERLINK("https://rhld.insurance.arkansas.gov/NPILookup?Npi=1306489083","1306489083")</f>
        <v>1306489083</v>
      </c>
      <c r="E2685" t="s">
        <v>20923</v>
      </c>
    </row>
    <row r="2686" spans="1:5" x14ac:dyDescent="0.25">
      <c r="A2686" t="s">
        <v>1</v>
      </c>
      <c r="B2686" t="s">
        <v>19</v>
      </c>
      <c r="C2686" t="s">
        <v>23490</v>
      </c>
      <c r="D2686" t="str">
        <f>HYPERLINK("https://rhld.insurance.arkansas.gov/NPILookup?Npi=1306489281","1306489281")</f>
        <v>1306489281</v>
      </c>
      <c r="E2686" t="s">
        <v>17415</v>
      </c>
    </row>
    <row r="2687" spans="1:5" x14ac:dyDescent="0.25">
      <c r="A2687" t="s">
        <v>1</v>
      </c>
      <c r="B2687" t="s">
        <v>19</v>
      </c>
      <c r="C2687" t="s">
        <v>23490</v>
      </c>
      <c r="D2687" t="str">
        <f>HYPERLINK("https://rhld.insurance.arkansas.gov/NPILookup?Npi=1306513635","1306513635")</f>
        <v>1306513635</v>
      </c>
      <c r="E2687" t="s">
        <v>19605</v>
      </c>
    </row>
    <row r="2688" spans="1:5" x14ac:dyDescent="0.25">
      <c r="A2688" t="s">
        <v>1</v>
      </c>
      <c r="B2688" t="s">
        <v>19</v>
      </c>
      <c r="C2688" t="s">
        <v>23490</v>
      </c>
      <c r="D2688" t="str">
        <f>HYPERLINK("https://rhld.insurance.arkansas.gov/NPILookup?Npi=1306514666","1306514666")</f>
        <v>1306514666</v>
      </c>
      <c r="E2688" t="s">
        <v>18741</v>
      </c>
    </row>
    <row r="2689" spans="1:5" x14ac:dyDescent="0.25">
      <c r="A2689" t="s">
        <v>1</v>
      </c>
      <c r="B2689" t="s">
        <v>19</v>
      </c>
      <c r="C2689" t="s">
        <v>23490</v>
      </c>
      <c r="D2689" t="str">
        <f>HYPERLINK("https://rhld.insurance.arkansas.gov/NPILookup?Npi=1306569991","1306569991")</f>
        <v>1306569991</v>
      </c>
      <c r="E2689" t="s">
        <v>20924</v>
      </c>
    </row>
    <row r="2690" spans="1:5" x14ac:dyDescent="0.25">
      <c r="A2690" t="s">
        <v>1</v>
      </c>
      <c r="B2690" t="s">
        <v>19</v>
      </c>
      <c r="C2690" t="s">
        <v>23490</v>
      </c>
      <c r="D2690" t="str">
        <f>HYPERLINK("https://rhld.insurance.arkansas.gov/NPILookup?Npi=1306591391","1306591391")</f>
        <v>1306591391</v>
      </c>
      <c r="E2690" t="s">
        <v>21514</v>
      </c>
    </row>
    <row r="2691" spans="1:5" x14ac:dyDescent="0.25">
      <c r="A2691" t="s">
        <v>1</v>
      </c>
      <c r="B2691" t="s">
        <v>19</v>
      </c>
      <c r="C2691" t="s">
        <v>23490</v>
      </c>
      <c r="D2691" t="str">
        <f>HYPERLINK("https://rhld.insurance.arkansas.gov/NPILookup?Npi=1306801196","1306801196")</f>
        <v>1306801196</v>
      </c>
      <c r="E2691" t="s">
        <v>1082</v>
      </c>
    </row>
    <row r="2692" spans="1:5" x14ac:dyDescent="0.25">
      <c r="A2692" t="s">
        <v>1</v>
      </c>
      <c r="B2692" t="s">
        <v>19</v>
      </c>
      <c r="C2692" t="s">
        <v>23490</v>
      </c>
      <c r="D2692" t="str">
        <f>HYPERLINK("https://rhld.insurance.arkansas.gov/NPILookup?Npi=1306803655","1306803655")</f>
        <v>1306803655</v>
      </c>
      <c r="E2692" t="s">
        <v>1083</v>
      </c>
    </row>
    <row r="2693" spans="1:5" x14ac:dyDescent="0.25">
      <c r="A2693" t="s">
        <v>1</v>
      </c>
      <c r="B2693" t="s">
        <v>19</v>
      </c>
      <c r="C2693" t="s">
        <v>23490</v>
      </c>
      <c r="D2693" t="str">
        <f>HYPERLINK("https://rhld.insurance.arkansas.gov/NPILookup?Npi=1306805379","1306805379")</f>
        <v>1306805379</v>
      </c>
      <c r="E2693" t="s">
        <v>1084</v>
      </c>
    </row>
    <row r="2694" spans="1:5" x14ac:dyDescent="0.25">
      <c r="A2694" t="s">
        <v>1</v>
      </c>
      <c r="B2694" t="s">
        <v>19</v>
      </c>
      <c r="C2694" t="s">
        <v>23490</v>
      </c>
      <c r="D2694" t="str">
        <f>HYPERLINK("https://rhld.insurance.arkansas.gov/NPILookup?Npi=1306806450","1306806450")</f>
        <v>1306806450</v>
      </c>
      <c r="E2694" t="s">
        <v>1085</v>
      </c>
    </row>
    <row r="2695" spans="1:5" x14ac:dyDescent="0.25">
      <c r="A2695" t="s">
        <v>1</v>
      </c>
      <c r="B2695" t="s">
        <v>19</v>
      </c>
      <c r="C2695" t="s">
        <v>23490</v>
      </c>
      <c r="D2695" t="str">
        <f>HYPERLINK("https://rhld.insurance.arkansas.gov/NPILookup?Npi=1306808886","1306808886")</f>
        <v>1306808886</v>
      </c>
      <c r="E2695" t="s">
        <v>1086</v>
      </c>
    </row>
    <row r="2696" spans="1:5" x14ac:dyDescent="0.25">
      <c r="A2696" t="s">
        <v>1</v>
      </c>
      <c r="B2696" t="s">
        <v>19</v>
      </c>
      <c r="C2696" t="s">
        <v>23490</v>
      </c>
      <c r="D2696" t="str">
        <f>HYPERLINK("https://rhld.insurance.arkansas.gov/NPILookup?Npi=1306809124","1306809124")</f>
        <v>1306809124</v>
      </c>
      <c r="E2696" t="s">
        <v>1087</v>
      </c>
    </row>
    <row r="2697" spans="1:5" x14ac:dyDescent="0.25">
      <c r="A2697" t="s">
        <v>1</v>
      </c>
      <c r="B2697" t="s">
        <v>19</v>
      </c>
      <c r="C2697" t="s">
        <v>23490</v>
      </c>
      <c r="D2697" t="str">
        <f>HYPERLINK("https://rhld.insurance.arkansas.gov/NPILookup?Npi=1306810171","1306810171")</f>
        <v>1306810171</v>
      </c>
      <c r="E2697" t="s">
        <v>19606</v>
      </c>
    </row>
    <row r="2698" spans="1:5" x14ac:dyDescent="0.25">
      <c r="A2698" t="s">
        <v>1</v>
      </c>
      <c r="B2698" t="s">
        <v>19</v>
      </c>
      <c r="C2698" t="s">
        <v>23490</v>
      </c>
      <c r="D2698" t="str">
        <f>HYPERLINK("https://rhld.insurance.arkansas.gov/NPILookup?Npi=1306814470","1306814470")</f>
        <v>1306814470</v>
      </c>
      <c r="E2698" t="s">
        <v>1088</v>
      </c>
    </row>
    <row r="2699" spans="1:5" x14ac:dyDescent="0.25">
      <c r="A2699" t="s">
        <v>1</v>
      </c>
      <c r="B2699" t="s">
        <v>19</v>
      </c>
      <c r="C2699" t="s">
        <v>23490</v>
      </c>
      <c r="D2699" t="str">
        <f>HYPERLINK("https://rhld.insurance.arkansas.gov/NPILookup?Npi=1306814546","1306814546")</f>
        <v>1306814546</v>
      </c>
      <c r="E2699" t="s">
        <v>1089</v>
      </c>
    </row>
    <row r="2700" spans="1:5" x14ac:dyDescent="0.25">
      <c r="A2700" t="s">
        <v>1</v>
      </c>
      <c r="B2700" t="s">
        <v>19</v>
      </c>
      <c r="C2700" t="s">
        <v>23490</v>
      </c>
      <c r="D2700" t="str">
        <f>HYPERLINK("https://rhld.insurance.arkansas.gov/NPILookup?Npi=1306816087","1306816087")</f>
        <v>1306816087</v>
      </c>
      <c r="E2700" t="s">
        <v>1090</v>
      </c>
    </row>
    <row r="2701" spans="1:5" x14ac:dyDescent="0.25">
      <c r="A2701" t="s">
        <v>1</v>
      </c>
      <c r="B2701" t="s">
        <v>19</v>
      </c>
      <c r="C2701" t="s">
        <v>23490</v>
      </c>
      <c r="D2701" t="str">
        <f>HYPERLINK("https://rhld.insurance.arkansas.gov/NPILookup?Npi=1306823273","1306823273")</f>
        <v>1306823273</v>
      </c>
      <c r="E2701" t="s">
        <v>14989</v>
      </c>
    </row>
    <row r="2702" spans="1:5" x14ac:dyDescent="0.25">
      <c r="A2702" t="s">
        <v>1</v>
      </c>
      <c r="B2702" t="s">
        <v>19</v>
      </c>
      <c r="C2702" t="s">
        <v>23490</v>
      </c>
      <c r="D2702" t="str">
        <f>HYPERLINK("https://rhld.insurance.arkansas.gov/NPILookup?Npi=1306825120","1306825120")</f>
        <v>1306825120</v>
      </c>
      <c r="E2702" t="s">
        <v>8606</v>
      </c>
    </row>
    <row r="2703" spans="1:5" x14ac:dyDescent="0.25">
      <c r="A2703" t="s">
        <v>1</v>
      </c>
      <c r="B2703" t="s">
        <v>19</v>
      </c>
      <c r="C2703" t="s">
        <v>23490</v>
      </c>
      <c r="D2703" t="str">
        <f>HYPERLINK("https://rhld.insurance.arkansas.gov/NPILookup?Npi=1306825443","1306825443")</f>
        <v>1306825443</v>
      </c>
      <c r="E2703" t="s">
        <v>1091</v>
      </c>
    </row>
    <row r="2704" spans="1:5" x14ac:dyDescent="0.25">
      <c r="A2704" t="s">
        <v>1</v>
      </c>
      <c r="B2704" t="s">
        <v>19</v>
      </c>
      <c r="C2704" t="s">
        <v>23490</v>
      </c>
      <c r="D2704" t="str">
        <f>HYPERLINK("https://rhld.insurance.arkansas.gov/NPILookup?Npi=1306830468","1306830468")</f>
        <v>1306830468</v>
      </c>
      <c r="E2704" t="s">
        <v>1092</v>
      </c>
    </row>
    <row r="2705" spans="1:5" x14ac:dyDescent="0.25">
      <c r="A2705" t="s">
        <v>1</v>
      </c>
      <c r="B2705" t="s">
        <v>19</v>
      </c>
      <c r="C2705" t="s">
        <v>23490</v>
      </c>
      <c r="D2705" t="str">
        <f>HYPERLINK("https://rhld.insurance.arkansas.gov/NPILookup?Npi=1306830575","1306830575")</f>
        <v>1306830575</v>
      </c>
      <c r="E2705" t="s">
        <v>8607</v>
      </c>
    </row>
    <row r="2706" spans="1:5" x14ac:dyDescent="0.25">
      <c r="A2706" t="s">
        <v>1</v>
      </c>
      <c r="B2706" t="s">
        <v>19</v>
      </c>
      <c r="C2706" t="s">
        <v>23490</v>
      </c>
      <c r="D2706" t="str">
        <f>HYPERLINK("https://rhld.insurance.arkansas.gov/NPILookup?Npi=1306832142","1306832142")</f>
        <v>1306832142</v>
      </c>
      <c r="E2706" t="s">
        <v>1093</v>
      </c>
    </row>
    <row r="2707" spans="1:5" x14ac:dyDescent="0.25">
      <c r="A2707" t="s">
        <v>1</v>
      </c>
      <c r="B2707" t="s">
        <v>19</v>
      </c>
      <c r="C2707" t="s">
        <v>23490</v>
      </c>
      <c r="D2707" t="str">
        <f>HYPERLINK("https://rhld.insurance.arkansas.gov/NPILookup?Npi=1306833116","1306833116")</f>
        <v>1306833116</v>
      </c>
      <c r="E2707" t="s">
        <v>1094</v>
      </c>
    </row>
    <row r="2708" spans="1:5" x14ac:dyDescent="0.25">
      <c r="A2708" t="s">
        <v>1</v>
      </c>
      <c r="B2708" t="s">
        <v>19</v>
      </c>
      <c r="C2708" t="s">
        <v>23490</v>
      </c>
      <c r="D2708" t="str">
        <f>HYPERLINK("https://rhld.insurance.arkansas.gov/NPILookup?Npi=1306833702","1306833702")</f>
        <v>1306833702</v>
      </c>
      <c r="E2708" t="s">
        <v>1095</v>
      </c>
    </row>
    <row r="2709" spans="1:5" x14ac:dyDescent="0.25">
      <c r="A2709" t="s">
        <v>1</v>
      </c>
      <c r="B2709" t="s">
        <v>19</v>
      </c>
      <c r="C2709" t="s">
        <v>23490</v>
      </c>
      <c r="D2709" t="str">
        <f>HYPERLINK("https://rhld.insurance.arkansas.gov/NPILookup?Npi=1306834288","1306834288")</f>
        <v>1306834288</v>
      </c>
      <c r="E2709" t="s">
        <v>14990</v>
      </c>
    </row>
    <row r="2710" spans="1:5" x14ac:dyDescent="0.25">
      <c r="A2710" t="s">
        <v>1</v>
      </c>
      <c r="B2710" t="s">
        <v>19</v>
      </c>
      <c r="C2710" t="s">
        <v>23490</v>
      </c>
      <c r="D2710" t="str">
        <f>HYPERLINK("https://rhld.insurance.arkansas.gov/NPILookup?Npi=1306835756","1306835756")</f>
        <v>1306835756</v>
      </c>
      <c r="E2710" t="s">
        <v>1096</v>
      </c>
    </row>
    <row r="2711" spans="1:5" x14ac:dyDescent="0.25">
      <c r="A2711" t="s">
        <v>1</v>
      </c>
      <c r="B2711" t="s">
        <v>19</v>
      </c>
      <c r="C2711" t="s">
        <v>23490</v>
      </c>
      <c r="D2711" t="str">
        <f>HYPERLINK("https://rhld.insurance.arkansas.gov/NPILookup?Npi=1306839402","1306839402")</f>
        <v>1306839402</v>
      </c>
      <c r="E2711" t="s">
        <v>14991</v>
      </c>
    </row>
    <row r="2712" spans="1:5" x14ac:dyDescent="0.25">
      <c r="A2712" t="s">
        <v>1</v>
      </c>
      <c r="B2712" t="s">
        <v>19</v>
      </c>
      <c r="C2712" t="s">
        <v>23490</v>
      </c>
      <c r="D2712" t="str">
        <f>HYPERLINK("https://rhld.insurance.arkansas.gov/NPILookup?Npi=1306845789","1306845789")</f>
        <v>1306845789</v>
      </c>
      <c r="E2712" t="s">
        <v>10822</v>
      </c>
    </row>
    <row r="2713" spans="1:5" x14ac:dyDescent="0.25">
      <c r="A2713" t="s">
        <v>1</v>
      </c>
      <c r="B2713" t="s">
        <v>19</v>
      </c>
      <c r="C2713" t="s">
        <v>23490</v>
      </c>
      <c r="D2713" t="str">
        <f>HYPERLINK("https://rhld.insurance.arkansas.gov/NPILookup?Npi=1306853601","1306853601")</f>
        <v>1306853601</v>
      </c>
      <c r="E2713" t="s">
        <v>1097</v>
      </c>
    </row>
    <row r="2714" spans="1:5" x14ac:dyDescent="0.25">
      <c r="A2714" t="s">
        <v>1</v>
      </c>
      <c r="B2714" t="s">
        <v>19</v>
      </c>
      <c r="C2714" t="s">
        <v>23490</v>
      </c>
      <c r="D2714" t="str">
        <f>HYPERLINK("https://rhld.insurance.arkansas.gov/NPILookup?Npi=1306859061","1306859061")</f>
        <v>1306859061</v>
      </c>
      <c r="E2714" t="s">
        <v>1099</v>
      </c>
    </row>
    <row r="2715" spans="1:5" x14ac:dyDescent="0.25">
      <c r="A2715" t="s">
        <v>1</v>
      </c>
      <c r="B2715" t="s">
        <v>19</v>
      </c>
      <c r="C2715" t="s">
        <v>23490</v>
      </c>
      <c r="D2715" t="str">
        <f>HYPERLINK("https://rhld.insurance.arkansas.gov/NPILookup?Npi=1306859301","1306859301")</f>
        <v>1306859301</v>
      </c>
      <c r="E2715" t="s">
        <v>10823</v>
      </c>
    </row>
    <row r="2716" spans="1:5" x14ac:dyDescent="0.25">
      <c r="A2716" t="s">
        <v>1</v>
      </c>
      <c r="B2716" t="s">
        <v>19</v>
      </c>
      <c r="C2716" t="s">
        <v>23490</v>
      </c>
      <c r="D2716" t="str">
        <f>HYPERLINK("https://rhld.insurance.arkansas.gov/NPILookup?Npi=1306865522","1306865522")</f>
        <v>1306865522</v>
      </c>
      <c r="E2716" t="s">
        <v>1100</v>
      </c>
    </row>
    <row r="2717" spans="1:5" x14ac:dyDescent="0.25">
      <c r="A2717" t="s">
        <v>1</v>
      </c>
      <c r="B2717" t="s">
        <v>19</v>
      </c>
      <c r="C2717" t="s">
        <v>23490</v>
      </c>
      <c r="D2717" t="str">
        <f>HYPERLINK("https://rhld.insurance.arkansas.gov/NPILookup?Npi=1306868674","1306868674")</f>
        <v>1306868674</v>
      </c>
      <c r="E2717" t="s">
        <v>1101</v>
      </c>
    </row>
    <row r="2718" spans="1:5" x14ac:dyDescent="0.25">
      <c r="A2718" t="s">
        <v>1</v>
      </c>
      <c r="B2718" t="s">
        <v>19</v>
      </c>
      <c r="C2718" t="s">
        <v>23490</v>
      </c>
      <c r="D2718" t="str">
        <f>HYPERLINK("https://rhld.insurance.arkansas.gov/NPILookup?Npi=1306869375","1306869375")</f>
        <v>1306869375</v>
      </c>
      <c r="E2718" t="s">
        <v>19607</v>
      </c>
    </row>
    <row r="2719" spans="1:5" x14ac:dyDescent="0.25">
      <c r="A2719" t="s">
        <v>1</v>
      </c>
      <c r="B2719" t="s">
        <v>19</v>
      </c>
      <c r="C2719" t="s">
        <v>23490</v>
      </c>
      <c r="D2719" t="str">
        <f>HYPERLINK("https://rhld.insurance.arkansas.gov/NPILookup?Npi=1306876826","1306876826")</f>
        <v>1306876826</v>
      </c>
      <c r="E2719" t="s">
        <v>1102</v>
      </c>
    </row>
    <row r="2720" spans="1:5" x14ac:dyDescent="0.25">
      <c r="A2720" t="s">
        <v>1</v>
      </c>
      <c r="B2720" t="s">
        <v>19</v>
      </c>
      <c r="C2720" t="s">
        <v>23490</v>
      </c>
      <c r="D2720" t="str">
        <f>HYPERLINK("https://rhld.insurance.arkansas.gov/NPILookup?Npi=1306878509","1306878509")</f>
        <v>1306878509</v>
      </c>
      <c r="E2720" t="s">
        <v>1103</v>
      </c>
    </row>
    <row r="2721" spans="1:5" x14ac:dyDescent="0.25">
      <c r="A2721" t="s">
        <v>1</v>
      </c>
      <c r="B2721" t="s">
        <v>19</v>
      </c>
      <c r="C2721" t="s">
        <v>23490</v>
      </c>
      <c r="D2721" t="str">
        <f>HYPERLINK("https://rhld.insurance.arkansas.gov/NPILookup?Npi=1306880778","1306880778")</f>
        <v>1306880778</v>
      </c>
      <c r="E2721" t="s">
        <v>1104</v>
      </c>
    </row>
    <row r="2722" spans="1:5" x14ac:dyDescent="0.25">
      <c r="A2722" t="s">
        <v>1</v>
      </c>
      <c r="B2722" t="s">
        <v>19</v>
      </c>
      <c r="C2722" t="s">
        <v>23490</v>
      </c>
      <c r="D2722" t="str">
        <f>HYPERLINK("https://rhld.insurance.arkansas.gov/NPILookup?Npi=1306885116","1306885116")</f>
        <v>1306885116</v>
      </c>
      <c r="E2722" t="s">
        <v>1105</v>
      </c>
    </row>
    <row r="2723" spans="1:5" x14ac:dyDescent="0.25">
      <c r="A2723" t="s">
        <v>1</v>
      </c>
      <c r="B2723" t="s">
        <v>19</v>
      </c>
      <c r="C2723" t="s">
        <v>23490</v>
      </c>
      <c r="D2723" t="str">
        <f>HYPERLINK("https://rhld.insurance.arkansas.gov/NPILookup?Npi=1306885520","1306885520")</f>
        <v>1306885520</v>
      </c>
      <c r="E2723" t="s">
        <v>8608</v>
      </c>
    </row>
    <row r="2724" spans="1:5" x14ac:dyDescent="0.25">
      <c r="A2724" t="s">
        <v>1</v>
      </c>
      <c r="B2724" t="s">
        <v>19</v>
      </c>
      <c r="C2724" t="s">
        <v>23490</v>
      </c>
      <c r="D2724" t="str">
        <f>HYPERLINK("https://rhld.insurance.arkansas.gov/NPILookup?Npi=1306895586","1306895586")</f>
        <v>1306895586</v>
      </c>
      <c r="E2724" t="s">
        <v>1106</v>
      </c>
    </row>
    <row r="2725" spans="1:5" x14ac:dyDescent="0.25">
      <c r="A2725" t="s">
        <v>1</v>
      </c>
      <c r="B2725" t="s">
        <v>19</v>
      </c>
      <c r="C2725" t="s">
        <v>23490</v>
      </c>
      <c r="D2725" t="str">
        <f>HYPERLINK("https://rhld.insurance.arkansas.gov/NPILookup?Npi=1306896386","1306896386")</f>
        <v>1306896386</v>
      </c>
      <c r="E2725" t="s">
        <v>14992</v>
      </c>
    </row>
    <row r="2726" spans="1:5" x14ac:dyDescent="0.25">
      <c r="A2726" t="s">
        <v>1</v>
      </c>
      <c r="B2726" t="s">
        <v>19</v>
      </c>
      <c r="C2726" t="s">
        <v>23490</v>
      </c>
      <c r="D2726" t="str">
        <f>HYPERLINK("https://rhld.insurance.arkansas.gov/NPILookup?Npi=1306919857","1306919857")</f>
        <v>1306919857</v>
      </c>
      <c r="E2726" t="s">
        <v>8609</v>
      </c>
    </row>
    <row r="2727" spans="1:5" x14ac:dyDescent="0.25">
      <c r="A2727" t="s">
        <v>1</v>
      </c>
      <c r="B2727" t="s">
        <v>19</v>
      </c>
      <c r="C2727" t="s">
        <v>23490</v>
      </c>
      <c r="D2727" t="str">
        <f>HYPERLINK("https://rhld.insurance.arkansas.gov/NPILookup?Npi=1306922497","1306922497")</f>
        <v>1306922497</v>
      </c>
      <c r="E2727" t="s">
        <v>13983</v>
      </c>
    </row>
    <row r="2728" spans="1:5" x14ac:dyDescent="0.25">
      <c r="A2728" t="s">
        <v>1</v>
      </c>
      <c r="B2728" t="s">
        <v>19</v>
      </c>
      <c r="C2728" t="s">
        <v>23490</v>
      </c>
      <c r="D2728" t="str">
        <f>HYPERLINK("https://rhld.insurance.arkansas.gov/NPILookup?Npi=1306944913","1306944913")</f>
        <v>1306944913</v>
      </c>
      <c r="E2728" t="s">
        <v>1107</v>
      </c>
    </row>
    <row r="2729" spans="1:5" x14ac:dyDescent="0.25">
      <c r="A2729" t="s">
        <v>1</v>
      </c>
      <c r="B2729" t="s">
        <v>19</v>
      </c>
      <c r="C2729" t="s">
        <v>23490</v>
      </c>
      <c r="D2729" t="str">
        <f>HYPERLINK("https://rhld.insurance.arkansas.gov/NPILookup?Npi=1306956032","1306956032")</f>
        <v>1306956032</v>
      </c>
      <c r="E2729" t="s">
        <v>1108</v>
      </c>
    </row>
    <row r="2730" spans="1:5" x14ac:dyDescent="0.25">
      <c r="A2730" t="s">
        <v>1</v>
      </c>
      <c r="B2730" t="s">
        <v>19</v>
      </c>
      <c r="C2730" t="s">
        <v>23490</v>
      </c>
      <c r="D2730" t="str">
        <f>HYPERLINK("https://rhld.insurance.arkansas.gov/NPILookup?Npi=1306957006","1306957006")</f>
        <v>1306957006</v>
      </c>
      <c r="E2730" t="s">
        <v>1109</v>
      </c>
    </row>
    <row r="2731" spans="1:5" x14ac:dyDescent="0.25">
      <c r="A2731" t="s">
        <v>1</v>
      </c>
      <c r="B2731" t="s">
        <v>19</v>
      </c>
      <c r="C2731" t="s">
        <v>23490</v>
      </c>
      <c r="D2731" t="str">
        <f>HYPERLINK("https://rhld.insurance.arkansas.gov/NPILookup?Npi=1306976212","1306976212")</f>
        <v>1306976212</v>
      </c>
      <c r="E2731" t="s">
        <v>1110</v>
      </c>
    </row>
    <row r="2732" spans="1:5" x14ac:dyDescent="0.25">
      <c r="A2732" t="s">
        <v>1</v>
      </c>
      <c r="B2732" t="s">
        <v>19</v>
      </c>
      <c r="C2732" t="s">
        <v>23490</v>
      </c>
      <c r="D2732" t="str">
        <f>HYPERLINK("https://rhld.insurance.arkansas.gov/NPILookup?Npi=1306995527","1306995527")</f>
        <v>1306995527</v>
      </c>
      <c r="E2732" t="s">
        <v>1111</v>
      </c>
    </row>
    <row r="2733" spans="1:5" x14ac:dyDescent="0.25">
      <c r="A2733" t="s">
        <v>1</v>
      </c>
      <c r="B2733" t="s">
        <v>19</v>
      </c>
      <c r="C2733" t="s">
        <v>23490</v>
      </c>
      <c r="D2733" t="str">
        <f>HYPERLINK("https://rhld.insurance.arkansas.gov/NPILookup?Npi=1306997747","1306997747")</f>
        <v>1306997747</v>
      </c>
      <c r="E2733" t="s">
        <v>1112</v>
      </c>
    </row>
    <row r="2734" spans="1:5" x14ac:dyDescent="0.25">
      <c r="A2734" t="s">
        <v>1</v>
      </c>
      <c r="B2734" t="s">
        <v>19</v>
      </c>
      <c r="C2734" t="s">
        <v>23490</v>
      </c>
      <c r="D2734" t="str">
        <f>HYPERLINK("https://rhld.insurance.arkansas.gov/NPILookup?Npi=1316003098","1316003098")</f>
        <v>1316003098</v>
      </c>
      <c r="E2734" t="s">
        <v>14993</v>
      </c>
    </row>
    <row r="2735" spans="1:5" x14ac:dyDescent="0.25">
      <c r="A2735" t="s">
        <v>1</v>
      </c>
      <c r="B2735" t="s">
        <v>19</v>
      </c>
      <c r="C2735" t="s">
        <v>23490</v>
      </c>
      <c r="D2735" t="str">
        <f>HYPERLINK("https://rhld.insurance.arkansas.gov/NPILookup?Npi=1316041445","1316041445")</f>
        <v>1316041445</v>
      </c>
      <c r="E2735" t="s">
        <v>1113</v>
      </c>
    </row>
    <row r="2736" spans="1:5" x14ac:dyDescent="0.25">
      <c r="A2736" t="s">
        <v>1</v>
      </c>
      <c r="B2736" t="s">
        <v>19</v>
      </c>
      <c r="C2736" t="s">
        <v>23490</v>
      </c>
      <c r="D2736" t="str">
        <f>HYPERLINK("https://rhld.insurance.arkansas.gov/NPILookup?Npi=1316048085","1316048085")</f>
        <v>1316048085</v>
      </c>
      <c r="E2736" t="s">
        <v>1114</v>
      </c>
    </row>
    <row r="2737" spans="1:5" x14ac:dyDescent="0.25">
      <c r="A2737" t="s">
        <v>1</v>
      </c>
      <c r="B2737" t="s">
        <v>19</v>
      </c>
      <c r="C2737" t="s">
        <v>23490</v>
      </c>
      <c r="D2737" t="str">
        <f>HYPERLINK("https://rhld.insurance.arkansas.gov/NPILookup?Npi=1316089147","1316089147")</f>
        <v>1316089147</v>
      </c>
      <c r="E2737" t="s">
        <v>1115</v>
      </c>
    </row>
    <row r="2738" spans="1:5" x14ac:dyDescent="0.25">
      <c r="A2738" t="s">
        <v>1</v>
      </c>
      <c r="B2738" t="s">
        <v>19</v>
      </c>
      <c r="C2738" t="s">
        <v>23490</v>
      </c>
      <c r="D2738" t="str">
        <f>HYPERLINK("https://rhld.insurance.arkansas.gov/NPILookup?Npi=1316102379","1316102379")</f>
        <v>1316102379</v>
      </c>
      <c r="E2738" t="s">
        <v>17943</v>
      </c>
    </row>
    <row r="2739" spans="1:5" x14ac:dyDescent="0.25">
      <c r="A2739" t="s">
        <v>1</v>
      </c>
      <c r="B2739" t="s">
        <v>19</v>
      </c>
      <c r="C2739" t="s">
        <v>23490</v>
      </c>
      <c r="D2739" t="str">
        <f>HYPERLINK("https://rhld.insurance.arkansas.gov/NPILookup?Npi=1316107121","1316107121")</f>
        <v>1316107121</v>
      </c>
      <c r="E2739" t="s">
        <v>1116</v>
      </c>
    </row>
    <row r="2740" spans="1:5" x14ac:dyDescent="0.25">
      <c r="A2740" t="s">
        <v>1</v>
      </c>
      <c r="B2740" t="s">
        <v>19</v>
      </c>
      <c r="C2740" t="s">
        <v>23490</v>
      </c>
      <c r="D2740" t="str">
        <f>HYPERLINK("https://rhld.insurance.arkansas.gov/NPILookup?Npi=1316109762","1316109762")</f>
        <v>1316109762</v>
      </c>
      <c r="E2740" t="s">
        <v>1117</v>
      </c>
    </row>
    <row r="2741" spans="1:5" x14ac:dyDescent="0.25">
      <c r="A2741" t="s">
        <v>1</v>
      </c>
      <c r="B2741" t="s">
        <v>19</v>
      </c>
      <c r="C2741" t="s">
        <v>23490</v>
      </c>
      <c r="D2741" t="str">
        <f>HYPERLINK("https://rhld.insurance.arkansas.gov/NPILookup?Npi=1316148547","1316148547")</f>
        <v>1316148547</v>
      </c>
      <c r="E2741" t="s">
        <v>19608</v>
      </c>
    </row>
    <row r="2742" spans="1:5" x14ac:dyDescent="0.25">
      <c r="A2742" t="s">
        <v>1</v>
      </c>
      <c r="B2742" t="s">
        <v>19</v>
      </c>
      <c r="C2742" t="s">
        <v>23490</v>
      </c>
      <c r="D2742" t="str">
        <f>HYPERLINK("https://rhld.insurance.arkansas.gov/NPILookup?Npi=1316193345","1316193345")</f>
        <v>1316193345</v>
      </c>
      <c r="E2742" t="s">
        <v>1119</v>
      </c>
    </row>
    <row r="2743" spans="1:5" x14ac:dyDescent="0.25">
      <c r="A2743" t="s">
        <v>1</v>
      </c>
      <c r="B2743" t="s">
        <v>19</v>
      </c>
      <c r="C2743" t="s">
        <v>23490</v>
      </c>
      <c r="D2743" t="str">
        <f>HYPERLINK("https://rhld.insurance.arkansas.gov/NPILookup?Npi=1316193691","1316193691")</f>
        <v>1316193691</v>
      </c>
      <c r="E2743" t="s">
        <v>1120</v>
      </c>
    </row>
    <row r="2744" spans="1:5" x14ac:dyDescent="0.25">
      <c r="A2744" t="s">
        <v>1</v>
      </c>
      <c r="B2744" t="s">
        <v>19</v>
      </c>
      <c r="C2744" t="s">
        <v>23490</v>
      </c>
      <c r="D2744" t="str">
        <f>HYPERLINK("https://rhld.insurance.arkansas.gov/NPILookup?Npi=1316201312","1316201312")</f>
        <v>1316201312</v>
      </c>
      <c r="E2744" t="s">
        <v>10824</v>
      </c>
    </row>
    <row r="2745" spans="1:5" x14ac:dyDescent="0.25">
      <c r="A2745" t="s">
        <v>1</v>
      </c>
      <c r="B2745" t="s">
        <v>19</v>
      </c>
      <c r="C2745" t="s">
        <v>23490</v>
      </c>
      <c r="D2745" t="str">
        <f>HYPERLINK("https://rhld.insurance.arkansas.gov/NPILookup?Npi=1316204746","1316204746")</f>
        <v>1316204746</v>
      </c>
      <c r="E2745" t="s">
        <v>10825</v>
      </c>
    </row>
    <row r="2746" spans="1:5" x14ac:dyDescent="0.25">
      <c r="A2746" t="s">
        <v>1</v>
      </c>
      <c r="B2746" t="s">
        <v>19</v>
      </c>
      <c r="C2746" t="s">
        <v>23490</v>
      </c>
      <c r="D2746" t="str">
        <f>HYPERLINK("https://rhld.insurance.arkansas.gov/NPILookup?Npi=1316211469","1316211469")</f>
        <v>1316211469</v>
      </c>
      <c r="E2746" t="s">
        <v>13465</v>
      </c>
    </row>
    <row r="2747" spans="1:5" x14ac:dyDescent="0.25">
      <c r="A2747" t="s">
        <v>1</v>
      </c>
      <c r="B2747" t="s">
        <v>19</v>
      </c>
      <c r="C2747" t="s">
        <v>23490</v>
      </c>
      <c r="D2747" t="str">
        <f>HYPERLINK("https://rhld.insurance.arkansas.gov/NPILookup?Npi=1316211782","1316211782")</f>
        <v>1316211782</v>
      </c>
      <c r="E2747" t="s">
        <v>1121</v>
      </c>
    </row>
    <row r="2748" spans="1:5" x14ac:dyDescent="0.25">
      <c r="A2748" t="s">
        <v>1</v>
      </c>
      <c r="B2748" t="s">
        <v>19</v>
      </c>
      <c r="C2748" t="s">
        <v>23490</v>
      </c>
      <c r="D2748" t="str">
        <f>HYPERLINK("https://rhld.insurance.arkansas.gov/NPILookup?Npi=1316220049","1316220049")</f>
        <v>1316220049</v>
      </c>
      <c r="E2748" t="s">
        <v>1122</v>
      </c>
    </row>
    <row r="2749" spans="1:5" x14ac:dyDescent="0.25">
      <c r="A2749" t="s">
        <v>1</v>
      </c>
      <c r="B2749" t="s">
        <v>19</v>
      </c>
      <c r="C2749" t="s">
        <v>23490</v>
      </c>
      <c r="D2749" t="str">
        <f>HYPERLINK("https://rhld.insurance.arkansas.gov/NPILookup?Npi=1316230816","1316230816")</f>
        <v>1316230816</v>
      </c>
      <c r="E2749" t="s">
        <v>1123</v>
      </c>
    </row>
    <row r="2750" spans="1:5" x14ac:dyDescent="0.25">
      <c r="A2750" t="s">
        <v>1</v>
      </c>
      <c r="B2750" t="s">
        <v>19</v>
      </c>
      <c r="C2750" t="s">
        <v>23490</v>
      </c>
      <c r="D2750" t="str">
        <f>HYPERLINK("https://rhld.insurance.arkansas.gov/NPILookup?Npi=1316255433","1316255433")</f>
        <v>1316255433</v>
      </c>
      <c r="E2750" t="s">
        <v>1124</v>
      </c>
    </row>
    <row r="2751" spans="1:5" x14ac:dyDescent="0.25">
      <c r="A2751" t="s">
        <v>1</v>
      </c>
      <c r="B2751" t="s">
        <v>19</v>
      </c>
      <c r="C2751" t="s">
        <v>23490</v>
      </c>
      <c r="D2751" t="str">
        <f>HYPERLINK("https://rhld.insurance.arkansas.gov/NPILookup?Npi=1316255847","1316255847")</f>
        <v>1316255847</v>
      </c>
      <c r="E2751" t="s">
        <v>8610</v>
      </c>
    </row>
    <row r="2752" spans="1:5" x14ac:dyDescent="0.25">
      <c r="A2752" t="s">
        <v>1</v>
      </c>
      <c r="B2752" t="s">
        <v>19</v>
      </c>
      <c r="C2752" t="s">
        <v>23490</v>
      </c>
      <c r="D2752" t="str">
        <f>HYPERLINK("https://rhld.insurance.arkansas.gov/NPILookup?Npi=1316265820","1316265820")</f>
        <v>1316265820</v>
      </c>
      <c r="E2752" t="s">
        <v>1125</v>
      </c>
    </row>
    <row r="2753" spans="1:5" x14ac:dyDescent="0.25">
      <c r="A2753" t="s">
        <v>1</v>
      </c>
      <c r="B2753" t="s">
        <v>19</v>
      </c>
      <c r="C2753" t="s">
        <v>23490</v>
      </c>
      <c r="D2753" t="str">
        <f>HYPERLINK("https://rhld.insurance.arkansas.gov/NPILookup?Npi=1316293186","1316293186")</f>
        <v>1316293186</v>
      </c>
      <c r="E2753" t="s">
        <v>10826</v>
      </c>
    </row>
    <row r="2754" spans="1:5" x14ac:dyDescent="0.25">
      <c r="A2754" t="s">
        <v>1</v>
      </c>
      <c r="B2754" t="s">
        <v>19</v>
      </c>
      <c r="C2754" t="s">
        <v>23490</v>
      </c>
      <c r="D2754" t="str">
        <f>HYPERLINK("https://rhld.insurance.arkansas.gov/NPILookup?Npi=1316303993","1316303993")</f>
        <v>1316303993</v>
      </c>
      <c r="E2754" t="s">
        <v>22920</v>
      </c>
    </row>
    <row r="2755" spans="1:5" x14ac:dyDescent="0.25">
      <c r="A2755" t="s">
        <v>1</v>
      </c>
      <c r="B2755" t="s">
        <v>19</v>
      </c>
      <c r="C2755" t="s">
        <v>23490</v>
      </c>
      <c r="D2755" t="str">
        <f>HYPERLINK("https://rhld.insurance.arkansas.gov/NPILookup?Npi=1316308646","1316308646")</f>
        <v>1316308646</v>
      </c>
      <c r="E2755" t="s">
        <v>8611</v>
      </c>
    </row>
    <row r="2756" spans="1:5" x14ac:dyDescent="0.25">
      <c r="A2756" t="s">
        <v>1</v>
      </c>
      <c r="B2756" t="s">
        <v>19</v>
      </c>
      <c r="C2756" t="s">
        <v>23490</v>
      </c>
      <c r="D2756" t="str">
        <f>HYPERLINK("https://rhld.insurance.arkansas.gov/NPILookup?Npi=1316318595","1316318595")</f>
        <v>1316318595</v>
      </c>
      <c r="E2756" t="s">
        <v>14994</v>
      </c>
    </row>
    <row r="2757" spans="1:5" x14ac:dyDescent="0.25">
      <c r="A2757" t="s">
        <v>1</v>
      </c>
      <c r="B2757" t="s">
        <v>19</v>
      </c>
      <c r="C2757" t="s">
        <v>23490</v>
      </c>
      <c r="D2757" t="str">
        <f>HYPERLINK("https://rhld.insurance.arkansas.gov/NPILookup?Npi=1316322787","1316322787")</f>
        <v>1316322787</v>
      </c>
      <c r="E2757" t="s">
        <v>8612</v>
      </c>
    </row>
    <row r="2758" spans="1:5" x14ac:dyDescent="0.25">
      <c r="A2758" t="s">
        <v>1</v>
      </c>
      <c r="B2758" t="s">
        <v>19</v>
      </c>
      <c r="C2758" t="s">
        <v>23490</v>
      </c>
      <c r="D2758" t="str">
        <f>HYPERLINK("https://rhld.insurance.arkansas.gov/NPILookup?Npi=1316338361","1316338361")</f>
        <v>1316338361</v>
      </c>
      <c r="E2758" t="s">
        <v>1126</v>
      </c>
    </row>
    <row r="2759" spans="1:5" x14ac:dyDescent="0.25">
      <c r="A2759" t="s">
        <v>1</v>
      </c>
      <c r="B2759" t="s">
        <v>19</v>
      </c>
      <c r="C2759" t="s">
        <v>23490</v>
      </c>
      <c r="D2759" t="str">
        <f>HYPERLINK("https://rhld.insurance.arkansas.gov/NPILookup?Npi=1316338833","1316338833")</f>
        <v>1316338833</v>
      </c>
      <c r="E2759" t="s">
        <v>19609</v>
      </c>
    </row>
    <row r="2760" spans="1:5" x14ac:dyDescent="0.25">
      <c r="A2760" t="s">
        <v>1</v>
      </c>
      <c r="B2760" t="s">
        <v>19</v>
      </c>
      <c r="C2760" t="s">
        <v>23490</v>
      </c>
      <c r="D2760" t="str">
        <f>HYPERLINK("https://rhld.insurance.arkansas.gov/NPILookup?Npi=1316346992","1316346992")</f>
        <v>1316346992</v>
      </c>
      <c r="E2760" t="s">
        <v>14995</v>
      </c>
    </row>
    <row r="2761" spans="1:5" x14ac:dyDescent="0.25">
      <c r="A2761" t="s">
        <v>1</v>
      </c>
      <c r="B2761" t="s">
        <v>19</v>
      </c>
      <c r="C2761" t="s">
        <v>23490</v>
      </c>
      <c r="D2761" t="str">
        <f>HYPERLINK("https://rhld.insurance.arkansas.gov/NPILookup?Npi=1316358690","1316358690")</f>
        <v>1316358690</v>
      </c>
      <c r="E2761" t="s">
        <v>13466</v>
      </c>
    </row>
    <row r="2762" spans="1:5" x14ac:dyDescent="0.25">
      <c r="A2762" t="s">
        <v>1</v>
      </c>
      <c r="B2762" t="s">
        <v>19</v>
      </c>
      <c r="C2762" t="s">
        <v>23490</v>
      </c>
      <c r="D2762" t="str">
        <f>HYPERLINK("https://rhld.insurance.arkansas.gov/NPILookup?Npi=1316359300","1316359300")</f>
        <v>1316359300</v>
      </c>
      <c r="E2762" t="s">
        <v>10827</v>
      </c>
    </row>
    <row r="2763" spans="1:5" x14ac:dyDescent="0.25">
      <c r="A2763" t="s">
        <v>1</v>
      </c>
      <c r="B2763" t="s">
        <v>19</v>
      </c>
      <c r="C2763" t="s">
        <v>23490</v>
      </c>
      <c r="D2763" t="str">
        <f>HYPERLINK("https://rhld.insurance.arkansas.gov/NPILookup?Npi=1316360191","1316360191")</f>
        <v>1316360191</v>
      </c>
      <c r="E2763" t="s">
        <v>8613</v>
      </c>
    </row>
    <row r="2764" spans="1:5" x14ac:dyDescent="0.25">
      <c r="A2764" t="s">
        <v>1</v>
      </c>
      <c r="B2764" t="s">
        <v>19</v>
      </c>
      <c r="C2764" t="s">
        <v>23490</v>
      </c>
      <c r="D2764" t="str">
        <f>HYPERLINK("https://rhld.insurance.arkansas.gov/NPILookup?Npi=1316361009","1316361009")</f>
        <v>1316361009</v>
      </c>
      <c r="E2764" t="s">
        <v>10828</v>
      </c>
    </row>
    <row r="2765" spans="1:5" x14ac:dyDescent="0.25">
      <c r="A2765" t="s">
        <v>1</v>
      </c>
      <c r="B2765" t="s">
        <v>19</v>
      </c>
      <c r="C2765" t="s">
        <v>23490</v>
      </c>
      <c r="D2765" t="str">
        <f>HYPERLINK("https://rhld.insurance.arkansas.gov/NPILookup?Npi=1316373038","1316373038")</f>
        <v>1316373038</v>
      </c>
      <c r="E2765" t="s">
        <v>13467</v>
      </c>
    </row>
    <row r="2766" spans="1:5" x14ac:dyDescent="0.25">
      <c r="A2766" t="s">
        <v>1</v>
      </c>
      <c r="B2766" t="s">
        <v>19</v>
      </c>
      <c r="C2766" t="s">
        <v>23490</v>
      </c>
      <c r="D2766" t="str">
        <f>HYPERLINK("https://rhld.insurance.arkansas.gov/NPILookup?Npi=1316378045","1316378045")</f>
        <v>1316378045</v>
      </c>
      <c r="E2766" t="s">
        <v>8614</v>
      </c>
    </row>
    <row r="2767" spans="1:5" x14ac:dyDescent="0.25">
      <c r="A2767" t="s">
        <v>1</v>
      </c>
      <c r="B2767" t="s">
        <v>19</v>
      </c>
      <c r="C2767" t="s">
        <v>23490</v>
      </c>
      <c r="D2767" t="str">
        <f>HYPERLINK("https://rhld.insurance.arkansas.gov/NPILookup?Npi=1316382906","1316382906")</f>
        <v>1316382906</v>
      </c>
      <c r="E2767" t="s">
        <v>22921</v>
      </c>
    </row>
    <row r="2768" spans="1:5" x14ac:dyDescent="0.25">
      <c r="A2768" t="s">
        <v>1</v>
      </c>
      <c r="B2768" t="s">
        <v>19</v>
      </c>
      <c r="C2768" t="s">
        <v>23490</v>
      </c>
      <c r="D2768" t="str">
        <f>HYPERLINK("https://rhld.insurance.arkansas.gov/NPILookup?Npi=1316389323","1316389323")</f>
        <v>1316389323</v>
      </c>
      <c r="E2768" t="s">
        <v>8615</v>
      </c>
    </row>
    <row r="2769" spans="1:5" x14ac:dyDescent="0.25">
      <c r="A2769" t="s">
        <v>1</v>
      </c>
      <c r="B2769" t="s">
        <v>19</v>
      </c>
      <c r="C2769" t="s">
        <v>23490</v>
      </c>
      <c r="D2769" t="str">
        <f>HYPERLINK("https://rhld.insurance.arkansas.gov/NPILookup?Npi=1316406861","1316406861")</f>
        <v>1316406861</v>
      </c>
      <c r="E2769" t="s">
        <v>16926</v>
      </c>
    </row>
    <row r="2770" spans="1:5" x14ac:dyDescent="0.25">
      <c r="A2770" t="s">
        <v>1</v>
      </c>
      <c r="B2770" t="s">
        <v>19</v>
      </c>
      <c r="C2770" t="s">
        <v>23490</v>
      </c>
      <c r="D2770" t="str">
        <f>HYPERLINK("https://rhld.insurance.arkansas.gov/NPILookup?Npi=1316412844","1316412844")</f>
        <v>1316412844</v>
      </c>
      <c r="E2770" t="s">
        <v>14996</v>
      </c>
    </row>
    <row r="2771" spans="1:5" x14ac:dyDescent="0.25">
      <c r="A2771" t="s">
        <v>1</v>
      </c>
      <c r="B2771" t="s">
        <v>19</v>
      </c>
      <c r="C2771" t="s">
        <v>23490</v>
      </c>
      <c r="D2771" t="str">
        <f>HYPERLINK("https://rhld.insurance.arkansas.gov/NPILookup?Npi=1316414642","1316414642")</f>
        <v>1316414642</v>
      </c>
      <c r="E2771" t="s">
        <v>13468</v>
      </c>
    </row>
    <row r="2772" spans="1:5" x14ac:dyDescent="0.25">
      <c r="A2772" t="s">
        <v>1</v>
      </c>
      <c r="B2772" t="s">
        <v>19</v>
      </c>
      <c r="C2772" t="s">
        <v>23490</v>
      </c>
      <c r="D2772" t="str">
        <f>HYPERLINK("https://rhld.insurance.arkansas.gov/NPILookup?Npi=1316416779","1316416779")</f>
        <v>1316416779</v>
      </c>
      <c r="E2772" t="s">
        <v>17944</v>
      </c>
    </row>
    <row r="2773" spans="1:5" x14ac:dyDescent="0.25">
      <c r="A2773" t="s">
        <v>1</v>
      </c>
      <c r="B2773" t="s">
        <v>19</v>
      </c>
      <c r="C2773" t="s">
        <v>23490</v>
      </c>
      <c r="D2773" t="str">
        <f>HYPERLINK("https://rhld.insurance.arkansas.gov/NPILookup?Npi=1316423510","1316423510")</f>
        <v>1316423510</v>
      </c>
      <c r="E2773" t="s">
        <v>13469</v>
      </c>
    </row>
    <row r="2774" spans="1:5" x14ac:dyDescent="0.25">
      <c r="A2774" t="s">
        <v>1</v>
      </c>
      <c r="B2774" t="s">
        <v>19</v>
      </c>
      <c r="C2774" t="s">
        <v>23490</v>
      </c>
      <c r="D2774" t="str">
        <f>HYPERLINK("https://rhld.insurance.arkansas.gov/NPILookup?Npi=1316424047","1316424047")</f>
        <v>1316424047</v>
      </c>
      <c r="E2774" t="s">
        <v>14997</v>
      </c>
    </row>
    <row r="2775" spans="1:5" x14ac:dyDescent="0.25">
      <c r="A2775" t="s">
        <v>1</v>
      </c>
      <c r="B2775" t="s">
        <v>19</v>
      </c>
      <c r="C2775" t="s">
        <v>23490</v>
      </c>
      <c r="D2775" t="str">
        <f>HYPERLINK("https://rhld.insurance.arkansas.gov/NPILookup?Npi=1316429434","1316429434")</f>
        <v>1316429434</v>
      </c>
      <c r="E2775" t="s">
        <v>14998</v>
      </c>
    </row>
    <row r="2776" spans="1:5" x14ac:dyDescent="0.25">
      <c r="A2776" t="s">
        <v>1</v>
      </c>
      <c r="B2776" t="s">
        <v>19</v>
      </c>
      <c r="C2776" t="s">
        <v>23490</v>
      </c>
      <c r="D2776" t="str">
        <f>HYPERLINK("https://rhld.insurance.arkansas.gov/NPILookup?Npi=1316433998","1316433998")</f>
        <v>1316433998</v>
      </c>
      <c r="E2776" t="s">
        <v>13470</v>
      </c>
    </row>
    <row r="2777" spans="1:5" x14ac:dyDescent="0.25">
      <c r="A2777" t="s">
        <v>1</v>
      </c>
      <c r="B2777" t="s">
        <v>19</v>
      </c>
      <c r="C2777" t="s">
        <v>23490</v>
      </c>
      <c r="D2777" t="str">
        <f>HYPERLINK("https://rhld.insurance.arkansas.gov/NPILookup?Npi=1316436694","1316436694")</f>
        <v>1316436694</v>
      </c>
      <c r="E2777" t="s">
        <v>14999</v>
      </c>
    </row>
    <row r="2778" spans="1:5" x14ac:dyDescent="0.25">
      <c r="A2778" t="s">
        <v>1</v>
      </c>
      <c r="B2778" t="s">
        <v>19</v>
      </c>
      <c r="C2778" t="s">
        <v>23490</v>
      </c>
      <c r="D2778" t="str">
        <f>HYPERLINK("https://rhld.insurance.arkansas.gov/NPILookup?Npi=1316443898","1316443898")</f>
        <v>1316443898</v>
      </c>
      <c r="E2778" t="s">
        <v>13471</v>
      </c>
    </row>
    <row r="2779" spans="1:5" x14ac:dyDescent="0.25">
      <c r="A2779" t="s">
        <v>1</v>
      </c>
      <c r="B2779" t="s">
        <v>19</v>
      </c>
      <c r="C2779" t="s">
        <v>23490</v>
      </c>
      <c r="D2779" t="str">
        <f>HYPERLINK("https://rhld.insurance.arkansas.gov/NPILookup?Npi=1316459852","1316459852")</f>
        <v>1316459852</v>
      </c>
      <c r="E2779" t="s">
        <v>12816</v>
      </c>
    </row>
    <row r="2780" spans="1:5" x14ac:dyDescent="0.25">
      <c r="A2780" t="s">
        <v>1</v>
      </c>
      <c r="B2780" t="s">
        <v>19</v>
      </c>
      <c r="C2780" t="s">
        <v>23490</v>
      </c>
      <c r="D2780" t="str">
        <f>HYPERLINK("https://rhld.insurance.arkansas.gov/NPILookup?Npi=1316460256","1316460256")</f>
        <v>1316460256</v>
      </c>
      <c r="E2780" t="s">
        <v>10829</v>
      </c>
    </row>
    <row r="2781" spans="1:5" x14ac:dyDescent="0.25">
      <c r="A2781" t="s">
        <v>1</v>
      </c>
      <c r="B2781" t="s">
        <v>19</v>
      </c>
      <c r="C2781" t="s">
        <v>23490</v>
      </c>
      <c r="D2781" t="str">
        <f>HYPERLINK("https://rhld.insurance.arkansas.gov/NPILookup?Npi=1316467616","1316467616")</f>
        <v>1316467616</v>
      </c>
      <c r="E2781" t="s">
        <v>19610</v>
      </c>
    </row>
    <row r="2782" spans="1:5" x14ac:dyDescent="0.25">
      <c r="A2782" t="s">
        <v>1</v>
      </c>
      <c r="B2782" t="s">
        <v>19</v>
      </c>
      <c r="C2782" t="s">
        <v>23490</v>
      </c>
      <c r="D2782" t="str">
        <f>HYPERLINK("https://rhld.insurance.arkansas.gov/NPILookup?Npi=1316475023","1316475023")</f>
        <v>1316475023</v>
      </c>
      <c r="E2782" t="s">
        <v>12817</v>
      </c>
    </row>
    <row r="2783" spans="1:5" x14ac:dyDescent="0.25">
      <c r="A2783" t="s">
        <v>1</v>
      </c>
      <c r="B2783" t="s">
        <v>19</v>
      </c>
      <c r="C2783" t="s">
        <v>23490</v>
      </c>
      <c r="D2783" t="str">
        <f>HYPERLINK("https://rhld.insurance.arkansas.gov/NPILookup?Npi=1316479033","1316479033")</f>
        <v>1316479033</v>
      </c>
      <c r="E2783" t="s">
        <v>17945</v>
      </c>
    </row>
    <row r="2784" spans="1:5" x14ac:dyDescent="0.25">
      <c r="A2784" t="s">
        <v>1</v>
      </c>
      <c r="B2784" t="s">
        <v>19</v>
      </c>
      <c r="C2784" t="s">
        <v>23490</v>
      </c>
      <c r="D2784" t="str">
        <f>HYPERLINK("https://rhld.insurance.arkansas.gov/NPILookup?Npi=1316483613","1316483613")</f>
        <v>1316483613</v>
      </c>
      <c r="E2784" t="s">
        <v>10830</v>
      </c>
    </row>
    <row r="2785" spans="1:5" x14ac:dyDescent="0.25">
      <c r="A2785" t="s">
        <v>1</v>
      </c>
      <c r="B2785" t="s">
        <v>19</v>
      </c>
      <c r="C2785" t="s">
        <v>23490</v>
      </c>
      <c r="D2785" t="str">
        <f>HYPERLINK("https://rhld.insurance.arkansas.gov/NPILookup?Npi=1316485667","1316485667")</f>
        <v>1316485667</v>
      </c>
      <c r="E2785" t="s">
        <v>13472</v>
      </c>
    </row>
    <row r="2786" spans="1:5" x14ac:dyDescent="0.25">
      <c r="A2786" t="s">
        <v>1</v>
      </c>
      <c r="B2786" t="s">
        <v>19</v>
      </c>
      <c r="C2786" t="s">
        <v>23490</v>
      </c>
      <c r="D2786" t="str">
        <f>HYPERLINK("https://rhld.insurance.arkansas.gov/NPILookup?Npi=1316485857","1316485857")</f>
        <v>1316485857</v>
      </c>
      <c r="E2786" t="s">
        <v>10831</v>
      </c>
    </row>
    <row r="2787" spans="1:5" x14ac:dyDescent="0.25">
      <c r="A2787" t="s">
        <v>1</v>
      </c>
      <c r="B2787" t="s">
        <v>19</v>
      </c>
      <c r="C2787" t="s">
        <v>23490</v>
      </c>
      <c r="D2787" t="str">
        <f>HYPERLINK("https://rhld.insurance.arkansas.gov/NPILookup?Npi=1316486202","1316486202")</f>
        <v>1316486202</v>
      </c>
      <c r="E2787" t="s">
        <v>12818</v>
      </c>
    </row>
    <row r="2788" spans="1:5" x14ac:dyDescent="0.25">
      <c r="A2788" t="s">
        <v>1</v>
      </c>
      <c r="B2788" t="s">
        <v>19</v>
      </c>
      <c r="C2788" t="s">
        <v>23490</v>
      </c>
      <c r="D2788" t="str">
        <f>HYPERLINK("https://rhld.insurance.arkansas.gov/NPILookup?Npi=1316487994","1316487994")</f>
        <v>1316487994</v>
      </c>
      <c r="E2788" t="s">
        <v>6046</v>
      </c>
    </row>
    <row r="2789" spans="1:5" x14ac:dyDescent="0.25">
      <c r="A2789" t="s">
        <v>1</v>
      </c>
      <c r="B2789" t="s">
        <v>19</v>
      </c>
      <c r="C2789" t="s">
        <v>23490</v>
      </c>
      <c r="D2789" t="str">
        <f>HYPERLINK("https://rhld.insurance.arkansas.gov/NPILookup?Npi=1316501901","1316501901")</f>
        <v>1316501901</v>
      </c>
      <c r="E2789" t="s">
        <v>19611</v>
      </c>
    </row>
    <row r="2790" spans="1:5" x14ac:dyDescent="0.25">
      <c r="A2790" t="s">
        <v>1</v>
      </c>
      <c r="B2790" t="s">
        <v>19</v>
      </c>
      <c r="C2790" t="s">
        <v>23490</v>
      </c>
      <c r="D2790" t="str">
        <f>HYPERLINK("https://rhld.insurance.arkansas.gov/NPILookup?Npi=1316510043","1316510043")</f>
        <v>1316510043</v>
      </c>
      <c r="E2790" t="s">
        <v>19612</v>
      </c>
    </row>
    <row r="2791" spans="1:5" x14ac:dyDescent="0.25">
      <c r="A2791" t="s">
        <v>1</v>
      </c>
      <c r="B2791" t="s">
        <v>19</v>
      </c>
      <c r="C2791" t="s">
        <v>23490</v>
      </c>
      <c r="D2791" t="str">
        <f>HYPERLINK("https://rhld.insurance.arkansas.gov/NPILookup?Npi=1316533821","1316533821")</f>
        <v>1316533821</v>
      </c>
      <c r="E2791" t="s">
        <v>17946</v>
      </c>
    </row>
    <row r="2792" spans="1:5" x14ac:dyDescent="0.25">
      <c r="A2792" t="s">
        <v>1</v>
      </c>
      <c r="B2792" t="s">
        <v>19</v>
      </c>
      <c r="C2792" t="s">
        <v>23490</v>
      </c>
      <c r="D2792" t="str">
        <f>HYPERLINK("https://rhld.insurance.arkansas.gov/NPILookup?Npi=1316546138","1316546138")</f>
        <v>1316546138</v>
      </c>
      <c r="E2792" t="s">
        <v>10706</v>
      </c>
    </row>
    <row r="2793" spans="1:5" x14ac:dyDescent="0.25">
      <c r="A2793" t="s">
        <v>1</v>
      </c>
      <c r="B2793" t="s">
        <v>19</v>
      </c>
      <c r="C2793" t="s">
        <v>23490</v>
      </c>
      <c r="D2793" t="str">
        <f>HYPERLINK("https://rhld.insurance.arkansas.gov/NPILookup?Npi=1316551799","1316551799")</f>
        <v>1316551799</v>
      </c>
      <c r="E2793" t="s">
        <v>17947</v>
      </c>
    </row>
    <row r="2794" spans="1:5" x14ac:dyDescent="0.25">
      <c r="A2794" t="s">
        <v>1</v>
      </c>
      <c r="B2794" t="s">
        <v>19</v>
      </c>
      <c r="C2794" t="s">
        <v>23490</v>
      </c>
      <c r="D2794" t="str">
        <f>HYPERLINK("https://rhld.insurance.arkansas.gov/NPILookup?Npi=1316556632","1316556632")</f>
        <v>1316556632</v>
      </c>
      <c r="E2794" t="s">
        <v>17948</v>
      </c>
    </row>
    <row r="2795" spans="1:5" x14ac:dyDescent="0.25">
      <c r="A2795" t="s">
        <v>1</v>
      </c>
      <c r="B2795" t="s">
        <v>19</v>
      </c>
      <c r="C2795" t="s">
        <v>23490</v>
      </c>
      <c r="D2795" t="str">
        <f>HYPERLINK("https://rhld.insurance.arkansas.gov/NPILookup?Npi=1316557705","1316557705")</f>
        <v>1316557705</v>
      </c>
      <c r="E2795" t="s">
        <v>17416</v>
      </c>
    </row>
    <row r="2796" spans="1:5" x14ac:dyDescent="0.25">
      <c r="A2796" t="s">
        <v>1</v>
      </c>
      <c r="B2796" t="s">
        <v>19</v>
      </c>
      <c r="C2796" t="s">
        <v>23490</v>
      </c>
      <c r="D2796" t="str">
        <f>HYPERLINK("https://rhld.insurance.arkansas.gov/NPILookup?Npi=1316565732","1316565732")</f>
        <v>1316565732</v>
      </c>
      <c r="E2796" t="s">
        <v>19613</v>
      </c>
    </row>
    <row r="2797" spans="1:5" x14ac:dyDescent="0.25">
      <c r="A2797" t="s">
        <v>1</v>
      </c>
      <c r="B2797" t="s">
        <v>19</v>
      </c>
      <c r="C2797" t="s">
        <v>23490</v>
      </c>
      <c r="D2797" t="str">
        <f>HYPERLINK("https://rhld.insurance.arkansas.gov/NPILookup?Npi=1316566607","1316566607")</f>
        <v>1316566607</v>
      </c>
      <c r="E2797" t="s">
        <v>17949</v>
      </c>
    </row>
    <row r="2798" spans="1:5" x14ac:dyDescent="0.25">
      <c r="A2798" t="s">
        <v>1</v>
      </c>
      <c r="B2798" t="s">
        <v>19</v>
      </c>
      <c r="C2798" t="s">
        <v>23490</v>
      </c>
      <c r="D2798" t="str">
        <f>HYPERLINK("https://rhld.insurance.arkansas.gov/NPILookup?Npi=1316583461","1316583461")</f>
        <v>1316583461</v>
      </c>
      <c r="E2798" t="s">
        <v>16927</v>
      </c>
    </row>
    <row r="2799" spans="1:5" x14ac:dyDescent="0.25">
      <c r="A2799" t="s">
        <v>1</v>
      </c>
      <c r="B2799" t="s">
        <v>19</v>
      </c>
      <c r="C2799" t="s">
        <v>23490</v>
      </c>
      <c r="D2799" t="str">
        <f>HYPERLINK("https://rhld.insurance.arkansas.gov/NPILookup?Npi=1316610173","1316610173")</f>
        <v>1316610173</v>
      </c>
      <c r="E2799" t="s">
        <v>18742</v>
      </c>
    </row>
    <row r="2800" spans="1:5" x14ac:dyDescent="0.25">
      <c r="A2800" t="s">
        <v>1</v>
      </c>
      <c r="B2800" t="s">
        <v>19</v>
      </c>
      <c r="C2800" t="s">
        <v>23490</v>
      </c>
      <c r="D2800" t="str">
        <f>HYPERLINK("https://rhld.insurance.arkansas.gov/NPILookup?Npi=1316611247","1316611247")</f>
        <v>1316611247</v>
      </c>
      <c r="E2800" t="s">
        <v>18743</v>
      </c>
    </row>
    <row r="2801" spans="1:5" x14ac:dyDescent="0.25">
      <c r="A2801" t="s">
        <v>1</v>
      </c>
      <c r="B2801" t="s">
        <v>19</v>
      </c>
      <c r="C2801" t="s">
        <v>23490</v>
      </c>
      <c r="D2801" t="str">
        <f>HYPERLINK("https://rhld.insurance.arkansas.gov/NPILookup?Npi=1316613417","1316613417")</f>
        <v>1316613417</v>
      </c>
      <c r="E2801" t="s">
        <v>19614</v>
      </c>
    </row>
    <row r="2802" spans="1:5" x14ac:dyDescent="0.25">
      <c r="A2802" t="s">
        <v>1</v>
      </c>
      <c r="B2802" t="s">
        <v>19</v>
      </c>
      <c r="C2802" t="s">
        <v>23490</v>
      </c>
      <c r="D2802" t="str">
        <f>HYPERLINK("https://rhld.insurance.arkansas.gov/NPILookup?Npi=1316618309","1316618309")</f>
        <v>1316618309</v>
      </c>
      <c r="E2802" t="s">
        <v>22922</v>
      </c>
    </row>
    <row r="2803" spans="1:5" x14ac:dyDescent="0.25">
      <c r="A2803" t="s">
        <v>1</v>
      </c>
      <c r="B2803" t="s">
        <v>19</v>
      </c>
      <c r="C2803" t="s">
        <v>23490</v>
      </c>
      <c r="D2803" t="str">
        <f>HYPERLINK("https://rhld.insurance.arkansas.gov/NPILookup?Npi=1316672116","1316672116")</f>
        <v>1316672116</v>
      </c>
      <c r="E2803" t="s">
        <v>20925</v>
      </c>
    </row>
    <row r="2804" spans="1:5" x14ac:dyDescent="0.25">
      <c r="A2804" t="s">
        <v>1</v>
      </c>
      <c r="B2804" t="s">
        <v>19</v>
      </c>
      <c r="C2804" t="s">
        <v>23490</v>
      </c>
      <c r="D2804" t="str">
        <f>HYPERLINK("https://rhld.insurance.arkansas.gov/NPILookup?Npi=1316677230","1316677230")</f>
        <v>1316677230</v>
      </c>
      <c r="E2804" t="s">
        <v>20926</v>
      </c>
    </row>
    <row r="2805" spans="1:5" x14ac:dyDescent="0.25">
      <c r="A2805" t="s">
        <v>1</v>
      </c>
      <c r="B2805" t="s">
        <v>19</v>
      </c>
      <c r="C2805" t="s">
        <v>23490</v>
      </c>
      <c r="D2805" t="str">
        <f>HYPERLINK("https://rhld.insurance.arkansas.gov/NPILookup?Npi=1316694466","1316694466")</f>
        <v>1316694466</v>
      </c>
      <c r="E2805" t="s">
        <v>19615</v>
      </c>
    </row>
    <row r="2806" spans="1:5" x14ac:dyDescent="0.25">
      <c r="A2806" t="s">
        <v>1</v>
      </c>
      <c r="B2806" t="s">
        <v>19</v>
      </c>
      <c r="C2806" t="s">
        <v>23490</v>
      </c>
      <c r="D2806" t="str">
        <f>HYPERLINK("https://rhld.insurance.arkansas.gov/NPILookup?Npi=1316699028","1316699028")</f>
        <v>1316699028</v>
      </c>
      <c r="E2806" t="s">
        <v>19616</v>
      </c>
    </row>
    <row r="2807" spans="1:5" x14ac:dyDescent="0.25">
      <c r="A2807" t="s">
        <v>1</v>
      </c>
      <c r="B2807" t="s">
        <v>19</v>
      </c>
      <c r="C2807" t="s">
        <v>23490</v>
      </c>
      <c r="D2807" t="str">
        <f>HYPERLINK("https://rhld.insurance.arkansas.gov/NPILookup?Npi=1316901994","1316901994")</f>
        <v>1316901994</v>
      </c>
      <c r="E2807" t="s">
        <v>1127</v>
      </c>
    </row>
    <row r="2808" spans="1:5" x14ac:dyDescent="0.25">
      <c r="A2808" t="s">
        <v>1</v>
      </c>
      <c r="B2808" t="s">
        <v>19</v>
      </c>
      <c r="C2808" t="s">
        <v>23490</v>
      </c>
      <c r="D2808" t="str">
        <f>HYPERLINK("https://rhld.insurance.arkansas.gov/NPILookup?Npi=1316902901","1316902901")</f>
        <v>1316902901</v>
      </c>
      <c r="E2808" t="s">
        <v>1128</v>
      </c>
    </row>
    <row r="2809" spans="1:5" x14ac:dyDescent="0.25">
      <c r="A2809" t="s">
        <v>1</v>
      </c>
      <c r="B2809" t="s">
        <v>19</v>
      </c>
      <c r="C2809" t="s">
        <v>23490</v>
      </c>
      <c r="D2809" t="str">
        <f>HYPERLINK("https://rhld.insurance.arkansas.gov/NPILookup?Npi=1316903602","1316903602")</f>
        <v>1316903602</v>
      </c>
      <c r="E2809" t="s">
        <v>16928</v>
      </c>
    </row>
    <row r="2810" spans="1:5" x14ac:dyDescent="0.25">
      <c r="A2810" t="s">
        <v>1</v>
      </c>
      <c r="B2810" t="s">
        <v>19</v>
      </c>
      <c r="C2810" t="s">
        <v>23490</v>
      </c>
      <c r="D2810" t="str">
        <f>HYPERLINK("https://rhld.insurance.arkansas.gov/NPILookup?Npi=1316904865","1316904865")</f>
        <v>1316904865</v>
      </c>
      <c r="E2810" t="s">
        <v>1129</v>
      </c>
    </row>
    <row r="2811" spans="1:5" x14ac:dyDescent="0.25">
      <c r="A2811" t="s">
        <v>1</v>
      </c>
      <c r="B2811" t="s">
        <v>19</v>
      </c>
      <c r="C2811" t="s">
        <v>23490</v>
      </c>
      <c r="D2811" t="str">
        <f>HYPERLINK("https://rhld.insurance.arkansas.gov/NPILookup?Npi=1316906548","1316906548")</f>
        <v>1316906548</v>
      </c>
      <c r="E2811" t="s">
        <v>1130</v>
      </c>
    </row>
    <row r="2812" spans="1:5" x14ac:dyDescent="0.25">
      <c r="A2812" t="s">
        <v>1</v>
      </c>
      <c r="B2812" t="s">
        <v>19</v>
      </c>
      <c r="C2812" t="s">
        <v>23490</v>
      </c>
      <c r="D2812" t="str">
        <f>HYPERLINK("https://rhld.insurance.arkansas.gov/NPILookup?Npi=1316916844","1316916844")</f>
        <v>1316916844</v>
      </c>
      <c r="E2812" t="s">
        <v>1132</v>
      </c>
    </row>
    <row r="2813" spans="1:5" x14ac:dyDescent="0.25">
      <c r="A2813" t="s">
        <v>1</v>
      </c>
      <c r="B2813" t="s">
        <v>19</v>
      </c>
      <c r="C2813" t="s">
        <v>23490</v>
      </c>
      <c r="D2813" t="str">
        <f>HYPERLINK("https://rhld.insurance.arkansas.gov/NPILookup?Npi=1316918964","1316918964")</f>
        <v>1316918964</v>
      </c>
      <c r="E2813" t="s">
        <v>1133</v>
      </c>
    </row>
    <row r="2814" spans="1:5" x14ac:dyDescent="0.25">
      <c r="A2814" t="s">
        <v>1</v>
      </c>
      <c r="B2814" t="s">
        <v>19</v>
      </c>
      <c r="C2814" t="s">
        <v>23490</v>
      </c>
      <c r="D2814" t="str">
        <f>HYPERLINK("https://rhld.insurance.arkansas.gov/NPILookup?Npi=1316927403","1316927403")</f>
        <v>1316927403</v>
      </c>
      <c r="E2814" t="s">
        <v>1134</v>
      </c>
    </row>
    <row r="2815" spans="1:5" x14ac:dyDescent="0.25">
      <c r="A2815" t="s">
        <v>1</v>
      </c>
      <c r="B2815" t="s">
        <v>19</v>
      </c>
      <c r="C2815" t="s">
        <v>23490</v>
      </c>
      <c r="D2815" t="str">
        <f>HYPERLINK("https://rhld.insurance.arkansas.gov/NPILookup?Npi=1316928955","1316928955")</f>
        <v>1316928955</v>
      </c>
      <c r="E2815" t="s">
        <v>15000</v>
      </c>
    </row>
    <row r="2816" spans="1:5" x14ac:dyDescent="0.25">
      <c r="A2816" t="s">
        <v>1</v>
      </c>
      <c r="B2816" t="s">
        <v>19</v>
      </c>
      <c r="C2816" t="s">
        <v>23490</v>
      </c>
      <c r="D2816" t="str">
        <f>HYPERLINK("https://rhld.insurance.arkansas.gov/NPILookup?Npi=1316930704","1316930704")</f>
        <v>1316930704</v>
      </c>
      <c r="E2816" t="s">
        <v>1135</v>
      </c>
    </row>
    <row r="2817" spans="1:5" x14ac:dyDescent="0.25">
      <c r="A2817" t="s">
        <v>1</v>
      </c>
      <c r="B2817" t="s">
        <v>19</v>
      </c>
      <c r="C2817" t="s">
        <v>23490</v>
      </c>
      <c r="D2817" t="str">
        <f>HYPERLINK("https://rhld.insurance.arkansas.gov/NPILookup?Npi=1316930944","1316930944")</f>
        <v>1316930944</v>
      </c>
      <c r="E2817" t="s">
        <v>1136</v>
      </c>
    </row>
    <row r="2818" spans="1:5" x14ac:dyDescent="0.25">
      <c r="A2818" t="s">
        <v>1</v>
      </c>
      <c r="B2818" t="s">
        <v>19</v>
      </c>
      <c r="C2818" t="s">
        <v>23490</v>
      </c>
      <c r="D2818" t="str">
        <f>HYPERLINK("https://rhld.insurance.arkansas.gov/NPILookup?Npi=1316933575","1316933575")</f>
        <v>1316933575</v>
      </c>
      <c r="E2818" t="s">
        <v>1137</v>
      </c>
    </row>
    <row r="2819" spans="1:5" x14ac:dyDescent="0.25">
      <c r="A2819" t="s">
        <v>1</v>
      </c>
      <c r="B2819" t="s">
        <v>19</v>
      </c>
      <c r="C2819" t="s">
        <v>23490</v>
      </c>
      <c r="D2819" t="str">
        <f>HYPERLINK("https://rhld.insurance.arkansas.gov/NPILookup?Npi=1316936917","1316936917")</f>
        <v>1316936917</v>
      </c>
      <c r="E2819" t="s">
        <v>1138</v>
      </c>
    </row>
    <row r="2820" spans="1:5" x14ac:dyDescent="0.25">
      <c r="A2820" t="s">
        <v>1</v>
      </c>
      <c r="B2820" t="s">
        <v>19</v>
      </c>
      <c r="C2820" t="s">
        <v>23490</v>
      </c>
      <c r="D2820" t="str">
        <f>HYPERLINK("https://rhld.insurance.arkansas.gov/NPILookup?Npi=1316941040","1316941040")</f>
        <v>1316941040</v>
      </c>
      <c r="E2820" t="s">
        <v>15001</v>
      </c>
    </row>
    <row r="2821" spans="1:5" x14ac:dyDescent="0.25">
      <c r="A2821" t="s">
        <v>1</v>
      </c>
      <c r="B2821" t="s">
        <v>19</v>
      </c>
      <c r="C2821" t="s">
        <v>23490</v>
      </c>
      <c r="D2821" t="str">
        <f>HYPERLINK("https://rhld.insurance.arkansas.gov/NPILookup?Npi=1316943632","1316943632")</f>
        <v>1316943632</v>
      </c>
      <c r="E2821" t="s">
        <v>1140</v>
      </c>
    </row>
    <row r="2822" spans="1:5" x14ac:dyDescent="0.25">
      <c r="A2822" t="s">
        <v>1</v>
      </c>
      <c r="B2822" t="s">
        <v>19</v>
      </c>
      <c r="C2822" t="s">
        <v>23490</v>
      </c>
      <c r="D2822" t="str">
        <f>HYPERLINK("https://rhld.insurance.arkansas.gov/NPILookup?Npi=1316948003","1316948003")</f>
        <v>1316948003</v>
      </c>
      <c r="E2822" t="s">
        <v>8616</v>
      </c>
    </row>
    <row r="2823" spans="1:5" x14ac:dyDescent="0.25">
      <c r="A2823" t="s">
        <v>1</v>
      </c>
      <c r="B2823" t="s">
        <v>19</v>
      </c>
      <c r="C2823" t="s">
        <v>23490</v>
      </c>
      <c r="D2823" t="str">
        <f>HYPERLINK("https://rhld.insurance.arkansas.gov/NPILookup?Npi=1316949159","1316949159")</f>
        <v>1316949159</v>
      </c>
      <c r="E2823" t="s">
        <v>1141</v>
      </c>
    </row>
    <row r="2824" spans="1:5" x14ac:dyDescent="0.25">
      <c r="A2824" t="s">
        <v>1</v>
      </c>
      <c r="B2824" t="s">
        <v>19</v>
      </c>
      <c r="C2824" t="s">
        <v>23490</v>
      </c>
      <c r="D2824" t="str">
        <f>HYPERLINK("https://rhld.insurance.arkansas.gov/NPILookup?Npi=1316949167","1316949167")</f>
        <v>1316949167</v>
      </c>
      <c r="E2824" t="s">
        <v>1142</v>
      </c>
    </row>
    <row r="2825" spans="1:5" x14ac:dyDescent="0.25">
      <c r="A2825" t="s">
        <v>1</v>
      </c>
      <c r="B2825" t="s">
        <v>19</v>
      </c>
      <c r="C2825" t="s">
        <v>23490</v>
      </c>
      <c r="D2825" t="str">
        <f>HYPERLINK("https://rhld.insurance.arkansas.gov/NPILookup?Npi=1316949308","1316949308")</f>
        <v>1316949308</v>
      </c>
      <c r="E2825" t="s">
        <v>1143</v>
      </c>
    </row>
    <row r="2826" spans="1:5" x14ac:dyDescent="0.25">
      <c r="A2826" t="s">
        <v>1</v>
      </c>
      <c r="B2826" t="s">
        <v>19</v>
      </c>
      <c r="C2826" t="s">
        <v>23490</v>
      </c>
      <c r="D2826" t="str">
        <f>HYPERLINK("https://rhld.insurance.arkansas.gov/NPILookup?Npi=1316954860","1316954860")</f>
        <v>1316954860</v>
      </c>
      <c r="E2826" t="s">
        <v>1144</v>
      </c>
    </row>
    <row r="2827" spans="1:5" x14ac:dyDescent="0.25">
      <c r="A2827" t="s">
        <v>1</v>
      </c>
      <c r="B2827" t="s">
        <v>19</v>
      </c>
      <c r="C2827" t="s">
        <v>23490</v>
      </c>
      <c r="D2827" t="str">
        <f>HYPERLINK("https://rhld.insurance.arkansas.gov/NPILookup?Npi=1316955578","1316955578")</f>
        <v>1316955578</v>
      </c>
      <c r="E2827" t="s">
        <v>15002</v>
      </c>
    </row>
    <row r="2828" spans="1:5" x14ac:dyDescent="0.25">
      <c r="A2828" t="s">
        <v>1</v>
      </c>
      <c r="B2828" t="s">
        <v>19</v>
      </c>
      <c r="C2828" t="s">
        <v>23490</v>
      </c>
      <c r="D2828" t="str">
        <f>HYPERLINK("https://rhld.insurance.arkansas.gov/NPILookup?Npi=1316957889","1316957889")</f>
        <v>1316957889</v>
      </c>
      <c r="E2828" t="s">
        <v>1145</v>
      </c>
    </row>
    <row r="2829" spans="1:5" x14ac:dyDescent="0.25">
      <c r="A2829" t="s">
        <v>1</v>
      </c>
      <c r="B2829" t="s">
        <v>19</v>
      </c>
      <c r="C2829" t="s">
        <v>23490</v>
      </c>
      <c r="D2829" t="str">
        <f>HYPERLINK("https://rhld.insurance.arkansas.gov/NPILookup?Npi=1316959216","1316959216")</f>
        <v>1316959216</v>
      </c>
      <c r="E2829" t="s">
        <v>1146</v>
      </c>
    </row>
    <row r="2830" spans="1:5" x14ac:dyDescent="0.25">
      <c r="A2830" t="s">
        <v>1</v>
      </c>
      <c r="B2830" t="s">
        <v>19</v>
      </c>
      <c r="C2830" t="s">
        <v>23490</v>
      </c>
      <c r="D2830" t="str">
        <f>HYPERLINK("https://rhld.insurance.arkansas.gov/NPILookup?Npi=1316963234","1316963234")</f>
        <v>1316963234</v>
      </c>
      <c r="E2830" t="s">
        <v>1147</v>
      </c>
    </row>
    <row r="2831" spans="1:5" x14ac:dyDescent="0.25">
      <c r="A2831" t="s">
        <v>1</v>
      </c>
      <c r="B2831" t="s">
        <v>19</v>
      </c>
      <c r="C2831" t="s">
        <v>23490</v>
      </c>
      <c r="D2831" t="str">
        <f>HYPERLINK("https://rhld.insurance.arkansas.gov/NPILookup?Npi=1316974132","1316974132")</f>
        <v>1316974132</v>
      </c>
      <c r="E2831" t="s">
        <v>1148</v>
      </c>
    </row>
    <row r="2832" spans="1:5" x14ac:dyDescent="0.25">
      <c r="A2832" t="s">
        <v>1</v>
      </c>
      <c r="B2832" t="s">
        <v>19</v>
      </c>
      <c r="C2832" t="s">
        <v>23490</v>
      </c>
      <c r="D2832" t="str">
        <f>HYPERLINK("https://rhld.insurance.arkansas.gov/NPILookup?Npi=1316976582","1316976582")</f>
        <v>1316976582</v>
      </c>
      <c r="E2832" t="s">
        <v>15003</v>
      </c>
    </row>
    <row r="2833" spans="1:5" x14ac:dyDescent="0.25">
      <c r="A2833" t="s">
        <v>1</v>
      </c>
      <c r="B2833" t="s">
        <v>19</v>
      </c>
      <c r="C2833" t="s">
        <v>23490</v>
      </c>
      <c r="D2833" t="str">
        <f>HYPERLINK("https://rhld.insurance.arkansas.gov/NPILookup?Npi=1316979826","1316979826")</f>
        <v>1316979826</v>
      </c>
      <c r="E2833" t="s">
        <v>1149</v>
      </c>
    </row>
    <row r="2834" spans="1:5" x14ac:dyDescent="0.25">
      <c r="A2834" t="s">
        <v>1</v>
      </c>
      <c r="B2834" t="s">
        <v>19</v>
      </c>
      <c r="C2834" t="s">
        <v>23490</v>
      </c>
      <c r="D2834" t="str">
        <f>HYPERLINK("https://rhld.insurance.arkansas.gov/NPILookup?Npi=1316991276","1316991276")</f>
        <v>1316991276</v>
      </c>
      <c r="E2834" t="s">
        <v>10832</v>
      </c>
    </row>
    <row r="2835" spans="1:5" x14ac:dyDescent="0.25">
      <c r="A2835" t="s">
        <v>1</v>
      </c>
      <c r="B2835" t="s">
        <v>19</v>
      </c>
      <c r="C2835" t="s">
        <v>23490</v>
      </c>
      <c r="D2835" t="str">
        <f>HYPERLINK("https://rhld.insurance.arkansas.gov/NPILookup?Npi=1316995202","1316995202")</f>
        <v>1316995202</v>
      </c>
      <c r="E2835" t="s">
        <v>1150</v>
      </c>
    </row>
    <row r="2836" spans="1:5" x14ac:dyDescent="0.25">
      <c r="A2836" t="s">
        <v>1</v>
      </c>
      <c r="B2836" t="s">
        <v>19</v>
      </c>
      <c r="C2836" t="s">
        <v>23490</v>
      </c>
      <c r="D2836" t="str">
        <f>HYPERLINK("https://rhld.insurance.arkansas.gov/NPILookup?Npi=1316998156","1316998156")</f>
        <v>1316998156</v>
      </c>
      <c r="E2836" t="s">
        <v>1151</v>
      </c>
    </row>
    <row r="2837" spans="1:5" x14ac:dyDescent="0.25">
      <c r="A2837" t="s">
        <v>1</v>
      </c>
      <c r="B2837" t="s">
        <v>19</v>
      </c>
      <c r="C2837" t="s">
        <v>23490</v>
      </c>
      <c r="D2837" t="str">
        <f>HYPERLINK("https://rhld.insurance.arkansas.gov/NPILookup?Npi=1326001652","1326001652")</f>
        <v>1326001652</v>
      </c>
      <c r="E2837" t="s">
        <v>1152</v>
      </c>
    </row>
    <row r="2838" spans="1:5" x14ac:dyDescent="0.25">
      <c r="A2838" t="s">
        <v>1</v>
      </c>
      <c r="B2838" t="s">
        <v>19</v>
      </c>
      <c r="C2838" t="s">
        <v>23490</v>
      </c>
      <c r="D2838" t="str">
        <f>HYPERLINK("https://rhld.insurance.arkansas.gov/NPILookup?Npi=1326031915","1326031915")</f>
        <v>1326031915</v>
      </c>
      <c r="E2838" t="s">
        <v>15004</v>
      </c>
    </row>
    <row r="2839" spans="1:5" x14ac:dyDescent="0.25">
      <c r="A2839" t="s">
        <v>1</v>
      </c>
      <c r="B2839" t="s">
        <v>19</v>
      </c>
      <c r="C2839" t="s">
        <v>23490</v>
      </c>
      <c r="D2839" t="str">
        <f>HYPERLINK("https://rhld.insurance.arkansas.gov/NPILookup?Npi=1326038035","1326038035")</f>
        <v>1326038035</v>
      </c>
      <c r="E2839" t="s">
        <v>1154</v>
      </c>
    </row>
    <row r="2840" spans="1:5" x14ac:dyDescent="0.25">
      <c r="A2840" t="s">
        <v>1</v>
      </c>
      <c r="B2840" t="s">
        <v>19</v>
      </c>
      <c r="C2840" t="s">
        <v>23490</v>
      </c>
      <c r="D2840" t="str">
        <f>HYPERLINK("https://rhld.insurance.arkansas.gov/NPILookup?Npi=1326042037","1326042037")</f>
        <v>1326042037</v>
      </c>
      <c r="E2840" t="s">
        <v>1155</v>
      </c>
    </row>
    <row r="2841" spans="1:5" x14ac:dyDescent="0.25">
      <c r="A2841" t="s">
        <v>1</v>
      </c>
      <c r="B2841" t="s">
        <v>19</v>
      </c>
      <c r="C2841" t="s">
        <v>23490</v>
      </c>
      <c r="D2841" t="str">
        <f>HYPERLINK("https://rhld.insurance.arkansas.gov/NPILookup?Npi=1326053208","1326053208")</f>
        <v>1326053208</v>
      </c>
      <c r="E2841" t="s">
        <v>21515</v>
      </c>
    </row>
    <row r="2842" spans="1:5" x14ac:dyDescent="0.25">
      <c r="A2842" t="s">
        <v>1</v>
      </c>
      <c r="B2842" t="s">
        <v>19</v>
      </c>
      <c r="C2842" t="s">
        <v>23490</v>
      </c>
      <c r="D2842" t="str">
        <f>HYPERLINK("https://rhld.insurance.arkansas.gov/NPILookup?Npi=1326063553","1326063553")</f>
        <v>1326063553</v>
      </c>
      <c r="E2842" t="s">
        <v>1156</v>
      </c>
    </row>
    <row r="2843" spans="1:5" x14ac:dyDescent="0.25">
      <c r="A2843" t="s">
        <v>1</v>
      </c>
      <c r="B2843" t="s">
        <v>19</v>
      </c>
      <c r="C2843" t="s">
        <v>23490</v>
      </c>
      <c r="D2843" t="str">
        <f>HYPERLINK("https://rhld.insurance.arkansas.gov/NPILookup?Npi=1326071176","1326071176")</f>
        <v>1326071176</v>
      </c>
      <c r="E2843" t="s">
        <v>19617</v>
      </c>
    </row>
    <row r="2844" spans="1:5" x14ac:dyDescent="0.25">
      <c r="A2844" t="s">
        <v>1</v>
      </c>
      <c r="B2844" t="s">
        <v>19</v>
      </c>
      <c r="C2844" t="s">
        <v>23490</v>
      </c>
      <c r="D2844" t="str">
        <f>HYPERLINK("https://rhld.insurance.arkansas.gov/NPILookup?Npi=1326071283","1326071283")</f>
        <v>1326071283</v>
      </c>
      <c r="E2844" t="s">
        <v>1157</v>
      </c>
    </row>
    <row r="2845" spans="1:5" x14ac:dyDescent="0.25">
      <c r="A2845" t="s">
        <v>1</v>
      </c>
      <c r="B2845" t="s">
        <v>19</v>
      </c>
      <c r="C2845" t="s">
        <v>23490</v>
      </c>
      <c r="D2845" t="str">
        <f>HYPERLINK("https://rhld.insurance.arkansas.gov/NPILookup?Npi=1326076407","1326076407")</f>
        <v>1326076407</v>
      </c>
      <c r="E2845" t="s">
        <v>1158</v>
      </c>
    </row>
    <row r="2846" spans="1:5" x14ac:dyDescent="0.25">
      <c r="A2846" t="s">
        <v>1</v>
      </c>
      <c r="B2846" t="s">
        <v>19</v>
      </c>
      <c r="C2846" t="s">
        <v>23490</v>
      </c>
      <c r="D2846" t="str">
        <f>HYPERLINK("https://rhld.insurance.arkansas.gov/NPILookup?Npi=1326078957","1326078957")</f>
        <v>1326078957</v>
      </c>
      <c r="E2846" t="s">
        <v>1159</v>
      </c>
    </row>
    <row r="2847" spans="1:5" x14ac:dyDescent="0.25">
      <c r="A2847" t="s">
        <v>1</v>
      </c>
      <c r="B2847" t="s">
        <v>19</v>
      </c>
      <c r="C2847" t="s">
        <v>23490</v>
      </c>
      <c r="D2847" t="str">
        <f>HYPERLINK("https://rhld.insurance.arkansas.gov/NPILookup?Npi=1326086323","1326086323")</f>
        <v>1326086323</v>
      </c>
      <c r="E2847" t="s">
        <v>1160</v>
      </c>
    </row>
    <row r="2848" spans="1:5" x14ac:dyDescent="0.25">
      <c r="A2848" t="s">
        <v>1</v>
      </c>
      <c r="B2848" t="s">
        <v>19</v>
      </c>
      <c r="C2848" t="s">
        <v>23490</v>
      </c>
      <c r="D2848" t="str">
        <f>HYPERLINK("https://rhld.insurance.arkansas.gov/NPILookup?Npi=1326097197","1326097197")</f>
        <v>1326097197</v>
      </c>
      <c r="E2848" t="s">
        <v>1161</v>
      </c>
    </row>
    <row r="2849" spans="1:5" x14ac:dyDescent="0.25">
      <c r="A2849" t="s">
        <v>1</v>
      </c>
      <c r="B2849" t="s">
        <v>19</v>
      </c>
      <c r="C2849" t="s">
        <v>23490</v>
      </c>
      <c r="D2849" t="str">
        <f>HYPERLINK("https://rhld.insurance.arkansas.gov/NPILookup?Npi=1326098237","1326098237")</f>
        <v>1326098237</v>
      </c>
      <c r="E2849" t="s">
        <v>15005</v>
      </c>
    </row>
    <row r="2850" spans="1:5" x14ac:dyDescent="0.25">
      <c r="A2850" t="s">
        <v>1</v>
      </c>
      <c r="B2850" t="s">
        <v>19</v>
      </c>
      <c r="C2850" t="s">
        <v>23490</v>
      </c>
      <c r="D2850" t="str">
        <f>HYPERLINK("https://rhld.insurance.arkansas.gov/NPILookup?Npi=1326099516","1326099516")</f>
        <v>1326099516</v>
      </c>
      <c r="E2850" t="s">
        <v>15006</v>
      </c>
    </row>
    <row r="2851" spans="1:5" x14ac:dyDescent="0.25">
      <c r="A2851" t="s">
        <v>1</v>
      </c>
      <c r="B2851" t="s">
        <v>19</v>
      </c>
      <c r="C2851" t="s">
        <v>23490</v>
      </c>
      <c r="D2851" t="str">
        <f>HYPERLINK("https://rhld.insurance.arkansas.gov/NPILookup?Npi=1326128364","1326128364")</f>
        <v>1326128364</v>
      </c>
      <c r="E2851" t="s">
        <v>1162</v>
      </c>
    </row>
    <row r="2852" spans="1:5" x14ac:dyDescent="0.25">
      <c r="A2852" t="s">
        <v>1</v>
      </c>
      <c r="B2852" t="s">
        <v>19</v>
      </c>
      <c r="C2852" t="s">
        <v>23490</v>
      </c>
      <c r="D2852" t="str">
        <f>HYPERLINK("https://rhld.insurance.arkansas.gov/NPILookup?Npi=1326140237","1326140237")</f>
        <v>1326140237</v>
      </c>
      <c r="E2852" t="s">
        <v>1163</v>
      </c>
    </row>
    <row r="2853" spans="1:5" x14ac:dyDescent="0.25">
      <c r="A2853" t="s">
        <v>1</v>
      </c>
      <c r="B2853" t="s">
        <v>19</v>
      </c>
      <c r="C2853" t="s">
        <v>23490</v>
      </c>
      <c r="D2853" t="str">
        <f>HYPERLINK("https://rhld.insurance.arkansas.gov/NPILookup?Npi=1326152448","1326152448")</f>
        <v>1326152448</v>
      </c>
      <c r="E2853" t="s">
        <v>1164</v>
      </c>
    </row>
    <row r="2854" spans="1:5" x14ac:dyDescent="0.25">
      <c r="A2854" t="s">
        <v>1</v>
      </c>
      <c r="B2854" t="s">
        <v>19</v>
      </c>
      <c r="C2854" t="s">
        <v>23490</v>
      </c>
      <c r="D2854" t="str">
        <f>HYPERLINK("https://rhld.insurance.arkansas.gov/NPILookup?Npi=1326154501","1326154501")</f>
        <v>1326154501</v>
      </c>
      <c r="E2854" t="s">
        <v>1165</v>
      </c>
    </row>
    <row r="2855" spans="1:5" x14ac:dyDescent="0.25">
      <c r="A2855" t="s">
        <v>1</v>
      </c>
      <c r="B2855" t="s">
        <v>19</v>
      </c>
      <c r="C2855" t="s">
        <v>23490</v>
      </c>
      <c r="D2855" t="str">
        <f>HYPERLINK("https://rhld.insurance.arkansas.gov/NPILookup?Npi=1326186412","1326186412")</f>
        <v>1326186412</v>
      </c>
      <c r="E2855" t="s">
        <v>1166</v>
      </c>
    </row>
    <row r="2856" spans="1:5" x14ac:dyDescent="0.25">
      <c r="A2856" t="s">
        <v>1</v>
      </c>
      <c r="B2856" t="s">
        <v>19</v>
      </c>
      <c r="C2856" t="s">
        <v>23490</v>
      </c>
      <c r="D2856" t="str">
        <f>HYPERLINK("https://rhld.insurance.arkansas.gov/NPILookup?Npi=1326188764","1326188764")</f>
        <v>1326188764</v>
      </c>
      <c r="E2856" t="s">
        <v>10833</v>
      </c>
    </row>
    <row r="2857" spans="1:5" x14ac:dyDescent="0.25">
      <c r="A2857" t="s">
        <v>1</v>
      </c>
      <c r="B2857" t="s">
        <v>19</v>
      </c>
      <c r="C2857" t="s">
        <v>23490</v>
      </c>
      <c r="D2857" t="str">
        <f>HYPERLINK("https://rhld.insurance.arkansas.gov/NPILookup?Npi=1326188806","1326188806")</f>
        <v>1326188806</v>
      </c>
      <c r="E2857" t="s">
        <v>15007</v>
      </c>
    </row>
    <row r="2858" spans="1:5" x14ac:dyDescent="0.25">
      <c r="A2858" t="s">
        <v>1</v>
      </c>
      <c r="B2858" t="s">
        <v>19</v>
      </c>
      <c r="C2858" t="s">
        <v>23490</v>
      </c>
      <c r="D2858" t="str">
        <f>HYPERLINK("https://rhld.insurance.arkansas.gov/NPILookup?Npi=1326198110","1326198110")</f>
        <v>1326198110</v>
      </c>
      <c r="E2858" t="s">
        <v>17950</v>
      </c>
    </row>
    <row r="2859" spans="1:5" x14ac:dyDescent="0.25">
      <c r="A2859" t="s">
        <v>1</v>
      </c>
      <c r="B2859" t="s">
        <v>19</v>
      </c>
      <c r="C2859" t="s">
        <v>23490</v>
      </c>
      <c r="D2859" t="str">
        <f>HYPERLINK("https://rhld.insurance.arkansas.gov/NPILookup?Npi=1326203720","1326203720")</f>
        <v>1326203720</v>
      </c>
      <c r="E2859" t="s">
        <v>13473</v>
      </c>
    </row>
    <row r="2860" spans="1:5" x14ac:dyDescent="0.25">
      <c r="A2860" t="s">
        <v>1</v>
      </c>
      <c r="B2860" t="s">
        <v>19</v>
      </c>
      <c r="C2860" t="s">
        <v>23490</v>
      </c>
      <c r="D2860" t="str">
        <f>HYPERLINK("https://rhld.insurance.arkansas.gov/NPILookup?Npi=1326222183","1326222183")</f>
        <v>1326222183</v>
      </c>
      <c r="E2860" t="s">
        <v>19618</v>
      </c>
    </row>
    <row r="2861" spans="1:5" x14ac:dyDescent="0.25">
      <c r="A2861" t="s">
        <v>1</v>
      </c>
      <c r="B2861" t="s">
        <v>19</v>
      </c>
      <c r="C2861" t="s">
        <v>23490</v>
      </c>
      <c r="D2861" t="str">
        <f>HYPERLINK("https://rhld.insurance.arkansas.gov/NPILookup?Npi=1326240797","1326240797")</f>
        <v>1326240797</v>
      </c>
      <c r="E2861" t="s">
        <v>1167</v>
      </c>
    </row>
    <row r="2862" spans="1:5" x14ac:dyDescent="0.25">
      <c r="A2862" t="s">
        <v>1</v>
      </c>
      <c r="B2862" t="s">
        <v>19</v>
      </c>
      <c r="C2862" t="s">
        <v>23490</v>
      </c>
      <c r="D2862" t="str">
        <f>HYPERLINK("https://rhld.insurance.arkansas.gov/NPILookup?Npi=1326244260","1326244260")</f>
        <v>1326244260</v>
      </c>
      <c r="E2862" t="s">
        <v>1168</v>
      </c>
    </row>
    <row r="2863" spans="1:5" x14ac:dyDescent="0.25">
      <c r="A2863" t="s">
        <v>1</v>
      </c>
      <c r="B2863" t="s">
        <v>19</v>
      </c>
      <c r="C2863" t="s">
        <v>23490</v>
      </c>
      <c r="D2863" t="str">
        <f>HYPERLINK("https://rhld.insurance.arkansas.gov/NPILookup?Npi=1326245291","1326245291")</f>
        <v>1326245291</v>
      </c>
      <c r="E2863" t="s">
        <v>1169</v>
      </c>
    </row>
    <row r="2864" spans="1:5" x14ac:dyDescent="0.25">
      <c r="A2864" t="s">
        <v>1</v>
      </c>
      <c r="B2864" t="s">
        <v>19</v>
      </c>
      <c r="C2864" t="s">
        <v>23490</v>
      </c>
      <c r="D2864" t="str">
        <f>HYPERLINK("https://rhld.insurance.arkansas.gov/NPILookup?Npi=1326246190","1326246190")</f>
        <v>1326246190</v>
      </c>
      <c r="E2864" t="s">
        <v>1170</v>
      </c>
    </row>
    <row r="2865" spans="1:5" x14ac:dyDescent="0.25">
      <c r="A2865" t="s">
        <v>1</v>
      </c>
      <c r="B2865" t="s">
        <v>19</v>
      </c>
      <c r="C2865" t="s">
        <v>23490</v>
      </c>
      <c r="D2865" t="str">
        <f>HYPERLINK("https://rhld.insurance.arkansas.gov/NPILookup?Npi=1326261199","1326261199")</f>
        <v>1326261199</v>
      </c>
      <c r="E2865" t="s">
        <v>19619</v>
      </c>
    </row>
    <row r="2866" spans="1:5" x14ac:dyDescent="0.25">
      <c r="A2866" t="s">
        <v>1</v>
      </c>
      <c r="B2866" t="s">
        <v>19</v>
      </c>
      <c r="C2866" t="s">
        <v>23490</v>
      </c>
      <c r="D2866" t="str">
        <f>HYPERLINK("https://rhld.insurance.arkansas.gov/NPILookup?Npi=1326282799","1326282799")</f>
        <v>1326282799</v>
      </c>
      <c r="E2866" t="s">
        <v>1171</v>
      </c>
    </row>
    <row r="2867" spans="1:5" x14ac:dyDescent="0.25">
      <c r="A2867" t="s">
        <v>1</v>
      </c>
      <c r="B2867" t="s">
        <v>19</v>
      </c>
      <c r="C2867" t="s">
        <v>23490</v>
      </c>
      <c r="D2867" t="str">
        <f>HYPERLINK("https://rhld.insurance.arkansas.gov/NPILookup?Npi=1326291089","1326291089")</f>
        <v>1326291089</v>
      </c>
      <c r="E2867" t="s">
        <v>22923</v>
      </c>
    </row>
    <row r="2868" spans="1:5" x14ac:dyDescent="0.25">
      <c r="A2868" t="s">
        <v>1</v>
      </c>
      <c r="B2868" t="s">
        <v>19</v>
      </c>
      <c r="C2868" t="s">
        <v>23490</v>
      </c>
      <c r="D2868" t="str">
        <f>HYPERLINK("https://rhld.insurance.arkansas.gov/NPILookup?Npi=1326319138","1326319138")</f>
        <v>1326319138</v>
      </c>
      <c r="E2868" t="s">
        <v>1172</v>
      </c>
    </row>
    <row r="2869" spans="1:5" x14ac:dyDescent="0.25">
      <c r="A2869" t="s">
        <v>1</v>
      </c>
      <c r="B2869" t="s">
        <v>19</v>
      </c>
      <c r="C2869" t="s">
        <v>23490</v>
      </c>
      <c r="D2869" t="str">
        <f>HYPERLINK("https://rhld.insurance.arkansas.gov/NPILookup?Npi=1326320276","1326320276")</f>
        <v>1326320276</v>
      </c>
      <c r="E2869" t="s">
        <v>1173</v>
      </c>
    </row>
    <row r="2870" spans="1:5" x14ac:dyDescent="0.25">
      <c r="A2870" t="s">
        <v>1</v>
      </c>
      <c r="B2870" t="s">
        <v>19</v>
      </c>
      <c r="C2870" t="s">
        <v>23490</v>
      </c>
      <c r="D2870" t="str">
        <f>HYPERLINK("https://rhld.insurance.arkansas.gov/NPILookup?Npi=1326344045","1326344045")</f>
        <v>1326344045</v>
      </c>
      <c r="E2870" t="s">
        <v>8618</v>
      </c>
    </row>
    <row r="2871" spans="1:5" x14ac:dyDescent="0.25">
      <c r="A2871" t="s">
        <v>1</v>
      </c>
      <c r="B2871" t="s">
        <v>19</v>
      </c>
      <c r="C2871" t="s">
        <v>23490</v>
      </c>
      <c r="D2871" t="str">
        <f>HYPERLINK("https://rhld.insurance.arkansas.gov/NPILookup?Npi=1326346461","1326346461")</f>
        <v>1326346461</v>
      </c>
      <c r="E2871" t="s">
        <v>17951</v>
      </c>
    </row>
    <row r="2872" spans="1:5" x14ac:dyDescent="0.25">
      <c r="A2872" t="s">
        <v>1</v>
      </c>
      <c r="B2872" t="s">
        <v>19</v>
      </c>
      <c r="C2872" t="s">
        <v>23490</v>
      </c>
      <c r="D2872" t="str">
        <f>HYPERLINK("https://rhld.insurance.arkansas.gov/NPILookup?Npi=1326354739","1326354739")</f>
        <v>1326354739</v>
      </c>
      <c r="E2872" t="s">
        <v>1174</v>
      </c>
    </row>
    <row r="2873" spans="1:5" x14ac:dyDescent="0.25">
      <c r="A2873" t="s">
        <v>1</v>
      </c>
      <c r="B2873" t="s">
        <v>19</v>
      </c>
      <c r="C2873" t="s">
        <v>23490</v>
      </c>
      <c r="D2873" t="str">
        <f>HYPERLINK("https://rhld.insurance.arkansas.gov/NPILookup?Npi=1326356890","1326356890")</f>
        <v>1326356890</v>
      </c>
      <c r="E2873" t="s">
        <v>13474</v>
      </c>
    </row>
    <row r="2874" spans="1:5" x14ac:dyDescent="0.25">
      <c r="A2874" t="s">
        <v>1</v>
      </c>
      <c r="B2874" t="s">
        <v>19</v>
      </c>
      <c r="C2874" t="s">
        <v>23490</v>
      </c>
      <c r="D2874" t="str">
        <f>HYPERLINK("https://rhld.insurance.arkansas.gov/NPILookup?Npi=1326358565","1326358565")</f>
        <v>1326358565</v>
      </c>
      <c r="E2874" t="s">
        <v>8619</v>
      </c>
    </row>
    <row r="2875" spans="1:5" x14ac:dyDescent="0.25">
      <c r="A2875" t="s">
        <v>1</v>
      </c>
      <c r="B2875" t="s">
        <v>19</v>
      </c>
      <c r="C2875" t="s">
        <v>23490</v>
      </c>
      <c r="D2875" t="str">
        <f>HYPERLINK("https://rhld.insurance.arkansas.gov/NPILookup?Npi=1326359472","1326359472")</f>
        <v>1326359472</v>
      </c>
      <c r="E2875" t="s">
        <v>1175</v>
      </c>
    </row>
    <row r="2876" spans="1:5" x14ac:dyDescent="0.25">
      <c r="A2876" t="s">
        <v>1</v>
      </c>
      <c r="B2876" t="s">
        <v>19</v>
      </c>
      <c r="C2876" t="s">
        <v>23490</v>
      </c>
      <c r="D2876" t="str">
        <f>HYPERLINK("https://rhld.insurance.arkansas.gov/NPILookup?Npi=1326381468","1326381468")</f>
        <v>1326381468</v>
      </c>
      <c r="E2876" t="s">
        <v>19620</v>
      </c>
    </row>
    <row r="2877" spans="1:5" x14ac:dyDescent="0.25">
      <c r="A2877" t="s">
        <v>1</v>
      </c>
      <c r="B2877" t="s">
        <v>19</v>
      </c>
      <c r="C2877" t="s">
        <v>23490</v>
      </c>
      <c r="D2877" t="str">
        <f>HYPERLINK("https://rhld.insurance.arkansas.gov/NPILookup?Npi=1326388125","1326388125")</f>
        <v>1326388125</v>
      </c>
      <c r="E2877" t="s">
        <v>19621</v>
      </c>
    </row>
    <row r="2878" spans="1:5" x14ac:dyDescent="0.25">
      <c r="A2878" t="s">
        <v>1</v>
      </c>
      <c r="B2878" t="s">
        <v>19</v>
      </c>
      <c r="C2878" t="s">
        <v>23490</v>
      </c>
      <c r="D2878" t="str">
        <f>HYPERLINK("https://rhld.insurance.arkansas.gov/NPILookup?Npi=1326392671","1326392671")</f>
        <v>1326392671</v>
      </c>
      <c r="E2878" t="s">
        <v>1176</v>
      </c>
    </row>
    <row r="2879" spans="1:5" x14ac:dyDescent="0.25">
      <c r="A2879" t="s">
        <v>1</v>
      </c>
      <c r="B2879" t="s">
        <v>19</v>
      </c>
      <c r="C2879" t="s">
        <v>23490</v>
      </c>
      <c r="D2879" t="str">
        <f>HYPERLINK("https://rhld.insurance.arkansas.gov/NPILookup?Npi=1326406372","1326406372")</f>
        <v>1326406372</v>
      </c>
      <c r="E2879" t="s">
        <v>15008</v>
      </c>
    </row>
    <row r="2880" spans="1:5" x14ac:dyDescent="0.25">
      <c r="A2880" t="s">
        <v>1</v>
      </c>
      <c r="B2880" t="s">
        <v>19</v>
      </c>
      <c r="C2880" t="s">
        <v>23490</v>
      </c>
      <c r="D2880" t="str">
        <f>HYPERLINK("https://rhld.insurance.arkansas.gov/NPILookup?Npi=1326411232","1326411232")</f>
        <v>1326411232</v>
      </c>
      <c r="E2880" t="s">
        <v>10834</v>
      </c>
    </row>
    <row r="2881" spans="1:5" x14ac:dyDescent="0.25">
      <c r="A2881" t="s">
        <v>1</v>
      </c>
      <c r="B2881" t="s">
        <v>19</v>
      </c>
      <c r="C2881" t="s">
        <v>23490</v>
      </c>
      <c r="D2881" t="str">
        <f>HYPERLINK("https://rhld.insurance.arkansas.gov/NPILookup?Npi=1326425919","1326425919")</f>
        <v>1326425919</v>
      </c>
      <c r="E2881" t="s">
        <v>16929</v>
      </c>
    </row>
    <row r="2882" spans="1:5" x14ac:dyDescent="0.25">
      <c r="A2882" t="s">
        <v>1</v>
      </c>
      <c r="B2882" t="s">
        <v>19</v>
      </c>
      <c r="C2882" t="s">
        <v>23490</v>
      </c>
      <c r="D2882" t="str">
        <f>HYPERLINK("https://rhld.insurance.arkansas.gov/NPILookup?Npi=1326427931","1326427931")</f>
        <v>1326427931</v>
      </c>
      <c r="E2882" t="s">
        <v>15009</v>
      </c>
    </row>
    <row r="2883" spans="1:5" x14ac:dyDescent="0.25">
      <c r="A2883" t="s">
        <v>1</v>
      </c>
      <c r="B2883" t="s">
        <v>19</v>
      </c>
      <c r="C2883" t="s">
        <v>23490</v>
      </c>
      <c r="D2883" t="str">
        <f>HYPERLINK("https://rhld.insurance.arkansas.gov/NPILookup?Npi=1326437831","1326437831")</f>
        <v>1326437831</v>
      </c>
      <c r="E2883" t="s">
        <v>13475</v>
      </c>
    </row>
    <row r="2884" spans="1:5" x14ac:dyDescent="0.25">
      <c r="A2884" t="s">
        <v>1</v>
      </c>
      <c r="B2884" t="s">
        <v>19</v>
      </c>
      <c r="C2884" t="s">
        <v>23490</v>
      </c>
      <c r="D2884" t="str">
        <f>HYPERLINK("https://rhld.insurance.arkansas.gov/NPILookup?Npi=1326438466","1326438466")</f>
        <v>1326438466</v>
      </c>
      <c r="E2884" t="s">
        <v>1177</v>
      </c>
    </row>
    <row r="2885" spans="1:5" x14ac:dyDescent="0.25">
      <c r="A2885" t="s">
        <v>1</v>
      </c>
      <c r="B2885" t="s">
        <v>19</v>
      </c>
      <c r="C2885" t="s">
        <v>23490</v>
      </c>
      <c r="D2885" t="str">
        <f>HYPERLINK("https://rhld.insurance.arkansas.gov/NPILookup?Npi=1326440199","1326440199")</f>
        <v>1326440199</v>
      </c>
      <c r="E2885" t="s">
        <v>1178</v>
      </c>
    </row>
    <row r="2886" spans="1:5" x14ac:dyDescent="0.25">
      <c r="A2886" t="s">
        <v>1</v>
      </c>
      <c r="B2886" t="s">
        <v>19</v>
      </c>
      <c r="C2886" t="s">
        <v>23490</v>
      </c>
      <c r="D2886" t="str">
        <f>HYPERLINK("https://rhld.insurance.arkansas.gov/NPILookup?Npi=1326445578","1326445578")</f>
        <v>1326445578</v>
      </c>
      <c r="E2886" t="s">
        <v>1179</v>
      </c>
    </row>
    <row r="2887" spans="1:5" x14ac:dyDescent="0.25">
      <c r="A2887" t="s">
        <v>1</v>
      </c>
      <c r="B2887" t="s">
        <v>19</v>
      </c>
      <c r="C2887" t="s">
        <v>23490</v>
      </c>
      <c r="D2887" t="str">
        <f>HYPERLINK("https://rhld.insurance.arkansas.gov/NPILookup?Npi=1326449182","1326449182")</f>
        <v>1326449182</v>
      </c>
      <c r="E2887" t="s">
        <v>13476</v>
      </c>
    </row>
    <row r="2888" spans="1:5" x14ac:dyDescent="0.25">
      <c r="A2888" t="s">
        <v>1</v>
      </c>
      <c r="B2888" t="s">
        <v>19</v>
      </c>
      <c r="C2888" t="s">
        <v>23490</v>
      </c>
      <c r="D2888" t="str">
        <f>HYPERLINK("https://rhld.insurance.arkansas.gov/NPILookup?Npi=1326455841","1326455841")</f>
        <v>1326455841</v>
      </c>
      <c r="E2888" t="s">
        <v>21516</v>
      </c>
    </row>
    <row r="2889" spans="1:5" x14ac:dyDescent="0.25">
      <c r="A2889" t="s">
        <v>1</v>
      </c>
      <c r="B2889" t="s">
        <v>19</v>
      </c>
      <c r="C2889" t="s">
        <v>23490</v>
      </c>
      <c r="D2889" t="str">
        <f>HYPERLINK("https://rhld.insurance.arkansas.gov/NPILookup?Npi=1326455957","1326455957")</f>
        <v>1326455957</v>
      </c>
      <c r="E2889" t="s">
        <v>1180</v>
      </c>
    </row>
    <row r="2890" spans="1:5" x14ac:dyDescent="0.25">
      <c r="A2890" t="s">
        <v>1</v>
      </c>
      <c r="B2890" t="s">
        <v>19</v>
      </c>
      <c r="C2890" t="s">
        <v>23490</v>
      </c>
      <c r="D2890" t="str">
        <f>HYPERLINK("https://rhld.insurance.arkansas.gov/NPILookup?Npi=1326458902","1326458902")</f>
        <v>1326458902</v>
      </c>
      <c r="E2890" t="s">
        <v>21517</v>
      </c>
    </row>
    <row r="2891" spans="1:5" x14ac:dyDescent="0.25">
      <c r="A2891" t="s">
        <v>1</v>
      </c>
      <c r="B2891" t="s">
        <v>19</v>
      </c>
      <c r="C2891" t="s">
        <v>23490</v>
      </c>
      <c r="D2891" t="str">
        <f>HYPERLINK("https://rhld.insurance.arkansas.gov/NPILookup?Npi=1326461500","1326461500")</f>
        <v>1326461500</v>
      </c>
      <c r="E2891" t="s">
        <v>15010</v>
      </c>
    </row>
    <row r="2892" spans="1:5" x14ac:dyDescent="0.25">
      <c r="A2892" t="s">
        <v>1</v>
      </c>
      <c r="B2892" t="s">
        <v>19</v>
      </c>
      <c r="C2892" t="s">
        <v>23490</v>
      </c>
      <c r="D2892" t="str">
        <f>HYPERLINK("https://rhld.insurance.arkansas.gov/NPILookup?Npi=1326468059","1326468059")</f>
        <v>1326468059</v>
      </c>
      <c r="E2892" t="s">
        <v>1181</v>
      </c>
    </row>
    <row r="2893" spans="1:5" x14ac:dyDescent="0.25">
      <c r="A2893" t="s">
        <v>1</v>
      </c>
      <c r="B2893" t="s">
        <v>19</v>
      </c>
      <c r="C2893" t="s">
        <v>23490</v>
      </c>
      <c r="D2893" t="str">
        <f>HYPERLINK("https://rhld.insurance.arkansas.gov/NPILookup?Npi=1326468208","1326468208")</f>
        <v>1326468208</v>
      </c>
      <c r="E2893" t="s">
        <v>13477</v>
      </c>
    </row>
    <row r="2894" spans="1:5" x14ac:dyDescent="0.25">
      <c r="A2894" t="s">
        <v>1</v>
      </c>
      <c r="B2894" t="s">
        <v>19</v>
      </c>
      <c r="C2894" t="s">
        <v>23490</v>
      </c>
      <c r="D2894" t="str">
        <f>HYPERLINK("https://rhld.insurance.arkansas.gov/NPILookup?Npi=1326468455","1326468455")</f>
        <v>1326468455</v>
      </c>
      <c r="E2894" t="s">
        <v>20927</v>
      </c>
    </row>
    <row r="2895" spans="1:5" x14ac:dyDescent="0.25">
      <c r="A2895" t="s">
        <v>1</v>
      </c>
      <c r="B2895" t="s">
        <v>19</v>
      </c>
      <c r="C2895" t="s">
        <v>23490</v>
      </c>
      <c r="D2895" t="str">
        <f>HYPERLINK("https://rhld.insurance.arkansas.gov/NPILookup?Npi=1326472002","1326472002")</f>
        <v>1326472002</v>
      </c>
      <c r="E2895" t="s">
        <v>15011</v>
      </c>
    </row>
    <row r="2896" spans="1:5" x14ac:dyDescent="0.25">
      <c r="A2896" t="s">
        <v>1</v>
      </c>
      <c r="B2896" t="s">
        <v>19</v>
      </c>
      <c r="C2896" t="s">
        <v>23490</v>
      </c>
      <c r="D2896" t="str">
        <f>HYPERLINK("https://rhld.insurance.arkansas.gov/NPILookup?Npi=1326481664","1326481664")</f>
        <v>1326481664</v>
      </c>
      <c r="E2896" t="s">
        <v>10835</v>
      </c>
    </row>
    <row r="2897" spans="1:5" x14ac:dyDescent="0.25">
      <c r="A2897" t="s">
        <v>1</v>
      </c>
      <c r="B2897" t="s">
        <v>19</v>
      </c>
      <c r="C2897" t="s">
        <v>23490</v>
      </c>
      <c r="D2897" t="str">
        <f>HYPERLINK("https://rhld.insurance.arkansas.gov/NPILookup?Npi=1326487109","1326487109")</f>
        <v>1326487109</v>
      </c>
      <c r="E2897" t="s">
        <v>8620</v>
      </c>
    </row>
    <row r="2898" spans="1:5" x14ac:dyDescent="0.25">
      <c r="A2898" t="s">
        <v>1</v>
      </c>
      <c r="B2898" t="s">
        <v>19</v>
      </c>
      <c r="C2898" t="s">
        <v>23490</v>
      </c>
      <c r="D2898" t="str">
        <f>HYPERLINK("https://rhld.insurance.arkansas.gov/NPILookup?Npi=1326490798","1326490798")</f>
        <v>1326490798</v>
      </c>
      <c r="E2898" t="s">
        <v>10836</v>
      </c>
    </row>
    <row r="2899" spans="1:5" x14ac:dyDescent="0.25">
      <c r="A2899" t="s">
        <v>1</v>
      </c>
      <c r="B2899" t="s">
        <v>19</v>
      </c>
      <c r="C2899" t="s">
        <v>23490</v>
      </c>
      <c r="D2899" t="str">
        <f>HYPERLINK("https://rhld.insurance.arkansas.gov/NPILookup?Npi=1326493941","1326493941")</f>
        <v>1326493941</v>
      </c>
      <c r="E2899" t="s">
        <v>15012</v>
      </c>
    </row>
    <row r="2900" spans="1:5" x14ac:dyDescent="0.25">
      <c r="A2900" t="s">
        <v>1</v>
      </c>
      <c r="B2900" t="s">
        <v>19</v>
      </c>
      <c r="C2900" t="s">
        <v>23490</v>
      </c>
      <c r="D2900" t="str">
        <f>HYPERLINK("https://rhld.insurance.arkansas.gov/NPILookup?Npi=1326496936","1326496936")</f>
        <v>1326496936</v>
      </c>
      <c r="E2900" t="s">
        <v>16930</v>
      </c>
    </row>
    <row r="2901" spans="1:5" x14ac:dyDescent="0.25">
      <c r="A2901" t="s">
        <v>1</v>
      </c>
      <c r="B2901" t="s">
        <v>19</v>
      </c>
      <c r="C2901" t="s">
        <v>23490</v>
      </c>
      <c r="D2901" t="str">
        <f>HYPERLINK("https://rhld.insurance.arkansas.gov/NPILookup?Npi=1326500406","1326500406")</f>
        <v>1326500406</v>
      </c>
      <c r="E2901" t="s">
        <v>20928</v>
      </c>
    </row>
    <row r="2902" spans="1:5" x14ac:dyDescent="0.25">
      <c r="A2902" t="s">
        <v>1</v>
      </c>
      <c r="B2902" t="s">
        <v>19</v>
      </c>
      <c r="C2902" t="s">
        <v>23490</v>
      </c>
      <c r="D2902" t="str">
        <f>HYPERLINK("https://rhld.insurance.arkansas.gov/NPILookup?Npi=1326510033","1326510033")</f>
        <v>1326510033</v>
      </c>
      <c r="E2902" t="s">
        <v>13478</v>
      </c>
    </row>
    <row r="2903" spans="1:5" x14ac:dyDescent="0.25">
      <c r="A2903" t="s">
        <v>1</v>
      </c>
      <c r="B2903" t="s">
        <v>19</v>
      </c>
      <c r="C2903" t="s">
        <v>23490</v>
      </c>
      <c r="D2903" t="str">
        <f>HYPERLINK("https://rhld.insurance.arkansas.gov/NPILookup?Npi=1326513201","1326513201")</f>
        <v>1326513201</v>
      </c>
      <c r="E2903" t="s">
        <v>13479</v>
      </c>
    </row>
    <row r="2904" spans="1:5" x14ac:dyDescent="0.25">
      <c r="A2904" t="s">
        <v>1</v>
      </c>
      <c r="B2904" t="s">
        <v>19</v>
      </c>
      <c r="C2904" t="s">
        <v>23490</v>
      </c>
      <c r="D2904" t="str">
        <f>HYPERLINK("https://rhld.insurance.arkansas.gov/NPILookup?Npi=1326523507","1326523507")</f>
        <v>1326523507</v>
      </c>
      <c r="E2904" t="s">
        <v>15013</v>
      </c>
    </row>
    <row r="2905" spans="1:5" x14ac:dyDescent="0.25">
      <c r="A2905" t="s">
        <v>1</v>
      </c>
      <c r="B2905" t="s">
        <v>19</v>
      </c>
      <c r="C2905" t="s">
        <v>23490</v>
      </c>
      <c r="D2905" t="str">
        <f>HYPERLINK("https://rhld.insurance.arkansas.gov/NPILookup?Npi=1326528282","1326528282")</f>
        <v>1326528282</v>
      </c>
      <c r="E2905" t="s">
        <v>18744</v>
      </c>
    </row>
    <row r="2906" spans="1:5" x14ac:dyDescent="0.25">
      <c r="A2906" t="s">
        <v>1</v>
      </c>
      <c r="B2906" t="s">
        <v>19</v>
      </c>
      <c r="C2906" t="s">
        <v>23490</v>
      </c>
      <c r="D2906" t="str">
        <f>HYPERLINK("https://rhld.insurance.arkansas.gov/NPILookup?Npi=1326535311","1326535311")</f>
        <v>1326535311</v>
      </c>
      <c r="E2906" t="s">
        <v>19622</v>
      </c>
    </row>
    <row r="2907" spans="1:5" x14ac:dyDescent="0.25">
      <c r="A2907" t="s">
        <v>1</v>
      </c>
      <c r="B2907" t="s">
        <v>19</v>
      </c>
      <c r="C2907" t="s">
        <v>23490</v>
      </c>
      <c r="D2907" t="str">
        <f>HYPERLINK("https://rhld.insurance.arkansas.gov/NPILookup?Npi=1326544305","1326544305")</f>
        <v>1326544305</v>
      </c>
      <c r="E2907" t="s">
        <v>12819</v>
      </c>
    </row>
    <row r="2908" spans="1:5" x14ac:dyDescent="0.25">
      <c r="A2908" t="s">
        <v>1</v>
      </c>
      <c r="B2908" t="s">
        <v>19</v>
      </c>
      <c r="C2908" t="s">
        <v>23490</v>
      </c>
      <c r="D2908" t="str">
        <f>HYPERLINK("https://rhld.insurance.arkansas.gov/NPILookup?Npi=1326545401","1326545401")</f>
        <v>1326545401</v>
      </c>
      <c r="E2908" t="s">
        <v>18745</v>
      </c>
    </row>
    <row r="2909" spans="1:5" x14ac:dyDescent="0.25">
      <c r="A2909" t="s">
        <v>1</v>
      </c>
      <c r="B2909" t="s">
        <v>19</v>
      </c>
      <c r="C2909" t="s">
        <v>23490</v>
      </c>
      <c r="D2909" t="str">
        <f>HYPERLINK("https://rhld.insurance.arkansas.gov/NPILookup?Npi=1326547944","1326547944")</f>
        <v>1326547944</v>
      </c>
      <c r="E2909" t="s">
        <v>12820</v>
      </c>
    </row>
    <row r="2910" spans="1:5" x14ac:dyDescent="0.25">
      <c r="A2910" t="s">
        <v>1</v>
      </c>
      <c r="B2910" t="s">
        <v>19</v>
      </c>
      <c r="C2910" t="s">
        <v>23490</v>
      </c>
      <c r="D2910" t="str">
        <f>HYPERLINK("https://rhld.insurance.arkansas.gov/NPILookup?Npi=1326555616","1326555616")</f>
        <v>1326555616</v>
      </c>
      <c r="E2910" t="s">
        <v>15014</v>
      </c>
    </row>
    <row r="2911" spans="1:5" x14ac:dyDescent="0.25">
      <c r="A2911" t="s">
        <v>1</v>
      </c>
      <c r="B2911" t="s">
        <v>19</v>
      </c>
      <c r="C2911" t="s">
        <v>23490</v>
      </c>
      <c r="D2911" t="str">
        <f>HYPERLINK("https://rhld.insurance.arkansas.gov/NPILookup?Npi=1326565607","1326565607")</f>
        <v>1326565607</v>
      </c>
      <c r="E2911" t="s">
        <v>10837</v>
      </c>
    </row>
    <row r="2912" spans="1:5" x14ac:dyDescent="0.25">
      <c r="A2912" t="s">
        <v>1</v>
      </c>
      <c r="B2912" t="s">
        <v>19</v>
      </c>
      <c r="C2912" t="s">
        <v>23490</v>
      </c>
      <c r="D2912" t="str">
        <f>HYPERLINK("https://rhld.insurance.arkansas.gov/NPILookup?Npi=1326566357","1326566357")</f>
        <v>1326566357</v>
      </c>
      <c r="E2912" t="s">
        <v>10838</v>
      </c>
    </row>
    <row r="2913" spans="1:5" x14ac:dyDescent="0.25">
      <c r="A2913" t="s">
        <v>1</v>
      </c>
      <c r="B2913" t="s">
        <v>19</v>
      </c>
      <c r="C2913" t="s">
        <v>23490</v>
      </c>
      <c r="D2913" t="str">
        <f>HYPERLINK("https://rhld.insurance.arkansas.gov/NPILookup?Npi=1326567595","1326567595")</f>
        <v>1326567595</v>
      </c>
      <c r="E2913" t="s">
        <v>19623</v>
      </c>
    </row>
    <row r="2914" spans="1:5" x14ac:dyDescent="0.25">
      <c r="A2914" t="s">
        <v>1</v>
      </c>
      <c r="B2914" t="s">
        <v>19</v>
      </c>
      <c r="C2914" t="s">
        <v>23490</v>
      </c>
      <c r="D2914" t="str">
        <f>HYPERLINK("https://rhld.insurance.arkansas.gov/NPILookup?Npi=1326571159","1326571159")</f>
        <v>1326571159</v>
      </c>
      <c r="E2914" t="s">
        <v>5284</v>
      </c>
    </row>
    <row r="2915" spans="1:5" x14ac:dyDescent="0.25">
      <c r="A2915" t="s">
        <v>1</v>
      </c>
      <c r="B2915" t="s">
        <v>19</v>
      </c>
      <c r="C2915" t="s">
        <v>23490</v>
      </c>
      <c r="D2915" t="str">
        <f>HYPERLINK("https://rhld.insurance.arkansas.gov/NPILookup?Npi=1326571779","1326571779")</f>
        <v>1326571779</v>
      </c>
      <c r="E2915" t="s">
        <v>17952</v>
      </c>
    </row>
    <row r="2916" spans="1:5" x14ac:dyDescent="0.25">
      <c r="A2916" t="s">
        <v>1</v>
      </c>
      <c r="B2916" t="s">
        <v>19</v>
      </c>
      <c r="C2916" t="s">
        <v>23490</v>
      </c>
      <c r="D2916" t="str">
        <f>HYPERLINK("https://rhld.insurance.arkansas.gov/NPILookup?Npi=1326572934","1326572934")</f>
        <v>1326572934</v>
      </c>
      <c r="E2916" t="s">
        <v>16931</v>
      </c>
    </row>
    <row r="2917" spans="1:5" x14ac:dyDescent="0.25">
      <c r="A2917" t="s">
        <v>1</v>
      </c>
      <c r="B2917" t="s">
        <v>19</v>
      </c>
      <c r="C2917" t="s">
        <v>23490</v>
      </c>
      <c r="D2917" t="str">
        <f>HYPERLINK("https://rhld.insurance.arkansas.gov/NPILookup?Npi=1326574625","1326574625")</f>
        <v>1326574625</v>
      </c>
      <c r="E2917" t="s">
        <v>19624</v>
      </c>
    </row>
    <row r="2918" spans="1:5" x14ac:dyDescent="0.25">
      <c r="A2918" t="s">
        <v>1</v>
      </c>
      <c r="B2918" t="s">
        <v>19</v>
      </c>
      <c r="C2918" t="s">
        <v>23490</v>
      </c>
      <c r="D2918" t="str">
        <f>HYPERLINK("https://rhld.insurance.arkansas.gov/NPILookup?Npi=1326583568","1326583568")</f>
        <v>1326583568</v>
      </c>
      <c r="E2918" t="s">
        <v>10839</v>
      </c>
    </row>
    <row r="2919" spans="1:5" x14ac:dyDescent="0.25">
      <c r="A2919" t="s">
        <v>1</v>
      </c>
      <c r="B2919" t="s">
        <v>19</v>
      </c>
      <c r="C2919" t="s">
        <v>23490</v>
      </c>
      <c r="D2919" t="str">
        <f>HYPERLINK("https://rhld.insurance.arkansas.gov/NPILookup?Npi=1326593336","1326593336")</f>
        <v>1326593336</v>
      </c>
      <c r="E2919" t="s">
        <v>15015</v>
      </c>
    </row>
    <row r="2920" spans="1:5" x14ac:dyDescent="0.25">
      <c r="A2920" t="s">
        <v>1</v>
      </c>
      <c r="B2920" t="s">
        <v>19</v>
      </c>
      <c r="C2920" t="s">
        <v>23490</v>
      </c>
      <c r="D2920" t="str">
        <f>HYPERLINK("https://rhld.insurance.arkansas.gov/NPILookup?Npi=1326655416","1326655416")</f>
        <v>1326655416</v>
      </c>
      <c r="E2920" t="s">
        <v>17953</v>
      </c>
    </row>
    <row r="2921" spans="1:5" x14ac:dyDescent="0.25">
      <c r="A2921" t="s">
        <v>1</v>
      </c>
      <c r="B2921" t="s">
        <v>19</v>
      </c>
      <c r="C2921" t="s">
        <v>23490</v>
      </c>
      <c r="D2921" t="str">
        <f>HYPERLINK("https://rhld.insurance.arkansas.gov/NPILookup?Npi=1326656513","1326656513")</f>
        <v>1326656513</v>
      </c>
      <c r="E2921" t="s">
        <v>19625</v>
      </c>
    </row>
    <row r="2922" spans="1:5" x14ac:dyDescent="0.25">
      <c r="A2922" t="s">
        <v>1</v>
      </c>
      <c r="B2922" t="s">
        <v>19</v>
      </c>
      <c r="C2922" t="s">
        <v>23490</v>
      </c>
      <c r="D2922" t="str">
        <f>HYPERLINK("https://rhld.insurance.arkansas.gov/NPILookup?Npi=1326663824","1326663824")</f>
        <v>1326663824</v>
      </c>
      <c r="E2922" t="s">
        <v>21518</v>
      </c>
    </row>
    <row r="2923" spans="1:5" x14ac:dyDescent="0.25">
      <c r="A2923" t="s">
        <v>1</v>
      </c>
      <c r="B2923" t="s">
        <v>19</v>
      </c>
      <c r="C2923" t="s">
        <v>23490</v>
      </c>
      <c r="D2923" t="str">
        <f>HYPERLINK("https://rhld.insurance.arkansas.gov/NPILookup?Npi=1326663857","1326663857")</f>
        <v>1326663857</v>
      </c>
      <c r="E2923" t="s">
        <v>21519</v>
      </c>
    </row>
    <row r="2924" spans="1:5" x14ac:dyDescent="0.25">
      <c r="A2924" t="s">
        <v>1</v>
      </c>
      <c r="B2924" t="s">
        <v>19</v>
      </c>
      <c r="C2924" t="s">
        <v>23490</v>
      </c>
      <c r="D2924" t="str">
        <f>HYPERLINK("https://rhld.insurance.arkansas.gov/NPILookup?Npi=1326667718","1326667718")</f>
        <v>1326667718</v>
      </c>
      <c r="E2924" t="s">
        <v>21520</v>
      </c>
    </row>
    <row r="2925" spans="1:5" x14ac:dyDescent="0.25">
      <c r="A2925" t="s">
        <v>1</v>
      </c>
      <c r="B2925" t="s">
        <v>19</v>
      </c>
      <c r="C2925" t="s">
        <v>23490</v>
      </c>
      <c r="D2925" t="str">
        <f>HYPERLINK("https://rhld.insurance.arkansas.gov/NPILookup?Npi=1326674458","1326674458")</f>
        <v>1326674458</v>
      </c>
      <c r="E2925" t="s">
        <v>21521</v>
      </c>
    </row>
    <row r="2926" spans="1:5" x14ac:dyDescent="0.25">
      <c r="A2926" t="s">
        <v>1</v>
      </c>
      <c r="B2926" t="s">
        <v>19</v>
      </c>
      <c r="C2926" t="s">
        <v>23490</v>
      </c>
      <c r="D2926" t="str">
        <f>HYPERLINK("https://rhld.insurance.arkansas.gov/NPILookup?Npi=1326684945","1326684945")</f>
        <v>1326684945</v>
      </c>
      <c r="E2926" t="s">
        <v>16932</v>
      </c>
    </row>
    <row r="2927" spans="1:5" x14ac:dyDescent="0.25">
      <c r="A2927" t="s">
        <v>1</v>
      </c>
      <c r="B2927" t="s">
        <v>19</v>
      </c>
      <c r="C2927" t="s">
        <v>23490</v>
      </c>
      <c r="D2927" t="str">
        <f>HYPERLINK("https://rhld.insurance.arkansas.gov/NPILookup?Npi=1326687203","1326687203")</f>
        <v>1326687203</v>
      </c>
      <c r="E2927" t="s">
        <v>16933</v>
      </c>
    </row>
    <row r="2928" spans="1:5" x14ac:dyDescent="0.25">
      <c r="A2928" t="s">
        <v>1</v>
      </c>
      <c r="B2928" t="s">
        <v>19</v>
      </c>
      <c r="C2928" t="s">
        <v>23490</v>
      </c>
      <c r="D2928" t="str">
        <f>HYPERLINK("https://rhld.insurance.arkansas.gov/NPILookup?Npi=1326772732","1326772732")</f>
        <v>1326772732</v>
      </c>
      <c r="E2928" t="s">
        <v>21522</v>
      </c>
    </row>
    <row r="2929" spans="1:5" x14ac:dyDescent="0.25">
      <c r="A2929" t="s">
        <v>1</v>
      </c>
      <c r="B2929" t="s">
        <v>19</v>
      </c>
      <c r="C2929" t="s">
        <v>23490</v>
      </c>
      <c r="D2929" t="str">
        <f>HYPERLINK("https://rhld.insurance.arkansas.gov/NPILookup?Npi=1336100478","1336100478")</f>
        <v>1336100478</v>
      </c>
      <c r="E2929" t="s">
        <v>15016</v>
      </c>
    </row>
    <row r="2930" spans="1:5" x14ac:dyDescent="0.25">
      <c r="A2930" t="s">
        <v>1</v>
      </c>
      <c r="B2930" t="s">
        <v>19</v>
      </c>
      <c r="C2930" t="s">
        <v>23490</v>
      </c>
      <c r="D2930" t="str">
        <f>HYPERLINK("https://rhld.insurance.arkansas.gov/NPILookup?Npi=1336102532","1336102532")</f>
        <v>1336102532</v>
      </c>
      <c r="E2930" t="s">
        <v>1182</v>
      </c>
    </row>
    <row r="2931" spans="1:5" x14ac:dyDescent="0.25">
      <c r="A2931" t="s">
        <v>1</v>
      </c>
      <c r="B2931" t="s">
        <v>19</v>
      </c>
      <c r="C2931" t="s">
        <v>23490</v>
      </c>
      <c r="D2931" t="str">
        <f>HYPERLINK("https://rhld.insurance.arkansas.gov/NPILookup?Npi=1336104751","1336104751")</f>
        <v>1336104751</v>
      </c>
      <c r="E2931" t="s">
        <v>1183</v>
      </c>
    </row>
    <row r="2932" spans="1:5" x14ac:dyDescent="0.25">
      <c r="A2932" t="s">
        <v>1</v>
      </c>
      <c r="B2932" t="s">
        <v>19</v>
      </c>
      <c r="C2932" t="s">
        <v>23490</v>
      </c>
      <c r="D2932" t="str">
        <f>HYPERLINK("https://rhld.insurance.arkansas.gov/NPILookup?Npi=1336106368","1336106368")</f>
        <v>1336106368</v>
      </c>
      <c r="E2932" t="s">
        <v>1184</v>
      </c>
    </row>
    <row r="2933" spans="1:5" x14ac:dyDescent="0.25">
      <c r="A2933" t="s">
        <v>1</v>
      </c>
      <c r="B2933" t="s">
        <v>19</v>
      </c>
      <c r="C2933" t="s">
        <v>23490</v>
      </c>
      <c r="D2933" t="str">
        <f>HYPERLINK("https://rhld.insurance.arkansas.gov/NPILookup?Npi=1336107010","1336107010")</f>
        <v>1336107010</v>
      </c>
      <c r="E2933" t="s">
        <v>1185</v>
      </c>
    </row>
    <row r="2934" spans="1:5" x14ac:dyDescent="0.25">
      <c r="A2934" t="s">
        <v>1</v>
      </c>
      <c r="B2934" t="s">
        <v>19</v>
      </c>
      <c r="C2934" t="s">
        <v>23490</v>
      </c>
      <c r="D2934" t="str">
        <f>HYPERLINK("https://rhld.insurance.arkansas.gov/NPILookup?Npi=1336118157","1336118157")</f>
        <v>1336118157</v>
      </c>
      <c r="E2934" t="s">
        <v>1186</v>
      </c>
    </row>
    <row r="2935" spans="1:5" x14ac:dyDescent="0.25">
      <c r="A2935" t="s">
        <v>1</v>
      </c>
      <c r="B2935" t="s">
        <v>19</v>
      </c>
      <c r="C2935" t="s">
        <v>23490</v>
      </c>
      <c r="D2935" t="str">
        <f>HYPERLINK("https://rhld.insurance.arkansas.gov/NPILookup?Npi=1336121318","1336121318")</f>
        <v>1336121318</v>
      </c>
      <c r="E2935" t="s">
        <v>1187</v>
      </c>
    </row>
    <row r="2936" spans="1:5" x14ac:dyDescent="0.25">
      <c r="A2936" t="s">
        <v>1</v>
      </c>
      <c r="B2936" t="s">
        <v>19</v>
      </c>
      <c r="C2936" t="s">
        <v>23490</v>
      </c>
      <c r="D2936" t="str">
        <f>HYPERLINK("https://rhld.insurance.arkansas.gov/NPILookup?Npi=1336129758","1336129758")</f>
        <v>1336129758</v>
      </c>
      <c r="E2936" t="s">
        <v>1188</v>
      </c>
    </row>
    <row r="2937" spans="1:5" x14ac:dyDescent="0.25">
      <c r="A2937" t="s">
        <v>1</v>
      </c>
      <c r="B2937" t="s">
        <v>19</v>
      </c>
      <c r="C2937" t="s">
        <v>23490</v>
      </c>
      <c r="D2937" t="str">
        <f>HYPERLINK("https://rhld.insurance.arkansas.gov/NPILookup?Npi=1336131242","1336131242")</f>
        <v>1336131242</v>
      </c>
      <c r="E2937" t="s">
        <v>15017</v>
      </c>
    </row>
    <row r="2938" spans="1:5" x14ac:dyDescent="0.25">
      <c r="A2938" t="s">
        <v>1</v>
      </c>
      <c r="B2938" t="s">
        <v>19</v>
      </c>
      <c r="C2938" t="s">
        <v>23490</v>
      </c>
      <c r="D2938" t="str">
        <f>HYPERLINK("https://rhld.insurance.arkansas.gov/NPILookup?Npi=1336132372","1336132372")</f>
        <v>1336132372</v>
      </c>
      <c r="E2938" t="s">
        <v>1189</v>
      </c>
    </row>
    <row r="2939" spans="1:5" x14ac:dyDescent="0.25">
      <c r="A2939" t="s">
        <v>1</v>
      </c>
      <c r="B2939" t="s">
        <v>19</v>
      </c>
      <c r="C2939" t="s">
        <v>23490</v>
      </c>
      <c r="D2939" t="str">
        <f>HYPERLINK("https://rhld.insurance.arkansas.gov/NPILookup?Npi=1336135805","1336135805")</f>
        <v>1336135805</v>
      </c>
      <c r="E2939" t="s">
        <v>1191</v>
      </c>
    </row>
    <row r="2940" spans="1:5" x14ac:dyDescent="0.25">
      <c r="A2940" t="s">
        <v>1</v>
      </c>
      <c r="B2940" t="s">
        <v>19</v>
      </c>
      <c r="C2940" t="s">
        <v>23490</v>
      </c>
      <c r="D2940" t="str">
        <f>HYPERLINK("https://rhld.insurance.arkansas.gov/NPILookup?Npi=1336136407","1336136407")</f>
        <v>1336136407</v>
      </c>
      <c r="E2940" t="s">
        <v>1192</v>
      </c>
    </row>
    <row r="2941" spans="1:5" x14ac:dyDescent="0.25">
      <c r="A2941" t="s">
        <v>1</v>
      </c>
      <c r="B2941" t="s">
        <v>19</v>
      </c>
      <c r="C2941" t="s">
        <v>23490</v>
      </c>
      <c r="D2941" t="str">
        <f>HYPERLINK("https://rhld.insurance.arkansas.gov/NPILookup?Npi=1336136530","1336136530")</f>
        <v>1336136530</v>
      </c>
      <c r="E2941" t="s">
        <v>1193</v>
      </c>
    </row>
    <row r="2942" spans="1:5" x14ac:dyDescent="0.25">
      <c r="A2942" t="s">
        <v>1</v>
      </c>
      <c r="B2942" t="s">
        <v>19</v>
      </c>
      <c r="C2942" t="s">
        <v>23490</v>
      </c>
      <c r="D2942" t="str">
        <f>HYPERLINK("https://rhld.insurance.arkansas.gov/NPILookup?Npi=1336136571","1336136571")</f>
        <v>1336136571</v>
      </c>
      <c r="E2942" t="s">
        <v>1194</v>
      </c>
    </row>
    <row r="2943" spans="1:5" x14ac:dyDescent="0.25">
      <c r="A2943" t="s">
        <v>1</v>
      </c>
      <c r="B2943" t="s">
        <v>19</v>
      </c>
      <c r="C2943" t="s">
        <v>23490</v>
      </c>
      <c r="D2943" t="str">
        <f>HYPERLINK("https://rhld.insurance.arkansas.gov/NPILookup?Npi=1336137728","1336137728")</f>
        <v>1336137728</v>
      </c>
      <c r="E2943" t="s">
        <v>1195</v>
      </c>
    </row>
    <row r="2944" spans="1:5" x14ac:dyDescent="0.25">
      <c r="A2944" t="s">
        <v>1</v>
      </c>
      <c r="B2944" t="s">
        <v>19</v>
      </c>
      <c r="C2944" t="s">
        <v>23490</v>
      </c>
      <c r="D2944" t="str">
        <f>HYPERLINK("https://rhld.insurance.arkansas.gov/NPILookup?Npi=1336137942","1336137942")</f>
        <v>1336137942</v>
      </c>
      <c r="E2944" t="s">
        <v>8621</v>
      </c>
    </row>
    <row r="2945" spans="1:5" x14ac:dyDescent="0.25">
      <c r="A2945" t="s">
        <v>1</v>
      </c>
      <c r="B2945" t="s">
        <v>19</v>
      </c>
      <c r="C2945" t="s">
        <v>23490</v>
      </c>
      <c r="D2945" t="str">
        <f>HYPERLINK("https://rhld.insurance.arkansas.gov/NPILookup?Npi=1336146315","1336146315")</f>
        <v>1336146315</v>
      </c>
      <c r="E2945" t="s">
        <v>1197</v>
      </c>
    </row>
    <row r="2946" spans="1:5" x14ac:dyDescent="0.25">
      <c r="A2946" t="s">
        <v>1</v>
      </c>
      <c r="B2946" t="s">
        <v>19</v>
      </c>
      <c r="C2946" t="s">
        <v>23490</v>
      </c>
      <c r="D2946" t="str">
        <f>HYPERLINK("https://rhld.insurance.arkansas.gov/NPILookup?Npi=1336146612","1336146612")</f>
        <v>1336146612</v>
      </c>
      <c r="E2946" t="s">
        <v>1198</v>
      </c>
    </row>
    <row r="2947" spans="1:5" x14ac:dyDescent="0.25">
      <c r="A2947" t="s">
        <v>1</v>
      </c>
      <c r="B2947" t="s">
        <v>19</v>
      </c>
      <c r="C2947" t="s">
        <v>23490</v>
      </c>
      <c r="D2947" t="str">
        <f>HYPERLINK("https://rhld.insurance.arkansas.gov/NPILookup?Npi=1336147701","1336147701")</f>
        <v>1336147701</v>
      </c>
      <c r="E2947" t="s">
        <v>1199</v>
      </c>
    </row>
    <row r="2948" spans="1:5" x14ac:dyDescent="0.25">
      <c r="A2948" t="s">
        <v>1</v>
      </c>
      <c r="B2948" t="s">
        <v>19</v>
      </c>
      <c r="C2948" t="s">
        <v>23490</v>
      </c>
      <c r="D2948" t="str">
        <f>HYPERLINK("https://rhld.insurance.arkansas.gov/NPILookup?Npi=1336149434","1336149434")</f>
        <v>1336149434</v>
      </c>
      <c r="E2948" t="s">
        <v>1200</v>
      </c>
    </row>
    <row r="2949" spans="1:5" x14ac:dyDescent="0.25">
      <c r="A2949" t="s">
        <v>1</v>
      </c>
      <c r="B2949" t="s">
        <v>19</v>
      </c>
      <c r="C2949" t="s">
        <v>23490</v>
      </c>
      <c r="D2949" t="str">
        <f>HYPERLINK("https://rhld.insurance.arkansas.gov/NPILookup?Npi=1336167782","1336167782")</f>
        <v>1336167782</v>
      </c>
      <c r="E2949" t="s">
        <v>13480</v>
      </c>
    </row>
    <row r="2950" spans="1:5" x14ac:dyDescent="0.25">
      <c r="A2950" t="s">
        <v>1</v>
      </c>
      <c r="B2950" t="s">
        <v>19</v>
      </c>
      <c r="C2950" t="s">
        <v>23490</v>
      </c>
      <c r="D2950" t="str">
        <f>HYPERLINK("https://rhld.insurance.arkansas.gov/NPILookup?Npi=1336172238","1336172238")</f>
        <v>1336172238</v>
      </c>
      <c r="E2950" t="s">
        <v>10841</v>
      </c>
    </row>
    <row r="2951" spans="1:5" x14ac:dyDescent="0.25">
      <c r="A2951" t="s">
        <v>1</v>
      </c>
      <c r="B2951" t="s">
        <v>19</v>
      </c>
      <c r="C2951" t="s">
        <v>23490</v>
      </c>
      <c r="D2951" t="str">
        <f>HYPERLINK("https://rhld.insurance.arkansas.gov/NPILookup?Npi=1336180074","1336180074")</f>
        <v>1336180074</v>
      </c>
      <c r="E2951" t="s">
        <v>12821</v>
      </c>
    </row>
    <row r="2952" spans="1:5" x14ac:dyDescent="0.25">
      <c r="A2952" t="s">
        <v>1</v>
      </c>
      <c r="B2952" t="s">
        <v>19</v>
      </c>
      <c r="C2952" t="s">
        <v>23490</v>
      </c>
      <c r="D2952" t="str">
        <f>HYPERLINK("https://rhld.insurance.arkansas.gov/NPILookup?Npi=1336188903","1336188903")</f>
        <v>1336188903</v>
      </c>
      <c r="E2952" t="s">
        <v>1203</v>
      </c>
    </row>
    <row r="2953" spans="1:5" x14ac:dyDescent="0.25">
      <c r="A2953" t="s">
        <v>1</v>
      </c>
      <c r="B2953" t="s">
        <v>19</v>
      </c>
      <c r="C2953" t="s">
        <v>23490</v>
      </c>
      <c r="D2953" t="str">
        <f>HYPERLINK("https://rhld.insurance.arkansas.gov/NPILookup?Npi=1336189471","1336189471")</f>
        <v>1336189471</v>
      </c>
      <c r="E2953" t="s">
        <v>1204</v>
      </c>
    </row>
    <row r="2954" spans="1:5" x14ac:dyDescent="0.25">
      <c r="A2954" t="s">
        <v>1</v>
      </c>
      <c r="B2954" t="s">
        <v>19</v>
      </c>
      <c r="C2954" t="s">
        <v>23490</v>
      </c>
      <c r="D2954" t="str">
        <f>HYPERLINK("https://rhld.insurance.arkansas.gov/NPILookup?Npi=1336198365","1336198365")</f>
        <v>1336198365</v>
      </c>
      <c r="E2954" t="s">
        <v>1205</v>
      </c>
    </row>
    <row r="2955" spans="1:5" x14ac:dyDescent="0.25">
      <c r="A2955" t="s">
        <v>1</v>
      </c>
      <c r="B2955" t="s">
        <v>19</v>
      </c>
      <c r="C2955" t="s">
        <v>23490</v>
      </c>
      <c r="D2955" t="str">
        <f>HYPERLINK("https://rhld.insurance.arkansas.gov/NPILookup?Npi=1336201169","1336201169")</f>
        <v>1336201169</v>
      </c>
      <c r="E2955" t="s">
        <v>19626</v>
      </c>
    </row>
    <row r="2956" spans="1:5" x14ac:dyDescent="0.25">
      <c r="A2956" t="s">
        <v>1</v>
      </c>
      <c r="B2956" t="s">
        <v>19</v>
      </c>
      <c r="C2956" t="s">
        <v>23490</v>
      </c>
      <c r="D2956" t="str">
        <f>HYPERLINK("https://rhld.insurance.arkansas.gov/NPILookup?Npi=1336203348","1336203348")</f>
        <v>1336203348</v>
      </c>
      <c r="E2956" t="s">
        <v>1206</v>
      </c>
    </row>
    <row r="2957" spans="1:5" x14ac:dyDescent="0.25">
      <c r="A2957" t="s">
        <v>1</v>
      </c>
      <c r="B2957" t="s">
        <v>19</v>
      </c>
      <c r="C2957" t="s">
        <v>23490</v>
      </c>
      <c r="D2957" t="str">
        <f>HYPERLINK("https://rhld.insurance.arkansas.gov/NPILookup?Npi=1336217900","1336217900")</f>
        <v>1336217900</v>
      </c>
      <c r="E2957" t="s">
        <v>1207</v>
      </c>
    </row>
    <row r="2958" spans="1:5" x14ac:dyDescent="0.25">
      <c r="A2958" t="s">
        <v>1</v>
      </c>
      <c r="B2958" t="s">
        <v>19</v>
      </c>
      <c r="C2958" t="s">
        <v>23490</v>
      </c>
      <c r="D2958" t="str">
        <f>HYPERLINK("https://rhld.insurance.arkansas.gov/NPILookup?Npi=1336220276","1336220276")</f>
        <v>1336220276</v>
      </c>
      <c r="E2958" t="s">
        <v>1208</v>
      </c>
    </row>
    <row r="2959" spans="1:5" x14ac:dyDescent="0.25">
      <c r="A2959" t="s">
        <v>1</v>
      </c>
      <c r="B2959" t="s">
        <v>19</v>
      </c>
      <c r="C2959" t="s">
        <v>23490</v>
      </c>
      <c r="D2959" t="str">
        <f>HYPERLINK("https://rhld.insurance.arkansas.gov/NPILookup?Npi=1336223734","1336223734")</f>
        <v>1336223734</v>
      </c>
      <c r="E2959" t="s">
        <v>1209</v>
      </c>
    </row>
    <row r="2960" spans="1:5" x14ac:dyDescent="0.25">
      <c r="A2960" t="s">
        <v>1</v>
      </c>
      <c r="B2960" t="s">
        <v>19</v>
      </c>
      <c r="C2960" t="s">
        <v>23490</v>
      </c>
      <c r="D2960" t="str">
        <f>HYPERLINK("https://rhld.insurance.arkansas.gov/NPILookup?Npi=1336231471","1336231471")</f>
        <v>1336231471</v>
      </c>
      <c r="E2960" t="s">
        <v>1210</v>
      </c>
    </row>
    <row r="2961" spans="1:5" x14ac:dyDescent="0.25">
      <c r="A2961" t="s">
        <v>1</v>
      </c>
      <c r="B2961" t="s">
        <v>19</v>
      </c>
      <c r="C2961" t="s">
        <v>23490</v>
      </c>
      <c r="D2961" t="str">
        <f>HYPERLINK("https://rhld.insurance.arkansas.gov/NPILookup?Npi=1336235928","1336235928")</f>
        <v>1336235928</v>
      </c>
      <c r="E2961" t="s">
        <v>13481</v>
      </c>
    </row>
    <row r="2962" spans="1:5" x14ac:dyDescent="0.25">
      <c r="A2962" t="s">
        <v>1</v>
      </c>
      <c r="B2962" t="s">
        <v>19</v>
      </c>
      <c r="C2962" t="s">
        <v>23490</v>
      </c>
      <c r="D2962" t="str">
        <f>HYPERLINK("https://rhld.insurance.arkansas.gov/NPILookup?Npi=1336237635","1336237635")</f>
        <v>1336237635</v>
      </c>
      <c r="E2962" t="s">
        <v>1211</v>
      </c>
    </row>
    <row r="2963" spans="1:5" x14ac:dyDescent="0.25">
      <c r="A2963" t="s">
        <v>1</v>
      </c>
      <c r="B2963" t="s">
        <v>19</v>
      </c>
      <c r="C2963" t="s">
        <v>23490</v>
      </c>
      <c r="D2963" t="str">
        <f>HYPERLINK("https://rhld.insurance.arkansas.gov/NPILookup?Npi=1336245257","1336245257")</f>
        <v>1336245257</v>
      </c>
      <c r="E2963" t="s">
        <v>10842</v>
      </c>
    </row>
    <row r="2964" spans="1:5" x14ac:dyDescent="0.25">
      <c r="A2964" t="s">
        <v>1</v>
      </c>
      <c r="B2964" t="s">
        <v>19</v>
      </c>
      <c r="C2964" t="s">
        <v>23490</v>
      </c>
      <c r="D2964" t="str">
        <f>HYPERLINK("https://rhld.insurance.arkansas.gov/NPILookup?Npi=1336250232","1336250232")</f>
        <v>1336250232</v>
      </c>
      <c r="E2964" t="s">
        <v>15018</v>
      </c>
    </row>
    <row r="2965" spans="1:5" x14ac:dyDescent="0.25">
      <c r="A2965" t="s">
        <v>1</v>
      </c>
      <c r="B2965" t="s">
        <v>19</v>
      </c>
      <c r="C2965" t="s">
        <v>23490</v>
      </c>
      <c r="D2965" t="str">
        <f>HYPERLINK("https://rhld.insurance.arkansas.gov/NPILookup?Npi=1336251891","1336251891")</f>
        <v>1336251891</v>
      </c>
      <c r="E2965" t="s">
        <v>17954</v>
      </c>
    </row>
    <row r="2966" spans="1:5" x14ac:dyDescent="0.25">
      <c r="A2966" t="s">
        <v>1</v>
      </c>
      <c r="B2966" t="s">
        <v>19</v>
      </c>
      <c r="C2966" t="s">
        <v>23490</v>
      </c>
      <c r="D2966" t="str">
        <f>HYPERLINK("https://rhld.insurance.arkansas.gov/NPILookup?Npi=1336270156","1336270156")</f>
        <v>1336270156</v>
      </c>
      <c r="E2966" t="s">
        <v>8622</v>
      </c>
    </row>
    <row r="2967" spans="1:5" x14ac:dyDescent="0.25">
      <c r="A2967" t="s">
        <v>1</v>
      </c>
      <c r="B2967" t="s">
        <v>19</v>
      </c>
      <c r="C2967" t="s">
        <v>23490</v>
      </c>
      <c r="D2967" t="str">
        <f>HYPERLINK("https://rhld.insurance.arkansas.gov/NPILookup?Npi=1336285162","1336285162")</f>
        <v>1336285162</v>
      </c>
      <c r="E2967" t="s">
        <v>1212</v>
      </c>
    </row>
    <row r="2968" spans="1:5" x14ac:dyDescent="0.25">
      <c r="A2968" t="s">
        <v>1</v>
      </c>
      <c r="B2968" t="s">
        <v>19</v>
      </c>
      <c r="C2968" t="s">
        <v>23490</v>
      </c>
      <c r="D2968" t="str">
        <f>HYPERLINK("https://rhld.insurance.arkansas.gov/NPILookup?Npi=1336286533","1336286533")</f>
        <v>1336286533</v>
      </c>
      <c r="E2968" t="s">
        <v>428</v>
      </c>
    </row>
    <row r="2969" spans="1:5" x14ac:dyDescent="0.25">
      <c r="A2969" t="s">
        <v>1</v>
      </c>
      <c r="B2969" t="s">
        <v>19</v>
      </c>
      <c r="C2969" t="s">
        <v>23490</v>
      </c>
      <c r="D2969" t="str">
        <f>HYPERLINK("https://rhld.insurance.arkansas.gov/NPILookup?Npi=1336290444","1336290444")</f>
        <v>1336290444</v>
      </c>
      <c r="E2969" t="s">
        <v>21523</v>
      </c>
    </row>
    <row r="2970" spans="1:5" x14ac:dyDescent="0.25">
      <c r="A2970" t="s">
        <v>1</v>
      </c>
      <c r="B2970" t="s">
        <v>19</v>
      </c>
      <c r="C2970" t="s">
        <v>23490</v>
      </c>
      <c r="D2970" t="str">
        <f>HYPERLINK("https://rhld.insurance.arkansas.gov/NPILookup?Npi=1336309574","1336309574")</f>
        <v>1336309574</v>
      </c>
      <c r="E2970" t="s">
        <v>17417</v>
      </c>
    </row>
    <row r="2971" spans="1:5" x14ac:dyDescent="0.25">
      <c r="A2971" t="s">
        <v>1</v>
      </c>
      <c r="B2971" t="s">
        <v>19</v>
      </c>
      <c r="C2971" t="s">
        <v>23490</v>
      </c>
      <c r="D2971" t="str">
        <f>HYPERLINK("https://rhld.insurance.arkansas.gov/NPILookup?Npi=1336314731","1336314731")</f>
        <v>1336314731</v>
      </c>
      <c r="E2971" t="s">
        <v>21524</v>
      </c>
    </row>
    <row r="2972" spans="1:5" x14ac:dyDescent="0.25">
      <c r="A2972" t="s">
        <v>1</v>
      </c>
      <c r="B2972" t="s">
        <v>19</v>
      </c>
      <c r="C2972" t="s">
        <v>23490</v>
      </c>
      <c r="D2972" t="str">
        <f>HYPERLINK("https://rhld.insurance.arkansas.gov/NPILookup?Npi=1336318401","1336318401")</f>
        <v>1336318401</v>
      </c>
      <c r="E2972" t="s">
        <v>12822</v>
      </c>
    </row>
    <row r="2973" spans="1:5" x14ac:dyDescent="0.25">
      <c r="A2973" t="s">
        <v>1</v>
      </c>
      <c r="B2973" t="s">
        <v>19</v>
      </c>
      <c r="C2973" t="s">
        <v>23490</v>
      </c>
      <c r="D2973" t="str">
        <f>HYPERLINK("https://rhld.insurance.arkansas.gov/NPILookup?Npi=1336328202","1336328202")</f>
        <v>1336328202</v>
      </c>
      <c r="E2973" t="s">
        <v>1213</v>
      </c>
    </row>
    <row r="2974" spans="1:5" x14ac:dyDescent="0.25">
      <c r="A2974" t="s">
        <v>1</v>
      </c>
      <c r="B2974" t="s">
        <v>19</v>
      </c>
      <c r="C2974" t="s">
        <v>23490</v>
      </c>
      <c r="D2974" t="str">
        <f>HYPERLINK("https://rhld.insurance.arkansas.gov/NPILookup?Npi=1336352590","1336352590")</f>
        <v>1336352590</v>
      </c>
      <c r="E2974" t="s">
        <v>8623</v>
      </c>
    </row>
    <row r="2975" spans="1:5" x14ac:dyDescent="0.25">
      <c r="A2975" t="s">
        <v>1</v>
      </c>
      <c r="B2975" t="s">
        <v>19</v>
      </c>
      <c r="C2975" t="s">
        <v>23490</v>
      </c>
      <c r="D2975" t="str">
        <f>HYPERLINK("https://rhld.insurance.arkansas.gov/NPILookup?Npi=1336360254","1336360254")</f>
        <v>1336360254</v>
      </c>
      <c r="E2975" t="s">
        <v>19627</v>
      </c>
    </row>
    <row r="2976" spans="1:5" x14ac:dyDescent="0.25">
      <c r="A2976" t="s">
        <v>1</v>
      </c>
      <c r="B2976" t="s">
        <v>19</v>
      </c>
      <c r="C2976" t="s">
        <v>23490</v>
      </c>
      <c r="D2976" t="str">
        <f>HYPERLINK("https://rhld.insurance.arkansas.gov/NPILookup?Npi=1336363597","1336363597")</f>
        <v>1336363597</v>
      </c>
      <c r="E2976" t="s">
        <v>1214</v>
      </c>
    </row>
    <row r="2977" spans="1:5" x14ac:dyDescent="0.25">
      <c r="A2977" t="s">
        <v>1</v>
      </c>
      <c r="B2977" t="s">
        <v>19</v>
      </c>
      <c r="C2977" t="s">
        <v>23490</v>
      </c>
      <c r="D2977" t="str">
        <f>HYPERLINK("https://rhld.insurance.arkansas.gov/NPILookup?Npi=1336371863","1336371863")</f>
        <v>1336371863</v>
      </c>
      <c r="E2977" t="s">
        <v>1215</v>
      </c>
    </row>
    <row r="2978" spans="1:5" x14ac:dyDescent="0.25">
      <c r="A2978" t="s">
        <v>1</v>
      </c>
      <c r="B2978" t="s">
        <v>19</v>
      </c>
      <c r="C2978" t="s">
        <v>23490</v>
      </c>
      <c r="D2978" t="str">
        <f>HYPERLINK("https://rhld.insurance.arkansas.gov/NPILookup?Npi=1336375674","1336375674")</f>
        <v>1336375674</v>
      </c>
      <c r="E2978" t="s">
        <v>1216</v>
      </c>
    </row>
    <row r="2979" spans="1:5" x14ac:dyDescent="0.25">
      <c r="A2979" t="s">
        <v>1</v>
      </c>
      <c r="B2979" t="s">
        <v>19</v>
      </c>
      <c r="C2979" t="s">
        <v>23490</v>
      </c>
      <c r="D2979" t="str">
        <f>HYPERLINK("https://rhld.insurance.arkansas.gov/NPILookup?Npi=1336392281","1336392281")</f>
        <v>1336392281</v>
      </c>
      <c r="E2979" t="s">
        <v>18746</v>
      </c>
    </row>
    <row r="2980" spans="1:5" x14ac:dyDescent="0.25">
      <c r="A2980" t="s">
        <v>1</v>
      </c>
      <c r="B2980" t="s">
        <v>19</v>
      </c>
      <c r="C2980" t="s">
        <v>23490</v>
      </c>
      <c r="D2980" t="str">
        <f>HYPERLINK("https://rhld.insurance.arkansas.gov/NPILookup?Npi=1336419100","1336419100")</f>
        <v>1336419100</v>
      </c>
      <c r="E2980" t="s">
        <v>1218</v>
      </c>
    </row>
    <row r="2981" spans="1:5" x14ac:dyDescent="0.25">
      <c r="A2981" t="s">
        <v>1</v>
      </c>
      <c r="B2981" t="s">
        <v>19</v>
      </c>
      <c r="C2981" t="s">
        <v>23490</v>
      </c>
      <c r="D2981" t="str">
        <f>HYPERLINK("https://rhld.insurance.arkansas.gov/NPILookup?Npi=1336441419","1336441419")</f>
        <v>1336441419</v>
      </c>
      <c r="E2981" t="s">
        <v>1219</v>
      </c>
    </row>
    <row r="2982" spans="1:5" x14ac:dyDescent="0.25">
      <c r="A2982" t="s">
        <v>1</v>
      </c>
      <c r="B2982" t="s">
        <v>19</v>
      </c>
      <c r="C2982" t="s">
        <v>23490</v>
      </c>
      <c r="D2982" t="str">
        <f>HYPERLINK("https://rhld.insurance.arkansas.gov/NPILookup?Npi=1336451269","1336451269")</f>
        <v>1336451269</v>
      </c>
      <c r="E2982" t="s">
        <v>13482</v>
      </c>
    </row>
    <row r="2983" spans="1:5" x14ac:dyDescent="0.25">
      <c r="A2983" t="s">
        <v>1</v>
      </c>
      <c r="B2983" t="s">
        <v>19</v>
      </c>
      <c r="C2983" t="s">
        <v>23490</v>
      </c>
      <c r="D2983" t="str">
        <f>HYPERLINK("https://rhld.insurance.arkansas.gov/NPILookup?Npi=1336465665","1336465665")</f>
        <v>1336465665</v>
      </c>
      <c r="E2983" t="s">
        <v>1220</v>
      </c>
    </row>
    <row r="2984" spans="1:5" x14ac:dyDescent="0.25">
      <c r="A2984" t="s">
        <v>1</v>
      </c>
      <c r="B2984" t="s">
        <v>19</v>
      </c>
      <c r="C2984" t="s">
        <v>23490</v>
      </c>
      <c r="D2984" t="str">
        <f>HYPERLINK("https://rhld.insurance.arkansas.gov/NPILookup?Npi=1336471515","1336471515")</f>
        <v>1336471515</v>
      </c>
      <c r="E2984" t="s">
        <v>15019</v>
      </c>
    </row>
    <row r="2985" spans="1:5" x14ac:dyDescent="0.25">
      <c r="A2985" t="s">
        <v>1</v>
      </c>
      <c r="B2985" t="s">
        <v>19</v>
      </c>
      <c r="C2985" t="s">
        <v>23490</v>
      </c>
      <c r="D2985" t="str">
        <f>HYPERLINK("https://rhld.insurance.arkansas.gov/NPILookup?Npi=1336473552","1336473552")</f>
        <v>1336473552</v>
      </c>
      <c r="E2985" t="s">
        <v>13483</v>
      </c>
    </row>
    <row r="2986" spans="1:5" x14ac:dyDescent="0.25">
      <c r="A2986" t="s">
        <v>1</v>
      </c>
      <c r="B2986" t="s">
        <v>19</v>
      </c>
      <c r="C2986" t="s">
        <v>23490</v>
      </c>
      <c r="D2986" t="str">
        <f>HYPERLINK("https://rhld.insurance.arkansas.gov/NPILookup?Npi=1336503457","1336503457")</f>
        <v>1336503457</v>
      </c>
      <c r="E2986" t="s">
        <v>13484</v>
      </c>
    </row>
    <row r="2987" spans="1:5" x14ac:dyDescent="0.25">
      <c r="A2987" t="s">
        <v>1</v>
      </c>
      <c r="B2987" t="s">
        <v>19</v>
      </c>
      <c r="C2987" t="s">
        <v>23490</v>
      </c>
      <c r="D2987" t="str">
        <f>HYPERLINK("https://rhld.insurance.arkansas.gov/NPILookup?Npi=1336504232","1336504232")</f>
        <v>1336504232</v>
      </c>
      <c r="E2987" t="s">
        <v>8624</v>
      </c>
    </row>
    <row r="2988" spans="1:5" x14ac:dyDescent="0.25">
      <c r="A2988" t="s">
        <v>1</v>
      </c>
      <c r="B2988" t="s">
        <v>19</v>
      </c>
      <c r="C2988" t="s">
        <v>23490</v>
      </c>
      <c r="D2988" t="str">
        <f>HYPERLINK("https://rhld.insurance.arkansas.gov/NPILookup?Npi=1336506880","1336506880")</f>
        <v>1336506880</v>
      </c>
      <c r="E2988" t="s">
        <v>12976</v>
      </c>
    </row>
    <row r="2989" spans="1:5" x14ac:dyDescent="0.25">
      <c r="A2989" t="s">
        <v>1</v>
      </c>
      <c r="B2989" t="s">
        <v>19</v>
      </c>
      <c r="C2989" t="s">
        <v>23490</v>
      </c>
      <c r="D2989" t="str">
        <f>HYPERLINK("https://rhld.insurance.arkansas.gov/NPILookup?Npi=1336521798","1336521798")</f>
        <v>1336521798</v>
      </c>
      <c r="E2989" t="s">
        <v>15020</v>
      </c>
    </row>
    <row r="2990" spans="1:5" x14ac:dyDescent="0.25">
      <c r="A2990" t="s">
        <v>1</v>
      </c>
      <c r="B2990" t="s">
        <v>19</v>
      </c>
      <c r="C2990" t="s">
        <v>23490</v>
      </c>
      <c r="D2990" t="str">
        <f>HYPERLINK("https://rhld.insurance.arkansas.gov/NPILookup?Npi=1336529403","1336529403")</f>
        <v>1336529403</v>
      </c>
      <c r="E2990" t="s">
        <v>19223</v>
      </c>
    </row>
    <row r="2991" spans="1:5" x14ac:dyDescent="0.25">
      <c r="A2991" t="s">
        <v>1</v>
      </c>
      <c r="B2991" t="s">
        <v>19</v>
      </c>
      <c r="C2991" t="s">
        <v>23490</v>
      </c>
      <c r="D2991" t="str">
        <f>HYPERLINK("https://rhld.insurance.arkansas.gov/NPILookup?Npi=1336532746","1336532746")</f>
        <v>1336532746</v>
      </c>
      <c r="E2991" t="s">
        <v>19628</v>
      </c>
    </row>
    <row r="2992" spans="1:5" x14ac:dyDescent="0.25">
      <c r="A2992" t="s">
        <v>1</v>
      </c>
      <c r="B2992" t="s">
        <v>19</v>
      </c>
      <c r="C2992" t="s">
        <v>23490</v>
      </c>
      <c r="D2992" t="str">
        <f>HYPERLINK("https://rhld.insurance.arkansas.gov/NPILookup?Npi=1336533140","1336533140")</f>
        <v>1336533140</v>
      </c>
      <c r="E2992" t="s">
        <v>1221</v>
      </c>
    </row>
    <row r="2993" spans="1:5" x14ac:dyDescent="0.25">
      <c r="A2993" t="s">
        <v>1</v>
      </c>
      <c r="B2993" t="s">
        <v>19</v>
      </c>
      <c r="C2993" t="s">
        <v>23490</v>
      </c>
      <c r="D2993" t="str">
        <f>HYPERLINK("https://rhld.insurance.arkansas.gov/NPILookup?Npi=1336534411","1336534411")</f>
        <v>1336534411</v>
      </c>
      <c r="E2993" t="s">
        <v>17418</v>
      </c>
    </row>
    <row r="2994" spans="1:5" x14ac:dyDescent="0.25">
      <c r="A2994" t="s">
        <v>1</v>
      </c>
      <c r="B2994" t="s">
        <v>19</v>
      </c>
      <c r="C2994" t="s">
        <v>23490</v>
      </c>
      <c r="D2994" t="str">
        <f>HYPERLINK("https://rhld.insurance.arkansas.gov/NPILookup?Npi=1336535350","1336535350")</f>
        <v>1336535350</v>
      </c>
      <c r="E2994" t="s">
        <v>1222</v>
      </c>
    </row>
    <row r="2995" spans="1:5" x14ac:dyDescent="0.25">
      <c r="A2995" t="s">
        <v>1</v>
      </c>
      <c r="B2995" t="s">
        <v>19</v>
      </c>
      <c r="C2995" t="s">
        <v>23490</v>
      </c>
      <c r="D2995" t="str">
        <f>HYPERLINK("https://rhld.insurance.arkansas.gov/NPILookup?Npi=1336544253","1336544253")</f>
        <v>1336544253</v>
      </c>
      <c r="E2995" t="s">
        <v>15021</v>
      </c>
    </row>
    <row r="2996" spans="1:5" x14ac:dyDescent="0.25">
      <c r="A2996" t="s">
        <v>1</v>
      </c>
      <c r="B2996" t="s">
        <v>19</v>
      </c>
      <c r="C2996" t="s">
        <v>23490</v>
      </c>
      <c r="D2996" t="str">
        <f>HYPERLINK("https://rhld.insurance.arkansas.gov/NPILookup?Npi=1336545649","1336545649")</f>
        <v>1336545649</v>
      </c>
      <c r="E2996" t="s">
        <v>19629</v>
      </c>
    </row>
    <row r="2997" spans="1:5" x14ac:dyDescent="0.25">
      <c r="A2997" t="s">
        <v>1</v>
      </c>
      <c r="B2997" t="s">
        <v>19</v>
      </c>
      <c r="C2997" t="s">
        <v>23490</v>
      </c>
      <c r="D2997" t="str">
        <f>HYPERLINK("https://rhld.insurance.arkansas.gov/NPILookup?Npi=1336552348","1336552348")</f>
        <v>1336552348</v>
      </c>
      <c r="E2997" t="s">
        <v>10843</v>
      </c>
    </row>
    <row r="2998" spans="1:5" x14ac:dyDescent="0.25">
      <c r="A2998" t="s">
        <v>1</v>
      </c>
      <c r="B2998" t="s">
        <v>19</v>
      </c>
      <c r="C2998" t="s">
        <v>23490</v>
      </c>
      <c r="D2998" t="str">
        <f>HYPERLINK("https://rhld.insurance.arkansas.gov/NPILookup?Npi=1336569532","1336569532")</f>
        <v>1336569532</v>
      </c>
      <c r="E2998" t="s">
        <v>10844</v>
      </c>
    </row>
    <row r="2999" spans="1:5" x14ac:dyDescent="0.25">
      <c r="A2999" t="s">
        <v>1</v>
      </c>
      <c r="B2999" t="s">
        <v>19</v>
      </c>
      <c r="C2999" t="s">
        <v>23490</v>
      </c>
      <c r="D2999" t="str">
        <f>HYPERLINK("https://rhld.insurance.arkansas.gov/NPILookup?Npi=1336569904","1336569904")</f>
        <v>1336569904</v>
      </c>
      <c r="E2999" t="s">
        <v>16934</v>
      </c>
    </row>
    <row r="3000" spans="1:5" x14ac:dyDescent="0.25">
      <c r="A3000" t="s">
        <v>1</v>
      </c>
      <c r="B3000" t="s">
        <v>19</v>
      </c>
      <c r="C3000" t="s">
        <v>23490</v>
      </c>
      <c r="D3000" t="str">
        <f>HYPERLINK("https://rhld.insurance.arkansas.gov/NPILookup?Npi=1336578954","1336578954")</f>
        <v>1336578954</v>
      </c>
      <c r="E3000" t="s">
        <v>1223</v>
      </c>
    </row>
    <row r="3001" spans="1:5" x14ac:dyDescent="0.25">
      <c r="A3001" t="s">
        <v>1</v>
      </c>
      <c r="B3001" t="s">
        <v>19</v>
      </c>
      <c r="C3001" t="s">
        <v>23490</v>
      </c>
      <c r="D3001" t="str">
        <f>HYPERLINK("https://rhld.insurance.arkansas.gov/NPILookup?Npi=1336580190","1336580190")</f>
        <v>1336580190</v>
      </c>
      <c r="E3001" t="s">
        <v>13485</v>
      </c>
    </row>
    <row r="3002" spans="1:5" x14ac:dyDescent="0.25">
      <c r="A3002" t="s">
        <v>1</v>
      </c>
      <c r="B3002" t="s">
        <v>19</v>
      </c>
      <c r="C3002" t="s">
        <v>23490</v>
      </c>
      <c r="D3002" t="str">
        <f>HYPERLINK("https://rhld.insurance.arkansas.gov/NPILookup?Npi=1336580760","1336580760")</f>
        <v>1336580760</v>
      </c>
      <c r="E3002" t="s">
        <v>1224</v>
      </c>
    </row>
    <row r="3003" spans="1:5" x14ac:dyDescent="0.25">
      <c r="A3003" t="s">
        <v>1</v>
      </c>
      <c r="B3003" t="s">
        <v>19</v>
      </c>
      <c r="C3003" t="s">
        <v>23490</v>
      </c>
      <c r="D3003" t="str">
        <f>HYPERLINK("https://rhld.insurance.arkansas.gov/NPILookup?Npi=1336581727","1336581727")</f>
        <v>1336581727</v>
      </c>
      <c r="E3003" t="s">
        <v>1225</v>
      </c>
    </row>
    <row r="3004" spans="1:5" x14ac:dyDescent="0.25">
      <c r="A3004" t="s">
        <v>1</v>
      </c>
      <c r="B3004" t="s">
        <v>19</v>
      </c>
      <c r="C3004" t="s">
        <v>23490</v>
      </c>
      <c r="D3004" t="str">
        <f>HYPERLINK("https://rhld.insurance.arkansas.gov/NPILookup?Npi=1336581735","1336581735")</f>
        <v>1336581735</v>
      </c>
      <c r="E3004" t="s">
        <v>15022</v>
      </c>
    </row>
    <row r="3005" spans="1:5" x14ac:dyDescent="0.25">
      <c r="A3005" t="s">
        <v>1</v>
      </c>
      <c r="B3005" t="s">
        <v>19</v>
      </c>
      <c r="C3005" t="s">
        <v>23490</v>
      </c>
      <c r="D3005" t="str">
        <f>HYPERLINK("https://rhld.insurance.arkansas.gov/NPILookup?Npi=1336583939","1336583939")</f>
        <v>1336583939</v>
      </c>
      <c r="E3005" t="s">
        <v>10845</v>
      </c>
    </row>
    <row r="3006" spans="1:5" x14ac:dyDescent="0.25">
      <c r="A3006" t="s">
        <v>1</v>
      </c>
      <c r="B3006" t="s">
        <v>19</v>
      </c>
      <c r="C3006" t="s">
        <v>23490</v>
      </c>
      <c r="D3006" t="str">
        <f>HYPERLINK("https://rhld.insurance.arkansas.gov/NPILookup?Npi=1336585926","1336585926")</f>
        <v>1336585926</v>
      </c>
      <c r="E3006" t="s">
        <v>1226</v>
      </c>
    </row>
    <row r="3007" spans="1:5" x14ac:dyDescent="0.25">
      <c r="A3007" t="s">
        <v>1</v>
      </c>
      <c r="B3007" t="s">
        <v>19</v>
      </c>
      <c r="C3007" t="s">
        <v>23490</v>
      </c>
      <c r="D3007" t="str">
        <f>HYPERLINK("https://rhld.insurance.arkansas.gov/NPILookup?Npi=1336589167","1336589167")</f>
        <v>1336589167</v>
      </c>
      <c r="E3007" t="s">
        <v>10846</v>
      </c>
    </row>
    <row r="3008" spans="1:5" x14ac:dyDescent="0.25">
      <c r="A3008" t="s">
        <v>1</v>
      </c>
      <c r="B3008" t="s">
        <v>19</v>
      </c>
      <c r="C3008" t="s">
        <v>23490</v>
      </c>
      <c r="D3008" t="str">
        <f>HYPERLINK("https://rhld.insurance.arkansas.gov/NPILookup?Npi=1336589779","1336589779")</f>
        <v>1336589779</v>
      </c>
      <c r="E3008" t="s">
        <v>17955</v>
      </c>
    </row>
    <row r="3009" spans="1:5" x14ac:dyDescent="0.25">
      <c r="A3009" t="s">
        <v>1</v>
      </c>
      <c r="B3009" t="s">
        <v>19</v>
      </c>
      <c r="C3009" t="s">
        <v>23490</v>
      </c>
      <c r="D3009" t="str">
        <f>HYPERLINK("https://rhld.insurance.arkansas.gov/NPILookup?Npi=1336591841","1336591841")</f>
        <v>1336591841</v>
      </c>
      <c r="E3009" t="s">
        <v>10847</v>
      </c>
    </row>
    <row r="3010" spans="1:5" x14ac:dyDescent="0.25">
      <c r="A3010" t="s">
        <v>1</v>
      </c>
      <c r="B3010" t="s">
        <v>19</v>
      </c>
      <c r="C3010" t="s">
        <v>23490</v>
      </c>
      <c r="D3010" t="str">
        <f>HYPERLINK("https://rhld.insurance.arkansas.gov/NPILookup?Npi=1336591882","1336591882")</f>
        <v>1336591882</v>
      </c>
      <c r="E3010" t="s">
        <v>15023</v>
      </c>
    </row>
    <row r="3011" spans="1:5" x14ac:dyDescent="0.25">
      <c r="A3011" t="s">
        <v>1</v>
      </c>
      <c r="B3011" t="s">
        <v>19</v>
      </c>
      <c r="C3011" t="s">
        <v>23490</v>
      </c>
      <c r="D3011" t="str">
        <f>HYPERLINK("https://rhld.insurance.arkansas.gov/NPILookup?Npi=1336594191","1336594191")</f>
        <v>1336594191</v>
      </c>
      <c r="E3011" t="s">
        <v>19630</v>
      </c>
    </row>
    <row r="3012" spans="1:5" x14ac:dyDescent="0.25">
      <c r="A3012" t="s">
        <v>1</v>
      </c>
      <c r="B3012" t="s">
        <v>19</v>
      </c>
      <c r="C3012" t="s">
        <v>23490</v>
      </c>
      <c r="D3012" t="str">
        <f>HYPERLINK("https://rhld.insurance.arkansas.gov/NPILookup?Npi=1336602549","1336602549")</f>
        <v>1336602549</v>
      </c>
      <c r="E3012" t="s">
        <v>18747</v>
      </c>
    </row>
    <row r="3013" spans="1:5" x14ac:dyDescent="0.25">
      <c r="A3013" t="s">
        <v>1</v>
      </c>
      <c r="B3013" t="s">
        <v>19</v>
      </c>
      <c r="C3013" t="s">
        <v>23490</v>
      </c>
      <c r="D3013" t="str">
        <f>HYPERLINK("https://rhld.insurance.arkansas.gov/NPILookup?Npi=1336605914","1336605914")</f>
        <v>1336605914</v>
      </c>
      <c r="E3013" t="s">
        <v>13486</v>
      </c>
    </row>
    <row r="3014" spans="1:5" x14ac:dyDescent="0.25">
      <c r="A3014" t="s">
        <v>1</v>
      </c>
      <c r="B3014" t="s">
        <v>19</v>
      </c>
      <c r="C3014" t="s">
        <v>23490</v>
      </c>
      <c r="D3014" t="str">
        <f>HYPERLINK("https://rhld.insurance.arkansas.gov/NPILookup?Npi=1336613215","1336613215")</f>
        <v>1336613215</v>
      </c>
      <c r="E3014" t="s">
        <v>19631</v>
      </c>
    </row>
    <row r="3015" spans="1:5" x14ac:dyDescent="0.25">
      <c r="A3015" t="s">
        <v>1</v>
      </c>
      <c r="B3015" t="s">
        <v>19</v>
      </c>
      <c r="C3015" t="s">
        <v>23490</v>
      </c>
      <c r="D3015" t="str">
        <f>HYPERLINK("https://rhld.insurance.arkansas.gov/NPILookup?Npi=1336614775","1336614775")</f>
        <v>1336614775</v>
      </c>
      <c r="E3015" t="s">
        <v>13487</v>
      </c>
    </row>
    <row r="3016" spans="1:5" x14ac:dyDescent="0.25">
      <c r="A3016" t="s">
        <v>1</v>
      </c>
      <c r="B3016" t="s">
        <v>19</v>
      </c>
      <c r="C3016" t="s">
        <v>23490</v>
      </c>
      <c r="D3016" t="str">
        <f>HYPERLINK("https://rhld.insurance.arkansas.gov/NPILookup?Npi=1336625961","1336625961")</f>
        <v>1336625961</v>
      </c>
      <c r="E3016" t="s">
        <v>15024</v>
      </c>
    </row>
    <row r="3017" spans="1:5" x14ac:dyDescent="0.25">
      <c r="A3017" t="s">
        <v>1</v>
      </c>
      <c r="B3017" t="s">
        <v>19</v>
      </c>
      <c r="C3017" t="s">
        <v>23490</v>
      </c>
      <c r="D3017" t="str">
        <f>HYPERLINK("https://rhld.insurance.arkansas.gov/NPILookup?Npi=1336640127","1336640127")</f>
        <v>1336640127</v>
      </c>
      <c r="E3017" t="s">
        <v>12823</v>
      </c>
    </row>
    <row r="3018" spans="1:5" x14ac:dyDescent="0.25">
      <c r="A3018" t="s">
        <v>1</v>
      </c>
      <c r="B3018" t="s">
        <v>19</v>
      </c>
      <c r="C3018" t="s">
        <v>23490</v>
      </c>
      <c r="D3018" t="str">
        <f>HYPERLINK("https://rhld.insurance.arkansas.gov/NPILookup?Npi=1336646496","1336646496")</f>
        <v>1336646496</v>
      </c>
      <c r="E3018" t="s">
        <v>19632</v>
      </c>
    </row>
    <row r="3019" spans="1:5" x14ac:dyDescent="0.25">
      <c r="A3019" t="s">
        <v>1</v>
      </c>
      <c r="B3019" t="s">
        <v>19</v>
      </c>
      <c r="C3019" t="s">
        <v>23490</v>
      </c>
      <c r="D3019" t="str">
        <f>HYPERLINK("https://rhld.insurance.arkansas.gov/NPILookup?Npi=1336655513","1336655513")</f>
        <v>1336655513</v>
      </c>
      <c r="E3019" t="s">
        <v>12824</v>
      </c>
    </row>
    <row r="3020" spans="1:5" x14ac:dyDescent="0.25">
      <c r="A3020" t="s">
        <v>1</v>
      </c>
      <c r="B3020" t="s">
        <v>19</v>
      </c>
      <c r="C3020" t="s">
        <v>23490</v>
      </c>
      <c r="D3020" t="str">
        <f>HYPERLINK("https://rhld.insurance.arkansas.gov/NPILookup?Npi=1336655968","1336655968")</f>
        <v>1336655968</v>
      </c>
      <c r="E3020" t="s">
        <v>12825</v>
      </c>
    </row>
    <row r="3021" spans="1:5" x14ac:dyDescent="0.25">
      <c r="A3021" t="s">
        <v>1</v>
      </c>
      <c r="B3021" t="s">
        <v>19</v>
      </c>
      <c r="C3021" t="s">
        <v>23490</v>
      </c>
      <c r="D3021" t="str">
        <f>HYPERLINK("https://rhld.insurance.arkansas.gov/NPILookup?Npi=1336675123","1336675123")</f>
        <v>1336675123</v>
      </c>
      <c r="E3021" t="s">
        <v>19633</v>
      </c>
    </row>
    <row r="3022" spans="1:5" x14ac:dyDescent="0.25">
      <c r="A3022" t="s">
        <v>1</v>
      </c>
      <c r="B3022" t="s">
        <v>19</v>
      </c>
      <c r="C3022" t="s">
        <v>23490</v>
      </c>
      <c r="D3022" t="str">
        <f>HYPERLINK("https://rhld.insurance.arkansas.gov/NPILookup?Npi=1336675628","1336675628")</f>
        <v>1336675628</v>
      </c>
      <c r="E3022" t="s">
        <v>17956</v>
      </c>
    </row>
    <row r="3023" spans="1:5" x14ac:dyDescent="0.25">
      <c r="A3023" t="s">
        <v>1</v>
      </c>
      <c r="B3023" t="s">
        <v>19</v>
      </c>
      <c r="C3023" t="s">
        <v>23490</v>
      </c>
      <c r="D3023" t="str">
        <f>HYPERLINK("https://rhld.insurance.arkansas.gov/NPILookup?Npi=1336677731","1336677731")</f>
        <v>1336677731</v>
      </c>
      <c r="E3023" t="s">
        <v>18748</v>
      </c>
    </row>
    <row r="3024" spans="1:5" x14ac:dyDescent="0.25">
      <c r="A3024" t="s">
        <v>1</v>
      </c>
      <c r="B3024" t="s">
        <v>19</v>
      </c>
      <c r="C3024" t="s">
        <v>23490</v>
      </c>
      <c r="D3024" t="str">
        <f>HYPERLINK("https://rhld.insurance.arkansas.gov/NPILookup?Npi=1336680719","1336680719")</f>
        <v>1336680719</v>
      </c>
      <c r="E3024" t="s">
        <v>10848</v>
      </c>
    </row>
    <row r="3025" spans="1:5" x14ac:dyDescent="0.25">
      <c r="A3025" t="s">
        <v>1</v>
      </c>
      <c r="B3025" t="s">
        <v>19</v>
      </c>
      <c r="C3025" t="s">
        <v>23490</v>
      </c>
      <c r="D3025" t="str">
        <f>HYPERLINK("https://rhld.insurance.arkansas.gov/NPILookup?Npi=1336686708","1336686708")</f>
        <v>1336686708</v>
      </c>
      <c r="E3025" t="s">
        <v>10849</v>
      </c>
    </row>
    <row r="3026" spans="1:5" x14ac:dyDescent="0.25">
      <c r="A3026" t="s">
        <v>1</v>
      </c>
      <c r="B3026" t="s">
        <v>19</v>
      </c>
      <c r="C3026" t="s">
        <v>23490</v>
      </c>
      <c r="D3026" t="str">
        <f>HYPERLINK("https://rhld.insurance.arkansas.gov/NPILookup?Npi=1336694629","1336694629")</f>
        <v>1336694629</v>
      </c>
      <c r="E3026" t="s">
        <v>18749</v>
      </c>
    </row>
    <row r="3027" spans="1:5" x14ac:dyDescent="0.25">
      <c r="A3027" t="s">
        <v>1</v>
      </c>
      <c r="B3027" t="s">
        <v>19</v>
      </c>
      <c r="C3027" t="s">
        <v>23490</v>
      </c>
      <c r="D3027" t="str">
        <f>HYPERLINK("https://rhld.insurance.arkansas.gov/NPILookup?Npi=1336695360","1336695360")</f>
        <v>1336695360</v>
      </c>
      <c r="E3027" t="s">
        <v>19224</v>
      </c>
    </row>
    <row r="3028" spans="1:5" x14ac:dyDescent="0.25">
      <c r="A3028" t="s">
        <v>1</v>
      </c>
      <c r="B3028" t="s">
        <v>19</v>
      </c>
      <c r="C3028" t="s">
        <v>23490</v>
      </c>
      <c r="D3028" t="str">
        <f>HYPERLINK("https://rhld.insurance.arkansas.gov/NPILookup?Npi=1336699941","1336699941")</f>
        <v>1336699941</v>
      </c>
      <c r="E3028" t="s">
        <v>10850</v>
      </c>
    </row>
    <row r="3029" spans="1:5" x14ac:dyDescent="0.25">
      <c r="A3029" t="s">
        <v>1</v>
      </c>
      <c r="B3029" t="s">
        <v>19</v>
      </c>
      <c r="C3029" t="s">
        <v>23490</v>
      </c>
      <c r="D3029" t="str">
        <f>HYPERLINK("https://rhld.insurance.arkansas.gov/NPILookup?Npi=1336705813","1336705813")</f>
        <v>1336705813</v>
      </c>
      <c r="E3029" t="s">
        <v>19634</v>
      </c>
    </row>
    <row r="3030" spans="1:5" x14ac:dyDescent="0.25">
      <c r="A3030" t="s">
        <v>1</v>
      </c>
      <c r="B3030" t="s">
        <v>19</v>
      </c>
      <c r="C3030" t="s">
        <v>23490</v>
      </c>
      <c r="D3030" t="str">
        <f>HYPERLINK("https://rhld.insurance.arkansas.gov/NPILookup?Npi=1336730100","1336730100")</f>
        <v>1336730100</v>
      </c>
      <c r="E3030" t="s">
        <v>18750</v>
      </c>
    </row>
    <row r="3031" spans="1:5" x14ac:dyDescent="0.25">
      <c r="A3031" t="s">
        <v>1</v>
      </c>
      <c r="B3031" t="s">
        <v>19</v>
      </c>
      <c r="C3031" t="s">
        <v>23490</v>
      </c>
      <c r="D3031" t="str">
        <f>HYPERLINK("https://rhld.insurance.arkansas.gov/NPILookup?Npi=1336755891","1336755891")</f>
        <v>1336755891</v>
      </c>
      <c r="E3031" t="s">
        <v>17419</v>
      </c>
    </row>
    <row r="3032" spans="1:5" x14ac:dyDescent="0.25">
      <c r="A3032" t="s">
        <v>1</v>
      </c>
      <c r="B3032" t="s">
        <v>19</v>
      </c>
      <c r="C3032" t="s">
        <v>23490</v>
      </c>
      <c r="D3032" t="str">
        <f>HYPERLINK("https://rhld.insurance.arkansas.gov/NPILookup?Npi=1336780279","1336780279")</f>
        <v>1336780279</v>
      </c>
      <c r="E3032" t="s">
        <v>15025</v>
      </c>
    </row>
    <row r="3033" spans="1:5" x14ac:dyDescent="0.25">
      <c r="A3033" t="s">
        <v>1</v>
      </c>
      <c r="B3033" t="s">
        <v>19</v>
      </c>
      <c r="C3033" t="s">
        <v>23490</v>
      </c>
      <c r="D3033" t="str">
        <f>HYPERLINK("https://rhld.insurance.arkansas.gov/NPILookup?Npi=1336793611","1336793611")</f>
        <v>1336793611</v>
      </c>
      <c r="E3033" t="s">
        <v>16935</v>
      </c>
    </row>
    <row r="3034" spans="1:5" x14ac:dyDescent="0.25">
      <c r="A3034" t="s">
        <v>1</v>
      </c>
      <c r="B3034" t="s">
        <v>19</v>
      </c>
      <c r="C3034" t="s">
        <v>23490</v>
      </c>
      <c r="D3034" t="str">
        <f>HYPERLINK("https://rhld.insurance.arkansas.gov/NPILookup?Npi=1336798263","1336798263")</f>
        <v>1336798263</v>
      </c>
      <c r="E3034" t="s">
        <v>19635</v>
      </c>
    </row>
    <row r="3035" spans="1:5" x14ac:dyDescent="0.25">
      <c r="A3035" t="s">
        <v>1</v>
      </c>
      <c r="B3035" t="s">
        <v>19</v>
      </c>
      <c r="C3035" t="s">
        <v>23490</v>
      </c>
      <c r="D3035" t="str">
        <f>HYPERLINK("https://rhld.insurance.arkansas.gov/NPILookup?Npi=1336808674","1336808674")</f>
        <v>1336808674</v>
      </c>
      <c r="E3035" t="s">
        <v>21391</v>
      </c>
    </row>
    <row r="3036" spans="1:5" x14ac:dyDescent="0.25">
      <c r="A3036" t="s">
        <v>1</v>
      </c>
      <c r="B3036" t="s">
        <v>19</v>
      </c>
      <c r="C3036" t="s">
        <v>23490</v>
      </c>
      <c r="D3036" t="str">
        <f>HYPERLINK("https://rhld.insurance.arkansas.gov/NPILookup?Npi=1336817402","1336817402")</f>
        <v>1336817402</v>
      </c>
      <c r="E3036" t="s">
        <v>18751</v>
      </c>
    </row>
    <row r="3037" spans="1:5" x14ac:dyDescent="0.25">
      <c r="A3037" t="s">
        <v>1</v>
      </c>
      <c r="B3037" t="s">
        <v>19</v>
      </c>
      <c r="C3037" t="s">
        <v>23490</v>
      </c>
      <c r="D3037" t="str">
        <f>HYPERLINK("https://rhld.insurance.arkansas.gov/NPILookup?Npi=1336874544","1336874544")</f>
        <v>1336874544</v>
      </c>
      <c r="E3037" t="s">
        <v>21525</v>
      </c>
    </row>
    <row r="3038" spans="1:5" x14ac:dyDescent="0.25">
      <c r="A3038" t="s">
        <v>1</v>
      </c>
      <c r="B3038" t="s">
        <v>19</v>
      </c>
      <c r="C3038" t="s">
        <v>23490</v>
      </c>
      <c r="D3038" t="str">
        <f>HYPERLINK("https://rhld.insurance.arkansas.gov/NPILookup?Npi=1336885839","1336885839")</f>
        <v>1336885839</v>
      </c>
      <c r="E3038" t="s">
        <v>21392</v>
      </c>
    </row>
    <row r="3039" spans="1:5" x14ac:dyDescent="0.25">
      <c r="A3039" t="s">
        <v>1</v>
      </c>
      <c r="B3039" t="s">
        <v>19</v>
      </c>
      <c r="C3039" t="s">
        <v>23490</v>
      </c>
      <c r="D3039" t="str">
        <f>HYPERLINK("https://rhld.insurance.arkansas.gov/NPILookup?Npi=1346202637","1346202637")</f>
        <v>1346202637</v>
      </c>
      <c r="E3039" t="s">
        <v>1227</v>
      </c>
    </row>
    <row r="3040" spans="1:5" x14ac:dyDescent="0.25">
      <c r="A3040" t="s">
        <v>1</v>
      </c>
      <c r="B3040" t="s">
        <v>19</v>
      </c>
      <c r="C3040" t="s">
        <v>23490</v>
      </c>
      <c r="D3040" t="str">
        <f>HYPERLINK("https://rhld.insurance.arkansas.gov/NPILookup?Npi=1346207115","1346207115")</f>
        <v>1346207115</v>
      </c>
      <c r="E3040" t="s">
        <v>1228</v>
      </c>
    </row>
    <row r="3041" spans="1:5" x14ac:dyDescent="0.25">
      <c r="A3041" t="s">
        <v>1</v>
      </c>
      <c r="B3041" t="s">
        <v>19</v>
      </c>
      <c r="C3041" t="s">
        <v>23490</v>
      </c>
      <c r="D3041" t="str">
        <f>HYPERLINK("https://rhld.insurance.arkansas.gov/NPILookup?Npi=1346208030","1346208030")</f>
        <v>1346208030</v>
      </c>
      <c r="E3041" t="s">
        <v>8625</v>
      </c>
    </row>
    <row r="3042" spans="1:5" x14ac:dyDescent="0.25">
      <c r="A3042" t="s">
        <v>1</v>
      </c>
      <c r="B3042" t="s">
        <v>19</v>
      </c>
      <c r="C3042" t="s">
        <v>23490</v>
      </c>
      <c r="D3042" t="str">
        <f>HYPERLINK("https://rhld.insurance.arkansas.gov/NPILookup?Npi=1346208527","1346208527")</f>
        <v>1346208527</v>
      </c>
      <c r="E3042" t="s">
        <v>1229</v>
      </c>
    </row>
    <row r="3043" spans="1:5" x14ac:dyDescent="0.25">
      <c r="A3043" t="s">
        <v>1</v>
      </c>
      <c r="B3043" t="s">
        <v>19</v>
      </c>
      <c r="C3043" t="s">
        <v>23490</v>
      </c>
      <c r="D3043" t="str">
        <f>HYPERLINK("https://rhld.insurance.arkansas.gov/NPILookup?Npi=1346216785","1346216785")</f>
        <v>1346216785</v>
      </c>
      <c r="E3043" t="s">
        <v>1230</v>
      </c>
    </row>
    <row r="3044" spans="1:5" x14ac:dyDescent="0.25">
      <c r="A3044" t="s">
        <v>1</v>
      </c>
      <c r="B3044" t="s">
        <v>19</v>
      </c>
      <c r="C3044" t="s">
        <v>23490</v>
      </c>
      <c r="D3044" t="str">
        <f>HYPERLINK("https://rhld.insurance.arkansas.gov/NPILookup?Npi=1346220688","1346220688")</f>
        <v>1346220688</v>
      </c>
      <c r="E3044" t="s">
        <v>1231</v>
      </c>
    </row>
    <row r="3045" spans="1:5" x14ac:dyDescent="0.25">
      <c r="A3045" t="s">
        <v>1</v>
      </c>
      <c r="B3045" t="s">
        <v>19</v>
      </c>
      <c r="C3045" t="s">
        <v>23490</v>
      </c>
      <c r="D3045" t="str">
        <f>HYPERLINK("https://rhld.insurance.arkansas.gov/NPILookup?Npi=1346225620","1346225620")</f>
        <v>1346225620</v>
      </c>
      <c r="E3045" t="s">
        <v>1232</v>
      </c>
    </row>
    <row r="3046" spans="1:5" x14ac:dyDescent="0.25">
      <c r="A3046" t="s">
        <v>1</v>
      </c>
      <c r="B3046" t="s">
        <v>19</v>
      </c>
      <c r="C3046" t="s">
        <v>23490</v>
      </c>
      <c r="D3046" t="str">
        <f>HYPERLINK("https://rhld.insurance.arkansas.gov/NPILookup?Npi=1346229820","1346229820")</f>
        <v>1346229820</v>
      </c>
      <c r="E3046" t="s">
        <v>1233</v>
      </c>
    </row>
    <row r="3047" spans="1:5" x14ac:dyDescent="0.25">
      <c r="A3047" t="s">
        <v>1</v>
      </c>
      <c r="B3047" t="s">
        <v>19</v>
      </c>
      <c r="C3047" t="s">
        <v>23490</v>
      </c>
      <c r="D3047" t="str">
        <f>HYPERLINK("https://rhld.insurance.arkansas.gov/NPILookup?Npi=1346233913","1346233913")</f>
        <v>1346233913</v>
      </c>
      <c r="E3047" t="s">
        <v>1234</v>
      </c>
    </row>
    <row r="3048" spans="1:5" x14ac:dyDescent="0.25">
      <c r="A3048" t="s">
        <v>1</v>
      </c>
      <c r="B3048" t="s">
        <v>19</v>
      </c>
      <c r="C3048" t="s">
        <v>23490</v>
      </c>
      <c r="D3048" t="str">
        <f>HYPERLINK("https://rhld.insurance.arkansas.gov/NPILookup?Npi=1346238441","1346238441")</f>
        <v>1346238441</v>
      </c>
      <c r="E3048" t="s">
        <v>1235</v>
      </c>
    </row>
    <row r="3049" spans="1:5" x14ac:dyDescent="0.25">
      <c r="A3049" t="s">
        <v>1</v>
      </c>
      <c r="B3049" t="s">
        <v>19</v>
      </c>
      <c r="C3049" t="s">
        <v>23490</v>
      </c>
      <c r="D3049" t="str">
        <f>HYPERLINK("https://rhld.insurance.arkansas.gov/NPILookup?Npi=1346247798","1346247798")</f>
        <v>1346247798</v>
      </c>
      <c r="E3049" t="s">
        <v>15026</v>
      </c>
    </row>
    <row r="3050" spans="1:5" x14ac:dyDescent="0.25">
      <c r="A3050" t="s">
        <v>1</v>
      </c>
      <c r="B3050" t="s">
        <v>19</v>
      </c>
      <c r="C3050" t="s">
        <v>23490</v>
      </c>
      <c r="D3050" t="str">
        <f>HYPERLINK("https://rhld.insurance.arkansas.gov/NPILookup?Npi=1346252681","1346252681")</f>
        <v>1346252681</v>
      </c>
      <c r="E3050" t="s">
        <v>1236</v>
      </c>
    </row>
    <row r="3051" spans="1:5" x14ac:dyDescent="0.25">
      <c r="A3051" t="s">
        <v>1</v>
      </c>
      <c r="B3051" t="s">
        <v>19</v>
      </c>
      <c r="C3051" t="s">
        <v>23490</v>
      </c>
      <c r="D3051" t="str">
        <f>HYPERLINK("https://rhld.insurance.arkansas.gov/NPILookup?Npi=1346257623","1346257623")</f>
        <v>1346257623</v>
      </c>
      <c r="E3051" t="s">
        <v>1237</v>
      </c>
    </row>
    <row r="3052" spans="1:5" x14ac:dyDescent="0.25">
      <c r="A3052" t="s">
        <v>1</v>
      </c>
      <c r="B3052" t="s">
        <v>19</v>
      </c>
      <c r="C3052" t="s">
        <v>23490</v>
      </c>
      <c r="D3052" t="str">
        <f>HYPERLINK("https://rhld.insurance.arkansas.gov/NPILookup?Npi=1346257771","1346257771")</f>
        <v>1346257771</v>
      </c>
      <c r="E3052" t="s">
        <v>1238</v>
      </c>
    </row>
    <row r="3053" spans="1:5" x14ac:dyDescent="0.25">
      <c r="A3053" t="s">
        <v>1</v>
      </c>
      <c r="B3053" t="s">
        <v>19</v>
      </c>
      <c r="C3053" t="s">
        <v>23490</v>
      </c>
      <c r="D3053" t="str">
        <f>HYPERLINK("https://rhld.insurance.arkansas.gov/NPILookup?Npi=1346259124","1346259124")</f>
        <v>1346259124</v>
      </c>
      <c r="E3053" t="s">
        <v>1239</v>
      </c>
    </row>
    <row r="3054" spans="1:5" x14ac:dyDescent="0.25">
      <c r="A3054" t="s">
        <v>1</v>
      </c>
      <c r="B3054" t="s">
        <v>19</v>
      </c>
      <c r="C3054" t="s">
        <v>23490</v>
      </c>
      <c r="D3054" t="str">
        <f>HYPERLINK("https://rhld.insurance.arkansas.gov/NPILookup?Npi=1346276441","1346276441")</f>
        <v>1346276441</v>
      </c>
      <c r="E3054" t="s">
        <v>19636</v>
      </c>
    </row>
    <row r="3055" spans="1:5" x14ac:dyDescent="0.25">
      <c r="A3055" t="s">
        <v>1</v>
      </c>
      <c r="B3055" t="s">
        <v>19</v>
      </c>
      <c r="C3055" t="s">
        <v>23490</v>
      </c>
      <c r="D3055" t="str">
        <f>HYPERLINK("https://rhld.insurance.arkansas.gov/NPILookup?Npi=1346282290","1346282290")</f>
        <v>1346282290</v>
      </c>
      <c r="E3055" t="s">
        <v>1240</v>
      </c>
    </row>
    <row r="3056" spans="1:5" x14ac:dyDescent="0.25">
      <c r="A3056" t="s">
        <v>1</v>
      </c>
      <c r="B3056" t="s">
        <v>19</v>
      </c>
      <c r="C3056" t="s">
        <v>23490</v>
      </c>
      <c r="D3056" t="str">
        <f>HYPERLINK("https://rhld.insurance.arkansas.gov/NPILookup?Npi=1346283975","1346283975")</f>
        <v>1346283975</v>
      </c>
      <c r="E3056" t="s">
        <v>18752</v>
      </c>
    </row>
    <row r="3057" spans="1:5" x14ac:dyDescent="0.25">
      <c r="A3057" t="s">
        <v>1</v>
      </c>
      <c r="B3057" t="s">
        <v>19</v>
      </c>
      <c r="C3057" t="s">
        <v>23490</v>
      </c>
      <c r="D3057" t="str">
        <f>HYPERLINK("https://rhld.insurance.arkansas.gov/NPILookup?Npi=1346285533","1346285533")</f>
        <v>1346285533</v>
      </c>
      <c r="E3057" t="s">
        <v>13488</v>
      </c>
    </row>
    <row r="3058" spans="1:5" x14ac:dyDescent="0.25">
      <c r="A3058" t="s">
        <v>1</v>
      </c>
      <c r="B3058" t="s">
        <v>19</v>
      </c>
      <c r="C3058" t="s">
        <v>23490</v>
      </c>
      <c r="D3058" t="str">
        <f>HYPERLINK("https://rhld.insurance.arkansas.gov/NPILookup?Npi=1346285590","1346285590")</f>
        <v>1346285590</v>
      </c>
      <c r="E3058" t="s">
        <v>15027</v>
      </c>
    </row>
    <row r="3059" spans="1:5" x14ac:dyDescent="0.25">
      <c r="A3059" t="s">
        <v>1</v>
      </c>
      <c r="B3059" t="s">
        <v>19</v>
      </c>
      <c r="C3059" t="s">
        <v>23490</v>
      </c>
      <c r="D3059" t="str">
        <f>HYPERLINK("https://rhld.insurance.arkansas.gov/NPILookup?Npi=1346291432","1346291432")</f>
        <v>1346291432</v>
      </c>
      <c r="E3059" t="s">
        <v>1241</v>
      </c>
    </row>
    <row r="3060" spans="1:5" x14ac:dyDescent="0.25">
      <c r="A3060" t="s">
        <v>1</v>
      </c>
      <c r="B3060" t="s">
        <v>19</v>
      </c>
      <c r="C3060" t="s">
        <v>23490</v>
      </c>
      <c r="D3060" t="str">
        <f>HYPERLINK("https://rhld.insurance.arkansas.gov/NPILookup?Npi=1346297488","1346297488")</f>
        <v>1346297488</v>
      </c>
      <c r="E3060" t="s">
        <v>13489</v>
      </c>
    </row>
    <row r="3061" spans="1:5" x14ac:dyDescent="0.25">
      <c r="A3061" t="s">
        <v>1</v>
      </c>
      <c r="B3061" t="s">
        <v>19</v>
      </c>
      <c r="C3061" t="s">
        <v>23490</v>
      </c>
      <c r="D3061" t="str">
        <f>HYPERLINK("https://rhld.insurance.arkansas.gov/NPILookup?Npi=1346300969","1346300969")</f>
        <v>1346300969</v>
      </c>
      <c r="E3061" t="s">
        <v>1242</v>
      </c>
    </row>
    <row r="3062" spans="1:5" x14ac:dyDescent="0.25">
      <c r="A3062" t="s">
        <v>1</v>
      </c>
      <c r="B3062" t="s">
        <v>19</v>
      </c>
      <c r="C3062" t="s">
        <v>23490</v>
      </c>
      <c r="D3062" t="str">
        <f>HYPERLINK("https://rhld.insurance.arkansas.gov/NPILookup?Npi=1346330784","1346330784")</f>
        <v>1346330784</v>
      </c>
      <c r="E3062" t="s">
        <v>1244</v>
      </c>
    </row>
    <row r="3063" spans="1:5" x14ac:dyDescent="0.25">
      <c r="A3063" t="s">
        <v>1</v>
      </c>
      <c r="B3063" t="s">
        <v>19</v>
      </c>
      <c r="C3063" t="s">
        <v>23490</v>
      </c>
      <c r="D3063" t="str">
        <f>HYPERLINK("https://rhld.insurance.arkansas.gov/NPILookup?Npi=1346339066","1346339066")</f>
        <v>1346339066</v>
      </c>
      <c r="E3063" t="s">
        <v>19637</v>
      </c>
    </row>
    <row r="3064" spans="1:5" x14ac:dyDescent="0.25">
      <c r="A3064" t="s">
        <v>1</v>
      </c>
      <c r="B3064" t="s">
        <v>19</v>
      </c>
      <c r="C3064" t="s">
        <v>23490</v>
      </c>
      <c r="D3064" t="str">
        <f>HYPERLINK("https://rhld.insurance.arkansas.gov/NPILookup?Npi=1346347812","1346347812")</f>
        <v>1346347812</v>
      </c>
      <c r="E3064" t="s">
        <v>1245</v>
      </c>
    </row>
    <row r="3065" spans="1:5" x14ac:dyDescent="0.25">
      <c r="A3065" t="s">
        <v>1</v>
      </c>
      <c r="B3065" t="s">
        <v>19</v>
      </c>
      <c r="C3065" t="s">
        <v>23490</v>
      </c>
      <c r="D3065" t="str">
        <f>HYPERLINK("https://rhld.insurance.arkansas.gov/NPILookup?Npi=1346355518","1346355518")</f>
        <v>1346355518</v>
      </c>
      <c r="E3065" t="s">
        <v>1246</v>
      </c>
    </row>
    <row r="3066" spans="1:5" x14ac:dyDescent="0.25">
      <c r="A3066" t="s">
        <v>1</v>
      </c>
      <c r="B3066" t="s">
        <v>19</v>
      </c>
      <c r="C3066" t="s">
        <v>23490</v>
      </c>
      <c r="D3066" t="str">
        <f>HYPERLINK("https://rhld.insurance.arkansas.gov/NPILookup?Npi=1346399045","1346399045")</f>
        <v>1346399045</v>
      </c>
      <c r="E3066" t="s">
        <v>15028</v>
      </c>
    </row>
    <row r="3067" spans="1:5" x14ac:dyDescent="0.25">
      <c r="A3067" t="s">
        <v>1</v>
      </c>
      <c r="B3067" t="s">
        <v>19</v>
      </c>
      <c r="C3067" t="s">
        <v>23490</v>
      </c>
      <c r="D3067" t="str">
        <f>HYPERLINK("https://rhld.insurance.arkansas.gov/NPILookup?Npi=1346445665","1346445665")</f>
        <v>1346445665</v>
      </c>
      <c r="E3067" t="s">
        <v>8626</v>
      </c>
    </row>
    <row r="3068" spans="1:5" x14ac:dyDescent="0.25">
      <c r="A3068" t="s">
        <v>1</v>
      </c>
      <c r="B3068" t="s">
        <v>19</v>
      </c>
      <c r="C3068" t="s">
        <v>23490</v>
      </c>
      <c r="D3068" t="str">
        <f>HYPERLINK("https://rhld.insurance.arkansas.gov/NPILookup?Npi=1346467495","1346467495")</f>
        <v>1346467495</v>
      </c>
      <c r="E3068" t="s">
        <v>1247</v>
      </c>
    </row>
    <row r="3069" spans="1:5" x14ac:dyDescent="0.25">
      <c r="A3069" t="s">
        <v>1</v>
      </c>
      <c r="B3069" t="s">
        <v>19</v>
      </c>
      <c r="C3069" t="s">
        <v>23490</v>
      </c>
      <c r="D3069" t="str">
        <f>HYPERLINK("https://rhld.insurance.arkansas.gov/NPILookup?Npi=1346470390","1346470390")</f>
        <v>1346470390</v>
      </c>
      <c r="E3069" t="s">
        <v>13490</v>
      </c>
    </row>
    <row r="3070" spans="1:5" x14ac:dyDescent="0.25">
      <c r="A3070" t="s">
        <v>1</v>
      </c>
      <c r="B3070" t="s">
        <v>19</v>
      </c>
      <c r="C3070" t="s">
        <v>23490</v>
      </c>
      <c r="D3070" t="str">
        <f>HYPERLINK("https://rhld.insurance.arkansas.gov/NPILookup?Npi=1346474483","1346474483")</f>
        <v>1346474483</v>
      </c>
      <c r="E3070" t="s">
        <v>19638</v>
      </c>
    </row>
    <row r="3071" spans="1:5" x14ac:dyDescent="0.25">
      <c r="A3071" t="s">
        <v>1</v>
      </c>
      <c r="B3071" t="s">
        <v>19</v>
      </c>
      <c r="C3071" t="s">
        <v>23490</v>
      </c>
      <c r="D3071" t="str">
        <f>HYPERLINK("https://rhld.insurance.arkansas.gov/NPILookup?Npi=1346475332","1346475332")</f>
        <v>1346475332</v>
      </c>
      <c r="E3071" t="s">
        <v>1248</v>
      </c>
    </row>
    <row r="3072" spans="1:5" x14ac:dyDescent="0.25">
      <c r="A3072" t="s">
        <v>1</v>
      </c>
      <c r="B3072" t="s">
        <v>19</v>
      </c>
      <c r="C3072" t="s">
        <v>23490</v>
      </c>
      <c r="D3072" t="str">
        <f>HYPERLINK("https://rhld.insurance.arkansas.gov/NPILookup?Npi=1346480449","1346480449")</f>
        <v>1346480449</v>
      </c>
      <c r="E3072" t="s">
        <v>19639</v>
      </c>
    </row>
    <row r="3073" spans="1:5" x14ac:dyDescent="0.25">
      <c r="A3073" t="s">
        <v>1</v>
      </c>
      <c r="B3073" t="s">
        <v>19</v>
      </c>
      <c r="C3073" t="s">
        <v>23490</v>
      </c>
      <c r="D3073" t="str">
        <f>HYPERLINK("https://rhld.insurance.arkansas.gov/NPILookup?Npi=1346496551","1346496551")</f>
        <v>1346496551</v>
      </c>
      <c r="E3073" t="s">
        <v>15029</v>
      </c>
    </row>
    <row r="3074" spans="1:5" x14ac:dyDescent="0.25">
      <c r="A3074" t="s">
        <v>1</v>
      </c>
      <c r="B3074" t="s">
        <v>19</v>
      </c>
      <c r="C3074" t="s">
        <v>23490</v>
      </c>
      <c r="D3074" t="str">
        <f>HYPERLINK("https://rhld.insurance.arkansas.gov/NPILookup?Npi=1346507522","1346507522")</f>
        <v>1346507522</v>
      </c>
      <c r="E3074" t="s">
        <v>1249</v>
      </c>
    </row>
    <row r="3075" spans="1:5" x14ac:dyDescent="0.25">
      <c r="A3075" t="s">
        <v>1</v>
      </c>
      <c r="B3075" t="s">
        <v>19</v>
      </c>
      <c r="C3075" t="s">
        <v>23490</v>
      </c>
      <c r="D3075" t="str">
        <f>HYPERLINK("https://rhld.insurance.arkansas.gov/NPILookup?Npi=1346509478","1346509478")</f>
        <v>1346509478</v>
      </c>
      <c r="E3075" t="s">
        <v>1250</v>
      </c>
    </row>
    <row r="3076" spans="1:5" x14ac:dyDescent="0.25">
      <c r="A3076" t="s">
        <v>1</v>
      </c>
      <c r="B3076" t="s">
        <v>19</v>
      </c>
      <c r="C3076" t="s">
        <v>23490</v>
      </c>
      <c r="D3076" t="str">
        <f>HYPERLINK("https://rhld.insurance.arkansas.gov/NPILookup?Npi=1346514403","1346514403")</f>
        <v>1346514403</v>
      </c>
      <c r="E3076" t="s">
        <v>8627</v>
      </c>
    </row>
    <row r="3077" spans="1:5" x14ac:dyDescent="0.25">
      <c r="A3077" t="s">
        <v>1</v>
      </c>
      <c r="B3077" t="s">
        <v>19</v>
      </c>
      <c r="C3077" t="s">
        <v>23490</v>
      </c>
      <c r="D3077" t="str">
        <f>HYPERLINK("https://rhld.insurance.arkansas.gov/NPILookup?Npi=1346516291","1346516291")</f>
        <v>1346516291</v>
      </c>
      <c r="E3077" t="s">
        <v>1251</v>
      </c>
    </row>
    <row r="3078" spans="1:5" x14ac:dyDescent="0.25">
      <c r="A3078" t="s">
        <v>1</v>
      </c>
      <c r="B3078" t="s">
        <v>19</v>
      </c>
      <c r="C3078" t="s">
        <v>23490</v>
      </c>
      <c r="D3078" t="str">
        <f>HYPERLINK("https://rhld.insurance.arkansas.gov/NPILookup?Npi=1346552148","1346552148")</f>
        <v>1346552148</v>
      </c>
      <c r="E3078" t="s">
        <v>1252</v>
      </c>
    </row>
    <row r="3079" spans="1:5" x14ac:dyDescent="0.25">
      <c r="A3079" t="s">
        <v>1</v>
      </c>
      <c r="B3079" t="s">
        <v>19</v>
      </c>
      <c r="C3079" t="s">
        <v>23490</v>
      </c>
      <c r="D3079" t="str">
        <f>HYPERLINK("https://rhld.insurance.arkansas.gov/NPILookup?Npi=1346556511","1346556511")</f>
        <v>1346556511</v>
      </c>
      <c r="E3079" t="s">
        <v>1253</v>
      </c>
    </row>
    <row r="3080" spans="1:5" x14ac:dyDescent="0.25">
      <c r="A3080" t="s">
        <v>1</v>
      </c>
      <c r="B3080" t="s">
        <v>19</v>
      </c>
      <c r="C3080" t="s">
        <v>23490</v>
      </c>
      <c r="D3080" t="str">
        <f>HYPERLINK("https://rhld.insurance.arkansas.gov/NPILookup?Npi=1346561461","1346561461")</f>
        <v>1346561461</v>
      </c>
      <c r="E3080" t="s">
        <v>22924</v>
      </c>
    </row>
    <row r="3081" spans="1:5" x14ac:dyDescent="0.25">
      <c r="A3081" t="s">
        <v>1</v>
      </c>
      <c r="B3081" t="s">
        <v>19</v>
      </c>
      <c r="C3081" t="s">
        <v>23490</v>
      </c>
      <c r="D3081" t="str">
        <f>HYPERLINK("https://rhld.insurance.arkansas.gov/NPILookup?Npi=1346587599","1346587599")</f>
        <v>1346587599</v>
      </c>
      <c r="E3081" t="s">
        <v>1254</v>
      </c>
    </row>
    <row r="3082" spans="1:5" x14ac:dyDescent="0.25">
      <c r="A3082" t="s">
        <v>1</v>
      </c>
      <c r="B3082" t="s">
        <v>19</v>
      </c>
      <c r="C3082" t="s">
        <v>23490</v>
      </c>
      <c r="D3082" t="str">
        <f>HYPERLINK("https://rhld.insurance.arkansas.gov/NPILookup?Npi=1346593035","1346593035")</f>
        <v>1346593035</v>
      </c>
      <c r="E3082" t="s">
        <v>1255</v>
      </c>
    </row>
    <row r="3083" spans="1:5" x14ac:dyDescent="0.25">
      <c r="A3083" t="s">
        <v>1</v>
      </c>
      <c r="B3083" t="s">
        <v>19</v>
      </c>
      <c r="C3083" t="s">
        <v>23490</v>
      </c>
      <c r="D3083" t="str">
        <f>HYPERLINK("https://rhld.insurance.arkansas.gov/NPILookup?Npi=1346595014","1346595014")</f>
        <v>1346595014</v>
      </c>
      <c r="E3083" t="s">
        <v>19640</v>
      </c>
    </row>
    <row r="3084" spans="1:5" x14ac:dyDescent="0.25">
      <c r="A3084" t="s">
        <v>1</v>
      </c>
      <c r="B3084" t="s">
        <v>19</v>
      </c>
      <c r="C3084" t="s">
        <v>23490</v>
      </c>
      <c r="D3084" t="str">
        <f>HYPERLINK("https://rhld.insurance.arkansas.gov/NPILookup?Npi=1346598026","1346598026")</f>
        <v>1346598026</v>
      </c>
      <c r="E3084" t="s">
        <v>13491</v>
      </c>
    </row>
    <row r="3085" spans="1:5" x14ac:dyDescent="0.25">
      <c r="A3085" t="s">
        <v>1</v>
      </c>
      <c r="B3085" t="s">
        <v>19</v>
      </c>
      <c r="C3085" t="s">
        <v>23490</v>
      </c>
      <c r="D3085" t="str">
        <f>HYPERLINK("https://rhld.insurance.arkansas.gov/NPILookup?Npi=1346603552","1346603552")</f>
        <v>1346603552</v>
      </c>
      <c r="E3085" t="s">
        <v>8628</v>
      </c>
    </row>
    <row r="3086" spans="1:5" x14ac:dyDescent="0.25">
      <c r="A3086" t="s">
        <v>1</v>
      </c>
      <c r="B3086" t="s">
        <v>19</v>
      </c>
      <c r="C3086" t="s">
        <v>23490</v>
      </c>
      <c r="D3086" t="str">
        <f>HYPERLINK("https://rhld.insurance.arkansas.gov/NPILookup?Npi=1346637303","1346637303")</f>
        <v>1346637303</v>
      </c>
      <c r="E3086" t="s">
        <v>16936</v>
      </c>
    </row>
    <row r="3087" spans="1:5" x14ac:dyDescent="0.25">
      <c r="A3087" t="s">
        <v>1</v>
      </c>
      <c r="B3087" t="s">
        <v>19</v>
      </c>
      <c r="C3087" t="s">
        <v>23490</v>
      </c>
      <c r="D3087" t="str">
        <f>HYPERLINK("https://rhld.insurance.arkansas.gov/NPILookup?Npi=1346639283","1346639283")</f>
        <v>1346639283</v>
      </c>
      <c r="E3087" t="s">
        <v>16937</v>
      </c>
    </row>
    <row r="3088" spans="1:5" x14ac:dyDescent="0.25">
      <c r="A3088" t="s">
        <v>1</v>
      </c>
      <c r="B3088" t="s">
        <v>19</v>
      </c>
      <c r="C3088" t="s">
        <v>23490</v>
      </c>
      <c r="D3088" t="str">
        <f>HYPERLINK("https://rhld.insurance.arkansas.gov/NPILookup?Npi=1346650975","1346650975")</f>
        <v>1346650975</v>
      </c>
      <c r="E3088" t="s">
        <v>17957</v>
      </c>
    </row>
    <row r="3089" spans="1:5" x14ac:dyDescent="0.25">
      <c r="A3089" t="s">
        <v>1</v>
      </c>
      <c r="B3089" t="s">
        <v>19</v>
      </c>
      <c r="C3089" t="s">
        <v>23490</v>
      </c>
      <c r="D3089" t="str">
        <f>HYPERLINK("https://rhld.insurance.arkansas.gov/NPILookup?Npi=1346655636","1346655636")</f>
        <v>1346655636</v>
      </c>
      <c r="E3089" t="s">
        <v>10852</v>
      </c>
    </row>
    <row r="3090" spans="1:5" x14ac:dyDescent="0.25">
      <c r="A3090" t="s">
        <v>1</v>
      </c>
      <c r="B3090" t="s">
        <v>19</v>
      </c>
      <c r="C3090" t="s">
        <v>23490</v>
      </c>
      <c r="D3090" t="str">
        <f>HYPERLINK("https://rhld.insurance.arkansas.gov/NPILookup?Npi=1346656907","1346656907")</f>
        <v>1346656907</v>
      </c>
      <c r="E3090" t="s">
        <v>19641</v>
      </c>
    </row>
    <row r="3091" spans="1:5" x14ac:dyDescent="0.25">
      <c r="A3091" t="s">
        <v>1</v>
      </c>
      <c r="B3091" t="s">
        <v>19</v>
      </c>
      <c r="C3091" t="s">
        <v>23490</v>
      </c>
      <c r="D3091" t="str">
        <f>HYPERLINK("https://rhld.insurance.arkansas.gov/NPILookup?Npi=1346660537","1346660537")</f>
        <v>1346660537</v>
      </c>
      <c r="E3091" t="s">
        <v>10853</v>
      </c>
    </row>
    <row r="3092" spans="1:5" x14ac:dyDescent="0.25">
      <c r="A3092" t="s">
        <v>1</v>
      </c>
      <c r="B3092" t="s">
        <v>19</v>
      </c>
      <c r="C3092" t="s">
        <v>23490</v>
      </c>
      <c r="D3092" t="str">
        <f>HYPERLINK("https://rhld.insurance.arkansas.gov/NPILookup?Npi=1346672219","1346672219")</f>
        <v>1346672219</v>
      </c>
      <c r="E3092" t="s">
        <v>15030</v>
      </c>
    </row>
    <row r="3093" spans="1:5" x14ac:dyDescent="0.25">
      <c r="A3093" t="s">
        <v>1</v>
      </c>
      <c r="B3093" t="s">
        <v>19</v>
      </c>
      <c r="C3093" t="s">
        <v>23490</v>
      </c>
      <c r="D3093" t="str">
        <f>HYPERLINK("https://rhld.insurance.arkansas.gov/NPILookup?Npi=1346679388","1346679388")</f>
        <v>1346679388</v>
      </c>
      <c r="E3093" t="s">
        <v>10854</v>
      </c>
    </row>
    <row r="3094" spans="1:5" x14ac:dyDescent="0.25">
      <c r="A3094" t="s">
        <v>1</v>
      </c>
      <c r="B3094" t="s">
        <v>19</v>
      </c>
      <c r="C3094" t="s">
        <v>23490</v>
      </c>
      <c r="D3094" t="str">
        <f>HYPERLINK("https://rhld.insurance.arkansas.gov/NPILookup?Npi=1346680329","1346680329")</f>
        <v>1346680329</v>
      </c>
      <c r="E3094" t="s">
        <v>1256</v>
      </c>
    </row>
    <row r="3095" spans="1:5" x14ac:dyDescent="0.25">
      <c r="A3095" t="s">
        <v>1</v>
      </c>
      <c r="B3095" t="s">
        <v>19</v>
      </c>
      <c r="C3095" t="s">
        <v>23490</v>
      </c>
      <c r="D3095" t="str">
        <f>HYPERLINK("https://rhld.insurance.arkansas.gov/NPILookup?Npi=1346684594","1346684594")</f>
        <v>1346684594</v>
      </c>
      <c r="E3095" t="s">
        <v>22925</v>
      </c>
    </row>
    <row r="3096" spans="1:5" x14ac:dyDescent="0.25">
      <c r="A3096" t="s">
        <v>1</v>
      </c>
      <c r="B3096" t="s">
        <v>19</v>
      </c>
      <c r="C3096" t="s">
        <v>23490</v>
      </c>
      <c r="D3096" t="str">
        <f>HYPERLINK("https://rhld.insurance.arkansas.gov/NPILookup?Npi=1346687423","1346687423")</f>
        <v>1346687423</v>
      </c>
      <c r="E3096" t="s">
        <v>13492</v>
      </c>
    </row>
    <row r="3097" spans="1:5" x14ac:dyDescent="0.25">
      <c r="A3097" t="s">
        <v>1</v>
      </c>
      <c r="B3097" t="s">
        <v>19</v>
      </c>
      <c r="C3097" t="s">
        <v>23490</v>
      </c>
      <c r="D3097" t="str">
        <f>HYPERLINK("https://rhld.insurance.arkansas.gov/NPILookup?Npi=1346693710","1346693710")</f>
        <v>1346693710</v>
      </c>
      <c r="E3097" t="s">
        <v>7805</v>
      </c>
    </row>
    <row r="3098" spans="1:5" x14ac:dyDescent="0.25">
      <c r="A3098" t="s">
        <v>1</v>
      </c>
      <c r="B3098" t="s">
        <v>19</v>
      </c>
      <c r="C3098" t="s">
        <v>23490</v>
      </c>
      <c r="D3098" t="str">
        <f>HYPERLINK("https://rhld.insurance.arkansas.gov/NPILookup?Npi=1346698503","1346698503")</f>
        <v>1346698503</v>
      </c>
      <c r="E3098" t="s">
        <v>15031</v>
      </c>
    </row>
    <row r="3099" spans="1:5" x14ac:dyDescent="0.25">
      <c r="A3099" t="s">
        <v>1</v>
      </c>
      <c r="B3099" t="s">
        <v>19</v>
      </c>
      <c r="C3099" t="s">
        <v>23490</v>
      </c>
      <c r="D3099" t="str">
        <f>HYPERLINK("https://rhld.insurance.arkansas.gov/NPILookup?Npi=1346699329","1346699329")</f>
        <v>1346699329</v>
      </c>
      <c r="E3099" t="s">
        <v>13493</v>
      </c>
    </row>
    <row r="3100" spans="1:5" x14ac:dyDescent="0.25">
      <c r="A3100" t="s">
        <v>1</v>
      </c>
      <c r="B3100" t="s">
        <v>19</v>
      </c>
      <c r="C3100" t="s">
        <v>23490</v>
      </c>
      <c r="D3100" t="str">
        <f>HYPERLINK("https://rhld.insurance.arkansas.gov/NPILookup?Npi=1346707528","1346707528")</f>
        <v>1346707528</v>
      </c>
      <c r="E3100" t="s">
        <v>15032</v>
      </c>
    </row>
    <row r="3101" spans="1:5" x14ac:dyDescent="0.25">
      <c r="A3101" t="s">
        <v>1</v>
      </c>
      <c r="B3101" t="s">
        <v>19</v>
      </c>
      <c r="C3101" t="s">
        <v>23490</v>
      </c>
      <c r="D3101" t="str">
        <f>HYPERLINK("https://rhld.insurance.arkansas.gov/NPILookup?Npi=1346707981","1346707981")</f>
        <v>1346707981</v>
      </c>
      <c r="E3101" t="s">
        <v>13494</v>
      </c>
    </row>
    <row r="3102" spans="1:5" x14ac:dyDescent="0.25">
      <c r="A3102" t="s">
        <v>1</v>
      </c>
      <c r="B3102" t="s">
        <v>19</v>
      </c>
      <c r="C3102" t="s">
        <v>23490</v>
      </c>
      <c r="D3102" t="str">
        <f>HYPERLINK("https://rhld.insurance.arkansas.gov/NPILookup?Npi=1346724887","1346724887")</f>
        <v>1346724887</v>
      </c>
      <c r="E3102" t="s">
        <v>13495</v>
      </c>
    </row>
    <row r="3103" spans="1:5" x14ac:dyDescent="0.25">
      <c r="A3103" t="s">
        <v>1</v>
      </c>
      <c r="B3103" t="s">
        <v>19</v>
      </c>
      <c r="C3103" t="s">
        <v>23490</v>
      </c>
      <c r="D3103" t="str">
        <f>HYPERLINK("https://rhld.insurance.arkansas.gov/NPILookup?Npi=1346728953","1346728953")</f>
        <v>1346728953</v>
      </c>
      <c r="E3103" t="s">
        <v>20929</v>
      </c>
    </row>
    <row r="3104" spans="1:5" x14ac:dyDescent="0.25">
      <c r="A3104" t="s">
        <v>1</v>
      </c>
      <c r="B3104" t="s">
        <v>19</v>
      </c>
      <c r="C3104" t="s">
        <v>23490</v>
      </c>
      <c r="D3104" t="str">
        <f>HYPERLINK("https://rhld.insurance.arkansas.gov/NPILookup?Npi=1346731866","1346731866")</f>
        <v>1346731866</v>
      </c>
      <c r="E3104" t="s">
        <v>13496</v>
      </c>
    </row>
    <row r="3105" spans="1:5" x14ac:dyDescent="0.25">
      <c r="A3105" t="s">
        <v>1</v>
      </c>
      <c r="B3105" t="s">
        <v>19</v>
      </c>
      <c r="C3105" t="s">
        <v>23490</v>
      </c>
      <c r="D3105" t="str">
        <f>HYPERLINK("https://rhld.insurance.arkansas.gov/NPILookup?Npi=1346731932","1346731932")</f>
        <v>1346731932</v>
      </c>
      <c r="E3105" t="s">
        <v>18753</v>
      </c>
    </row>
    <row r="3106" spans="1:5" x14ac:dyDescent="0.25">
      <c r="A3106" t="s">
        <v>1</v>
      </c>
      <c r="B3106" t="s">
        <v>19</v>
      </c>
      <c r="C3106" t="s">
        <v>23490</v>
      </c>
      <c r="D3106" t="str">
        <f>HYPERLINK("https://rhld.insurance.arkansas.gov/NPILookup?Npi=1346735735","1346735735")</f>
        <v>1346735735</v>
      </c>
      <c r="E3106" t="s">
        <v>19642</v>
      </c>
    </row>
    <row r="3107" spans="1:5" x14ac:dyDescent="0.25">
      <c r="A3107" t="s">
        <v>1</v>
      </c>
      <c r="B3107" t="s">
        <v>19</v>
      </c>
      <c r="C3107" t="s">
        <v>23490</v>
      </c>
      <c r="D3107" t="str">
        <f>HYPERLINK("https://rhld.insurance.arkansas.gov/NPILookup?Npi=1346736717","1346736717")</f>
        <v>1346736717</v>
      </c>
      <c r="E3107" t="s">
        <v>19643</v>
      </c>
    </row>
    <row r="3108" spans="1:5" x14ac:dyDescent="0.25">
      <c r="A3108" t="s">
        <v>1</v>
      </c>
      <c r="B3108" t="s">
        <v>19</v>
      </c>
      <c r="C3108" t="s">
        <v>23490</v>
      </c>
      <c r="D3108" t="str">
        <f>HYPERLINK("https://rhld.insurance.arkansas.gov/NPILookup?Npi=1346736873","1346736873")</f>
        <v>1346736873</v>
      </c>
      <c r="E3108" t="s">
        <v>13497</v>
      </c>
    </row>
    <row r="3109" spans="1:5" x14ac:dyDescent="0.25">
      <c r="A3109" t="s">
        <v>1</v>
      </c>
      <c r="B3109" t="s">
        <v>19</v>
      </c>
      <c r="C3109" t="s">
        <v>23490</v>
      </c>
      <c r="D3109" t="str">
        <f>HYPERLINK("https://rhld.insurance.arkansas.gov/NPILookup?Npi=1346749504","1346749504")</f>
        <v>1346749504</v>
      </c>
      <c r="E3109" t="s">
        <v>12826</v>
      </c>
    </row>
    <row r="3110" spans="1:5" x14ac:dyDescent="0.25">
      <c r="A3110" t="s">
        <v>1</v>
      </c>
      <c r="B3110" t="s">
        <v>19</v>
      </c>
      <c r="C3110" t="s">
        <v>23490</v>
      </c>
      <c r="D3110" t="str">
        <f>HYPERLINK("https://rhld.insurance.arkansas.gov/NPILookup?Npi=1346752151","1346752151")</f>
        <v>1346752151</v>
      </c>
      <c r="E3110" t="s">
        <v>12827</v>
      </c>
    </row>
    <row r="3111" spans="1:5" x14ac:dyDescent="0.25">
      <c r="A3111" t="s">
        <v>1</v>
      </c>
      <c r="B3111" t="s">
        <v>19</v>
      </c>
      <c r="C3111" t="s">
        <v>23490</v>
      </c>
      <c r="D3111" t="str">
        <f>HYPERLINK("https://rhld.insurance.arkansas.gov/NPILookup?Npi=1346769155","1346769155")</f>
        <v>1346769155</v>
      </c>
      <c r="E3111" t="s">
        <v>18577</v>
      </c>
    </row>
    <row r="3112" spans="1:5" x14ac:dyDescent="0.25">
      <c r="A3112" t="s">
        <v>1</v>
      </c>
      <c r="B3112" t="s">
        <v>19</v>
      </c>
      <c r="C3112" t="s">
        <v>23490</v>
      </c>
      <c r="D3112" t="str">
        <f>HYPERLINK("https://rhld.insurance.arkansas.gov/NPILookup?Npi=1346772050","1346772050")</f>
        <v>1346772050</v>
      </c>
      <c r="E3112" t="s">
        <v>17958</v>
      </c>
    </row>
    <row r="3113" spans="1:5" x14ac:dyDescent="0.25">
      <c r="A3113" t="s">
        <v>1</v>
      </c>
      <c r="B3113" t="s">
        <v>19</v>
      </c>
      <c r="C3113" t="s">
        <v>23490</v>
      </c>
      <c r="D3113" t="str">
        <f>HYPERLINK("https://rhld.insurance.arkansas.gov/NPILookup?Npi=1346789724","1346789724")</f>
        <v>1346789724</v>
      </c>
      <c r="E3113" t="s">
        <v>10855</v>
      </c>
    </row>
    <row r="3114" spans="1:5" x14ac:dyDescent="0.25">
      <c r="A3114" t="s">
        <v>1</v>
      </c>
      <c r="B3114" t="s">
        <v>19</v>
      </c>
      <c r="C3114" t="s">
        <v>23490</v>
      </c>
      <c r="D3114" t="str">
        <f>HYPERLINK("https://rhld.insurance.arkansas.gov/NPILookup?Npi=1346794260","1346794260")</f>
        <v>1346794260</v>
      </c>
      <c r="E3114" t="s">
        <v>15033</v>
      </c>
    </row>
    <row r="3115" spans="1:5" x14ac:dyDescent="0.25">
      <c r="A3115" t="s">
        <v>1</v>
      </c>
      <c r="B3115" t="s">
        <v>19</v>
      </c>
      <c r="C3115" t="s">
        <v>23490</v>
      </c>
      <c r="D3115" t="str">
        <f>HYPERLINK("https://rhld.insurance.arkansas.gov/NPILookup?Npi=1346804812","1346804812")</f>
        <v>1346804812</v>
      </c>
      <c r="E3115" t="s">
        <v>20930</v>
      </c>
    </row>
    <row r="3116" spans="1:5" x14ac:dyDescent="0.25">
      <c r="A3116" t="s">
        <v>1</v>
      </c>
      <c r="B3116" t="s">
        <v>19</v>
      </c>
      <c r="C3116" t="s">
        <v>23490</v>
      </c>
      <c r="D3116" t="str">
        <f>HYPERLINK("https://rhld.insurance.arkansas.gov/NPILookup?Npi=1346816543","1346816543")</f>
        <v>1346816543</v>
      </c>
      <c r="E3116" t="s">
        <v>21526</v>
      </c>
    </row>
    <row r="3117" spans="1:5" x14ac:dyDescent="0.25">
      <c r="A3117" t="s">
        <v>1</v>
      </c>
      <c r="B3117" t="s">
        <v>19</v>
      </c>
      <c r="C3117" t="s">
        <v>23490</v>
      </c>
      <c r="D3117" t="str">
        <f>HYPERLINK("https://rhld.insurance.arkansas.gov/NPILookup?Npi=1346838414","1346838414")</f>
        <v>1346838414</v>
      </c>
      <c r="E3117" t="s">
        <v>17959</v>
      </c>
    </row>
    <row r="3118" spans="1:5" x14ac:dyDescent="0.25">
      <c r="A3118" t="s">
        <v>1</v>
      </c>
      <c r="B3118" t="s">
        <v>19</v>
      </c>
      <c r="C3118" t="s">
        <v>23490</v>
      </c>
      <c r="D3118" t="str">
        <f>HYPERLINK("https://rhld.insurance.arkansas.gov/NPILookup?Npi=1346856366","1346856366")</f>
        <v>1346856366</v>
      </c>
      <c r="E3118" t="s">
        <v>19225</v>
      </c>
    </row>
    <row r="3119" spans="1:5" x14ac:dyDescent="0.25">
      <c r="A3119" t="s">
        <v>1</v>
      </c>
      <c r="B3119" t="s">
        <v>19</v>
      </c>
      <c r="C3119" t="s">
        <v>23490</v>
      </c>
      <c r="D3119" t="str">
        <f>HYPERLINK("https://rhld.insurance.arkansas.gov/NPILookup?Npi=1346859147","1346859147")</f>
        <v>1346859147</v>
      </c>
      <c r="E3119" t="s">
        <v>17960</v>
      </c>
    </row>
    <row r="3120" spans="1:5" x14ac:dyDescent="0.25">
      <c r="A3120" t="s">
        <v>1</v>
      </c>
      <c r="B3120" t="s">
        <v>19</v>
      </c>
      <c r="C3120" t="s">
        <v>23490</v>
      </c>
      <c r="D3120" t="str">
        <f>HYPERLINK("https://rhld.insurance.arkansas.gov/NPILookup?Npi=1346878717","1346878717")</f>
        <v>1346878717</v>
      </c>
      <c r="E3120" t="s">
        <v>21527</v>
      </c>
    </row>
    <row r="3121" spans="1:5" x14ac:dyDescent="0.25">
      <c r="A3121" t="s">
        <v>1</v>
      </c>
      <c r="B3121" t="s">
        <v>19</v>
      </c>
      <c r="C3121" t="s">
        <v>23490</v>
      </c>
      <c r="D3121" t="str">
        <f>HYPERLINK("https://rhld.insurance.arkansas.gov/NPILookup?Npi=1346900230","1346900230")</f>
        <v>1346900230</v>
      </c>
      <c r="E3121" t="s">
        <v>19644</v>
      </c>
    </row>
    <row r="3122" spans="1:5" x14ac:dyDescent="0.25">
      <c r="A3122" t="s">
        <v>1</v>
      </c>
      <c r="B3122" t="s">
        <v>19</v>
      </c>
      <c r="C3122" t="s">
        <v>23490</v>
      </c>
      <c r="D3122" t="str">
        <f>HYPERLINK("https://rhld.insurance.arkansas.gov/NPILookup?Npi=1346994043","1346994043")</f>
        <v>1346994043</v>
      </c>
      <c r="E3122" t="s">
        <v>19645</v>
      </c>
    </row>
    <row r="3123" spans="1:5" x14ac:dyDescent="0.25">
      <c r="A3123" t="s">
        <v>1</v>
      </c>
      <c r="B3123" t="s">
        <v>19</v>
      </c>
      <c r="C3123" t="s">
        <v>23490</v>
      </c>
      <c r="D3123" t="str">
        <f>HYPERLINK("https://rhld.insurance.arkansas.gov/NPILookup?Npi=1346994654","1346994654")</f>
        <v>1346994654</v>
      </c>
      <c r="E3123" t="s">
        <v>19646</v>
      </c>
    </row>
    <row r="3124" spans="1:5" x14ac:dyDescent="0.25">
      <c r="A3124" t="s">
        <v>1</v>
      </c>
      <c r="B3124" t="s">
        <v>19</v>
      </c>
      <c r="C3124" t="s">
        <v>23490</v>
      </c>
      <c r="D3124" t="str">
        <f>HYPERLINK("https://rhld.insurance.arkansas.gov/NPILookup?Npi=1346997681","1346997681")</f>
        <v>1346997681</v>
      </c>
      <c r="E3124" t="s">
        <v>19647</v>
      </c>
    </row>
    <row r="3125" spans="1:5" x14ac:dyDescent="0.25">
      <c r="A3125" t="s">
        <v>1</v>
      </c>
      <c r="B3125" t="s">
        <v>19</v>
      </c>
      <c r="C3125" t="s">
        <v>23490</v>
      </c>
      <c r="D3125" t="str">
        <f>HYPERLINK("https://rhld.insurance.arkansas.gov/NPILookup?Npi=1356005250","1356005250")</f>
        <v>1356005250</v>
      </c>
      <c r="E3125" t="s">
        <v>21393</v>
      </c>
    </row>
    <row r="3126" spans="1:5" x14ac:dyDescent="0.25">
      <c r="A3126" t="s">
        <v>1</v>
      </c>
      <c r="B3126" t="s">
        <v>19</v>
      </c>
      <c r="C3126" t="s">
        <v>23490</v>
      </c>
      <c r="D3126" t="str">
        <f>HYPERLINK("https://rhld.insurance.arkansas.gov/NPILookup?Npi=1356015465","1356015465")</f>
        <v>1356015465</v>
      </c>
      <c r="E3126" t="s">
        <v>18754</v>
      </c>
    </row>
    <row r="3127" spans="1:5" x14ac:dyDescent="0.25">
      <c r="A3127" t="s">
        <v>1</v>
      </c>
      <c r="B3127" t="s">
        <v>19</v>
      </c>
      <c r="C3127" t="s">
        <v>23490</v>
      </c>
      <c r="D3127" t="str">
        <f>HYPERLINK("https://rhld.insurance.arkansas.gov/NPILookup?Npi=1356088256","1356088256")</f>
        <v>1356088256</v>
      </c>
      <c r="E3127" t="s">
        <v>20931</v>
      </c>
    </row>
    <row r="3128" spans="1:5" x14ac:dyDescent="0.25">
      <c r="A3128" t="s">
        <v>1</v>
      </c>
      <c r="B3128" t="s">
        <v>19</v>
      </c>
      <c r="C3128" t="s">
        <v>23490</v>
      </c>
      <c r="D3128" t="str">
        <f>HYPERLINK("https://rhld.insurance.arkansas.gov/NPILookup?Npi=1356301147","1356301147")</f>
        <v>1356301147</v>
      </c>
      <c r="E3128" t="s">
        <v>1257</v>
      </c>
    </row>
    <row r="3129" spans="1:5" x14ac:dyDescent="0.25">
      <c r="A3129" t="s">
        <v>1</v>
      </c>
      <c r="B3129" t="s">
        <v>19</v>
      </c>
      <c r="C3129" t="s">
        <v>23490</v>
      </c>
      <c r="D3129" t="str">
        <f>HYPERLINK("https://rhld.insurance.arkansas.gov/NPILookup?Npi=1356311617","1356311617")</f>
        <v>1356311617</v>
      </c>
      <c r="E3129" t="s">
        <v>1258</v>
      </c>
    </row>
    <row r="3130" spans="1:5" x14ac:dyDescent="0.25">
      <c r="A3130" t="s">
        <v>1</v>
      </c>
      <c r="B3130" t="s">
        <v>19</v>
      </c>
      <c r="C3130" t="s">
        <v>23490</v>
      </c>
      <c r="D3130" t="str">
        <f>HYPERLINK("https://rhld.insurance.arkansas.gov/NPILookup?Npi=1356313316","1356313316")</f>
        <v>1356313316</v>
      </c>
      <c r="E3130" t="s">
        <v>1259</v>
      </c>
    </row>
    <row r="3131" spans="1:5" x14ac:dyDescent="0.25">
      <c r="A3131" t="s">
        <v>1</v>
      </c>
      <c r="B3131" t="s">
        <v>19</v>
      </c>
      <c r="C3131" t="s">
        <v>23490</v>
      </c>
      <c r="D3131" t="str">
        <f>HYPERLINK("https://rhld.insurance.arkansas.gov/NPILookup?Npi=1356314702","1356314702")</f>
        <v>1356314702</v>
      </c>
      <c r="E3131" t="s">
        <v>15034</v>
      </c>
    </row>
    <row r="3132" spans="1:5" x14ac:dyDescent="0.25">
      <c r="A3132" t="s">
        <v>1</v>
      </c>
      <c r="B3132" t="s">
        <v>19</v>
      </c>
      <c r="C3132" t="s">
        <v>23490</v>
      </c>
      <c r="D3132" t="str">
        <f>HYPERLINK("https://rhld.insurance.arkansas.gov/NPILookup?Npi=1356316269","1356316269")</f>
        <v>1356316269</v>
      </c>
      <c r="E3132" t="s">
        <v>1260</v>
      </c>
    </row>
    <row r="3133" spans="1:5" x14ac:dyDescent="0.25">
      <c r="A3133" t="s">
        <v>1</v>
      </c>
      <c r="B3133" t="s">
        <v>19</v>
      </c>
      <c r="C3133" t="s">
        <v>23490</v>
      </c>
      <c r="D3133" t="str">
        <f>HYPERLINK("https://rhld.insurance.arkansas.gov/NPILookup?Npi=1356320832","1356320832")</f>
        <v>1356320832</v>
      </c>
      <c r="E3133" t="s">
        <v>1261</v>
      </c>
    </row>
    <row r="3134" spans="1:5" x14ac:dyDescent="0.25">
      <c r="A3134" t="s">
        <v>1</v>
      </c>
      <c r="B3134" t="s">
        <v>19</v>
      </c>
      <c r="C3134" t="s">
        <v>23490</v>
      </c>
      <c r="D3134" t="str">
        <f>HYPERLINK("https://rhld.insurance.arkansas.gov/NPILookup?Npi=1356323042","1356323042")</f>
        <v>1356323042</v>
      </c>
      <c r="E3134" t="s">
        <v>10856</v>
      </c>
    </row>
    <row r="3135" spans="1:5" x14ac:dyDescent="0.25">
      <c r="A3135" t="s">
        <v>1</v>
      </c>
      <c r="B3135" t="s">
        <v>19</v>
      </c>
      <c r="C3135" t="s">
        <v>23490</v>
      </c>
      <c r="D3135" t="str">
        <f>HYPERLINK("https://rhld.insurance.arkansas.gov/NPILookup?Npi=1356327878","1356327878")</f>
        <v>1356327878</v>
      </c>
      <c r="E3135" t="s">
        <v>10857</v>
      </c>
    </row>
    <row r="3136" spans="1:5" x14ac:dyDescent="0.25">
      <c r="A3136" t="s">
        <v>1</v>
      </c>
      <c r="B3136" t="s">
        <v>19</v>
      </c>
      <c r="C3136" t="s">
        <v>23490</v>
      </c>
      <c r="D3136" t="str">
        <f>HYPERLINK("https://rhld.insurance.arkansas.gov/NPILookup?Npi=1356328520","1356328520")</f>
        <v>1356328520</v>
      </c>
      <c r="E3136" t="s">
        <v>1262</v>
      </c>
    </row>
    <row r="3137" spans="1:5" x14ac:dyDescent="0.25">
      <c r="A3137" t="s">
        <v>1</v>
      </c>
      <c r="B3137" t="s">
        <v>19</v>
      </c>
      <c r="C3137" t="s">
        <v>23490</v>
      </c>
      <c r="D3137" t="str">
        <f>HYPERLINK("https://rhld.insurance.arkansas.gov/NPILookup?Npi=1356329825","1356329825")</f>
        <v>1356329825</v>
      </c>
      <c r="E3137" t="s">
        <v>15035</v>
      </c>
    </row>
    <row r="3138" spans="1:5" x14ac:dyDescent="0.25">
      <c r="A3138" t="s">
        <v>1</v>
      </c>
      <c r="B3138" t="s">
        <v>19</v>
      </c>
      <c r="C3138" t="s">
        <v>23490</v>
      </c>
      <c r="D3138" t="str">
        <f>HYPERLINK("https://rhld.insurance.arkansas.gov/NPILookup?Npi=1356330666","1356330666")</f>
        <v>1356330666</v>
      </c>
      <c r="E3138" t="s">
        <v>1263</v>
      </c>
    </row>
    <row r="3139" spans="1:5" x14ac:dyDescent="0.25">
      <c r="A3139" t="s">
        <v>1</v>
      </c>
      <c r="B3139" t="s">
        <v>19</v>
      </c>
      <c r="C3139" t="s">
        <v>23490</v>
      </c>
      <c r="D3139" t="str">
        <f>HYPERLINK("https://rhld.insurance.arkansas.gov/NPILookup?Npi=1356333561","1356333561")</f>
        <v>1356333561</v>
      </c>
      <c r="E3139" t="s">
        <v>1264</v>
      </c>
    </row>
    <row r="3140" spans="1:5" x14ac:dyDescent="0.25">
      <c r="A3140" t="s">
        <v>1</v>
      </c>
      <c r="B3140" t="s">
        <v>19</v>
      </c>
      <c r="C3140" t="s">
        <v>23490</v>
      </c>
      <c r="D3140" t="str">
        <f>HYPERLINK("https://rhld.insurance.arkansas.gov/NPILookup?Npi=1356336119","1356336119")</f>
        <v>1356336119</v>
      </c>
      <c r="E3140" t="s">
        <v>1265</v>
      </c>
    </row>
    <row r="3141" spans="1:5" x14ac:dyDescent="0.25">
      <c r="A3141" t="s">
        <v>1</v>
      </c>
      <c r="B3141" t="s">
        <v>19</v>
      </c>
      <c r="C3141" t="s">
        <v>23490</v>
      </c>
      <c r="D3141" t="str">
        <f>HYPERLINK("https://rhld.insurance.arkansas.gov/NPILookup?Npi=1356338800","1356338800")</f>
        <v>1356338800</v>
      </c>
      <c r="E3141" t="s">
        <v>1266</v>
      </c>
    </row>
    <row r="3142" spans="1:5" x14ac:dyDescent="0.25">
      <c r="A3142" t="s">
        <v>1</v>
      </c>
      <c r="B3142" t="s">
        <v>19</v>
      </c>
      <c r="C3142" t="s">
        <v>23490</v>
      </c>
      <c r="D3142" t="str">
        <f>HYPERLINK("https://rhld.insurance.arkansas.gov/NPILookup?Npi=1356340368","1356340368")</f>
        <v>1356340368</v>
      </c>
      <c r="E3142" t="s">
        <v>13463</v>
      </c>
    </row>
    <row r="3143" spans="1:5" x14ac:dyDescent="0.25">
      <c r="A3143" t="s">
        <v>1</v>
      </c>
      <c r="B3143" t="s">
        <v>19</v>
      </c>
      <c r="C3143" t="s">
        <v>23490</v>
      </c>
      <c r="D3143" t="str">
        <f>HYPERLINK("https://rhld.insurance.arkansas.gov/NPILookup?Npi=1356341762","1356341762")</f>
        <v>1356341762</v>
      </c>
      <c r="E3143" t="s">
        <v>1267</v>
      </c>
    </row>
    <row r="3144" spans="1:5" x14ac:dyDescent="0.25">
      <c r="A3144" t="s">
        <v>1</v>
      </c>
      <c r="B3144" t="s">
        <v>19</v>
      </c>
      <c r="C3144" t="s">
        <v>23490</v>
      </c>
      <c r="D3144" t="str">
        <f>HYPERLINK("https://rhld.insurance.arkansas.gov/NPILookup?Npi=1356342802","1356342802")</f>
        <v>1356342802</v>
      </c>
      <c r="E3144" t="s">
        <v>1268</v>
      </c>
    </row>
    <row r="3145" spans="1:5" x14ac:dyDescent="0.25">
      <c r="A3145" t="s">
        <v>1</v>
      </c>
      <c r="B3145" t="s">
        <v>19</v>
      </c>
      <c r="C3145" t="s">
        <v>23490</v>
      </c>
      <c r="D3145" t="str">
        <f>HYPERLINK("https://rhld.insurance.arkansas.gov/NPILookup?Npi=1356345052","1356345052")</f>
        <v>1356345052</v>
      </c>
      <c r="E3145" t="s">
        <v>1269</v>
      </c>
    </row>
    <row r="3146" spans="1:5" x14ac:dyDescent="0.25">
      <c r="A3146" t="s">
        <v>1</v>
      </c>
      <c r="B3146" t="s">
        <v>19</v>
      </c>
      <c r="C3146" t="s">
        <v>23490</v>
      </c>
      <c r="D3146" t="str">
        <f>HYPERLINK("https://rhld.insurance.arkansas.gov/NPILookup?Npi=1356346050","1356346050")</f>
        <v>1356346050</v>
      </c>
      <c r="E3146" t="s">
        <v>15036</v>
      </c>
    </row>
    <row r="3147" spans="1:5" x14ac:dyDescent="0.25">
      <c r="A3147" t="s">
        <v>1</v>
      </c>
      <c r="B3147" t="s">
        <v>19</v>
      </c>
      <c r="C3147" t="s">
        <v>23490</v>
      </c>
      <c r="D3147" t="str">
        <f>HYPERLINK("https://rhld.insurance.arkansas.gov/NPILookup?Npi=1356347207","1356347207")</f>
        <v>1356347207</v>
      </c>
      <c r="E3147" t="s">
        <v>1270</v>
      </c>
    </row>
    <row r="3148" spans="1:5" x14ac:dyDescent="0.25">
      <c r="A3148" t="s">
        <v>1</v>
      </c>
      <c r="B3148" t="s">
        <v>19</v>
      </c>
      <c r="C3148" t="s">
        <v>23490</v>
      </c>
      <c r="D3148" t="str">
        <f>HYPERLINK("https://rhld.insurance.arkansas.gov/NPILookup?Npi=1356347603","1356347603")</f>
        <v>1356347603</v>
      </c>
      <c r="E3148" t="s">
        <v>8629</v>
      </c>
    </row>
    <row r="3149" spans="1:5" x14ac:dyDescent="0.25">
      <c r="A3149" t="s">
        <v>1</v>
      </c>
      <c r="B3149" t="s">
        <v>19</v>
      </c>
      <c r="C3149" t="s">
        <v>23490</v>
      </c>
      <c r="D3149" t="str">
        <f>HYPERLINK("https://rhld.insurance.arkansas.gov/NPILookup?Npi=1356359988","1356359988")</f>
        <v>1356359988</v>
      </c>
      <c r="E3149" t="s">
        <v>15037</v>
      </c>
    </row>
    <row r="3150" spans="1:5" x14ac:dyDescent="0.25">
      <c r="A3150" t="s">
        <v>1</v>
      </c>
      <c r="B3150" t="s">
        <v>19</v>
      </c>
      <c r="C3150" t="s">
        <v>23490</v>
      </c>
      <c r="D3150" t="str">
        <f>HYPERLINK("https://rhld.insurance.arkansas.gov/NPILookup?Npi=1356360689","1356360689")</f>
        <v>1356360689</v>
      </c>
      <c r="E3150" t="s">
        <v>1271</v>
      </c>
    </row>
    <row r="3151" spans="1:5" x14ac:dyDescent="0.25">
      <c r="A3151" t="s">
        <v>1</v>
      </c>
      <c r="B3151" t="s">
        <v>19</v>
      </c>
      <c r="C3151" t="s">
        <v>23490</v>
      </c>
      <c r="D3151" t="str">
        <f>HYPERLINK("https://rhld.insurance.arkansas.gov/NPILookup?Npi=1356367452","1356367452")</f>
        <v>1356367452</v>
      </c>
      <c r="E3151" t="s">
        <v>1272</v>
      </c>
    </row>
    <row r="3152" spans="1:5" x14ac:dyDescent="0.25">
      <c r="A3152" t="s">
        <v>1</v>
      </c>
      <c r="B3152" t="s">
        <v>19</v>
      </c>
      <c r="C3152" t="s">
        <v>23490</v>
      </c>
      <c r="D3152" t="str">
        <f>HYPERLINK("https://rhld.insurance.arkansas.gov/NPILookup?Npi=1356373286","1356373286")</f>
        <v>1356373286</v>
      </c>
      <c r="E3152" t="s">
        <v>1273</v>
      </c>
    </row>
    <row r="3153" spans="1:5" x14ac:dyDescent="0.25">
      <c r="A3153" t="s">
        <v>1</v>
      </c>
      <c r="B3153" t="s">
        <v>19</v>
      </c>
      <c r="C3153" t="s">
        <v>23490</v>
      </c>
      <c r="D3153" t="str">
        <f>HYPERLINK("https://rhld.insurance.arkansas.gov/NPILookup?Npi=1356384242","1356384242")</f>
        <v>1356384242</v>
      </c>
      <c r="E3153" t="s">
        <v>10858</v>
      </c>
    </row>
    <row r="3154" spans="1:5" x14ac:dyDescent="0.25">
      <c r="A3154" t="s">
        <v>1</v>
      </c>
      <c r="B3154" t="s">
        <v>19</v>
      </c>
      <c r="C3154" t="s">
        <v>23490</v>
      </c>
      <c r="D3154" t="str">
        <f>HYPERLINK("https://rhld.insurance.arkansas.gov/NPILookup?Npi=1356385553","1356385553")</f>
        <v>1356385553</v>
      </c>
      <c r="E3154" t="s">
        <v>1274</v>
      </c>
    </row>
    <row r="3155" spans="1:5" x14ac:dyDescent="0.25">
      <c r="A3155" t="s">
        <v>1</v>
      </c>
      <c r="B3155" t="s">
        <v>19</v>
      </c>
      <c r="C3155" t="s">
        <v>23490</v>
      </c>
      <c r="D3155" t="str">
        <f>HYPERLINK("https://rhld.insurance.arkansas.gov/NPILookup?Npi=1356386502","1356386502")</f>
        <v>1356386502</v>
      </c>
      <c r="E3155" t="s">
        <v>1275</v>
      </c>
    </row>
    <row r="3156" spans="1:5" x14ac:dyDescent="0.25">
      <c r="A3156" t="s">
        <v>1</v>
      </c>
      <c r="B3156" t="s">
        <v>19</v>
      </c>
      <c r="C3156" t="s">
        <v>23490</v>
      </c>
      <c r="D3156" t="str">
        <f>HYPERLINK("https://rhld.insurance.arkansas.gov/NPILookup?Npi=1356395818","1356395818")</f>
        <v>1356395818</v>
      </c>
      <c r="E3156" t="s">
        <v>8630</v>
      </c>
    </row>
    <row r="3157" spans="1:5" x14ac:dyDescent="0.25">
      <c r="A3157" t="s">
        <v>1</v>
      </c>
      <c r="B3157" t="s">
        <v>19</v>
      </c>
      <c r="C3157" t="s">
        <v>23490</v>
      </c>
      <c r="D3157" t="str">
        <f>HYPERLINK("https://rhld.insurance.arkansas.gov/NPILookup?Npi=1356396790","1356396790")</f>
        <v>1356396790</v>
      </c>
      <c r="E3157" t="s">
        <v>1277</v>
      </c>
    </row>
    <row r="3158" spans="1:5" x14ac:dyDescent="0.25">
      <c r="A3158" t="s">
        <v>1</v>
      </c>
      <c r="B3158" t="s">
        <v>19</v>
      </c>
      <c r="C3158" t="s">
        <v>23490</v>
      </c>
      <c r="D3158" t="str">
        <f>HYPERLINK("https://rhld.insurance.arkansas.gov/NPILookup?Npi=1356417810","1356417810")</f>
        <v>1356417810</v>
      </c>
      <c r="E3158" t="s">
        <v>1278</v>
      </c>
    </row>
    <row r="3159" spans="1:5" x14ac:dyDescent="0.25">
      <c r="A3159" t="s">
        <v>1</v>
      </c>
      <c r="B3159" t="s">
        <v>19</v>
      </c>
      <c r="C3159" t="s">
        <v>23490</v>
      </c>
      <c r="D3159" t="str">
        <f>HYPERLINK("https://rhld.insurance.arkansas.gov/NPILookup?Npi=1356431837","1356431837")</f>
        <v>1356431837</v>
      </c>
      <c r="E3159" t="s">
        <v>1279</v>
      </c>
    </row>
    <row r="3160" spans="1:5" x14ac:dyDescent="0.25">
      <c r="A3160" t="s">
        <v>1</v>
      </c>
      <c r="B3160" t="s">
        <v>19</v>
      </c>
      <c r="C3160" t="s">
        <v>23490</v>
      </c>
      <c r="D3160" t="str">
        <f>HYPERLINK("https://rhld.insurance.arkansas.gov/NPILookup?Npi=1356433494","1356433494")</f>
        <v>1356433494</v>
      </c>
      <c r="E3160" t="s">
        <v>1280</v>
      </c>
    </row>
    <row r="3161" spans="1:5" x14ac:dyDescent="0.25">
      <c r="A3161" t="s">
        <v>1</v>
      </c>
      <c r="B3161" t="s">
        <v>19</v>
      </c>
      <c r="C3161" t="s">
        <v>23490</v>
      </c>
      <c r="D3161" t="str">
        <f>HYPERLINK("https://rhld.insurance.arkansas.gov/NPILookup?Npi=1356490858","1356490858")</f>
        <v>1356490858</v>
      </c>
      <c r="E3161" t="s">
        <v>15038</v>
      </c>
    </row>
    <row r="3162" spans="1:5" x14ac:dyDescent="0.25">
      <c r="A3162" t="s">
        <v>1</v>
      </c>
      <c r="B3162" t="s">
        <v>19</v>
      </c>
      <c r="C3162" t="s">
        <v>23490</v>
      </c>
      <c r="D3162" t="str">
        <f>HYPERLINK("https://rhld.insurance.arkansas.gov/NPILookup?Npi=1356513394","1356513394")</f>
        <v>1356513394</v>
      </c>
      <c r="E3162" t="s">
        <v>1281</v>
      </c>
    </row>
    <row r="3163" spans="1:5" x14ac:dyDescent="0.25">
      <c r="A3163" t="s">
        <v>1</v>
      </c>
      <c r="B3163" t="s">
        <v>19</v>
      </c>
      <c r="C3163" t="s">
        <v>23490</v>
      </c>
      <c r="D3163" t="str">
        <f>HYPERLINK("https://rhld.insurance.arkansas.gov/NPILookup?Npi=1356545636","1356545636")</f>
        <v>1356545636</v>
      </c>
      <c r="E3163" t="s">
        <v>15039</v>
      </c>
    </row>
    <row r="3164" spans="1:5" x14ac:dyDescent="0.25">
      <c r="A3164" t="s">
        <v>1</v>
      </c>
      <c r="B3164" t="s">
        <v>19</v>
      </c>
      <c r="C3164" t="s">
        <v>23490</v>
      </c>
      <c r="D3164" t="str">
        <f>HYPERLINK("https://rhld.insurance.arkansas.gov/NPILookup?Npi=1356549901","1356549901")</f>
        <v>1356549901</v>
      </c>
      <c r="E3164" t="s">
        <v>8631</v>
      </c>
    </row>
    <row r="3165" spans="1:5" x14ac:dyDescent="0.25">
      <c r="A3165" t="s">
        <v>1</v>
      </c>
      <c r="B3165" t="s">
        <v>19</v>
      </c>
      <c r="C3165" t="s">
        <v>23490</v>
      </c>
      <c r="D3165" t="str">
        <f>HYPERLINK("https://rhld.insurance.arkansas.gov/NPILookup?Npi=1356554281","1356554281")</f>
        <v>1356554281</v>
      </c>
      <c r="E3165" t="s">
        <v>10859</v>
      </c>
    </row>
    <row r="3166" spans="1:5" x14ac:dyDescent="0.25">
      <c r="A3166" t="s">
        <v>1</v>
      </c>
      <c r="B3166" t="s">
        <v>19</v>
      </c>
      <c r="C3166" t="s">
        <v>23490</v>
      </c>
      <c r="D3166" t="str">
        <f>HYPERLINK("https://rhld.insurance.arkansas.gov/NPILookup?Npi=1356555379","1356555379")</f>
        <v>1356555379</v>
      </c>
      <c r="E3166" t="s">
        <v>10860</v>
      </c>
    </row>
    <row r="3167" spans="1:5" x14ac:dyDescent="0.25">
      <c r="A3167" t="s">
        <v>1</v>
      </c>
      <c r="B3167" t="s">
        <v>19</v>
      </c>
      <c r="C3167" t="s">
        <v>23490</v>
      </c>
      <c r="D3167" t="str">
        <f>HYPERLINK("https://rhld.insurance.arkansas.gov/NPILookup?Npi=1356558357","1356558357")</f>
        <v>1356558357</v>
      </c>
      <c r="E3167" t="s">
        <v>15040</v>
      </c>
    </row>
    <row r="3168" spans="1:5" x14ac:dyDescent="0.25">
      <c r="A3168" t="s">
        <v>1</v>
      </c>
      <c r="B3168" t="s">
        <v>19</v>
      </c>
      <c r="C3168" t="s">
        <v>23490</v>
      </c>
      <c r="D3168" t="str">
        <f>HYPERLINK("https://rhld.insurance.arkansas.gov/NPILookup?Npi=1356563241","1356563241")</f>
        <v>1356563241</v>
      </c>
      <c r="E3168" t="s">
        <v>1282</v>
      </c>
    </row>
    <row r="3169" spans="1:5" x14ac:dyDescent="0.25">
      <c r="A3169" t="s">
        <v>1</v>
      </c>
      <c r="B3169" t="s">
        <v>19</v>
      </c>
      <c r="C3169" t="s">
        <v>23490</v>
      </c>
      <c r="D3169" t="str">
        <f>HYPERLINK("https://rhld.insurance.arkansas.gov/NPILookup?Npi=1356572705","1356572705")</f>
        <v>1356572705</v>
      </c>
      <c r="E3169" t="s">
        <v>15041</v>
      </c>
    </row>
    <row r="3170" spans="1:5" x14ac:dyDescent="0.25">
      <c r="A3170" t="s">
        <v>1</v>
      </c>
      <c r="B3170" t="s">
        <v>19</v>
      </c>
      <c r="C3170" t="s">
        <v>23490</v>
      </c>
      <c r="D3170" t="str">
        <f>HYPERLINK("https://rhld.insurance.arkansas.gov/NPILookup?Npi=1356581151","1356581151")</f>
        <v>1356581151</v>
      </c>
      <c r="E3170" t="s">
        <v>12828</v>
      </c>
    </row>
    <row r="3171" spans="1:5" x14ac:dyDescent="0.25">
      <c r="A3171" t="s">
        <v>1</v>
      </c>
      <c r="B3171" t="s">
        <v>19</v>
      </c>
      <c r="C3171" t="s">
        <v>23490</v>
      </c>
      <c r="D3171" t="str">
        <f>HYPERLINK("https://rhld.insurance.arkansas.gov/NPILookup?Npi=1356600829","1356600829")</f>
        <v>1356600829</v>
      </c>
      <c r="E3171" t="s">
        <v>1283</v>
      </c>
    </row>
    <row r="3172" spans="1:5" x14ac:dyDescent="0.25">
      <c r="A3172" t="s">
        <v>1</v>
      </c>
      <c r="B3172" t="s">
        <v>19</v>
      </c>
      <c r="C3172" t="s">
        <v>23490</v>
      </c>
      <c r="D3172" t="str">
        <f>HYPERLINK("https://rhld.insurance.arkansas.gov/NPILookup?Npi=1356617443","1356617443")</f>
        <v>1356617443</v>
      </c>
      <c r="E3172" t="s">
        <v>13498</v>
      </c>
    </row>
    <row r="3173" spans="1:5" x14ac:dyDescent="0.25">
      <c r="A3173" t="s">
        <v>1</v>
      </c>
      <c r="B3173" t="s">
        <v>19</v>
      </c>
      <c r="C3173" t="s">
        <v>23490</v>
      </c>
      <c r="D3173" t="str">
        <f>HYPERLINK("https://rhld.insurance.arkansas.gov/NPILookup?Npi=1356634968","1356634968")</f>
        <v>1356634968</v>
      </c>
      <c r="E3173" t="s">
        <v>1284</v>
      </c>
    </row>
    <row r="3174" spans="1:5" x14ac:dyDescent="0.25">
      <c r="A3174" t="s">
        <v>1</v>
      </c>
      <c r="B3174" t="s">
        <v>19</v>
      </c>
      <c r="C3174" t="s">
        <v>23490</v>
      </c>
      <c r="D3174" t="str">
        <f>HYPERLINK("https://rhld.insurance.arkansas.gov/NPILookup?Npi=1356637433","1356637433")</f>
        <v>1356637433</v>
      </c>
      <c r="E3174" t="s">
        <v>1285</v>
      </c>
    </row>
    <row r="3175" spans="1:5" x14ac:dyDescent="0.25">
      <c r="A3175" t="s">
        <v>1</v>
      </c>
      <c r="B3175" t="s">
        <v>19</v>
      </c>
      <c r="C3175" t="s">
        <v>23490</v>
      </c>
      <c r="D3175" t="str">
        <f>HYPERLINK("https://rhld.insurance.arkansas.gov/NPILookup?Npi=1356638290","1356638290")</f>
        <v>1356638290</v>
      </c>
      <c r="E3175" t="s">
        <v>1286</v>
      </c>
    </row>
    <row r="3176" spans="1:5" x14ac:dyDescent="0.25">
      <c r="A3176" t="s">
        <v>1</v>
      </c>
      <c r="B3176" t="s">
        <v>19</v>
      </c>
      <c r="C3176" t="s">
        <v>23490</v>
      </c>
      <c r="D3176" t="str">
        <f>HYPERLINK("https://rhld.insurance.arkansas.gov/NPILookup?Npi=1356649412","1356649412")</f>
        <v>1356649412</v>
      </c>
      <c r="E3176" t="s">
        <v>1287</v>
      </c>
    </row>
    <row r="3177" spans="1:5" x14ac:dyDescent="0.25">
      <c r="A3177" t="s">
        <v>1</v>
      </c>
      <c r="B3177" t="s">
        <v>19</v>
      </c>
      <c r="C3177" t="s">
        <v>23490</v>
      </c>
      <c r="D3177" t="str">
        <f>HYPERLINK("https://rhld.insurance.arkansas.gov/NPILookup?Npi=1356693048","1356693048")</f>
        <v>1356693048</v>
      </c>
      <c r="E3177" t="s">
        <v>8633</v>
      </c>
    </row>
    <row r="3178" spans="1:5" x14ac:dyDescent="0.25">
      <c r="A3178" t="s">
        <v>1</v>
      </c>
      <c r="B3178" t="s">
        <v>19</v>
      </c>
      <c r="C3178" t="s">
        <v>23490</v>
      </c>
      <c r="D3178" t="str">
        <f>HYPERLINK("https://rhld.insurance.arkansas.gov/NPILookup?Npi=1356712525","1356712525")</f>
        <v>1356712525</v>
      </c>
      <c r="E3178" t="s">
        <v>15042</v>
      </c>
    </row>
    <row r="3179" spans="1:5" x14ac:dyDescent="0.25">
      <c r="A3179" t="s">
        <v>1</v>
      </c>
      <c r="B3179" t="s">
        <v>19</v>
      </c>
      <c r="C3179" t="s">
        <v>23490</v>
      </c>
      <c r="D3179" t="str">
        <f>HYPERLINK("https://rhld.insurance.arkansas.gov/NPILookup?Npi=1356716963","1356716963")</f>
        <v>1356716963</v>
      </c>
      <c r="E3179" t="s">
        <v>8634</v>
      </c>
    </row>
    <row r="3180" spans="1:5" x14ac:dyDescent="0.25">
      <c r="A3180" t="s">
        <v>1</v>
      </c>
      <c r="B3180" t="s">
        <v>19</v>
      </c>
      <c r="C3180" t="s">
        <v>23490</v>
      </c>
      <c r="D3180" t="str">
        <f>HYPERLINK("https://rhld.insurance.arkansas.gov/NPILookup?Npi=1356719264","1356719264")</f>
        <v>1356719264</v>
      </c>
      <c r="E3180" t="s">
        <v>8635</v>
      </c>
    </row>
    <row r="3181" spans="1:5" x14ac:dyDescent="0.25">
      <c r="A3181" t="s">
        <v>1</v>
      </c>
      <c r="B3181" t="s">
        <v>19</v>
      </c>
      <c r="C3181" t="s">
        <v>23490</v>
      </c>
      <c r="D3181" t="str">
        <f>HYPERLINK("https://rhld.insurance.arkansas.gov/NPILookup?Npi=1356720072","1356720072")</f>
        <v>1356720072</v>
      </c>
      <c r="E3181" t="s">
        <v>19648</v>
      </c>
    </row>
    <row r="3182" spans="1:5" x14ac:dyDescent="0.25">
      <c r="A3182" t="s">
        <v>1</v>
      </c>
      <c r="B3182" t="s">
        <v>19</v>
      </c>
      <c r="C3182" t="s">
        <v>23490</v>
      </c>
      <c r="D3182" t="str">
        <f>HYPERLINK("https://rhld.insurance.arkansas.gov/NPILookup?Npi=1356726020","1356726020")</f>
        <v>1356726020</v>
      </c>
      <c r="E3182" t="s">
        <v>17961</v>
      </c>
    </row>
    <row r="3183" spans="1:5" x14ac:dyDescent="0.25">
      <c r="A3183" t="s">
        <v>1</v>
      </c>
      <c r="B3183" t="s">
        <v>19</v>
      </c>
      <c r="C3183" t="s">
        <v>23490</v>
      </c>
      <c r="D3183" t="str">
        <f>HYPERLINK("https://rhld.insurance.arkansas.gov/NPILookup?Npi=1356780233","1356780233")</f>
        <v>1356780233</v>
      </c>
      <c r="E3183" t="s">
        <v>10861</v>
      </c>
    </row>
    <row r="3184" spans="1:5" x14ac:dyDescent="0.25">
      <c r="A3184" t="s">
        <v>1</v>
      </c>
      <c r="B3184" t="s">
        <v>19</v>
      </c>
      <c r="C3184" t="s">
        <v>23490</v>
      </c>
      <c r="D3184" t="str">
        <f>HYPERLINK("https://rhld.insurance.arkansas.gov/NPILookup?Npi=1356793905","1356793905")</f>
        <v>1356793905</v>
      </c>
      <c r="E3184" t="s">
        <v>10862</v>
      </c>
    </row>
    <row r="3185" spans="1:5" x14ac:dyDescent="0.25">
      <c r="A3185" t="s">
        <v>1</v>
      </c>
      <c r="B3185" t="s">
        <v>19</v>
      </c>
      <c r="C3185" t="s">
        <v>23490</v>
      </c>
      <c r="D3185" t="str">
        <f>HYPERLINK("https://rhld.insurance.arkansas.gov/NPILookup?Npi=1356807341","1356807341")</f>
        <v>1356807341</v>
      </c>
      <c r="E3185" t="s">
        <v>17962</v>
      </c>
    </row>
    <row r="3186" spans="1:5" x14ac:dyDescent="0.25">
      <c r="A3186" t="s">
        <v>1</v>
      </c>
      <c r="B3186" t="s">
        <v>19</v>
      </c>
      <c r="C3186" t="s">
        <v>23490</v>
      </c>
      <c r="D3186" t="str">
        <f>HYPERLINK("https://rhld.insurance.arkansas.gov/NPILookup?Npi=1356827935","1356827935")</f>
        <v>1356827935</v>
      </c>
      <c r="E3186" t="s">
        <v>13499</v>
      </c>
    </row>
    <row r="3187" spans="1:5" x14ac:dyDescent="0.25">
      <c r="A3187" t="s">
        <v>1</v>
      </c>
      <c r="B3187" t="s">
        <v>19</v>
      </c>
      <c r="C3187" t="s">
        <v>23490</v>
      </c>
      <c r="D3187" t="str">
        <f>HYPERLINK("https://rhld.insurance.arkansas.gov/NPILookup?Npi=1356840086","1356840086")</f>
        <v>1356840086</v>
      </c>
      <c r="E3187" t="s">
        <v>21528</v>
      </c>
    </row>
    <row r="3188" spans="1:5" x14ac:dyDescent="0.25">
      <c r="A3188" t="s">
        <v>1</v>
      </c>
      <c r="B3188" t="s">
        <v>19</v>
      </c>
      <c r="C3188" t="s">
        <v>23490</v>
      </c>
      <c r="D3188" t="str">
        <f>HYPERLINK("https://rhld.insurance.arkansas.gov/NPILookup?Npi=1356842710","1356842710")</f>
        <v>1356842710</v>
      </c>
      <c r="E3188" t="s">
        <v>19649</v>
      </c>
    </row>
    <row r="3189" spans="1:5" x14ac:dyDescent="0.25">
      <c r="A3189" t="s">
        <v>1</v>
      </c>
      <c r="B3189" t="s">
        <v>19</v>
      </c>
      <c r="C3189" t="s">
        <v>23490</v>
      </c>
      <c r="D3189" t="str">
        <f>HYPERLINK("https://rhld.insurance.arkansas.gov/NPILookup?Npi=1356849046","1356849046")</f>
        <v>1356849046</v>
      </c>
      <c r="E3189" t="s">
        <v>19650</v>
      </c>
    </row>
    <row r="3190" spans="1:5" x14ac:dyDescent="0.25">
      <c r="A3190" t="s">
        <v>1</v>
      </c>
      <c r="B3190" t="s">
        <v>19</v>
      </c>
      <c r="C3190" t="s">
        <v>23490</v>
      </c>
      <c r="D3190" t="str">
        <f>HYPERLINK("https://rhld.insurance.arkansas.gov/NPILookup?Npi=1356853345","1356853345")</f>
        <v>1356853345</v>
      </c>
      <c r="E3190" t="s">
        <v>15043</v>
      </c>
    </row>
    <row r="3191" spans="1:5" x14ac:dyDescent="0.25">
      <c r="A3191" t="s">
        <v>1</v>
      </c>
      <c r="B3191" t="s">
        <v>19</v>
      </c>
      <c r="C3191" t="s">
        <v>23490</v>
      </c>
      <c r="D3191" t="str">
        <f>HYPERLINK("https://rhld.insurance.arkansas.gov/NPILookup?Npi=1356857015","1356857015")</f>
        <v>1356857015</v>
      </c>
      <c r="E3191" t="s">
        <v>13500</v>
      </c>
    </row>
    <row r="3192" spans="1:5" x14ac:dyDescent="0.25">
      <c r="A3192" t="s">
        <v>1</v>
      </c>
      <c r="B3192" t="s">
        <v>19</v>
      </c>
      <c r="C3192" t="s">
        <v>23490</v>
      </c>
      <c r="D3192" t="str">
        <f>HYPERLINK("https://rhld.insurance.arkansas.gov/NPILookup?Npi=1356869598","1356869598")</f>
        <v>1356869598</v>
      </c>
      <c r="E3192" t="s">
        <v>13007</v>
      </c>
    </row>
    <row r="3193" spans="1:5" x14ac:dyDescent="0.25">
      <c r="A3193" t="s">
        <v>1</v>
      </c>
      <c r="B3193" t="s">
        <v>19</v>
      </c>
      <c r="C3193" t="s">
        <v>8427</v>
      </c>
      <c r="D3193" t="str">
        <f>HYPERLINK("https://rhld.insurance.arkansas.gov/NPILookup?Npi=1356902951","1356902951")</f>
        <v>1356902951</v>
      </c>
      <c r="E3193" t="s">
        <v>22926</v>
      </c>
    </row>
    <row r="3194" spans="1:5" x14ac:dyDescent="0.25">
      <c r="A3194" t="s">
        <v>1</v>
      </c>
      <c r="B3194" t="s">
        <v>19</v>
      </c>
      <c r="C3194" t="s">
        <v>23490</v>
      </c>
      <c r="D3194" t="str">
        <f>HYPERLINK("https://rhld.insurance.arkansas.gov/NPILookup?Npi=1356909311","1356909311")</f>
        <v>1356909311</v>
      </c>
      <c r="E3194" t="s">
        <v>20932</v>
      </c>
    </row>
    <row r="3195" spans="1:5" x14ac:dyDescent="0.25">
      <c r="A3195" t="s">
        <v>1</v>
      </c>
      <c r="B3195" t="s">
        <v>19</v>
      </c>
      <c r="C3195" t="s">
        <v>23490</v>
      </c>
      <c r="D3195" t="str">
        <f>HYPERLINK("https://rhld.insurance.arkansas.gov/NPILookup?Npi=1356931992","1356931992")</f>
        <v>1356931992</v>
      </c>
      <c r="E3195" t="s">
        <v>17963</v>
      </c>
    </row>
    <row r="3196" spans="1:5" x14ac:dyDescent="0.25">
      <c r="A3196" t="s">
        <v>1</v>
      </c>
      <c r="B3196" t="s">
        <v>19</v>
      </c>
      <c r="C3196" t="s">
        <v>23490</v>
      </c>
      <c r="D3196" t="str">
        <f>HYPERLINK("https://rhld.insurance.arkansas.gov/NPILookup?Npi=1356937593","1356937593")</f>
        <v>1356937593</v>
      </c>
      <c r="E3196" t="s">
        <v>19651</v>
      </c>
    </row>
    <row r="3197" spans="1:5" x14ac:dyDescent="0.25">
      <c r="A3197" t="s">
        <v>1</v>
      </c>
      <c r="B3197" t="s">
        <v>19</v>
      </c>
      <c r="C3197" t="s">
        <v>23490</v>
      </c>
      <c r="D3197" t="str">
        <f>HYPERLINK("https://rhld.insurance.arkansas.gov/NPILookup?Npi=1356957344","1356957344")</f>
        <v>1356957344</v>
      </c>
      <c r="E3197" t="s">
        <v>17964</v>
      </c>
    </row>
    <row r="3198" spans="1:5" x14ac:dyDescent="0.25">
      <c r="A3198" t="s">
        <v>1</v>
      </c>
      <c r="B3198" t="s">
        <v>19</v>
      </c>
      <c r="C3198" t="s">
        <v>23490</v>
      </c>
      <c r="D3198" t="str">
        <f>HYPERLINK("https://rhld.insurance.arkansas.gov/NPILookup?Npi=1356957799","1356957799")</f>
        <v>1356957799</v>
      </c>
      <c r="E3198" t="s">
        <v>17965</v>
      </c>
    </row>
    <row r="3199" spans="1:5" x14ac:dyDescent="0.25">
      <c r="A3199" t="s">
        <v>1</v>
      </c>
      <c r="B3199" t="s">
        <v>19</v>
      </c>
      <c r="C3199" t="s">
        <v>23490</v>
      </c>
      <c r="D3199" t="str">
        <f>HYPERLINK("https://rhld.insurance.arkansas.gov/NPILookup?Npi=1356984256","1356984256")</f>
        <v>1356984256</v>
      </c>
      <c r="E3199" t="s">
        <v>19652</v>
      </c>
    </row>
    <row r="3200" spans="1:5" x14ac:dyDescent="0.25">
      <c r="A3200" t="s">
        <v>1</v>
      </c>
      <c r="B3200" t="s">
        <v>19</v>
      </c>
      <c r="C3200" t="s">
        <v>23490</v>
      </c>
      <c r="D3200" t="str">
        <f>HYPERLINK("https://rhld.insurance.arkansas.gov/NPILookup?Npi=1366021933","1366021933")</f>
        <v>1366021933</v>
      </c>
      <c r="E3200" t="s">
        <v>18756</v>
      </c>
    </row>
    <row r="3201" spans="1:5" x14ac:dyDescent="0.25">
      <c r="A3201" t="s">
        <v>1</v>
      </c>
      <c r="B3201" t="s">
        <v>19</v>
      </c>
      <c r="C3201" t="s">
        <v>23490</v>
      </c>
      <c r="D3201" t="str">
        <f>HYPERLINK("https://rhld.insurance.arkansas.gov/NPILookup?Npi=1366044182","1366044182")</f>
        <v>1366044182</v>
      </c>
      <c r="E3201" t="s">
        <v>17966</v>
      </c>
    </row>
    <row r="3202" spans="1:5" x14ac:dyDescent="0.25">
      <c r="A3202" t="s">
        <v>1</v>
      </c>
      <c r="B3202" t="s">
        <v>19</v>
      </c>
      <c r="C3202" t="s">
        <v>23490</v>
      </c>
      <c r="D3202" t="str">
        <f>HYPERLINK("https://rhld.insurance.arkansas.gov/NPILookup?Npi=1366054959","1366054959")</f>
        <v>1366054959</v>
      </c>
      <c r="E3202" t="s">
        <v>17420</v>
      </c>
    </row>
    <row r="3203" spans="1:5" x14ac:dyDescent="0.25">
      <c r="A3203" t="s">
        <v>1</v>
      </c>
      <c r="B3203" t="s">
        <v>19</v>
      </c>
      <c r="C3203" t="s">
        <v>8427</v>
      </c>
      <c r="D3203" t="str">
        <f>HYPERLINK("https://rhld.insurance.arkansas.gov/NPILookup?Npi=1366070765","1366070765")</f>
        <v>1366070765</v>
      </c>
      <c r="E3203" t="s">
        <v>22927</v>
      </c>
    </row>
    <row r="3204" spans="1:5" x14ac:dyDescent="0.25">
      <c r="A3204" t="s">
        <v>1</v>
      </c>
      <c r="B3204" t="s">
        <v>19</v>
      </c>
      <c r="C3204" t="s">
        <v>23490</v>
      </c>
      <c r="D3204" t="str">
        <f>HYPERLINK("https://rhld.insurance.arkansas.gov/NPILookup?Npi=1366074452","1366074452")</f>
        <v>1366074452</v>
      </c>
      <c r="E3204" t="s">
        <v>17967</v>
      </c>
    </row>
    <row r="3205" spans="1:5" x14ac:dyDescent="0.25">
      <c r="A3205" t="s">
        <v>1</v>
      </c>
      <c r="B3205" t="s">
        <v>19</v>
      </c>
      <c r="C3205" t="s">
        <v>23490</v>
      </c>
      <c r="D3205" t="str">
        <f>HYPERLINK("https://rhld.insurance.arkansas.gov/NPILookup?Npi=1366076010","1366076010")</f>
        <v>1366076010</v>
      </c>
      <c r="E3205" t="s">
        <v>17421</v>
      </c>
    </row>
    <row r="3206" spans="1:5" x14ac:dyDescent="0.25">
      <c r="A3206" t="s">
        <v>1</v>
      </c>
      <c r="B3206" t="s">
        <v>19</v>
      </c>
      <c r="C3206" t="s">
        <v>23490</v>
      </c>
      <c r="D3206" t="str">
        <f>HYPERLINK("https://rhld.insurance.arkansas.gov/NPILookup?Npi=1366086787","1366086787")</f>
        <v>1366086787</v>
      </c>
      <c r="E3206" t="s">
        <v>19653</v>
      </c>
    </row>
    <row r="3207" spans="1:5" x14ac:dyDescent="0.25">
      <c r="A3207" t="s">
        <v>1</v>
      </c>
      <c r="B3207" t="s">
        <v>19</v>
      </c>
      <c r="C3207" t="s">
        <v>23490</v>
      </c>
      <c r="D3207" t="str">
        <f>HYPERLINK("https://rhld.insurance.arkansas.gov/NPILookup?Npi=1366088775","1366088775")</f>
        <v>1366088775</v>
      </c>
      <c r="E3207" t="s">
        <v>19654</v>
      </c>
    </row>
    <row r="3208" spans="1:5" x14ac:dyDescent="0.25">
      <c r="A3208" t="s">
        <v>1</v>
      </c>
      <c r="B3208" t="s">
        <v>19</v>
      </c>
      <c r="C3208" t="s">
        <v>23490</v>
      </c>
      <c r="D3208" t="str">
        <f>HYPERLINK("https://rhld.insurance.arkansas.gov/NPILookup?Npi=1366089740","1366089740")</f>
        <v>1366089740</v>
      </c>
      <c r="E3208" t="s">
        <v>19226</v>
      </c>
    </row>
    <row r="3209" spans="1:5" x14ac:dyDescent="0.25">
      <c r="A3209" t="s">
        <v>1</v>
      </c>
      <c r="B3209" t="s">
        <v>19</v>
      </c>
      <c r="C3209" t="s">
        <v>23490</v>
      </c>
      <c r="D3209" t="str">
        <f>HYPERLINK("https://rhld.insurance.arkansas.gov/NPILookup?Npi=1366103939","1366103939")</f>
        <v>1366103939</v>
      </c>
      <c r="E3209" t="s">
        <v>19655</v>
      </c>
    </row>
    <row r="3210" spans="1:5" x14ac:dyDescent="0.25">
      <c r="A3210" t="s">
        <v>1</v>
      </c>
      <c r="B3210" t="s">
        <v>19</v>
      </c>
      <c r="C3210" t="s">
        <v>23490</v>
      </c>
      <c r="D3210" t="str">
        <f>HYPERLINK("https://rhld.insurance.arkansas.gov/NPILookup?Npi=1366107369","1366107369")</f>
        <v>1366107369</v>
      </c>
      <c r="E3210" t="s">
        <v>19656</v>
      </c>
    </row>
    <row r="3211" spans="1:5" x14ac:dyDescent="0.25">
      <c r="A3211" t="s">
        <v>1</v>
      </c>
      <c r="B3211" t="s">
        <v>19</v>
      </c>
      <c r="C3211" t="s">
        <v>23490</v>
      </c>
      <c r="D3211" t="str">
        <f>HYPERLINK("https://rhld.insurance.arkansas.gov/NPILookup?Npi=1366111460","1366111460")</f>
        <v>1366111460</v>
      </c>
      <c r="E3211" t="s">
        <v>19657</v>
      </c>
    </row>
    <row r="3212" spans="1:5" x14ac:dyDescent="0.25">
      <c r="A3212" t="s">
        <v>1</v>
      </c>
      <c r="B3212" t="s">
        <v>19</v>
      </c>
      <c r="C3212" t="s">
        <v>23490</v>
      </c>
      <c r="D3212" t="str">
        <f>HYPERLINK("https://rhld.insurance.arkansas.gov/NPILookup?Npi=1366119752","1366119752")</f>
        <v>1366119752</v>
      </c>
      <c r="E3212" t="s">
        <v>18757</v>
      </c>
    </row>
    <row r="3213" spans="1:5" x14ac:dyDescent="0.25">
      <c r="A3213" t="s">
        <v>1</v>
      </c>
      <c r="B3213" t="s">
        <v>19</v>
      </c>
      <c r="C3213" t="s">
        <v>23490</v>
      </c>
      <c r="D3213" t="str">
        <f>HYPERLINK("https://rhld.insurance.arkansas.gov/NPILookup?Npi=1366198798","1366198798")</f>
        <v>1366198798</v>
      </c>
      <c r="E3213" t="s">
        <v>19658</v>
      </c>
    </row>
    <row r="3214" spans="1:5" x14ac:dyDescent="0.25">
      <c r="A3214" t="s">
        <v>1</v>
      </c>
      <c r="B3214" t="s">
        <v>19</v>
      </c>
      <c r="C3214" t="s">
        <v>23490</v>
      </c>
      <c r="D3214" t="str">
        <f>HYPERLINK("https://rhld.insurance.arkansas.gov/NPILookup?Npi=1366199325","1366199325")</f>
        <v>1366199325</v>
      </c>
      <c r="E3214" t="s">
        <v>21529</v>
      </c>
    </row>
    <row r="3215" spans="1:5" x14ac:dyDescent="0.25">
      <c r="A3215" t="s">
        <v>1</v>
      </c>
      <c r="B3215" t="s">
        <v>19</v>
      </c>
      <c r="C3215" t="s">
        <v>23490</v>
      </c>
      <c r="D3215" t="str">
        <f>HYPERLINK("https://rhld.insurance.arkansas.gov/NPILookup?Npi=1366402448","1366402448")</f>
        <v>1366402448</v>
      </c>
      <c r="E3215" t="s">
        <v>1289</v>
      </c>
    </row>
    <row r="3216" spans="1:5" x14ac:dyDescent="0.25">
      <c r="A3216" t="s">
        <v>1</v>
      </c>
      <c r="B3216" t="s">
        <v>19</v>
      </c>
      <c r="C3216" t="s">
        <v>23490</v>
      </c>
      <c r="D3216" t="str">
        <f>HYPERLINK("https://rhld.insurance.arkansas.gov/NPILookup?Npi=1366403479","1366403479")</f>
        <v>1366403479</v>
      </c>
      <c r="E3216" t="s">
        <v>1139</v>
      </c>
    </row>
    <row r="3217" spans="1:5" x14ac:dyDescent="0.25">
      <c r="A3217" t="s">
        <v>1</v>
      </c>
      <c r="B3217" t="s">
        <v>19</v>
      </c>
      <c r="C3217" t="s">
        <v>23490</v>
      </c>
      <c r="D3217" t="str">
        <f>HYPERLINK("https://rhld.insurance.arkansas.gov/NPILookup?Npi=1366403560","1366403560")</f>
        <v>1366403560</v>
      </c>
      <c r="E3217" t="s">
        <v>1290</v>
      </c>
    </row>
    <row r="3218" spans="1:5" x14ac:dyDescent="0.25">
      <c r="A3218" t="s">
        <v>1</v>
      </c>
      <c r="B3218" t="s">
        <v>19</v>
      </c>
      <c r="C3218" t="s">
        <v>23490</v>
      </c>
      <c r="D3218" t="str">
        <f>HYPERLINK("https://rhld.insurance.arkansas.gov/NPILookup?Npi=1366404626","1366404626")</f>
        <v>1366404626</v>
      </c>
      <c r="E3218" t="s">
        <v>15044</v>
      </c>
    </row>
    <row r="3219" spans="1:5" x14ac:dyDescent="0.25">
      <c r="A3219" t="s">
        <v>1</v>
      </c>
      <c r="B3219" t="s">
        <v>19</v>
      </c>
      <c r="C3219" t="s">
        <v>23490</v>
      </c>
      <c r="D3219" t="str">
        <f>HYPERLINK("https://rhld.insurance.arkansas.gov/NPILookup?Npi=1366404998","1366404998")</f>
        <v>1366404998</v>
      </c>
      <c r="E3219" t="s">
        <v>1291</v>
      </c>
    </row>
    <row r="3220" spans="1:5" x14ac:dyDescent="0.25">
      <c r="A3220" t="s">
        <v>1</v>
      </c>
      <c r="B3220" t="s">
        <v>19</v>
      </c>
      <c r="C3220" t="s">
        <v>23490</v>
      </c>
      <c r="D3220" t="str">
        <f>HYPERLINK("https://rhld.insurance.arkansas.gov/NPILookup?Npi=1366407835","1366407835")</f>
        <v>1366407835</v>
      </c>
      <c r="E3220" t="s">
        <v>1292</v>
      </c>
    </row>
    <row r="3221" spans="1:5" x14ac:dyDescent="0.25">
      <c r="A3221" t="s">
        <v>1</v>
      </c>
      <c r="B3221" t="s">
        <v>19</v>
      </c>
      <c r="C3221" t="s">
        <v>23490</v>
      </c>
      <c r="D3221" t="str">
        <f>HYPERLINK("https://rhld.insurance.arkansas.gov/NPILookup?Npi=1366409930","1366409930")</f>
        <v>1366409930</v>
      </c>
      <c r="E3221" t="s">
        <v>1293</v>
      </c>
    </row>
    <row r="3222" spans="1:5" x14ac:dyDescent="0.25">
      <c r="A3222" t="s">
        <v>1</v>
      </c>
      <c r="B3222" t="s">
        <v>19</v>
      </c>
      <c r="C3222" t="s">
        <v>23490</v>
      </c>
      <c r="D3222" t="str">
        <f>HYPERLINK("https://rhld.insurance.arkansas.gov/NPILookup?Npi=1366426355","1366426355")</f>
        <v>1366426355</v>
      </c>
      <c r="E3222" t="s">
        <v>15045</v>
      </c>
    </row>
    <row r="3223" spans="1:5" x14ac:dyDescent="0.25">
      <c r="A3223" t="s">
        <v>1</v>
      </c>
      <c r="B3223" t="s">
        <v>19</v>
      </c>
      <c r="C3223" t="s">
        <v>23490</v>
      </c>
      <c r="D3223" t="str">
        <f>HYPERLINK("https://rhld.insurance.arkansas.gov/NPILookup?Npi=1366432247","1366432247")</f>
        <v>1366432247</v>
      </c>
      <c r="E3223" t="s">
        <v>8636</v>
      </c>
    </row>
    <row r="3224" spans="1:5" x14ac:dyDescent="0.25">
      <c r="A3224" t="s">
        <v>1</v>
      </c>
      <c r="B3224" t="s">
        <v>19</v>
      </c>
      <c r="C3224" t="s">
        <v>23490</v>
      </c>
      <c r="D3224" t="str">
        <f>HYPERLINK("https://rhld.insurance.arkansas.gov/NPILookup?Npi=1366438384","1366438384")</f>
        <v>1366438384</v>
      </c>
      <c r="E3224" t="s">
        <v>1294</v>
      </c>
    </row>
    <row r="3225" spans="1:5" x14ac:dyDescent="0.25">
      <c r="A3225" t="s">
        <v>1</v>
      </c>
      <c r="B3225" t="s">
        <v>19</v>
      </c>
      <c r="C3225" t="s">
        <v>23490</v>
      </c>
      <c r="D3225" t="str">
        <f>HYPERLINK("https://rhld.insurance.arkansas.gov/NPILookup?Npi=1366449274","1366449274")</f>
        <v>1366449274</v>
      </c>
      <c r="E3225" t="s">
        <v>1295</v>
      </c>
    </row>
    <row r="3226" spans="1:5" x14ac:dyDescent="0.25">
      <c r="A3226" t="s">
        <v>1</v>
      </c>
      <c r="B3226" t="s">
        <v>19</v>
      </c>
      <c r="C3226" t="s">
        <v>23490</v>
      </c>
      <c r="D3226" t="str">
        <f>HYPERLINK("https://rhld.insurance.arkansas.gov/NPILookup?Npi=1366449423","1366449423")</f>
        <v>1366449423</v>
      </c>
      <c r="E3226" t="s">
        <v>16938</v>
      </c>
    </row>
    <row r="3227" spans="1:5" x14ac:dyDescent="0.25">
      <c r="A3227" t="s">
        <v>1</v>
      </c>
      <c r="B3227" t="s">
        <v>19</v>
      </c>
      <c r="C3227" t="s">
        <v>23490</v>
      </c>
      <c r="D3227" t="str">
        <f>HYPERLINK("https://rhld.insurance.arkansas.gov/NPILookup?Npi=1366454209","1366454209")</f>
        <v>1366454209</v>
      </c>
      <c r="E3227" t="s">
        <v>1296</v>
      </c>
    </row>
    <row r="3228" spans="1:5" x14ac:dyDescent="0.25">
      <c r="A3228" t="s">
        <v>1</v>
      </c>
      <c r="B3228" t="s">
        <v>19</v>
      </c>
      <c r="C3228" t="s">
        <v>23490</v>
      </c>
      <c r="D3228" t="str">
        <f>HYPERLINK("https://rhld.insurance.arkansas.gov/NPILookup?Npi=1366469959","1366469959")</f>
        <v>1366469959</v>
      </c>
      <c r="E3228" t="s">
        <v>10863</v>
      </c>
    </row>
    <row r="3229" spans="1:5" x14ac:dyDescent="0.25">
      <c r="A3229" t="s">
        <v>1</v>
      </c>
      <c r="B3229" t="s">
        <v>19</v>
      </c>
      <c r="C3229" t="s">
        <v>23490</v>
      </c>
      <c r="D3229" t="str">
        <f>HYPERLINK("https://rhld.insurance.arkansas.gov/NPILookup?Npi=1366470205","1366470205")</f>
        <v>1366470205</v>
      </c>
      <c r="E3229" t="s">
        <v>1297</v>
      </c>
    </row>
    <row r="3230" spans="1:5" x14ac:dyDescent="0.25">
      <c r="A3230" t="s">
        <v>1</v>
      </c>
      <c r="B3230" t="s">
        <v>19</v>
      </c>
      <c r="C3230" t="s">
        <v>23490</v>
      </c>
      <c r="D3230" t="str">
        <f>HYPERLINK("https://rhld.insurance.arkansas.gov/NPILookup?Npi=1366472144","1366472144")</f>
        <v>1366472144</v>
      </c>
      <c r="E3230" t="s">
        <v>1298</v>
      </c>
    </row>
    <row r="3231" spans="1:5" x14ac:dyDescent="0.25">
      <c r="A3231" t="s">
        <v>1</v>
      </c>
      <c r="B3231" t="s">
        <v>19</v>
      </c>
      <c r="C3231" t="s">
        <v>23490</v>
      </c>
      <c r="D3231" t="str">
        <f>HYPERLINK("https://rhld.insurance.arkansas.gov/NPILookup?Npi=1366475576","1366475576")</f>
        <v>1366475576</v>
      </c>
      <c r="E3231" t="s">
        <v>13501</v>
      </c>
    </row>
    <row r="3232" spans="1:5" x14ac:dyDescent="0.25">
      <c r="A3232" t="s">
        <v>1</v>
      </c>
      <c r="B3232" t="s">
        <v>19</v>
      </c>
      <c r="C3232" t="s">
        <v>23490</v>
      </c>
      <c r="D3232" t="str">
        <f>HYPERLINK("https://rhld.insurance.arkansas.gov/NPILookup?Npi=1366478588","1366478588")</f>
        <v>1366478588</v>
      </c>
      <c r="E3232" t="s">
        <v>1299</v>
      </c>
    </row>
    <row r="3233" spans="1:5" x14ac:dyDescent="0.25">
      <c r="A3233" t="s">
        <v>1</v>
      </c>
      <c r="B3233" t="s">
        <v>19</v>
      </c>
      <c r="C3233" t="s">
        <v>23490</v>
      </c>
      <c r="D3233" t="str">
        <f>HYPERLINK("https://rhld.insurance.arkansas.gov/NPILookup?Npi=1366479818","1366479818")</f>
        <v>1366479818</v>
      </c>
      <c r="E3233" t="s">
        <v>1300</v>
      </c>
    </row>
    <row r="3234" spans="1:5" x14ac:dyDescent="0.25">
      <c r="A3234" t="s">
        <v>1</v>
      </c>
      <c r="B3234" t="s">
        <v>19</v>
      </c>
      <c r="C3234" t="s">
        <v>23490</v>
      </c>
      <c r="D3234" t="str">
        <f>HYPERLINK("https://rhld.insurance.arkansas.gov/NPILookup?Npi=1366480055","1366480055")</f>
        <v>1366480055</v>
      </c>
      <c r="E3234" t="s">
        <v>1301</v>
      </c>
    </row>
    <row r="3235" spans="1:5" x14ac:dyDescent="0.25">
      <c r="A3235" t="s">
        <v>1</v>
      </c>
      <c r="B3235" t="s">
        <v>19</v>
      </c>
      <c r="C3235" t="s">
        <v>23490</v>
      </c>
      <c r="D3235" t="str">
        <f>HYPERLINK("https://rhld.insurance.arkansas.gov/NPILookup?Npi=1366496150","1366496150")</f>
        <v>1366496150</v>
      </c>
      <c r="E3235" t="s">
        <v>15046</v>
      </c>
    </row>
    <row r="3236" spans="1:5" x14ac:dyDescent="0.25">
      <c r="A3236" t="s">
        <v>1</v>
      </c>
      <c r="B3236" t="s">
        <v>19</v>
      </c>
      <c r="C3236" t="s">
        <v>23490</v>
      </c>
      <c r="D3236" t="str">
        <f>HYPERLINK("https://rhld.insurance.arkansas.gov/NPILookup?Npi=1366497802","1366497802")</f>
        <v>1366497802</v>
      </c>
      <c r="E3236" t="s">
        <v>1302</v>
      </c>
    </row>
    <row r="3237" spans="1:5" x14ac:dyDescent="0.25">
      <c r="A3237" t="s">
        <v>1</v>
      </c>
      <c r="B3237" t="s">
        <v>19</v>
      </c>
      <c r="C3237" t="s">
        <v>23490</v>
      </c>
      <c r="D3237" t="str">
        <f>HYPERLINK("https://rhld.insurance.arkansas.gov/NPILookup?Npi=1366508756","1366508756")</f>
        <v>1366508756</v>
      </c>
      <c r="E3237" t="s">
        <v>10864</v>
      </c>
    </row>
    <row r="3238" spans="1:5" x14ac:dyDescent="0.25">
      <c r="A3238" t="s">
        <v>1</v>
      </c>
      <c r="B3238" t="s">
        <v>19</v>
      </c>
      <c r="C3238" t="s">
        <v>23490</v>
      </c>
      <c r="D3238" t="str">
        <f>HYPERLINK("https://rhld.insurance.arkansas.gov/NPILookup?Npi=1366508780","1366508780")</f>
        <v>1366508780</v>
      </c>
      <c r="E3238" t="s">
        <v>19659</v>
      </c>
    </row>
    <row r="3239" spans="1:5" x14ac:dyDescent="0.25">
      <c r="A3239" t="s">
        <v>1</v>
      </c>
      <c r="B3239" t="s">
        <v>19</v>
      </c>
      <c r="C3239" t="s">
        <v>23490</v>
      </c>
      <c r="D3239" t="str">
        <f>HYPERLINK("https://rhld.insurance.arkansas.gov/NPILookup?Npi=1366518938","1366518938")</f>
        <v>1366518938</v>
      </c>
      <c r="E3239" t="s">
        <v>1304</v>
      </c>
    </row>
    <row r="3240" spans="1:5" x14ac:dyDescent="0.25">
      <c r="A3240" t="s">
        <v>1</v>
      </c>
      <c r="B3240" t="s">
        <v>19</v>
      </c>
      <c r="C3240" t="s">
        <v>23490</v>
      </c>
      <c r="D3240" t="str">
        <f>HYPERLINK("https://rhld.insurance.arkansas.gov/NPILookup?Npi=1366537466","1366537466")</f>
        <v>1366537466</v>
      </c>
      <c r="E3240" t="s">
        <v>10865</v>
      </c>
    </row>
    <row r="3241" spans="1:5" x14ac:dyDescent="0.25">
      <c r="A3241" t="s">
        <v>1</v>
      </c>
      <c r="B3241" t="s">
        <v>19</v>
      </c>
      <c r="C3241" t="s">
        <v>23490</v>
      </c>
      <c r="D3241" t="str">
        <f>HYPERLINK("https://rhld.insurance.arkansas.gov/NPILookup?Npi=1366547846","1366547846")</f>
        <v>1366547846</v>
      </c>
      <c r="E3241" t="s">
        <v>1305</v>
      </c>
    </row>
    <row r="3242" spans="1:5" x14ac:dyDescent="0.25">
      <c r="A3242" t="s">
        <v>1</v>
      </c>
      <c r="B3242" t="s">
        <v>19</v>
      </c>
      <c r="C3242" t="s">
        <v>23490</v>
      </c>
      <c r="D3242" t="str">
        <f>HYPERLINK("https://rhld.insurance.arkansas.gov/NPILookup?Npi=1366554743","1366554743")</f>
        <v>1366554743</v>
      </c>
      <c r="E3242" t="s">
        <v>1306</v>
      </c>
    </row>
    <row r="3243" spans="1:5" x14ac:dyDescent="0.25">
      <c r="A3243" t="s">
        <v>1</v>
      </c>
      <c r="B3243" t="s">
        <v>19</v>
      </c>
      <c r="C3243" t="s">
        <v>23490</v>
      </c>
      <c r="D3243" t="str">
        <f>HYPERLINK("https://rhld.insurance.arkansas.gov/NPILookup?Npi=1366575151","1366575151")</f>
        <v>1366575151</v>
      </c>
      <c r="E3243" t="s">
        <v>4917</v>
      </c>
    </row>
    <row r="3244" spans="1:5" x14ac:dyDescent="0.25">
      <c r="A3244" t="s">
        <v>1</v>
      </c>
      <c r="B3244" t="s">
        <v>19</v>
      </c>
      <c r="C3244" t="s">
        <v>23490</v>
      </c>
      <c r="D3244" t="str">
        <f>HYPERLINK("https://rhld.insurance.arkansas.gov/NPILookup?Npi=1366636821","1366636821")</f>
        <v>1366636821</v>
      </c>
      <c r="E3244" t="s">
        <v>1307</v>
      </c>
    </row>
    <row r="3245" spans="1:5" x14ac:dyDescent="0.25">
      <c r="A3245" t="s">
        <v>1</v>
      </c>
      <c r="B3245" t="s">
        <v>19</v>
      </c>
      <c r="C3245" t="s">
        <v>23490</v>
      </c>
      <c r="D3245" t="str">
        <f>HYPERLINK("https://rhld.insurance.arkansas.gov/NPILookup?Npi=1366644528","1366644528")</f>
        <v>1366644528</v>
      </c>
      <c r="E3245" t="s">
        <v>1308</v>
      </c>
    </row>
    <row r="3246" spans="1:5" x14ac:dyDescent="0.25">
      <c r="A3246" t="s">
        <v>1</v>
      </c>
      <c r="B3246" t="s">
        <v>19</v>
      </c>
      <c r="C3246" t="s">
        <v>23490</v>
      </c>
      <c r="D3246" t="str">
        <f>HYPERLINK("https://rhld.insurance.arkansas.gov/NPILookup?Npi=1366648511","1366648511")</f>
        <v>1366648511</v>
      </c>
      <c r="E3246" t="s">
        <v>8637</v>
      </c>
    </row>
    <row r="3247" spans="1:5" x14ac:dyDescent="0.25">
      <c r="A3247" t="s">
        <v>1</v>
      </c>
      <c r="B3247" t="s">
        <v>19</v>
      </c>
      <c r="C3247" t="s">
        <v>23490</v>
      </c>
      <c r="D3247" t="str">
        <f>HYPERLINK("https://rhld.insurance.arkansas.gov/NPILookup?Npi=1366658346","1366658346")</f>
        <v>1366658346</v>
      </c>
      <c r="E3247" t="s">
        <v>1309</v>
      </c>
    </row>
    <row r="3248" spans="1:5" x14ac:dyDescent="0.25">
      <c r="A3248" t="s">
        <v>1</v>
      </c>
      <c r="B3248" t="s">
        <v>19</v>
      </c>
      <c r="C3248" t="s">
        <v>23490</v>
      </c>
      <c r="D3248" t="str">
        <f>HYPERLINK("https://rhld.insurance.arkansas.gov/NPILookup?Npi=1366676736","1366676736")</f>
        <v>1366676736</v>
      </c>
      <c r="E3248" t="s">
        <v>1310</v>
      </c>
    </row>
    <row r="3249" spans="1:5" x14ac:dyDescent="0.25">
      <c r="A3249" t="s">
        <v>1</v>
      </c>
      <c r="B3249" t="s">
        <v>19</v>
      </c>
      <c r="C3249" t="s">
        <v>23490</v>
      </c>
      <c r="D3249" t="str">
        <f>HYPERLINK("https://rhld.insurance.arkansas.gov/NPILookup?Npi=1366702813","1366702813")</f>
        <v>1366702813</v>
      </c>
      <c r="E3249" t="s">
        <v>13502</v>
      </c>
    </row>
    <row r="3250" spans="1:5" x14ac:dyDescent="0.25">
      <c r="A3250" t="s">
        <v>1</v>
      </c>
      <c r="B3250" t="s">
        <v>19</v>
      </c>
      <c r="C3250" t="s">
        <v>23490</v>
      </c>
      <c r="D3250" t="str">
        <f>HYPERLINK("https://rhld.insurance.arkansas.gov/NPILookup?Npi=1366702987","1366702987")</f>
        <v>1366702987</v>
      </c>
      <c r="E3250" t="s">
        <v>18758</v>
      </c>
    </row>
    <row r="3251" spans="1:5" x14ac:dyDescent="0.25">
      <c r="A3251" t="s">
        <v>1</v>
      </c>
      <c r="B3251" t="s">
        <v>19</v>
      </c>
      <c r="C3251" t="s">
        <v>23490</v>
      </c>
      <c r="D3251" t="str">
        <f>HYPERLINK("https://rhld.insurance.arkansas.gov/NPILookup?Npi=1366705121","1366705121")</f>
        <v>1366705121</v>
      </c>
      <c r="E3251" t="s">
        <v>15047</v>
      </c>
    </row>
    <row r="3252" spans="1:5" x14ac:dyDescent="0.25">
      <c r="A3252" t="s">
        <v>1</v>
      </c>
      <c r="B3252" t="s">
        <v>19</v>
      </c>
      <c r="C3252" t="s">
        <v>23490</v>
      </c>
      <c r="D3252" t="str">
        <f>HYPERLINK("https://rhld.insurance.arkansas.gov/NPILookup?Npi=1366714107","1366714107")</f>
        <v>1366714107</v>
      </c>
      <c r="E3252" t="s">
        <v>1311</v>
      </c>
    </row>
    <row r="3253" spans="1:5" x14ac:dyDescent="0.25">
      <c r="A3253" t="s">
        <v>1</v>
      </c>
      <c r="B3253" t="s">
        <v>19</v>
      </c>
      <c r="C3253" t="s">
        <v>23490</v>
      </c>
      <c r="D3253" t="str">
        <f>HYPERLINK("https://rhld.insurance.arkansas.gov/NPILookup?Npi=1366717316","1366717316")</f>
        <v>1366717316</v>
      </c>
      <c r="E3253" t="s">
        <v>1312</v>
      </c>
    </row>
    <row r="3254" spans="1:5" x14ac:dyDescent="0.25">
      <c r="A3254" t="s">
        <v>1</v>
      </c>
      <c r="B3254" t="s">
        <v>19</v>
      </c>
      <c r="C3254" t="s">
        <v>23490</v>
      </c>
      <c r="D3254" t="str">
        <f>HYPERLINK("https://rhld.insurance.arkansas.gov/NPILookup?Npi=1366718553","1366718553")</f>
        <v>1366718553</v>
      </c>
      <c r="E3254" t="s">
        <v>16939</v>
      </c>
    </row>
    <row r="3255" spans="1:5" x14ac:dyDescent="0.25">
      <c r="A3255" t="s">
        <v>1</v>
      </c>
      <c r="B3255" t="s">
        <v>19</v>
      </c>
      <c r="C3255" t="s">
        <v>23490</v>
      </c>
      <c r="D3255" t="str">
        <f>HYPERLINK("https://rhld.insurance.arkansas.gov/NPILookup?Npi=1366740375","1366740375")</f>
        <v>1366740375</v>
      </c>
      <c r="E3255" t="s">
        <v>8639</v>
      </c>
    </row>
    <row r="3256" spans="1:5" x14ac:dyDescent="0.25">
      <c r="A3256" t="s">
        <v>1</v>
      </c>
      <c r="B3256" t="s">
        <v>19</v>
      </c>
      <c r="C3256" t="s">
        <v>23490</v>
      </c>
      <c r="D3256" t="str">
        <f>HYPERLINK("https://rhld.insurance.arkansas.gov/NPILookup?Npi=1366749707","1366749707")</f>
        <v>1366749707</v>
      </c>
      <c r="E3256" t="s">
        <v>1314</v>
      </c>
    </row>
    <row r="3257" spans="1:5" x14ac:dyDescent="0.25">
      <c r="A3257" t="s">
        <v>1</v>
      </c>
      <c r="B3257" t="s">
        <v>19</v>
      </c>
      <c r="C3257" t="s">
        <v>23490</v>
      </c>
      <c r="D3257" t="str">
        <f>HYPERLINK("https://rhld.insurance.arkansas.gov/NPILookup?Npi=1366760225","1366760225")</f>
        <v>1366760225</v>
      </c>
      <c r="E3257" t="s">
        <v>10868</v>
      </c>
    </row>
    <row r="3258" spans="1:5" x14ac:dyDescent="0.25">
      <c r="A3258" t="s">
        <v>1</v>
      </c>
      <c r="B3258" t="s">
        <v>19</v>
      </c>
      <c r="C3258" t="s">
        <v>23490</v>
      </c>
      <c r="D3258" t="str">
        <f>HYPERLINK("https://rhld.insurance.arkansas.gov/NPILookup?Npi=1366760993","1366760993")</f>
        <v>1366760993</v>
      </c>
      <c r="E3258" t="s">
        <v>1315</v>
      </c>
    </row>
    <row r="3259" spans="1:5" x14ac:dyDescent="0.25">
      <c r="A3259" t="s">
        <v>1</v>
      </c>
      <c r="B3259" t="s">
        <v>19</v>
      </c>
      <c r="C3259" t="s">
        <v>23490</v>
      </c>
      <c r="D3259" t="str">
        <f>HYPERLINK("https://rhld.insurance.arkansas.gov/NPILookup?Npi=1366763435","1366763435")</f>
        <v>1366763435</v>
      </c>
      <c r="E3259" t="s">
        <v>1316</v>
      </c>
    </row>
    <row r="3260" spans="1:5" x14ac:dyDescent="0.25">
      <c r="A3260" t="s">
        <v>1</v>
      </c>
      <c r="B3260" t="s">
        <v>19</v>
      </c>
      <c r="C3260" t="s">
        <v>23490</v>
      </c>
      <c r="D3260" t="str">
        <f>HYPERLINK("https://rhld.insurance.arkansas.gov/NPILookup?Npi=1366776429","1366776429")</f>
        <v>1366776429</v>
      </c>
      <c r="E3260" t="s">
        <v>1317</v>
      </c>
    </row>
    <row r="3261" spans="1:5" x14ac:dyDescent="0.25">
      <c r="A3261" t="s">
        <v>1</v>
      </c>
      <c r="B3261" t="s">
        <v>19</v>
      </c>
      <c r="C3261" t="s">
        <v>23490</v>
      </c>
      <c r="D3261" t="str">
        <f>HYPERLINK("https://rhld.insurance.arkansas.gov/NPILookup?Npi=1366785677","1366785677")</f>
        <v>1366785677</v>
      </c>
      <c r="E3261" t="s">
        <v>10870</v>
      </c>
    </row>
    <row r="3262" spans="1:5" x14ac:dyDescent="0.25">
      <c r="A3262" t="s">
        <v>1</v>
      </c>
      <c r="B3262" t="s">
        <v>19</v>
      </c>
      <c r="C3262" t="s">
        <v>23490</v>
      </c>
      <c r="D3262" t="str">
        <f>HYPERLINK("https://rhld.insurance.arkansas.gov/NPILookup?Npi=1366801870","1366801870")</f>
        <v>1366801870</v>
      </c>
      <c r="E3262" t="s">
        <v>8640</v>
      </c>
    </row>
    <row r="3263" spans="1:5" x14ac:dyDescent="0.25">
      <c r="A3263" t="s">
        <v>1</v>
      </c>
      <c r="B3263" t="s">
        <v>19</v>
      </c>
      <c r="C3263" t="s">
        <v>23490</v>
      </c>
      <c r="D3263" t="str">
        <f>HYPERLINK("https://rhld.insurance.arkansas.gov/NPILookup?Npi=1366801995","1366801995")</f>
        <v>1366801995</v>
      </c>
      <c r="E3263" t="s">
        <v>8641</v>
      </c>
    </row>
    <row r="3264" spans="1:5" x14ac:dyDescent="0.25">
      <c r="A3264" t="s">
        <v>1</v>
      </c>
      <c r="B3264" t="s">
        <v>19</v>
      </c>
      <c r="C3264" t="s">
        <v>23490</v>
      </c>
      <c r="D3264" t="str">
        <f>HYPERLINK("https://rhld.insurance.arkansas.gov/NPILookup?Npi=1366806259","1366806259")</f>
        <v>1366806259</v>
      </c>
      <c r="E3264" t="s">
        <v>18759</v>
      </c>
    </row>
    <row r="3265" spans="1:5" x14ac:dyDescent="0.25">
      <c r="A3265" t="s">
        <v>1</v>
      </c>
      <c r="B3265" t="s">
        <v>19</v>
      </c>
      <c r="C3265" t="s">
        <v>23490</v>
      </c>
      <c r="D3265" t="str">
        <f>HYPERLINK("https://rhld.insurance.arkansas.gov/NPILookup?Npi=1366816670","1366816670")</f>
        <v>1366816670</v>
      </c>
      <c r="E3265" t="s">
        <v>8642</v>
      </c>
    </row>
    <row r="3266" spans="1:5" x14ac:dyDescent="0.25">
      <c r="A3266" t="s">
        <v>1</v>
      </c>
      <c r="B3266" t="s">
        <v>19</v>
      </c>
      <c r="C3266" t="s">
        <v>23490</v>
      </c>
      <c r="D3266" t="str">
        <f>HYPERLINK("https://rhld.insurance.arkansas.gov/NPILookup?Npi=1366821456","1366821456")</f>
        <v>1366821456</v>
      </c>
      <c r="E3266" t="s">
        <v>19660</v>
      </c>
    </row>
    <row r="3267" spans="1:5" x14ac:dyDescent="0.25">
      <c r="A3267" t="s">
        <v>1</v>
      </c>
      <c r="B3267" t="s">
        <v>19</v>
      </c>
      <c r="C3267" t="s">
        <v>23490</v>
      </c>
      <c r="D3267" t="str">
        <f>HYPERLINK("https://rhld.insurance.arkansas.gov/NPILookup?Npi=1366825341","1366825341")</f>
        <v>1366825341</v>
      </c>
      <c r="E3267" t="s">
        <v>21530</v>
      </c>
    </row>
    <row r="3268" spans="1:5" x14ac:dyDescent="0.25">
      <c r="A3268" t="s">
        <v>1</v>
      </c>
      <c r="B3268" t="s">
        <v>19</v>
      </c>
      <c r="C3268" t="s">
        <v>23490</v>
      </c>
      <c r="D3268" t="str">
        <f>HYPERLINK("https://rhld.insurance.arkansas.gov/NPILookup?Npi=1366826588","1366826588")</f>
        <v>1366826588</v>
      </c>
      <c r="E3268" t="s">
        <v>19661</v>
      </c>
    </row>
    <row r="3269" spans="1:5" x14ac:dyDescent="0.25">
      <c r="A3269" t="s">
        <v>1</v>
      </c>
      <c r="B3269" t="s">
        <v>19</v>
      </c>
      <c r="C3269" t="s">
        <v>23490</v>
      </c>
      <c r="D3269" t="str">
        <f>HYPERLINK("https://rhld.insurance.arkansas.gov/NPILookup?Npi=1366828378","1366828378")</f>
        <v>1366828378</v>
      </c>
      <c r="E3269" t="s">
        <v>12829</v>
      </c>
    </row>
    <row r="3270" spans="1:5" x14ac:dyDescent="0.25">
      <c r="A3270" t="s">
        <v>1</v>
      </c>
      <c r="B3270" t="s">
        <v>19</v>
      </c>
      <c r="C3270" t="s">
        <v>23490</v>
      </c>
      <c r="D3270" t="str">
        <f>HYPERLINK("https://rhld.insurance.arkansas.gov/NPILookup?Npi=1366833709","1366833709")</f>
        <v>1366833709</v>
      </c>
      <c r="E3270" t="s">
        <v>1318</v>
      </c>
    </row>
    <row r="3271" spans="1:5" x14ac:dyDescent="0.25">
      <c r="A3271" t="s">
        <v>1</v>
      </c>
      <c r="B3271" t="s">
        <v>19</v>
      </c>
      <c r="C3271" t="s">
        <v>23490</v>
      </c>
      <c r="D3271" t="str">
        <f>HYPERLINK("https://rhld.insurance.arkansas.gov/NPILookup?Npi=1366841702","1366841702")</f>
        <v>1366841702</v>
      </c>
      <c r="E3271" t="s">
        <v>1319</v>
      </c>
    </row>
    <row r="3272" spans="1:5" x14ac:dyDescent="0.25">
      <c r="A3272" t="s">
        <v>1</v>
      </c>
      <c r="B3272" t="s">
        <v>19</v>
      </c>
      <c r="C3272" t="s">
        <v>23490</v>
      </c>
      <c r="D3272" t="str">
        <f>HYPERLINK("https://rhld.insurance.arkansas.gov/NPILookup?Npi=1366848533","1366848533")</f>
        <v>1366848533</v>
      </c>
      <c r="E3272" t="s">
        <v>1320</v>
      </c>
    </row>
    <row r="3273" spans="1:5" x14ac:dyDescent="0.25">
      <c r="A3273" t="s">
        <v>1</v>
      </c>
      <c r="B3273" t="s">
        <v>19</v>
      </c>
      <c r="C3273" t="s">
        <v>23490</v>
      </c>
      <c r="D3273" t="str">
        <f>HYPERLINK("https://rhld.insurance.arkansas.gov/NPILookup?Npi=1366857443","1366857443")</f>
        <v>1366857443</v>
      </c>
      <c r="E3273" t="s">
        <v>19662</v>
      </c>
    </row>
    <row r="3274" spans="1:5" x14ac:dyDescent="0.25">
      <c r="A3274" t="s">
        <v>1</v>
      </c>
      <c r="B3274" t="s">
        <v>19</v>
      </c>
      <c r="C3274" t="s">
        <v>23490</v>
      </c>
      <c r="D3274" t="str">
        <f>HYPERLINK("https://rhld.insurance.arkansas.gov/NPILookup?Npi=1366861601","1366861601")</f>
        <v>1366861601</v>
      </c>
      <c r="E3274" t="s">
        <v>19663</v>
      </c>
    </row>
    <row r="3275" spans="1:5" x14ac:dyDescent="0.25">
      <c r="A3275" t="s">
        <v>1</v>
      </c>
      <c r="B3275" t="s">
        <v>19</v>
      </c>
      <c r="C3275" t="s">
        <v>23490</v>
      </c>
      <c r="D3275" t="str">
        <f>HYPERLINK("https://rhld.insurance.arkansas.gov/NPILookup?Npi=1366861924","1366861924")</f>
        <v>1366861924</v>
      </c>
      <c r="E3275" t="s">
        <v>1321</v>
      </c>
    </row>
    <row r="3276" spans="1:5" x14ac:dyDescent="0.25">
      <c r="A3276" t="s">
        <v>1</v>
      </c>
      <c r="B3276" t="s">
        <v>19</v>
      </c>
      <c r="C3276" t="s">
        <v>23490</v>
      </c>
      <c r="D3276" t="str">
        <f>HYPERLINK("https://rhld.insurance.arkansas.gov/NPILookup?Npi=1366872699","1366872699")</f>
        <v>1366872699</v>
      </c>
      <c r="E3276" t="s">
        <v>1322</v>
      </c>
    </row>
    <row r="3277" spans="1:5" x14ac:dyDescent="0.25">
      <c r="A3277" t="s">
        <v>1</v>
      </c>
      <c r="B3277" t="s">
        <v>19</v>
      </c>
      <c r="C3277" t="s">
        <v>23490</v>
      </c>
      <c r="D3277" t="str">
        <f>HYPERLINK("https://rhld.insurance.arkansas.gov/NPILookup?Npi=1366873887","1366873887")</f>
        <v>1366873887</v>
      </c>
      <c r="E3277" t="s">
        <v>1323</v>
      </c>
    </row>
    <row r="3278" spans="1:5" x14ac:dyDescent="0.25">
      <c r="A3278" t="s">
        <v>1</v>
      </c>
      <c r="B3278" t="s">
        <v>19</v>
      </c>
      <c r="C3278" t="s">
        <v>23490</v>
      </c>
      <c r="D3278" t="str">
        <f>HYPERLINK("https://rhld.insurance.arkansas.gov/NPILookup?Npi=1366888901","1366888901")</f>
        <v>1366888901</v>
      </c>
      <c r="E3278" t="s">
        <v>13503</v>
      </c>
    </row>
    <row r="3279" spans="1:5" x14ac:dyDescent="0.25">
      <c r="A3279" t="s">
        <v>1</v>
      </c>
      <c r="B3279" t="s">
        <v>19</v>
      </c>
      <c r="C3279" t="s">
        <v>23490</v>
      </c>
      <c r="D3279" t="str">
        <f>HYPERLINK("https://rhld.insurance.arkansas.gov/NPILookup?Npi=1366921280","1366921280")</f>
        <v>1366921280</v>
      </c>
      <c r="E3279" t="s">
        <v>19664</v>
      </c>
    </row>
    <row r="3280" spans="1:5" x14ac:dyDescent="0.25">
      <c r="A3280" t="s">
        <v>1</v>
      </c>
      <c r="B3280" t="s">
        <v>19</v>
      </c>
      <c r="C3280" t="s">
        <v>23490</v>
      </c>
      <c r="D3280" t="str">
        <f>HYPERLINK("https://rhld.insurance.arkansas.gov/NPILookup?Npi=1366935066","1366935066")</f>
        <v>1366935066</v>
      </c>
      <c r="E3280" t="s">
        <v>13504</v>
      </c>
    </row>
    <row r="3281" spans="1:5" x14ac:dyDescent="0.25">
      <c r="A3281" t="s">
        <v>1</v>
      </c>
      <c r="B3281" t="s">
        <v>19</v>
      </c>
      <c r="C3281" t="s">
        <v>23490</v>
      </c>
      <c r="D3281" t="str">
        <f>HYPERLINK("https://rhld.insurance.arkansas.gov/NPILookup?Npi=1366944514","1366944514")</f>
        <v>1366944514</v>
      </c>
      <c r="E3281" t="s">
        <v>17422</v>
      </c>
    </row>
    <row r="3282" spans="1:5" x14ac:dyDescent="0.25">
      <c r="A3282" t="s">
        <v>1</v>
      </c>
      <c r="B3282" t="s">
        <v>19</v>
      </c>
      <c r="C3282" t="s">
        <v>23490</v>
      </c>
      <c r="D3282" t="str">
        <f>HYPERLINK("https://rhld.insurance.arkansas.gov/NPILookup?Npi=1366962748","1366962748")</f>
        <v>1366962748</v>
      </c>
      <c r="E3282" t="s">
        <v>10871</v>
      </c>
    </row>
    <row r="3283" spans="1:5" x14ac:dyDescent="0.25">
      <c r="A3283" t="s">
        <v>1</v>
      </c>
      <c r="B3283" t="s">
        <v>19</v>
      </c>
      <c r="C3283" t="s">
        <v>23490</v>
      </c>
      <c r="D3283" t="str">
        <f>HYPERLINK("https://rhld.insurance.arkansas.gov/NPILookup?Npi=1366965519","1366965519")</f>
        <v>1366965519</v>
      </c>
      <c r="E3283" t="s">
        <v>19665</v>
      </c>
    </row>
    <row r="3284" spans="1:5" x14ac:dyDescent="0.25">
      <c r="A3284" t="s">
        <v>1</v>
      </c>
      <c r="B3284" t="s">
        <v>19</v>
      </c>
      <c r="C3284" t="s">
        <v>23490</v>
      </c>
      <c r="D3284" t="str">
        <f>HYPERLINK("https://rhld.insurance.arkansas.gov/NPILookup?Npi=1366981151","1366981151")</f>
        <v>1366981151</v>
      </c>
      <c r="E3284" t="s">
        <v>10872</v>
      </c>
    </row>
    <row r="3285" spans="1:5" x14ac:dyDescent="0.25">
      <c r="A3285" t="s">
        <v>1</v>
      </c>
      <c r="B3285" t="s">
        <v>19</v>
      </c>
      <c r="C3285" t="s">
        <v>23490</v>
      </c>
      <c r="D3285" t="str">
        <f>HYPERLINK("https://rhld.insurance.arkansas.gov/NPILookup?Npi=1366984239","1366984239")</f>
        <v>1366984239</v>
      </c>
      <c r="E3285" t="s">
        <v>21531</v>
      </c>
    </row>
    <row r="3286" spans="1:5" x14ac:dyDescent="0.25">
      <c r="A3286" t="s">
        <v>1</v>
      </c>
      <c r="B3286" t="s">
        <v>19</v>
      </c>
      <c r="C3286" t="s">
        <v>23490</v>
      </c>
      <c r="D3286" t="str">
        <f>HYPERLINK("https://rhld.insurance.arkansas.gov/NPILookup?Npi=1366992083","1366992083")</f>
        <v>1366992083</v>
      </c>
      <c r="E3286" t="s">
        <v>15048</v>
      </c>
    </row>
    <row r="3287" spans="1:5" x14ac:dyDescent="0.25">
      <c r="A3287" t="s">
        <v>1</v>
      </c>
      <c r="B3287" t="s">
        <v>19</v>
      </c>
      <c r="C3287" t="s">
        <v>23490</v>
      </c>
      <c r="D3287" t="str">
        <f>HYPERLINK("https://rhld.insurance.arkansas.gov/NPILookup?Npi=1376002766","1376002766")</f>
        <v>1376002766</v>
      </c>
      <c r="E3287" t="s">
        <v>19666</v>
      </c>
    </row>
    <row r="3288" spans="1:5" x14ac:dyDescent="0.25">
      <c r="A3288" t="s">
        <v>1</v>
      </c>
      <c r="B3288" t="s">
        <v>19</v>
      </c>
      <c r="C3288" t="s">
        <v>23490</v>
      </c>
      <c r="D3288" t="str">
        <f>HYPERLINK("https://rhld.insurance.arkansas.gov/NPILookup?Npi=1376006585","1376006585")</f>
        <v>1376006585</v>
      </c>
      <c r="E3288" t="s">
        <v>19667</v>
      </c>
    </row>
    <row r="3289" spans="1:5" x14ac:dyDescent="0.25">
      <c r="A3289" t="s">
        <v>1</v>
      </c>
      <c r="B3289" t="s">
        <v>19</v>
      </c>
      <c r="C3289" t="s">
        <v>23490</v>
      </c>
      <c r="D3289" t="str">
        <f>HYPERLINK("https://rhld.insurance.arkansas.gov/NPILookup?Npi=1376007427","1376007427")</f>
        <v>1376007427</v>
      </c>
      <c r="E3289" t="s">
        <v>20933</v>
      </c>
    </row>
    <row r="3290" spans="1:5" x14ac:dyDescent="0.25">
      <c r="A3290" t="s">
        <v>1</v>
      </c>
      <c r="B3290" t="s">
        <v>19</v>
      </c>
      <c r="C3290" t="s">
        <v>23490</v>
      </c>
      <c r="D3290" t="str">
        <f>HYPERLINK("https://rhld.insurance.arkansas.gov/NPILookup?Npi=1376020420","1376020420")</f>
        <v>1376020420</v>
      </c>
      <c r="E3290" t="s">
        <v>21532</v>
      </c>
    </row>
    <row r="3291" spans="1:5" x14ac:dyDescent="0.25">
      <c r="A3291" t="s">
        <v>1</v>
      </c>
      <c r="B3291" t="s">
        <v>19</v>
      </c>
      <c r="C3291" t="s">
        <v>23490</v>
      </c>
      <c r="D3291" t="str">
        <f>HYPERLINK("https://rhld.insurance.arkansas.gov/NPILookup?Npi=1376020917","1376020917")</f>
        <v>1376020917</v>
      </c>
      <c r="E3291" t="s">
        <v>13505</v>
      </c>
    </row>
    <row r="3292" spans="1:5" x14ac:dyDescent="0.25">
      <c r="A3292" t="s">
        <v>1</v>
      </c>
      <c r="B3292" t="s">
        <v>19</v>
      </c>
      <c r="C3292" t="s">
        <v>23490</v>
      </c>
      <c r="D3292" t="str">
        <f>HYPERLINK("https://rhld.insurance.arkansas.gov/NPILookup?Npi=1376025601","1376025601")</f>
        <v>1376025601</v>
      </c>
      <c r="E3292" t="s">
        <v>17423</v>
      </c>
    </row>
    <row r="3293" spans="1:5" x14ac:dyDescent="0.25">
      <c r="A3293" t="s">
        <v>1</v>
      </c>
      <c r="B3293" t="s">
        <v>19</v>
      </c>
      <c r="C3293" t="s">
        <v>23490</v>
      </c>
      <c r="D3293" t="str">
        <f>HYPERLINK("https://rhld.insurance.arkansas.gov/NPILookup?Npi=1376036558","1376036558")</f>
        <v>1376036558</v>
      </c>
      <c r="E3293" t="s">
        <v>18760</v>
      </c>
    </row>
    <row r="3294" spans="1:5" x14ac:dyDescent="0.25">
      <c r="A3294" t="s">
        <v>1</v>
      </c>
      <c r="B3294" t="s">
        <v>19</v>
      </c>
      <c r="C3294" t="s">
        <v>23490</v>
      </c>
      <c r="D3294" t="str">
        <f>HYPERLINK("https://rhld.insurance.arkansas.gov/NPILookup?Npi=1376042168","1376042168")</f>
        <v>1376042168</v>
      </c>
      <c r="E3294" t="s">
        <v>12830</v>
      </c>
    </row>
    <row r="3295" spans="1:5" x14ac:dyDescent="0.25">
      <c r="A3295" t="s">
        <v>1</v>
      </c>
      <c r="B3295" t="s">
        <v>19</v>
      </c>
      <c r="C3295" t="s">
        <v>23490</v>
      </c>
      <c r="D3295" t="str">
        <f>HYPERLINK("https://rhld.insurance.arkansas.gov/NPILookup?Npi=1376056705","1376056705")</f>
        <v>1376056705</v>
      </c>
      <c r="E3295" t="s">
        <v>13506</v>
      </c>
    </row>
    <row r="3296" spans="1:5" x14ac:dyDescent="0.25">
      <c r="A3296" t="s">
        <v>1</v>
      </c>
      <c r="B3296" t="s">
        <v>19</v>
      </c>
      <c r="C3296" t="s">
        <v>23490</v>
      </c>
      <c r="D3296" t="str">
        <f>HYPERLINK("https://rhld.insurance.arkansas.gov/NPILookup?Npi=1376070391","1376070391")</f>
        <v>1376070391</v>
      </c>
      <c r="E3296" t="s">
        <v>13507</v>
      </c>
    </row>
    <row r="3297" spans="1:5" x14ac:dyDescent="0.25">
      <c r="A3297" t="s">
        <v>1</v>
      </c>
      <c r="B3297" t="s">
        <v>19</v>
      </c>
      <c r="C3297" t="s">
        <v>23490</v>
      </c>
      <c r="D3297" t="str">
        <f>HYPERLINK("https://rhld.insurance.arkansas.gov/NPILookup?Npi=1376077164","1376077164")</f>
        <v>1376077164</v>
      </c>
      <c r="E3297" t="s">
        <v>17968</v>
      </c>
    </row>
    <row r="3298" spans="1:5" x14ac:dyDescent="0.25">
      <c r="A3298" t="s">
        <v>1</v>
      </c>
      <c r="B3298" t="s">
        <v>19</v>
      </c>
      <c r="C3298" t="s">
        <v>23490</v>
      </c>
      <c r="D3298" t="str">
        <f>HYPERLINK("https://rhld.insurance.arkansas.gov/NPILookup?Npi=1376083931","1376083931")</f>
        <v>1376083931</v>
      </c>
      <c r="E3298" t="s">
        <v>19668</v>
      </c>
    </row>
    <row r="3299" spans="1:5" x14ac:dyDescent="0.25">
      <c r="A3299" t="s">
        <v>1</v>
      </c>
      <c r="B3299" t="s">
        <v>19</v>
      </c>
      <c r="C3299" t="s">
        <v>23490</v>
      </c>
      <c r="D3299" t="str">
        <f>HYPERLINK("https://rhld.insurance.arkansas.gov/NPILookup?Npi=1376092635","1376092635")</f>
        <v>1376092635</v>
      </c>
      <c r="E3299" t="s">
        <v>13508</v>
      </c>
    </row>
    <row r="3300" spans="1:5" x14ac:dyDescent="0.25">
      <c r="A3300" t="s">
        <v>1</v>
      </c>
      <c r="B3300" t="s">
        <v>19</v>
      </c>
      <c r="C3300" t="s">
        <v>23490</v>
      </c>
      <c r="D3300" t="str">
        <f>HYPERLINK("https://rhld.insurance.arkansas.gov/NPILookup?Npi=1376094235","1376094235")</f>
        <v>1376094235</v>
      </c>
      <c r="E3300" t="s">
        <v>13509</v>
      </c>
    </row>
    <row r="3301" spans="1:5" x14ac:dyDescent="0.25">
      <c r="A3301" t="s">
        <v>1</v>
      </c>
      <c r="B3301" t="s">
        <v>19</v>
      </c>
      <c r="C3301" t="s">
        <v>23490</v>
      </c>
      <c r="D3301" t="str">
        <f>HYPERLINK("https://rhld.insurance.arkansas.gov/NPILookup?Npi=1376102335","1376102335")</f>
        <v>1376102335</v>
      </c>
      <c r="E3301" t="s">
        <v>19669</v>
      </c>
    </row>
    <row r="3302" spans="1:5" x14ac:dyDescent="0.25">
      <c r="A3302" t="s">
        <v>1</v>
      </c>
      <c r="B3302" t="s">
        <v>19</v>
      </c>
      <c r="C3302" t="s">
        <v>23490</v>
      </c>
      <c r="D3302" t="str">
        <f>HYPERLINK("https://rhld.insurance.arkansas.gov/NPILookup?Npi=1376111500","1376111500")</f>
        <v>1376111500</v>
      </c>
      <c r="E3302" t="s">
        <v>21533</v>
      </c>
    </row>
    <row r="3303" spans="1:5" x14ac:dyDescent="0.25">
      <c r="A3303" t="s">
        <v>1</v>
      </c>
      <c r="B3303" t="s">
        <v>19</v>
      </c>
      <c r="C3303" t="s">
        <v>23490</v>
      </c>
      <c r="D3303" t="str">
        <f>HYPERLINK("https://rhld.insurance.arkansas.gov/NPILookup?Npi=1376134668","1376134668")</f>
        <v>1376134668</v>
      </c>
      <c r="E3303" t="s">
        <v>17969</v>
      </c>
    </row>
    <row r="3304" spans="1:5" x14ac:dyDescent="0.25">
      <c r="A3304" t="s">
        <v>1</v>
      </c>
      <c r="B3304" t="s">
        <v>19</v>
      </c>
      <c r="C3304" t="s">
        <v>23490</v>
      </c>
      <c r="D3304" t="str">
        <f>HYPERLINK("https://rhld.insurance.arkansas.gov/NPILookup?Npi=1376136176","1376136176")</f>
        <v>1376136176</v>
      </c>
      <c r="E3304" t="s">
        <v>18761</v>
      </c>
    </row>
    <row r="3305" spans="1:5" x14ac:dyDescent="0.25">
      <c r="A3305" t="s">
        <v>1</v>
      </c>
      <c r="B3305" t="s">
        <v>19</v>
      </c>
      <c r="C3305" t="s">
        <v>23490</v>
      </c>
      <c r="D3305" t="str">
        <f>HYPERLINK("https://rhld.insurance.arkansas.gov/NPILookup?Npi=1376153544","1376153544")</f>
        <v>1376153544</v>
      </c>
      <c r="E3305" t="s">
        <v>19670</v>
      </c>
    </row>
    <row r="3306" spans="1:5" x14ac:dyDescent="0.25">
      <c r="A3306" t="s">
        <v>1</v>
      </c>
      <c r="B3306" t="s">
        <v>19</v>
      </c>
      <c r="C3306" t="s">
        <v>23490</v>
      </c>
      <c r="D3306" t="str">
        <f>HYPERLINK("https://rhld.insurance.arkansas.gov/NPILookup?Npi=1376173229","1376173229")</f>
        <v>1376173229</v>
      </c>
      <c r="E3306" t="s">
        <v>16940</v>
      </c>
    </row>
    <row r="3307" spans="1:5" x14ac:dyDescent="0.25">
      <c r="A3307" t="s">
        <v>1</v>
      </c>
      <c r="B3307" t="s">
        <v>19</v>
      </c>
      <c r="C3307" t="s">
        <v>23490</v>
      </c>
      <c r="D3307" t="str">
        <f>HYPERLINK("https://rhld.insurance.arkansas.gov/NPILookup?Npi=1376175273","1376175273")</f>
        <v>1376175273</v>
      </c>
      <c r="E3307" t="s">
        <v>19671</v>
      </c>
    </row>
    <row r="3308" spans="1:5" x14ac:dyDescent="0.25">
      <c r="A3308" t="s">
        <v>1</v>
      </c>
      <c r="B3308" t="s">
        <v>19</v>
      </c>
      <c r="C3308" t="s">
        <v>23490</v>
      </c>
      <c r="D3308" t="str">
        <f>HYPERLINK("https://rhld.insurance.arkansas.gov/NPILookup?Npi=1376205419","1376205419")</f>
        <v>1376205419</v>
      </c>
      <c r="E3308" t="s">
        <v>19672</v>
      </c>
    </row>
    <row r="3309" spans="1:5" x14ac:dyDescent="0.25">
      <c r="A3309" t="s">
        <v>1</v>
      </c>
      <c r="B3309" t="s">
        <v>19</v>
      </c>
      <c r="C3309" t="s">
        <v>23490</v>
      </c>
      <c r="D3309" t="str">
        <f>HYPERLINK("https://rhld.insurance.arkansas.gov/NPILookup?Npi=1376218693","1376218693")</f>
        <v>1376218693</v>
      </c>
      <c r="E3309" t="s">
        <v>18762</v>
      </c>
    </row>
    <row r="3310" spans="1:5" x14ac:dyDescent="0.25">
      <c r="A3310" t="s">
        <v>1</v>
      </c>
      <c r="B3310" t="s">
        <v>19</v>
      </c>
      <c r="C3310" t="s">
        <v>23490</v>
      </c>
      <c r="D3310" t="str">
        <f>HYPERLINK("https://rhld.insurance.arkansas.gov/NPILookup?Npi=1376285577","1376285577")</f>
        <v>1376285577</v>
      </c>
      <c r="E3310" t="s">
        <v>19673</v>
      </c>
    </row>
    <row r="3311" spans="1:5" x14ac:dyDescent="0.25">
      <c r="A3311" t="s">
        <v>1</v>
      </c>
      <c r="B3311" t="s">
        <v>19</v>
      </c>
      <c r="C3311" t="s">
        <v>23490</v>
      </c>
      <c r="D3311" t="str">
        <f>HYPERLINK("https://rhld.insurance.arkansas.gov/NPILookup?Npi=1376288621","1376288621")</f>
        <v>1376288621</v>
      </c>
      <c r="E3311" t="s">
        <v>21534</v>
      </c>
    </row>
    <row r="3312" spans="1:5" x14ac:dyDescent="0.25">
      <c r="A3312" t="s">
        <v>1</v>
      </c>
      <c r="B3312" t="s">
        <v>19</v>
      </c>
      <c r="C3312" t="s">
        <v>23490</v>
      </c>
      <c r="D3312" t="str">
        <f>HYPERLINK("https://rhld.insurance.arkansas.gov/NPILookup?Npi=1376289405","1376289405")</f>
        <v>1376289405</v>
      </c>
      <c r="E3312" t="s">
        <v>21394</v>
      </c>
    </row>
    <row r="3313" spans="1:5" x14ac:dyDescent="0.25">
      <c r="A3313" t="s">
        <v>1</v>
      </c>
      <c r="B3313" t="s">
        <v>19</v>
      </c>
      <c r="C3313" t="s">
        <v>23490</v>
      </c>
      <c r="D3313" t="str">
        <f>HYPERLINK("https://rhld.insurance.arkansas.gov/NPILookup?Npi=1376502690","1376502690")</f>
        <v>1376502690</v>
      </c>
      <c r="E3313" t="s">
        <v>1324</v>
      </c>
    </row>
    <row r="3314" spans="1:5" x14ac:dyDescent="0.25">
      <c r="A3314" t="s">
        <v>1</v>
      </c>
      <c r="B3314" t="s">
        <v>19</v>
      </c>
      <c r="C3314" t="s">
        <v>23490</v>
      </c>
      <c r="D3314" t="str">
        <f>HYPERLINK("https://rhld.insurance.arkansas.gov/NPILookup?Npi=1376506881","1376506881")</f>
        <v>1376506881</v>
      </c>
      <c r="E3314" t="s">
        <v>1325</v>
      </c>
    </row>
    <row r="3315" spans="1:5" x14ac:dyDescent="0.25">
      <c r="A3315" t="s">
        <v>1</v>
      </c>
      <c r="B3315" t="s">
        <v>19</v>
      </c>
      <c r="C3315" t="s">
        <v>23490</v>
      </c>
      <c r="D3315" t="str">
        <f>HYPERLINK("https://rhld.insurance.arkansas.gov/NPILookup?Npi=1376518225","1376518225")</f>
        <v>1376518225</v>
      </c>
      <c r="E3315" t="s">
        <v>1326</v>
      </c>
    </row>
    <row r="3316" spans="1:5" x14ac:dyDescent="0.25">
      <c r="A3316" t="s">
        <v>1</v>
      </c>
      <c r="B3316" t="s">
        <v>19</v>
      </c>
      <c r="C3316" t="s">
        <v>23490</v>
      </c>
      <c r="D3316" t="str">
        <f>HYPERLINK("https://rhld.insurance.arkansas.gov/NPILookup?Npi=1376523316","1376523316")</f>
        <v>1376523316</v>
      </c>
      <c r="E3316" t="s">
        <v>1327</v>
      </c>
    </row>
    <row r="3317" spans="1:5" x14ac:dyDescent="0.25">
      <c r="A3317" t="s">
        <v>1</v>
      </c>
      <c r="B3317" t="s">
        <v>19</v>
      </c>
      <c r="C3317" t="s">
        <v>23490</v>
      </c>
      <c r="D3317" t="str">
        <f>HYPERLINK("https://rhld.insurance.arkansas.gov/NPILookup?Npi=1376525394","1376525394")</f>
        <v>1376525394</v>
      </c>
      <c r="E3317" t="s">
        <v>19674</v>
      </c>
    </row>
    <row r="3318" spans="1:5" x14ac:dyDescent="0.25">
      <c r="A3318" t="s">
        <v>1</v>
      </c>
      <c r="B3318" t="s">
        <v>19</v>
      </c>
      <c r="C3318" t="s">
        <v>23490</v>
      </c>
      <c r="D3318" t="str">
        <f>HYPERLINK("https://rhld.insurance.arkansas.gov/NPILookup?Npi=1376526889","1376526889")</f>
        <v>1376526889</v>
      </c>
      <c r="E3318" t="s">
        <v>1328</v>
      </c>
    </row>
    <row r="3319" spans="1:5" x14ac:dyDescent="0.25">
      <c r="A3319" t="s">
        <v>1</v>
      </c>
      <c r="B3319" t="s">
        <v>19</v>
      </c>
      <c r="C3319" t="s">
        <v>23490</v>
      </c>
      <c r="D3319" t="str">
        <f>HYPERLINK("https://rhld.insurance.arkansas.gov/NPILookup?Npi=1376538090","1376538090")</f>
        <v>1376538090</v>
      </c>
      <c r="E3319" t="s">
        <v>1329</v>
      </c>
    </row>
    <row r="3320" spans="1:5" x14ac:dyDescent="0.25">
      <c r="A3320" t="s">
        <v>1</v>
      </c>
      <c r="B3320" t="s">
        <v>19</v>
      </c>
      <c r="C3320" t="s">
        <v>23490</v>
      </c>
      <c r="D3320" t="str">
        <f>HYPERLINK("https://rhld.insurance.arkansas.gov/NPILookup?Npi=1376538561","1376538561")</f>
        <v>1376538561</v>
      </c>
      <c r="E3320" t="s">
        <v>8643</v>
      </c>
    </row>
    <row r="3321" spans="1:5" x14ac:dyDescent="0.25">
      <c r="A3321" t="s">
        <v>1</v>
      </c>
      <c r="B3321" t="s">
        <v>19</v>
      </c>
      <c r="C3321" t="s">
        <v>23490</v>
      </c>
      <c r="D3321" t="str">
        <f>HYPERLINK("https://rhld.insurance.arkansas.gov/NPILookup?Npi=1376540229","1376540229")</f>
        <v>1376540229</v>
      </c>
      <c r="E3321" t="s">
        <v>15049</v>
      </c>
    </row>
    <row r="3322" spans="1:5" x14ac:dyDescent="0.25">
      <c r="A3322" t="s">
        <v>1</v>
      </c>
      <c r="B3322" t="s">
        <v>19</v>
      </c>
      <c r="C3322" t="s">
        <v>23490</v>
      </c>
      <c r="D3322" t="str">
        <f>HYPERLINK("https://rhld.insurance.arkansas.gov/NPILookup?Npi=1376542290","1376542290")</f>
        <v>1376542290</v>
      </c>
      <c r="E3322" t="s">
        <v>10874</v>
      </c>
    </row>
    <row r="3323" spans="1:5" x14ac:dyDescent="0.25">
      <c r="A3323" t="s">
        <v>1</v>
      </c>
      <c r="B3323" t="s">
        <v>19</v>
      </c>
      <c r="C3323" t="s">
        <v>23490</v>
      </c>
      <c r="D3323" t="str">
        <f>HYPERLINK("https://rhld.insurance.arkansas.gov/NPILookup?Npi=1376545103","1376545103")</f>
        <v>1376545103</v>
      </c>
      <c r="E3323" t="s">
        <v>1330</v>
      </c>
    </row>
    <row r="3324" spans="1:5" x14ac:dyDescent="0.25">
      <c r="A3324" t="s">
        <v>1</v>
      </c>
      <c r="B3324" t="s">
        <v>19</v>
      </c>
      <c r="C3324" t="s">
        <v>23490</v>
      </c>
      <c r="D3324" t="str">
        <f>HYPERLINK("https://rhld.insurance.arkansas.gov/NPILookup?Npi=1376550640","1376550640")</f>
        <v>1376550640</v>
      </c>
      <c r="E3324" t="s">
        <v>19675</v>
      </c>
    </row>
    <row r="3325" spans="1:5" x14ac:dyDescent="0.25">
      <c r="A3325" t="s">
        <v>1</v>
      </c>
      <c r="B3325" t="s">
        <v>19</v>
      </c>
      <c r="C3325" t="s">
        <v>23490</v>
      </c>
      <c r="D3325" t="str">
        <f>HYPERLINK("https://rhld.insurance.arkansas.gov/NPILookup?Npi=1376561647","1376561647")</f>
        <v>1376561647</v>
      </c>
      <c r="E3325" t="s">
        <v>8644</v>
      </c>
    </row>
    <row r="3326" spans="1:5" x14ac:dyDescent="0.25">
      <c r="A3326" t="s">
        <v>1</v>
      </c>
      <c r="B3326" t="s">
        <v>19</v>
      </c>
      <c r="C3326" t="s">
        <v>23490</v>
      </c>
      <c r="D3326" t="str">
        <f>HYPERLINK("https://rhld.insurance.arkansas.gov/NPILookup?Npi=1376564799","1376564799")</f>
        <v>1376564799</v>
      </c>
      <c r="E3326" t="s">
        <v>15050</v>
      </c>
    </row>
    <row r="3327" spans="1:5" x14ac:dyDescent="0.25">
      <c r="A3327" t="s">
        <v>1</v>
      </c>
      <c r="B3327" t="s">
        <v>19</v>
      </c>
      <c r="C3327" t="s">
        <v>23490</v>
      </c>
      <c r="D3327" t="str">
        <f>HYPERLINK("https://rhld.insurance.arkansas.gov/NPILookup?Npi=1376566182","1376566182")</f>
        <v>1376566182</v>
      </c>
      <c r="E3327" t="s">
        <v>1331</v>
      </c>
    </row>
    <row r="3328" spans="1:5" x14ac:dyDescent="0.25">
      <c r="A3328" t="s">
        <v>1</v>
      </c>
      <c r="B3328" t="s">
        <v>19</v>
      </c>
      <c r="C3328" t="s">
        <v>23490</v>
      </c>
      <c r="D3328" t="str">
        <f>HYPERLINK("https://rhld.insurance.arkansas.gov/NPILookup?Npi=1376568204","1376568204")</f>
        <v>1376568204</v>
      </c>
      <c r="E3328" t="s">
        <v>1332</v>
      </c>
    </row>
    <row r="3329" spans="1:5" x14ac:dyDescent="0.25">
      <c r="A3329" t="s">
        <v>1</v>
      </c>
      <c r="B3329" t="s">
        <v>19</v>
      </c>
      <c r="C3329" t="s">
        <v>23490</v>
      </c>
      <c r="D3329" t="str">
        <f>HYPERLINK("https://rhld.insurance.arkansas.gov/NPILookup?Npi=1376572800","1376572800")</f>
        <v>1376572800</v>
      </c>
      <c r="E3329" t="s">
        <v>1333</v>
      </c>
    </row>
    <row r="3330" spans="1:5" x14ac:dyDescent="0.25">
      <c r="A3330" t="s">
        <v>1</v>
      </c>
      <c r="B3330" t="s">
        <v>19</v>
      </c>
      <c r="C3330" t="s">
        <v>23490</v>
      </c>
      <c r="D3330" t="str">
        <f>HYPERLINK("https://rhld.insurance.arkansas.gov/NPILookup?Npi=1376583328","1376583328")</f>
        <v>1376583328</v>
      </c>
      <c r="E3330" t="s">
        <v>1334</v>
      </c>
    </row>
    <row r="3331" spans="1:5" x14ac:dyDescent="0.25">
      <c r="A3331" t="s">
        <v>1</v>
      </c>
      <c r="B3331" t="s">
        <v>19</v>
      </c>
      <c r="C3331" t="s">
        <v>23490</v>
      </c>
      <c r="D3331" t="str">
        <f>HYPERLINK("https://rhld.insurance.arkansas.gov/NPILookup?Npi=1376588210","1376588210")</f>
        <v>1376588210</v>
      </c>
      <c r="E3331" t="s">
        <v>1335</v>
      </c>
    </row>
    <row r="3332" spans="1:5" x14ac:dyDescent="0.25">
      <c r="A3332" t="s">
        <v>1</v>
      </c>
      <c r="B3332" t="s">
        <v>19</v>
      </c>
      <c r="C3332" t="s">
        <v>23490</v>
      </c>
      <c r="D3332" t="str">
        <f>HYPERLINK("https://rhld.insurance.arkansas.gov/NPILookup?Npi=1376589754","1376589754")</f>
        <v>1376589754</v>
      </c>
      <c r="E3332" t="s">
        <v>1336</v>
      </c>
    </row>
    <row r="3333" spans="1:5" x14ac:dyDescent="0.25">
      <c r="A3333" t="s">
        <v>1</v>
      </c>
      <c r="B3333" t="s">
        <v>19</v>
      </c>
      <c r="C3333" t="s">
        <v>23490</v>
      </c>
      <c r="D3333" t="str">
        <f>HYPERLINK("https://rhld.insurance.arkansas.gov/NPILookup?Npi=1376589804","1376589804")</f>
        <v>1376589804</v>
      </c>
      <c r="E3333" t="s">
        <v>17970</v>
      </c>
    </row>
    <row r="3334" spans="1:5" x14ac:dyDescent="0.25">
      <c r="A3334" t="s">
        <v>1</v>
      </c>
      <c r="B3334" t="s">
        <v>19</v>
      </c>
      <c r="C3334" t="s">
        <v>23490</v>
      </c>
      <c r="D3334" t="str">
        <f>HYPERLINK("https://rhld.insurance.arkansas.gov/NPILookup?Npi=1376591305","1376591305")</f>
        <v>1376591305</v>
      </c>
      <c r="E3334" t="s">
        <v>1337</v>
      </c>
    </row>
    <row r="3335" spans="1:5" x14ac:dyDescent="0.25">
      <c r="A3335" t="s">
        <v>1</v>
      </c>
      <c r="B3335" t="s">
        <v>19</v>
      </c>
      <c r="C3335" t="s">
        <v>23490</v>
      </c>
      <c r="D3335" t="str">
        <f>HYPERLINK("https://rhld.insurance.arkansas.gov/NPILookup?Npi=1376594051","1376594051")</f>
        <v>1376594051</v>
      </c>
      <c r="E3335" t="s">
        <v>1887</v>
      </c>
    </row>
    <row r="3336" spans="1:5" x14ac:dyDescent="0.25">
      <c r="A3336" t="s">
        <v>1</v>
      </c>
      <c r="B3336" t="s">
        <v>19</v>
      </c>
      <c r="C3336" t="s">
        <v>23490</v>
      </c>
      <c r="D3336" t="str">
        <f>HYPERLINK("https://rhld.insurance.arkansas.gov/NPILookup?Npi=1376596338","1376596338")</f>
        <v>1376596338</v>
      </c>
      <c r="E3336" t="s">
        <v>1338</v>
      </c>
    </row>
    <row r="3337" spans="1:5" x14ac:dyDescent="0.25">
      <c r="A3337" t="s">
        <v>1</v>
      </c>
      <c r="B3337" t="s">
        <v>19</v>
      </c>
      <c r="C3337" t="s">
        <v>23490</v>
      </c>
      <c r="D3337" t="str">
        <f>HYPERLINK("https://rhld.insurance.arkansas.gov/NPILookup?Npi=1376617274","1376617274")</f>
        <v>1376617274</v>
      </c>
      <c r="E3337" t="s">
        <v>10875</v>
      </c>
    </row>
    <row r="3338" spans="1:5" x14ac:dyDescent="0.25">
      <c r="A3338" t="s">
        <v>1</v>
      </c>
      <c r="B3338" t="s">
        <v>19</v>
      </c>
      <c r="C3338" t="s">
        <v>23490</v>
      </c>
      <c r="D3338" t="str">
        <f>HYPERLINK("https://rhld.insurance.arkansas.gov/NPILookup?Npi=1376626218","1376626218")</f>
        <v>1376626218</v>
      </c>
      <c r="E3338" t="s">
        <v>1339</v>
      </c>
    </row>
    <row r="3339" spans="1:5" x14ac:dyDescent="0.25">
      <c r="A3339" t="s">
        <v>1</v>
      </c>
      <c r="B3339" t="s">
        <v>19</v>
      </c>
      <c r="C3339" t="s">
        <v>23490</v>
      </c>
      <c r="D3339" t="str">
        <f>HYPERLINK("https://rhld.insurance.arkansas.gov/NPILookup?Npi=1376631689","1376631689")</f>
        <v>1376631689</v>
      </c>
      <c r="E3339" t="s">
        <v>1340</v>
      </c>
    </row>
    <row r="3340" spans="1:5" x14ac:dyDescent="0.25">
      <c r="A3340" t="s">
        <v>1</v>
      </c>
      <c r="B3340" t="s">
        <v>19</v>
      </c>
      <c r="C3340" t="s">
        <v>23490</v>
      </c>
      <c r="D3340" t="str">
        <f>HYPERLINK("https://rhld.insurance.arkansas.gov/NPILookup?Npi=1376651919","1376651919")</f>
        <v>1376651919</v>
      </c>
      <c r="E3340" t="s">
        <v>1341</v>
      </c>
    </row>
    <row r="3341" spans="1:5" x14ac:dyDescent="0.25">
      <c r="A3341" t="s">
        <v>1</v>
      </c>
      <c r="B3341" t="s">
        <v>19</v>
      </c>
      <c r="C3341" t="s">
        <v>23490</v>
      </c>
      <c r="D3341" t="str">
        <f>HYPERLINK("https://rhld.insurance.arkansas.gov/NPILookup?Npi=1376659219","1376659219")</f>
        <v>1376659219</v>
      </c>
      <c r="E3341" t="s">
        <v>1342</v>
      </c>
    </row>
    <row r="3342" spans="1:5" x14ac:dyDescent="0.25">
      <c r="A3342" t="s">
        <v>1</v>
      </c>
      <c r="B3342" t="s">
        <v>19</v>
      </c>
      <c r="C3342" t="s">
        <v>23490</v>
      </c>
      <c r="D3342" t="str">
        <f>HYPERLINK("https://rhld.insurance.arkansas.gov/NPILookup?Npi=1376692939","1376692939")</f>
        <v>1376692939</v>
      </c>
      <c r="E3342" t="s">
        <v>15051</v>
      </c>
    </row>
    <row r="3343" spans="1:5" x14ac:dyDescent="0.25">
      <c r="A3343" t="s">
        <v>1</v>
      </c>
      <c r="B3343" t="s">
        <v>19</v>
      </c>
      <c r="C3343" t="s">
        <v>23490</v>
      </c>
      <c r="D3343" t="str">
        <f>HYPERLINK("https://rhld.insurance.arkansas.gov/NPILookup?Npi=1376706614","1376706614")</f>
        <v>1376706614</v>
      </c>
      <c r="E3343" t="s">
        <v>1343</v>
      </c>
    </row>
    <row r="3344" spans="1:5" x14ac:dyDescent="0.25">
      <c r="A3344" t="s">
        <v>1</v>
      </c>
      <c r="B3344" t="s">
        <v>19</v>
      </c>
      <c r="C3344" t="s">
        <v>23490</v>
      </c>
      <c r="D3344" t="str">
        <f>HYPERLINK("https://rhld.insurance.arkansas.gov/NPILookup?Npi=1376708222","1376708222")</f>
        <v>1376708222</v>
      </c>
      <c r="E3344" t="s">
        <v>1344</v>
      </c>
    </row>
    <row r="3345" spans="1:5" x14ac:dyDescent="0.25">
      <c r="A3345" t="s">
        <v>1</v>
      </c>
      <c r="B3345" t="s">
        <v>19</v>
      </c>
      <c r="C3345" t="s">
        <v>23490</v>
      </c>
      <c r="D3345" t="str">
        <f>HYPERLINK("https://rhld.insurance.arkansas.gov/NPILookup?Npi=1376710889","1376710889")</f>
        <v>1376710889</v>
      </c>
      <c r="E3345" t="s">
        <v>1345</v>
      </c>
    </row>
    <row r="3346" spans="1:5" x14ac:dyDescent="0.25">
      <c r="A3346" t="s">
        <v>1</v>
      </c>
      <c r="B3346" t="s">
        <v>19</v>
      </c>
      <c r="C3346" t="s">
        <v>23490</v>
      </c>
      <c r="D3346" t="str">
        <f>HYPERLINK("https://rhld.insurance.arkansas.gov/NPILookup?Npi=1376721209","1376721209")</f>
        <v>1376721209</v>
      </c>
      <c r="E3346" t="s">
        <v>15052</v>
      </c>
    </row>
    <row r="3347" spans="1:5" x14ac:dyDescent="0.25">
      <c r="A3347" t="s">
        <v>1</v>
      </c>
      <c r="B3347" t="s">
        <v>19</v>
      </c>
      <c r="C3347" t="s">
        <v>23490</v>
      </c>
      <c r="D3347" t="str">
        <f>HYPERLINK("https://rhld.insurance.arkansas.gov/NPILookup?Npi=1376739854","1376739854")</f>
        <v>1376739854</v>
      </c>
      <c r="E3347" t="s">
        <v>8645</v>
      </c>
    </row>
    <row r="3348" spans="1:5" x14ac:dyDescent="0.25">
      <c r="A3348" t="s">
        <v>1</v>
      </c>
      <c r="B3348" t="s">
        <v>19</v>
      </c>
      <c r="C3348" t="s">
        <v>23490</v>
      </c>
      <c r="D3348" t="str">
        <f>HYPERLINK("https://rhld.insurance.arkansas.gov/NPILookup?Npi=1376741710","1376741710")</f>
        <v>1376741710</v>
      </c>
      <c r="E3348" t="s">
        <v>1346</v>
      </c>
    </row>
    <row r="3349" spans="1:5" x14ac:dyDescent="0.25">
      <c r="A3349" t="s">
        <v>1</v>
      </c>
      <c r="B3349" t="s">
        <v>19</v>
      </c>
      <c r="C3349" t="s">
        <v>23490</v>
      </c>
      <c r="D3349" t="str">
        <f>HYPERLINK("https://rhld.insurance.arkansas.gov/NPILookup?Npi=1376752832","1376752832")</f>
        <v>1376752832</v>
      </c>
      <c r="E3349" t="s">
        <v>1347</v>
      </c>
    </row>
    <row r="3350" spans="1:5" x14ac:dyDescent="0.25">
      <c r="A3350" t="s">
        <v>1</v>
      </c>
      <c r="B3350" t="s">
        <v>19</v>
      </c>
      <c r="C3350" t="s">
        <v>23490</v>
      </c>
      <c r="D3350" t="str">
        <f>HYPERLINK("https://rhld.insurance.arkansas.gov/NPILookup?Npi=1376753087","1376753087")</f>
        <v>1376753087</v>
      </c>
      <c r="E3350" t="s">
        <v>10876</v>
      </c>
    </row>
    <row r="3351" spans="1:5" x14ac:dyDescent="0.25">
      <c r="A3351" t="s">
        <v>1</v>
      </c>
      <c r="B3351" t="s">
        <v>19</v>
      </c>
      <c r="C3351" t="s">
        <v>23490</v>
      </c>
      <c r="D3351" t="str">
        <f>HYPERLINK("https://rhld.insurance.arkansas.gov/NPILookup?Npi=1376767533","1376767533")</f>
        <v>1376767533</v>
      </c>
      <c r="E3351" t="s">
        <v>1348</v>
      </c>
    </row>
    <row r="3352" spans="1:5" x14ac:dyDescent="0.25">
      <c r="A3352" t="s">
        <v>1</v>
      </c>
      <c r="B3352" t="s">
        <v>19</v>
      </c>
      <c r="C3352" t="s">
        <v>23490</v>
      </c>
      <c r="D3352" t="str">
        <f>HYPERLINK("https://rhld.insurance.arkansas.gov/NPILookup?Npi=1376776047","1376776047")</f>
        <v>1376776047</v>
      </c>
      <c r="E3352" t="s">
        <v>1349</v>
      </c>
    </row>
    <row r="3353" spans="1:5" x14ac:dyDescent="0.25">
      <c r="A3353" t="s">
        <v>1</v>
      </c>
      <c r="B3353" t="s">
        <v>19</v>
      </c>
      <c r="C3353" t="s">
        <v>23490</v>
      </c>
      <c r="D3353" t="str">
        <f>HYPERLINK("https://rhld.insurance.arkansas.gov/NPILookup?Npi=1376777201","1376777201")</f>
        <v>1376777201</v>
      </c>
      <c r="E3353" t="s">
        <v>15053</v>
      </c>
    </row>
    <row r="3354" spans="1:5" x14ac:dyDescent="0.25">
      <c r="A3354" t="s">
        <v>1</v>
      </c>
      <c r="B3354" t="s">
        <v>19</v>
      </c>
      <c r="C3354" t="s">
        <v>23490</v>
      </c>
      <c r="D3354" t="str">
        <f>HYPERLINK("https://rhld.insurance.arkansas.gov/NPILookup?Npi=1376785543","1376785543")</f>
        <v>1376785543</v>
      </c>
      <c r="E3354" t="s">
        <v>10877</v>
      </c>
    </row>
    <row r="3355" spans="1:5" x14ac:dyDescent="0.25">
      <c r="A3355" t="s">
        <v>1</v>
      </c>
      <c r="B3355" t="s">
        <v>19</v>
      </c>
      <c r="C3355" t="s">
        <v>23490</v>
      </c>
      <c r="D3355" t="str">
        <f>HYPERLINK("https://rhld.insurance.arkansas.gov/NPILookup?Npi=1376792457","1376792457")</f>
        <v>1376792457</v>
      </c>
      <c r="E3355" t="s">
        <v>1350</v>
      </c>
    </row>
    <row r="3356" spans="1:5" x14ac:dyDescent="0.25">
      <c r="A3356" t="s">
        <v>1</v>
      </c>
      <c r="B3356" t="s">
        <v>19</v>
      </c>
      <c r="C3356" t="s">
        <v>23490</v>
      </c>
      <c r="D3356" t="str">
        <f>HYPERLINK("https://rhld.insurance.arkansas.gov/NPILookup?Npi=1376801712","1376801712")</f>
        <v>1376801712</v>
      </c>
      <c r="E3356" t="s">
        <v>10878</v>
      </c>
    </row>
    <row r="3357" spans="1:5" x14ac:dyDescent="0.25">
      <c r="A3357" t="s">
        <v>1</v>
      </c>
      <c r="B3357" t="s">
        <v>19</v>
      </c>
      <c r="C3357" t="s">
        <v>23490</v>
      </c>
      <c r="D3357" t="str">
        <f>HYPERLINK("https://rhld.insurance.arkansas.gov/NPILookup?Npi=1376805911","1376805911")</f>
        <v>1376805911</v>
      </c>
      <c r="E3357" t="s">
        <v>1351</v>
      </c>
    </row>
    <row r="3358" spans="1:5" x14ac:dyDescent="0.25">
      <c r="A3358" t="s">
        <v>1</v>
      </c>
      <c r="B3358" t="s">
        <v>19</v>
      </c>
      <c r="C3358" t="s">
        <v>23490</v>
      </c>
      <c r="D3358" t="str">
        <f>HYPERLINK("https://rhld.insurance.arkansas.gov/NPILookup?Npi=1376806760","1376806760")</f>
        <v>1376806760</v>
      </c>
      <c r="E3358" t="s">
        <v>8647</v>
      </c>
    </row>
    <row r="3359" spans="1:5" x14ac:dyDescent="0.25">
      <c r="A3359" t="s">
        <v>1</v>
      </c>
      <c r="B3359" t="s">
        <v>19</v>
      </c>
      <c r="C3359" t="s">
        <v>23490</v>
      </c>
      <c r="D3359" t="str">
        <f>HYPERLINK("https://rhld.insurance.arkansas.gov/NPILookup?Npi=1376806851","1376806851")</f>
        <v>1376806851</v>
      </c>
      <c r="E3359" t="s">
        <v>8648</v>
      </c>
    </row>
    <row r="3360" spans="1:5" x14ac:dyDescent="0.25">
      <c r="A3360" t="s">
        <v>1</v>
      </c>
      <c r="B3360" t="s">
        <v>19</v>
      </c>
      <c r="C3360" t="s">
        <v>23490</v>
      </c>
      <c r="D3360" t="str">
        <f>HYPERLINK("https://rhld.insurance.arkansas.gov/NPILookup?Npi=1376822395","1376822395")</f>
        <v>1376822395</v>
      </c>
      <c r="E3360" t="s">
        <v>13510</v>
      </c>
    </row>
    <row r="3361" spans="1:5" x14ac:dyDescent="0.25">
      <c r="A3361" t="s">
        <v>1</v>
      </c>
      <c r="B3361" t="s">
        <v>19</v>
      </c>
      <c r="C3361" t="s">
        <v>23490</v>
      </c>
      <c r="D3361" t="str">
        <f>HYPERLINK("https://rhld.insurance.arkansas.gov/NPILookup?Npi=1376835215","1376835215")</f>
        <v>1376835215</v>
      </c>
      <c r="E3361" t="s">
        <v>8649</v>
      </c>
    </row>
    <row r="3362" spans="1:5" x14ac:dyDescent="0.25">
      <c r="A3362" t="s">
        <v>1</v>
      </c>
      <c r="B3362" t="s">
        <v>19</v>
      </c>
      <c r="C3362" t="s">
        <v>23490</v>
      </c>
      <c r="D3362" t="str">
        <f>HYPERLINK("https://rhld.insurance.arkansas.gov/NPILookup?Npi=1376841247","1376841247")</f>
        <v>1376841247</v>
      </c>
      <c r="E3362" t="s">
        <v>1352</v>
      </c>
    </row>
    <row r="3363" spans="1:5" x14ac:dyDescent="0.25">
      <c r="A3363" t="s">
        <v>1</v>
      </c>
      <c r="B3363" t="s">
        <v>19</v>
      </c>
      <c r="C3363" t="s">
        <v>23490</v>
      </c>
      <c r="D3363" t="str">
        <f>HYPERLINK("https://rhld.insurance.arkansas.gov/NPILookup?Npi=1376843458","1376843458")</f>
        <v>1376843458</v>
      </c>
      <c r="E3363" t="s">
        <v>1353</v>
      </c>
    </row>
    <row r="3364" spans="1:5" x14ac:dyDescent="0.25">
      <c r="A3364" t="s">
        <v>1</v>
      </c>
      <c r="B3364" t="s">
        <v>19</v>
      </c>
      <c r="C3364" t="s">
        <v>23490</v>
      </c>
      <c r="D3364" t="str">
        <f>HYPERLINK("https://rhld.insurance.arkansas.gov/NPILookup?Npi=1376847210","1376847210")</f>
        <v>1376847210</v>
      </c>
      <c r="E3364" t="s">
        <v>8650</v>
      </c>
    </row>
    <row r="3365" spans="1:5" x14ac:dyDescent="0.25">
      <c r="A3365" t="s">
        <v>1</v>
      </c>
      <c r="B3365" t="s">
        <v>19</v>
      </c>
      <c r="C3365" t="s">
        <v>23490</v>
      </c>
      <c r="D3365" t="str">
        <f>HYPERLINK("https://rhld.insurance.arkansas.gov/NPILookup?Npi=1376878926","1376878926")</f>
        <v>1376878926</v>
      </c>
      <c r="E3365" t="s">
        <v>1354</v>
      </c>
    </row>
    <row r="3366" spans="1:5" x14ac:dyDescent="0.25">
      <c r="A3366" t="s">
        <v>1</v>
      </c>
      <c r="B3366" t="s">
        <v>19</v>
      </c>
      <c r="C3366" t="s">
        <v>23490</v>
      </c>
      <c r="D3366" t="str">
        <f>HYPERLINK("https://rhld.insurance.arkansas.gov/NPILookup?Npi=1376879866","1376879866")</f>
        <v>1376879866</v>
      </c>
      <c r="E3366" t="s">
        <v>1355</v>
      </c>
    </row>
    <row r="3367" spans="1:5" x14ac:dyDescent="0.25">
      <c r="A3367" t="s">
        <v>1</v>
      </c>
      <c r="B3367" t="s">
        <v>19</v>
      </c>
      <c r="C3367" t="s">
        <v>23490</v>
      </c>
      <c r="D3367" t="str">
        <f>HYPERLINK("https://rhld.insurance.arkansas.gov/NPILookup?Npi=1376884536","1376884536")</f>
        <v>1376884536</v>
      </c>
      <c r="E3367" t="s">
        <v>1356</v>
      </c>
    </row>
    <row r="3368" spans="1:5" x14ac:dyDescent="0.25">
      <c r="A3368" t="s">
        <v>1</v>
      </c>
      <c r="B3368" t="s">
        <v>19</v>
      </c>
      <c r="C3368" t="s">
        <v>23490</v>
      </c>
      <c r="D3368" t="str">
        <f>HYPERLINK("https://rhld.insurance.arkansas.gov/NPILookup?Npi=1376903823","1376903823")</f>
        <v>1376903823</v>
      </c>
      <c r="E3368" t="s">
        <v>10879</v>
      </c>
    </row>
    <row r="3369" spans="1:5" x14ac:dyDescent="0.25">
      <c r="A3369" t="s">
        <v>1</v>
      </c>
      <c r="B3369" t="s">
        <v>19</v>
      </c>
      <c r="C3369" t="s">
        <v>23490</v>
      </c>
      <c r="D3369" t="str">
        <f>HYPERLINK("https://rhld.insurance.arkansas.gov/NPILookup?Npi=1376912824","1376912824")</f>
        <v>1376912824</v>
      </c>
      <c r="E3369" t="s">
        <v>1357</v>
      </c>
    </row>
    <row r="3370" spans="1:5" x14ac:dyDescent="0.25">
      <c r="A3370" t="s">
        <v>1</v>
      </c>
      <c r="B3370" t="s">
        <v>19</v>
      </c>
      <c r="C3370" t="s">
        <v>23490</v>
      </c>
      <c r="D3370" t="str">
        <f>HYPERLINK("https://rhld.insurance.arkansas.gov/NPILookup?Npi=1376932830","1376932830")</f>
        <v>1376932830</v>
      </c>
      <c r="E3370" t="s">
        <v>1358</v>
      </c>
    </row>
    <row r="3371" spans="1:5" x14ac:dyDescent="0.25">
      <c r="A3371" t="s">
        <v>1</v>
      </c>
      <c r="B3371" t="s">
        <v>19</v>
      </c>
      <c r="C3371" t="s">
        <v>23490</v>
      </c>
      <c r="D3371" t="str">
        <f>HYPERLINK("https://rhld.insurance.arkansas.gov/NPILookup?Npi=1376936203","1376936203")</f>
        <v>1376936203</v>
      </c>
      <c r="E3371" t="s">
        <v>15054</v>
      </c>
    </row>
    <row r="3372" spans="1:5" x14ac:dyDescent="0.25">
      <c r="A3372" t="s">
        <v>1</v>
      </c>
      <c r="B3372" t="s">
        <v>19</v>
      </c>
      <c r="C3372" t="s">
        <v>23490</v>
      </c>
      <c r="D3372" t="str">
        <f>HYPERLINK("https://rhld.insurance.arkansas.gov/NPILookup?Npi=1376958736","1376958736")</f>
        <v>1376958736</v>
      </c>
      <c r="E3372" t="s">
        <v>1359</v>
      </c>
    </row>
    <row r="3373" spans="1:5" x14ac:dyDescent="0.25">
      <c r="A3373" t="s">
        <v>1</v>
      </c>
      <c r="B3373" t="s">
        <v>19</v>
      </c>
      <c r="C3373" t="s">
        <v>23490</v>
      </c>
      <c r="D3373" t="str">
        <f>HYPERLINK("https://rhld.insurance.arkansas.gov/NPILookup?Npi=1376972026","1376972026")</f>
        <v>1376972026</v>
      </c>
      <c r="E3373" t="s">
        <v>1360</v>
      </c>
    </row>
    <row r="3374" spans="1:5" x14ac:dyDescent="0.25">
      <c r="A3374" t="s">
        <v>1</v>
      </c>
      <c r="B3374" t="s">
        <v>19</v>
      </c>
      <c r="C3374" t="s">
        <v>23490</v>
      </c>
      <c r="D3374" t="str">
        <f>HYPERLINK("https://rhld.insurance.arkansas.gov/NPILookup?Npi=1376975714","1376975714")</f>
        <v>1376975714</v>
      </c>
      <c r="E3374" t="s">
        <v>8651</v>
      </c>
    </row>
    <row r="3375" spans="1:5" x14ac:dyDescent="0.25">
      <c r="A3375" t="s">
        <v>1</v>
      </c>
      <c r="B3375" t="s">
        <v>19</v>
      </c>
      <c r="C3375" t="s">
        <v>23490</v>
      </c>
      <c r="D3375" t="str">
        <f>HYPERLINK("https://rhld.insurance.arkansas.gov/NPILookup?Npi=1376979799","1376979799")</f>
        <v>1376979799</v>
      </c>
      <c r="E3375" t="s">
        <v>8652</v>
      </c>
    </row>
    <row r="3376" spans="1:5" x14ac:dyDescent="0.25">
      <c r="A3376" t="s">
        <v>1</v>
      </c>
      <c r="B3376" t="s">
        <v>19</v>
      </c>
      <c r="C3376" t="s">
        <v>23490</v>
      </c>
      <c r="D3376" t="str">
        <f>HYPERLINK("https://rhld.insurance.arkansas.gov/NPILookup?Npi=1376980045","1376980045")</f>
        <v>1376980045</v>
      </c>
      <c r="E3376" t="s">
        <v>1361</v>
      </c>
    </row>
    <row r="3377" spans="1:5" x14ac:dyDescent="0.25">
      <c r="A3377" t="s">
        <v>1</v>
      </c>
      <c r="B3377" t="s">
        <v>19</v>
      </c>
      <c r="C3377" t="s">
        <v>23490</v>
      </c>
      <c r="D3377" t="str">
        <f>HYPERLINK("https://rhld.insurance.arkansas.gov/NPILookup?Npi=1376980367","1376980367")</f>
        <v>1376980367</v>
      </c>
      <c r="E3377" t="s">
        <v>12831</v>
      </c>
    </row>
    <row r="3378" spans="1:5" x14ac:dyDescent="0.25">
      <c r="A3378" t="s">
        <v>1</v>
      </c>
      <c r="B3378" t="s">
        <v>19</v>
      </c>
      <c r="C3378" t="s">
        <v>23490</v>
      </c>
      <c r="D3378" t="str">
        <f>HYPERLINK("https://rhld.insurance.arkansas.gov/NPILookup?Npi=1376987719","1376987719")</f>
        <v>1376987719</v>
      </c>
      <c r="E3378" t="s">
        <v>1362</v>
      </c>
    </row>
    <row r="3379" spans="1:5" x14ac:dyDescent="0.25">
      <c r="A3379" t="s">
        <v>1</v>
      </c>
      <c r="B3379" t="s">
        <v>19</v>
      </c>
      <c r="C3379" t="s">
        <v>23490</v>
      </c>
      <c r="D3379" t="str">
        <f>HYPERLINK("https://rhld.insurance.arkansas.gov/NPILookup?Npi=1376996710","1376996710")</f>
        <v>1376996710</v>
      </c>
      <c r="E3379" t="s">
        <v>18763</v>
      </c>
    </row>
    <row r="3380" spans="1:5" x14ac:dyDescent="0.25">
      <c r="A3380" t="s">
        <v>1</v>
      </c>
      <c r="B3380" t="s">
        <v>19</v>
      </c>
      <c r="C3380" t="s">
        <v>23490</v>
      </c>
      <c r="D3380" t="str">
        <f>HYPERLINK("https://rhld.insurance.arkansas.gov/NPILookup?Npi=1376999607","1376999607")</f>
        <v>1376999607</v>
      </c>
      <c r="E3380" t="s">
        <v>8653</v>
      </c>
    </row>
    <row r="3381" spans="1:5" x14ac:dyDescent="0.25">
      <c r="A3381" t="s">
        <v>1</v>
      </c>
      <c r="B3381" t="s">
        <v>19</v>
      </c>
      <c r="C3381" t="s">
        <v>23490</v>
      </c>
      <c r="D3381" t="str">
        <f>HYPERLINK("https://rhld.insurance.arkansas.gov/NPILookup?Npi=1376999813","1376999813")</f>
        <v>1376999813</v>
      </c>
      <c r="E3381" t="s">
        <v>13511</v>
      </c>
    </row>
    <row r="3382" spans="1:5" x14ac:dyDescent="0.25">
      <c r="A3382" t="s">
        <v>1</v>
      </c>
      <c r="B3382" t="s">
        <v>19</v>
      </c>
      <c r="C3382" t="s">
        <v>23490</v>
      </c>
      <c r="D3382" t="str">
        <f>HYPERLINK("https://rhld.insurance.arkansas.gov/NPILookup?Npi=1386026359","1386026359")</f>
        <v>1386026359</v>
      </c>
      <c r="E3382" t="s">
        <v>1363</v>
      </c>
    </row>
    <row r="3383" spans="1:5" x14ac:dyDescent="0.25">
      <c r="A3383" t="s">
        <v>1</v>
      </c>
      <c r="B3383" t="s">
        <v>19</v>
      </c>
      <c r="C3383" t="s">
        <v>23490</v>
      </c>
      <c r="D3383" t="str">
        <f>HYPERLINK("https://rhld.insurance.arkansas.gov/NPILookup?Npi=1386026763","1386026763")</f>
        <v>1386026763</v>
      </c>
      <c r="E3383" t="s">
        <v>15055</v>
      </c>
    </row>
    <row r="3384" spans="1:5" x14ac:dyDescent="0.25">
      <c r="A3384" t="s">
        <v>1</v>
      </c>
      <c r="B3384" t="s">
        <v>19</v>
      </c>
      <c r="C3384" t="s">
        <v>23490</v>
      </c>
      <c r="D3384" t="str">
        <f>HYPERLINK("https://rhld.insurance.arkansas.gov/NPILookup?Npi=1386032811","1386032811")</f>
        <v>1386032811</v>
      </c>
      <c r="E3384" t="s">
        <v>13512</v>
      </c>
    </row>
    <row r="3385" spans="1:5" x14ac:dyDescent="0.25">
      <c r="A3385" t="s">
        <v>1</v>
      </c>
      <c r="B3385" t="s">
        <v>19</v>
      </c>
      <c r="C3385" t="s">
        <v>23490</v>
      </c>
      <c r="D3385" t="str">
        <f>HYPERLINK("https://rhld.insurance.arkansas.gov/NPILookup?Npi=1386035525","1386035525")</f>
        <v>1386035525</v>
      </c>
      <c r="E3385" t="s">
        <v>16941</v>
      </c>
    </row>
    <row r="3386" spans="1:5" x14ac:dyDescent="0.25">
      <c r="A3386" t="s">
        <v>1</v>
      </c>
      <c r="B3386" t="s">
        <v>19</v>
      </c>
      <c r="C3386" t="s">
        <v>23490</v>
      </c>
      <c r="D3386" t="str">
        <f>HYPERLINK("https://rhld.insurance.arkansas.gov/NPILookup?Npi=1386035962","1386035962")</f>
        <v>1386035962</v>
      </c>
      <c r="E3386" t="s">
        <v>21535</v>
      </c>
    </row>
    <row r="3387" spans="1:5" x14ac:dyDescent="0.25">
      <c r="A3387" t="s">
        <v>1</v>
      </c>
      <c r="B3387" t="s">
        <v>19</v>
      </c>
      <c r="C3387" t="s">
        <v>23490</v>
      </c>
      <c r="D3387" t="str">
        <f>HYPERLINK("https://rhld.insurance.arkansas.gov/NPILookup?Npi=1386042927","1386042927")</f>
        <v>1386042927</v>
      </c>
      <c r="E3387" t="s">
        <v>1364</v>
      </c>
    </row>
    <row r="3388" spans="1:5" x14ac:dyDescent="0.25">
      <c r="A3388" t="s">
        <v>1</v>
      </c>
      <c r="B3388" t="s">
        <v>19</v>
      </c>
      <c r="C3388" t="s">
        <v>23490</v>
      </c>
      <c r="D3388" t="str">
        <f>HYPERLINK("https://rhld.insurance.arkansas.gov/NPILookup?Npi=1386051167","1386051167")</f>
        <v>1386051167</v>
      </c>
      <c r="E3388" t="s">
        <v>13513</v>
      </c>
    </row>
    <row r="3389" spans="1:5" x14ac:dyDescent="0.25">
      <c r="A3389" t="s">
        <v>1</v>
      </c>
      <c r="B3389" t="s">
        <v>19</v>
      </c>
      <c r="C3389" t="s">
        <v>23490</v>
      </c>
      <c r="D3389" t="str">
        <f>HYPERLINK("https://rhld.insurance.arkansas.gov/NPILookup?Npi=1386058543","1386058543")</f>
        <v>1386058543</v>
      </c>
      <c r="E3389" t="s">
        <v>1365</v>
      </c>
    </row>
    <row r="3390" spans="1:5" x14ac:dyDescent="0.25">
      <c r="A3390" t="s">
        <v>1</v>
      </c>
      <c r="B3390" t="s">
        <v>19</v>
      </c>
      <c r="C3390" t="s">
        <v>23490</v>
      </c>
      <c r="D3390" t="str">
        <f>HYPERLINK("https://rhld.insurance.arkansas.gov/NPILookup?Npi=1386060010","1386060010")</f>
        <v>1386060010</v>
      </c>
      <c r="E3390" t="s">
        <v>1366</v>
      </c>
    </row>
    <row r="3391" spans="1:5" x14ac:dyDescent="0.25">
      <c r="A3391" t="s">
        <v>1</v>
      </c>
      <c r="B3391" t="s">
        <v>19</v>
      </c>
      <c r="C3391" t="s">
        <v>23490</v>
      </c>
      <c r="D3391" t="str">
        <f>HYPERLINK("https://rhld.insurance.arkansas.gov/NPILookup?Npi=1386060929","1386060929")</f>
        <v>1386060929</v>
      </c>
      <c r="E3391" t="s">
        <v>127</v>
      </c>
    </row>
    <row r="3392" spans="1:5" x14ac:dyDescent="0.25">
      <c r="A3392" t="s">
        <v>1</v>
      </c>
      <c r="B3392" t="s">
        <v>19</v>
      </c>
      <c r="C3392" t="s">
        <v>23490</v>
      </c>
      <c r="D3392" t="str">
        <f>HYPERLINK("https://rhld.insurance.arkansas.gov/NPILookup?Npi=1386064103","1386064103")</f>
        <v>1386064103</v>
      </c>
      <c r="E3392" t="s">
        <v>19676</v>
      </c>
    </row>
    <row r="3393" spans="1:5" x14ac:dyDescent="0.25">
      <c r="A3393" t="s">
        <v>1</v>
      </c>
      <c r="B3393" t="s">
        <v>19</v>
      </c>
      <c r="C3393" t="s">
        <v>23490</v>
      </c>
      <c r="D3393" t="str">
        <f>HYPERLINK("https://rhld.insurance.arkansas.gov/NPILookup?Npi=1386071785","1386071785")</f>
        <v>1386071785</v>
      </c>
      <c r="E3393" t="s">
        <v>19677</v>
      </c>
    </row>
    <row r="3394" spans="1:5" x14ac:dyDescent="0.25">
      <c r="A3394" t="s">
        <v>1</v>
      </c>
      <c r="B3394" t="s">
        <v>19</v>
      </c>
      <c r="C3394" t="s">
        <v>23490</v>
      </c>
      <c r="D3394" t="str">
        <f>HYPERLINK("https://rhld.insurance.arkansas.gov/NPILookup?Npi=1386077725","1386077725")</f>
        <v>1386077725</v>
      </c>
      <c r="E3394" t="s">
        <v>1367</v>
      </c>
    </row>
    <row r="3395" spans="1:5" x14ac:dyDescent="0.25">
      <c r="A3395" t="s">
        <v>1</v>
      </c>
      <c r="B3395" t="s">
        <v>19</v>
      </c>
      <c r="C3395" t="s">
        <v>23490</v>
      </c>
      <c r="D3395" t="str">
        <f>HYPERLINK("https://rhld.insurance.arkansas.gov/NPILookup?Npi=1386084531","1386084531")</f>
        <v>1386084531</v>
      </c>
      <c r="E3395" t="s">
        <v>10880</v>
      </c>
    </row>
    <row r="3396" spans="1:5" x14ac:dyDescent="0.25">
      <c r="A3396" t="s">
        <v>1</v>
      </c>
      <c r="B3396" t="s">
        <v>19</v>
      </c>
      <c r="C3396" t="s">
        <v>23490</v>
      </c>
      <c r="D3396" t="str">
        <f>HYPERLINK("https://rhld.insurance.arkansas.gov/NPILookup?Npi=1386084630","1386084630")</f>
        <v>1386084630</v>
      </c>
      <c r="E3396" t="s">
        <v>16942</v>
      </c>
    </row>
    <row r="3397" spans="1:5" x14ac:dyDescent="0.25">
      <c r="A3397" t="s">
        <v>1</v>
      </c>
      <c r="B3397" t="s">
        <v>19</v>
      </c>
      <c r="C3397" t="s">
        <v>23490</v>
      </c>
      <c r="D3397" t="str">
        <f>HYPERLINK("https://rhld.insurance.arkansas.gov/NPILookup?Npi=1386089712","1386089712")</f>
        <v>1386089712</v>
      </c>
      <c r="E3397" t="s">
        <v>15056</v>
      </c>
    </row>
    <row r="3398" spans="1:5" x14ac:dyDescent="0.25">
      <c r="A3398" t="s">
        <v>1</v>
      </c>
      <c r="B3398" t="s">
        <v>19</v>
      </c>
      <c r="C3398" t="s">
        <v>23490</v>
      </c>
      <c r="D3398" t="str">
        <f>HYPERLINK("https://rhld.insurance.arkansas.gov/NPILookup?Npi=1386096584","1386096584")</f>
        <v>1386096584</v>
      </c>
      <c r="E3398" t="s">
        <v>3020</v>
      </c>
    </row>
    <row r="3399" spans="1:5" x14ac:dyDescent="0.25">
      <c r="A3399" t="s">
        <v>1</v>
      </c>
      <c r="B3399" t="s">
        <v>19</v>
      </c>
      <c r="C3399" t="s">
        <v>23490</v>
      </c>
      <c r="D3399" t="str">
        <f>HYPERLINK("https://rhld.insurance.arkansas.gov/NPILookup?Npi=1386097921","1386097921")</f>
        <v>1386097921</v>
      </c>
      <c r="E3399" t="s">
        <v>10881</v>
      </c>
    </row>
    <row r="3400" spans="1:5" x14ac:dyDescent="0.25">
      <c r="A3400" t="s">
        <v>1</v>
      </c>
      <c r="B3400" t="s">
        <v>19</v>
      </c>
      <c r="C3400" t="s">
        <v>23490</v>
      </c>
      <c r="D3400" t="str">
        <f>HYPERLINK("https://rhld.insurance.arkansas.gov/NPILookup?Npi=1386108736","1386108736")</f>
        <v>1386108736</v>
      </c>
      <c r="E3400" t="s">
        <v>15057</v>
      </c>
    </row>
    <row r="3401" spans="1:5" x14ac:dyDescent="0.25">
      <c r="A3401" t="s">
        <v>1</v>
      </c>
      <c r="B3401" t="s">
        <v>19</v>
      </c>
      <c r="C3401" t="s">
        <v>23490</v>
      </c>
      <c r="D3401" t="str">
        <f>HYPERLINK("https://rhld.insurance.arkansas.gov/NPILookup?Npi=1386109536","1386109536")</f>
        <v>1386109536</v>
      </c>
      <c r="E3401" t="s">
        <v>19678</v>
      </c>
    </row>
    <row r="3402" spans="1:5" x14ac:dyDescent="0.25">
      <c r="A3402" t="s">
        <v>1</v>
      </c>
      <c r="B3402" t="s">
        <v>19</v>
      </c>
      <c r="C3402" t="s">
        <v>23490</v>
      </c>
      <c r="D3402" t="str">
        <f>HYPERLINK("https://rhld.insurance.arkansas.gov/NPILookup?Npi=1386112613","1386112613")</f>
        <v>1386112613</v>
      </c>
      <c r="E3402" t="s">
        <v>15058</v>
      </c>
    </row>
    <row r="3403" spans="1:5" x14ac:dyDescent="0.25">
      <c r="A3403" t="s">
        <v>1</v>
      </c>
      <c r="B3403" t="s">
        <v>19</v>
      </c>
      <c r="C3403" t="s">
        <v>23490</v>
      </c>
      <c r="D3403" t="str">
        <f>HYPERLINK("https://rhld.insurance.arkansas.gov/NPILookup?Npi=1386129898","1386129898")</f>
        <v>1386129898</v>
      </c>
      <c r="E3403" t="s">
        <v>15059</v>
      </c>
    </row>
    <row r="3404" spans="1:5" x14ac:dyDescent="0.25">
      <c r="A3404" t="s">
        <v>1</v>
      </c>
      <c r="B3404" t="s">
        <v>19</v>
      </c>
      <c r="C3404" t="s">
        <v>23490</v>
      </c>
      <c r="D3404" t="str">
        <f>HYPERLINK("https://rhld.insurance.arkansas.gov/NPILookup?Npi=1386137826","1386137826")</f>
        <v>1386137826</v>
      </c>
      <c r="E3404" t="s">
        <v>13514</v>
      </c>
    </row>
    <row r="3405" spans="1:5" x14ac:dyDescent="0.25">
      <c r="A3405" t="s">
        <v>1</v>
      </c>
      <c r="B3405" t="s">
        <v>19</v>
      </c>
      <c r="C3405" t="s">
        <v>23490</v>
      </c>
      <c r="D3405" t="str">
        <f>HYPERLINK("https://rhld.insurance.arkansas.gov/NPILookup?Npi=1386140986","1386140986")</f>
        <v>1386140986</v>
      </c>
      <c r="E3405" t="s">
        <v>18764</v>
      </c>
    </row>
    <row r="3406" spans="1:5" x14ac:dyDescent="0.25">
      <c r="A3406" t="s">
        <v>1</v>
      </c>
      <c r="B3406" t="s">
        <v>19</v>
      </c>
      <c r="C3406" t="s">
        <v>23490</v>
      </c>
      <c r="D3406" t="str">
        <f>HYPERLINK("https://rhld.insurance.arkansas.gov/NPILookup?Npi=1386143717","1386143717")</f>
        <v>1386143717</v>
      </c>
      <c r="E3406" t="s">
        <v>12832</v>
      </c>
    </row>
    <row r="3407" spans="1:5" x14ac:dyDescent="0.25">
      <c r="A3407" t="s">
        <v>1</v>
      </c>
      <c r="B3407" t="s">
        <v>19</v>
      </c>
      <c r="C3407" t="s">
        <v>23490</v>
      </c>
      <c r="D3407" t="str">
        <f>HYPERLINK("https://rhld.insurance.arkansas.gov/NPILookup?Npi=1386143782","1386143782")</f>
        <v>1386143782</v>
      </c>
      <c r="E3407" t="s">
        <v>12833</v>
      </c>
    </row>
    <row r="3408" spans="1:5" x14ac:dyDescent="0.25">
      <c r="A3408" t="s">
        <v>1</v>
      </c>
      <c r="B3408" t="s">
        <v>19</v>
      </c>
      <c r="C3408" t="s">
        <v>23490</v>
      </c>
      <c r="D3408" t="str">
        <f>HYPERLINK("https://rhld.insurance.arkansas.gov/NPILookup?Npi=1386152163","1386152163")</f>
        <v>1386152163</v>
      </c>
      <c r="E3408" t="s">
        <v>8743</v>
      </c>
    </row>
    <row r="3409" spans="1:5" x14ac:dyDescent="0.25">
      <c r="A3409" t="s">
        <v>1</v>
      </c>
      <c r="B3409" t="s">
        <v>19</v>
      </c>
      <c r="C3409" t="s">
        <v>23490</v>
      </c>
      <c r="D3409" t="str">
        <f>HYPERLINK("https://rhld.insurance.arkansas.gov/NPILookup?Npi=1386157592","1386157592")</f>
        <v>1386157592</v>
      </c>
      <c r="E3409" t="s">
        <v>12834</v>
      </c>
    </row>
    <row r="3410" spans="1:5" x14ac:dyDescent="0.25">
      <c r="A3410" t="s">
        <v>1</v>
      </c>
      <c r="B3410" t="s">
        <v>19</v>
      </c>
      <c r="C3410" t="s">
        <v>23490</v>
      </c>
      <c r="D3410" t="str">
        <f>HYPERLINK("https://rhld.insurance.arkansas.gov/NPILookup?Npi=1386166411","1386166411")</f>
        <v>1386166411</v>
      </c>
      <c r="E3410" t="s">
        <v>9067</v>
      </c>
    </row>
    <row r="3411" spans="1:5" x14ac:dyDescent="0.25">
      <c r="A3411" t="s">
        <v>1</v>
      </c>
      <c r="B3411" t="s">
        <v>19</v>
      </c>
      <c r="C3411" t="s">
        <v>23490</v>
      </c>
      <c r="D3411" t="str">
        <f>HYPERLINK("https://rhld.insurance.arkansas.gov/NPILookup?Npi=1386169175","1386169175")</f>
        <v>1386169175</v>
      </c>
      <c r="E3411" t="s">
        <v>10882</v>
      </c>
    </row>
    <row r="3412" spans="1:5" x14ac:dyDescent="0.25">
      <c r="A3412" t="s">
        <v>1</v>
      </c>
      <c r="B3412" t="s">
        <v>19</v>
      </c>
      <c r="C3412" t="s">
        <v>23490</v>
      </c>
      <c r="D3412" t="str">
        <f>HYPERLINK("https://rhld.insurance.arkansas.gov/NPILookup?Npi=1386180453","1386180453")</f>
        <v>1386180453</v>
      </c>
      <c r="E3412" t="s">
        <v>10883</v>
      </c>
    </row>
    <row r="3413" spans="1:5" x14ac:dyDescent="0.25">
      <c r="A3413" t="s">
        <v>1</v>
      </c>
      <c r="B3413" t="s">
        <v>19</v>
      </c>
      <c r="C3413" t="s">
        <v>23490</v>
      </c>
      <c r="D3413" t="str">
        <f>HYPERLINK("https://rhld.insurance.arkansas.gov/NPILookup?Npi=1386180610","1386180610")</f>
        <v>1386180610</v>
      </c>
      <c r="E3413" t="s">
        <v>10884</v>
      </c>
    </row>
    <row r="3414" spans="1:5" x14ac:dyDescent="0.25">
      <c r="A3414" t="s">
        <v>1</v>
      </c>
      <c r="B3414" t="s">
        <v>19</v>
      </c>
      <c r="C3414" t="s">
        <v>23490</v>
      </c>
      <c r="D3414" t="str">
        <f>HYPERLINK("https://rhld.insurance.arkansas.gov/NPILookup?Npi=1386184976","1386184976")</f>
        <v>1386184976</v>
      </c>
      <c r="E3414" t="s">
        <v>12835</v>
      </c>
    </row>
    <row r="3415" spans="1:5" x14ac:dyDescent="0.25">
      <c r="A3415" t="s">
        <v>1</v>
      </c>
      <c r="B3415" t="s">
        <v>19</v>
      </c>
      <c r="C3415" t="s">
        <v>23490</v>
      </c>
      <c r="D3415" t="str">
        <f>HYPERLINK("https://rhld.insurance.arkansas.gov/NPILookup?Npi=1386203321","1386203321")</f>
        <v>1386203321</v>
      </c>
      <c r="E3415" t="s">
        <v>15060</v>
      </c>
    </row>
    <row r="3416" spans="1:5" x14ac:dyDescent="0.25">
      <c r="A3416" t="s">
        <v>1</v>
      </c>
      <c r="B3416" t="s">
        <v>19</v>
      </c>
      <c r="C3416" t="s">
        <v>23490</v>
      </c>
      <c r="D3416" t="str">
        <f>HYPERLINK("https://rhld.insurance.arkansas.gov/NPILookup?Npi=1386205334","1386205334")</f>
        <v>1386205334</v>
      </c>
      <c r="E3416" t="s">
        <v>19679</v>
      </c>
    </row>
    <row r="3417" spans="1:5" x14ac:dyDescent="0.25">
      <c r="A3417" t="s">
        <v>1</v>
      </c>
      <c r="B3417" t="s">
        <v>19</v>
      </c>
      <c r="C3417" t="s">
        <v>23490</v>
      </c>
      <c r="D3417" t="str">
        <f>HYPERLINK("https://rhld.insurance.arkansas.gov/NPILookup?Npi=1386209534","1386209534")</f>
        <v>1386209534</v>
      </c>
      <c r="E3417" t="s">
        <v>19680</v>
      </c>
    </row>
    <row r="3418" spans="1:5" x14ac:dyDescent="0.25">
      <c r="A3418" t="s">
        <v>1</v>
      </c>
      <c r="B3418" t="s">
        <v>19</v>
      </c>
      <c r="C3418" t="s">
        <v>23490</v>
      </c>
      <c r="D3418" t="str">
        <f>HYPERLINK("https://rhld.insurance.arkansas.gov/NPILookup?Npi=1386216109","1386216109")</f>
        <v>1386216109</v>
      </c>
      <c r="E3418" t="s">
        <v>18765</v>
      </c>
    </row>
    <row r="3419" spans="1:5" x14ac:dyDescent="0.25">
      <c r="A3419" t="s">
        <v>1</v>
      </c>
      <c r="B3419" t="s">
        <v>19</v>
      </c>
      <c r="C3419" t="s">
        <v>23490</v>
      </c>
      <c r="D3419" t="str">
        <f>HYPERLINK("https://rhld.insurance.arkansas.gov/NPILookup?Npi=1386216455","1386216455")</f>
        <v>1386216455</v>
      </c>
      <c r="E3419" t="s">
        <v>19681</v>
      </c>
    </row>
    <row r="3420" spans="1:5" x14ac:dyDescent="0.25">
      <c r="A3420" t="s">
        <v>1</v>
      </c>
      <c r="B3420" t="s">
        <v>19</v>
      </c>
      <c r="C3420" t="s">
        <v>23490</v>
      </c>
      <c r="D3420" t="str">
        <f>HYPERLINK("https://rhld.insurance.arkansas.gov/NPILookup?Npi=1386230449","1386230449")</f>
        <v>1386230449</v>
      </c>
      <c r="E3420" t="s">
        <v>19682</v>
      </c>
    </row>
    <row r="3421" spans="1:5" x14ac:dyDescent="0.25">
      <c r="A3421" t="s">
        <v>1</v>
      </c>
      <c r="B3421" t="s">
        <v>19</v>
      </c>
      <c r="C3421" t="s">
        <v>23490</v>
      </c>
      <c r="D3421" t="str">
        <f>HYPERLINK("https://rhld.insurance.arkansas.gov/NPILookup?Npi=1386242899","1386242899")</f>
        <v>1386242899</v>
      </c>
      <c r="E3421" t="s">
        <v>22928</v>
      </c>
    </row>
    <row r="3422" spans="1:5" x14ac:dyDescent="0.25">
      <c r="A3422" t="s">
        <v>1</v>
      </c>
      <c r="B3422" t="s">
        <v>19</v>
      </c>
      <c r="C3422" t="s">
        <v>23490</v>
      </c>
      <c r="D3422" t="str">
        <f>HYPERLINK("https://rhld.insurance.arkansas.gov/NPILookup?Npi=1386257855","1386257855")</f>
        <v>1386257855</v>
      </c>
      <c r="E3422" t="s">
        <v>17424</v>
      </c>
    </row>
    <row r="3423" spans="1:5" x14ac:dyDescent="0.25">
      <c r="A3423" t="s">
        <v>1</v>
      </c>
      <c r="B3423" t="s">
        <v>19</v>
      </c>
      <c r="C3423" t="s">
        <v>23490</v>
      </c>
      <c r="D3423" t="str">
        <f>HYPERLINK("https://rhld.insurance.arkansas.gov/NPILookup?Npi=1386279032","1386279032")</f>
        <v>1386279032</v>
      </c>
      <c r="E3423" t="s">
        <v>17971</v>
      </c>
    </row>
    <row r="3424" spans="1:5" x14ac:dyDescent="0.25">
      <c r="A3424" t="s">
        <v>1</v>
      </c>
      <c r="B3424" t="s">
        <v>19</v>
      </c>
      <c r="C3424" t="s">
        <v>23490</v>
      </c>
      <c r="D3424" t="str">
        <f>HYPERLINK("https://rhld.insurance.arkansas.gov/NPILookup?Npi=1386282846","1386282846")</f>
        <v>1386282846</v>
      </c>
      <c r="E3424" t="s">
        <v>16943</v>
      </c>
    </row>
    <row r="3425" spans="1:5" x14ac:dyDescent="0.25">
      <c r="A3425" t="s">
        <v>1</v>
      </c>
      <c r="B3425" t="s">
        <v>19</v>
      </c>
      <c r="C3425" t="s">
        <v>23490</v>
      </c>
      <c r="D3425" t="str">
        <f>HYPERLINK("https://rhld.insurance.arkansas.gov/NPILookup?Npi=1386291656","1386291656")</f>
        <v>1386291656</v>
      </c>
      <c r="E3425" t="s">
        <v>19683</v>
      </c>
    </row>
    <row r="3426" spans="1:5" x14ac:dyDescent="0.25">
      <c r="A3426" t="s">
        <v>1</v>
      </c>
      <c r="B3426" t="s">
        <v>19</v>
      </c>
      <c r="C3426" t="s">
        <v>23490</v>
      </c>
      <c r="D3426" t="str">
        <f>HYPERLINK("https://rhld.insurance.arkansas.gov/NPILookup?Npi=1386296838","1386296838")</f>
        <v>1386296838</v>
      </c>
      <c r="E3426" t="s">
        <v>19684</v>
      </c>
    </row>
    <row r="3427" spans="1:5" x14ac:dyDescent="0.25">
      <c r="A3427" t="s">
        <v>1</v>
      </c>
      <c r="B3427" t="s">
        <v>19</v>
      </c>
      <c r="C3427" t="s">
        <v>23490</v>
      </c>
      <c r="D3427" t="str">
        <f>HYPERLINK("https://rhld.insurance.arkansas.gov/NPILookup?Npi=1386299584","1386299584")</f>
        <v>1386299584</v>
      </c>
      <c r="E3427" t="s">
        <v>18766</v>
      </c>
    </row>
    <row r="3428" spans="1:5" x14ac:dyDescent="0.25">
      <c r="A3428" t="s">
        <v>1</v>
      </c>
      <c r="B3428" t="s">
        <v>19</v>
      </c>
      <c r="C3428" t="s">
        <v>23490</v>
      </c>
      <c r="D3428" t="str">
        <f>HYPERLINK("https://rhld.insurance.arkansas.gov/NPILookup?Npi=1386307064","1386307064")</f>
        <v>1386307064</v>
      </c>
      <c r="E3428" t="s">
        <v>19685</v>
      </c>
    </row>
    <row r="3429" spans="1:5" x14ac:dyDescent="0.25">
      <c r="A3429" t="s">
        <v>1</v>
      </c>
      <c r="B3429" t="s">
        <v>19</v>
      </c>
      <c r="C3429" t="s">
        <v>23490</v>
      </c>
      <c r="D3429" t="str">
        <f>HYPERLINK("https://rhld.insurance.arkansas.gov/NPILookup?Npi=1386397651","1386397651")</f>
        <v>1386397651</v>
      </c>
      <c r="E3429" t="s">
        <v>19686</v>
      </c>
    </row>
    <row r="3430" spans="1:5" x14ac:dyDescent="0.25">
      <c r="A3430" t="s">
        <v>1</v>
      </c>
      <c r="B3430" t="s">
        <v>19</v>
      </c>
      <c r="C3430" t="s">
        <v>23490</v>
      </c>
      <c r="D3430" t="str">
        <f>HYPERLINK("https://rhld.insurance.arkansas.gov/NPILookup?Npi=1386398014","1386398014")</f>
        <v>1386398014</v>
      </c>
      <c r="E3430" t="s">
        <v>19687</v>
      </c>
    </row>
    <row r="3431" spans="1:5" x14ac:dyDescent="0.25">
      <c r="A3431" t="s">
        <v>1</v>
      </c>
      <c r="B3431" t="s">
        <v>19</v>
      </c>
      <c r="C3431" t="s">
        <v>23490</v>
      </c>
      <c r="D3431" t="str">
        <f>HYPERLINK("https://rhld.insurance.arkansas.gov/NPILookup?Npi=1386601011","1386601011")</f>
        <v>1386601011</v>
      </c>
      <c r="E3431" t="s">
        <v>1369</v>
      </c>
    </row>
    <row r="3432" spans="1:5" x14ac:dyDescent="0.25">
      <c r="A3432" t="s">
        <v>1</v>
      </c>
      <c r="B3432" t="s">
        <v>19</v>
      </c>
      <c r="C3432" t="s">
        <v>23490</v>
      </c>
      <c r="D3432" t="str">
        <f>HYPERLINK("https://rhld.insurance.arkansas.gov/NPILookup?Npi=1386605475","1386605475")</f>
        <v>1386605475</v>
      </c>
      <c r="E3432" t="s">
        <v>10885</v>
      </c>
    </row>
    <row r="3433" spans="1:5" x14ac:dyDescent="0.25">
      <c r="A3433" t="s">
        <v>1</v>
      </c>
      <c r="B3433" t="s">
        <v>19</v>
      </c>
      <c r="C3433" t="s">
        <v>23490</v>
      </c>
      <c r="D3433" t="str">
        <f>HYPERLINK("https://rhld.insurance.arkansas.gov/NPILookup?Npi=1386605491","1386605491")</f>
        <v>1386605491</v>
      </c>
      <c r="E3433" t="s">
        <v>1370</v>
      </c>
    </row>
    <row r="3434" spans="1:5" x14ac:dyDescent="0.25">
      <c r="A3434" t="s">
        <v>1</v>
      </c>
      <c r="B3434" t="s">
        <v>19</v>
      </c>
      <c r="C3434" t="s">
        <v>23490</v>
      </c>
      <c r="D3434" t="str">
        <f>HYPERLINK("https://rhld.insurance.arkansas.gov/NPILookup?Npi=1386609790","1386609790")</f>
        <v>1386609790</v>
      </c>
      <c r="E3434" t="s">
        <v>1371</v>
      </c>
    </row>
    <row r="3435" spans="1:5" x14ac:dyDescent="0.25">
      <c r="A3435" t="s">
        <v>1</v>
      </c>
      <c r="B3435" t="s">
        <v>19</v>
      </c>
      <c r="C3435" t="s">
        <v>23490</v>
      </c>
      <c r="D3435" t="str">
        <f>HYPERLINK("https://rhld.insurance.arkansas.gov/NPILookup?Npi=1386613503","1386613503")</f>
        <v>1386613503</v>
      </c>
      <c r="E3435" t="s">
        <v>1372</v>
      </c>
    </row>
    <row r="3436" spans="1:5" x14ac:dyDescent="0.25">
      <c r="A3436" t="s">
        <v>1</v>
      </c>
      <c r="B3436" t="s">
        <v>19</v>
      </c>
      <c r="C3436" t="s">
        <v>23490</v>
      </c>
      <c r="D3436" t="str">
        <f>HYPERLINK("https://rhld.insurance.arkansas.gov/NPILookup?Npi=1386614097","1386614097")</f>
        <v>1386614097</v>
      </c>
      <c r="E3436" t="s">
        <v>1373</v>
      </c>
    </row>
    <row r="3437" spans="1:5" x14ac:dyDescent="0.25">
      <c r="A3437" t="s">
        <v>1</v>
      </c>
      <c r="B3437" t="s">
        <v>19</v>
      </c>
      <c r="C3437" t="s">
        <v>23490</v>
      </c>
      <c r="D3437" t="str">
        <f>HYPERLINK("https://rhld.insurance.arkansas.gov/NPILookup?Npi=1386622827","1386622827")</f>
        <v>1386622827</v>
      </c>
      <c r="E3437" t="s">
        <v>1374</v>
      </c>
    </row>
    <row r="3438" spans="1:5" x14ac:dyDescent="0.25">
      <c r="A3438" t="s">
        <v>1</v>
      </c>
      <c r="B3438" t="s">
        <v>19</v>
      </c>
      <c r="C3438" t="s">
        <v>23490</v>
      </c>
      <c r="D3438" t="str">
        <f>HYPERLINK("https://rhld.insurance.arkansas.gov/NPILookup?Npi=1386623049","1386623049")</f>
        <v>1386623049</v>
      </c>
      <c r="E3438" t="s">
        <v>10886</v>
      </c>
    </row>
    <row r="3439" spans="1:5" x14ac:dyDescent="0.25">
      <c r="A3439" t="s">
        <v>1</v>
      </c>
      <c r="B3439" t="s">
        <v>19</v>
      </c>
      <c r="C3439" t="s">
        <v>23490</v>
      </c>
      <c r="D3439" t="str">
        <f>HYPERLINK("https://rhld.insurance.arkansas.gov/NPILookup?Npi=1386633485","1386633485")</f>
        <v>1386633485</v>
      </c>
      <c r="E3439" t="s">
        <v>1375</v>
      </c>
    </row>
    <row r="3440" spans="1:5" x14ac:dyDescent="0.25">
      <c r="A3440" t="s">
        <v>1</v>
      </c>
      <c r="B3440" t="s">
        <v>19</v>
      </c>
      <c r="C3440" t="s">
        <v>23490</v>
      </c>
      <c r="D3440" t="str">
        <f>HYPERLINK("https://rhld.insurance.arkansas.gov/NPILookup?Npi=1386633691","1386633691")</f>
        <v>1386633691</v>
      </c>
      <c r="E3440" t="s">
        <v>1376</v>
      </c>
    </row>
    <row r="3441" spans="1:5" x14ac:dyDescent="0.25">
      <c r="A3441" t="s">
        <v>1</v>
      </c>
      <c r="B3441" t="s">
        <v>19</v>
      </c>
      <c r="C3441" t="s">
        <v>23490</v>
      </c>
      <c r="D3441" t="str">
        <f>HYPERLINK("https://rhld.insurance.arkansas.gov/NPILookup?Npi=1386634905","1386634905")</f>
        <v>1386634905</v>
      </c>
      <c r="E3441" t="s">
        <v>1377</v>
      </c>
    </row>
    <row r="3442" spans="1:5" x14ac:dyDescent="0.25">
      <c r="A3442" t="s">
        <v>1</v>
      </c>
      <c r="B3442" t="s">
        <v>19</v>
      </c>
      <c r="C3442" t="s">
        <v>23490</v>
      </c>
      <c r="D3442" t="str">
        <f>HYPERLINK("https://rhld.insurance.arkansas.gov/NPILookup?Npi=1386637221","1386637221")</f>
        <v>1386637221</v>
      </c>
      <c r="E3442" t="s">
        <v>1378</v>
      </c>
    </row>
    <row r="3443" spans="1:5" x14ac:dyDescent="0.25">
      <c r="A3443" t="s">
        <v>1</v>
      </c>
      <c r="B3443" t="s">
        <v>19</v>
      </c>
      <c r="C3443" t="s">
        <v>23490</v>
      </c>
      <c r="D3443" t="str">
        <f>HYPERLINK("https://rhld.insurance.arkansas.gov/NPILookup?Npi=1386639375","1386639375")</f>
        <v>1386639375</v>
      </c>
      <c r="E3443" t="s">
        <v>1379</v>
      </c>
    </row>
    <row r="3444" spans="1:5" x14ac:dyDescent="0.25">
      <c r="A3444" t="s">
        <v>1</v>
      </c>
      <c r="B3444" t="s">
        <v>19</v>
      </c>
      <c r="C3444" t="s">
        <v>23490</v>
      </c>
      <c r="D3444" t="str">
        <f>HYPERLINK("https://rhld.insurance.arkansas.gov/NPILookup?Npi=1386640175","1386640175")</f>
        <v>1386640175</v>
      </c>
      <c r="E3444" t="s">
        <v>19688</v>
      </c>
    </row>
    <row r="3445" spans="1:5" x14ac:dyDescent="0.25">
      <c r="A3445" t="s">
        <v>1</v>
      </c>
      <c r="B3445" t="s">
        <v>19</v>
      </c>
      <c r="C3445" t="s">
        <v>23490</v>
      </c>
      <c r="D3445" t="str">
        <f>HYPERLINK("https://rhld.insurance.arkansas.gov/NPILookup?Npi=1386642429","1386642429")</f>
        <v>1386642429</v>
      </c>
      <c r="E3445" t="s">
        <v>10887</v>
      </c>
    </row>
    <row r="3446" spans="1:5" x14ac:dyDescent="0.25">
      <c r="A3446" t="s">
        <v>1</v>
      </c>
      <c r="B3446" t="s">
        <v>19</v>
      </c>
      <c r="C3446" t="s">
        <v>23490</v>
      </c>
      <c r="D3446" t="str">
        <f>HYPERLINK("https://rhld.insurance.arkansas.gov/NPILookup?Npi=1386662245","1386662245")</f>
        <v>1386662245</v>
      </c>
      <c r="E3446" t="s">
        <v>15061</v>
      </c>
    </row>
    <row r="3447" spans="1:5" x14ac:dyDescent="0.25">
      <c r="A3447" t="s">
        <v>1</v>
      </c>
      <c r="B3447" t="s">
        <v>19</v>
      </c>
      <c r="C3447" t="s">
        <v>23490</v>
      </c>
      <c r="D3447" t="str">
        <f>HYPERLINK("https://rhld.insurance.arkansas.gov/NPILookup?Npi=1386662765","1386662765")</f>
        <v>1386662765</v>
      </c>
      <c r="E3447" t="s">
        <v>1380</v>
      </c>
    </row>
    <row r="3448" spans="1:5" x14ac:dyDescent="0.25">
      <c r="A3448" t="s">
        <v>1</v>
      </c>
      <c r="B3448" t="s">
        <v>19</v>
      </c>
      <c r="C3448" t="s">
        <v>23490</v>
      </c>
      <c r="D3448" t="str">
        <f>HYPERLINK("https://rhld.insurance.arkansas.gov/NPILookup?Npi=1386670917","1386670917")</f>
        <v>1386670917</v>
      </c>
      <c r="E3448" t="s">
        <v>1382</v>
      </c>
    </row>
    <row r="3449" spans="1:5" x14ac:dyDescent="0.25">
      <c r="A3449" t="s">
        <v>1</v>
      </c>
      <c r="B3449" t="s">
        <v>19</v>
      </c>
      <c r="C3449" t="s">
        <v>23490</v>
      </c>
      <c r="D3449" t="str">
        <f>HYPERLINK("https://rhld.insurance.arkansas.gov/NPILookup?Npi=1386672392","1386672392")</f>
        <v>1386672392</v>
      </c>
      <c r="E3449" t="s">
        <v>1383</v>
      </c>
    </row>
    <row r="3450" spans="1:5" x14ac:dyDescent="0.25">
      <c r="A3450" t="s">
        <v>1</v>
      </c>
      <c r="B3450" t="s">
        <v>19</v>
      </c>
      <c r="C3450" t="s">
        <v>23490</v>
      </c>
      <c r="D3450" t="str">
        <f>HYPERLINK("https://rhld.insurance.arkansas.gov/NPILookup?Npi=1386679751","1386679751")</f>
        <v>1386679751</v>
      </c>
      <c r="E3450" t="s">
        <v>16944</v>
      </c>
    </row>
    <row r="3451" spans="1:5" x14ac:dyDescent="0.25">
      <c r="A3451" t="s">
        <v>1</v>
      </c>
      <c r="B3451" t="s">
        <v>19</v>
      </c>
      <c r="C3451" t="s">
        <v>23490</v>
      </c>
      <c r="D3451" t="str">
        <f>HYPERLINK("https://rhld.insurance.arkansas.gov/NPILookup?Npi=1386679843","1386679843")</f>
        <v>1386679843</v>
      </c>
      <c r="E3451" t="s">
        <v>1384</v>
      </c>
    </row>
    <row r="3452" spans="1:5" x14ac:dyDescent="0.25">
      <c r="A3452" t="s">
        <v>1</v>
      </c>
      <c r="B3452" t="s">
        <v>19</v>
      </c>
      <c r="C3452" t="s">
        <v>23490</v>
      </c>
      <c r="D3452" t="str">
        <f>HYPERLINK("https://rhld.insurance.arkansas.gov/NPILookup?Npi=1386681328","1386681328")</f>
        <v>1386681328</v>
      </c>
      <c r="E3452" t="s">
        <v>1385</v>
      </c>
    </row>
    <row r="3453" spans="1:5" x14ac:dyDescent="0.25">
      <c r="A3453" t="s">
        <v>1</v>
      </c>
      <c r="B3453" t="s">
        <v>19</v>
      </c>
      <c r="C3453" t="s">
        <v>23490</v>
      </c>
      <c r="D3453" t="str">
        <f>HYPERLINK("https://rhld.insurance.arkansas.gov/NPILookup?Npi=1386713808","1386713808")</f>
        <v>1386713808</v>
      </c>
      <c r="E3453" t="s">
        <v>1387</v>
      </c>
    </row>
    <row r="3454" spans="1:5" x14ac:dyDescent="0.25">
      <c r="A3454" t="s">
        <v>1</v>
      </c>
      <c r="B3454" t="s">
        <v>19</v>
      </c>
      <c r="C3454" t="s">
        <v>23490</v>
      </c>
      <c r="D3454" t="str">
        <f>HYPERLINK("https://rhld.insurance.arkansas.gov/NPILookup?Npi=1386744274","1386744274")</f>
        <v>1386744274</v>
      </c>
      <c r="E3454" t="s">
        <v>1388</v>
      </c>
    </row>
    <row r="3455" spans="1:5" x14ac:dyDescent="0.25">
      <c r="A3455" t="s">
        <v>1</v>
      </c>
      <c r="B3455" t="s">
        <v>19</v>
      </c>
      <c r="C3455" t="s">
        <v>23490</v>
      </c>
      <c r="D3455" t="str">
        <f>HYPERLINK("https://rhld.insurance.arkansas.gov/NPILookup?Npi=1386744811","1386744811")</f>
        <v>1386744811</v>
      </c>
      <c r="E3455" t="s">
        <v>15062</v>
      </c>
    </row>
    <row r="3456" spans="1:5" x14ac:dyDescent="0.25">
      <c r="A3456" t="s">
        <v>1</v>
      </c>
      <c r="B3456" t="s">
        <v>19</v>
      </c>
      <c r="C3456" t="s">
        <v>23490</v>
      </c>
      <c r="D3456" t="str">
        <f>HYPERLINK("https://rhld.insurance.arkansas.gov/NPILookup?Npi=1386751618","1386751618")</f>
        <v>1386751618</v>
      </c>
      <c r="E3456" t="s">
        <v>15063</v>
      </c>
    </row>
    <row r="3457" spans="1:5" x14ac:dyDescent="0.25">
      <c r="A3457" t="s">
        <v>1</v>
      </c>
      <c r="B3457" t="s">
        <v>19</v>
      </c>
      <c r="C3457" t="s">
        <v>23490</v>
      </c>
      <c r="D3457" t="str">
        <f>HYPERLINK("https://rhld.insurance.arkansas.gov/NPILookup?Npi=1386781151","1386781151")</f>
        <v>1386781151</v>
      </c>
      <c r="E3457" t="s">
        <v>15064</v>
      </c>
    </row>
    <row r="3458" spans="1:5" x14ac:dyDescent="0.25">
      <c r="A3458" t="s">
        <v>1</v>
      </c>
      <c r="B3458" t="s">
        <v>19</v>
      </c>
      <c r="C3458" t="s">
        <v>23490</v>
      </c>
      <c r="D3458" t="str">
        <f>HYPERLINK("https://rhld.insurance.arkansas.gov/NPILookup?Npi=1386784460","1386784460")</f>
        <v>1386784460</v>
      </c>
      <c r="E3458" t="s">
        <v>15065</v>
      </c>
    </row>
    <row r="3459" spans="1:5" x14ac:dyDescent="0.25">
      <c r="A3459" t="s">
        <v>1</v>
      </c>
      <c r="B3459" t="s">
        <v>19</v>
      </c>
      <c r="C3459" t="s">
        <v>23490</v>
      </c>
      <c r="D3459" t="str">
        <f>HYPERLINK("https://rhld.insurance.arkansas.gov/NPILookup?Npi=1386797140","1386797140")</f>
        <v>1386797140</v>
      </c>
      <c r="E3459" t="s">
        <v>1389</v>
      </c>
    </row>
    <row r="3460" spans="1:5" x14ac:dyDescent="0.25">
      <c r="A3460" t="s">
        <v>1</v>
      </c>
      <c r="B3460" t="s">
        <v>19</v>
      </c>
      <c r="C3460" t="s">
        <v>23490</v>
      </c>
      <c r="D3460" t="str">
        <f>HYPERLINK("https://rhld.insurance.arkansas.gov/NPILookup?Npi=1386819654","1386819654")</f>
        <v>1386819654</v>
      </c>
      <c r="E3460" t="s">
        <v>1390</v>
      </c>
    </row>
    <row r="3461" spans="1:5" x14ac:dyDescent="0.25">
      <c r="A3461" t="s">
        <v>1</v>
      </c>
      <c r="B3461" t="s">
        <v>19</v>
      </c>
      <c r="C3461" t="s">
        <v>23490</v>
      </c>
      <c r="D3461" t="str">
        <f>HYPERLINK("https://rhld.insurance.arkansas.gov/NPILookup?Npi=1386820744","1386820744")</f>
        <v>1386820744</v>
      </c>
      <c r="E3461" t="s">
        <v>1391</v>
      </c>
    </row>
    <row r="3462" spans="1:5" x14ac:dyDescent="0.25">
      <c r="A3462" t="s">
        <v>1</v>
      </c>
      <c r="B3462" t="s">
        <v>19</v>
      </c>
      <c r="C3462" t="s">
        <v>23490</v>
      </c>
      <c r="D3462" t="str">
        <f>HYPERLINK("https://rhld.insurance.arkansas.gov/NPILookup?Npi=1386872646","1386872646")</f>
        <v>1386872646</v>
      </c>
      <c r="E3462" t="s">
        <v>1392</v>
      </c>
    </row>
    <row r="3463" spans="1:5" x14ac:dyDescent="0.25">
      <c r="A3463" t="s">
        <v>1</v>
      </c>
      <c r="B3463" t="s">
        <v>19</v>
      </c>
      <c r="C3463" t="s">
        <v>23490</v>
      </c>
      <c r="D3463" t="str">
        <f>HYPERLINK("https://rhld.insurance.arkansas.gov/NPILookup?Npi=1386887842","1386887842")</f>
        <v>1386887842</v>
      </c>
      <c r="E3463" t="s">
        <v>1393</v>
      </c>
    </row>
    <row r="3464" spans="1:5" x14ac:dyDescent="0.25">
      <c r="A3464" t="s">
        <v>1</v>
      </c>
      <c r="B3464" t="s">
        <v>19</v>
      </c>
      <c r="C3464" t="s">
        <v>23490</v>
      </c>
      <c r="D3464" t="str">
        <f>HYPERLINK("https://rhld.insurance.arkansas.gov/NPILookup?Npi=1386895191","1386895191")</f>
        <v>1386895191</v>
      </c>
      <c r="E3464" t="s">
        <v>10888</v>
      </c>
    </row>
    <row r="3465" spans="1:5" x14ac:dyDescent="0.25">
      <c r="A3465" t="s">
        <v>1</v>
      </c>
      <c r="B3465" t="s">
        <v>19</v>
      </c>
      <c r="C3465" t="s">
        <v>23490</v>
      </c>
      <c r="D3465" t="str">
        <f>HYPERLINK("https://rhld.insurance.arkansas.gov/NPILookup?Npi=1386964708","1386964708")</f>
        <v>1386964708</v>
      </c>
      <c r="E3465" t="s">
        <v>1394</v>
      </c>
    </row>
    <row r="3466" spans="1:5" x14ac:dyDescent="0.25">
      <c r="A3466" t="s">
        <v>1</v>
      </c>
      <c r="B3466" t="s">
        <v>19</v>
      </c>
      <c r="C3466" t="s">
        <v>23490</v>
      </c>
      <c r="D3466" t="str">
        <f>HYPERLINK("https://rhld.insurance.arkansas.gov/NPILookup?Npi=1386976850","1386976850")</f>
        <v>1386976850</v>
      </c>
      <c r="E3466" t="s">
        <v>17972</v>
      </c>
    </row>
    <row r="3467" spans="1:5" x14ac:dyDescent="0.25">
      <c r="A3467" t="s">
        <v>1</v>
      </c>
      <c r="B3467" t="s">
        <v>19</v>
      </c>
      <c r="C3467" t="s">
        <v>23490</v>
      </c>
      <c r="D3467" t="str">
        <f>HYPERLINK("https://rhld.insurance.arkansas.gov/NPILookup?Npi=1386983468","1386983468")</f>
        <v>1386983468</v>
      </c>
      <c r="E3467" t="s">
        <v>1395</v>
      </c>
    </row>
    <row r="3468" spans="1:5" x14ac:dyDescent="0.25">
      <c r="A3468" t="s">
        <v>1</v>
      </c>
      <c r="B3468" t="s">
        <v>19</v>
      </c>
      <c r="C3468" t="s">
        <v>23490</v>
      </c>
      <c r="D3468" t="str">
        <f>HYPERLINK("https://rhld.insurance.arkansas.gov/NPILookup?Npi=1386986545","1386986545")</f>
        <v>1386986545</v>
      </c>
      <c r="E3468" t="s">
        <v>15066</v>
      </c>
    </row>
    <row r="3469" spans="1:5" x14ac:dyDescent="0.25">
      <c r="A3469" t="s">
        <v>1</v>
      </c>
      <c r="B3469" t="s">
        <v>19</v>
      </c>
      <c r="C3469" t="s">
        <v>23490</v>
      </c>
      <c r="D3469" t="str">
        <f>HYPERLINK("https://rhld.insurance.arkansas.gov/NPILookup?Npi=1386990299","1386990299")</f>
        <v>1386990299</v>
      </c>
      <c r="E3469" t="s">
        <v>8655</v>
      </c>
    </row>
    <row r="3470" spans="1:5" x14ac:dyDescent="0.25">
      <c r="A3470" t="s">
        <v>1</v>
      </c>
      <c r="B3470" t="s">
        <v>19</v>
      </c>
      <c r="C3470" t="s">
        <v>23490</v>
      </c>
      <c r="D3470" t="str">
        <f>HYPERLINK("https://rhld.insurance.arkansas.gov/NPILookup?Npi=1396005039","1396005039")</f>
        <v>1396005039</v>
      </c>
      <c r="E3470" t="s">
        <v>1396</v>
      </c>
    </row>
    <row r="3471" spans="1:5" x14ac:dyDescent="0.25">
      <c r="A3471" t="s">
        <v>1</v>
      </c>
      <c r="B3471" t="s">
        <v>19</v>
      </c>
      <c r="C3471" t="s">
        <v>23490</v>
      </c>
      <c r="D3471" t="str">
        <f>HYPERLINK("https://rhld.insurance.arkansas.gov/NPILookup?Npi=1396013363","1396013363")</f>
        <v>1396013363</v>
      </c>
      <c r="E3471" t="s">
        <v>10889</v>
      </c>
    </row>
    <row r="3472" spans="1:5" x14ac:dyDescent="0.25">
      <c r="A3472" t="s">
        <v>1</v>
      </c>
      <c r="B3472" t="s">
        <v>19</v>
      </c>
      <c r="C3472" t="s">
        <v>23490</v>
      </c>
      <c r="D3472" t="str">
        <f>HYPERLINK("https://rhld.insurance.arkansas.gov/NPILookup?Npi=1396036232","1396036232")</f>
        <v>1396036232</v>
      </c>
      <c r="E3472" t="s">
        <v>1397</v>
      </c>
    </row>
    <row r="3473" spans="1:5" x14ac:dyDescent="0.25">
      <c r="A3473" t="s">
        <v>1</v>
      </c>
      <c r="B3473" t="s">
        <v>19</v>
      </c>
      <c r="C3473" t="s">
        <v>23490</v>
      </c>
      <c r="D3473" t="str">
        <f>HYPERLINK("https://rhld.insurance.arkansas.gov/NPILookup?Npi=1396041901","1396041901")</f>
        <v>1396041901</v>
      </c>
      <c r="E3473" t="s">
        <v>1398</v>
      </c>
    </row>
    <row r="3474" spans="1:5" x14ac:dyDescent="0.25">
      <c r="A3474" t="s">
        <v>1</v>
      </c>
      <c r="B3474" t="s">
        <v>19</v>
      </c>
      <c r="C3474" t="s">
        <v>23490</v>
      </c>
      <c r="D3474" t="str">
        <f>HYPERLINK("https://rhld.insurance.arkansas.gov/NPILookup?Npi=1396052056","1396052056")</f>
        <v>1396052056</v>
      </c>
      <c r="E3474" t="s">
        <v>8656</v>
      </c>
    </row>
    <row r="3475" spans="1:5" x14ac:dyDescent="0.25">
      <c r="A3475" t="s">
        <v>1</v>
      </c>
      <c r="B3475" t="s">
        <v>19</v>
      </c>
      <c r="C3475" t="s">
        <v>23490</v>
      </c>
      <c r="D3475" t="str">
        <f>HYPERLINK("https://rhld.insurance.arkansas.gov/NPILookup?Npi=1396059325","1396059325")</f>
        <v>1396059325</v>
      </c>
      <c r="E3475" t="s">
        <v>15067</v>
      </c>
    </row>
    <row r="3476" spans="1:5" x14ac:dyDescent="0.25">
      <c r="A3476" t="s">
        <v>1</v>
      </c>
      <c r="B3476" t="s">
        <v>19</v>
      </c>
      <c r="C3476" t="s">
        <v>23490</v>
      </c>
      <c r="D3476" t="str">
        <f>HYPERLINK("https://rhld.insurance.arkansas.gov/NPILookup?Npi=1396060190","1396060190")</f>
        <v>1396060190</v>
      </c>
      <c r="E3476" t="s">
        <v>1399</v>
      </c>
    </row>
    <row r="3477" spans="1:5" x14ac:dyDescent="0.25">
      <c r="A3477" t="s">
        <v>1</v>
      </c>
      <c r="B3477" t="s">
        <v>19</v>
      </c>
      <c r="C3477" t="s">
        <v>23490</v>
      </c>
      <c r="D3477" t="str">
        <f>HYPERLINK("https://rhld.insurance.arkansas.gov/NPILookup?Npi=1396077137","1396077137")</f>
        <v>1396077137</v>
      </c>
      <c r="E3477" t="s">
        <v>12836</v>
      </c>
    </row>
    <row r="3478" spans="1:5" x14ac:dyDescent="0.25">
      <c r="A3478" t="s">
        <v>1</v>
      </c>
      <c r="B3478" t="s">
        <v>19</v>
      </c>
      <c r="C3478" t="s">
        <v>23490</v>
      </c>
      <c r="D3478" t="str">
        <f>HYPERLINK("https://rhld.insurance.arkansas.gov/NPILookup?Npi=1396094868","1396094868")</f>
        <v>1396094868</v>
      </c>
      <c r="E3478" t="s">
        <v>1400</v>
      </c>
    </row>
    <row r="3479" spans="1:5" x14ac:dyDescent="0.25">
      <c r="A3479" t="s">
        <v>1</v>
      </c>
      <c r="B3479" t="s">
        <v>19</v>
      </c>
      <c r="C3479" t="s">
        <v>23490</v>
      </c>
      <c r="D3479" t="str">
        <f>HYPERLINK("https://rhld.insurance.arkansas.gov/NPILookup?Npi=1396107751","1396107751")</f>
        <v>1396107751</v>
      </c>
      <c r="E3479" t="s">
        <v>15068</v>
      </c>
    </row>
    <row r="3480" spans="1:5" x14ac:dyDescent="0.25">
      <c r="A3480" t="s">
        <v>1</v>
      </c>
      <c r="B3480" t="s">
        <v>19</v>
      </c>
      <c r="C3480" t="s">
        <v>23490</v>
      </c>
      <c r="D3480" t="str">
        <f>HYPERLINK("https://rhld.insurance.arkansas.gov/NPILookup?Npi=1396117453","1396117453")</f>
        <v>1396117453</v>
      </c>
      <c r="E3480" t="s">
        <v>15069</v>
      </c>
    </row>
    <row r="3481" spans="1:5" x14ac:dyDescent="0.25">
      <c r="A3481" t="s">
        <v>1</v>
      </c>
      <c r="B3481" t="s">
        <v>19</v>
      </c>
      <c r="C3481" t="s">
        <v>23490</v>
      </c>
      <c r="D3481" t="str">
        <f>HYPERLINK("https://rhld.insurance.arkansas.gov/NPILookup?Npi=1396128336","1396128336")</f>
        <v>1396128336</v>
      </c>
      <c r="E3481" t="s">
        <v>19689</v>
      </c>
    </row>
    <row r="3482" spans="1:5" x14ac:dyDescent="0.25">
      <c r="A3482" t="s">
        <v>1</v>
      </c>
      <c r="B3482" t="s">
        <v>19</v>
      </c>
      <c r="C3482" t="s">
        <v>23490</v>
      </c>
      <c r="D3482" t="str">
        <f>HYPERLINK("https://rhld.insurance.arkansas.gov/NPILookup?Npi=1396130431","1396130431")</f>
        <v>1396130431</v>
      </c>
      <c r="E3482" t="s">
        <v>13515</v>
      </c>
    </row>
    <row r="3483" spans="1:5" x14ac:dyDescent="0.25">
      <c r="A3483" t="s">
        <v>1</v>
      </c>
      <c r="B3483" t="s">
        <v>19</v>
      </c>
      <c r="C3483" t="s">
        <v>23490</v>
      </c>
      <c r="D3483" t="str">
        <f>HYPERLINK("https://rhld.insurance.arkansas.gov/NPILookup?Npi=1396131447","1396131447")</f>
        <v>1396131447</v>
      </c>
      <c r="E3483" t="s">
        <v>15070</v>
      </c>
    </row>
    <row r="3484" spans="1:5" x14ac:dyDescent="0.25">
      <c r="A3484" t="s">
        <v>1</v>
      </c>
      <c r="B3484" t="s">
        <v>19</v>
      </c>
      <c r="C3484" t="s">
        <v>23490</v>
      </c>
      <c r="D3484" t="str">
        <f>HYPERLINK("https://rhld.insurance.arkansas.gov/NPILookup?Npi=1396155719","1396155719")</f>
        <v>1396155719</v>
      </c>
      <c r="E3484" t="s">
        <v>15071</v>
      </c>
    </row>
    <row r="3485" spans="1:5" x14ac:dyDescent="0.25">
      <c r="A3485" t="s">
        <v>1</v>
      </c>
      <c r="B3485" t="s">
        <v>19</v>
      </c>
      <c r="C3485" t="s">
        <v>23490</v>
      </c>
      <c r="D3485" t="str">
        <f>HYPERLINK("https://rhld.insurance.arkansas.gov/NPILookup?Npi=1396163499","1396163499")</f>
        <v>1396163499</v>
      </c>
      <c r="E3485" t="s">
        <v>10890</v>
      </c>
    </row>
    <row r="3486" spans="1:5" x14ac:dyDescent="0.25">
      <c r="A3486" t="s">
        <v>1</v>
      </c>
      <c r="B3486" t="s">
        <v>19</v>
      </c>
      <c r="C3486" t="s">
        <v>23490</v>
      </c>
      <c r="D3486" t="str">
        <f>HYPERLINK("https://rhld.insurance.arkansas.gov/NPILookup?Npi=1396185542","1396185542")</f>
        <v>1396185542</v>
      </c>
      <c r="E3486" t="s">
        <v>15072</v>
      </c>
    </row>
    <row r="3487" spans="1:5" x14ac:dyDescent="0.25">
      <c r="A3487" t="s">
        <v>1</v>
      </c>
      <c r="B3487" t="s">
        <v>19</v>
      </c>
      <c r="C3487" t="s">
        <v>23490</v>
      </c>
      <c r="D3487" t="str">
        <f>HYPERLINK("https://rhld.insurance.arkansas.gov/NPILookup?Npi=1396191136","1396191136")</f>
        <v>1396191136</v>
      </c>
      <c r="E3487" t="s">
        <v>8657</v>
      </c>
    </row>
    <row r="3488" spans="1:5" x14ac:dyDescent="0.25">
      <c r="A3488" t="s">
        <v>1</v>
      </c>
      <c r="B3488" t="s">
        <v>19</v>
      </c>
      <c r="C3488" t="s">
        <v>23490</v>
      </c>
      <c r="D3488" t="str">
        <f>HYPERLINK("https://rhld.insurance.arkansas.gov/NPILookup?Npi=1396200978","1396200978")</f>
        <v>1396200978</v>
      </c>
      <c r="E3488" t="s">
        <v>17973</v>
      </c>
    </row>
    <row r="3489" spans="1:5" x14ac:dyDescent="0.25">
      <c r="A3489" t="s">
        <v>1</v>
      </c>
      <c r="B3489" t="s">
        <v>19</v>
      </c>
      <c r="C3489" t="s">
        <v>23490</v>
      </c>
      <c r="D3489" t="str">
        <f>HYPERLINK("https://rhld.insurance.arkansas.gov/NPILookup?Npi=1396217634","1396217634")</f>
        <v>1396217634</v>
      </c>
      <c r="E3489" t="s">
        <v>19690</v>
      </c>
    </row>
    <row r="3490" spans="1:5" x14ac:dyDescent="0.25">
      <c r="A3490" t="s">
        <v>1</v>
      </c>
      <c r="B3490" t="s">
        <v>19</v>
      </c>
      <c r="C3490" t="s">
        <v>23490</v>
      </c>
      <c r="D3490" t="str">
        <f>HYPERLINK("https://rhld.insurance.arkansas.gov/NPILookup?Npi=1396230876","1396230876")</f>
        <v>1396230876</v>
      </c>
      <c r="E3490" t="s">
        <v>13516</v>
      </c>
    </row>
    <row r="3491" spans="1:5" x14ac:dyDescent="0.25">
      <c r="A3491" t="s">
        <v>1</v>
      </c>
      <c r="B3491" t="s">
        <v>19</v>
      </c>
      <c r="C3491" t="s">
        <v>23490</v>
      </c>
      <c r="D3491" t="str">
        <f>HYPERLINK("https://rhld.insurance.arkansas.gov/NPILookup?Npi=1396238598","1396238598")</f>
        <v>1396238598</v>
      </c>
      <c r="E3491" t="s">
        <v>19691</v>
      </c>
    </row>
    <row r="3492" spans="1:5" x14ac:dyDescent="0.25">
      <c r="A3492" t="s">
        <v>1</v>
      </c>
      <c r="B3492" t="s">
        <v>19</v>
      </c>
      <c r="C3492" t="s">
        <v>23490</v>
      </c>
      <c r="D3492" t="str">
        <f>HYPERLINK("https://rhld.insurance.arkansas.gov/NPILookup?Npi=1396252482","1396252482")</f>
        <v>1396252482</v>
      </c>
      <c r="E3492" t="s">
        <v>17974</v>
      </c>
    </row>
    <row r="3493" spans="1:5" x14ac:dyDescent="0.25">
      <c r="A3493" t="s">
        <v>1</v>
      </c>
      <c r="B3493" t="s">
        <v>19</v>
      </c>
      <c r="C3493" t="s">
        <v>23490</v>
      </c>
      <c r="D3493" t="str">
        <f>HYPERLINK("https://rhld.insurance.arkansas.gov/NPILookup?Npi=1396257150","1396257150")</f>
        <v>1396257150</v>
      </c>
      <c r="E3493" t="s">
        <v>12837</v>
      </c>
    </row>
    <row r="3494" spans="1:5" x14ac:dyDescent="0.25">
      <c r="A3494" t="s">
        <v>1</v>
      </c>
      <c r="B3494" t="s">
        <v>19</v>
      </c>
      <c r="C3494" t="s">
        <v>23490</v>
      </c>
      <c r="D3494" t="str">
        <f>HYPERLINK("https://rhld.insurance.arkansas.gov/NPILookup?Npi=1396272894","1396272894")</f>
        <v>1396272894</v>
      </c>
      <c r="E3494" t="s">
        <v>10891</v>
      </c>
    </row>
    <row r="3495" spans="1:5" x14ac:dyDescent="0.25">
      <c r="A3495" t="s">
        <v>1</v>
      </c>
      <c r="B3495" t="s">
        <v>19</v>
      </c>
      <c r="C3495" t="s">
        <v>23490</v>
      </c>
      <c r="D3495" t="str">
        <f>HYPERLINK("https://rhld.insurance.arkansas.gov/NPILookup?Npi=1396288411","1396288411")</f>
        <v>1396288411</v>
      </c>
      <c r="E3495" t="s">
        <v>10892</v>
      </c>
    </row>
    <row r="3496" spans="1:5" x14ac:dyDescent="0.25">
      <c r="A3496" t="s">
        <v>1</v>
      </c>
      <c r="B3496" t="s">
        <v>19</v>
      </c>
      <c r="C3496" t="s">
        <v>23490</v>
      </c>
      <c r="D3496" t="str">
        <f>HYPERLINK("https://rhld.insurance.arkansas.gov/NPILookup?Npi=1396299400","1396299400")</f>
        <v>1396299400</v>
      </c>
      <c r="E3496" t="s">
        <v>15073</v>
      </c>
    </row>
    <row r="3497" spans="1:5" x14ac:dyDescent="0.25">
      <c r="A3497" t="s">
        <v>1</v>
      </c>
      <c r="B3497" t="s">
        <v>19</v>
      </c>
      <c r="C3497" t="s">
        <v>23490</v>
      </c>
      <c r="D3497" t="str">
        <f>HYPERLINK("https://rhld.insurance.arkansas.gov/NPILookup?Npi=1396304697","1396304697")</f>
        <v>1396304697</v>
      </c>
      <c r="E3497" t="s">
        <v>17975</v>
      </c>
    </row>
    <row r="3498" spans="1:5" x14ac:dyDescent="0.25">
      <c r="A3498" t="s">
        <v>1</v>
      </c>
      <c r="B3498" t="s">
        <v>19</v>
      </c>
      <c r="C3498" t="s">
        <v>23490</v>
      </c>
      <c r="D3498" t="str">
        <f>HYPERLINK("https://rhld.insurance.arkansas.gov/NPILookup?Npi=1396314944","1396314944")</f>
        <v>1396314944</v>
      </c>
      <c r="E3498" t="s">
        <v>19692</v>
      </c>
    </row>
    <row r="3499" spans="1:5" x14ac:dyDescent="0.25">
      <c r="A3499" t="s">
        <v>1</v>
      </c>
      <c r="B3499" t="s">
        <v>19</v>
      </c>
      <c r="C3499" t="s">
        <v>23490</v>
      </c>
      <c r="D3499" t="str">
        <f>HYPERLINK("https://rhld.insurance.arkansas.gov/NPILookup?Npi=1396394060","1396394060")</f>
        <v>1396394060</v>
      </c>
      <c r="E3499" t="s">
        <v>15074</v>
      </c>
    </row>
    <row r="3500" spans="1:5" x14ac:dyDescent="0.25">
      <c r="A3500" t="s">
        <v>1</v>
      </c>
      <c r="B3500" t="s">
        <v>19</v>
      </c>
      <c r="C3500" t="s">
        <v>23490</v>
      </c>
      <c r="D3500" t="str">
        <f>HYPERLINK("https://rhld.insurance.arkansas.gov/NPILookup?Npi=1396402764","1396402764")</f>
        <v>1396402764</v>
      </c>
      <c r="E3500" t="s">
        <v>19693</v>
      </c>
    </row>
    <row r="3501" spans="1:5" x14ac:dyDescent="0.25">
      <c r="A3501" t="s">
        <v>1</v>
      </c>
      <c r="B3501" t="s">
        <v>19</v>
      </c>
      <c r="C3501" t="s">
        <v>23490</v>
      </c>
      <c r="D3501" t="str">
        <f>HYPERLINK("https://rhld.insurance.arkansas.gov/NPILookup?Npi=1396479093","1396479093")</f>
        <v>1396479093</v>
      </c>
      <c r="E3501" t="s">
        <v>21395</v>
      </c>
    </row>
    <row r="3502" spans="1:5" x14ac:dyDescent="0.25">
      <c r="A3502" t="s">
        <v>1</v>
      </c>
      <c r="B3502" t="s">
        <v>19</v>
      </c>
      <c r="C3502" t="s">
        <v>23490</v>
      </c>
      <c r="D3502" t="str">
        <f>HYPERLINK("https://rhld.insurance.arkansas.gov/NPILookup?Npi=1396490058","1396490058")</f>
        <v>1396490058</v>
      </c>
      <c r="E3502" t="s">
        <v>19694</v>
      </c>
    </row>
    <row r="3503" spans="1:5" x14ac:dyDescent="0.25">
      <c r="A3503" t="s">
        <v>1</v>
      </c>
      <c r="B3503" t="s">
        <v>19</v>
      </c>
      <c r="C3503" t="s">
        <v>23490</v>
      </c>
      <c r="D3503" t="str">
        <f>HYPERLINK("https://rhld.insurance.arkansas.gov/NPILookup?Npi=1396499737","1396499737")</f>
        <v>1396499737</v>
      </c>
      <c r="E3503" t="s">
        <v>9586</v>
      </c>
    </row>
    <row r="3504" spans="1:5" x14ac:dyDescent="0.25">
      <c r="A3504" t="s">
        <v>1</v>
      </c>
      <c r="B3504" t="s">
        <v>19</v>
      </c>
      <c r="C3504" t="s">
        <v>23490</v>
      </c>
      <c r="D3504" t="str">
        <f>HYPERLINK("https://rhld.insurance.arkansas.gov/NPILookup?Npi=1396703252","1396703252")</f>
        <v>1396703252</v>
      </c>
      <c r="E3504" t="s">
        <v>1401</v>
      </c>
    </row>
    <row r="3505" spans="1:5" x14ac:dyDescent="0.25">
      <c r="A3505" t="s">
        <v>1</v>
      </c>
      <c r="B3505" t="s">
        <v>19</v>
      </c>
      <c r="C3505" t="s">
        <v>23490</v>
      </c>
      <c r="D3505" t="str">
        <f>HYPERLINK("https://rhld.insurance.arkansas.gov/NPILookup?Npi=1396706180","1396706180")</f>
        <v>1396706180</v>
      </c>
      <c r="E3505" t="s">
        <v>1402</v>
      </c>
    </row>
    <row r="3506" spans="1:5" x14ac:dyDescent="0.25">
      <c r="A3506" t="s">
        <v>1</v>
      </c>
      <c r="B3506" t="s">
        <v>19</v>
      </c>
      <c r="C3506" t="s">
        <v>23490</v>
      </c>
      <c r="D3506" t="str">
        <f>HYPERLINK("https://rhld.insurance.arkansas.gov/NPILookup?Npi=1396707808","1396707808")</f>
        <v>1396707808</v>
      </c>
      <c r="E3506" t="s">
        <v>1403</v>
      </c>
    </row>
    <row r="3507" spans="1:5" x14ac:dyDescent="0.25">
      <c r="A3507" t="s">
        <v>1</v>
      </c>
      <c r="B3507" t="s">
        <v>19</v>
      </c>
      <c r="C3507" t="s">
        <v>23490</v>
      </c>
      <c r="D3507" t="str">
        <f>HYPERLINK("https://rhld.insurance.arkansas.gov/NPILookup?Npi=1396709150","1396709150")</f>
        <v>1396709150</v>
      </c>
      <c r="E3507" t="s">
        <v>1404</v>
      </c>
    </row>
    <row r="3508" spans="1:5" x14ac:dyDescent="0.25">
      <c r="A3508" t="s">
        <v>1</v>
      </c>
      <c r="B3508" t="s">
        <v>19</v>
      </c>
      <c r="C3508" t="s">
        <v>23490</v>
      </c>
      <c r="D3508" t="str">
        <f>HYPERLINK("https://rhld.insurance.arkansas.gov/NPILookup?Npi=1396712287","1396712287")</f>
        <v>1396712287</v>
      </c>
      <c r="E3508" t="s">
        <v>1405</v>
      </c>
    </row>
    <row r="3509" spans="1:5" x14ac:dyDescent="0.25">
      <c r="A3509" t="s">
        <v>1</v>
      </c>
      <c r="B3509" t="s">
        <v>19</v>
      </c>
      <c r="C3509" t="s">
        <v>23490</v>
      </c>
      <c r="D3509" t="str">
        <f>HYPERLINK("https://rhld.insurance.arkansas.gov/NPILookup?Npi=1396714424","1396714424")</f>
        <v>1396714424</v>
      </c>
      <c r="E3509" t="s">
        <v>1406</v>
      </c>
    </row>
    <row r="3510" spans="1:5" x14ac:dyDescent="0.25">
      <c r="A3510" t="s">
        <v>1</v>
      </c>
      <c r="B3510" t="s">
        <v>19</v>
      </c>
      <c r="C3510" t="s">
        <v>23490</v>
      </c>
      <c r="D3510" t="str">
        <f>HYPERLINK("https://rhld.insurance.arkansas.gov/NPILookup?Npi=1396727590","1396727590")</f>
        <v>1396727590</v>
      </c>
      <c r="E3510" t="s">
        <v>15075</v>
      </c>
    </row>
    <row r="3511" spans="1:5" x14ac:dyDescent="0.25">
      <c r="A3511" t="s">
        <v>1</v>
      </c>
      <c r="B3511" t="s">
        <v>19</v>
      </c>
      <c r="C3511" t="s">
        <v>23490</v>
      </c>
      <c r="D3511" t="str">
        <f>HYPERLINK("https://rhld.insurance.arkansas.gov/NPILookup?Npi=1396731550","1396731550")</f>
        <v>1396731550</v>
      </c>
      <c r="E3511" t="s">
        <v>1407</v>
      </c>
    </row>
    <row r="3512" spans="1:5" x14ac:dyDescent="0.25">
      <c r="A3512" t="s">
        <v>1</v>
      </c>
      <c r="B3512" t="s">
        <v>19</v>
      </c>
      <c r="C3512" t="s">
        <v>23490</v>
      </c>
      <c r="D3512" t="str">
        <f>HYPERLINK("https://rhld.insurance.arkansas.gov/NPILookup?Npi=1396733788","1396733788")</f>
        <v>1396733788</v>
      </c>
      <c r="E3512" t="s">
        <v>1408</v>
      </c>
    </row>
    <row r="3513" spans="1:5" x14ac:dyDescent="0.25">
      <c r="A3513" t="s">
        <v>1</v>
      </c>
      <c r="B3513" t="s">
        <v>19</v>
      </c>
      <c r="C3513" t="s">
        <v>23490</v>
      </c>
      <c r="D3513" t="str">
        <f>HYPERLINK("https://rhld.insurance.arkansas.gov/NPILookup?Npi=1396738266","1396738266")</f>
        <v>1396738266</v>
      </c>
      <c r="E3513" t="s">
        <v>15076</v>
      </c>
    </row>
    <row r="3514" spans="1:5" x14ac:dyDescent="0.25">
      <c r="A3514" t="s">
        <v>1</v>
      </c>
      <c r="B3514" t="s">
        <v>19</v>
      </c>
      <c r="C3514" t="s">
        <v>23490</v>
      </c>
      <c r="D3514" t="str">
        <f>HYPERLINK("https://rhld.insurance.arkansas.gov/NPILookup?Npi=1396747648","1396747648")</f>
        <v>1396747648</v>
      </c>
      <c r="E3514" t="s">
        <v>1409</v>
      </c>
    </row>
    <row r="3515" spans="1:5" x14ac:dyDescent="0.25">
      <c r="A3515" t="s">
        <v>1</v>
      </c>
      <c r="B3515" t="s">
        <v>19</v>
      </c>
      <c r="C3515" t="s">
        <v>23490</v>
      </c>
      <c r="D3515" t="str">
        <f>HYPERLINK("https://rhld.insurance.arkansas.gov/NPILookup?Npi=1396760476","1396760476")</f>
        <v>1396760476</v>
      </c>
      <c r="E3515" t="s">
        <v>15077</v>
      </c>
    </row>
    <row r="3516" spans="1:5" x14ac:dyDescent="0.25">
      <c r="A3516" t="s">
        <v>1</v>
      </c>
      <c r="B3516" t="s">
        <v>19</v>
      </c>
      <c r="C3516" t="s">
        <v>23490</v>
      </c>
      <c r="D3516" t="str">
        <f>HYPERLINK("https://rhld.insurance.arkansas.gov/NPILookup?Npi=1396770046","1396770046")</f>
        <v>1396770046</v>
      </c>
      <c r="E3516" t="s">
        <v>1410</v>
      </c>
    </row>
    <row r="3517" spans="1:5" x14ac:dyDescent="0.25">
      <c r="A3517" t="s">
        <v>1</v>
      </c>
      <c r="B3517" t="s">
        <v>19</v>
      </c>
      <c r="C3517" t="s">
        <v>23490</v>
      </c>
      <c r="D3517" t="str">
        <f>HYPERLINK("https://rhld.insurance.arkansas.gov/NPILookup?Npi=1396770566","1396770566")</f>
        <v>1396770566</v>
      </c>
      <c r="E3517" t="s">
        <v>13517</v>
      </c>
    </row>
    <row r="3518" spans="1:5" x14ac:dyDescent="0.25">
      <c r="A3518" t="s">
        <v>1</v>
      </c>
      <c r="B3518" t="s">
        <v>19</v>
      </c>
      <c r="C3518" t="s">
        <v>23490</v>
      </c>
      <c r="D3518" t="str">
        <f>HYPERLINK("https://rhld.insurance.arkansas.gov/NPILookup?Npi=1396773735","1396773735")</f>
        <v>1396773735</v>
      </c>
      <c r="E3518" t="s">
        <v>1411</v>
      </c>
    </row>
    <row r="3519" spans="1:5" x14ac:dyDescent="0.25">
      <c r="A3519" t="s">
        <v>1</v>
      </c>
      <c r="B3519" t="s">
        <v>19</v>
      </c>
      <c r="C3519" t="s">
        <v>23490</v>
      </c>
      <c r="D3519" t="str">
        <f>HYPERLINK("https://rhld.insurance.arkansas.gov/NPILookup?Npi=1396774618","1396774618")</f>
        <v>1396774618</v>
      </c>
      <c r="E3519" t="s">
        <v>1412</v>
      </c>
    </row>
    <row r="3520" spans="1:5" x14ac:dyDescent="0.25">
      <c r="A3520" t="s">
        <v>1</v>
      </c>
      <c r="B3520" t="s">
        <v>19</v>
      </c>
      <c r="C3520" t="s">
        <v>23490</v>
      </c>
      <c r="D3520" t="str">
        <f>HYPERLINK("https://rhld.insurance.arkansas.gov/NPILookup?Npi=1396776761","1396776761")</f>
        <v>1396776761</v>
      </c>
      <c r="E3520" t="s">
        <v>1413</v>
      </c>
    </row>
    <row r="3521" spans="1:5" x14ac:dyDescent="0.25">
      <c r="A3521" t="s">
        <v>1</v>
      </c>
      <c r="B3521" t="s">
        <v>19</v>
      </c>
      <c r="C3521" t="s">
        <v>23490</v>
      </c>
      <c r="D3521" t="str">
        <f>HYPERLINK("https://rhld.insurance.arkansas.gov/NPILookup?Npi=1396778247","1396778247")</f>
        <v>1396778247</v>
      </c>
      <c r="E3521" t="s">
        <v>15078</v>
      </c>
    </row>
    <row r="3522" spans="1:5" x14ac:dyDescent="0.25">
      <c r="A3522" t="s">
        <v>1</v>
      </c>
      <c r="B3522" t="s">
        <v>19</v>
      </c>
      <c r="C3522" t="s">
        <v>23490</v>
      </c>
      <c r="D3522" t="str">
        <f>HYPERLINK("https://rhld.insurance.arkansas.gov/NPILookup?Npi=1396778478","1396778478")</f>
        <v>1396778478</v>
      </c>
      <c r="E3522" t="s">
        <v>1414</v>
      </c>
    </row>
    <row r="3523" spans="1:5" x14ac:dyDescent="0.25">
      <c r="A3523" t="s">
        <v>1</v>
      </c>
      <c r="B3523" t="s">
        <v>19</v>
      </c>
      <c r="C3523" t="s">
        <v>23490</v>
      </c>
      <c r="D3523" t="str">
        <f>HYPERLINK("https://rhld.insurance.arkansas.gov/NPILookup?Npi=1396781118","1396781118")</f>
        <v>1396781118</v>
      </c>
      <c r="E3523" t="s">
        <v>1415</v>
      </c>
    </row>
    <row r="3524" spans="1:5" x14ac:dyDescent="0.25">
      <c r="A3524" t="s">
        <v>1</v>
      </c>
      <c r="B3524" t="s">
        <v>19</v>
      </c>
      <c r="C3524" t="s">
        <v>23490</v>
      </c>
      <c r="D3524" t="str">
        <f>HYPERLINK("https://rhld.insurance.arkansas.gov/NPILookup?Npi=1396790721","1396790721")</f>
        <v>1396790721</v>
      </c>
      <c r="E3524" t="s">
        <v>1416</v>
      </c>
    </row>
    <row r="3525" spans="1:5" x14ac:dyDescent="0.25">
      <c r="A3525" t="s">
        <v>1</v>
      </c>
      <c r="B3525" t="s">
        <v>19</v>
      </c>
      <c r="C3525" t="s">
        <v>23490</v>
      </c>
      <c r="D3525" t="str">
        <f>HYPERLINK("https://rhld.insurance.arkansas.gov/NPILookup?Npi=1396793741","1396793741")</f>
        <v>1396793741</v>
      </c>
      <c r="E3525" t="s">
        <v>17425</v>
      </c>
    </row>
    <row r="3526" spans="1:5" x14ac:dyDescent="0.25">
      <c r="A3526" t="s">
        <v>1</v>
      </c>
      <c r="B3526" t="s">
        <v>19</v>
      </c>
      <c r="C3526" t="s">
        <v>23490</v>
      </c>
      <c r="D3526" t="str">
        <f>HYPERLINK("https://rhld.insurance.arkansas.gov/NPILookup?Npi=1396799300","1396799300")</f>
        <v>1396799300</v>
      </c>
      <c r="E3526" t="s">
        <v>1417</v>
      </c>
    </row>
    <row r="3527" spans="1:5" x14ac:dyDescent="0.25">
      <c r="A3527" t="s">
        <v>1</v>
      </c>
      <c r="B3527" t="s">
        <v>19</v>
      </c>
      <c r="C3527" t="s">
        <v>23490</v>
      </c>
      <c r="D3527" t="str">
        <f>HYPERLINK("https://rhld.insurance.arkansas.gov/NPILookup?Npi=1396824264","1396824264")</f>
        <v>1396824264</v>
      </c>
      <c r="E3527" t="s">
        <v>19695</v>
      </c>
    </row>
    <row r="3528" spans="1:5" x14ac:dyDescent="0.25">
      <c r="A3528" t="s">
        <v>1</v>
      </c>
      <c r="B3528" t="s">
        <v>19</v>
      </c>
      <c r="C3528" t="s">
        <v>23490</v>
      </c>
      <c r="D3528" t="str">
        <f>HYPERLINK("https://rhld.insurance.arkansas.gov/NPILookup?Npi=1396842605","1396842605")</f>
        <v>1396842605</v>
      </c>
      <c r="E3528" t="s">
        <v>1418</v>
      </c>
    </row>
    <row r="3529" spans="1:5" x14ac:dyDescent="0.25">
      <c r="A3529" t="s">
        <v>1</v>
      </c>
      <c r="B3529" t="s">
        <v>19</v>
      </c>
      <c r="C3529" t="s">
        <v>23490</v>
      </c>
      <c r="D3529" t="str">
        <f>HYPERLINK("https://rhld.insurance.arkansas.gov/NPILookup?Npi=1396843918","1396843918")</f>
        <v>1396843918</v>
      </c>
      <c r="E3529" t="s">
        <v>1419</v>
      </c>
    </row>
    <row r="3530" spans="1:5" x14ac:dyDescent="0.25">
      <c r="A3530" t="s">
        <v>1</v>
      </c>
      <c r="B3530" t="s">
        <v>19</v>
      </c>
      <c r="C3530" t="s">
        <v>23490</v>
      </c>
      <c r="D3530" t="str">
        <f>HYPERLINK("https://rhld.insurance.arkansas.gov/NPILookup?Npi=1396854493","1396854493")</f>
        <v>1396854493</v>
      </c>
      <c r="E3530" t="s">
        <v>1420</v>
      </c>
    </row>
    <row r="3531" spans="1:5" x14ac:dyDescent="0.25">
      <c r="A3531" t="s">
        <v>1</v>
      </c>
      <c r="B3531" t="s">
        <v>19</v>
      </c>
      <c r="C3531" t="s">
        <v>23490</v>
      </c>
      <c r="D3531" t="str">
        <f>HYPERLINK("https://rhld.insurance.arkansas.gov/NPILookup?Npi=1396879805","1396879805")</f>
        <v>1396879805</v>
      </c>
      <c r="E3531" t="s">
        <v>1421</v>
      </c>
    </row>
    <row r="3532" spans="1:5" x14ac:dyDescent="0.25">
      <c r="A3532" t="s">
        <v>1</v>
      </c>
      <c r="B3532" t="s">
        <v>19</v>
      </c>
      <c r="C3532" t="s">
        <v>23490</v>
      </c>
      <c r="D3532" t="str">
        <f>HYPERLINK("https://rhld.insurance.arkansas.gov/NPILookup?Npi=1396881876","1396881876")</f>
        <v>1396881876</v>
      </c>
      <c r="E3532" t="s">
        <v>15079</v>
      </c>
    </row>
    <row r="3533" spans="1:5" x14ac:dyDescent="0.25">
      <c r="A3533" t="s">
        <v>1</v>
      </c>
      <c r="B3533" t="s">
        <v>19</v>
      </c>
      <c r="C3533" t="s">
        <v>23490</v>
      </c>
      <c r="D3533" t="str">
        <f>HYPERLINK("https://rhld.insurance.arkansas.gov/NPILookup?Npi=1396889721","1396889721")</f>
        <v>1396889721</v>
      </c>
      <c r="E3533" t="s">
        <v>11354</v>
      </c>
    </row>
    <row r="3534" spans="1:5" x14ac:dyDescent="0.25">
      <c r="A3534" t="s">
        <v>1</v>
      </c>
      <c r="B3534" t="s">
        <v>19</v>
      </c>
      <c r="C3534" t="s">
        <v>23490</v>
      </c>
      <c r="D3534" t="str">
        <f>HYPERLINK("https://rhld.insurance.arkansas.gov/NPILookup?Npi=1396896734","1396896734")</f>
        <v>1396896734</v>
      </c>
      <c r="E3534" t="s">
        <v>1422</v>
      </c>
    </row>
    <row r="3535" spans="1:5" x14ac:dyDescent="0.25">
      <c r="A3535" t="s">
        <v>1</v>
      </c>
      <c r="B3535" t="s">
        <v>19</v>
      </c>
      <c r="C3535" t="s">
        <v>23490</v>
      </c>
      <c r="D3535" t="str">
        <f>HYPERLINK("https://rhld.insurance.arkansas.gov/NPILookup?Npi=1396900700","1396900700")</f>
        <v>1396900700</v>
      </c>
      <c r="E3535" t="s">
        <v>1423</v>
      </c>
    </row>
    <row r="3536" spans="1:5" x14ac:dyDescent="0.25">
      <c r="A3536" t="s">
        <v>1</v>
      </c>
      <c r="B3536" t="s">
        <v>19</v>
      </c>
      <c r="C3536" t="s">
        <v>23490</v>
      </c>
      <c r="D3536" t="str">
        <f>HYPERLINK("https://rhld.insurance.arkansas.gov/NPILookup?Npi=1396912796","1396912796")</f>
        <v>1396912796</v>
      </c>
      <c r="E3536" t="s">
        <v>8658</v>
      </c>
    </row>
    <row r="3537" spans="1:5" x14ac:dyDescent="0.25">
      <c r="A3537" t="s">
        <v>1</v>
      </c>
      <c r="B3537" t="s">
        <v>19</v>
      </c>
      <c r="C3537" t="s">
        <v>23490</v>
      </c>
      <c r="D3537" t="str">
        <f>HYPERLINK("https://rhld.insurance.arkansas.gov/NPILookup?Npi=1396935466","1396935466")</f>
        <v>1396935466</v>
      </c>
      <c r="E3537" t="s">
        <v>1424</v>
      </c>
    </row>
    <row r="3538" spans="1:5" x14ac:dyDescent="0.25">
      <c r="A3538" t="s">
        <v>1</v>
      </c>
      <c r="B3538" t="s">
        <v>19</v>
      </c>
      <c r="C3538" t="s">
        <v>23490</v>
      </c>
      <c r="D3538" t="str">
        <f>HYPERLINK("https://rhld.insurance.arkansas.gov/NPILookup?Npi=1396941522","1396941522")</f>
        <v>1396941522</v>
      </c>
      <c r="E3538" t="s">
        <v>1425</v>
      </c>
    </row>
    <row r="3539" spans="1:5" x14ac:dyDescent="0.25">
      <c r="A3539" t="s">
        <v>1</v>
      </c>
      <c r="B3539" t="s">
        <v>19</v>
      </c>
      <c r="C3539" t="s">
        <v>23490</v>
      </c>
      <c r="D3539" t="str">
        <f>HYPERLINK("https://rhld.insurance.arkansas.gov/NPILookup?Npi=1396998977","1396998977")</f>
        <v>1396998977</v>
      </c>
      <c r="E3539" t="s">
        <v>18767</v>
      </c>
    </row>
    <row r="3540" spans="1:5" x14ac:dyDescent="0.25">
      <c r="A3540" t="s">
        <v>1</v>
      </c>
      <c r="B3540" t="s">
        <v>19</v>
      </c>
      <c r="C3540" t="s">
        <v>23490</v>
      </c>
      <c r="D3540" t="str">
        <f>HYPERLINK("https://rhld.insurance.arkansas.gov/NPILookup?Npi=1407010952","1407010952")</f>
        <v>1407010952</v>
      </c>
      <c r="E3540" t="s">
        <v>1426</v>
      </c>
    </row>
    <row r="3541" spans="1:5" x14ac:dyDescent="0.25">
      <c r="A3541" t="s">
        <v>1</v>
      </c>
      <c r="B3541" t="s">
        <v>19</v>
      </c>
      <c r="C3541" t="s">
        <v>23490</v>
      </c>
      <c r="D3541" t="str">
        <f>HYPERLINK("https://rhld.insurance.arkansas.gov/NPILookup?Npi=1407030349","1407030349")</f>
        <v>1407030349</v>
      </c>
      <c r="E3541" t="s">
        <v>15080</v>
      </c>
    </row>
    <row r="3542" spans="1:5" x14ac:dyDescent="0.25">
      <c r="A3542" t="s">
        <v>1</v>
      </c>
      <c r="B3542" t="s">
        <v>19</v>
      </c>
      <c r="C3542" t="s">
        <v>23490</v>
      </c>
      <c r="D3542" t="str">
        <f>HYPERLINK("https://rhld.insurance.arkansas.gov/NPILookup?Npi=1407046600","1407046600")</f>
        <v>1407046600</v>
      </c>
      <c r="E3542" t="s">
        <v>19696</v>
      </c>
    </row>
    <row r="3543" spans="1:5" x14ac:dyDescent="0.25">
      <c r="A3543" t="s">
        <v>1</v>
      </c>
      <c r="B3543" t="s">
        <v>19</v>
      </c>
      <c r="C3543" t="s">
        <v>23490</v>
      </c>
      <c r="D3543" t="str">
        <f>HYPERLINK("https://rhld.insurance.arkansas.gov/NPILookup?Npi=1407070162","1407070162")</f>
        <v>1407070162</v>
      </c>
      <c r="E3543" t="s">
        <v>10893</v>
      </c>
    </row>
    <row r="3544" spans="1:5" x14ac:dyDescent="0.25">
      <c r="A3544" t="s">
        <v>1</v>
      </c>
      <c r="B3544" t="s">
        <v>19</v>
      </c>
      <c r="C3544" t="s">
        <v>23490</v>
      </c>
      <c r="D3544" t="str">
        <f>HYPERLINK("https://rhld.insurance.arkansas.gov/NPILookup?Npi=1407086200","1407086200")</f>
        <v>1407086200</v>
      </c>
      <c r="E3544" t="s">
        <v>1427</v>
      </c>
    </row>
    <row r="3545" spans="1:5" x14ac:dyDescent="0.25">
      <c r="A3545" t="s">
        <v>1</v>
      </c>
      <c r="B3545" t="s">
        <v>19</v>
      </c>
      <c r="C3545" t="s">
        <v>23490</v>
      </c>
      <c r="D3545" t="str">
        <f>HYPERLINK("https://rhld.insurance.arkansas.gov/NPILookup?Npi=1407089436","1407089436")</f>
        <v>1407089436</v>
      </c>
      <c r="E3545" t="s">
        <v>12838</v>
      </c>
    </row>
    <row r="3546" spans="1:5" x14ac:dyDescent="0.25">
      <c r="A3546" t="s">
        <v>1</v>
      </c>
      <c r="B3546" t="s">
        <v>19</v>
      </c>
      <c r="C3546" t="s">
        <v>23490</v>
      </c>
      <c r="D3546" t="str">
        <f>HYPERLINK("https://rhld.insurance.arkansas.gov/NPILookup?Npi=1407104052","1407104052")</f>
        <v>1407104052</v>
      </c>
      <c r="E3546" t="s">
        <v>1428</v>
      </c>
    </row>
    <row r="3547" spans="1:5" x14ac:dyDescent="0.25">
      <c r="A3547" t="s">
        <v>1</v>
      </c>
      <c r="B3547" t="s">
        <v>19</v>
      </c>
      <c r="C3547" t="s">
        <v>23490</v>
      </c>
      <c r="D3547" t="str">
        <f>HYPERLINK("https://rhld.insurance.arkansas.gov/NPILookup?Npi=1407104946","1407104946")</f>
        <v>1407104946</v>
      </c>
      <c r="E3547" t="s">
        <v>1429</v>
      </c>
    </row>
    <row r="3548" spans="1:5" x14ac:dyDescent="0.25">
      <c r="A3548" t="s">
        <v>1</v>
      </c>
      <c r="B3548" t="s">
        <v>19</v>
      </c>
      <c r="C3548" t="s">
        <v>23490</v>
      </c>
      <c r="D3548" t="str">
        <f>HYPERLINK("https://rhld.insurance.arkansas.gov/NPILookup?Npi=1407114978","1407114978")</f>
        <v>1407114978</v>
      </c>
      <c r="E3548" t="s">
        <v>1430</v>
      </c>
    </row>
    <row r="3549" spans="1:5" x14ac:dyDescent="0.25">
      <c r="A3549" t="s">
        <v>1</v>
      </c>
      <c r="B3549" t="s">
        <v>19</v>
      </c>
      <c r="C3549" t="s">
        <v>23490</v>
      </c>
      <c r="D3549" t="str">
        <f>HYPERLINK("https://rhld.insurance.arkansas.gov/NPILookup?Npi=1407122179","1407122179")</f>
        <v>1407122179</v>
      </c>
      <c r="E3549" t="s">
        <v>15081</v>
      </c>
    </row>
    <row r="3550" spans="1:5" x14ac:dyDescent="0.25">
      <c r="A3550" t="s">
        <v>1</v>
      </c>
      <c r="B3550" t="s">
        <v>19</v>
      </c>
      <c r="C3550" t="s">
        <v>23490</v>
      </c>
      <c r="D3550" t="str">
        <f>HYPERLINK("https://rhld.insurance.arkansas.gov/NPILookup?Npi=1407140569","1407140569")</f>
        <v>1407140569</v>
      </c>
      <c r="E3550" t="s">
        <v>19697</v>
      </c>
    </row>
    <row r="3551" spans="1:5" x14ac:dyDescent="0.25">
      <c r="A3551" t="s">
        <v>1</v>
      </c>
      <c r="B3551" t="s">
        <v>19</v>
      </c>
      <c r="C3551" t="s">
        <v>23490</v>
      </c>
      <c r="D3551" t="str">
        <f>HYPERLINK("https://rhld.insurance.arkansas.gov/NPILookup?Npi=1407143662","1407143662")</f>
        <v>1407143662</v>
      </c>
      <c r="E3551" t="s">
        <v>1431</v>
      </c>
    </row>
    <row r="3552" spans="1:5" x14ac:dyDescent="0.25">
      <c r="A3552" t="s">
        <v>1</v>
      </c>
      <c r="B3552" t="s">
        <v>19</v>
      </c>
      <c r="C3552" t="s">
        <v>23490</v>
      </c>
      <c r="D3552" t="str">
        <f>HYPERLINK("https://rhld.insurance.arkansas.gov/NPILookup?Npi=1407159429","1407159429")</f>
        <v>1407159429</v>
      </c>
      <c r="E3552" t="s">
        <v>10894</v>
      </c>
    </row>
    <row r="3553" spans="1:5" x14ac:dyDescent="0.25">
      <c r="A3553" t="s">
        <v>1</v>
      </c>
      <c r="B3553" t="s">
        <v>19</v>
      </c>
      <c r="C3553" t="s">
        <v>23490</v>
      </c>
      <c r="D3553" t="str">
        <f>HYPERLINK("https://rhld.insurance.arkansas.gov/NPILookup?Npi=1407170889","1407170889")</f>
        <v>1407170889</v>
      </c>
      <c r="E3553" t="s">
        <v>1433</v>
      </c>
    </row>
    <row r="3554" spans="1:5" x14ac:dyDescent="0.25">
      <c r="A3554" t="s">
        <v>1</v>
      </c>
      <c r="B3554" t="s">
        <v>19</v>
      </c>
      <c r="C3554" t="s">
        <v>23490</v>
      </c>
      <c r="D3554" t="str">
        <f>HYPERLINK("https://rhld.insurance.arkansas.gov/NPILookup?Npi=1407177835","1407177835")</f>
        <v>1407177835</v>
      </c>
      <c r="E3554" t="s">
        <v>1434</v>
      </c>
    </row>
    <row r="3555" spans="1:5" x14ac:dyDescent="0.25">
      <c r="A3555" t="s">
        <v>1</v>
      </c>
      <c r="B3555" t="s">
        <v>19</v>
      </c>
      <c r="C3555" t="s">
        <v>23490</v>
      </c>
      <c r="D3555" t="str">
        <f>HYPERLINK("https://rhld.insurance.arkansas.gov/NPILookup?Npi=1407180441","1407180441")</f>
        <v>1407180441</v>
      </c>
      <c r="E3555" t="s">
        <v>15082</v>
      </c>
    </row>
    <row r="3556" spans="1:5" x14ac:dyDescent="0.25">
      <c r="A3556" t="s">
        <v>1</v>
      </c>
      <c r="B3556" t="s">
        <v>19</v>
      </c>
      <c r="C3556" t="s">
        <v>23490</v>
      </c>
      <c r="D3556" t="str">
        <f>HYPERLINK("https://rhld.insurance.arkansas.gov/NPILookup?Npi=1407194269","1407194269")</f>
        <v>1407194269</v>
      </c>
      <c r="E3556" t="s">
        <v>1435</v>
      </c>
    </row>
    <row r="3557" spans="1:5" x14ac:dyDescent="0.25">
      <c r="A3557" t="s">
        <v>1</v>
      </c>
      <c r="B3557" t="s">
        <v>19</v>
      </c>
      <c r="C3557" t="s">
        <v>23490</v>
      </c>
      <c r="D3557" t="str">
        <f>HYPERLINK("https://rhld.insurance.arkansas.gov/NPILookup?Npi=1407195159","1407195159")</f>
        <v>1407195159</v>
      </c>
      <c r="E3557" t="s">
        <v>8659</v>
      </c>
    </row>
    <row r="3558" spans="1:5" x14ac:dyDescent="0.25">
      <c r="A3558" t="s">
        <v>1</v>
      </c>
      <c r="B3558" t="s">
        <v>19</v>
      </c>
      <c r="C3558" t="s">
        <v>23490</v>
      </c>
      <c r="D3558" t="str">
        <f>HYPERLINK("https://rhld.insurance.arkansas.gov/NPILookup?Npi=1407196264","1407196264")</f>
        <v>1407196264</v>
      </c>
      <c r="E3558" t="s">
        <v>10895</v>
      </c>
    </row>
    <row r="3559" spans="1:5" x14ac:dyDescent="0.25">
      <c r="A3559" t="s">
        <v>1</v>
      </c>
      <c r="B3559" t="s">
        <v>19</v>
      </c>
      <c r="C3559" t="s">
        <v>23490</v>
      </c>
      <c r="D3559" t="str">
        <f>HYPERLINK("https://rhld.insurance.arkansas.gov/NPILookup?Npi=1407197395","1407197395")</f>
        <v>1407197395</v>
      </c>
      <c r="E3559" t="s">
        <v>1436</v>
      </c>
    </row>
    <row r="3560" spans="1:5" x14ac:dyDescent="0.25">
      <c r="A3560" t="s">
        <v>1</v>
      </c>
      <c r="B3560" t="s">
        <v>19</v>
      </c>
      <c r="C3560" t="s">
        <v>23490</v>
      </c>
      <c r="D3560" t="str">
        <f>HYPERLINK("https://rhld.insurance.arkansas.gov/NPILookup?Npi=1407197684","1407197684")</f>
        <v>1407197684</v>
      </c>
      <c r="E3560" t="s">
        <v>10896</v>
      </c>
    </row>
    <row r="3561" spans="1:5" x14ac:dyDescent="0.25">
      <c r="A3561" t="s">
        <v>1</v>
      </c>
      <c r="B3561" t="s">
        <v>19</v>
      </c>
      <c r="C3561" t="s">
        <v>23490</v>
      </c>
      <c r="D3561" t="str">
        <f>HYPERLINK("https://rhld.insurance.arkansas.gov/NPILookup?Npi=1407199219","1407199219")</f>
        <v>1407199219</v>
      </c>
      <c r="E3561" t="s">
        <v>19698</v>
      </c>
    </row>
    <row r="3562" spans="1:5" x14ac:dyDescent="0.25">
      <c r="A3562" t="s">
        <v>1</v>
      </c>
      <c r="B3562" t="s">
        <v>19</v>
      </c>
      <c r="C3562" t="s">
        <v>23490</v>
      </c>
      <c r="D3562" t="str">
        <f>HYPERLINK("https://rhld.insurance.arkansas.gov/NPILookup?Npi=1407200611","1407200611")</f>
        <v>1407200611</v>
      </c>
      <c r="E3562" t="s">
        <v>8660</v>
      </c>
    </row>
    <row r="3563" spans="1:5" x14ac:dyDescent="0.25">
      <c r="A3563" t="s">
        <v>1</v>
      </c>
      <c r="B3563" t="s">
        <v>19</v>
      </c>
      <c r="C3563" t="s">
        <v>23490</v>
      </c>
      <c r="D3563" t="str">
        <f>HYPERLINK("https://rhld.insurance.arkansas.gov/NPILookup?Npi=1407203425","1407203425")</f>
        <v>1407203425</v>
      </c>
      <c r="E3563" t="s">
        <v>10897</v>
      </c>
    </row>
    <row r="3564" spans="1:5" x14ac:dyDescent="0.25">
      <c r="A3564" t="s">
        <v>1</v>
      </c>
      <c r="B3564" t="s">
        <v>19</v>
      </c>
      <c r="C3564" t="s">
        <v>23490</v>
      </c>
      <c r="D3564" t="str">
        <f>HYPERLINK("https://rhld.insurance.arkansas.gov/NPILookup?Npi=1407203888","1407203888")</f>
        <v>1407203888</v>
      </c>
      <c r="E3564" t="s">
        <v>13518</v>
      </c>
    </row>
    <row r="3565" spans="1:5" x14ac:dyDescent="0.25">
      <c r="A3565" t="s">
        <v>1</v>
      </c>
      <c r="B3565" t="s">
        <v>19</v>
      </c>
      <c r="C3565" t="s">
        <v>23490</v>
      </c>
      <c r="D3565" t="str">
        <f>HYPERLINK("https://rhld.insurance.arkansas.gov/NPILookup?Npi=1407219033","1407219033")</f>
        <v>1407219033</v>
      </c>
      <c r="E3565" t="s">
        <v>13519</v>
      </c>
    </row>
    <row r="3566" spans="1:5" x14ac:dyDescent="0.25">
      <c r="A3566" t="s">
        <v>1</v>
      </c>
      <c r="B3566" t="s">
        <v>19</v>
      </c>
      <c r="C3566" t="s">
        <v>23490</v>
      </c>
      <c r="D3566" t="str">
        <f>HYPERLINK("https://rhld.insurance.arkansas.gov/NPILookup?Npi=1407222714","1407222714")</f>
        <v>1407222714</v>
      </c>
      <c r="E3566" t="s">
        <v>15083</v>
      </c>
    </row>
    <row r="3567" spans="1:5" x14ac:dyDescent="0.25">
      <c r="A3567" t="s">
        <v>1</v>
      </c>
      <c r="B3567" t="s">
        <v>19</v>
      </c>
      <c r="C3567" t="s">
        <v>23490</v>
      </c>
      <c r="D3567" t="str">
        <f>HYPERLINK("https://rhld.insurance.arkansas.gov/NPILookup?Npi=1407240732","1407240732")</f>
        <v>1407240732</v>
      </c>
      <c r="E3567" t="s">
        <v>10898</v>
      </c>
    </row>
    <row r="3568" spans="1:5" x14ac:dyDescent="0.25">
      <c r="A3568" t="s">
        <v>1</v>
      </c>
      <c r="B3568" t="s">
        <v>19</v>
      </c>
      <c r="C3568" t="s">
        <v>23490</v>
      </c>
      <c r="D3568" t="str">
        <f>HYPERLINK("https://rhld.insurance.arkansas.gov/NPILookup?Npi=1407241045","1407241045")</f>
        <v>1407241045</v>
      </c>
      <c r="E3568" t="s">
        <v>13520</v>
      </c>
    </row>
    <row r="3569" spans="1:5" x14ac:dyDescent="0.25">
      <c r="A3569" t="s">
        <v>1</v>
      </c>
      <c r="B3569" t="s">
        <v>19</v>
      </c>
      <c r="C3569" t="s">
        <v>23490</v>
      </c>
      <c r="D3569" t="str">
        <f>HYPERLINK("https://rhld.insurance.arkansas.gov/NPILookup?Npi=1407242498","1407242498")</f>
        <v>1407242498</v>
      </c>
      <c r="E3569" t="s">
        <v>13521</v>
      </c>
    </row>
    <row r="3570" spans="1:5" x14ac:dyDescent="0.25">
      <c r="A3570" t="s">
        <v>1</v>
      </c>
      <c r="B3570" t="s">
        <v>19</v>
      </c>
      <c r="C3570" t="s">
        <v>23490</v>
      </c>
      <c r="D3570" t="str">
        <f>HYPERLINK("https://rhld.insurance.arkansas.gov/NPILookup?Npi=1407249311","1407249311")</f>
        <v>1407249311</v>
      </c>
      <c r="E3570" t="s">
        <v>10899</v>
      </c>
    </row>
    <row r="3571" spans="1:5" x14ac:dyDescent="0.25">
      <c r="A3571" t="s">
        <v>1</v>
      </c>
      <c r="B3571" t="s">
        <v>19</v>
      </c>
      <c r="C3571" t="s">
        <v>23490</v>
      </c>
      <c r="D3571" t="str">
        <f>HYPERLINK("https://rhld.insurance.arkansas.gov/NPILookup?Npi=1407251267","1407251267")</f>
        <v>1407251267</v>
      </c>
      <c r="E3571" t="s">
        <v>15084</v>
      </c>
    </row>
    <row r="3572" spans="1:5" x14ac:dyDescent="0.25">
      <c r="A3572" t="s">
        <v>1</v>
      </c>
      <c r="B3572" t="s">
        <v>19</v>
      </c>
      <c r="C3572" t="s">
        <v>23490</v>
      </c>
      <c r="D3572" t="str">
        <f>HYPERLINK("https://rhld.insurance.arkansas.gov/NPILookup?Npi=1407272198","1407272198")</f>
        <v>1407272198</v>
      </c>
      <c r="E3572" t="s">
        <v>15085</v>
      </c>
    </row>
    <row r="3573" spans="1:5" x14ac:dyDescent="0.25">
      <c r="A3573" t="s">
        <v>1</v>
      </c>
      <c r="B3573" t="s">
        <v>19</v>
      </c>
      <c r="C3573" t="s">
        <v>23490</v>
      </c>
      <c r="D3573" t="str">
        <f>HYPERLINK("https://rhld.insurance.arkansas.gov/NPILookup?Npi=1407282817","1407282817")</f>
        <v>1407282817</v>
      </c>
      <c r="E3573" t="s">
        <v>1437</v>
      </c>
    </row>
    <row r="3574" spans="1:5" x14ac:dyDescent="0.25">
      <c r="A3574" t="s">
        <v>1</v>
      </c>
      <c r="B3574" t="s">
        <v>19</v>
      </c>
      <c r="C3574" t="s">
        <v>23490</v>
      </c>
      <c r="D3574" t="str">
        <f>HYPERLINK("https://rhld.insurance.arkansas.gov/NPILookup?Npi=1407301724","1407301724")</f>
        <v>1407301724</v>
      </c>
      <c r="E3574" t="s">
        <v>16945</v>
      </c>
    </row>
    <row r="3575" spans="1:5" x14ac:dyDescent="0.25">
      <c r="A3575" t="s">
        <v>1</v>
      </c>
      <c r="B3575" t="s">
        <v>19</v>
      </c>
      <c r="C3575" t="s">
        <v>23490</v>
      </c>
      <c r="D3575" t="str">
        <f>HYPERLINK("https://rhld.insurance.arkansas.gov/NPILookup?Npi=1407302235","1407302235")</f>
        <v>1407302235</v>
      </c>
      <c r="E3575" t="s">
        <v>15086</v>
      </c>
    </row>
    <row r="3576" spans="1:5" x14ac:dyDescent="0.25">
      <c r="A3576" t="s">
        <v>1</v>
      </c>
      <c r="B3576" t="s">
        <v>19</v>
      </c>
      <c r="C3576" t="s">
        <v>23490</v>
      </c>
      <c r="D3576" t="str">
        <f>HYPERLINK("https://rhld.insurance.arkansas.gov/NPILookup?Npi=1407311038","1407311038")</f>
        <v>1407311038</v>
      </c>
      <c r="E3576" t="s">
        <v>15087</v>
      </c>
    </row>
    <row r="3577" spans="1:5" x14ac:dyDescent="0.25">
      <c r="A3577" t="s">
        <v>1</v>
      </c>
      <c r="B3577" t="s">
        <v>19</v>
      </c>
      <c r="C3577" t="s">
        <v>23490</v>
      </c>
      <c r="D3577" t="str">
        <f>HYPERLINK("https://rhld.insurance.arkansas.gov/NPILookup?Npi=1407312598","1407312598")</f>
        <v>1407312598</v>
      </c>
      <c r="E3577" t="s">
        <v>17976</v>
      </c>
    </row>
    <row r="3578" spans="1:5" x14ac:dyDescent="0.25">
      <c r="A3578" t="s">
        <v>1</v>
      </c>
      <c r="B3578" t="s">
        <v>19</v>
      </c>
      <c r="C3578" t="s">
        <v>23490</v>
      </c>
      <c r="D3578" t="str">
        <f>HYPERLINK("https://rhld.insurance.arkansas.gov/NPILookup?Npi=1407313968","1407313968")</f>
        <v>1407313968</v>
      </c>
      <c r="E3578" t="s">
        <v>19699</v>
      </c>
    </row>
    <row r="3579" spans="1:5" x14ac:dyDescent="0.25">
      <c r="A3579" t="s">
        <v>1</v>
      </c>
      <c r="B3579" t="s">
        <v>19</v>
      </c>
      <c r="C3579" t="s">
        <v>23490</v>
      </c>
      <c r="D3579" t="str">
        <f>HYPERLINK("https://rhld.insurance.arkansas.gov/NPILookup?Npi=1407319908","1407319908")</f>
        <v>1407319908</v>
      </c>
      <c r="E3579" t="s">
        <v>21396</v>
      </c>
    </row>
    <row r="3580" spans="1:5" x14ac:dyDescent="0.25">
      <c r="A3580" t="s">
        <v>1</v>
      </c>
      <c r="B3580" t="s">
        <v>19</v>
      </c>
      <c r="C3580" t="s">
        <v>23490</v>
      </c>
      <c r="D3580" t="str">
        <f>HYPERLINK("https://rhld.insurance.arkansas.gov/NPILookup?Npi=1407332406","1407332406")</f>
        <v>1407332406</v>
      </c>
      <c r="E3580" t="s">
        <v>18768</v>
      </c>
    </row>
    <row r="3581" spans="1:5" x14ac:dyDescent="0.25">
      <c r="A3581" t="s">
        <v>1</v>
      </c>
      <c r="B3581" t="s">
        <v>19</v>
      </c>
      <c r="C3581" t="s">
        <v>23490</v>
      </c>
      <c r="D3581" t="str">
        <f>HYPERLINK("https://rhld.insurance.arkansas.gov/NPILookup?Npi=1407333784","1407333784")</f>
        <v>1407333784</v>
      </c>
      <c r="E3581" t="s">
        <v>18769</v>
      </c>
    </row>
    <row r="3582" spans="1:5" x14ac:dyDescent="0.25">
      <c r="A3582" t="s">
        <v>1</v>
      </c>
      <c r="B3582" t="s">
        <v>19</v>
      </c>
      <c r="C3582" t="s">
        <v>23490</v>
      </c>
      <c r="D3582" t="str">
        <f>HYPERLINK("https://rhld.insurance.arkansas.gov/NPILookup?Npi=1407335847","1407335847")</f>
        <v>1407335847</v>
      </c>
      <c r="E3582" t="s">
        <v>17977</v>
      </c>
    </row>
    <row r="3583" spans="1:5" x14ac:dyDescent="0.25">
      <c r="A3583" t="s">
        <v>1</v>
      </c>
      <c r="B3583" t="s">
        <v>19</v>
      </c>
      <c r="C3583" t="s">
        <v>23490</v>
      </c>
      <c r="D3583" t="str">
        <f>HYPERLINK("https://rhld.insurance.arkansas.gov/NPILookup?Npi=1407345382","1407345382")</f>
        <v>1407345382</v>
      </c>
      <c r="E3583" t="s">
        <v>15088</v>
      </c>
    </row>
    <row r="3584" spans="1:5" x14ac:dyDescent="0.25">
      <c r="A3584" t="s">
        <v>1</v>
      </c>
      <c r="B3584" t="s">
        <v>19</v>
      </c>
      <c r="C3584" t="s">
        <v>23490</v>
      </c>
      <c r="D3584" t="str">
        <f>HYPERLINK("https://rhld.insurance.arkansas.gov/NPILookup?Npi=1407350424","1407350424")</f>
        <v>1407350424</v>
      </c>
      <c r="E3584" t="s">
        <v>21536</v>
      </c>
    </row>
    <row r="3585" spans="1:5" x14ac:dyDescent="0.25">
      <c r="A3585" t="s">
        <v>1</v>
      </c>
      <c r="B3585" t="s">
        <v>19</v>
      </c>
      <c r="C3585" t="s">
        <v>23490</v>
      </c>
      <c r="D3585" t="str">
        <f>HYPERLINK("https://rhld.insurance.arkansas.gov/NPILookup?Npi=1407351588","1407351588")</f>
        <v>1407351588</v>
      </c>
      <c r="E3585" t="s">
        <v>13522</v>
      </c>
    </row>
    <row r="3586" spans="1:5" x14ac:dyDescent="0.25">
      <c r="A3586" t="s">
        <v>1</v>
      </c>
      <c r="B3586" t="s">
        <v>19</v>
      </c>
      <c r="C3586" t="s">
        <v>23490</v>
      </c>
      <c r="D3586" t="str">
        <f>HYPERLINK("https://rhld.insurance.arkansas.gov/NPILookup?Npi=1407352594","1407352594")</f>
        <v>1407352594</v>
      </c>
      <c r="E3586" t="s">
        <v>15089</v>
      </c>
    </row>
    <row r="3587" spans="1:5" x14ac:dyDescent="0.25">
      <c r="A3587" t="s">
        <v>1</v>
      </c>
      <c r="B3587" t="s">
        <v>19</v>
      </c>
      <c r="C3587" t="s">
        <v>23490</v>
      </c>
      <c r="D3587" t="str">
        <f>HYPERLINK("https://rhld.insurance.arkansas.gov/NPILookup?Npi=1407359862","1407359862")</f>
        <v>1407359862</v>
      </c>
      <c r="E3587" t="s">
        <v>19700</v>
      </c>
    </row>
    <row r="3588" spans="1:5" x14ac:dyDescent="0.25">
      <c r="A3588" t="s">
        <v>1</v>
      </c>
      <c r="B3588" t="s">
        <v>19</v>
      </c>
      <c r="C3588" t="s">
        <v>23490</v>
      </c>
      <c r="D3588" t="str">
        <f>HYPERLINK("https://rhld.insurance.arkansas.gov/NPILookup?Npi=1407360191","1407360191")</f>
        <v>1407360191</v>
      </c>
      <c r="E3588" t="s">
        <v>13523</v>
      </c>
    </row>
    <row r="3589" spans="1:5" x14ac:dyDescent="0.25">
      <c r="A3589" t="s">
        <v>1</v>
      </c>
      <c r="B3589" t="s">
        <v>19</v>
      </c>
      <c r="C3589" t="s">
        <v>23490</v>
      </c>
      <c r="D3589" t="str">
        <f>HYPERLINK("https://rhld.insurance.arkansas.gov/NPILookup?Npi=1407360878","1407360878")</f>
        <v>1407360878</v>
      </c>
      <c r="E3589" t="s">
        <v>13524</v>
      </c>
    </row>
    <row r="3590" spans="1:5" x14ac:dyDescent="0.25">
      <c r="A3590" t="s">
        <v>1</v>
      </c>
      <c r="B3590" t="s">
        <v>19</v>
      </c>
      <c r="C3590" t="s">
        <v>23490</v>
      </c>
      <c r="D3590" t="str">
        <f>HYPERLINK("https://rhld.insurance.arkansas.gov/NPILookup?Npi=1407366768","1407366768")</f>
        <v>1407366768</v>
      </c>
      <c r="E3590" t="s">
        <v>12983</v>
      </c>
    </row>
    <row r="3591" spans="1:5" x14ac:dyDescent="0.25">
      <c r="A3591" t="s">
        <v>1</v>
      </c>
      <c r="B3591" t="s">
        <v>19</v>
      </c>
      <c r="C3591" t="s">
        <v>23490</v>
      </c>
      <c r="D3591" t="str">
        <f>HYPERLINK("https://rhld.insurance.arkansas.gov/NPILookup?Npi=1407374002","1407374002")</f>
        <v>1407374002</v>
      </c>
      <c r="E3591" t="s">
        <v>6593</v>
      </c>
    </row>
    <row r="3592" spans="1:5" x14ac:dyDescent="0.25">
      <c r="A3592" t="s">
        <v>1</v>
      </c>
      <c r="B3592" t="s">
        <v>19</v>
      </c>
      <c r="C3592" t="s">
        <v>23490</v>
      </c>
      <c r="D3592" t="str">
        <f>HYPERLINK("https://rhld.insurance.arkansas.gov/NPILookup?Npi=1407376254","1407376254")</f>
        <v>1407376254</v>
      </c>
      <c r="E3592" t="s">
        <v>15090</v>
      </c>
    </row>
    <row r="3593" spans="1:5" x14ac:dyDescent="0.25">
      <c r="A3593" t="s">
        <v>1</v>
      </c>
      <c r="B3593" t="s">
        <v>19</v>
      </c>
      <c r="C3593" t="s">
        <v>23490</v>
      </c>
      <c r="D3593" t="str">
        <f>HYPERLINK("https://rhld.insurance.arkansas.gov/NPILookup?Npi=1407380082","1407380082")</f>
        <v>1407380082</v>
      </c>
      <c r="E3593" t="s">
        <v>15091</v>
      </c>
    </row>
    <row r="3594" spans="1:5" x14ac:dyDescent="0.25">
      <c r="A3594" t="s">
        <v>1</v>
      </c>
      <c r="B3594" t="s">
        <v>19</v>
      </c>
      <c r="C3594" t="s">
        <v>23490</v>
      </c>
      <c r="D3594" t="str">
        <f>HYPERLINK("https://rhld.insurance.arkansas.gov/NPILookup?Npi=1407388267","1407388267")</f>
        <v>1407388267</v>
      </c>
      <c r="E3594" t="s">
        <v>10900</v>
      </c>
    </row>
    <row r="3595" spans="1:5" x14ac:dyDescent="0.25">
      <c r="A3595" t="s">
        <v>1</v>
      </c>
      <c r="B3595" t="s">
        <v>19</v>
      </c>
      <c r="C3595" t="s">
        <v>23490</v>
      </c>
      <c r="D3595" t="str">
        <f>HYPERLINK("https://rhld.insurance.arkansas.gov/NPILookup?Npi=1407391055","1407391055")</f>
        <v>1407391055</v>
      </c>
      <c r="E3595" t="s">
        <v>13525</v>
      </c>
    </row>
    <row r="3596" spans="1:5" x14ac:dyDescent="0.25">
      <c r="A3596" t="s">
        <v>1</v>
      </c>
      <c r="B3596" t="s">
        <v>19</v>
      </c>
      <c r="C3596" t="s">
        <v>23490</v>
      </c>
      <c r="D3596" t="str">
        <f>HYPERLINK("https://rhld.insurance.arkansas.gov/NPILookup?Npi=1407397730","1407397730")</f>
        <v>1407397730</v>
      </c>
      <c r="E3596" t="s">
        <v>17426</v>
      </c>
    </row>
    <row r="3597" spans="1:5" x14ac:dyDescent="0.25">
      <c r="A3597" t="s">
        <v>1</v>
      </c>
      <c r="B3597" t="s">
        <v>19</v>
      </c>
      <c r="C3597" t="s">
        <v>23490</v>
      </c>
      <c r="D3597" t="str">
        <f>HYPERLINK("https://rhld.insurance.arkansas.gov/NPILookup?Npi=1407410905","1407410905")</f>
        <v>1407410905</v>
      </c>
      <c r="E3597" t="s">
        <v>20934</v>
      </c>
    </row>
    <row r="3598" spans="1:5" x14ac:dyDescent="0.25">
      <c r="A3598" t="s">
        <v>1</v>
      </c>
      <c r="B3598" t="s">
        <v>19</v>
      </c>
      <c r="C3598" t="s">
        <v>23490</v>
      </c>
      <c r="D3598" t="str">
        <f>HYPERLINK("https://rhld.insurance.arkansas.gov/NPILookup?Npi=1407414238","1407414238")</f>
        <v>1407414238</v>
      </c>
      <c r="E3598" t="s">
        <v>20935</v>
      </c>
    </row>
    <row r="3599" spans="1:5" x14ac:dyDescent="0.25">
      <c r="A3599" t="s">
        <v>1</v>
      </c>
      <c r="B3599" t="s">
        <v>19</v>
      </c>
      <c r="C3599" t="s">
        <v>23490</v>
      </c>
      <c r="D3599" t="str">
        <f>HYPERLINK("https://rhld.insurance.arkansas.gov/NPILookup?Npi=1407416548","1407416548")</f>
        <v>1407416548</v>
      </c>
      <c r="E3599" t="s">
        <v>16946</v>
      </c>
    </row>
    <row r="3600" spans="1:5" x14ac:dyDescent="0.25">
      <c r="A3600" t="s">
        <v>1</v>
      </c>
      <c r="B3600" t="s">
        <v>19</v>
      </c>
      <c r="C3600" t="s">
        <v>23490</v>
      </c>
      <c r="D3600" t="str">
        <f>HYPERLINK("https://rhld.insurance.arkansas.gov/NPILookup?Npi=1407450539","1407450539")</f>
        <v>1407450539</v>
      </c>
      <c r="E3600" t="s">
        <v>17978</v>
      </c>
    </row>
    <row r="3601" spans="1:5" x14ac:dyDescent="0.25">
      <c r="A3601" t="s">
        <v>1</v>
      </c>
      <c r="B3601" t="s">
        <v>19</v>
      </c>
      <c r="C3601" t="s">
        <v>23490</v>
      </c>
      <c r="D3601" t="str">
        <f>HYPERLINK("https://rhld.insurance.arkansas.gov/NPILookup?Npi=1407463938","1407463938")</f>
        <v>1407463938</v>
      </c>
      <c r="E3601" t="s">
        <v>17979</v>
      </c>
    </row>
    <row r="3602" spans="1:5" x14ac:dyDescent="0.25">
      <c r="A3602" t="s">
        <v>1</v>
      </c>
      <c r="B3602" t="s">
        <v>19</v>
      </c>
      <c r="C3602" t="s">
        <v>23490</v>
      </c>
      <c r="D3602" t="str">
        <f>HYPERLINK("https://rhld.insurance.arkansas.gov/NPILookup?Npi=1407470263","1407470263")</f>
        <v>1407470263</v>
      </c>
      <c r="E3602" t="s">
        <v>19701</v>
      </c>
    </row>
    <row r="3603" spans="1:5" x14ac:dyDescent="0.25">
      <c r="A3603" t="s">
        <v>1</v>
      </c>
      <c r="B3603" t="s">
        <v>19</v>
      </c>
      <c r="C3603" t="s">
        <v>23490</v>
      </c>
      <c r="D3603" t="str">
        <f>HYPERLINK("https://rhld.insurance.arkansas.gov/NPILookup?Npi=1407472020","1407472020")</f>
        <v>1407472020</v>
      </c>
      <c r="E3603" t="s">
        <v>19702</v>
      </c>
    </row>
    <row r="3604" spans="1:5" x14ac:dyDescent="0.25">
      <c r="A3604" t="s">
        <v>1</v>
      </c>
      <c r="B3604" t="s">
        <v>19</v>
      </c>
      <c r="C3604" t="s">
        <v>23490</v>
      </c>
      <c r="D3604" t="str">
        <f>HYPERLINK("https://rhld.insurance.arkansas.gov/NPILookup?Npi=1407522303","1407522303")</f>
        <v>1407522303</v>
      </c>
      <c r="E3604" t="s">
        <v>18770</v>
      </c>
    </row>
    <row r="3605" spans="1:5" x14ac:dyDescent="0.25">
      <c r="A3605" t="s">
        <v>1</v>
      </c>
      <c r="B3605" t="s">
        <v>19</v>
      </c>
      <c r="C3605" t="s">
        <v>23490</v>
      </c>
      <c r="D3605" t="str">
        <f>HYPERLINK("https://rhld.insurance.arkansas.gov/NPILookup?Npi=1407566755","1407566755")</f>
        <v>1407566755</v>
      </c>
      <c r="E3605" t="s">
        <v>21537</v>
      </c>
    </row>
    <row r="3606" spans="1:5" x14ac:dyDescent="0.25">
      <c r="A3606" t="s">
        <v>1</v>
      </c>
      <c r="B3606" t="s">
        <v>19</v>
      </c>
      <c r="C3606" t="s">
        <v>23490</v>
      </c>
      <c r="D3606" t="str">
        <f>HYPERLINK("https://rhld.insurance.arkansas.gov/NPILookup?Npi=1407584527","1407584527")</f>
        <v>1407584527</v>
      </c>
      <c r="E3606" t="s">
        <v>21538</v>
      </c>
    </row>
    <row r="3607" spans="1:5" x14ac:dyDescent="0.25">
      <c r="A3607" t="s">
        <v>1</v>
      </c>
      <c r="B3607" t="s">
        <v>19</v>
      </c>
      <c r="C3607" t="s">
        <v>23490</v>
      </c>
      <c r="D3607" t="str">
        <f>HYPERLINK("https://rhld.insurance.arkansas.gov/NPILookup?Npi=1407585607","1407585607")</f>
        <v>1407585607</v>
      </c>
      <c r="E3607" t="s">
        <v>21397</v>
      </c>
    </row>
    <row r="3608" spans="1:5" x14ac:dyDescent="0.25">
      <c r="A3608" t="s">
        <v>1</v>
      </c>
      <c r="B3608" t="s">
        <v>19</v>
      </c>
      <c r="C3608" t="s">
        <v>23490</v>
      </c>
      <c r="D3608" t="str">
        <f>HYPERLINK("https://rhld.insurance.arkansas.gov/NPILookup?Npi=1407596380","1407596380")</f>
        <v>1407596380</v>
      </c>
      <c r="E3608" t="s">
        <v>19703</v>
      </c>
    </row>
    <row r="3609" spans="1:5" x14ac:dyDescent="0.25">
      <c r="A3609" t="s">
        <v>1</v>
      </c>
      <c r="B3609" t="s">
        <v>19</v>
      </c>
      <c r="C3609" t="s">
        <v>23490</v>
      </c>
      <c r="D3609" t="str">
        <f>HYPERLINK("https://rhld.insurance.arkansas.gov/NPILookup?Npi=1407800048","1407800048")</f>
        <v>1407800048</v>
      </c>
      <c r="E3609" t="s">
        <v>15092</v>
      </c>
    </row>
    <row r="3610" spans="1:5" x14ac:dyDescent="0.25">
      <c r="A3610" t="s">
        <v>1</v>
      </c>
      <c r="B3610" t="s">
        <v>19</v>
      </c>
      <c r="C3610" t="s">
        <v>23490</v>
      </c>
      <c r="D3610" t="str">
        <f>HYPERLINK("https://rhld.insurance.arkansas.gov/NPILookup?Npi=1407806623","1407806623")</f>
        <v>1407806623</v>
      </c>
      <c r="E3610" t="s">
        <v>1438</v>
      </c>
    </row>
    <row r="3611" spans="1:5" x14ac:dyDescent="0.25">
      <c r="A3611" t="s">
        <v>1</v>
      </c>
      <c r="B3611" t="s">
        <v>19</v>
      </c>
      <c r="C3611" t="s">
        <v>23490</v>
      </c>
      <c r="D3611" t="str">
        <f>HYPERLINK("https://rhld.insurance.arkansas.gov/NPILookup?Npi=1407810062","1407810062")</f>
        <v>1407810062</v>
      </c>
      <c r="E3611" t="s">
        <v>16947</v>
      </c>
    </row>
    <row r="3612" spans="1:5" x14ac:dyDescent="0.25">
      <c r="A3612" t="s">
        <v>1</v>
      </c>
      <c r="B3612" t="s">
        <v>19</v>
      </c>
      <c r="C3612" t="s">
        <v>23490</v>
      </c>
      <c r="D3612" t="str">
        <f>HYPERLINK("https://rhld.insurance.arkansas.gov/NPILookup?Npi=1407810641","1407810641")</f>
        <v>1407810641</v>
      </c>
      <c r="E3612" t="s">
        <v>1439</v>
      </c>
    </row>
    <row r="3613" spans="1:5" x14ac:dyDescent="0.25">
      <c r="A3613" t="s">
        <v>1</v>
      </c>
      <c r="B3613" t="s">
        <v>19</v>
      </c>
      <c r="C3613" t="s">
        <v>23490</v>
      </c>
      <c r="D3613" t="str">
        <f>HYPERLINK("https://rhld.insurance.arkansas.gov/NPILookup?Npi=1407810898","1407810898")</f>
        <v>1407810898</v>
      </c>
      <c r="E3613" t="s">
        <v>1440</v>
      </c>
    </row>
    <row r="3614" spans="1:5" x14ac:dyDescent="0.25">
      <c r="A3614" t="s">
        <v>1</v>
      </c>
      <c r="B3614" t="s">
        <v>19</v>
      </c>
      <c r="C3614" t="s">
        <v>23490</v>
      </c>
      <c r="D3614" t="str">
        <f>HYPERLINK("https://rhld.insurance.arkansas.gov/NPILookup?Npi=1407812126","1407812126")</f>
        <v>1407812126</v>
      </c>
      <c r="E3614" t="s">
        <v>1441</v>
      </c>
    </row>
    <row r="3615" spans="1:5" x14ac:dyDescent="0.25">
      <c r="A3615" t="s">
        <v>1</v>
      </c>
      <c r="B3615" t="s">
        <v>19</v>
      </c>
      <c r="C3615" t="s">
        <v>23490</v>
      </c>
      <c r="D3615" t="str">
        <f>HYPERLINK("https://rhld.insurance.arkansas.gov/NPILookup?Npi=1407815467","1407815467")</f>
        <v>1407815467</v>
      </c>
      <c r="E3615" t="s">
        <v>1442</v>
      </c>
    </row>
    <row r="3616" spans="1:5" x14ac:dyDescent="0.25">
      <c r="A3616" t="s">
        <v>1</v>
      </c>
      <c r="B3616" t="s">
        <v>19</v>
      </c>
      <c r="C3616" t="s">
        <v>23490</v>
      </c>
      <c r="D3616" t="str">
        <f>HYPERLINK("https://rhld.insurance.arkansas.gov/NPILookup?Npi=1407830433","1407830433")</f>
        <v>1407830433</v>
      </c>
      <c r="E3616" t="s">
        <v>15093</v>
      </c>
    </row>
    <row r="3617" spans="1:5" x14ac:dyDescent="0.25">
      <c r="A3617" t="s">
        <v>1</v>
      </c>
      <c r="B3617" t="s">
        <v>19</v>
      </c>
      <c r="C3617" t="s">
        <v>23490</v>
      </c>
      <c r="D3617" t="str">
        <f>HYPERLINK("https://rhld.insurance.arkansas.gov/NPILookup?Npi=1407831985","1407831985")</f>
        <v>1407831985</v>
      </c>
      <c r="E3617" t="s">
        <v>8661</v>
      </c>
    </row>
    <row r="3618" spans="1:5" x14ac:dyDescent="0.25">
      <c r="A3618" t="s">
        <v>1</v>
      </c>
      <c r="B3618" t="s">
        <v>19</v>
      </c>
      <c r="C3618" t="s">
        <v>23490</v>
      </c>
      <c r="D3618" t="str">
        <f>HYPERLINK("https://rhld.insurance.arkansas.gov/NPILookup?Npi=1407834096","1407834096")</f>
        <v>1407834096</v>
      </c>
      <c r="E3618" t="s">
        <v>1443</v>
      </c>
    </row>
    <row r="3619" spans="1:5" x14ac:dyDescent="0.25">
      <c r="A3619" t="s">
        <v>1</v>
      </c>
      <c r="B3619" t="s">
        <v>19</v>
      </c>
      <c r="C3619" t="s">
        <v>23490</v>
      </c>
      <c r="D3619" t="str">
        <f>HYPERLINK("https://rhld.insurance.arkansas.gov/NPILookup?Npi=1407842131","1407842131")</f>
        <v>1407842131</v>
      </c>
      <c r="E3619" t="s">
        <v>10901</v>
      </c>
    </row>
    <row r="3620" spans="1:5" x14ac:dyDescent="0.25">
      <c r="A3620" t="s">
        <v>1</v>
      </c>
      <c r="B3620" t="s">
        <v>19</v>
      </c>
      <c r="C3620" t="s">
        <v>23490</v>
      </c>
      <c r="D3620" t="str">
        <f>HYPERLINK("https://rhld.insurance.arkansas.gov/NPILookup?Npi=1407846868","1407846868")</f>
        <v>1407846868</v>
      </c>
      <c r="E3620" t="s">
        <v>1444</v>
      </c>
    </row>
    <row r="3621" spans="1:5" x14ac:dyDescent="0.25">
      <c r="A3621" t="s">
        <v>1</v>
      </c>
      <c r="B3621" t="s">
        <v>19</v>
      </c>
      <c r="C3621" t="s">
        <v>23490</v>
      </c>
      <c r="D3621" t="str">
        <f>HYPERLINK("https://rhld.insurance.arkansas.gov/NPILookup?Npi=1407848922","1407848922")</f>
        <v>1407848922</v>
      </c>
      <c r="E3621" t="s">
        <v>1445</v>
      </c>
    </row>
    <row r="3622" spans="1:5" x14ac:dyDescent="0.25">
      <c r="A3622" t="s">
        <v>1</v>
      </c>
      <c r="B3622" t="s">
        <v>19</v>
      </c>
      <c r="C3622" t="s">
        <v>23490</v>
      </c>
      <c r="D3622" t="str">
        <f>HYPERLINK("https://rhld.insurance.arkansas.gov/NPILookup?Npi=1407848971","1407848971")</f>
        <v>1407848971</v>
      </c>
      <c r="E3622" t="s">
        <v>15094</v>
      </c>
    </row>
    <row r="3623" spans="1:5" x14ac:dyDescent="0.25">
      <c r="A3623" t="s">
        <v>1</v>
      </c>
      <c r="B3623" t="s">
        <v>19</v>
      </c>
      <c r="C3623" t="s">
        <v>23490</v>
      </c>
      <c r="D3623" t="str">
        <f>HYPERLINK("https://rhld.insurance.arkansas.gov/NPILookup?Npi=1407849896","1407849896")</f>
        <v>1407849896</v>
      </c>
      <c r="E3623" t="s">
        <v>1446</v>
      </c>
    </row>
    <row r="3624" spans="1:5" x14ac:dyDescent="0.25">
      <c r="A3624" t="s">
        <v>1</v>
      </c>
      <c r="B3624" t="s">
        <v>19</v>
      </c>
      <c r="C3624" t="s">
        <v>23490</v>
      </c>
      <c r="D3624" t="str">
        <f>HYPERLINK("https://rhld.insurance.arkansas.gov/NPILookup?Npi=1407850019","1407850019")</f>
        <v>1407850019</v>
      </c>
      <c r="E3624" t="s">
        <v>15095</v>
      </c>
    </row>
    <row r="3625" spans="1:5" x14ac:dyDescent="0.25">
      <c r="A3625" t="s">
        <v>1</v>
      </c>
      <c r="B3625" t="s">
        <v>19</v>
      </c>
      <c r="C3625" t="s">
        <v>23490</v>
      </c>
      <c r="D3625" t="str">
        <f>HYPERLINK("https://rhld.insurance.arkansas.gov/NPILookup?Npi=1407852072","1407852072")</f>
        <v>1407852072</v>
      </c>
      <c r="E3625" t="s">
        <v>1449</v>
      </c>
    </row>
    <row r="3626" spans="1:5" x14ac:dyDescent="0.25">
      <c r="A3626" t="s">
        <v>1</v>
      </c>
      <c r="B3626" t="s">
        <v>19</v>
      </c>
      <c r="C3626" t="s">
        <v>23490</v>
      </c>
      <c r="D3626" t="str">
        <f>HYPERLINK("https://rhld.insurance.arkansas.gov/NPILookup?Npi=1407857923","1407857923")</f>
        <v>1407857923</v>
      </c>
      <c r="E3626" t="s">
        <v>1447</v>
      </c>
    </row>
    <row r="3627" spans="1:5" x14ac:dyDescent="0.25">
      <c r="A3627" t="s">
        <v>1</v>
      </c>
      <c r="B3627" t="s">
        <v>19</v>
      </c>
      <c r="C3627" t="s">
        <v>23490</v>
      </c>
      <c r="D3627" t="str">
        <f>HYPERLINK("https://rhld.insurance.arkansas.gov/NPILookup?Npi=1407857998","1407857998")</f>
        <v>1407857998</v>
      </c>
      <c r="E3627" t="s">
        <v>1448</v>
      </c>
    </row>
    <row r="3628" spans="1:5" x14ac:dyDescent="0.25">
      <c r="A3628" t="s">
        <v>1</v>
      </c>
      <c r="B3628" t="s">
        <v>19</v>
      </c>
      <c r="C3628" t="s">
        <v>23490</v>
      </c>
      <c r="D3628" t="str">
        <f>HYPERLINK("https://rhld.insurance.arkansas.gov/NPILookup?Npi=1407858368","1407858368")</f>
        <v>1407858368</v>
      </c>
      <c r="E3628" t="s">
        <v>1449</v>
      </c>
    </row>
    <row r="3629" spans="1:5" x14ac:dyDescent="0.25">
      <c r="A3629" t="s">
        <v>1</v>
      </c>
      <c r="B3629" t="s">
        <v>19</v>
      </c>
      <c r="C3629" t="s">
        <v>23490</v>
      </c>
      <c r="D3629" t="str">
        <f>HYPERLINK("https://rhld.insurance.arkansas.gov/NPILookup?Npi=1407860539","1407860539")</f>
        <v>1407860539</v>
      </c>
      <c r="E3629" t="s">
        <v>1450</v>
      </c>
    </row>
    <row r="3630" spans="1:5" x14ac:dyDescent="0.25">
      <c r="A3630" t="s">
        <v>1</v>
      </c>
      <c r="B3630" t="s">
        <v>19</v>
      </c>
      <c r="C3630" t="s">
        <v>23490</v>
      </c>
      <c r="D3630" t="str">
        <f>HYPERLINK("https://rhld.insurance.arkansas.gov/NPILookup?Npi=1407862527","1407862527")</f>
        <v>1407862527</v>
      </c>
      <c r="E3630" t="s">
        <v>1451</v>
      </c>
    </row>
    <row r="3631" spans="1:5" x14ac:dyDescent="0.25">
      <c r="A3631" t="s">
        <v>1</v>
      </c>
      <c r="B3631" t="s">
        <v>19</v>
      </c>
      <c r="C3631" t="s">
        <v>23490</v>
      </c>
      <c r="D3631" t="str">
        <f>HYPERLINK("https://rhld.insurance.arkansas.gov/NPILookup?Npi=1407870553","1407870553")</f>
        <v>1407870553</v>
      </c>
      <c r="E3631" t="s">
        <v>1452</v>
      </c>
    </row>
    <row r="3632" spans="1:5" x14ac:dyDescent="0.25">
      <c r="A3632" t="s">
        <v>1</v>
      </c>
      <c r="B3632" t="s">
        <v>19</v>
      </c>
      <c r="C3632" t="s">
        <v>23490</v>
      </c>
      <c r="D3632" t="str">
        <f>HYPERLINK("https://rhld.insurance.arkansas.gov/NPILookup?Npi=1407877004","1407877004")</f>
        <v>1407877004</v>
      </c>
      <c r="E3632" t="s">
        <v>1453</v>
      </c>
    </row>
    <row r="3633" spans="1:5" x14ac:dyDescent="0.25">
      <c r="A3633" t="s">
        <v>1</v>
      </c>
      <c r="B3633" t="s">
        <v>19</v>
      </c>
      <c r="C3633" t="s">
        <v>23490</v>
      </c>
      <c r="D3633" t="str">
        <f>HYPERLINK("https://rhld.insurance.arkansas.gov/NPILookup?Npi=1407883820","1407883820")</f>
        <v>1407883820</v>
      </c>
      <c r="E3633" t="s">
        <v>1454</v>
      </c>
    </row>
    <row r="3634" spans="1:5" x14ac:dyDescent="0.25">
      <c r="A3634" t="s">
        <v>1</v>
      </c>
      <c r="B3634" t="s">
        <v>19</v>
      </c>
      <c r="C3634" t="s">
        <v>23490</v>
      </c>
      <c r="D3634" t="str">
        <f>HYPERLINK("https://rhld.insurance.arkansas.gov/NPILookup?Npi=1407884067","1407884067")</f>
        <v>1407884067</v>
      </c>
      <c r="E3634" t="s">
        <v>1455</v>
      </c>
    </row>
    <row r="3635" spans="1:5" x14ac:dyDescent="0.25">
      <c r="A3635" t="s">
        <v>1</v>
      </c>
      <c r="B3635" t="s">
        <v>19</v>
      </c>
      <c r="C3635" t="s">
        <v>23490</v>
      </c>
      <c r="D3635" t="str">
        <f>HYPERLINK("https://rhld.insurance.arkansas.gov/NPILookup?Npi=1407884760","1407884760")</f>
        <v>1407884760</v>
      </c>
      <c r="E3635" t="s">
        <v>1456</v>
      </c>
    </row>
    <row r="3636" spans="1:5" x14ac:dyDescent="0.25">
      <c r="A3636" t="s">
        <v>1</v>
      </c>
      <c r="B3636" t="s">
        <v>19</v>
      </c>
      <c r="C3636" t="s">
        <v>23490</v>
      </c>
      <c r="D3636" t="str">
        <f>HYPERLINK("https://rhld.insurance.arkansas.gov/NPILookup?Npi=1407898588","1407898588")</f>
        <v>1407898588</v>
      </c>
      <c r="E3636" t="s">
        <v>16948</v>
      </c>
    </row>
    <row r="3637" spans="1:5" x14ac:dyDescent="0.25">
      <c r="A3637" t="s">
        <v>1</v>
      </c>
      <c r="B3637" t="s">
        <v>19</v>
      </c>
      <c r="C3637" t="s">
        <v>23490</v>
      </c>
      <c r="D3637" t="str">
        <f>HYPERLINK("https://rhld.insurance.arkansas.gov/NPILookup?Npi=1407913817","1407913817")</f>
        <v>1407913817</v>
      </c>
      <c r="E3637" t="s">
        <v>15096</v>
      </c>
    </row>
    <row r="3638" spans="1:5" x14ac:dyDescent="0.25">
      <c r="A3638" t="s">
        <v>1</v>
      </c>
      <c r="B3638" t="s">
        <v>19</v>
      </c>
      <c r="C3638" t="s">
        <v>23490</v>
      </c>
      <c r="D3638" t="str">
        <f>HYPERLINK("https://rhld.insurance.arkansas.gov/NPILookup?Npi=1407938954","1407938954")</f>
        <v>1407938954</v>
      </c>
      <c r="E3638" t="s">
        <v>13526</v>
      </c>
    </row>
    <row r="3639" spans="1:5" x14ac:dyDescent="0.25">
      <c r="A3639" t="s">
        <v>1</v>
      </c>
      <c r="B3639" t="s">
        <v>19</v>
      </c>
      <c r="C3639" t="s">
        <v>23490</v>
      </c>
      <c r="D3639" t="str">
        <f>HYPERLINK("https://rhld.insurance.arkansas.gov/NPILookup?Npi=1407946973","1407946973")</f>
        <v>1407946973</v>
      </c>
      <c r="E3639" t="s">
        <v>436</v>
      </c>
    </row>
    <row r="3640" spans="1:5" x14ac:dyDescent="0.25">
      <c r="A3640" t="s">
        <v>1</v>
      </c>
      <c r="B3640" t="s">
        <v>19</v>
      </c>
      <c r="C3640" t="s">
        <v>23490</v>
      </c>
      <c r="D3640" t="str">
        <f>HYPERLINK("https://rhld.insurance.arkansas.gov/NPILookup?Npi=1407957632","1407957632")</f>
        <v>1407957632</v>
      </c>
      <c r="E3640" t="s">
        <v>15097</v>
      </c>
    </row>
    <row r="3641" spans="1:5" x14ac:dyDescent="0.25">
      <c r="A3641" t="s">
        <v>1</v>
      </c>
      <c r="B3641" t="s">
        <v>19</v>
      </c>
      <c r="C3641" t="s">
        <v>23490</v>
      </c>
      <c r="D3641" t="str">
        <f>HYPERLINK("https://rhld.insurance.arkansas.gov/NPILookup?Npi=1407963929","1407963929")</f>
        <v>1407963929</v>
      </c>
      <c r="E3641" t="s">
        <v>15098</v>
      </c>
    </row>
    <row r="3642" spans="1:5" x14ac:dyDescent="0.25">
      <c r="A3642" t="s">
        <v>1</v>
      </c>
      <c r="B3642" t="s">
        <v>19</v>
      </c>
      <c r="C3642" t="s">
        <v>23490</v>
      </c>
      <c r="D3642" t="str">
        <f>HYPERLINK("https://rhld.insurance.arkansas.gov/NPILookup?Npi=1417005711","1417005711")</f>
        <v>1417005711</v>
      </c>
      <c r="E3642" t="s">
        <v>1457</v>
      </c>
    </row>
    <row r="3643" spans="1:5" x14ac:dyDescent="0.25">
      <c r="A3643" t="s">
        <v>1</v>
      </c>
      <c r="B3643" t="s">
        <v>19</v>
      </c>
      <c r="C3643" t="s">
        <v>23490</v>
      </c>
      <c r="D3643" t="str">
        <f>HYPERLINK("https://rhld.insurance.arkansas.gov/NPILookup?Npi=1417021007","1417021007")</f>
        <v>1417021007</v>
      </c>
      <c r="E3643" t="s">
        <v>1458</v>
      </c>
    </row>
    <row r="3644" spans="1:5" x14ac:dyDescent="0.25">
      <c r="A3644" t="s">
        <v>1</v>
      </c>
      <c r="B3644" t="s">
        <v>19</v>
      </c>
      <c r="C3644" t="s">
        <v>23490</v>
      </c>
      <c r="D3644" t="str">
        <f>HYPERLINK("https://rhld.insurance.arkansas.gov/NPILookup?Npi=1417026808","1417026808")</f>
        <v>1417026808</v>
      </c>
      <c r="E3644" t="s">
        <v>902</v>
      </c>
    </row>
    <row r="3645" spans="1:5" x14ac:dyDescent="0.25">
      <c r="A3645" t="s">
        <v>1</v>
      </c>
      <c r="B3645" t="s">
        <v>19</v>
      </c>
      <c r="C3645" t="s">
        <v>23490</v>
      </c>
      <c r="D3645" t="str">
        <f>HYPERLINK("https://rhld.insurance.arkansas.gov/NPILookup?Npi=1417044348","1417044348")</f>
        <v>1417044348</v>
      </c>
      <c r="E3645" t="s">
        <v>13527</v>
      </c>
    </row>
    <row r="3646" spans="1:5" x14ac:dyDescent="0.25">
      <c r="A3646" t="s">
        <v>1</v>
      </c>
      <c r="B3646" t="s">
        <v>19</v>
      </c>
      <c r="C3646" t="s">
        <v>23490</v>
      </c>
      <c r="D3646" t="str">
        <f>HYPERLINK("https://rhld.insurance.arkansas.gov/NPILookup?Npi=1417050204","1417050204")</f>
        <v>1417050204</v>
      </c>
      <c r="E3646" t="s">
        <v>10902</v>
      </c>
    </row>
    <row r="3647" spans="1:5" x14ac:dyDescent="0.25">
      <c r="A3647" t="s">
        <v>1</v>
      </c>
      <c r="B3647" t="s">
        <v>19</v>
      </c>
      <c r="C3647" t="s">
        <v>23490</v>
      </c>
      <c r="D3647" t="str">
        <f>HYPERLINK("https://rhld.insurance.arkansas.gov/NPILookup?Npi=1417051129","1417051129")</f>
        <v>1417051129</v>
      </c>
      <c r="E3647" t="s">
        <v>1459</v>
      </c>
    </row>
    <row r="3648" spans="1:5" x14ac:dyDescent="0.25">
      <c r="A3648" t="s">
        <v>1</v>
      </c>
      <c r="B3648" t="s">
        <v>19</v>
      </c>
      <c r="C3648" t="s">
        <v>23490</v>
      </c>
      <c r="D3648" t="str">
        <f>HYPERLINK("https://rhld.insurance.arkansas.gov/NPILookup?Npi=1417056250","1417056250")</f>
        <v>1417056250</v>
      </c>
      <c r="E3648" t="s">
        <v>1460</v>
      </c>
    </row>
    <row r="3649" spans="1:5" x14ac:dyDescent="0.25">
      <c r="A3649" t="s">
        <v>1</v>
      </c>
      <c r="B3649" t="s">
        <v>19</v>
      </c>
      <c r="C3649" t="s">
        <v>23490</v>
      </c>
      <c r="D3649" t="str">
        <f>HYPERLINK("https://rhld.insurance.arkansas.gov/NPILookup?Npi=1417060286","1417060286")</f>
        <v>1417060286</v>
      </c>
      <c r="E3649" t="s">
        <v>1461</v>
      </c>
    </row>
    <row r="3650" spans="1:5" x14ac:dyDescent="0.25">
      <c r="A3650" t="s">
        <v>1</v>
      </c>
      <c r="B3650" t="s">
        <v>19</v>
      </c>
      <c r="C3650" t="s">
        <v>23490</v>
      </c>
      <c r="D3650" t="str">
        <f>HYPERLINK("https://rhld.insurance.arkansas.gov/NPILookup?Npi=1417096058","1417096058")</f>
        <v>1417096058</v>
      </c>
      <c r="E3650" t="s">
        <v>15099</v>
      </c>
    </row>
    <row r="3651" spans="1:5" x14ac:dyDescent="0.25">
      <c r="A3651" t="s">
        <v>1</v>
      </c>
      <c r="B3651" t="s">
        <v>19</v>
      </c>
      <c r="C3651" t="s">
        <v>23490</v>
      </c>
      <c r="D3651" t="str">
        <f>HYPERLINK("https://rhld.insurance.arkansas.gov/NPILookup?Npi=1417104647","1417104647")</f>
        <v>1417104647</v>
      </c>
      <c r="E3651" t="s">
        <v>1462</v>
      </c>
    </row>
    <row r="3652" spans="1:5" x14ac:dyDescent="0.25">
      <c r="A3652" t="s">
        <v>1</v>
      </c>
      <c r="B3652" t="s">
        <v>19</v>
      </c>
      <c r="C3652" t="s">
        <v>23490</v>
      </c>
      <c r="D3652" t="str">
        <f>HYPERLINK("https://rhld.insurance.arkansas.gov/NPILookup?Npi=1417108259","1417108259")</f>
        <v>1417108259</v>
      </c>
      <c r="E3652" t="s">
        <v>10903</v>
      </c>
    </row>
    <row r="3653" spans="1:5" x14ac:dyDescent="0.25">
      <c r="A3653" t="s">
        <v>1</v>
      </c>
      <c r="B3653" t="s">
        <v>19</v>
      </c>
      <c r="C3653" t="s">
        <v>23490</v>
      </c>
      <c r="D3653" t="str">
        <f>HYPERLINK("https://rhld.insurance.arkansas.gov/NPILookup?Npi=1417112442","1417112442")</f>
        <v>1417112442</v>
      </c>
      <c r="E3653" t="s">
        <v>20936</v>
      </c>
    </row>
    <row r="3654" spans="1:5" x14ac:dyDescent="0.25">
      <c r="A3654" t="s">
        <v>1</v>
      </c>
      <c r="B3654" t="s">
        <v>19</v>
      </c>
      <c r="C3654" t="s">
        <v>23490</v>
      </c>
      <c r="D3654" t="str">
        <f>HYPERLINK("https://rhld.insurance.arkansas.gov/NPILookup?Npi=1417118076","1417118076")</f>
        <v>1417118076</v>
      </c>
      <c r="E3654" t="s">
        <v>16949</v>
      </c>
    </row>
    <row r="3655" spans="1:5" x14ac:dyDescent="0.25">
      <c r="A3655" t="s">
        <v>1</v>
      </c>
      <c r="B3655" t="s">
        <v>19</v>
      </c>
      <c r="C3655" t="s">
        <v>23490</v>
      </c>
      <c r="D3655" t="str">
        <f>HYPERLINK("https://rhld.insurance.arkansas.gov/NPILookup?Npi=1417120577","1417120577")</f>
        <v>1417120577</v>
      </c>
      <c r="E3655" t="s">
        <v>5369</v>
      </c>
    </row>
    <row r="3656" spans="1:5" x14ac:dyDescent="0.25">
      <c r="A3656" t="s">
        <v>1</v>
      </c>
      <c r="B3656" t="s">
        <v>19</v>
      </c>
      <c r="C3656" t="s">
        <v>23490</v>
      </c>
      <c r="D3656" t="str">
        <f>HYPERLINK("https://rhld.insurance.arkansas.gov/NPILookup?Npi=1417149253","1417149253")</f>
        <v>1417149253</v>
      </c>
      <c r="E3656" t="s">
        <v>15100</v>
      </c>
    </row>
    <row r="3657" spans="1:5" x14ac:dyDescent="0.25">
      <c r="A3657" t="s">
        <v>1</v>
      </c>
      <c r="B3657" t="s">
        <v>19</v>
      </c>
      <c r="C3657" t="s">
        <v>23490</v>
      </c>
      <c r="D3657" t="str">
        <f>HYPERLINK("https://rhld.insurance.arkansas.gov/NPILookup?Npi=1417155078","1417155078")</f>
        <v>1417155078</v>
      </c>
      <c r="E3657" t="s">
        <v>1463</v>
      </c>
    </row>
    <row r="3658" spans="1:5" x14ac:dyDescent="0.25">
      <c r="A3658" t="s">
        <v>1</v>
      </c>
      <c r="B3658" t="s">
        <v>19</v>
      </c>
      <c r="C3658" t="s">
        <v>23490</v>
      </c>
      <c r="D3658" t="str">
        <f>HYPERLINK("https://rhld.insurance.arkansas.gov/NPILookup?Npi=1417173139","1417173139")</f>
        <v>1417173139</v>
      </c>
      <c r="E3658" t="s">
        <v>1464</v>
      </c>
    </row>
    <row r="3659" spans="1:5" x14ac:dyDescent="0.25">
      <c r="A3659" t="s">
        <v>1</v>
      </c>
      <c r="B3659" t="s">
        <v>19</v>
      </c>
      <c r="C3659" t="s">
        <v>23490</v>
      </c>
      <c r="D3659" t="str">
        <f>HYPERLINK("https://rhld.insurance.arkansas.gov/NPILookup?Npi=1417184383","1417184383")</f>
        <v>1417184383</v>
      </c>
      <c r="E3659" t="s">
        <v>18771</v>
      </c>
    </row>
    <row r="3660" spans="1:5" x14ac:dyDescent="0.25">
      <c r="A3660" t="s">
        <v>1</v>
      </c>
      <c r="B3660" t="s">
        <v>19</v>
      </c>
      <c r="C3660" t="s">
        <v>23490</v>
      </c>
      <c r="D3660" t="str">
        <f>HYPERLINK("https://rhld.insurance.arkansas.gov/NPILookup?Npi=1417192774","1417192774")</f>
        <v>1417192774</v>
      </c>
      <c r="E3660" t="s">
        <v>19704</v>
      </c>
    </row>
    <row r="3661" spans="1:5" x14ac:dyDescent="0.25">
      <c r="A3661" t="s">
        <v>1</v>
      </c>
      <c r="B3661" t="s">
        <v>19</v>
      </c>
      <c r="C3661" t="s">
        <v>23490</v>
      </c>
      <c r="D3661" t="str">
        <f>HYPERLINK("https://rhld.insurance.arkansas.gov/NPILookup?Npi=1417192931","1417192931")</f>
        <v>1417192931</v>
      </c>
      <c r="E3661" t="s">
        <v>1465</v>
      </c>
    </row>
    <row r="3662" spans="1:5" x14ac:dyDescent="0.25">
      <c r="A3662" t="s">
        <v>1</v>
      </c>
      <c r="B3662" t="s">
        <v>19</v>
      </c>
      <c r="C3662" t="s">
        <v>23490</v>
      </c>
      <c r="D3662" t="str">
        <f>HYPERLINK("https://rhld.insurance.arkansas.gov/NPILookup?Npi=1417210543","1417210543")</f>
        <v>1417210543</v>
      </c>
      <c r="E3662" t="s">
        <v>1467</v>
      </c>
    </row>
    <row r="3663" spans="1:5" x14ac:dyDescent="0.25">
      <c r="A3663" t="s">
        <v>1</v>
      </c>
      <c r="B3663" t="s">
        <v>19</v>
      </c>
      <c r="C3663" t="s">
        <v>23490</v>
      </c>
      <c r="D3663" t="str">
        <f>HYPERLINK("https://rhld.insurance.arkansas.gov/NPILookup?Npi=1417212168","1417212168")</f>
        <v>1417212168</v>
      </c>
      <c r="E3663" t="s">
        <v>15101</v>
      </c>
    </row>
    <row r="3664" spans="1:5" x14ac:dyDescent="0.25">
      <c r="A3664" t="s">
        <v>1</v>
      </c>
      <c r="B3664" t="s">
        <v>19</v>
      </c>
      <c r="C3664" t="s">
        <v>23490</v>
      </c>
      <c r="D3664" t="str">
        <f>HYPERLINK("https://rhld.insurance.arkansas.gov/NPILookup?Npi=1417215492","1417215492")</f>
        <v>1417215492</v>
      </c>
      <c r="E3664" t="s">
        <v>19227</v>
      </c>
    </row>
    <row r="3665" spans="1:5" x14ac:dyDescent="0.25">
      <c r="A3665" t="s">
        <v>1</v>
      </c>
      <c r="B3665" t="s">
        <v>19</v>
      </c>
      <c r="C3665" t="s">
        <v>23490</v>
      </c>
      <c r="D3665" t="str">
        <f>HYPERLINK("https://rhld.insurance.arkansas.gov/NPILookup?Npi=1417238924","1417238924")</f>
        <v>1417238924</v>
      </c>
      <c r="E3665" t="s">
        <v>1468</v>
      </c>
    </row>
    <row r="3666" spans="1:5" x14ac:dyDescent="0.25">
      <c r="A3666" t="s">
        <v>1</v>
      </c>
      <c r="B3666" t="s">
        <v>19</v>
      </c>
      <c r="C3666" t="s">
        <v>23490</v>
      </c>
      <c r="D3666" t="str">
        <f>HYPERLINK("https://rhld.insurance.arkansas.gov/NPILookup?Npi=1417240060","1417240060")</f>
        <v>1417240060</v>
      </c>
      <c r="E3666" t="s">
        <v>12839</v>
      </c>
    </row>
    <row r="3667" spans="1:5" x14ac:dyDescent="0.25">
      <c r="A3667" t="s">
        <v>1</v>
      </c>
      <c r="B3667" t="s">
        <v>19</v>
      </c>
      <c r="C3667" t="s">
        <v>23490</v>
      </c>
      <c r="D3667" t="str">
        <f>HYPERLINK("https://rhld.insurance.arkansas.gov/NPILookup?Npi=1417243700","1417243700")</f>
        <v>1417243700</v>
      </c>
      <c r="E3667" t="s">
        <v>10905</v>
      </c>
    </row>
    <row r="3668" spans="1:5" x14ac:dyDescent="0.25">
      <c r="A3668" t="s">
        <v>1</v>
      </c>
      <c r="B3668" t="s">
        <v>19</v>
      </c>
      <c r="C3668" t="s">
        <v>23490</v>
      </c>
      <c r="D3668" t="str">
        <f>HYPERLINK("https://rhld.insurance.arkansas.gov/NPILookup?Npi=1417245572","1417245572")</f>
        <v>1417245572</v>
      </c>
      <c r="E3668" t="s">
        <v>16950</v>
      </c>
    </row>
    <row r="3669" spans="1:5" x14ac:dyDescent="0.25">
      <c r="A3669" t="s">
        <v>1</v>
      </c>
      <c r="B3669" t="s">
        <v>19</v>
      </c>
      <c r="C3669" t="s">
        <v>23490</v>
      </c>
      <c r="D3669" t="str">
        <f>HYPERLINK("https://rhld.insurance.arkansas.gov/NPILookup?Npi=1417246794","1417246794")</f>
        <v>1417246794</v>
      </c>
      <c r="E3669" t="s">
        <v>1469</v>
      </c>
    </row>
    <row r="3670" spans="1:5" x14ac:dyDescent="0.25">
      <c r="A3670" t="s">
        <v>1</v>
      </c>
      <c r="B3670" t="s">
        <v>19</v>
      </c>
      <c r="C3670" t="s">
        <v>23490</v>
      </c>
      <c r="D3670" t="str">
        <f>HYPERLINK("https://rhld.insurance.arkansas.gov/NPILookup?Npi=1417246877","1417246877")</f>
        <v>1417246877</v>
      </c>
      <c r="E3670" t="s">
        <v>10906</v>
      </c>
    </row>
    <row r="3671" spans="1:5" x14ac:dyDescent="0.25">
      <c r="A3671" t="s">
        <v>1</v>
      </c>
      <c r="B3671" t="s">
        <v>19</v>
      </c>
      <c r="C3671" t="s">
        <v>23490</v>
      </c>
      <c r="D3671" t="str">
        <f>HYPERLINK("https://rhld.insurance.arkansas.gov/NPILookup?Npi=1417254780","1417254780")</f>
        <v>1417254780</v>
      </c>
      <c r="E3671" t="s">
        <v>1470</v>
      </c>
    </row>
    <row r="3672" spans="1:5" x14ac:dyDescent="0.25">
      <c r="A3672" t="s">
        <v>1</v>
      </c>
      <c r="B3672" t="s">
        <v>19</v>
      </c>
      <c r="C3672" t="s">
        <v>23490</v>
      </c>
      <c r="D3672" t="str">
        <f>HYPERLINK("https://rhld.insurance.arkansas.gov/NPILookup?Npi=1417290644","1417290644")</f>
        <v>1417290644</v>
      </c>
      <c r="E3672" t="s">
        <v>10907</v>
      </c>
    </row>
    <row r="3673" spans="1:5" x14ac:dyDescent="0.25">
      <c r="A3673" t="s">
        <v>1</v>
      </c>
      <c r="B3673" t="s">
        <v>19</v>
      </c>
      <c r="C3673" t="s">
        <v>23490</v>
      </c>
      <c r="D3673" t="str">
        <f>HYPERLINK("https://rhld.insurance.arkansas.gov/NPILookup?Npi=1417306580","1417306580")</f>
        <v>1417306580</v>
      </c>
      <c r="E3673" t="s">
        <v>19705</v>
      </c>
    </row>
    <row r="3674" spans="1:5" x14ac:dyDescent="0.25">
      <c r="A3674" t="s">
        <v>1</v>
      </c>
      <c r="B3674" t="s">
        <v>19</v>
      </c>
      <c r="C3674" t="s">
        <v>23490</v>
      </c>
      <c r="D3674" t="str">
        <f>HYPERLINK("https://rhld.insurance.arkansas.gov/NPILookup?Npi=1417307547","1417307547")</f>
        <v>1417307547</v>
      </c>
      <c r="E3674" t="s">
        <v>15102</v>
      </c>
    </row>
    <row r="3675" spans="1:5" x14ac:dyDescent="0.25">
      <c r="A3675" t="s">
        <v>1</v>
      </c>
      <c r="B3675" t="s">
        <v>19</v>
      </c>
      <c r="C3675" t="s">
        <v>23490</v>
      </c>
      <c r="D3675" t="str">
        <f>HYPERLINK("https://rhld.insurance.arkansas.gov/NPILookup?Npi=1417315318","1417315318")</f>
        <v>1417315318</v>
      </c>
      <c r="E3675" t="s">
        <v>16951</v>
      </c>
    </row>
    <row r="3676" spans="1:5" x14ac:dyDescent="0.25">
      <c r="A3676" t="s">
        <v>1</v>
      </c>
      <c r="B3676" t="s">
        <v>19</v>
      </c>
      <c r="C3676" t="s">
        <v>23490</v>
      </c>
      <c r="D3676" t="str">
        <f>HYPERLINK("https://rhld.insurance.arkansas.gov/NPILookup?Npi=1417333188","1417333188")</f>
        <v>1417333188</v>
      </c>
      <c r="E3676" t="s">
        <v>19706</v>
      </c>
    </row>
    <row r="3677" spans="1:5" x14ac:dyDescent="0.25">
      <c r="A3677" t="s">
        <v>1</v>
      </c>
      <c r="B3677" t="s">
        <v>19</v>
      </c>
      <c r="C3677" t="s">
        <v>23490</v>
      </c>
      <c r="D3677" t="str">
        <f>HYPERLINK("https://rhld.insurance.arkansas.gov/NPILookup?Npi=1417336348","1417336348")</f>
        <v>1417336348</v>
      </c>
      <c r="E3677" t="s">
        <v>19707</v>
      </c>
    </row>
    <row r="3678" spans="1:5" x14ac:dyDescent="0.25">
      <c r="A3678" t="s">
        <v>1</v>
      </c>
      <c r="B3678" t="s">
        <v>19</v>
      </c>
      <c r="C3678" t="s">
        <v>23490</v>
      </c>
      <c r="D3678" t="str">
        <f>HYPERLINK("https://rhld.insurance.arkansas.gov/NPILookup?Npi=1417340589","1417340589")</f>
        <v>1417340589</v>
      </c>
      <c r="E3678" t="s">
        <v>14001</v>
      </c>
    </row>
    <row r="3679" spans="1:5" x14ac:dyDescent="0.25">
      <c r="A3679" t="s">
        <v>1</v>
      </c>
      <c r="B3679" t="s">
        <v>19</v>
      </c>
      <c r="C3679" t="s">
        <v>23490</v>
      </c>
      <c r="D3679" t="str">
        <f>HYPERLINK("https://rhld.insurance.arkansas.gov/NPILookup?Npi=1417343203","1417343203")</f>
        <v>1417343203</v>
      </c>
      <c r="E3679" t="s">
        <v>8759</v>
      </c>
    </row>
    <row r="3680" spans="1:5" x14ac:dyDescent="0.25">
      <c r="A3680" t="s">
        <v>1</v>
      </c>
      <c r="B3680" t="s">
        <v>19</v>
      </c>
      <c r="C3680" t="s">
        <v>23490</v>
      </c>
      <c r="D3680" t="str">
        <f>HYPERLINK("https://rhld.insurance.arkansas.gov/NPILookup?Npi=1417357468","1417357468")</f>
        <v>1417357468</v>
      </c>
      <c r="E3680" t="s">
        <v>15103</v>
      </c>
    </row>
    <row r="3681" spans="1:5" x14ac:dyDescent="0.25">
      <c r="A3681" t="s">
        <v>1</v>
      </c>
      <c r="B3681" t="s">
        <v>19</v>
      </c>
      <c r="C3681" t="s">
        <v>23490</v>
      </c>
      <c r="D3681" t="str">
        <f>HYPERLINK("https://rhld.insurance.arkansas.gov/NPILookup?Npi=1417372558","1417372558")</f>
        <v>1417372558</v>
      </c>
      <c r="E3681" t="s">
        <v>1471</v>
      </c>
    </row>
    <row r="3682" spans="1:5" x14ac:dyDescent="0.25">
      <c r="A3682" t="s">
        <v>1</v>
      </c>
      <c r="B3682" t="s">
        <v>19</v>
      </c>
      <c r="C3682" t="s">
        <v>23490</v>
      </c>
      <c r="D3682" t="str">
        <f>HYPERLINK("https://rhld.insurance.arkansas.gov/NPILookup?Npi=1417376203","1417376203")</f>
        <v>1417376203</v>
      </c>
      <c r="E3682" t="s">
        <v>10908</v>
      </c>
    </row>
    <row r="3683" spans="1:5" x14ac:dyDescent="0.25">
      <c r="A3683" t="s">
        <v>1</v>
      </c>
      <c r="B3683" t="s">
        <v>19</v>
      </c>
      <c r="C3683" t="s">
        <v>23490</v>
      </c>
      <c r="D3683" t="str">
        <f>HYPERLINK("https://rhld.insurance.arkansas.gov/NPILookup?Npi=1417377334","1417377334")</f>
        <v>1417377334</v>
      </c>
      <c r="E3683" t="s">
        <v>19708</v>
      </c>
    </row>
    <row r="3684" spans="1:5" x14ac:dyDescent="0.25">
      <c r="A3684" t="s">
        <v>1</v>
      </c>
      <c r="B3684" t="s">
        <v>19</v>
      </c>
      <c r="C3684" t="s">
        <v>23490</v>
      </c>
      <c r="D3684" t="str">
        <f>HYPERLINK("https://rhld.insurance.arkansas.gov/NPILookup?Npi=1417385188","1417385188")</f>
        <v>1417385188</v>
      </c>
      <c r="E3684" t="s">
        <v>1472</v>
      </c>
    </row>
    <row r="3685" spans="1:5" x14ac:dyDescent="0.25">
      <c r="A3685" t="s">
        <v>1</v>
      </c>
      <c r="B3685" t="s">
        <v>19</v>
      </c>
      <c r="C3685" t="s">
        <v>23490</v>
      </c>
      <c r="D3685" t="str">
        <f>HYPERLINK("https://rhld.insurance.arkansas.gov/NPILookup?Npi=1417388893","1417388893")</f>
        <v>1417388893</v>
      </c>
      <c r="E3685" t="s">
        <v>15104</v>
      </c>
    </row>
    <row r="3686" spans="1:5" x14ac:dyDescent="0.25">
      <c r="A3686" t="s">
        <v>1</v>
      </c>
      <c r="B3686" t="s">
        <v>19</v>
      </c>
      <c r="C3686" t="s">
        <v>23490</v>
      </c>
      <c r="D3686" t="str">
        <f>HYPERLINK("https://rhld.insurance.arkansas.gov/NPILookup?Npi=1417400656","1417400656")</f>
        <v>1417400656</v>
      </c>
      <c r="E3686" t="s">
        <v>10909</v>
      </c>
    </row>
    <row r="3687" spans="1:5" x14ac:dyDescent="0.25">
      <c r="A3687" t="s">
        <v>1</v>
      </c>
      <c r="B3687" t="s">
        <v>19</v>
      </c>
      <c r="C3687" t="s">
        <v>23490</v>
      </c>
      <c r="D3687" t="str">
        <f>HYPERLINK("https://rhld.insurance.arkansas.gov/NPILookup?Npi=1417425620","1417425620")</f>
        <v>1417425620</v>
      </c>
      <c r="E3687" t="s">
        <v>15105</v>
      </c>
    </row>
    <row r="3688" spans="1:5" x14ac:dyDescent="0.25">
      <c r="A3688" t="s">
        <v>1</v>
      </c>
      <c r="B3688" t="s">
        <v>19</v>
      </c>
      <c r="C3688" t="s">
        <v>23490</v>
      </c>
      <c r="D3688" t="str">
        <f>HYPERLINK("https://rhld.insurance.arkansas.gov/NPILookup?Npi=1417433822","1417433822")</f>
        <v>1417433822</v>
      </c>
      <c r="E3688" t="s">
        <v>19709</v>
      </c>
    </row>
    <row r="3689" spans="1:5" x14ac:dyDescent="0.25">
      <c r="A3689" t="s">
        <v>1</v>
      </c>
      <c r="B3689" t="s">
        <v>19</v>
      </c>
      <c r="C3689" t="s">
        <v>23490</v>
      </c>
      <c r="D3689" t="str">
        <f>HYPERLINK("https://rhld.insurance.arkansas.gov/NPILookup?Npi=1417444050","1417444050")</f>
        <v>1417444050</v>
      </c>
      <c r="E3689" t="s">
        <v>19710</v>
      </c>
    </row>
    <row r="3690" spans="1:5" x14ac:dyDescent="0.25">
      <c r="A3690" t="s">
        <v>1</v>
      </c>
      <c r="B3690" t="s">
        <v>19</v>
      </c>
      <c r="C3690" t="s">
        <v>23490</v>
      </c>
      <c r="D3690" t="str">
        <f>HYPERLINK("https://rhld.insurance.arkansas.gov/NPILookup?Npi=1417456443","1417456443")</f>
        <v>1417456443</v>
      </c>
      <c r="E3690" t="s">
        <v>12840</v>
      </c>
    </row>
    <row r="3691" spans="1:5" x14ac:dyDescent="0.25">
      <c r="A3691" t="s">
        <v>1</v>
      </c>
      <c r="B3691" t="s">
        <v>19</v>
      </c>
      <c r="C3691" t="s">
        <v>23490</v>
      </c>
      <c r="D3691" t="str">
        <f>HYPERLINK("https://rhld.insurance.arkansas.gov/NPILookup?Npi=1417456989","1417456989")</f>
        <v>1417456989</v>
      </c>
      <c r="E3691" t="s">
        <v>13528</v>
      </c>
    </row>
    <row r="3692" spans="1:5" x14ac:dyDescent="0.25">
      <c r="A3692" t="s">
        <v>1</v>
      </c>
      <c r="B3692" t="s">
        <v>19</v>
      </c>
      <c r="C3692" t="s">
        <v>23490</v>
      </c>
      <c r="D3692" t="str">
        <f>HYPERLINK("https://rhld.insurance.arkansas.gov/NPILookup?Npi=1417465998","1417465998")</f>
        <v>1417465998</v>
      </c>
      <c r="E3692" t="s">
        <v>19711</v>
      </c>
    </row>
    <row r="3693" spans="1:5" x14ac:dyDescent="0.25">
      <c r="A3693" t="s">
        <v>1</v>
      </c>
      <c r="B3693" t="s">
        <v>19</v>
      </c>
      <c r="C3693" t="s">
        <v>23490</v>
      </c>
      <c r="D3693" t="str">
        <f>HYPERLINK("https://rhld.insurance.arkansas.gov/NPILookup?Npi=1417479965","1417479965")</f>
        <v>1417479965</v>
      </c>
      <c r="E3693" t="s">
        <v>10910</v>
      </c>
    </row>
    <row r="3694" spans="1:5" x14ac:dyDescent="0.25">
      <c r="A3694" t="s">
        <v>1</v>
      </c>
      <c r="B3694" t="s">
        <v>19</v>
      </c>
      <c r="C3694" t="s">
        <v>23490</v>
      </c>
      <c r="D3694" t="str">
        <f>HYPERLINK("https://rhld.insurance.arkansas.gov/NPILookup?Npi=1417506676","1417506676")</f>
        <v>1417506676</v>
      </c>
      <c r="E3694" t="s">
        <v>15106</v>
      </c>
    </row>
    <row r="3695" spans="1:5" x14ac:dyDescent="0.25">
      <c r="A3695" t="s">
        <v>1</v>
      </c>
      <c r="B3695" t="s">
        <v>19</v>
      </c>
      <c r="C3695" t="s">
        <v>23490</v>
      </c>
      <c r="D3695" t="str">
        <f>HYPERLINK("https://rhld.insurance.arkansas.gov/NPILookup?Npi=1417511551","1417511551")</f>
        <v>1417511551</v>
      </c>
      <c r="E3695" t="s">
        <v>17427</v>
      </c>
    </row>
    <row r="3696" spans="1:5" x14ac:dyDescent="0.25">
      <c r="A3696" t="s">
        <v>1</v>
      </c>
      <c r="B3696" t="s">
        <v>19</v>
      </c>
      <c r="C3696" t="s">
        <v>8427</v>
      </c>
      <c r="D3696" t="str">
        <f>HYPERLINK("https://rhld.insurance.arkansas.gov/NPILookup?Npi=1417512070","1417512070")</f>
        <v>1417512070</v>
      </c>
      <c r="E3696" t="s">
        <v>22929</v>
      </c>
    </row>
    <row r="3697" spans="1:5" x14ac:dyDescent="0.25">
      <c r="A3697" t="s">
        <v>1</v>
      </c>
      <c r="B3697" t="s">
        <v>19</v>
      </c>
      <c r="C3697" t="s">
        <v>23490</v>
      </c>
      <c r="D3697" t="str">
        <f>HYPERLINK("https://rhld.insurance.arkansas.gov/NPILookup?Npi=1417524372","1417524372")</f>
        <v>1417524372</v>
      </c>
      <c r="E3697" t="s">
        <v>18772</v>
      </c>
    </row>
    <row r="3698" spans="1:5" x14ac:dyDescent="0.25">
      <c r="A3698" t="s">
        <v>1</v>
      </c>
      <c r="B3698" t="s">
        <v>19</v>
      </c>
      <c r="C3698" t="s">
        <v>23490</v>
      </c>
      <c r="D3698" t="str">
        <f>HYPERLINK("https://rhld.insurance.arkansas.gov/NPILookup?Npi=1417529553","1417529553")</f>
        <v>1417529553</v>
      </c>
      <c r="E3698" t="s">
        <v>19712</v>
      </c>
    </row>
    <row r="3699" spans="1:5" x14ac:dyDescent="0.25">
      <c r="A3699" t="s">
        <v>1</v>
      </c>
      <c r="B3699" t="s">
        <v>19</v>
      </c>
      <c r="C3699" t="s">
        <v>23490</v>
      </c>
      <c r="D3699" t="str">
        <f>HYPERLINK("https://rhld.insurance.arkansas.gov/NPILookup?Npi=1417532292","1417532292")</f>
        <v>1417532292</v>
      </c>
      <c r="E3699" t="s">
        <v>17980</v>
      </c>
    </row>
    <row r="3700" spans="1:5" x14ac:dyDescent="0.25">
      <c r="A3700" t="s">
        <v>1</v>
      </c>
      <c r="B3700" t="s">
        <v>19</v>
      </c>
      <c r="C3700" t="s">
        <v>23490</v>
      </c>
      <c r="D3700" t="str">
        <f>HYPERLINK("https://rhld.insurance.arkansas.gov/NPILookup?Npi=1417550245","1417550245")</f>
        <v>1417550245</v>
      </c>
      <c r="E3700" t="s">
        <v>19713</v>
      </c>
    </row>
    <row r="3701" spans="1:5" x14ac:dyDescent="0.25">
      <c r="A3701" t="s">
        <v>1</v>
      </c>
      <c r="B3701" t="s">
        <v>19</v>
      </c>
      <c r="C3701" t="s">
        <v>23490</v>
      </c>
      <c r="D3701" t="str">
        <f>HYPERLINK("https://rhld.insurance.arkansas.gov/NPILookup?Npi=1417562224","1417562224")</f>
        <v>1417562224</v>
      </c>
      <c r="E3701" t="s">
        <v>17981</v>
      </c>
    </row>
    <row r="3702" spans="1:5" x14ac:dyDescent="0.25">
      <c r="A3702" t="s">
        <v>1</v>
      </c>
      <c r="B3702" t="s">
        <v>19</v>
      </c>
      <c r="C3702" t="s">
        <v>23490</v>
      </c>
      <c r="D3702" t="str">
        <f>HYPERLINK("https://rhld.insurance.arkansas.gov/NPILookup?Npi=1417562307","1417562307")</f>
        <v>1417562307</v>
      </c>
      <c r="E3702" t="s">
        <v>17982</v>
      </c>
    </row>
    <row r="3703" spans="1:5" x14ac:dyDescent="0.25">
      <c r="A3703" t="s">
        <v>1</v>
      </c>
      <c r="B3703" t="s">
        <v>19</v>
      </c>
      <c r="C3703" t="s">
        <v>23490</v>
      </c>
      <c r="D3703" t="str">
        <f>HYPERLINK("https://rhld.insurance.arkansas.gov/NPILookup?Npi=1417566753","1417566753")</f>
        <v>1417566753</v>
      </c>
      <c r="E3703" t="s">
        <v>17428</v>
      </c>
    </row>
    <row r="3704" spans="1:5" x14ac:dyDescent="0.25">
      <c r="A3704" t="s">
        <v>1</v>
      </c>
      <c r="B3704" t="s">
        <v>19</v>
      </c>
      <c r="C3704" t="s">
        <v>23490</v>
      </c>
      <c r="D3704" t="str">
        <f>HYPERLINK("https://rhld.insurance.arkansas.gov/NPILookup?Npi=1417585845","1417585845")</f>
        <v>1417585845</v>
      </c>
      <c r="E3704" t="s">
        <v>21539</v>
      </c>
    </row>
    <row r="3705" spans="1:5" x14ac:dyDescent="0.25">
      <c r="A3705" t="s">
        <v>1</v>
      </c>
      <c r="B3705" t="s">
        <v>19</v>
      </c>
      <c r="C3705" t="s">
        <v>23490</v>
      </c>
      <c r="D3705" t="str">
        <f>HYPERLINK("https://rhld.insurance.arkansas.gov/NPILookup?Npi=1417587239","1417587239")</f>
        <v>1417587239</v>
      </c>
      <c r="E3705" t="s">
        <v>17983</v>
      </c>
    </row>
    <row r="3706" spans="1:5" x14ac:dyDescent="0.25">
      <c r="A3706" t="s">
        <v>1</v>
      </c>
      <c r="B3706" t="s">
        <v>19</v>
      </c>
      <c r="C3706" t="s">
        <v>23490</v>
      </c>
      <c r="D3706" t="str">
        <f>HYPERLINK("https://rhld.insurance.arkansas.gov/NPILookup?Npi=1417588393","1417588393")</f>
        <v>1417588393</v>
      </c>
      <c r="E3706" t="s">
        <v>19714</v>
      </c>
    </row>
    <row r="3707" spans="1:5" x14ac:dyDescent="0.25">
      <c r="A3707" t="s">
        <v>1</v>
      </c>
      <c r="B3707" t="s">
        <v>19</v>
      </c>
      <c r="C3707" t="s">
        <v>23490</v>
      </c>
      <c r="D3707" t="str">
        <f>HYPERLINK("https://rhld.insurance.arkansas.gov/NPILookup?Npi=1417589144","1417589144")</f>
        <v>1417589144</v>
      </c>
      <c r="E3707" t="s">
        <v>17984</v>
      </c>
    </row>
    <row r="3708" spans="1:5" x14ac:dyDescent="0.25">
      <c r="A3708" t="s">
        <v>1</v>
      </c>
      <c r="B3708" t="s">
        <v>19</v>
      </c>
      <c r="C3708" t="s">
        <v>23490</v>
      </c>
      <c r="D3708" t="str">
        <f>HYPERLINK("https://rhld.insurance.arkansas.gov/NPILookup?Npi=1417607755","1417607755")</f>
        <v>1417607755</v>
      </c>
      <c r="E3708" t="s">
        <v>19715</v>
      </c>
    </row>
    <row r="3709" spans="1:5" x14ac:dyDescent="0.25">
      <c r="A3709" t="s">
        <v>1</v>
      </c>
      <c r="B3709" t="s">
        <v>19</v>
      </c>
      <c r="C3709" t="s">
        <v>23490</v>
      </c>
      <c r="D3709" t="str">
        <f>HYPERLINK("https://rhld.insurance.arkansas.gov/NPILookup?Npi=1417613704","1417613704")</f>
        <v>1417613704</v>
      </c>
      <c r="E3709" t="s">
        <v>19716</v>
      </c>
    </row>
    <row r="3710" spans="1:5" x14ac:dyDescent="0.25">
      <c r="A3710" t="s">
        <v>1</v>
      </c>
      <c r="B3710" t="s">
        <v>19</v>
      </c>
      <c r="C3710" t="s">
        <v>23490</v>
      </c>
      <c r="D3710" t="str">
        <f>HYPERLINK("https://rhld.insurance.arkansas.gov/NPILookup?Npi=1417623398","1417623398")</f>
        <v>1417623398</v>
      </c>
      <c r="E3710" t="s">
        <v>18773</v>
      </c>
    </row>
    <row r="3711" spans="1:5" x14ac:dyDescent="0.25">
      <c r="A3711" t="s">
        <v>1</v>
      </c>
      <c r="B3711" t="s">
        <v>19</v>
      </c>
      <c r="C3711" t="s">
        <v>23490</v>
      </c>
      <c r="D3711" t="str">
        <f>HYPERLINK("https://rhld.insurance.arkansas.gov/NPILookup?Npi=1417686262","1417686262")</f>
        <v>1417686262</v>
      </c>
      <c r="E3711" t="s">
        <v>20937</v>
      </c>
    </row>
    <row r="3712" spans="1:5" x14ac:dyDescent="0.25">
      <c r="A3712" t="s">
        <v>1</v>
      </c>
      <c r="B3712" t="s">
        <v>19</v>
      </c>
      <c r="C3712" t="s">
        <v>23490</v>
      </c>
      <c r="D3712" t="str">
        <f>HYPERLINK("https://rhld.insurance.arkansas.gov/NPILookup?Npi=1417901794","1417901794")</f>
        <v>1417901794</v>
      </c>
      <c r="E3712" t="s">
        <v>15107</v>
      </c>
    </row>
    <row r="3713" spans="1:5" x14ac:dyDescent="0.25">
      <c r="A3713" t="s">
        <v>1</v>
      </c>
      <c r="B3713" t="s">
        <v>19</v>
      </c>
      <c r="C3713" t="s">
        <v>23490</v>
      </c>
      <c r="D3713" t="str">
        <f>HYPERLINK("https://rhld.insurance.arkansas.gov/NPILookup?Npi=1417906827","1417906827")</f>
        <v>1417906827</v>
      </c>
      <c r="E3713" t="s">
        <v>1473</v>
      </c>
    </row>
    <row r="3714" spans="1:5" x14ac:dyDescent="0.25">
      <c r="A3714" t="s">
        <v>1</v>
      </c>
      <c r="B3714" t="s">
        <v>19</v>
      </c>
      <c r="C3714" t="s">
        <v>23490</v>
      </c>
      <c r="D3714" t="str">
        <f>HYPERLINK("https://rhld.insurance.arkansas.gov/NPILookup?Npi=1417908401","1417908401")</f>
        <v>1417908401</v>
      </c>
      <c r="E3714" t="s">
        <v>12841</v>
      </c>
    </row>
    <row r="3715" spans="1:5" x14ac:dyDescent="0.25">
      <c r="A3715" t="s">
        <v>1</v>
      </c>
      <c r="B3715" t="s">
        <v>19</v>
      </c>
      <c r="C3715" t="s">
        <v>23490</v>
      </c>
      <c r="D3715" t="str">
        <f>HYPERLINK("https://rhld.insurance.arkansas.gov/NPILookup?Npi=1417908872","1417908872")</f>
        <v>1417908872</v>
      </c>
      <c r="E3715" t="s">
        <v>1474</v>
      </c>
    </row>
    <row r="3716" spans="1:5" x14ac:dyDescent="0.25">
      <c r="A3716" t="s">
        <v>1</v>
      </c>
      <c r="B3716" t="s">
        <v>19</v>
      </c>
      <c r="C3716" t="s">
        <v>23490</v>
      </c>
      <c r="D3716" t="str">
        <f>HYPERLINK("https://rhld.insurance.arkansas.gov/NPILookup?Npi=1417910670","1417910670")</f>
        <v>1417910670</v>
      </c>
      <c r="E3716" t="s">
        <v>1475</v>
      </c>
    </row>
    <row r="3717" spans="1:5" x14ac:dyDescent="0.25">
      <c r="A3717" t="s">
        <v>1</v>
      </c>
      <c r="B3717" t="s">
        <v>19</v>
      </c>
      <c r="C3717" t="s">
        <v>23490</v>
      </c>
      <c r="D3717" t="str">
        <f>HYPERLINK("https://rhld.insurance.arkansas.gov/NPILookup?Npi=1417910720","1417910720")</f>
        <v>1417910720</v>
      </c>
      <c r="E3717" t="s">
        <v>1476</v>
      </c>
    </row>
    <row r="3718" spans="1:5" x14ac:dyDescent="0.25">
      <c r="A3718" t="s">
        <v>1</v>
      </c>
      <c r="B3718" t="s">
        <v>19</v>
      </c>
      <c r="C3718" t="s">
        <v>23490</v>
      </c>
      <c r="D3718" t="str">
        <f>HYPERLINK("https://rhld.insurance.arkansas.gov/NPILookup?Npi=1417913484","1417913484")</f>
        <v>1417913484</v>
      </c>
      <c r="E3718" t="s">
        <v>1477</v>
      </c>
    </row>
    <row r="3719" spans="1:5" x14ac:dyDescent="0.25">
      <c r="A3719" t="s">
        <v>1</v>
      </c>
      <c r="B3719" t="s">
        <v>19</v>
      </c>
      <c r="C3719" t="s">
        <v>23490</v>
      </c>
      <c r="D3719" t="str">
        <f>HYPERLINK("https://rhld.insurance.arkansas.gov/NPILookup?Npi=1417916933","1417916933")</f>
        <v>1417916933</v>
      </c>
      <c r="E3719" t="s">
        <v>15108</v>
      </c>
    </row>
    <row r="3720" spans="1:5" x14ac:dyDescent="0.25">
      <c r="A3720" t="s">
        <v>1</v>
      </c>
      <c r="B3720" t="s">
        <v>19</v>
      </c>
      <c r="C3720" t="s">
        <v>23490</v>
      </c>
      <c r="D3720" t="str">
        <f>HYPERLINK("https://rhld.insurance.arkansas.gov/NPILookup?Npi=1417918426","1417918426")</f>
        <v>1417918426</v>
      </c>
      <c r="E3720" t="s">
        <v>1478</v>
      </c>
    </row>
    <row r="3721" spans="1:5" x14ac:dyDescent="0.25">
      <c r="A3721" t="s">
        <v>1</v>
      </c>
      <c r="B3721" t="s">
        <v>19</v>
      </c>
      <c r="C3721" t="s">
        <v>23490</v>
      </c>
      <c r="D3721" t="str">
        <f>HYPERLINK("https://rhld.insurance.arkansas.gov/NPILookup?Npi=1417921156","1417921156")</f>
        <v>1417921156</v>
      </c>
      <c r="E3721" t="s">
        <v>13529</v>
      </c>
    </row>
    <row r="3722" spans="1:5" x14ac:dyDescent="0.25">
      <c r="A3722" t="s">
        <v>1</v>
      </c>
      <c r="B3722" t="s">
        <v>19</v>
      </c>
      <c r="C3722" t="s">
        <v>23490</v>
      </c>
      <c r="D3722" t="str">
        <f>HYPERLINK("https://rhld.insurance.arkansas.gov/NPILookup?Npi=1417922667","1417922667")</f>
        <v>1417922667</v>
      </c>
      <c r="E3722" t="s">
        <v>1479</v>
      </c>
    </row>
    <row r="3723" spans="1:5" x14ac:dyDescent="0.25">
      <c r="A3723" t="s">
        <v>1</v>
      </c>
      <c r="B3723" t="s">
        <v>19</v>
      </c>
      <c r="C3723" t="s">
        <v>23490</v>
      </c>
      <c r="D3723" t="str">
        <f>HYPERLINK("https://rhld.insurance.arkansas.gov/NPILookup?Npi=1417922709","1417922709")</f>
        <v>1417922709</v>
      </c>
      <c r="E3723" t="s">
        <v>1480</v>
      </c>
    </row>
    <row r="3724" spans="1:5" x14ac:dyDescent="0.25">
      <c r="A3724" t="s">
        <v>1</v>
      </c>
      <c r="B3724" t="s">
        <v>19</v>
      </c>
      <c r="C3724" t="s">
        <v>23490</v>
      </c>
      <c r="D3724" t="str">
        <f>HYPERLINK("https://rhld.insurance.arkansas.gov/NPILookup?Npi=1417925314","1417925314")</f>
        <v>1417925314</v>
      </c>
      <c r="E3724" t="s">
        <v>1481</v>
      </c>
    </row>
    <row r="3725" spans="1:5" x14ac:dyDescent="0.25">
      <c r="A3725" t="s">
        <v>1</v>
      </c>
      <c r="B3725" t="s">
        <v>19</v>
      </c>
      <c r="C3725" t="s">
        <v>23490</v>
      </c>
      <c r="D3725" t="str">
        <f>HYPERLINK("https://rhld.insurance.arkansas.gov/NPILookup?Npi=1417927369","1417927369")</f>
        <v>1417927369</v>
      </c>
      <c r="E3725" t="s">
        <v>1482</v>
      </c>
    </row>
    <row r="3726" spans="1:5" x14ac:dyDescent="0.25">
      <c r="A3726" t="s">
        <v>1</v>
      </c>
      <c r="B3726" t="s">
        <v>19</v>
      </c>
      <c r="C3726" t="s">
        <v>23490</v>
      </c>
      <c r="D3726" t="str">
        <f>HYPERLINK("https://rhld.insurance.arkansas.gov/NPILookup?Npi=1417929316","1417929316")</f>
        <v>1417929316</v>
      </c>
      <c r="E3726" t="s">
        <v>1483</v>
      </c>
    </row>
    <row r="3727" spans="1:5" x14ac:dyDescent="0.25">
      <c r="A3727" t="s">
        <v>1</v>
      </c>
      <c r="B3727" t="s">
        <v>19</v>
      </c>
      <c r="C3727" t="s">
        <v>23490</v>
      </c>
      <c r="D3727" t="str">
        <f>HYPERLINK("https://rhld.insurance.arkansas.gov/NPILookup?Npi=1417941022","1417941022")</f>
        <v>1417941022</v>
      </c>
      <c r="E3727" t="s">
        <v>1484</v>
      </c>
    </row>
    <row r="3728" spans="1:5" x14ac:dyDescent="0.25">
      <c r="A3728" t="s">
        <v>1</v>
      </c>
      <c r="B3728" t="s">
        <v>19</v>
      </c>
      <c r="C3728" t="s">
        <v>23490</v>
      </c>
      <c r="D3728" t="str">
        <f>HYPERLINK("https://rhld.insurance.arkansas.gov/NPILookup?Npi=1417947672","1417947672")</f>
        <v>1417947672</v>
      </c>
      <c r="E3728" t="s">
        <v>1485</v>
      </c>
    </row>
    <row r="3729" spans="1:5" x14ac:dyDescent="0.25">
      <c r="A3729" t="s">
        <v>1</v>
      </c>
      <c r="B3729" t="s">
        <v>19</v>
      </c>
      <c r="C3729" t="s">
        <v>23490</v>
      </c>
      <c r="D3729" t="str">
        <f>HYPERLINK("https://rhld.insurance.arkansas.gov/NPILookup?Npi=1417953233","1417953233")</f>
        <v>1417953233</v>
      </c>
      <c r="E3729" t="s">
        <v>15109</v>
      </c>
    </row>
    <row r="3730" spans="1:5" x14ac:dyDescent="0.25">
      <c r="A3730" t="s">
        <v>1</v>
      </c>
      <c r="B3730" t="s">
        <v>19</v>
      </c>
      <c r="C3730" t="s">
        <v>23490</v>
      </c>
      <c r="D3730" t="str">
        <f>HYPERLINK("https://rhld.insurance.arkansas.gov/NPILookup?Npi=1417955766","1417955766")</f>
        <v>1417955766</v>
      </c>
      <c r="E3730" t="s">
        <v>13530</v>
      </c>
    </row>
    <row r="3731" spans="1:5" x14ac:dyDescent="0.25">
      <c r="A3731" t="s">
        <v>1</v>
      </c>
      <c r="B3731" t="s">
        <v>19</v>
      </c>
      <c r="C3731" t="s">
        <v>23490</v>
      </c>
      <c r="D3731" t="str">
        <f>HYPERLINK("https://rhld.insurance.arkansas.gov/NPILookup?Npi=1417958919","1417958919")</f>
        <v>1417958919</v>
      </c>
      <c r="E3731" t="s">
        <v>1486</v>
      </c>
    </row>
    <row r="3732" spans="1:5" x14ac:dyDescent="0.25">
      <c r="A3732" t="s">
        <v>1</v>
      </c>
      <c r="B3732" t="s">
        <v>19</v>
      </c>
      <c r="C3732" t="s">
        <v>23490</v>
      </c>
      <c r="D3732" t="str">
        <f>HYPERLINK("https://rhld.insurance.arkansas.gov/NPILookup?Npi=1417964107","1417964107")</f>
        <v>1417964107</v>
      </c>
      <c r="E3732" t="s">
        <v>1487</v>
      </c>
    </row>
    <row r="3733" spans="1:5" x14ac:dyDescent="0.25">
      <c r="A3733" t="s">
        <v>1</v>
      </c>
      <c r="B3733" t="s">
        <v>19</v>
      </c>
      <c r="C3733" t="s">
        <v>23490</v>
      </c>
      <c r="D3733" t="str">
        <f>HYPERLINK("https://rhld.insurance.arkansas.gov/NPILookup?Npi=1417969478","1417969478")</f>
        <v>1417969478</v>
      </c>
      <c r="E3733" t="s">
        <v>1488</v>
      </c>
    </row>
    <row r="3734" spans="1:5" x14ac:dyDescent="0.25">
      <c r="A3734" t="s">
        <v>1</v>
      </c>
      <c r="B3734" t="s">
        <v>19</v>
      </c>
      <c r="C3734" t="s">
        <v>23490</v>
      </c>
      <c r="D3734" t="str">
        <f>HYPERLINK("https://rhld.insurance.arkansas.gov/NPILookup?Npi=1417975731","1417975731")</f>
        <v>1417975731</v>
      </c>
      <c r="E3734" t="s">
        <v>15110</v>
      </c>
    </row>
    <row r="3735" spans="1:5" x14ac:dyDescent="0.25">
      <c r="A3735" t="s">
        <v>1</v>
      </c>
      <c r="B3735" t="s">
        <v>19</v>
      </c>
      <c r="C3735" t="s">
        <v>23490</v>
      </c>
      <c r="D3735" t="str">
        <f>HYPERLINK("https://rhld.insurance.arkansas.gov/NPILookup?Npi=1417976028","1417976028")</f>
        <v>1417976028</v>
      </c>
      <c r="E3735" t="s">
        <v>15111</v>
      </c>
    </row>
    <row r="3736" spans="1:5" x14ac:dyDescent="0.25">
      <c r="A3736" t="s">
        <v>1</v>
      </c>
      <c r="B3736" t="s">
        <v>19</v>
      </c>
      <c r="C3736" t="s">
        <v>23490</v>
      </c>
      <c r="D3736" t="str">
        <f>HYPERLINK("https://rhld.insurance.arkansas.gov/NPILookup?Npi=1417980384","1417980384")</f>
        <v>1417980384</v>
      </c>
      <c r="E3736" t="s">
        <v>1489</v>
      </c>
    </row>
    <row r="3737" spans="1:5" x14ac:dyDescent="0.25">
      <c r="A3737" t="s">
        <v>1</v>
      </c>
      <c r="B3737" t="s">
        <v>19</v>
      </c>
      <c r="C3737" t="s">
        <v>23490</v>
      </c>
      <c r="D3737" t="str">
        <f>HYPERLINK("https://rhld.insurance.arkansas.gov/NPILookup?Npi=1417980533","1417980533")</f>
        <v>1417980533</v>
      </c>
      <c r="E3737" t="s">
        <v>1490</v>
      </c>
    </row>
    <row r="3738" spans="1:5" x14ac:dyDescent="0.25">
      <c r="A3738" t="s">
        <v>1</v>
      </c>
      <c r="B3738" t="s">
        <v>19</v>
      </c>
      <c r="C3738" t="s">
        <v>23490</v>
      </c>
      <c r="D3738" t="str">
        <f>HYPERLINK("https://rhld.insurance.arkansas.gov/NPILookup?Npi=1417986027","1417986027")</f>
        <v>1417986027</v>
      </c>
      <c r="E3738" t="s">
        <v>1491</v>
      </c>
    </row>
    <row r="3739" spans="1:5" x14ac:dyDescent="0.25">
      <c r="A3739" t="s">
        <v>1</v>
      </c>
      <c r="B3739" t="s">
        <v>19</v>
      </c>
      <c r="C3739" t="s">
        <v>23490</v>
      </c>
      <c r="D3739" t="str">
        <f>HYPERLINK("https://rhld.insurance.arkansas.gov/NPILookup?Npi=1417993379","1417993379")</f>
        <v>1417993379</v>
      </c>
      <c r="E3739" t="s">
        <v>1492</v>
      </c>
    </row>
    <row r="3740" spans="1:5" x14ac:dyDescent="0.25">
      <c r="A3740" t="s">
        <v>1</v>
      </c>
      <c r="B3740" t="s">
        <v>19</v>
      </c>
      <c r="C3740" t="s">
        <v>23490</v>
      </c>
      <c r="D3740" t="str">
        <f>HYPERLINK("https://rhld.insurance.arkansas.gov/NPILookup?Npi=1417995457","1417995457")</f>
        <v>1417995457</v>
      </c>
      <c r="E3740" t="s">
        <v>1493</v>
      </c>
    </row>
    <row r="3741" spans="1:5" x14ac:dyDescent="0.25">
      <c r="A3741" t="s">
        <v>1</v>
      </c>
      <c r="B3741" t="s">
        <v>19</v>
      </c>
      <c r="C3741" t="s">
        <v>23490</v>
      </c>
      <c r="D3741" t="str">
        <f>HYPERLINK("https://rhld.insurance.arkansas.gov/NPILookup?Npi=1427002146","1427002146")</f>
        <v>1427002146</v>
      </c>
      <c r="E3741" t="s">
        <v>8662</v>
      </c>
    </row>
    <row r="3742" spans="1:5" x14ac:dyDescent="0.25">
      <c r="A3742" t="s">
        <v>1</v>
      </c>
      <c r="B3742" t="s">
        <v>19</v>
      </c>
      <c r="C3742" t="s">
        <v>23490</v>
      </c>
      <c r="D3742" t="str">
        <f>HYPERLINK("https://rhld.insurance.arkansas.gov/NPILookup?Npi=1427005792","1427005792")</f>
        <v>1427005792</v>
      </c>
      <c r="E3742" t="s">
        <v>1494</v>
      </c>
    </row>
    <row r="3743" spans="1:5" x14ac:dyDescent="0.25">
      <c r="A3743" t="s">
        <v>1</v>
      </c>
      <c r="B3743" t="s">
        <v>19</v>
      </c>
      <c r="C3743" t="s">
        <v>23490</v>
      </c>
      <c r="D3743" t="str">
        <f>HYPERLINK("https://rhld.insurance.arkansas.gov/NPILookup?Npi=1427011410","1427011410")</f>
        <v>1427011410</v>
      </c>
      <c r="E3743" t="s">
        <v>1495</v>
      </c>
    </row>
    <row r="3744" spans="1:5" x14ac:dyDescent="0.25">
      <c r="A3744" t="s">
        <v>1</v>
      </c>
      <c r="B3744" t="s">
        <v>19</v>
      </c>
      <c r="C3744" t="s">
        <v>23490</v>
      </c>
      <c r="D3744" t="str">
        <f>HYPERLINK("https://rhld.insurance.arkansas.gov/NPILookup?Npi=1427013945","1427013945")</f>
        <v>1427013945</v>
      </c>
      <c r="E3744" t="s">
        <v>1496</v>
      </c>
    </row>
    <row r="3745" spans="1:5" x14ac:dyDescent="0.25">
      <c r="A3745" t="s">
        <v>1</v>
      </c>
      <c r="B3745" t="s">
        <v>19</v>
      </c>
      <c r="C3745" t="s">
        <v>23490</v>
      </c>
      <c r="D3745" t="str">
        <f>HYPERLINK("https://rhld.insurance.arkansas.gov/NPILookup?Npi=1427014901","1427014901")</f>
        <v>1427014901</v>
      </c>
      <c r="E3745" t="s">
        <v>1497</v>
      </c>
    </row>
    <row r="3746" spans="1:5" x14ac:dyDescent="0.25">
      <c r="A3746" t="s">
        <v>1</v>
      </c>
      <c r="B3746" t="s">
        <v>19</v>
      </c>
      <c r="C3746" t="s">
        <v>23490</v>
      </c>
      <c r="D3746" t="str">
        <f>HYPERLINK("https://rhld.insurance.arkansas.gov/NPILookup?Npi=1427018043","1427018043")</f>
        <v>1427018043</v>
      </c>
      <c r="E3746" t="s">
        <v>1498</v>
      </c>
    </row>
    <row r="3747" spans="1:5" x14ac:dyDescent="0.25">
      <c r="A3747" t="s">
        <v>1</v>
      </c>
      <c r="B3747" t="s">
        <v>19</v>
      </c>
      <c r="C3747" t="s">
        <v>23490</v>
      </c>
      <c r="D3747" t="str">
        <f>HYPERLINK("https://rhld.insurance.arkansas.gov/NPILookup?Npi=1427026939","1427026939")</f>
        <v>1427026939</v>
      </c>
      <c r="E3747" t="s">
        <v>1499</v>
      </c>
    </row>
    <row r="3748" spans="1:5" x14ac:dyDescent="0.25">
      <c r="A3748" t="s">
        <v>1</v>
      </c>
      <c r="B3748" t="s">
        <v>19</v>
      </c>
      <c r="C3748" t="s">
        <v>23490</v>
      </c>
      <c r="D3748" t="str">
        <f>HYPERLINK("https://rhld.insurance.arkansas.gov/NPILookup?Npi=1427031038","1427031038")</f>
        <v>1427031038</v>
      </c>
      <c r="E3748" t="s">
        <v>1500</v>
      </c>
    </row>
    <row r="3749" spans="1:5" x14ac:dyDescent="0.25">
      <c r="A3749" t="s">
        <v>1</v>
      </c>
      <c r="B3749" t="s">
        <v>19</v>
      </c>
      <c r="C3749" t="s">
        <v>23490</v>
      </c>
      <c r="D3749" t="str">
        <f>HYPERLINK("https://rhld.insurance.arkansas.gov/NPILookup?Npi=1427037670","1427037670")</f>
        <v>1427037670</v>
      </c>
      <c r="E3749" t="s">
        <v>15112</v>
      </c>
    </row>
    <row r="3750" spans="1:5" x14ac:dyDescent="0.25">
      <c r="A3750" t="s">
        <v>1</v>
      </c>
      <c r="B3750" t="s">
        <v>19</v>
      </c>
      <c r="C3750" t="s">
        <v>23490</v>
      </c>
      <c r="D3750" t="str">
        <f>HYPERLINK("https://rhld.insurance.arkansas.gov/NPILookup?Npi=1427038082","1427038082")</f>
        <v>1427038082</v>
      </c>
      <c r="E3750" t="s">
        <v>1501</v>
      </c>
    </row>
    <row r="3751" spans="1:5" x14ac:dyDescent="0.25">
      <c r="A3751" t="s">
        <v>1</v>
      </c>
      <c r="B3751" t="s">
        <v>19</v>
      </c>
      <c r="C3751" t="s">
        <v>23490</v>
      </c>
      <c r="D3751" t="str">
        <f>HYPERLINK("https://rhld.insurance.arkansas.gov/NPILookup?Npi=1427038678","1427038678")</f>
        <v>1427038678</v>
      </c>
      <c r="E3751" t="s">
        <v>1502</v>
      </c>
    </row>
    <row r="3752" spans="1:5" x14ac:dyDescent="0.25">
      <c r="A3752" t="s">
        <v>1</v>
      </c>
      <c r="B3752" t="s">
        <v>19</v>
      </c>
      <c r="C3752" t="s">
        <v>23490</v>
      </c>
      <c r="D3752" t="str">
        <f>HYPERLINK("https://rhld.insurance.arkansas.gov/NPILookup?Npi=1427044999","1427044999")</f>
        <v>1427044999</v>
      </c>
      <c r="E3752" t="s">
        <v>1503</v>
      </c>
    </row>
    <row r="3753" spans="1:5" x14ac:dyDescent="0.25">
      <c r="A3753" t="s">
        <v>1</v>
      </c>
      <c r="B3753" t="s">
        <v>19</v>
      </c>
      <c r="C3753" t="s">
        <v>23490</v>
      </c>
      <c r="D3753" t="str">
        <f>HYPERLINK("https://rhld.insurance.arkansas.gov/NPILookup?Npi=1427060698","1427060698")</f>
        <v>1427060698</v>
      </c>
      <c r="E3753" t="s">
        <v>1504</v>
      </c>
    </row>
    <row r="3754" spans="1:5" x14ac:dyDescent="0.25">
      <c r="A3754" t="s">
        <v>1</v>
      </c>
      <c r="B3754" t="s">
        <v>19</v>
      </c>
      <c r="C3754" t="s">
        <v>23490</v>
      </c>
      <c r="D3754" t="str">
        <f>HYPERLINK("https://rhld.insurance.arkansas.gov/NPILookup?Npi=1427062058","1427062058")</f>
        <v>1427062058</v>
      </c>
      <c r="E3754" t="s">
        <v>1505</v>
      </c>
    </row>
    <row r="3755" spans="1:5" x14ac:dyDescent="0.25">
      <c r="A3755" t="s">
        <v>1</v>
      </c>
      <c r="B3755" t="s">
        <v>19</v>
      </c>
      <c r="C3755" t="s">
        <v>23490</v>
      </c>
      <c r="D3755" t="str">
        <f>HYPERLINK("https://rhld.insurance.arkansas.gov/NPILookup?Npi=1427067867","1427067867")</f>
        <v>1427067867</v>
      </c>
      <c r="E3755" t="s">
        <v>1506</v>
      </c>
    </row>
    <row r="3756" spans="1:5" x14ac:dyDescent="0.25">
      <c r="A3756" t="s">
        <v>1</v>
      </c>
      <c r="B3756" t="s">
        <v>19</v>
      </c>
      <c r="C3756" t="s">
        <v>23490</v>
      </c>
      <c r="D3756" t="str">
        <f>HYPERLINK("https://rhld.insurance.arkansas.gov/NPILookup?Npi=1427069616","1427069616")</f>
        <v>1427069616</v>
      </c>
      <c r="E3756" t="s">
        <v>8663</v>
      </c>
    </row>
    <row r="3757" spans="1:5" x14ac:dyDescent="0.25">
      <c r="A3757" t="s">
        <v>1</v>
      </c>
      <c r="B3757" t="s">
        <v>19</v>
      </c>
      <c r="C3757" t="s">
        <v>23490</v>
      </c>
      <c r="D3757" t="str">
        <f>HYPERLINK("https://rhld.insurance.arkansas.gov/NPILookup?Npi=1427070606","1427070606")</f>
        <v>1427070606</v>
      </c>
      <c r="E3757" t="s">
        <v>1507</v>
      </c>
    </row>
    <row r="3758" spans="1:5" x14ac:dyDescent="0.25">
      <c r="A3758" t="s">
        <v>1</v>
      </c>
      <c r="B3758" t="s">
        <v>19</v>
      </c>
      <c r="C3758" t="s">
        <v>23490</v>
      </c>
      <c r="D3758" t="str">
        <f>HYPERLINK("https://rhld.insurance.arkansas.gov/NPILookup?Npi=1427073170","1427073170")</f>
        <v>1427073170</v>
      </c>
      <c r="E3758" t="s">
        <v>1508</v>
      </c>
    </row>
    <row r="3759" spans="1:5" x14ac:dyDescent="0.25">
      <c r="A3759" t="s">
        <v>1</v>
      </c>
      <c r="B3759" t="s">
        <v>19</v>
      </c>
      <c r="C3759" t="s">
        <v>23490</v>
      </c>
      <c r="D3759" t="str">
        <f>HYPERLINK("https://rhld.insurance.arkansas.gov/NPILookup?Npi=1427083351","1427083351")</f>
        <v>1427083351</v>
      </c>
      <c r="E3759" t="s">
        <v>1509</v>
      </c>
    </row>
    <row r="3760" spans="1:5" x14ac:dyDescent="0.25">
      <c r="A3760" t="s">
        <v>1</v>
      </c>
      <c r="B3760" t="s">
        <v>19</v>
      </c>
      <c r="C3760" t="s">
        <v>23490</v>
      </c>
      <c r="D3760" t="str">
        <f>HYPERLINK("https://rhld.insurance.arkansas.gov/NPILookup?Npi=1427083922","1427083922")</f>
        <v>1427083922</v>
      </c>
      <c r="E3760" t="s">
        <v>15113</v>
      </c>
    </row>
    <row r="3761" spans="1:5" x14ac:dyDescent="0.25">
      <c r="A3761" t="s">
        <v>1</v>
      </c>
      <c r="B3761" t="s">
        <v>19</v>
      </c>
      <c r="C3761" t="s">
        <v>23490</v>
      </c>
      <c r="D3761" t="str">
        <f>HYPERLINK("https://rhld.insurance.arkansas.gov/NPILookup?Npi=1427085075","1427085075")</f>
        <v>1427085075</v>
      </c>
      <c r="E3761" t="s">
        <v>1510</v>
      </c>
    </row>
    <row r="3762" spans="1:5" x14ac:dyDescent="0.25">
      <c r="A3762" t="s">
        <v>1</v>
      </c>
      <c r="B3762" t="s">
        <v>19</v>
      </c>
      <c r="C3762" t="s">
        <v>23490</v>
      </c>
      <c r="D3762" t="str">
        <f>HYPERLINK("https://rhld.insurance.arkansas.gov/NPILookup?Npi=1427085851","1427085851")</f>
        <v>1427085851</v>
      </c>
      <c r="E3762" t="s">
        <v>1511</v>
      </c>
    </row>
    <row r="3763" spans="1:5" x14ac:dyDescent="0.25">
      <c r="A3763" t="s">
        <v>1</v>
      </c>
      <c r="B3763" t="s">
        <v>19</v>
      </c>
      <c r="C3763" t="s">
        <v>23490</v>
      </c>
      <c r="D3763" t="str">
        <f>HYPERLINK("https://rhld.insurance.arkansas.gov/NPILookup?Npi=1427088814","1427088814")</f>
        <v>1427088814</v>
      </c>
      <c r="E3763" t="s">
        <v>1512</v>
      </c>
    </row>
    <row r="3764" spans="1:5" x14ac:dyDescent="0.25">
      <c r="A3764" t="s">
        <v>1</v>
      </c>
      <c r="B3764" t="s">
        <v>19</v>
      </c>
      <c r="C3764" t="s">
        <v>23490</v>
      </c>
      <c r="D3764" t="str">
        <f>HYPERLINK("https://rhld.insurance.arkansas.gov/NPILookup?Npi=1427090372","1427090372")</f>
        <v>1427090372</v>
      </c>
      <c r="E3764" t="s">
        <v>1513</v>
      </c>
    </row>
    <row r="3765" spans="1:5" x14ac:dyDescent="0.25">
      <c r="A3765" t="s">
        <v>1</v>
      </c>
      <c r="B3765" t="s">
        <v>19</v>
      </c>
      <c r="C3765" t="s">
        <v>23490</v>
      </c>
      <c r="D3765" t="str">
        <f>HYPERLINK("https://rhld.insurance.arkansas.gov/NPILookup?Npi=1427098508","1427098508")</f>
        <v>1427098508</v>
      </c>
      <c r="E3765" t="s">
        <v>1514</v>
      </c>
    </row>
    <row r="3766" spans="1:5" x14ac:dyDescent="0.25">
      <c r="A3766" t="s">
        <v>1</v>
      </c>
      <c r="B3766" t="s">
        <v>19</v>
      </c>
      <c r="C3766" t="s">
        <v>23490</v>
      </c>
      <c r="D3766" t="str">
        <f>HYPERLINK("https://rhld.insurance.arkansas.gov/NPILookup?Npi=1427105667","1427105667")</f>
        <v>1427105667</v>
      </c>
      <c r="E3766" t="s">
        <v>1515</v>
      </c>
    </row>
    <row r="3767" spans="1:5" x14ac:dyDescent="0.25">
      <c r="A3767" t="s">
        <v>1</v>
      </c>
      <c r="B3767" t="s">
        <v>19</v>
      </c>
      <c r="C3767" t="s">
        <v>23490</v>
      </c>
      <c r="D3767" t="str">
        <f>HYPERLINK("https://rhld.insurance.arkansas.gov/NPILookup?Npi=1427136969","1427136969")</f>
        <v>1427136969</v>
      </c>
      <c r="E3767" t="s">
        <v>21540</v>
      </c>
    </row>
    <row r="3768" spans="1:5" x14ac:dyDescent="0.25">
      <c r="A3768" t="s">
        <v>1</v>
      </c>
      <c r="B3768" t="s">
        <v>19</v>
      </c>
      <c r="C3768" t="s">
        <v>23490</v>
      </c>
      <c r="D3768" t="str">
        <f>HYPERLINK("https://rhld.insurance.arkansas.gov/NPILookup?Npi=1427140565","1427140565")</f>
        <v>1427140565</v>
      </c>
      <c r="E3768" t="s">
        <v>1516</v>
      </c>
    </row>
    <row r="3769" spans="1:5" x14ac:dyDescent="0.25">
      <c r="A3769" t="s">
        <v>1</v>
      </c>
      <c r="B3769" t="s">
        <v>19</v>
      </c>
      <c r="C3769" t="s">
        <v>23490</v>
      </c>
      <c r="D3769" t="str">
        <f>HYPERLINK("https://rhld.insurance.arkansas.gov/NPILookup?Npi=1427144005","1427144005")</f>
        <v>1427144005</v>
      </c>
      <c r="E3769" t="s">
        <v>1517</v>
      </c>
    </row>
    <row r="3770" spans="1:5" x14ac:dyDescent="0.25">
      <c r="A3770" t="s">
        <v>1</v>
      </c>
      <c r="B3770" t="s">
        <v>19</v>
      </c>
      <c r="C3770" t="s">
        <v>23490</v>
      </c>
      <c r="D3770" t="str">
        <f>HYPERLINK("https://rhld.insurance.arkansas.gov/NPILookup?Npi=1427146174","1427146174")</f>
        <v>1427146174</v>
      </c>
      <c r="E3770" t="s">
        <v>12842</v>
      </c>
    </row>
    <row r="3771" spans="1:5" x14ac:dyDescent="0.25">
      <c r="A3771" t="s">
        <v>1</v>
      </c>
      <c r="B3771" t="s">
        <v>19</v>
      </c>
      <c r="C3771" t="s">
        <v>23490</v>
      </c>
      <c r="D3771" t="str">
        <f>HYPERLINK("https://rhld.insurance.arkansas.gov/NPILookup?Npi=1427147438","1427147438")</f>
        <v>1427147438</v>
      </c>
      <c r="E3771" t="s">
        <v>1518</v>
      </c>
    </row>
    <row r="3772" spans="1:5" x14ac:dyDescent="0.25">
      <c r="A3772" t="s">
        <v>1</v>
      </c>
      <c r="B3772" t="s">
        <v>19</v>
      </c>
      <c r="C3772" t="s">
        <v>23490</v>
      </c>
      <c r="D3772" t="str">
        <f>HYPERLINK("https://rhld.insurance.arkansas.gov/NPILookup?Npi=1427150036","1427150036")</f>
        <v>1427150036</v>
      </c>
      <c r="E3772" t="s">
        <v>1519</v>
      </c>
    </row>
    <row r="3773" spans="1:5" x14ac:dyDescent="0.25">
      <c r="A3773" t="s">
        <v>1</v>
      </c>
      <c r="B3773" t="s">
        <v>19</v>
      </c>
      <c r="C3773" t="s">
        <v>23490</v>
      </c>
      <c r="D3773" t="str">
        <f>HYPERLINK("https://rhld.insurance.arkansas.gov/NPILookup?Npi=1427162387","1427162387")</f>
        <v>1427162387</v>
      </c>
      <c r="E3773" t="s">
        <v>19717</v>
      </c>
    </row>
    <row r="3774" spans="1:5" x14ac:dyDescent="0.25">
      <c r="A3774" t="s">
        <v>1</v>
      </c>
      <c r="B3774" t="s">
        <v>19</v>
      </c>
      <c r="C3774" t="s">
        <v>23490</v>
      </c>
      <c r="D3774" t="str">
        <f>HYPERLINK("https://rhld.insurance.arkansas.gov/NPILookup?Npi=1427164631","1427164631")</f>
        <v>1427164631</v>
      </c>
      <c r="E3774" t="s">
        <v>1118</v>
      </c>
    </row>
    <row r="3775" spans="1:5" x14ac:dyDescent="0.25">
      <c r="A3775" t="s">
        <v>1</v>
      </c>
      <c r="B3775" t="s">
        <v>19</v>
      </c>
      <c r="C3775" t="s">
        <v>23490</v>
      </c>
      <c r="D3775" t="str">
        <f>HYPERLINK("https://rhld.insurance.arkansas.gov/NPILookup?Npi=1427210152","1427210152")</f>
        <v>1427210152</v>
      </c>
      <c r="E3775" t="s">
        <v>1520</v>
      </c>
    </row>
    <row r="3776" spans="1:5" x14ac:dyDescent="0.25">
      <c r="A3776" t="s">
        <v>1</v>
      </c>
      <c r="B3776" t="s">
        <v>19</v>
      </c>
      <c r="C3776" t="s">
        <v>23490</v>
      </c>
      <c r="D3776" t="str">
        <f>HYPERLINK("https://rhld.insurance.arkansas.gov/NPILookup?Npi=1427233196","1427233196")</f>
        <v>1427233196</v>
      </c>
      <c r="E3776" t="s">
        <v>15114</v>
      </c>
    </row>
    <row r="3777" spans="1:5" x14ac:dyDescent="0.25">
      <c r="A3777" t="s">
        <v>1</v>
      </c>
      <c r="B3777" t="s">
        <v>19</v>
      </c>
      <c r="C3777" t="s">
        <v>23490</v>
      </c>
      <c r="D3777" t="str">
        <f>HYPERLINK("https://rhld.insurance.arkansas.gov/NPILookup?Npi=1427251776","1427251776")</f>
        <v>1427251776</v>
      </c>
      <c r="E3777" t="s">
        <v>1521</v>
      </c>
    </row>
    <row r="3778" spans="1:5" x14ac:dyDescent="0.25">
      <c r="A3778" t="s">
        <v>1</v>
      </c>
      <c r="B3778" t="s">
        <v>19</v>
      </c>
      <c r="C3778" t="s">
        <v>23490</v>
      </c>
      <c r="D3778" t="str">
        <f>HYPERLINK("https://rhld.insurance.arkansas.gov/NPILookup?Npi=1427253889","1427253889")</f>
        <v>1427253889</v>
      </c>
      <c r="E3778" t="s">
        <v>1522</v>
      </c>
    </row>
    <row r="3779" spans="1:5" x14ac:dyDescent="0.25">
      <c r="A3779" t="s">
        <v>1</v>
      </c>
      <c r="B3779" t="s">
        <v>19</v>
      </c>
      <c r="C3779" t="s">
        <v>23490</v>
      </c>
      <c r="D3779" t="str">
        <f>HYPERLINK("https://rhld.insurance.arkansas.gov/NPILookup?Npi=1427269059","1427269059")</f>
        <v>1427269059</v>
      </c>
      <c r="E3779" t="s">
        <v>1523</v>
      </c>
    </row>
    <row r="3780" spans="1:5" x14ac:dyDescent="0.25">
      <c r="A3780" t="s">
        <v>1</v>
      </c>
      <c r="B3780" t="s">
        <v>19</v>
      </c>
      <c r="C3780" t="s">
        <v>23490</v>
      </c>
      <c r="D3780" t="str">
        <f>HYPERLINK("https://rhld.insurance.arkansas.gov/NPILookup?Npi=1427287887","1427287887")</f>
        <v>1427287887</v>
      </c>
      <c r="E3780" t="s">
        <v>1524</v>
      </c>
    </row>
    <row r="3781" spans="1:5" x14ac:dyDescent="0.25">
      <c r="A3781" t="s">
        <v>1</v>
      </c>
      <c r="B3781" t="s">
        <v>19</v>
      </c>
      <c r="C3781" t="s">
        <v>23490</v>
      </c>
      <c r="D3781" t="str">
        <f>HYPERLINK("https://rhld.insurance.arkansas.gov/NPILookup?Npi=1427297266","1427297266")</f>
        <v>1427297266</v>
      </c>
      <c r="E3781" t="s">
        <v>15115</v>
      </c>
    </row>
    <row r="3782" spans="1:5" x14ac:dyDescent="0.25">
      <c r="A3782" t="s">
        <v>1</v>
      </c>
      <c r="B3782" t="s">
        <v>19</v>
      </c>
      <c r="C3782" t="s">
        <v>23490</v>
      </c>
      <c r="D3782" t="str">
        <f>HYPERLINK("https://rhld.insurance.arkansas.gov/NPILookup?Npi=1427311919","1427311919")</f>
        <v>1427311919</v>
      </c>
      <c r="E3782" t="s">
        <v>15116</v>
      </c>
    </row>
    <row r="3783" spans="1:5" x14ac:dyDescent="0.25">
      <c r="A3783" t="s">
        <v>1</v>
      </c>
      <c r="B3783" t="s">
        <v>19</v>
      </c>
      <c r="C3783" t="s">
        <v>23490</v>
      </c>
      <c r="D3783" t="str">
        <f>HYPERLINK("https://rhld.insurance.arkansas.gov/NPILookup?Npi=1427331560","1427331560")</f>
        <v>1427331560</v>
      </c>
      <c r="E3783" t="s">
        <v>1525</v>
      </c>
    </row>
    <row r="3784" spans="1:5" x14ac:dyDescent="0.25">
      <c r="A3784" t="s">
        <v>1</v>
      </c>
      <c r="B3784" t="s">
        <v>19</v>
      </c>
      <c r="C3784" t="s">
        <v>23490</v>
      </c>
      <c r="D3784" t="str">
        <f>HYPERLINK("https://rhld.insurance.arkansas.gov/NPILookup?Npi=1427335835","1427335835")</f>
        <v>1427335835</v>
      </c>
      <c r="E3784" t="s">
        <v>15117</v>
      </c>
    </row>
    <row r="3785" spans="1:5" x14ac:dyDescent="0.25">
      <c r="A3785" t="s">
        <v>1</v>
      </c>
      <c r="B3785" t="s">
        <v>19</v>
      </c>
      <c r="C3785" t="s">
        <v>23490</v>
      </c>
      <c r="D3785" t="str">
        <f>HYPERLINK("https://rhld.insurance.arkansas.gov/NPILookup?Npi=1427344647","1427344647")</f>
        <v>1427344647</v>
      </c>
      <c r="E3785" t="s">
        <v>1526</v>
      </c>
    </row>
    <row r="3786" spans="1:5" x14ac:dyDescent="0.25">
      <c r="A3786" t="s">
        <v>1</v>
      </c>
      <c r="B3786" t="s">
        <v>19</v>
      </c>
      <c r="C3786" t="s">
        <v>23490</v>
      </c>
      <c r="D3786" t="str">
        <f>HYPERLINK("https://rhld.insurance.arkansas.gov/NPILookup?Npi=1427369859","1427369859")</f>
        <v>1427369859</v>
      </c>
      <c r="E3786" t="s">
        <v>21417</v>
      </c>
    </row>
    <row r="3787" spans="1:5" x14ac:dyDescent="0.25">
      <c r="A3787" t="s">
        <v>1</v>
      </c>
      <c r="B3787" t="s">
        <v>19</v>
      </c>
      <c r="C3787" t="s">
        <v>23490</v>
      </c>
      <c r="D3787" t="str">
        <f>HYPERLINK("https://rhld.insurance.arkansas.gov/NPILookup?Npi=1427400951","1427400951")</f>
        <v>1427400951</v>
      </c>
      <c r="E3787" t="s">
        <v>10912</v>
      </c>
    </row>
    <row r="3788" spans="1:5" x14ac:dyDescent="0.25">
      <c r="A3788" t="s">
        <v>1</v>
      </c>
      <c r="B3788" t="s">
        <v>19</v>
      </c>
      <c r="C3788" t="s">
        <v>23490</v>
      </c>
      <c r="D3788" t="str">
        <f>HYPERLINK("https://rhld.insurance.arkansas.gov/NPILookup?Npi=1427403955","1427403955")</f>
        <v>1427403955</v>
      </c>
      <c r="E3788" t="s">
        <v>19718</v>
      </c>
    </row>
    <row r="3789" spans="1:5" x14ac:dyDescent="0.25">
      <c r="A3789" t="s">
        <v>1</v>
      </c>
      <c r="B3789" t="s">
        <v>19</v>
      </c>
      <c r="C3789" t="s">
        <v>23490</v>
      </c>
      <c r="D3789" t="str">
        <f>HYPERLINK("https://rhld.insurance.arkansas.gov/NPILookup?Npi=1427408038","1427408038")</f>
        <v>1427408038</v>
      </c>
      <c r="E3789" t="s">
        <v>15118</v>
      </c>
    </row>
    <row r="3790" spans="1:5" x14ac:dyDescent="0.25">
      <c r="A3790" t="s">
        <v>1</v>
      </c>
      <c r="B3790" t="s">
        <v>19</v>
      </c>
      <c r="C3790" t="s">
        <v>23490</v>
      </c>
      <c r="D3790" t="str">
        <f>HYPERLINK("https://rhld.insurance.arkansas.gov/NPILookup?Npi=1427411032","1427411032")</f>
        <v>1427411032</v>
      </c>
      <c r="E3790" t="s">
        <v>10913</v>
      </c>
    </row>
    <row r="3791" spans="1:5" x14ac:dyDescent="0.25">
      <c r="A3791" t="s">
        <v>1</v>
      </c>
      <c r="B3791" t="s">
        <v>19</v>
      </c>
      <c r="C3791" t="s">
        <v>23490</v>
      </c>
      <c r="D3791" t="str">
        <f>HYPERLINK("https://rhld.insurance.arkansas.gov/NPILookup?Npi=1427416254","1427416254")</f>
        <v>1427416254</v>
      </c>
      <c r="E3791" t="s">
        <v>8664</v>
      </c>
    </row>
    <row r="3792" spans="1:5" x14ac:dyDescent="0.25">
      <c r="A3792" t="s">
        <v>1</v>
      </c>
      <c r="B3792" t="s">
        <v>19</v>
      </c>
      <c r="C3792" t="s">
        <v>23490</v>
      </c>
      <c r="D3792" t="str">
        <f>HYPERLINK("https://rhld.insurance.arkansas.gov/NPILookup?Npi=1427421528","1427421528")</f>
        <v>1427421528</v>
      </c>
      <c r="E3792" t="s">
        <v>15119</v>
      </c>
    </row>
    <row r="3793" spans="1:5" x14ac:dyDescent="0.25">
      <c r="A3793" t="s">
        <v>1</v>
      </c>
      <c r="B3793" t="s">
        <v>19</v>
      </c>
      <c r="C3793" t="s">
        <v>23490</v>
      </c>
      <c r="D3793" t="str">
        <f>HYPERLINK("https://rhld.insurance.arkansas.gov/NPILookup?Npi=1427432749","1427432749")</f>
        <v>1427432749</v>
      </c>
      <c r="E3793" t="s">
        <v>10914</v>
      </c>
    </row>
    <row r="3794" spans="1:5" x14ac:dyDescent="0.25">
      <c r="A3794" t="s">
        <v>1</v>
      </c>
      <c r="B3794" t="s">
        <v>19</v>
      </c>
      <c r="C3794" t="s">
        <v>23490</v>
      </c>
      <c r="D3794" t="str">
        <f>HYPERLINK("https://rhld.insurance.arkansas.gov/NPILookup?Npi=1427447564","1427447564")</f>
        <v>1427447564</v>
      </c>
      <c r="E3794" t="s">
        <v>10915</v>
      </c>
    </row>
    <row r="3795" spans="1:5" x14ac:dyDescent="0.25">
      <c r="A3795" t="s">
        <v>1</v>
      </c>
      <c r="B3795" t="s">
        <v>19</v>
      </c>
      <c r="C3795" t="s">
        <v>23490</v>
      </c>
      <c r="D3795" t="str">
        <f>HYPERLINK("https://rhld.insurance.arkansas.gov/NPILookup?Npi=1427450444","1427450444")</f>
        <v>1427450444</v>
      </c>
      <c r="E3795" t="s">
        <v>17985</v>
      </c>
    </row>
    <row r="3796" spans="1:5" x14ac:dyDescent="0.25">
      <c r="A3796" t="s">
        <v>1</v>
      </c>
      <c r="B3796" t="s">
        <v>19</v>
      </c>
      <c r="C3796" t="s">
        <v>23490</v>
      </c>
      <c r="D3796" t="str">
        <f>HYPERLINK("https://rhld.insurance.arkansas.gov/NPILookup?Npi=1427462449","1427462449")</f>
        <v>1427462449</v>
      </c>
      <c r="E3796" t="s">
        <v>8665</v>
      </c>
    </row>
    <row r="3797" spans="1:5" x14ac:dyDescent="0.25">
      <c r="A3797" t="s">
        <v>1</v>
      </c>
      <c r="B3797" t="s">
        <v>19</v>
      </c>
      <c r="C3797" t="s">
        <v>23490</v>
      </c>
      <c r="D3797" t="str">
        <f>HYPERLINK("https://rhld.insurance.arkansas.gov/NPILookup?Npi=1427465194","1427465194")</f>
        <v>1427465194</v>
      </c>
      <c r="E3797" t="s">
        <v>15120</v>
      </c>
    </row>
    <row r="3798" spans="1:5" x14ac:dyDescent="0.25">
      <c r="A3798" t="s">
        <v>1</v>
      </c>
      <c r="B3798" t="s">
        <v>19</v>
      </c>
      <c r="C3798" t="s">
        <v>23490</v>
      </c>
      <c r="D3798" t="str">
        <f>HYPERLINK("https://rhld.insurance.arkansas.gov/NPILookup?Npi=1427468974","1427468974")</f>
        <v>1427468974</v>
      </c>
      <c r="E3798" t="s">
        <v>10916</v>
      </c>
    </row>
    <row r="3799" spans="1:5" x14ac:dyDescent="0.25">
      <c r="A3799" t="s">
        <v>1</v>
      </c>
      <c r="B3799" t="s">
        <v>19</v>
      </c>
      <c r="C3799" t="s">
        <v>23490</v>
      </c>
      <c r="D3799" t="str">
        <f>HYPERLINK("https://rhld.insurance.arkansas.gov/NPILookup?Npi=1427480565","1427480565")</f>
        <v>1427480565</v>
      </c>
      <c r="E3799" t="s">
        <v>1527</v>
      </c>
    </row>
    <row r="3800" spans="1:5" x14ac:dyDescent="0.25">
      <c r="A3800" t="s">
        <v>1</v>
      </c>
      <c r="B3800" t="s">
        <v>19</v>
      </c>
      <c r="C3800" t="s">
        <v>23490</v>
      </c>
      <c r="D3800" t="str">
        <f>HYPERLINK("https://rhld.insurance.arkansas.gov/NPILookup?Npi=1427492610","1427492610")</f>
        <v>1427492610</v>
      </c>
      <c r="E3800" t="s">
        <v>10917</v>
      </c>
    </row>
    <row r="3801" spans="1:5" x14ac:dyDescent="0.25">
      <c r="A3801" t="s">
        <v>1</v>
      </c>
      <c r="B3801" t="s">
        <v>19</v>
      </c>
      <c r="C3801" t="s">
        <v>23490</v>
      </c>
      <c r="D3801" t="str">
        <f>HYPERLINK("https://rhld.insurance.arkansas.gov/NPILookup?Npi=1427501451","1427501451")</f>
        <v>1427501451</v>
      </c>
      <c r="E3801" t="s">
        <v>19719</v>
      </c>
    </row>
    <row r="3802" spans="1:5" x14ac:dyDescent="0.25">
      <c r="A3802" t="s">
        <v>1</v>
      </c>
      <c r="B3802" t="s">
        <v>19</v>
      </c>
      <c r="C3802" t="s">
        <v>23490</v>
      </c>
      <c r="D3802" t="str">
        <f>HYPERLINK("https://rhld.insurance.arkansas.gov/NPILookup?Npi=1427502426","1427502426")</f>
        <v>1427502426</v>
      </c>
      <c r="E3802" t="s">
        <v>15121</v>
      </c>
    </row>
    <row r="3803" spans="1:5" x14ac:dyDescent="0.25">
      <c r="A3803" t="s">
        <v>1</v>
      </c>
      <c r="B3803" t="s">
        <v>19</v>
      </c>
      <c r="C3803" t="s">
        <v>23490</v>
      </c>
      <c r="D3803" t="str">
        <f>HYPERLINK("https://rhld.insurance.arkansas.gov/NPILookup?Npi=1427514538","1427514538")</f>
        <v>1427514538</v>
      </c>
      <c r="E3803" t="s">
        <v>22930</v>
      </c>
    </row>
    <row r="3804" spans="1:5" x14ac:dyDescent="0.25">
      <c r="A3804" t="s">
        <v>1</v>
      </c>
      <c r="B3804" t="s">
        <v>19</v>
      </c>
      <c r="C3804" t="s">
        <v>23490</v>
      </c>
      <c r="D3804" t="str">
        <f>HYPERLINK("https://rhld.insurance.arkansas.gov/NPILookup?Npi=1427531193","1427531193")</f>
        <v>1427531193</v>
      </c>
      <c r="E3804" t="s">
        <v>15122</v>
      </c>
    </row>
    <row r="3805" spans="1:5" x14ac:dyDescent="0.25">
      <c r="A3805" t="s">
        <v>1</v>
      </c>
      <c r="B3805" t="s">
        <v>19</v>
      </c>
      <c r="C3805" t="s">
        <v>23490</v>
      </c>
      <c r="D3805" t="str">
        <f>HYPERLINK("https://rhld.insurance.arkansas.gov/NPILookup?Npi=1427535673","1427535673")</f>
        <v>1427535673</v>
      </c>
      <c r="E3805" t="s">
        <v>16952</v>
      </c>
    </row>
    <row r="3806" spans="1:5" x14ac:dyDescent="0.25">
      <c r="A3806" t="s">
        <v>1</v>
      </c>
      <c r="B3806" t="s">
        <v>19</v>
      </c>
      <c r="C3806" t="s">
        <v>23490</v>
      </c>
      <c r="D3806" t="str">
        <f>HYPERLINK("https://rhld.insurance.arkansas.gov/NPILookup?Npi=1427548593","1427548593")</f>
        <v>1427548593</v>
      </c>
      <c r="E3806" t="s">
        <v>17986</v>
      </c>
    </row>
    <row r="3807" spans="1:5" x14ac:dyDescent="0.25">
      <c r="A3807" t="s">
        <v>1</v>
      </c>
      <c r="B3807" t="s">
        <v>19</v>
      </c>
      <c r="C3807" t="s">
        <v>23490</v>
      </c>
      <c r="D3807" t="str">
        <f>HYPERLINK("https://rhld.insurance.arkansas.gov/NPILookup?Npi=1427553882","1427553882")</f>
        <v>1427553882</v>
      </c>
      <c r="E3807" t="s">
        <v>18774</v>
      </c>
    </row>
    <row r="3808" spans="1:5" x14ac:dyDescent="0.25">
      <c r="A3808" t="s">
        <v>1</v>
      </c>
      <c r="B3808" t="s">
        <v>19</v>
      </c>
      <c r="C3808" t="s">
        <v>23490</v>
      </c>
      <c r="D3808" t="str">
        <f>HYPERLINK("https://rhld.insurance.arkansas.gov/NPILookup?Npi=1427554401","1427554401")</f>
        <v>1427554401</v>
      </c>
      <c r="E3808" t="s">
        <v>13533</v>
      </c>
    </row>
    <row r="3809" spans="1:5" x14ac:dyDescent="0.25">
      <c r="A3809" t="s">
        <v>1</v>
      </c>
      <c r="B3809" t="s">
        <v>19</v>
      </c>
      <c r="C3809" t="s">
        <v>23490</v>
      </c>
      <c r="D3809" t="str">
        <f>HYPERLINK("https://rhld.insurance.arkansas.gov/NPILookup?Npi=1427556828","1427556828")</f>
        <v>1427556828</v>
      </c>
      <c r="E3809" t="s">
        <v>15123</v>
      </c>
    </row>
    <row r="3810" spans="1:5" x14ac:dyDescent="0.25">
      <c r="A3810" t="s">
        <v>1</v>
      </c>
      <c r="B3810" t="s">
        <v>19</v>
      </c>
      <c r="C3810" t="s">
        <v>23490</v>
      </c>
      <c r="D3810" t="str">
        <f>HYPERLINK("https://rhld.insurance.arkansas.gov/NPILookup?Npi=1427577006","1427577006")</f>
        <v>1427577006</v>
      </c>
      <c r="E3810" t="s">
        <v>19720</v>
      </c>
    </row>
    <row r="3811" spans="1:5" x14ac:dyDescent="0.25">
      <c r="A3811" t="s">
        <v>1</v>
      </c>
      <c r="B3811" t="s">
        <v>19</v>
      </c>
      <c r="C3811" t="s">
        <v>23490</v>
      </c>
      <c r="D3811" t="str">
        <f>HYPERLINK("https://rhld.insurance.arkansas.gov/NPILookup?Npi=1427578954","1427578954")</f>
        <v>1427578954</v>
      </c>
      <c r="E3811" t="s">
        <v>10918</v>
      </c>
    </row>
    <row r="3812" spans="1:5" x14ac:dyDescent="0.25">
      <c r="A3812" t="s">
        <v>1</v>
      </c>
      <c r="B3812" t="s">
        <v>19</v>
      </c>
      <c r="C3812" t="s">
        <v>23490</v>
      </c>
      <c r="D3812" t="str">
        <f>HYPERLINK("https://rhld.insurance.arkansas.gov/NPILookup?Npi=1427580026","1427580026")</f>
        <v>1427580026</v>
      </c>
      <c r="E3812" t="s">
        <v>21398</v>
      </c>
    </row>
    <row r="3813" spans="1:5" x14ac:dyDescent="0.25">
      <c r="A3813" t="s">
        <v>1</v>
      </c>
      <c r="B3813" t="s">
        <v>19</v>
      </c>
      <c r="C3813" t="s">
        <v>23490</v>
      </c>
      <c r="D3813" t="str">
        <f>HYPERLINK("https://rhld.insurance.arkansas.gov/NPILookup?Npi=1427580927","1427580927")</f>
        <v>1427580927</v>
      </c>
      <c r="E3813" t="s">
        <v>15124</v>
      </c>
    </row>
    <row r="3814" spans="1:5" x14ac:dyDescent="0.25">
      <c r="A3814" t="s">
        <v>1</v>
      </c>
      <c r="B3814" t="s">
        <v>19</v>
      </c>
      <c r="C3814" t="s">
        <v>23490</v>
      </c>
      <c r="D3814" t="str">
        <f>HYPERLINK("https://rhld.insurance.arkansas.gov/NPILookup?Npi=1427615681","1427615681")</f>
        <v>1427615681</v>
      </c>
      <c r="E3814" t="s">
        <v>15125</v>
      </c>
    </row>
    <row r="3815" spans="1:5" x14ac:dyDescent="0.25">
      <c r="A3815" t="s">
        <v>1</v>
      </c>
      <c r="B3815" t="s">
        <v>19</v>
      </c>
      <c r="C3815" t="s">
        <v>23490</v>
      </c>
      <c r="D3815" t="str">
        <f>HYPERLINK("https://rhld.insurance.arkansas.gov/NPILookup?Npi=1427666346","1427666346")</f>
        <v>1427666346</v>
      </c>
      <c r="E3815" t="s">
        <v>19721</v>
      </c>
    </row>
    <row r="3816" spans="1:5" x14ac:dyDescent="0.25">
      <c r="A3816" t="s">
        <v>1</v>
      </c>
      <c r="B3816" t="s">
        <v>19</v>
      </c>
      <c r="C3816" t="s">
        <v>8427</v>
      </c>
      <c r="D3816" t="str">
        <f>HYPERLINK("https://rhld.insurance.arkansas.gov/NPILookup?Npi=1427668250","1427668250")</f>
        <v>1427668250</v>
      </c>
      <c r="E3816" t="s">
        <v>22931</v>
      </c>
    </row>
    <row r="3817" spans="1:5" x14ac:dyDescent="0.25">
      <c r="A3817" t="s">
        <v>1</v>
      </c>
      <c r="B3817" t="s">
        <v>19</v>
      </c>
      <c r="C3817" t="s">
        <v>8427</v>
      </c>
      <c r="D3817" t="str">
        <f>HYPERLINK("https://rhld.insurance.arkansas.gov/NPILookup?Npi=1427679133","1427679133")</f>
        <v>1427679133</v>
      </c>
      <c r="E3817" t="s">
        <v>22932</v>
      </c>
    </row>
    <row r="3818" spans="1:5" x14ac:dyDescent="0.25">
      <c r="A3818" t="s">
        <v>1</v>
      </c>
      <c r="B3818" t="s">
        <v>19</v>
      </c>
      <c r="C3818" t="s">
        <v>23490</v>
      </c>
      <c r="D3818" t="str">
        <f>HYPERLINK("https://rhld.insurance.arkansas.gov/NPILookup?Npi=1427698513","1427698513")</f>
        <v>1427698513</v>
      </c>
      <c r="E3818" t="s">
        <v>17987</v>
      </c>
    </row>
    <row r="3819" spans="1:5" x14ac:dyDescent="0.25">
      <c r="A3819" t="s">
        <v>1</v>
      </c>
      <c r="B3819" t="s">
        <v>19</v>
      </c>
      <c r="C3819" t="s">
        <v>23490</v>
      </c>
      <c r="D3819" t="str">
        <f>HYPERLINK("https://rhld.insurance.arkansas.gov/NPILookup?Npi=1427760842","1427760842")</f>
        <v>1427760842</v>
      </c>
      <c r="E3819" t="s">
        <v>21541</v>
      </c>
    </row>
    <row r="3820" spans="1:5" x14ac:dyDescent="0.25">
      <c r="A3820" t="s">
        <v>1</v>
      </c>
      <c r="B3820" t="s">
        <v>19</v>
      </c>
      <c r="C3820" t="s">
        <v>23490</v>
      </c>
      <c r="D3820" t="str">
        <f>HYPERLINK("https://rhld.insurance.arkansas.gov/NPILookup?Npi=1427772805","1427772805")</f>
        <v>1427772805</v>
      </c>
      <c r="E3820" t="s">
        <v>21399</v>
      </c>
    </row>
    <row r="3821" spans="1:5" x14ac:dyDescent="0.25">
      <c r="A3821" t="s">
        <v>1</v>
      </c>
      <c r="B3821" t="s">
        <v>19</v>
      </c>
      <c r="C3821" t="s">
        <v>23490</v>
      </c>
      <c r="D3821" t="str">
        <f>HYPERLINK("https://rhld.insurance.arkansas.gov/NPILookup?Npi=1427797075","1427797075")</f>
        <v>1427797075</v>
      </c>
      <c r="E3821" t="s">
        <v>21401</v>
      </c>
    </row>
    <row r="3822" spans="1:5" x14ac:dyDescent="0.25">
      <c r="A3822" t="s">
        <v>1</v>
      </c>
      <c r="B3822" t="s">
        <v>19</v>
      </c>
      <c r="C3822" t="s">
        <v>23490</v>
      </c>
      <c r="D3822" t="str">
        <f>HYPERLINK("https://rhld.insurance.arkansas.gov/NPILookup?Npi=1437102589","1437102589")</f>
        <v>1437102589</v>
      </c>
      <c r="E3822" t="s">
        <v>10919</v>
      </c>
    </row>
    <row r="3823" spans="1:5" x14ac:dyDescent="0.25">
      <c r="A3823" t="s">
        <v>1</v>
      </c>
      <c r="B3823" t="s">
        <v>19</v>
      </c>
      <c r="C3823" t="s">
        <v>23490</v>
      </c>
      <c r="D3823" t="str">
        <f>HYPERLINK("https://rhld.insurance.arkansas.gov/NPILookup?Npi=1437103710","1437103710")</f>
        <v>1437103710</v>
      </c>
      <c r="E3823" t="s">
        <v>1528</v>
      </c>
    </row>
    <row r="3824" spans="1:5" x14ac:dyDescent="0.25">
      <c r="A3824" t="s">
        <v>1</v>
      </c>
      <c r="B3824" t="s">
        <v>19</v>
      </c>
      <c r="C3824" t="s">
        <v>23490</v>
      </c>
      <c r="D3824" t="str">
        <f>HYPERLINK("https://rhld.insurance.arkansas.gov/NPILookup?Npi=1437107703","1437107703")</f>
        <v>1437107703</v>
      </c>
      <c r="E3824" t="s">
        <v>1529</v>
      </c>
    </row>
    <row r="3825" spans="1:5" x14ac:dyDescent="0.25">
      <c r="A3825" t="s">
        <v>1</v>
      </c>
      <c r="B3825" t="s">
        <v>19</v>
      </c>
      <c r="C3825" t="s">
        <v>23490</v>
      </c>
      <c r="D3825" t="str">
        <f>HYPERLINK("https://rhld.insurance.arkansas.gov/NPILookup?Npi=1437115508","1437115508")</f>
        <v>1437115508</v>
      </c>
      <c r="E3825" t="s">
        <v>15126</v>
      </c>
    </row>
    <row r="3826" spans="1:5" x14ac:dyDescent="0.25">
      <c r="A3826" t="s">
        <v>1</v>
      </c>
      <c r="B3826" t="s">
        <v>19</v>
      </c>
      <c r="C3826" t="s">
        <v>23490</v>
      </c>
      <c r="D3826" t="str">
        <f>HYPERLINK("https://rhld.insurance.arkansas.gov/NPILookup?Npi=1437115805","1437115805")</f>
        <v>1437115805</v>
      </c>
      <c r="E3826" t="s">
        <v>1530</v>
      </c>
    </row>
    <row r="3827" spans="1:5" x14ac:dyDescent="0.25">
      <c r="A3827" t="s">
        <v>1</v>
      </c>
      <c r="B3827" t="s">
        <v>19</v>
      </c>
      <c r="C3827" t="s">
        <v>23490</v>
      </c>
      <c r="D3827" t="str">
        <f>HYPERLINK("https://rhld.insurance.arkansas.gov/NPILookup?Npi=1437115821","1437115821")</f>
        <v>1437115821</v>
      </c>
      <c r="E3827" t="s">
        <v>19722</v>
      </c>
    </row>
    <row r="3828" spans="1:5" x14ac:dyDescent="0.25">
      <c r="A3828" t="s">
        <v>1</v>
      </c>
      <c r="B3828" t="s">
        <v>19</v>
      </c>
      <c r="C3828" t="s">
        <v>23490</v>
      </c>
      <c r="D3828" t="str">
        <f>HYPERLINK("https://rhld.insurance.arkansas.gov/NPILookup?Npi=1437118684","1437118684")</f>
        <v>1437118684</v>
      </c>
      <c r="E3828" t="s">
        <v>1531</v>
      </c>
    </row>
    <row r="3829" spans="1:5" x14ac:dyDescent="0.25">
      <c r="A3829" t="s">
        <v>1</v>
      </c>
      <c r="B3829" t="s">
        <v>19</v>
      </c>
      <c r="C3829" t="s">
        <v>23490</v>
      </c>
      <c r="D3829" t="str">
        <f>HYPERLINK("https://rhld.insurance.arkansas.gov/NPILookup?Npi=1437122355","1437122355")</f>
        <v>1437122355</v>
      </c>
      <c r="E3829" t="s">
        <v>1532</v>
      </c>
    </row>
    <row r="3830" spans="1:5" x14ac:dyDescent="0.25">
      <c r="A3830" t="s">
        <v>1</v>
      </c>
      <c r="B3830" t="s">
        <v>19</v>
      </c>
      <c r="C3830" t="s">
        <v>23490</v>
      </c>
      <c r="D3830" t="str">
        <f>HYPERLINK("https://rhld.insurance.arkansas.gov/NPILookup?Npi=1437122751","1437122751")</f>
        <v>1437122751</v>
      </c>
      <c r="E3830" t="s">
        <v>15127</v>
      </c>
    </row>
    <row r="3831" spans="1:5" x14ac:dyDescent="0.25">
      <c r="A3831" t="s">
        <v>1</v>
      </c>
      <c r="B3831" t="s">
        <v>19</v>
      </c>
      <c r="C3831" t="s">
        <v>23490</v>
      </c>
      <c r="D3831" t="str">
        <f>HYPERLINK("https://rhld.insurance.arkansas.gov/NPILookup?Npi=1437125481","1437125481")</f>
        <v>1437125481</v>
      </c>
      <c r="E3831" t="s">
        <v>1533</v>
      </c>
    </row>
    <row r="3832" spans="1:5" x14ac:dyDescent="0.25">
      <c r="A3832" t="s">
        <v>1</v>
      </c>
      <c r="B3832" t="s">
        <v>19</v>
      </c>
      <c r="C3832" t="s">
        <v>23490</v>
      </c>
      <c r="D3832" t="str">
        <f>HYPERLINK("https://rhld.insurance.arkansas.gov/NPILookup?Npi=1437128790","1437128790")</f>
        <v>1437128790</v>
      </c>
      <c r="E3832" t="s">
        <v>1534</v>
      </c>
    </row>
    <row r="3833" spans="1:5" x14ac:dyDescent="0.25">
      <c r="A3833" t="s">
        <v>1</v>
      </c>
      <c r="B3833" t="s">
        <v>19</v>
      </c>
      <c r="C3833" t="s">
        <v>23490</v>
      </c>
      <c r="D3833" t="str">
        <f>HYPERLINK("https://rhld.insurance.arkansas.gov/NPILookup?Npi=1437129780","1437129780")</f>
        <v>1437129780</v>
      </c>
      <c r="E3833" t="s">
        <v>1535</v>
      </c>
    </row>
    <row r="3834" spans="1:5" x14ac:dyDescent="0.25">
      <c r="A3834" t="s">
        <v>1</v>
      </c>
      <c r="B3834" t="s">
        <v>19</v>
      </c>
      <c r="C3834" t="s">
        <v>23490</v>
      </c>
      <c r="D3834" t="str">
        <f>HYPERLINK("https://rhld.insurance.arkansas.gov/NPILookup?Npi=1437130903","1437130903")</f>
        <v>1437130903</v>
      </c>
      <c r="E3834" t="s">
        <v>15128</v>
      </c>
    </row>
    <row r="3835" spans="1:5" x14ac:dyDescent="0.25">
      <c r="A3835" t="s">
        <v>1</v>
      </c>
      <c r="B3835" t="s">
        <v>19</v>
      </c>
      <c r="C3835" t="s">
        <v>23490</v>
      </c>
      <c r="D3835" t="str">
        <f>HYPERLINK("https://rhld.insurance.arkansas.gov/NPILookup?Npi=1437135191","1437135191")</f>
        <v>1437135191</v>
      </c>
      <c r="E3835" t="s">
        <v>1536</v>
      </c>
    </row>
    <row r="3836" spans="1:5" x14ac:dyDescent="0.25">
      <c r="A3836" t="s">
        <v>1</v>
      </c>
      <c r="B3836" t="s">
        <v>19</v>
      </c>
      <c r="C3836" t="s">
        <v>23490</v>
      </c>
      <c r="D3836" t="str">
        <f>HYPERLINK("https://rhld.insurance.arkansas.gov/NPILookup?Npi=1437142122","1437142122")</f>
        <v>1437142122</v>
      </c>
      <c r="E3836" t="s">
        <v>1537</v>
      </c>
    </row>
    <row r="3837" spans="1:5" x14ac:dyDescent="0.25">
      <c r="A3837" t="s">
        <v>1</v>
      </c>
      <c r="B3837" t="s">
        <v>19</v>
      </c>
      <c r="C3837" t="s">
        <v>23490</v>
      </c>
      <c r="D3837" t="str">
        <f>HYPERLINK("https://rhld.insurance.arkansas.gov/NPILookup?Npi=1437145810","1437145810")</f>
        <v>1437145810</v>
      </c>
      <c r="E3837" t="s">
        <v>1538</v>
      </c>
    </row>
    <row r="3838" spans="1:5" x14ac:dyDescent="0.25">
      <c r="A3838" t="s">
        <v>1</v>
      </c>
      <c r="B3838" t="s">
        <v>19</v>
      </c>
      <c r="C3838" t="s">
        <v>23490</v>
      </c>
      <c r="D3838" t="str">
        <f>HYPERLINK("https://rhld.insurance.arkansas.gov/NPILookup?Npi=1437150315","1437150315")</f>
        <v>1437150315</v>
      </c>
      <c r="E3838" t="s">
        <v>1539</v>
      </c>
    </row>
    <row r="3839" spans="1:5" x14ac:dyDescent="0.25">
      <c r="A3839" t="s">
        <v>1</v>
      </c>
      <c r="B3839" t="s">
        <v>19</v>
      </c>
      <c r="C3839" t="s">
        <v>23490</v>
      </c>
      <c r="D3839" t="str">
        <f>HYPERLINK("https://rhld.insurance.arkansas.gov/NPILookup?Npi=1437163763","1437163763")</f>
        <v>1437163763</v>
      </c>
      <c r="E3839" t="s">
        <v>15129</v>
      </c>
    </row>
    <row r="3840" spans="1:5" x14ac:dyDescent="0.25">
      <c r="A3840" t="s">
        <v>1</v>
      </c>
      <c r="B3840" t="s">
        <v>19</v>
      </c>
      <c r="C3840" t="s">
        <v>23490</v>
      </c>
      <c r="D3840" t="str">
        <f>HYPERLINK("https://rhld.insurance.arkansas.gov/NPILookup?Npi=1437166691","1437166691")</f>
        <v>1437166691</v>
      </c>
      <c r="E3840" t="s">
        <v>1540</v>
      </c>
    </row>
    <row r="3841" spans="1:5" x14ac:dyDescent="0.25">
      <c r="A3841" t="s">
        <v>1</v>
      </c>
      <c r="B3841" t="s">
        <v>19</v>
      </c>
      <c r="C3841" t="s">
        <v>23490</v>
      </c>
      <c r="D3841" t="str">
        <f>HYPERLINK("https://rhld.insurance.arkansas.gov/NPILookup?Npi=1437187333","1437187333")</f>
        <v>1437187333</v>
      </c>
      <c r="E3841" t="s">
        <v>15130</v>
      </c>
    </row>
    <row r="3842" spans="1:5" x14ac:dyDescent="0.25">
      <c r="A3842" t="s">
        <v>1</v>
      </c>
      <c r="B3842" t="s">
        <v>19</v>
      </c>
      <c r="C3842" t="s">
        <v>23490</v>
      </c>
      <c r="D3842" t="str">
        <f>HYPERLINK("https://rhld.insurance.arkansas.gov/NPILookup?Npi=1437188869","1437188869")</f>
        <v>1437188869</v>
      </c>
      <c r="E3842" t="s">
        <v>1542</v>
      </c>
    </row>
    <row r="3843" spans="1:5" x14ac:dyDescent="0.25">
      <c r="A3843" t="s">
        <v>1</v>
      </c>
      <c r="B3843" t="s">
        <v>19</v>
      </c>
      <c r="C3843" t="s">
        <v>23490</v>
      </c>
      <c r="D3843" t="str">
        <f>HYPERLINK("https://rhld.insurance.arkansas.gov/NPILookup?Npi=1437192283","1437192283")</f>
        <v>1437192283</v>
      </c>
      <c r="E3843" t="s">
        <v>1544</v>
      </c>
    </row>
    <row r="3844" spans="1:5" x14ac:dyDescent="0.25">
      <c r="A3844" t="s">
        <v>1</v>
      </c>
      <c r="B3844" t="s">
        <v>19</v>
      </c>
      <c r="C3844" t="s">
        <v>23490</v>
      </c>
      <c r="D3844" t="str">
        <f>HYPERLINK("https://rhld.insurance.arkansas.gov/NPILookup?Npi=1437201860","1437201860")</f>
        <v>1437201860</v>
      </c>
      <c r="E3844" t="s">
        <v>1545</v>
      </c>
    </row>
    <row r="3845" spans="1:5" x14ac:dyDescent="0.25">
      <c r="A3845" t="s">
        <v>1</v>
      </c>
      <c r="B3845" t="s">
        <v>19</v>
      </c>
      <c r="C3845" t="s">
        <v>23490</v>
      </c>
      <c r="D3845" t="str">
        <f>HYPERLINK("https://rhld.insurance.arkansas.gov/NPILookup?Npi=1437208030","1437208030")</f>
        <v>1437208030</v>
      </c>
      <c r="E3845" t="s">
        <v>1546</v>
      </c>
    </row>
    <row r="3846" spans="1:5" x14ac:dyDescent="0.25">
      <c r="A3846" t="s">
        <v>1</v>
      </c>
      <c r="B3846" t="s">
        <v>19</v>
      </c>
      <c r="C3846" t="s">
        <v>23490</v>
      </c>
      <c r="D3846" t="str">
        <f>HYPERLINK("https://rhld.insurance.arkansas.gov/NPILookup?Npi=1437230125","1437230125")</f>
        <v>1437230125</v>
      </c>
      <c r="E3846" t="s">
        <v>1547</v>
      </c>
    </row>
    <row r="3847" spans="1:5" x14ac:dyDescent="0.25">
      <c r="A3847" t="s">
        <v>1</v>
      </c>
      <c r="B3847" t="s">
        <v>19</v>
      </c>
      <c r="C3847" t="s">
        <v>23490</v>
      </c>
      <c r="D3847" t="str">
        <f>HYPERLINK("https://rhld.insurance.arkansas.gov/NPILookup?Npi=1437243490","1437243490")</f>
        <v>1437243490</v>
      </c>
      <c r="E3847" t="s">
        <v>1548</v>
      </c>
    </row>
    <row r="3848" spans="1:5" x14ac:dyDescent="0.25">
      <c r="A3848" t="s">
        <v>1</v>
      </c>
      <c r="B3848" t="s">
        <v>19</v>
      </c>
      <c r="C3848" t="s">
        <v>23490</v>
      </c>
      <c r="D3848" t="str">
        <f>HYPERLINK("https://rhld.insurance.arkansas.gov/NPILookup?Npi=1437245792","1437245792")</f>
        <v>1437245792</v>
      </c>
      <c r="E3848" t="s">
        <v>15131</v>
      </c>
    </row>
    <row r="3849" spans="1:5" x14ac:dyDescent="0.25">
      <c r="A3849" t="s">
        <v>1</v>
      </c>
      <c r="B3849" t="s">
        <v>19</v>
      </c>
      <c r="C3849" t="s">
        <v>23490</v>
      </c>
      <c r="D3849" t="str">
        <f>HYPERLINK("https://rhld.insurance.arkansas.gov/NPILookup?Npi=1437246584","1437246584")</f>
        <v>1437246584</v>
      </c>
      <c r="E3849" t="s">
        <v>1549</v>
      </c>
    </row>
    <row r="3850" spans="1:5" x14ac:dyDescent="0.25">
      <c r="A3850" t="s">
        <v>1</v>
      </c>
      <c r="B3850" t="s">
        <v>19</v>
      </c>
      <c r="C3850" t="s">
        <v>23490</v>
      </c>
      <c r="D3850" t="str">
        <f>HYPERLINK("https://rhld.insurance.arkansas.gov/NPILookup?Npi=1437262003","1437262003")</f>
        <v>1437262003</v>
      </c>
      <c r="E3850" t="s">
        <v>1551</v>
      </c>
    </row>
    <row r="3851" spans="1:5" x14ac:dyDescent="0.25">
      <c r="A3851" t="s">
        <v>1</v>
      </c>
      <c r="B3851" t="s">
        <v>19</v>
      </c>
      <c r="C3851" t="s">
        <v>23490</v>
      </c>
      <c r="D3851" t="str">
        <f>HYPERLINK("https://rhld.insurance.arkansas.gov/NPILookup?Npi=1437262573","1437262573")</f>
        <v>1437262573</v>
      </c>
      <c r="E3851" t="s">
        <v>1552</v>
      </c>
    </row>
    <row r="3852" spans="1:5" x14ac:dyDescent="0.25">
      <c r="A3852" t="s">
        <v>1</v>
      </c>
      <c r="B3852" t="s">
        <v>19</v>
      </c>
      <c r="C3852" t="s">
        <v>23490</v>
      </c>
      <c r="D3852" t="str">
        <f>HYPERLINK("https://rhld.insurance.arkansas.gov/NPILookup?Npi=1437264033","1437264033")</f>
        <v>1437264033</v>
      </c>
      <c r="E3852" t="s">
        <v>1553</v>
      </c>
    </row>
    <row r="3853" spans="1:5" x14ac:dyDescent="0.25">
      <c r="A3853" t="s">
        <v>1</v>
      </c>
      <c r="B3853" t="s">
        <v>19</v>
      </c>
      <c r="C3853" t="s">
        <v>23490</v>
      </c>
      <c r="D3853" t="str">
        <f>HYPERLINK("https://rhld.insurance.arkansas.gov/NPILookup?Npi=1437278181","1437278181")</f>
        <v>1437278181</v>
      </c>
      <c r="E3853" t="s">
        <v>10920</v>
      </c>
    </row>
    <row r="3854" spans="1:5" x14ac:dyDescent="0.25">
      <c r="A3854" t="s">
        <v>1</v>
      </c>
      <c r="B3854" t="s">
        <v>19</v>
      </c>
      <c r="C3854" t="s">
        <v>23490</v>
      </c>
      <c r="D3854" t="str">
        <f>HYPERLINK("https://rhld.insurance.arkansas.gov/NPILookup?Npi=1437285020","1437285020")</f>
        <v>1437285020</v>
      </c>
      <c r="E3854" t="s">
        <v>10921</v>
      </c>
    </row>
    <row r="3855" spans="1:5" x14ac:dyDescent="0.25">
      <c r="A3855" t="s">
        <v>1</v>
      </c>
      <c r="B3855" t="s">
        <v>19</v>
      </c>
      <c r="C3855" t="s">
        <v>23490</v>
      </c>
      <c r="D3855" t="str">
        <f>HYPERLINK("https://rhld.insurance.arkansas.gov/NPILookup?Npi=1437287620","1437287620")</f>
        <v>1437287620</v>
      </c>
      <c r="E3855" t="s">
        <v>10922</v>
      </c>
    </row>
    <row r="3856" spans="1:5" x14ac:dyDescent="0.25">
      <c r="A3856" t="s">
        <v>1</v>
      </c>
      <c r="B3856" t="s">
        <v>19</v>
      </c>
      <c r="C3856" t="s">
        <v>23490</v>
      </c>
      <c r="D3856" t="str">
        <f>HYPERLINK("https://rhld.insurance.arkansas.gov/NPILookup?Npi=1437291861","1437291861")</f>
        <v>1437291861</v>
      </c>
      <c r="E3856" t="s">
        <v>10923</v>
      </c>
    </row>
    <row r="3857" spans="1:5" x14ac:dyDescent="0.25">
      <c r="A3857" t="s">
        <v>1</v>
      </c>
      <c r="B3857" t="s">
        <v>19</v>
      </c>
      <c r="C3857" t="s">
        <v>23490</v>
      </c>
      <c r="D3857" t="str">
        <f>HYPERLINK("https://rhld.insurance.arkansas.gov/NPILookup?Npi=1437299526","1437299526")</f>
        <v>1437299526</v>
      </c>
      <c r="E3857" t="s">
        <v>15132</v>
      </c>
    </row>
    <row r="3858" spans="1:5" x14ac:dyDescent="0.25">
      <c r="A3858" t="s">
        <v>1</v>
      </c>
      <c r="B3858" t="s">
        <v>19</v>
      </c>
      <c r="C3858" t="s">
        <v>23490</v>
      </c>
      <c r="D3858" t="str">
        <f>HYPERLINK("https://rhld.insurance.arkansas.gov/NPILookup?Npi=1437334216","1437334216")</f>
        <v>1437334216</v>
      </c>
      <c r="E3858" t="s">
        <v>10924</v>
      </c>
    </row>
    <row r="3859" spans="1:5" x14ac:dyDescent="0.25">
      <c r="A3859" t="s">
        <v>1</v>
      </c>
      <c r="B3859" t="s">
        <v>19</v>
      </c>
      <c r="C3859" t="s">
        <v>23490</v>
      </c>
      <c r="D3859" t="str">
        <f>HYPERLINK("https://rhld.insurance.arkansas.gov/NPILookup?Npi=1437337110","1437337110")</f>
        <v>1437337110</v>
      </c>
      <c r="E3859" t="s">
        <v>8669</v>
      </c>
    </row>
    <row r="3860" spans="1:5" x14ac:dyDescent="0.25">
      <c r="A3860" t="s">
        <v>1</v>
      </c>
      <c r="B3860" t="s">
        <v>19</v>
      </c>
      <c r="C3860" t="s">
        <v>23490</v>
      </c>
      <c r="D3860" t="str">
        <f>HYPERLINK("https://rhld.insurance.arkansas.gov/NPILookup?Npi=1437350600","1437350600")</f>
        <v>1437350600</v>
      </c>
      <c r="E3860" t="s">
        <v>1555</v>
      </c>
    </row>
    <row r="3861" spans="1:5" x14ac:dyDescent="0.25">
      <c r="A3861" t="s">
        <v>1</v>
      </c>
      <c r="B3861" t="s">
        <v>19</v>
      </c>
      <c r="C3861" t="s">
        <v>23490</v>
      </c>
      <c r="D3861" t="str">
        <f>HYPERLINK("https://rhld.insurance.arkansas.gov/NPILookup?Npi=1437356326","1437356326")</f>
        <v>1437356326</v>
      </c>
      <c r="E3861" t="s">
        <v>1556</v>
      </c>
    </row>
    <row r="3862" spans="1:5" x14ac:dyDescent="0.25">
      <c r="A3862" t="s">
        <v>1</v>
      </c>
      <c r="B3862" t="s">
        <v>19</v>
      </c>
      <c r="C3862" t="s">
        <v>23490</v>
      </c>
      <c r="D3862" t="str">
        <f>HYPERLINK("https://rhld.insurance.arkansas.gov/NPILookup?Npi=1437383718","1437383718")</f>
        <v>1437383718</v>
      </c>
      <c r="E3862" t="s">
        <v>15133</v>
      </c>
    </row>
    <row r="3863" spans="1:5" x14ac:dyDescent="0.25">
      <c r="A3863" t="s">
        <v>1</v>
      </c>
      <c r="B3863" t="s">
        <v>19</v>
      </c>
      <c r="C3863" t="s">
        <v>23490</v>
      </c>
      <c r="D3863" t="str">
        <f>HYPERLINK("https://rhld.insurance.arkansas.gov/NPILookup?Npi=1437410545","1437410545")</f>
        <v>1437410545</v>
      </c>
      <c r="E3863" t="s">
        <v>19723</v>
      </c>
    </row>
    <row r="3864" spans="1:5" x14ac:dyDescent="0.25">
      <c r="A3864" t="s">
        <v>1</v>
      </c>
      <c r="B3864" t="s">
        <v>19</v>
      </c>
      <c r="C3864" t="s">
        <v>23490</v>
      </c>
      <c r="D3864" t="str">
        <f>HYPERLINK("https://rhld.insurance.arkansas.gov/NPILookup?Npi=1437442035","1437442035")</f>
        <v>1437442035</v>
      </c>
      <c r="E3864" t="s">
        <v>1557</v>
      </c>
    </row>
    <row r="3865" spans="1:5" x14ac:dyDescent="0.25">
      <c r="A3865" t="s">
        <v>1</v>
      </c>
      <c r="B3865" t="s">
        <v>19</v>
      </c>
      <c r="C3865" t="s">
        <v>23490</v>
      </c>
      <c r="D3865" t="str">
        <f>HYPERLINK("https://rhld.insurance.arkansas.gov/NPILookup?Npi=1437448008","1437448008")</f>
        <v>1437448008</v>
      </c>
      <c r="E3865" t="s">
        <v>1558</v>
      </c>
    </row>
    <row r="3866" spans="1:5" x14ac:dyDescent="0.25">
      <c r="A3866" t="s">
        <v>1</v>
      </c>
      <c r="B3866" t="s">
        <v>19</v>
      </c>
      <c r="C3866" t="s">
        <v>23490</v>
      </c>
      <c r="D3866" t="str">
        <f>HYPERLINK("https://rhld.insurance.arkansas.gov/NPILookup?Npi=1437465929","1437465929")</f>
        <v>1437465929</v>
      </c>
      <c r="E3866" t="s">
        <v>1559</v>
      </c>
    </row>
    <row r="3867" spans="1:5" x14ac:dyDescent="0.25">
      <c r="A3867" t="s">
        <v>1</v>
      </c>
      <c r="B3867" t="s">
        <v>19</v>
      </c>
      <c r="C3867" t="s">
        <v>23490</v>
      </c>
      <c r="D3867" t="str">
        <f>HYPERLINK("https://rhld.insurance.arkansas.gov/NPILookup?Npi=1437476546","1437476546")</f>
        <v>1437476546</v>
      </c>
      <c r="E3867" t="s">
        <v>1560</v>
      </c>
    </row>
    <row r="3868" spans="1:5" x14ac:dyDescent="0.25">
      <c r="A3868" t="s">
        <v>1</v>
      </c>
      <c r="B3868" t="s">
        <v>19</v>
      </c>
      <c r="C3868" t="s">
        <v>23490</v>
      </c>
      <c r="D3868" t="str">
        <f>HYPERLINK("https://rhld.insurance.arkansas.gov/NPILookup?Npi=1437499084","1437499084")</f>
        <v>1437499084</v>
      </c>
      <c r="E3868" t="s">
        <v>8670</v>
      </c>
    </row>
    <row r="3869" spans="1:5" x14ac:dyDescent="0.25">
      <c r="A3869" t="s">
        <v>1</v>
      </c>
      <c r="B3869" t="s">
        <v>19</v>
      </c>
      <c r="C3869" t="s">
        <v>23490</v>
      </c>
      <c r="D3869" t="str">
        <f>HYPERLINK("https://rhld.insurance.arkansas.gov/NPILookup?Npi=1437504040","1437504040")</f>
        <v>1437504040</v>
      </c>
      <c r="E3869" t="s">
        <v>13535</v>
      </c>
    </row>
    <row r="3870" spans="1:5" x14ac:dyDescent="0.25">
      <c r="A3870" t="s">
        <v>1</v>
      </c>
      <c r="B3870" t="s">
        <v>19</v>
      </c>
      <c r="C3870" t="s">
        <v>23490</v>
      </c>
      <c r="D3870" t="str">
        <f>HYPERLINK("https://rhld.insurance.arkansas.gov/NPILookup?Npi=1437510773","1437510773")</f>
        <v>1437510773</v>
      </c>
      <c r="E3870" t="s">
        <v>13536</v>
      </c>
    </row>
    <row r="3871" spans="1:5" x14ac:dyDescent="0.25">
      <c r="A3871" t="s">
        <v>1</v>
      </c>
      <c r="B3871" t="s">
        <v>19</v>
      </c>
      <c r="C3871" t="s">
        <v>23490</v>
      </c>
      <c r="D3871" t="str">
        <f>HYPERLINK("https://rhld.insurance.arkansas.gov/NPILookup?Npi=1437517281","1437517281")</f>
        <v>1437517281</v>
      </c>
      <c r="E3871" t="s">
        <v>8671</v>
      </c>
    </row>
    <row r="3872" spans="1:5" x14ac:dyDescent="0.25">
      <c r="A3872" t="s">
        <v>1</v>
      </c>
      <c r="B3872" t="s">
        <v>19</v>
      </c>
      <c r="C3872" t="s">
        <v>23490</v>
      </c>
      <c r="D3872" t="str">
        <f>HYPERLINK("https://rhld.insurance.arkansas.gov/NPILookup?Npi=1437526241","1437526241")</f>
        <v>1437526241</v>
      </c>
      <c r="E3872" t="s">
        <v>1562</v>
      </c>
    </row>
    <row r="3873" spans="1:5" x14ac:dyDescent="0.25">
      <c r="A3873" t="s">
        <v>1</v>
      </c>
      <c r="B3873" t="s">
        <v>19</v>
      </c>
      <c r="C3873" t="s">
        <v>23490</v>
      </c>
      <c r="D3873" t="str">
        <f>HYPERLINK("https://rhld.insurance.arkansas.gov/NPILookup?Npi=1437526944","1437526944")</f>
        <v>1437526944</v>
      </c>
      <c r="E3873" t="s">
        <v>8672</v>
      </c>
    </row>
    <row r="3874" spans="1:5" x14ac:dyDescent="0.25">
      <c r="A3874" t="s">
        <v>1</v>
      </c>
      <c r="B3874" t="s">
        <v>19</v>
      </c>
      <c r="C3874" t="s">
        <v>23490</v>
      </c>
      <c r="D3874" t="str">
        <f>HYPERLINK("https://rhld.insurance.arkansas.gov/NPILookup?Npi=1437545662","1437545662")</f>
        <v>1437545662</v>
      </c>
      <c r="E3874" t="s">
        <v>10925</v>
      </c>
    </row>
    <row r="3875" spans="1:5" x14ac:dyDescent="0.25">
      <c r="A3875" t="s">
        <v>1</v>
      </c>
      <c r="B3875" t="s">
        <v>19</v>
      </c>
      <c r="C3875" t="s">
        <v>23490</v>
      </c>
      <c r="D3875" t="str">
        <f>HYPERLINK("https://rhld.insurance.arkansas.gov/NPILookup?Npi=1437550167","1437550167")</f>
        <v>1437550167</v>
      </c>
      <c r="E3875" t="s">
        <v>21542</v>
      </c>
    </row>
    <row r="3876" spans="1:5" x14ac:dyDescent="0.25">
      <c r="A3876" t="s">
        <v>1</v>
      </c>
      <c r="B3876" t="s">
        <v>19</v>
      </c>
      <c r="C3876" t="s">
        <v>23490</v>
      </c>
      <c r="D3876" t="str">
        <f>HYPERLINK("https://rhld.insurance.arkansas.gov/NPILookup?Npi=1437551363","1437551363")</f>
        <v>1437551363</v>
      </c>
      <c r="E3876" t="s">
        <v>15134</v>
      </c>
    </row>
    <row r="3877" spans="1:5" x14ac:dyDescent="0.25">
      <c r="A3877" t="s">
        <v>1</v>
      </c>
      <c r="B3877" t="s">
        <v>19</v>
      </c>
      <c r="C3877" t="s">
        <v>23490</v>
      </c>
      <c r="D3877" t="str">
        <f>HYPERLINK("https://rhld.insurance.arkansas.gov/NPILookup?Npi=1437558509","1437558509")</f>
        <v>1437558509</v>
      </c>
      <c r="E3877" t="s">
        <v>1563</v>
      </c>
    </row>
    <row r="3878" spans="1:5" x14ac:dyDescent="0.25">
      <c r="A3878" t="s">
        <v>1</v>
      </c>
      <c r="B3878" t="s">
        <v>19</v>
      </c>
      <c r="C3878" t="s">
        <v>23490</v>
      </c>
      <c r="D3878" t="str">
        <f>HYPERLINK("https://rhld.insurance.arkansas.gov/NPILookup?Npi=1437566841","1437566841")</f>
        <v>1437566841</v>
      </c>
      <c r="E3878" t="s">
        <v>15135</v>
      </c>
    </row>
    <row r="3879" spans="1:5" x14ac:dyDescent="0.25">
      <c r="A3879" t="s">
        <v>1</v>
      </c>
      <c r="B3879" t="s">
        <v>19</v>
      </c>
      <c r="C3879" t="s">
        <v>23490</v>
      </c>
      <c r="D3879" t="str">
        <f>HYPERLINK("https://rhld.insurance.arkansas.gov/NPILookup?Npi=1437573482","1437573482")</f>
        <v>1437573482</v>
      </c>
      <c r="E3879" t="s">
        <v>1564</v>
      </c>
    </row>
    <row r="3880" spans="1:5" x14ac:dyDescent="0.25">
      <c r="A3880" t="s">
        <v>1</v>
      </c>
      <c r="B3880" t="s">
        <v>19</v>
      </c>
      <c r="C3880" t="s">
        <v>23490</v>
      </c>
      <c r="D3880" t="str">
        <f>HYPERLINK("https://rhld.insurance.arkansas.gov/NPILookup?Npi=1437574902","1437574902")</f>
        <v>1437574902</v>
      </c>
      <c r="E3880" t="s">
        <v>10926</v>
      </c>
    </row>
    <row r="3881" spans="1:5" x14ac:dyDescent="0.25">
      <c r="A3881" t="s">
        <v>1</v>
      </c>
      <c r="B3881" t="s">
        <v>19</v>
      </c>
      <c r="C3881" t="s">
        <v>23490</v>
      </c>
      <c r="D3881" t="str">
        <f>HYPERLINK("https://rhld.insurance.arkansas.gov/NPILookup?Npi=1437582673","1437582673")</f>
        <v>1437582673</v>
      </c>
      <c r="E3881" t="s">
        <v>10927</v>
      </c>
    </row>
    <row r="3882" spans="1:5" x14ac:dyDescent="0.25">
      <c r="A3882" t="s">
        <v>1</v>
      </c>
      <c r="B3882" t="s">
        <v>19</v>
      </c>
      <c r="C3882" t="s">
        <v>23490</v>
      </c>
      <c r="D3882" t="str">
        <f>HYPERLINK("https://rhld.insurance.arkansas.gov/NPILookup?Npi=1437625274","1437625274")</f>
        <v>1437625274</v>
      </c>
      <c r="E3882" t="s">
        <v>13537</v>
      </c>
    </row>
    <row r="3883" spans="1:5" x14ac:dyDescent="0.25">
      <c r="A3883" t="s">
        <v>1</v>
      </c>
      <c r="B3883" t="s">
        <v>19</v>
      </c>
      <c r="C3883" t="s">
        <v>23490</v>
      </c>
      <c r="D3883" t="str">
        <f>HYPERLINK("https://rhld.insurance.arkansas.gov/NPILookup?Npi=1437645892","1437645892")</f>
        <v>1437645892</v>
      </c>
      <c r="E3883" t="s">
        <v>18775</v>
      </c>
    </row>
    <row r="3884" spans="1:5" x14ac:dyDescent="0.25">
      <c r="A3884" t="s">
        <v>1</v>
      </c>
      <c r="B3884" t="s">
        <v>19</v>
      </c>
      <c r="C3884" t="s">
        <v>23490</v>
      </c>
      <c r="D3884" t="str">
        <f>HYPERLINK("https://rhld.insurance.arkansas.gov/NPILookup?Npi=1437651601","1437651601")</f>
        <v>1437651601</v>
      </c>
      <c r="E3884" t="s">
        <v>12843</v>
      </c>
    </row>
    <row r="3885" spans="1:5" x14ac:dyDescent="0.25">
      <c r="A3885" t="s">
        <v>1</v>
      </c>
      <c r="B3885" t="s">
        <v>19</v>
      </c>
      <c r="C3885" t="s">
        <v>23490</v>
      </c>
      <c r="D3885" t="str">
        <f>HYPERLINK("https://rhld.insurance.arkansas.gov/NPILookup?Npi=1437655065","1437655065")</f>
        <v>1437655065</v>
      </c>
      <c r="E3885" t="s">
        <v>12988</v>
      </c>
    </row>
    <row r="3886" spans="1:5" x14ac:dyDescent="0.25">
      <c r="A3886" t="s">
        <v>1</v>
      </c>
      <c r="B3886" t="s">
        <v>19</v>
      </c>
      <c r="C3886" t="s">
        <v>23490</v>
      </c>
      <c r="D3886" t="str">
        <f>HYPERLINK("https://rhld.insurance.arkansas.gov/NPILookup?Npi=1437668175","1437668175")</f>
        <v>1437668175</v>
      </c>
      <c r="E3886" t="s">
        <v>15136</v>
      </c>
    </row>
    <row r="3887" spans="1:5" x14ac:dyDescent="0.25">
      <c r="A3887" t="s">
        <v>1</v>
      </c>
      <c r="B3887" t="s">
        <v>19</v>
      </c>
      <c r="C3887" t="s">
        <v>23490</v>
      </c>
      <c r="D3887" t="str">
        <f>HYPERLINK("https://rhld.insurance.arkansas.gov/NPILookup?Npi=1437679164","1437679164")</f>
        <v>1437679164</v>
      </c>
      <c r="E3887" t="s">
        <v>10928</v>
      </c>
    </row>
    <row r="3888" spans="1:5" x14ac:dyDescent="0.25">
      <c r="A3888" t="s">
        <v>1</v>
      </c>
      <c r="B3888" t="s">
        <v>19</v>
      </c>
      <c r="C3888" t="s">
        <v>23490</v>
      </c>
      <c r="D3888" t="str">
        <f>HYPERLINK("https://rhld.insurance.arkansas.gov/NPILookup?Npi=1437679651","1437679651")</f>
        <v>1437679651</v>
      </c>
      <c r="E3888" t="s">
        <v>17988</v>
      </c>
    </row>
    <row r="3889" spans="1:5" x14ac:dyDescent="0.25">
      <c r="A3889" t="s">
        <v>1</v>
      </c>
      <c r="B3889" t="s">
        <v>19</v>
      </c>
      <c r="C3889" t="s">
        <v>23490</v>
      </c>
      <c r="D3889" t="str">
        <f>HYPERLINK("https://rhld.insurance.arkansas.gov/NPILookup?Npi=1437693389","1437693389")</f>
        <v>1437693389</v>
      </c>
      <c r="E3889" t="s">
        <v>10929</v>
      </c>
    </row>
    <row r="3890" spans="1:5" x14ac:dyDescent="0.25">
      <c r="A3890" t="s">
        <v>1</v>
      </c>
      <c r="B3890" t="s">
        <v>19</v>
      </c>
      <c r="C3890" t="s">
        <v>23490</v>
      </c>
      <c r="D3890" t="str">
        <f>HYPERLINK("https://rhld.insurance.arkansas.gov/NPILookup?Npi=1437698735","1437698735")</f>
        <v>1437698735</v>
      </c>
      <c r="E3890" t="s">
        <v>10930</v>
      </c>
    </row>
    <row r="3891" spans="1:5" x14ac:dyDescent="0.25">
      <c r="A3891" t="s">
        <v>1</v>
      </c>
      <c r="B3891" t="s">
        <v>19</v>
      </c>
      <c r="C3891" t="s">
        <v>23490</v>
      </c>
      <c r="D3891" t="str">
        <f>HYPERLINK("https://rhld.insurance.arkansas.gov/NPILookup?Npi=1437705910","1437705910")</f>
        <v>1437705910</v>
      </c>
      <c r="E3891" t="s">
        <v>16953</v>
      </c>
    </row>
    <row r="3892" spans="1:5" x14ac:dyDescent="0.25">
      <c r="A3892" t="s">
        <v>1</v>
      </c>
      <c r="B3892" t="s">
        <v>19</v>
      </c>
      <c r="C3892" t="s">
        <v>8427</v>
      </c>
      <c r="D3892" t="str">
        <f>HYPERLINK("https://rhld.insurance.arkansas.gov/NPILookup?Npi=1437718483","1437718483")</f>
        <v>1437718483</v>
      </c>
      <c r="E3892" t="s">
        <v>22933</v>
      </c>
    </row>
    <row r="3893" spans="1:5" x14ac:dyDescent="0.25">
      <c r="A3893" t="s">
        <v>1</v>
      </c>
      <c r="B3893" t="s">
        <v>19</v>
      </c>
      <c r="C3893" t="s">
        <v>23490</v>
      </c>
      <c r="D3893" t="str">
        <f>HYPERLINK("https://rhld.insurance.arkansas.gov/NPILookup?Npi=1437740180","1437740180")</f>
        <v>1437740180</v>
      </c>
      <c r="E3893" t="s">
        <v>19724</v>
      </c>
    </row>
    <row r="3894" spans="1:5" x14ac:dyDescent="0.25">
      <c r="A3894" t="s">
        <v>1</v>
      </c>
      <c r="B3894" t="s">
        <v>19</v>
      </c>
      <c r="C3894" t="s">
        <v>23490</v>
      </c>
      <c r="D3894" t="str">
        <f>HYPERLINK("https://rhld.insurance.arkansas.gov/NPILookup?Npi=1437758026","1437758026")</f>
        <v>1437758026</v>
      </c>
      <c r="E3894" t="s">
        <v>17989</v>
      </c>
    </row>
    <row r="3895" spans="1:5" x14ac:dyDescent="0.25">
      <c r="A3895" t="s">
        <v>1</v>
      </c>
      <c r="B3895" t="s">
        <v>19</v>
      </c>
      <c r="C3895" t="s">
        <v>23490</v>
      </c>
      <c r="D3895" t="str">
        <f>HYPERLINK("https://rhld.insurance.arkansas.gov/NPILookup?Npi=1437765831","1437765831")</f>
        <v>1437765831</v>
      </c>
      <c r="E3895" t="s">
        <v>18776</v>
      </c>
    </row>
    <row r="3896" spans="1:5" x14ac:dyDescent="0.25">
      <c r="A3896" t="s">
        <v>1</v>
      </c>
      <c r="B3896" t="s">
        <v>19</v>
      </c>
      <c r="C3896" t="s">
        <v>23490</v>
      </c>
      <c r="D3896" t="str">
        <f>HYPERLINK("https://rhld.insurance.arkansas.gov/NPILookup?Npi=1437769007","1437769007")</f>
        <v>1437769007</v>
      </c>
      <c r="E3896" t="s">
        <v>20938</v>
      </c>
    </row>
    <row r="3897" spans="1:5" x14ac:dyDescent="0.25">
      <c r="A3897" t="s">
        <v>1</v>
      </c>
      <c r="B3897" t="s">
        <v>19</v>
      </c>
      <c r="C3897" t="s">
        <v>23490</v>
      </c>
      <c r="D3897" t="str">
        <f>HYPERLINK("https://rhld.insurance.arkansas.gov/NPILookup?Npi=1437792298","1437792298")</f>
        <v>1437792298</v>
      </c>
      <c r="E3897" t="s">
        <v>19725</v>
      </c>
    </row>
    <row r="3898" spans="1:5" x14ac:dyDescent="0.25">
      <c r="A3898" t="s">
        <v>1</v>
      </c>
      <c r="B3898" t="s">
        <v>19</v>
      </c>
      <c r="C3898" t="s">
        <v>23490</v>
      </c>
      <c r="D3898" t="str">
        <f>HYPERLINK("https://rhld.insurance.arkansas.gov/NPILookup?Npi=1437807260","1437807260")</f>
        <v>1437807260</v>
      </c>
      <c r="E3898" t="s">
        <v>19726</v>
      </c>
    </row>
    <row r="3899" spans="1:5" x14ac:dyDescent="0.25">
      <c r="A3899" t="s">
        <v>1</v>
      </c>
      <c r="B3899" t="s">
        <v>19</v>
      </c>
      <c r="C3899" t="s">
        <v>23490</v>
      </c>
      <c r="D3899" t="str">
        <f>HYPERLINK("https://rhld.insurance.arkansas.gov/NPILookup?Npi=1437817988","1437817988")</f>
        <v>1437817988</v>
      </c>
      <c r="E3899" t="s">
        <v>19727</v>
      </c>
    </row>
    <row r="3900" spans="1:5" x14ac:dyDescent="0.25">
      <c r="A3900" t="s">
        <v>1</v>
      </c>
      <c r="B3900" t="s">
        <v>19</v>
      </c>
      <c r="C3900" t="s">
        <v>23490</v>
      </c>
      <c r="D3900" t="str">
        <f>HYPERLINK("https://rhld.insurance.arkansas.gov/NPILookup?Npi=1437827912","1437827912")</f>
        <v>1437827912</v>
      </c>
      <c r="E3900" t="s">
        <v>18777</v>
      </c>
    </row>
    <row r="3901" spans="1:5" x14ac:dyDescent="0.25">
      <c r="A3901" t="s">
        <v>1</v>
      </c>
      <c r="B3901" t="s">
        <v>19</v>
      </c>
      <c r="C3901" t="s">
        <v>23490</v>
      </c>
      <c r="D3901" t="str">
        <f>HYPERLINK("https://rhld.insurance.arkansas.gov/NPILookup?Npi=1437828084","1437828084")</f>
        <v>1437828084</v>
      </c>
      <c r="E3901" t="s">
        <v>18778</v>
      </c>
    </row>
    <row r="3902" spans="1:5" x14ac:dyDescent="0.25">
      <c r="A3902" t="s">
        <v>1</v>
      </c>
      <c r="B3902" t="s">
        <v>19</v>
      </c>
      <c r="C3902" t="s">
        <v>23490</v>
      </c>
      <c r="D3902" t="str">
        <f>HYPERLINK("https://rhld.insurance.arkansas.gov/NPILookup?Npi=1437866720","1437866720")</f>
        <v>1437866720</v>
      </c>
      <c r="E3902" t="s">
        <v>21543</v>
      </c>
    </row>
    <row r="3903" spans="1:5" x14ac:dyDescent="0.25">
      <c r="A3903" t="s">
        <v>1</v>
      </c>
      <c r="B3903" t="s">
        <v>19</v>
      </c>
      <c r="C3903" t="s">
        <v>23490</v>
      </c>
      <c r="D3903" t="str">
        <f>HYPERLINK("https://rhld.insurance.arkansas.gov/NPILookup?Npi=1437871571","1437871571")</f>
        <v>1437871571</v>
      </c>
      <c r="E3903" t="s">
        <v>21544</v>
      </c>
    </row>
    <row r="3904" spans="1:5" x14ac:dyDescent="0.25">
      <c r="A3904" t="s">
        <v>1</v>
      </c>
      <c r="B3904" t="s">
        <v>19</v>
      </c>
      <c r="C3904" t="s">
        <v>23490</v>
      </c>
      <c r="D3904" t="str">
        <f>HYPERLINK("https://rhld.insurance.arkansas.gov/NPILookup?Npi=1437882776","1437882776")</f>
        <v>1437882776</v>
      </c>
      <c r="E3904" t="s">
        <v>21402</v>
      </c>
    </row>
    <row r="3905" spans="1:5" x14ac:dyDescent="0.25">
      <c r="A3905" t="s">
        <v>1</v>
      </c>
      <c r="B3905" t="s">
        <v>19</v>
      </c>
      <c r="C3905" t="s">
        <v>23490</v>
      </c>
      <c r="D3905" t="str">
        <f>HYPERLINK("https://rhld.insurance.arkansas.gov/NPILookup?Npi=1447200365","1447200365")</f>
        <v>1447200365</v>
      </c>
      <c r="E3905" t="s">
        <v>1565</v>
      </c>
    </row>
    <row r="3906" spans="1:5" x14ac:dyDescent="0.25">
      <c r="A3906" t="s">
        <v>1</v>
      </c>
      <c r="B3906" t="s">
        <v>19</v>
      </c>
      <c r="C3906" t="s">
        <v>23490</v>
      </c>
      <c r="D3906" t="str">
        <f>HYPERLINK("https://rhld.insurance.arkansas.gov/NPILookup?Npi=1447200464","1447200464")</f>
        <v>1447200464</v>
      </c>
      <c r="E3906" t="s">
        <v>1566</v>
      </c>
    </row>
    <row r="3907" spans="1:5" x14ac:dyDescent="0.25">
      <c r="A3907" t="s">
        <v>1</v>
      </c>
      <c r="B3907" t="s">
        <v>19</v>
      </c>
      <c r="C3907" t="s">
        <v>23490</v>
      </c>
      <c r="D3907" t="str">
        <f>HYPERLINK("https://rhld.insurance.arkansas.gov/NPILookup?Npi=1447202759","1447202759")</f>
        <v>1447202759</v>
      </c>
      <c r="E3907" t="s">
        <v>1567</v>
      </c>
    </row>
    <row r="3908" spans="1:5" x14ac:dyDescent="0.25">
      <c r="A3908" t="s">
        <v>1</v>
      </c>
      <c r="B3908" t="s">
        <v>19</v>
      </c>
      <c r="C3908" t="s">
        <v>23490</v>
      </c>
      <c r="D3908" t="str">
        <f>HYPERLINK("https://rhld.insurance.arkansas.gov/NPILookup?Npi=1447209606","1447209606")</f>
        <v>1447209606</v>
      </c>
      <c r="E3908" t="s">
        <v>1569</v>
      </c>
    </row>
    <row r="3909" spans="1:5" x14ac:dyDescent="0.25">
      <c r="A3909" t="s">
        <v>1</v>
      </c>
      <c r="B3909" t="s">
        <v>19</v>
      </c>
      <c r="C3909" t="s">
        <v>23490</v>
      </c>
      <c r="D3909" t="str">
        <f>HYPERLINK("https://rhld.insurance.arkansas.gov/NPILookup?Npi=1447215264","1447215264")</f>
        <v>1447215264</v>
      </c>
      <c r="E3909" t="s">
        <v>15137</v>
      </c>
    </row>
    <row r="3910" spans="1:5" x14ac:dyDescent="0.25">
      <c r="A3910" t="s">
        <v>1</v>
      </c>
      <c r="B3910" t="s">
        <v>19</v>
      </c>
      <c r="C3910" t="s">
        <v>23490</v>
      </c>
      <c r="D3910" t="str">
        <f>HYPERLINK("https://rhld.insurance.arkansas.gov/NPILookup?Npi=1447223060","1447223060")</f>
        <v>1447223060</v>
      </c>
      <c r="E3910" t="s">
        <v>1570</v>
      </c>
    </row>
    <row r="3911" spans="1:5" x14ac:dyDescent="0.25">
      <c r="A3911" t="s">
        <v>1</v>
      </c>
      <c r="B3911" t="s">
        <v>19</v>
      </c>
      <c r="C3911" t="s">
        <v>23490</v>
      </c>
      <c r="D3911" t="str">
        <f>HYPERLINK("https://rhld.insurance.arkansas.gov/NPILookup?Npi=1447233531","1447233531")</f>
        <v>1447233531</v>
      </c>
      <c r="E3911" t="s">
        <v>1571</v>
      </c>
    </row>
    <row r="3912" spans="1:5" x14ac:dyDescent="0.25">
      <c r="A3912" t="s">
        <v>1</v>
      </c>
      <c r="B3912" t="s">
        <v>19</v>
      </c>
      <c r="C3912" t="s">
        <v>23490</v>
      </c>
      <c r="D3912" t="str">
        <f>HYPERLINK("https://rhld.insurance.arkansas.gov/NPILookup?Npi=1447234489","1447234489")</f>
        <v>1447234489</v>
      </c>
      <c r="E3912" t="s">
        <v>15138</v>
      </c>
    </row>
    <row r="3913" spans="1:5" x14ac:dyDescent="0.25">
      <c r="A3913" t="s">
        <v>1</v>
      </c>
      <c r="B3913" t="s">
        <v>19</v>
      </c>
      <c r="C3913" t="s">
        <v>23490</v>
      </c>
      <c r="D3913" t="str">
        <f>HYPERLINK("https://rhld.insurance.arkansas.gov/NPILookup?Npi=1447236732","1447236732")</f>
        <v>1447236732</v>
      </c>
      <c r="E3913" t="s">
        <v>15139</v>
      </c>
    </row>
    <row r="3914" spans="1:5" x14ac:dyDescent="0.25">
      <c r="A3914" t="s">
        <v>1</v>
      </c>
      <c r="B3914" t="s">
        <v>19</v>
      </c>
      <c r="C3914" t="s">
        <v>23490</v>
      </c>
      <c r="D3914" t="str">
        <f>HYPERLINK("https://rhld.insurance.arkansas.gov/NPILookup?Npi=1447239702","1447239702")</f>
        <v>1447239702</v>
      </c>
      <c r="E3914" t="s">
        <v>1572</v>
      </c>
    </row>
    <row r="3915" spans="1:5" x14ac:dyDescent="0.25">
      <c r="A3915" t="s">
        <v>1</v>
      </c>
      <c r="B3915" t="s">
        <v>19</v>
      </c>
      <c r="C3915" t="s">
        <v>23490</v>
      </c>
      <c r="D3915" t="str">
        <f>HYPERLINK("https://rhld.insurance.arkansas.gov/NPILookup?Npi=1447247267","1447247267")</f>
        <v>1447247267</v>
      </c>
      <c r="E3915" t="s">
        <v>1573</v>
      </c>
    </row>
    <row r="3916" spans="1:5" x14ac:dyDescent="0.25">
      <c r="A3916" t="s">
        <v>1</v>
      </c>
      <c r="B3916" t="s">
        <v>19</v>
      </c>
      <c r="C3916" t="s">
        <v>23490</v>
      </c>
      <c r="D3916" t="str">
        <f>HYPERLINK("https://rhld.insurance.arkansas.gov/NPILookup?Npi=1447251632","1447251632")</f>
        <v>1447251632</v>
      </c>
      <c r="E3916" t="s">
        <v>1574</v>
      </c>
    </row>
    <row r="3917" spans="1:5" x14ac:dyDescent="0.25">
      <c r="A3917" t="s">
        <v>1</v>
      </c>
      <c r="B3917" t="s">
        <v>19</v>
      </c>
      <c r="C3917" t="s">
        <v>23490</v>
      </c>
      <c r="D3917" t="str">
        <f>HYPERLINK("https://rhld.insurance.arkansas.gov/NPILookup?Npi=1447255526","1447255526")</f>
        <v>1447255526</v>
      </c>
      <c r="E3917" t="s">
        <v>10931</v>
      </c>
    </row>
    <row r="3918" spans="1:5" x14ac:dyDescent="0.25">
      <c r="A3918" t="s">
        <v>1</v>
      </c>
      <c r="B3918" t="s">
        <v>19</v>
      </c>
      <c r="C3918" t="s">
        <v>23490</v>
      </c>
      <c r="D3918" t="str">
        <f>HYPERLINK("https://rhld.insurance.arkansas.gov/NPILookup?Npi=1447257142","1447257142")</f>
        <v>1447257142</v>
      </c>
      <c r="E3918" t="s">
        <v>1575</v>
      </c>
    </row>
    <row r="3919" spans="1:5" x14ac:dyDescent="0.25">
      <c r="A3919" t="s">
        <v>1</v>
      </c>
      <c r="B3919" t="s">
        <v>19</v>
      </c>
      <c r="C3919" t="s">
        <v>23490</v>
      </c>
      <c r="D3919" t="str">
        <f>HYPERLINK("https://rhld.insurance.arkansas.gov/NPILookup?Npi=1447257324","1447257324")</f>
        <v>1447257324</v>
      </c>
      <c r="E3919" t="s">
        <v>1576</v>
      </c>
    </row>
    <row r="3920" spans="1:5" x14ac:dyDescent="0.25">
      <c r="A3920" t="s">
        <v>1</v>
      </c>
      <c r="B3920" t="s">
        <v>19</v>
      </c>
      <c r="C3920" t="s">
        <v>23490</v>
      </c>
      <c r="D3920" t="str">
        <f>HYPERLINK("https://rhld.insurance.arkansas.gov/NPILookup?Npi=1447264643","1447264643")</f>
        <v>1447264643</v>
      </c>
      <c r="E3920" t="s">
        <v>1577</v>
      </c>
    </row>
    <row r="3921" spans="1:5" x14ac:dyDescent="0.25">
      <c r="A3921" t="s">
        <v>1</v>
      </c>
      <c r="B3921" t="s">
        <v>19</v>
      </c>
      <c r="C3921" t="s">
        <v>23490</v>
      </c>
      <c r="D3921" t="str">
        <f>HYPERLINK("https://rhld.insurance.arkansas.gov/NPILookup?Npi=1447268057","1447268057")</f>
        <v>1447268057</v>
      </c>
      <c r="E3921" t="s">
        <v>19728</v>
      </c>
    </row>
    <row r="3922" spans="1:5" x14ac:dyDescent="0.25">
      <c r="A3922" t="s">
        <v>1</v>
      </c>
      <c r="B3922" t="s">
        <v>19</v>
      </c>
      <c r="C3922" t="s">
        <v>23490</v>
      </c>
      <c r="D3922" t="str">
        <f>HYPERLINK("https://rhld.insurance.arkansas.gov/NPILookup?Npi=1447271291","1447271291")</f>
        <v>1447271291</v>
      </c>
      <c r="E3922" t="s">
        <v>1578</v>
      </c>
    </row>
    <row r="3923" spans="1:5" x14ac:dyDescent="0.25">
      <c r="A3923" t="s">
        <v>1</v>
      </c>
      <c r="B3923" t="s">
        <v>19</v>
      </c>
      <c r="C3923" t="s">
        <v>23490</v>
      </c>
      <c r="D3923" t="str">
        <f>HYPERLINK("https://rhld.insurance.arkansas.gov/NPILookup?Npi=1447275656","1447275656")</f>
        <v>1447275656</v>
      </c>
      <c r="E3923" t="s">
        <v>22934</v>
      </c>
    </row>
    <row r="3924" spans="1:5" x14ac:dyDescent="0.25">
      <c r="A3924" t="s">
        <v>1</v>
      </c>
      <c r="B3924" t="s">
        <v>19</v>
      </c>
      <c r="C3924" t="s">
        <v>23490</v>
      </c>
      <c r="D3924" t="str">
        <f>HYPERLINK("https://rhld.insurance.arkansas.gov/NPILookup?Npi=1447282991","1447282991")</f>
        <v>1447282991</v>
      </c>
      <c r="E3924" t="s">
        <v>1579</v>
      </c>
    </row>
    <row r="3925" spans="1:5" x14ac:dyDescent="0.25">
      <c r="A3925" t="s">
        <v>1</v>
      </c>
      <c r="B3925" t="s">
        <v>19</v>
      </c>
      <c r="C3925" t="s">
        <v>23490</v>
      </c>
      <c r="D3925" t="str">
        <f>HYPERLINK("https://rhld.insurance.arkansas.gov/NPILookup?Npi=1447297320","1447297320")</f>
        <v>1447297320</v>
      </c>
      <c r="E3925" t="s">
        <v>8674</v>
      </c>
    </row>
    <row r="3926" spans="1:5" x14ac:dyDescent="0.25">
      <c r="A3926" t="s">
        <v>1</v>
      </c>
      <c r="B3926" t="s">
        <v>19</v>
      </c>
      <c r="C3926" t="s">
        <v>23490</v>
      </c>
      <c r="D3926" t="str">
        <f>HYPERLINK("https://rhld.insurance.arkansas.gov/NPILookup?Npi=1447324314","1447324314")</f>
        <v>1447324314</v>
      </c>
      <c r="E3926" t="s">
        <v>1580</v>
      </c>
    </row>
    <row r="3927" spans="1:5" x14ac:dyDescent="0.25">
      <c r="A3927" t="s">
        <v>1</v>
      </c>
      <c r="B3927" t="s">
        <v>19</v>
      </c>
      <c r="C3927" t="s">
        <v>23490</v>
      </c>
      <c r="D3927" t="str">
        <f>HYPERLINK("https://rhld.insurance.arkansas.gov/NPILookup?Npi=1447329404","1447329404")</f>
        <v>1447329404</v>
      </c>
      <c r="E3927" t="s">
        <v>1581</v>
      </c>
    </row>
    <row r="3928" spans="1:5" x14ac:dyDescent="0.25">
      <c r="A3928" t="s">
        <v>1</v>
      </c>
      <c r="B3928" t="s">
        <v>19</v>
      </c>
      <c r="C3928" t="s">
        <v>23490</v>
      </c>
      <c r="D3928" t="str">
        <f>HYPERLINK("https://rhld.insurance.arkansas.gov/NPILookup?Npi=1447335708","1447335708")</f>
        <v>1447335708</v>
      </c>
      <c r="E3928" t="s">
        <v>1582</v>
      </c>
    </row>
    <row r="3929" spans="1:5" x14ac:dyDescent="0.25">
      <c r="A3929" t="s">
        <v>1</v>
      </c>
      <c r="B3929" t="s">
        <v>19</v>
      </c>
      <c r="C3929" t="s">
        <v>23490</v>
      </c>
      <c r="D3929" t="str">
        <f>HYPERLINK("https://rhld.insurance.arkansas.gov/NPILookup?Npi=1447347885","1447347885")</f>
        <v>1447347885</v>
      </c>
      <c r="E3929" t="s">
        <v>8675</v>
      </c>
    </row>
    <row r="3930" spans="1:5" x14ac:dyDescent="0.25">
      <c r="A3930" t="s">
        <v>1</v>
      </c>
      <c r="B3930" t="s">
        <v>19</v>
      </c>
      <c r="C3930" t="s">
        <v>23490</v>
      </c>
      <c r="D3930" t="str">
        <f>HYPERLINK("https://rhld.insurance.arkansas.gov/NPILookup?Npi=1447350285","1447350285")</f>
        <v>1447350285</v>
      </c>
      <c r="E3930" t="s">
        <v>1584</v>
      </c>
    </row>
    <row r="3931" spans="1:5" x14ac:dyDescent="0.25">
      <c r="A3931" t="s">
        <v>1</v>
      </c>
      <c r="B3931" t="s">
        <v>19</v>
      </c>
      <c r="C3931" t="s">
        <v>23490</v>
      </c>
      <c r="D3931" t="str">
        <f>HYPERLINK("https://rhld.insurance.arkansas.gov/NPILookup?Npi=1447363833","1447363833")</f>
        <v>1447363833</v>
      </c>
      <c r="E3931" t="s">
        <v>1585</v>
      </c>
    </row>
    <row r="3932" spans="1:5" x14ac:dyDescent="0.25">
      <c r="A3932" t="s">
        <v>1</v>
      </c>
      <c r="B3932" t="s">
        <v>19</v>
      </c>
      <c r="C3932" t="s">
        <v>23490</v>
      </c>
      <c r="D3932" t="str">
        <f>HYPERLINK("https://rhld.insurance.arkansas.gov/NPILookup?Npi=1447385422","1447385422")</f>
        <v>1447385422</v>
      </c>
      <c r="E3932" t="s">
        <v>1586</v>
      </c>
    </row>
    <row r="3933" spans="1:5" x14ac:dyDescent="0.25">
      <c r="A3933" t="s">
        <v>1</v>
      </c>
      <c r="B3933" t="s">
        <v>19</v>
      </c>
      <c r="C3933" t="s">
        <v>23490</v>
      </c>
      <c r="D3933" t="str">
        <f>HYPERLINK("https://rhld.insurance.arkansas.gov/NPILookup?Npi=1447388186","1447388186")</f>
        <v>1447388186</v>
      </c>
      <c r="E3933" t="s">
        <v>1587</v>
      </c>
    </row>
    <row r="3934" spans="1:5" x14ac:dyDescent="0.25">
      <c r="A3934" t="s">
        <v>1</v>
      </c>
      <c r="B3934" t="s">
        <v>19</v>
      </c>
      <c r="C3934" t="s">
        <v>23490</v>
      </c>
      <c r="D3934" t="str">
        <f>HYPERLINK("https://rhld.insurance.arkansas.gov/NPILookup?Npi=1447390893","1447390893")</f>
        <v>1447390893</v>
      </c>
      <c r="E3934" t="s">
        <v>15140</v>
      </c>
    </row>
    <row r="3935" spans="1:5" x14ac:dyDescent="0.25">
      <c r="A3935" t="s">
        <v>1</v>
      </c>
      <c r="B3935" t="s">
        <v>19</v>
      </c>
      <c r="C3935" t="s">
        <v>23490</v>
      </c>
      <c r="D3935" t="str">
        <f>HYPERLINK("https://rhld.insurance.arkansas.gov/NPILookup?Npi=1447399167","1447399167")</f>
        <v>1447399167</v>
      </c>
      <c r="E3935" t="s">
        <v>13538</v>
      </c>
    </row>
    <row r="3936" spans="1:5" x14ac:dyDescent="0.25">
      <c r="A3936" t="s">
        <v>1</v>
      </c>
      <c r="B3936" t="s">
        <v>19</v>
      </c>
      <c r="C3936" t="s">
        <v>23490</v>
      </c>
      <c r="D3936" t="str">
        <f>HYPERLINK("https://rhld.insurance.arkansas.gov/NPILookup?Npi=1447407671","1447407671")</f>
        <v>1447407671</v>
      </c>
      <c r="E3936" t="s">
        <v>1588</v>
      </c>
    </row>
    <row r="3937" spans="1:5" x14ac:dyDescent="0.25">
      <c r="A3937" t="s">
        <v>1</v>
      </c>
      <c r="B3937" t="s">
        <v>19</v>
      </c>
      <c r="C3937" t="s">
        <v>23490</v>
      </c>
      <c r="D3937" t="str">
        <f>HYPERLINK("https://rhld.insurance.arkansas.gov/NPILookup?Npi=1447409420","1447409420")</f>
        <v>1447409420</v>
      </c>
      <c r="E3937" t="s">
        <v>1589</v>
      </c>
    </row>
    <row r="3938" spans="1:5" x14ac:dyDescent="0.25">
      <c r="A3938" t="s">
        <v>1</v>
      </c>
      <c r="B3938" t="s">
        <v>19</v>
      </c>
      <c r="C3938" t="s">
        <v>23490</v>
      </c>
      <c r="D3938" t="str">
        <f>HYPERLINK("https://rhld.insurance.arkansas.gov/NPILookup?Npi=1447421482","1447421482")</f>
        <v>1447421482</v>
      </c>
      <c r="E3938" t="s">
        <v>1590</v>
      </c>
    </row>
    <row r="3939" spans="1:5" x14ac:dyDescent="0.25">
      <c r="A3939" t="s">
        <v>1</v>
      </c>
      <c r="B3939" t="s">
        <v>19</v>
      </c>
      <c r="C3939" t="s">
        <v>23490</v>
      </c>
      <c r="D3939" t="str">
        <f>HYPERLINK("https://rhld.insurance.arkansas.gov/NPILookup?Npi=1447460993","1447460993")</f>
        <v>1447460993</v>
      </c>
      <c r="E3939" t="s">
        <v>13539</v>
      </c>
    </row>
    <row r="3940" spans="1:5" x14ac:dyDescent="0.25">
      <c r="A3940" t="s">
        <v>1</v>
      </c>
      <c r="B3940" t="s">
        <v>19</v>
      </c>
      <c r="C3940" t="s">
        <v>23490</v>
      </c>
      <c r="D3940" t="str">
        <f>HYPERLINK("https://rhld.insurance.arkansas.gov/NPILookup?Npi=1447461199","1447461199")</f>
        <v>1447461199</v>
      </c>
      <c r="E3940" t="s">
        <v>8676</v>
      </c>
    </row>
    <row r="3941" spans="1:5" x14ac:dyDescent="0.25">
      <c r="A3941" t="s">
        <v>1</v>
      </c>
      <c r="B3941" t="s">
        <v>19</v>
      </c>
      <c r="C3941" t="s">
        <v>23490</v>
      </c>
      <c r="D3941" t="str">
        <f>HYPERLINK("https://rhld.insurance.arkansas.gov/NPILookup?Npi=1447474697","1447474697")</f>
        <v>1447474697</v>
      </c>
      <c r="E3941" t="s">
        <v>15141</v>
      </c>
    </row>
    <row r="3942" spans="1:5" x14ac:dyDescent="0.25">
      <c r="A3942" t="s">
        <v>1</v>
      </c>
      <c r="B3942" t="s">
        <v>19</v>
      </c>
      <c r="C3942" t="s">
        <v>23490</v>
      </c>
      <c r="D3942" t="str">
        <f>HYPERLINK("https://rhld.insurance.arkansas.gov/NPILookup?Npi=1447481072","1447481072")</f>
        <v>1447481072</v>
      </c>
      <c r="E3942" t="s">
        <v>1591</v>
      </c>
    </row>
    <row r="3943" spans="1:5" x14ac:dyDescent="0.25">
      <c r="A3943" t="s">
        <v>1</v>
      </c>
      <c r="B3943" t="s">
        <v>19</v>
      </c>
      <c r="C3943" t="s">
        <v>23490</v>
      </c>
      <c r="D3943" t="str">
        <f>HYPERLINK("https://rhld.insurance.arkansas.gov/NPILookup?Npi=1447483151","1447483151")</f>
        <v>1447483151</v>
      </c>
      <c r="E3943" t="s">
        <v>1592</v>
      </c>
    </row>
    <row r="3944" spans="1:5" x14ac:dyDescent="0.25">
      <c r="A3944" t="s">
        <v>1</v>
      </c>
      <c r="B3944" t="s">
        <v>19</v>
      </c>
      <c r="C3944" t="s">
        <v>23490</v>
      </c>
      <c r="D3944" t="str">
        <f>HYPERLINK("https://rhld.insurance.arkansas.gov/NPILookup?Npi=1447484860","1447484860")</f>
        <v>1447484860</v>
      </c>
      <c r="E3944" t="s">
        <v>1593</v>
      </c>
    </row>
    <row r="3945" spans="1:5" x14ac:dyDescent="0.25">
      <c r="A3945" t="s">
        <v>1</v>
      </c>
      <c r="B3945" t="s">
        <v>19</v>
      </c>
      <c r="C3945" t="s">
        <v>23490</v>
      </c>
      <c r="D3945" t="str">
        <f>HYPERLINK("https://rhld.insurance.arkansas.gov/NPILookup?Npi=1447485727","1447485727")</f>
        <v>1447485727</v>
      </c>
      <c r="E3945" t="s">
        <v>1594</v>
      </c>
    </row>
    <row r="3946" spans="1:5" x14ac:dyDescent="0.25">
      <c r="A3946" t="s">
        <v>1</v>
      </c>
      <c r="B3946" t="s">
        <v>19</v>
      </c>
      <c r="C3946" t="s">
        <v>23490</v>
      </c>
      <c r="D3946" t="str">
        <f>HYPERLINK("https://rhld.insurance.arkansas.gov/NPILookup?Npi=1447508320","1447508320")</f>
        <v>1447508320</v>
      </c>
      <c r="E3946" t="s">
        <v>15142</v>
      </c>
    </row>
    <row r="3947" spans="1:5" x14ac:dyDescent="0.25">
      <c r="A3947" t="s">
        <v>1</v>
      </c>
      <c r="B3947" t="s">
        <v>19</v>
      </c>
      <c r="C3947" t="s">
        <v>23490</v>
      </c>
      <c r="D3947" t="str">
        <f>HYPERLINK("https://rhld.insurance.arkansas.gov/NPILookup?Npi=1447512579","1447512579")</f>
        <v>1447512579</v>
      </c>
      <c r="E3947" t="s">
        <v>1595</v>
      </c>
    </row>
    <row r="3948" spans="1:5" x14ac:dyDescent="0.25">
      <c r="A3948" t="s">
        <v>1</v>
      </c>
      <c r="B3948" t="s">
        <v>19</v>
      </c>
      <c r="C3948" t="s">
        <v>23490</v>
      </c>
      <c r="D3948" t="str">
        <f>HYPERLINK("https://rhld.insurance.arkansas.gov/NPILookup?Npi=1447514310","1447514310")</f>
        <v>1447514310</v>
      </c>
      <c r="E3948" t="s">
        <v>19729</v>
      </c>
    </row>
    <row r="3949" spans="1:5" x14ac:dyDescent="0.25">
      <c r="A3949" t="s">
        <v>1</v>
      </c>
      <c r="B3949" t="s">
        <v>19</v>
      </c>
      <c r="C3949" t="s">
        <v>23490</v>
      </c>
      <c r="D3949" t="str">
        <f>HYPERLINK("https://rhld.insurance.arkansas.gov/NPILookup?Npi=1447546452","1447546452")</f>
        <v>1447546452</v>
      </c>
      <c r="E3949" t="s">
        <v>1596</v>
      </c>
    </row>
    <row r="3950" spans="1:5" x14ac:dyDescent="0.25">
      <c r="A3950" t="s">
        <v>1</v>
      </c>
      <c r="B3950" t="s">
        <v>19</v>
      </c>
      <c r="C3950" t="s">
        <v>23490</v>
      </c>
      <c r="D3950" t="str">
        <f>HYPERLINK("https://rhld.insurance.arkansas.gov/NPILookup?Npi=1447571583","1447571583")</f>
        <v>1447571583</v>
      </c>
      <c r="E3950" t="s">
        <v>10932</v>
      </c>
    </row>
    <row r="3951" spans="1:5" x14ac:dyDescent="0.25">
      <c r="A3951" t="s">
        <v>1</v>
      </c>
      <c r="B3951" t="s">
        <v>19</v>
      </c>
      <c r="C3951" t="s">
        <v>23490</v>
      </c>
      <c r="D3951" t="str">
        <f>HYPERLINK("https://rhld.insurance.arkansas.gov/NPILookup?Npi=1447575162","1447575162")</f>
        <v>1447575162</v>
      </c>
      <c r="E3951" t="s">
        <v>13540</v>
      </c>
    </row>
    <row r="3952" spans="1:5" x14ac:dyDescent="0.25">
      <c r="A3952" t="s">
        <v>1</v>
      </c>
      <c r="B3952" t="s">
        <v>19</v>
      </c>
      <c r="C3952" t="s">
        <v>8427</v>
      </c>
      <c r="D3952" t="str">
        <f>HYPERLINK("https://rhld.insurance.arkansas.gov/NPILookup?Npi=1447579073","1447579073")</f>
        <v>1447579073</v>
      </c>
      <c r="E3952" t="s">
        <v>22935</v>
      </c>
    </row>
    <row r="3953" spans="1:5" x14ac:dyDescent="0.25">
      <c r="A3953" t="s">
        <v>1</v>
      </c>
      <c r="B3953" t="s">
        <v>19</v>
      </c>
      <c r="C3953" t="s">
        <v>23490</v>
      </c>
      <c r="D3953" t="str">
        <f>HYPERLINK("https://rhld.insurance.arkansas.gov/NPILookup?Npi=1447583885","1447583885")</f>
        <v>1447583885</v>
      </c>
      <c r="E3953" t="s">
        <v>1597</v>
      </c>
    </row>
    <row r="3954" spans="1:5" x14ac:dyDescent="0.25">
      <c r="A3954" t="s">
        <v>1</v>
      </c>
      <c r="B3954" t="s">
        <v>19</v>
      </c>
      <c r="C3954" t="s">
        <v>23490</v>
      </c>
      <c r="D3954" t="str">
        <f>HYPERLINK("https://rhld.insurance.arkansas.gov/NPILookup?Npi=1447590864","1447590864")</f>
        <v>1447590864</v>
      </c>
      <c r="E3954" t="s">
        <v>8677</v>
      </c>
    </row>
    <row r="3955" spans="1:5" x14ac:dyDescent="0.25">
      <c r="A3955" t="s">
        <v>1</v>
      </c>
      <c r="B3955" t="s">
        <v>19</v>
      </c>
      <c r="C3955" t="s">
        <v>23490</v>
      </c>
      <c r="D3955" t="str">
        <f>HYPERLINK("https://rhld.insurance.arkansas.gov/NPILookup?Npi=1447602321","1447602321")</f>
        <v>1447602321</v>
      </c>
      <c r="E3955" t="s">
        <v>10934</v>
      </c>
    </row>
    <row r="3956" spans="1:5" x14ac:dyDescent="0.25">
      <c r="A3956" t="s">
        <v>1</v>
      </c>
      <c r="B3956" t="s">
        <v>19</v>
      </c>
      <c r="C3956" t="s">
        <v>23490</v>
      </c>
      <c r="D3956" t="str">
        <f>HYPERLINK("https://rhld.insurance.arkansas.gov/NPILookup?Npi=1447602909","1447602909")</f>
        <v>1447602909</v>
      </c>
      <c r="E3956" t="s">
        <v>10935</v>
      </c>
    </row>
    <row r="3957" spans="1:5" x14ac:dyDescent="0.25">
      <c r="A3957" t="s">
        <v>1</v>
      </c>
      <c r="B3957" t="s">
        <v>19</v>
      </c>
      <c r="C3957" t="s">
        <v>23490</v>
      </c>
      <c r="D3957" t="str">
        <f>HYPERLINK("https://rhld.insurance.arkansas.gov/NPILookup?Npi=1447603808","1447603808")</f>
        <v>1447603808</v>
      </c>
      <c r="E3957" t="s">
        <v>10936</v>
      </c>
    </row>
    <row r="3958" spans="1:5" x14ac:dyDescent="0.25">
      <c r="A3958" t="s">
        <v>1</v>
      </c>
      <c r="B3958" t="s">
        <v>19</v>
      </c>
      <c r="C3958" t="s">
        <v>23490</v>
      </c>
      <c r="D3958" t="str">
        <f>HYPERLINK("https://rhld.insurance.arkansas.gov/NPILookup?Npi=1447616040","1447616040")</f>
        <v>1447616040</v>
      </c>
      <c r="E3958" t="s">
        <v>8678</v>
      </c>
    </row>
    <row r="3959" spans="1:5" x14ac:dyDescent="0.25">
      <c r="A3959" t="s">
        <v>1</v>
      </c>
      <c r="B3959" t="s">
        <v>19</v>
      </c>
      <c r="C3959" t="s">
        <v>23490</v>
      </c>
      <c r="D3959" t="str">
        <f>HYPERLINK("https://rhld.insurance.arkansas.gov/NPILookup?Npi=1447621255","1447621255")</f>
        <v>1447621255</v>
      </c>
      <c r="E3959" t="s">
        <v>1276</v>
      </c>
    </row>
    <row r="3960" spans="1:5" x14ac:dyDescent="0.25">
      <c r="A3960" t="s">
        <v>1</v>
      </c>
      <c r="B3960" t="s">
        <v>19</v>
      </c>
      <c r="C3960" t="s">
        <v>23490</v>
      </c>
      <c r="D3960" t="str">
        <f>HYPERLINK("https://rhld.insurance.arkansas.gov/NPILookup?Npi=1447640123","1447640123")</f>
        <v>1447640123</v>
      </c>
      <c r="E3960" t="s">
        <v>15143</v>
      </c>
    </row>
    <row r="3961" spans="1:5" x14ac:dyDescent="0.25">
      <c r="A3961" t="s">
        <v>1</v>
      </c>
      <c r="B3961" t="s">
        <v>19</v>
      </c>
      <c r="C3961" t="s">
        <v>23490</v>
      </c>
      <c r="D3961" t="str">
        <f>HYPERLINK("https://rhld.insurance.arkansas.gov/NPILookup?Npi=1447648431","1447648431")</f>
        <v>1447648431</v>
      </c>
      <c r="E3961" t="s">
        <v>16954</v>
      </c>
    </row>
    <row r="3962" spans="1:5" x14ac:dyDescent="0.25">
      <c r="A3962" t="s">
        <v>1</v>
      </c>
      <c r="B3962" t="s">
        <v>19</v>
      </c>
      <c r="C3962" t="s">
        <v>23490</v>
      </c>
      <c r="D3962" t="str">
        <f>HYPERLINK("https://rhld.insurance.arkansas.gov/NPILookup?Npi=1447655287","1447655287")</f>
        <v>1447655287</v>
      </c>
      <c r="E3962" t="s">
        <v>19730</v>
      </c>
    </row>
    <row r="3963" spans="1:5" x14ac:dyDescent="0.25">
      <c r="A3963" t="s">
        <v>1</v>
      </c>
      <c r="B3963" t="s">
        <v>19</v>
      </c>
      <c r="C3963" t="s">
        <v>23490</v>
      </c>
      <c r="D3963" t="str">
        <f>HYPERLINK("https://rhld.insurance.arkansas.gov/NPILookup?Npi=1447664560","1447664560")</f>
        <v>1447664560</v>
      </c>
      <c r="E3963" t="s">
        <v>1598</v>
      </c>
    </row>
    <row r="3964" spans="1:5" x14ac:dyDescent="0.25">
      <c r="A3964" t="s">
        <v>1</v>
      </c>
      <c r="B3964" t="s">
        <v>19</v>
      </c>
      <c r="C3964" t="s">
        <v>23490</v>
      </c>
      <c r="D3964" t="str">
        <f>HYPERLINK("https://rhld.insurance.arkansas.gov/NPILookup?Npi=1447673132","1447673132")</f>
        <v>1447673132</v>
      </c>
      <c r="E3964" t="s">
        <v>10937</v>
      </c>
    </row>
    <row r="3965" spans="1:5" x14ac:dyDescent="0.25">
      <c r="A3965" t="s">
        <v>1</v>
      </c>
      <c r="B3965" t="s">
        <v>19</v>
      </c>
      <c r="C3965" t="s">
        <v>23490</v>
      </c>
      <c r="D3965" t="str">
        <f>HYPERLINK("https://rhld.insurance.arkansas.gov/NPILookup?Npi=1447677836","1447677836")</f>
        <v>1447677836</v>
      </c>
      <c r="E3965" t="s">
        <v>1599</v>
      </c>
    </row>
    <row r="3966" spans="1:5" x14ac:dyDescent="0.25">
      <c r="A3966" t="s">
        <v>1</v>
      </c>
      <c r="B3966" t="s">
        <v>19</v>
      </c>
      <c r="C3966" t="s">
        <v>23490</v>
      </c>
      <c r="D3966" t="str">
        <f>HYPERLINK("https://rhld.insurance.arkansas.gov/NPILookup?Npi=1447684527","1447684527")</f>
        <v>1447684527</v>
      </c>
      <c r="E3966" t="s">
        <v>1600</v>
      </c>
    </row>
    <row r="3967" spans="1:5" x14ac:dyDescent="0.25">
      <c r="A3967" t="s">
        <v>1</v>
      </c>
      <c r="B3967" t="s">
        <v>19</v>
      </c>
      <c r="C3967" t="s">
        <v>23490</v>
      </c>
      <c r="D3967" t="str">
        <f>HYPERLINK("https://rhld.insurance.arkansas.gov/NPILookup?Npi=1447700299","1447700299")</f>
        <v>1447700299</v>
      </c>
      <c r="E3967" t="s">
        <v>13541</v>
      </c>
    </row>
    <row r="3968" spans="1:5" x14ac:dyDescent="0.25">
      <c r="A3968" t="s">
        <v>1</v>
      </c>
      <c r="B3968" t="s">
        <v>19</v>
      </c>
      <c r="C3968" t="s">
        <v>23490</v>
      </c>
      <c r="D3968" t="str">
        <f>HYPERLINK("https://rhld.insurance.arkansas.gov/NPILookup?Npi=1447711379","1447711379")</f>
        <v>1447711379</v>
      </c>
      <c r="E3968" t="s">
        <v>20939</v>
      </c>
    </row>
    <row r="3969" spans="1:5" x14ac:dyDescent="0.25">
      <c r="A3969" t="s">
        <v>1</v>
      </c>
      <c r="B3969" t="s">
        <v>19</v>
      </c>
      <c r="C3969" t="s">
        <v>23490</v>
      </c>
      <c r="D3969" t="str">
        <f>HYPERLINK("https://rhld.insurance.arkansas.gov/NPILookup?Npi=1447757935","1447757935")</f>
        <v>1447757935</v>
      </c>
      <c r="E3969" t="s">
        <v>15144</v>
      </c>
    </row>
    <row r="3970" spans="1:5" x14ac:dyDescent="0.25">
      <c r="A3970" t="s">
        <v>1</v>
      </c>
      <c r="B3970" t="s">
        <v>19</v>
      </c>
      <c r="C3970" t="s">
        <v>23490</v>
      </c>
      <c r="D3970" t="str">
        <f>HYPERLINK("https://rhld.insurance.arkansas.gov/NPILookup?Npi=1447761390","1447761390")</f>
        <v>1447761390</v>
      </c>
      <c r="E3970" t="s">
        <v>15145</v>
      </c>
    </row>
    <row r="3971" spans="1:5" x14ac:dyDescent="0.25">
      <c r="A3971" t="s">
        <v>1</v>
      </c>
      <c r="B3971" t="s">
        <v>19</v>
      </c>
      <c r="C3971" t="s">
        <v>23490</v>
      </c>
      <c r="D3971" t="str">
        <f>HYPERLINK("https://rhld.insurance.arkansas.gov/NPILookup?Npi=1447763032","1447763032")</f>
        <v>1447763032</v>
      </c>
      <c r="E3971" t="s">
        <v>21545</v>
      </c>
    </row>
    <row r="3972" spans="1:5" x14ac:dyDescent="0.25">
      <c r="A3972" t="s">
        <v>1</v>
      </c>
      <c r="B3972" t="s">
        <v>19</v>
      </c>
      <c r="C3972" t="s">
        <v>23490</v>
      </c>
      <c r="D3972" t="str">
        <f>HYPERLINK("https://rhld.insurance.arkansas.gov/NPILookup?Npi=1447785282","1447785282")</f>
        <v>1447785282</v>
      </c>
      <c r="E3972" t="s">
        <v>1171</v>
      </c>
    </row>
    <row r="3973" spans="1:5" x14ac:dyDescent="0.25">
      <c r="A3973" t="s">
        <v>1</v>
      </c>
      <c r="B3973" t="s">
        <v>19</v>
      </c>
      <c r="C3973" t="s">
        <v>8427</v>
      </c>
      <c r="D3973" t="str">
        <f>HYPERLINK("https://rhld.insurance.arkansas.gov/NPILookup?Npi=1447785787","1447785787")</f>
        <v>1447785787</v>
      </c>
      <c r="E3973" t="s">
        <v>22936</v>
      </c>
    </row>
    <row r="3974" spans="1:5" x14ac:dyDescent="0.25">
      <c r="A3974" t="s">
        <v>1</v>
      </c>
      <c r="B3974" t="s">
        <v>19</v>
      </c>
      <c r="C3974" t="s">
        <v>23490</v>
      </c>
      <c r="D3974" t="str">
        <f>HYPERLINK("https://rhld.insurance.arkansas.gov/NPILookup?Npi=1447791645","1447791645")</f>
        <v>1447791645</v>
      </c>
      <c r="E3974" t="s">
        <v>16955</v>
      </c>
    </row>
    <row r="3975" spans="1:5" x14ac:dyDescent="0.25">
      <c r="A3975" t="s">
        <v>1</v>
      </c>
      <c r="B3975" t="s">
        <v>19</v>
      </c>
      <c r="C3975" t="s">
        <v>23490</v>
      </c>
      <c r="D3975" t="str">
        <f>HYPERLINK("https://rhld.insurance.arkansas.gov/NPILookup?Npi=1447791983","1447791983")</f>
        <v>1447791983</v>
      </c>
      <c r="E3975" t="s">
        <v>10938</v>
      </c>
    </row>
    <row r="3976" spans="1:5" x14ac:dyDescent="0.25">
      <c r="A3976" t="s">
        <v>1</v>
      </c>
      <c r="B3976" t="s">
        <v>19</v>
      </c>
      <c r="C3976" t="s">
        <v>23490</v>
      </c>
      <c r="D3976" t="str">
        <f>HYPERLINK("https://rhld.insurance.arkansas.gov/NPILookup?Npi=1447796438","1447796438")</f>
        <v>1447796438</v>
      </c>
      <c r="E3976" t="s">
        <v>17990</v>
      </c>
    </row>
    <row r="3977" spans="1:5" x14ac:dyDescent="0.25">
      <c r="A3977" t="s">
        <v>1</v>
      </c>
      <c r="B3977" t="s">
        <v>19</v>
      </c>
      <c r="C3977" t="s">
        <v>23490</v>
      </c>
      <c r="D3977" t="str">
        <f>HYPERLINK("https://rhld.insurance.arkansas.gov/NPILookup?Npi=1447796875","1447796875")</f>
        <v>1447796875</v>
      </c>
      <c r="E3977" t="s">
        <v>15146</v>
      </c>
    </row>
    <row r="3978" spans="1:5" x14ac:dyDescent="0.25">
      <c r="A3978" t="s">
        <v>1</v>
      </c>
      <c r="B3978" t="s">
        <v>19</v>
      </c>
      <c r="C3978" t="s">
        <v>23490</v>
      </c>
      <c r="D3978" t="str">
        <f>HYPERLINK("https://rhld.insurance.arkansas.gov/NPILookup?Npi=1447797741","1447797741")</f>
        <v>1447797741</v>
      </c>
      <c r="E3978" t="s">
        <v>13542</v>
      </c>
    </row>
    <row r="3979" spans="1:5" x14ac:dyDescent="0.25">
      <c r="A3979" t="s">
        <v>1</v>
      </c>
      <c r="B3979" t="s">
        <v>19</v>
      </c>
      <c r="C3979" t="s">
        <v>23490</v>
      </c>
      <c r="D3979" t="str">
        <f>HYPERLINK("https://rhld.insurance.arkansas.gov/NPILookup?Npi=1447804661","1447804661")</f>
        <v>1447804661</v>
      </c>
      <c r="E3979" t="s">
        <v>19731</v>
      </c>
    </row>
    <row r="3980" spans="1:5" x14ac:dyDescent="0.25">
      <c r="A3980" t="s">
        <v>1</v>
      </c>
      <c r="B3980" t="s">
        <v>19</v>
      </c>
      <c r="C3980" t="s">
        <v>23490</v>
      </c>
      <c r="D3980" t="str">
        <f>HYPERLINK("https://rhld.insurance.arkansas.gov/NPILookup?Npi=1447806203","1447806203")</f>
        <v>1447806203</v>
      </c>
      <c r="E3980" t="s">
        <v>16956</v>
      </c>
    </row>
    <row r="3981" spans="1:5" x14ac:dyDescent="0.25">
      <c r="A3981" t="s">
        <v>1</v>
      </c>
      <c r="B3981" t="s">
        <v>19</v>
      </c>
      <c r="C3981" t="s">
        <v>23490</v>
      </c>
      <c r="D3981" t="str">
        <f>HYPERLINK("https://rhld.insurance.arkansas.gov/NPILookup?Npi=1447806856","1447806856")</f>
        <v>1447806856</v>
      </c>
      <c r="E3981" t="s">
        <v>19732</v>
      </c>
    </row>
    <row r="3982" spans="1:5" x14ac:dyDescent="0.25">
      <c r="A3982" t="s">
        <v>1</v>
      </c>
      <c r="B3982" t="s">
        <v>19</v>
      </c>
      <c r="C3982" t="s">
        <v>23490</v>
      </c>
      <c r="D3982" t="str">
        <f>HYPERLINK("https://rhld.insurance.arkansas.gov/NPILookup?Npi=1447816772","1447816772")</f>
        <v>1447816772</v>
      </c>
      <c r="E3982" t="s">
        <v>15147</v>
      </c>
    </row>
    <row r="3983" spans="1:5" x14ac:dyDescent="0.25">
      <c r="A3983" t="s">
        <v>1</v>
      </c>
      <c r="B3983" t="s">
        <v>19</v>
      </c>
      <c r="C3983" t="s">
        <v>23490</v>
      </c>
      <c r="D3983" t="str">
        <f>HYPERLINK("https://rhld.insurance.arkansas.gov/NPILookup?Npi=1447818554","1447818554")</f>
        <v>1447818554</v>
      </c>
      <c r="E3983" t="s">
        <v>15148</v>
      </c>
    </row>
    <row r="3984" spans="1:5" x14ac:dyDescent="0.25">
      <c r="A3984" t="s">
        <v>1</v>
      </c>
      <c r="B3984" t="s">
        <v>19</v>
      </c>
      <c r="C3984" t="s">
        <v>23490</v>
      </c>
      <c r="D3984" t="str">
        <f>HYPERLINK("https://rhld.insurance.arkansas.gov/NPILookup?Npi=1447820998","1447820998")</f>
        <v>1447820998</v>
      </c>
      <c r="E3984" t="s">
        <v>19733</v>
      </c>
    </row>
    <row r="3985" spans="1:5" x14ac:dyDescent="0.25">
      <c r="A3985" t="s">
        <v>1</v>
      </c>
      <c r="B3985" t="s">
        <v>19</v>
      </c>
      <c r="C3985" t="s">
        <v>23490</v>
      </c>
      <c r="D3985" t="str">
        <f>HYPERLINK("https://rhld.insurance.arkansas.gov/NPILookup?Npi=1447844923","1447844923")</f>
        <v>1447844923</v>
      </c>
      <c r="E3985" t="s">
        <v>21546</v>
      </c>
    </row>
    <row r="3986" spans="1:5" x14ac:dyDescent="0.25">
      <c r="A3986" t="s">
        <v>1</v>
      </c>
      <c r="B3986" t="s">
        <v>19</v>
      </c>
      <c r="C3986" t="s">
        <v>23490</v>
      </c>
      <c r="D3986" t="str">
        <f>HYPERLINK("https://rhld.insurance.arkansas.gov/NPILookup?Npi=1447844998","1447844998")</f>
        <v>1447844998</v>
      </c>
      <c r="E3986" t="s">
        <v>21547</v>
      </c>
    </row>
    <row r="3987" spans="1:5" x14ac:dyDescent="0.25">
      <c r="A3987" t="s">
        <v>1</v>
      </c>
      <c r="B3987" t="s">
        <v>19</v>
      </c>
      <c r="C3987" t="s">
        <v>23490</v>
      </c>
      <c r="D3987" t="str">
        <f>HYPERLINK("https://rhld.insurance.arkansas.gov/NPILookup?Npi=1447871934","1447871934")</f>
        <v>1447871934</v>
      </c>
      <c r="E3987" t="s">
        <v>16957</v>
      </c>
    </row>
    <row r="3988" spans="1:5" x14ac:dyDescent="0.25">
      <c r="A3988" t="s">
        <v>1</v>
      </c>
      <c r="B3988" t="s">
        <v>19</v>
      </c>
      <c r="C3988" t="s">
        <v>23490</v>
      </c>
      <c r="D3988" t="str">
        <f>HYPERLINK("https://rhld.insurance.arkansas.gov/NPILookup?Npi=1447879168","1447879168")</f>
        <v>1447879168</v>
      </c>
      <c r="E3988" t="s">
        <v>17429</v>
      </c>
    </row>
    <row r="3989" spans="1:5" x14ac:dyDescent="0.25">
      <c r="A3989" t="s">
        <v>1</v>
      </c>
      <c r="B3989" t="s">
        <v>19</v>
      </c>
      <c r="C3989" t="s">
        <v>23490</v>
      </c>
      <c r="D3989" t="str">
        <f>HYPERLINK("https://rhld.insurance.arkansas.gov/NPILookup?Npi=1447890595","1447890595")</f>
        <v>1447890595</v>
      </c>
      <c r="E3989" t="s">
        <v>16958</v>
      </c>
    </row>
    <row r="3990" spans="1:5" x14ac:dyDescent="0.25">
      <c r="A3990" t="s">
        <v>1</v>
      </c>
      <c r="B3990" t="s">
        <v>19</v>
      </c>
      <c r="C3990" t="s">
        <v>23490</v>
      </c>
      <c r="D3990" t="str">
        <f>HYPERLINK("https://rhld.insurance.arkansas.gov/NPILookup?Npi=1447893987","1447893987")</f>
        <v>1447893987</v>
      </c>
      <c r="E3990" t="s">
        <v>16959</v>
      </c>
    </row>
    <row r="3991" spans="1:5" x14ac:dyDescent="0.25">
      <c r="A3991" t="s">
        <v>1</v>
      </c>
      <c r="B3991" t="s">
        <v>19</v>
      </c>
      <c r="C3991" t="s">
        <v>23490</v>
      </c>
      <c r="D3991" t="str">
        <f>HYPERLINK("https://rhld.insurance.arkansas.gov/NPILookup?Npi=1447904503","1447904503")</f>
        <v>1447904503</v>
      </c>
      <c r="E3991" t="s">
        <v>20940</v>
      </c>
    </row>
    <row r="3992" spans="1:5" x14ac:dyDescent="0.25">
      <c r="A3992" t="s">
        <v>1</v>
      </c>
      <c r="B3992" t="s">
        <v>19</v>
      </c>
      <c r="C3992" t="s">
        <v>23490</v>
      </c>
      <c r="D3992" t="str">
        <f>HYPERLINK("https://rhld.insurance.arkansas.gov/NPILookup?Npi=1447905682","1447905682")</f>
        <v>1447905682</v>
      </c>
      <c r="E3992" t="s">
        <v>19734</v>
      </c>
    </row>
    <row r="3993" spans="1:5" x14ac:dyDescent="0.25">
      <c r="A3993" t="s">
        <v>1</v>
      </c>
      <c r="B3993" t="s">
        <v>19</v>
      </c>
      <c r="C3993" t="s">
        <v>23490</v>
      </c>
      <c r="D3993" t="str">
        <f>HYPERLINK("https://rhld.insurance.arkansas.gov/NPILookup?Npi=1447905989","1447905989")</f>
        <v>1447905989</v>
      </c>
      <c r="E3993" t="s">
        <v>19735</v>
      </c>
    </row>
    <row r="3994" spans="1:5" x14ac:dyDescent="0.25">
      <c r="A3994" t="s">
        <v>1</v>
      </c>
      <c r="B3994" t="s">
        <v>19</v>
      </c>
      <c r="C3994" t="s">
        <v>23490</v>
      </c>
      <c r="D3994" t="str">
        <f>HYPERLINK("https://rhld.insurance.arkansas.gov/NPILookup?Npi=1447909411","1447909411")</f>
        <v>1447909411</v>
      </c>
      <c r="E3994" t="s">
        <v>21548</v>
      </c>
    </row>
    <row r="3995" spans="1:5" x14ac:dyDescent="0.25">
      <c r="A3995" t="s">
        <v>1</v>
      </c>
      <c r="B3995" t="s">
        <v>19</v>
      </c>
      <c r="C3995" t="s">
        <v>23490</v>
      </c>
      <c r="D3995" t="str">
        <f>HYPERLINK("https://rhld.insurance.arkansas.gov/NPILookup?Npi=1447951439","1447951439")</f>
        <v>1447951439</v>
      </c>
      <c r="E3995" t="s">
        <v>21549</v>
      </c>
    </row>
    <row r="3996" spans="1:5" x14ac:dyDescent="0.25">
      <c r="A3996" t="s">
        <v>1</v>
      </c>
      <c r="B3996" t="s">
        <v>19</v>
      </c>
      <c r="C3996" t="s">
        <v>23490</v>
      </c>
      <c r="D3996" t="str">
        <f>HYPERLINK("https://rhld.insurance.arkansas.gov/NPILookup?Npi=1447980073","1447980073")</f>
        <v>1447980073</v>
      </c>
      <c r="E3996" t="s">
        <v>20941</v>
      </c>
    </row>
    <row r="3997" spans="1:5" x14ac:dyDescent="0.25">
      <c r="A3997" t="s">
        <v>1</v>
      </c>
      <c r="B3997" t="s">
        <v>19</v>
      </c>
      <c r="C3997" t="s">
        <v>23490</v>
      </c>
      <c r="D3997" t="str">
        <f>HYPERLINK("https://rhld.insurance.arkansas.gov/NPILookup?Npi=1447984851","1447984851")</f>
        <v>1447984851</v>
      </c>
      <c r="E3997" t="s">
        <v>14167</v>
      </c>
    </row>
    <row r="3998" spans="1:5" x14ac:dyDescent="0.25">
      <c r="A3998" t="s">
        <v>1</v>
      </c>
      <c r="B3998" t="s">
        <v>19</v>
      </c>
      <c r="C3998" t="s">
        <v>23490</v>
      </c>
      <c r="D3998" t="str">
        <f>HYPERLINK("https://rhld.insurance.arkansas.gov/NPILookup?Npi=1447991880","1447991880")</f>
        <v>1447991880</v>
      </c>
      <c r="E3998" t="s">
        <v>20942</v>
      </c>
    </row>
    <row r="3999" spans="1:5" x14ac:dyDescent="0.25">
      <c r="A3999" t="s">
        <v>1</v>
      </c>
      <c r="B3999" t="s">
        <v>19</v>
      </c>
      <c r="C3999" t="s">
        <v>23490</v>
      </c>
      <c r="D3999" t="str">
        <f>HYPERLINK("https://rhld.insurance.arkansas.gov/NPILookup?Npi=1447996517","1447996517")</f>
        <v>1447996517</v>
      </c>
      <c r="E3999" t="s">
        <v>20943</v>
      </c>
    </row>
    <row r="4000" spans="1:5" x14ac:dyDescent="0.25">
      <c r="A4000" t="s">
        <v>1</v>
      </c>
      <c r="B4000" t="s">
        <v>19</v>
      </c>
      <c r="C4000" t="s">
        <v>23490</v>
      </c>
      <c r="D4000" t="str">
        <f>HYPERLINK("https://rhld.insurance.arkansas.gov/NPILookup?Npi=1457016370","1457016370")</f>
        <v>1457016370</v>
      </c>
      <c r="E4000" t="s">
        <v>19736</v>
      </c>
    </row>
    <row r="4001" spans="1:5" x14ac:dyDescent="0.25">
      <c r="A4001" t="s">
        <v>1</v>
      </c>
      <c r="B4001" t="s">
        <v>19</v>
      </c>
      <c r="C4001" t="s">
        <v>23490</v>
      </c>
      <c r="D4001" t="str">
        <f>HYPERLINK("https://rhld.insurance.arkansas.gov/NPILookup?Npi=1457021289","1457021289")</f>
        <v>1457021289</v>
      </c>
      <c r="E4001" t="s">
        <v>19737</v>
      </c>
    </row>
    <row r="4002" spans="1:5" x14ac:dyDescent="0.25">
      <c r="A4002" t="s">
        <v>1</v>
      </c>
      <c r="B4002" t="s">
        <v>19</v>
      </c>
      <c r="C4002" t="s">
        <v>23490</v>
      </c>
      <c r="D4002" t="str">
        <f>HYPERLINK("https://rhld.insurance.arkansas.gov/NPILookup?Npi=1457027377","1457027377")</f>
        <v>1457027377</v>
      </c>
      <c r="E4002" t="s">
        <v>18779</v>
      </c>
    </row>
    <row r="4003" spans="1:5" x14ac:dyDescent="0.25">
      <c r="A4003" t="s">
        <v>1</v>
      </c>
      <c r="B4003" t="s">
        <v>19</v>
      </c>
      <c r="C4003" t="s">
        <v>23490</v>
      </c>
      <c r="D4003" t="str">
        <f>HYPERLINK("https://rhld.insurance.arkansas.gov/NPILookup?Npi=1457076267","1457076267")</f>
        <v>1457076267</v>
      </c>
      <c r="E4003" t="s">
        <v>21550</v>
      </c>
    </row>
    <row r="4004" spans="1:5" x14ac:dyDescent="0.25">
      <c r="A4004" t="s">
        <v>1</v>
      </c>
      <c r="B4004" t="s">
        <v>19</v>
      </c>
      <c r="C4004" t="s">
        <v>23490</v>
      </c>
      <c r="D4004" t="str">
        <f>HYPERLINK("https://rhld.insurance.arkansas.gov/NPILookup?Npi=1457303927","1457303927")</f>
        <v>1457303927</v>
      </c>
      <c r="E4004" t="s">
        <v>1601</v>
      </c>
    </row>
    <row r="4005" spans="1:5" x14ac:dyDescent="0.25">
      <c r="A4005" t="s">
        <v>1</v>
      </c>
      <c r="B4005" t="s">
        <v>19</v>
      </c>
      <c r="C4005" t="s">
        <v>23490</v>
      </c>
      <c r="D4005" t="str">
        <f>HYPERLINK("https://rhld.insurance.arkansas.gov/NPILookup?Npi=1457304131","1457304131")</f>
        <v>1457304131</v>
      </c>
      <c r="E4005" t="s">
        <v>8679</v>
      </c>
    </row>
    <row r="4006" spans="1:5" x14ac:dyDescent="0.25">
      <c r="A4006" t="s">
        <v>1</v>
      </c>
      <c r="B4006" t="s">
        <v>19</v>
      </c>
      <c r="C4006" t="s">
        <v>23490</v>
      </c>
      <c r="D4006" t="str">
        <f>HYPERLINK("https://rhld.insurance.arkansas.gov/NPILookup?Npi=1457310476","1457310476")</f>
        <v>1457310476</v>
      </c>
      <c r="E4006" t="s">
        <v>1602</v>
      </c>
    </row>
    <row r="4007" spans="1:5" x14ac:dyDescent="0.25">
      <c r="A4007" t="s">
        <v>1</v>
      </c>
      <c r="B4007" t="s">
        <v>19</v>
      </c>
      <c r="C4007" t="s">
        <v>23490</v>
      </c>
      <c r="D4007" t="str">
        <f>HYPERLINK("https://rhld.insurance.arkansas.gov/NPILookup?Npi=1457314007","1457314007")</f>
        <v>1457314007</v>
      </c>
      <c r="E4007" t="s">
        <v>1603</v>
      </c>
    </row>
    <row r="4008" spans="1:5" x14ac:dyDescent="0.25">
      <c r="A4008" t="s">
        <v>1</v>
      </c>
      <c r="B4008" t="s">
        <v>19</v>
      </c>
      <c r="C4008" t="s">
        <v>23490</v>
      </c>
      <c r="D4008" t="str">
        <f>HYPERLINK("https://rhld.insurance.arkansas.gov/NPILookup?Npi=1457314015","1457314015")</f>
        <v>1457314015</v>
      </c>
      <c r="E4008" t="s">
        <v>1604</v>
      </c>
    </row>
    <row r="4009" spans="1:5" x14ac:dyDescent="0.25">
      <c r="A4009" t="s">
        <v>1</v>
      </c>
      <c r="B4009" t="s">
        <v>19</v>
      </c>
      <c r="C4009" t="s">
        <v>23490</v>
      </c>
      <c r="D4009" t="str">
        <f>HYPERLINK("https://rhld.insurance.arkansas.gov/NPILookup?Npi=1457314635","1457314635")</f>
        <v>1457314635</v>
      </c>
      <c r="E4009" t="s">
        <v>1605</v>
      </c>
    </row>
    <row r="4010" spans="1:5" x14ac:dyDescent="0.25">
      <c r="A4010" t="s">
        <v>1</v>
      </c>
      <c r="B4010" t="s">
        <v>19</v>
      </c>
      <c r="C4010" t="s">
        <v>23490</v>
      </c>
      <c r="D4010" t="str">
        <f>HYPERLINK("https://rhld.insurance.arkansas.gov/NPILookup?Npi=1457316556","1457316556")</f>
        <v>1457316556</v>
      </c>
      <c r="E4010" t="s">
        <v>1606</v>
      </c>
    </row>
    <row r="4011" spans="1:5" x14ac:dyDescent="0.25">
      <c r="A4011" t="s">
        <v>1</v>
      </c>
      <c r="B4011" t="s">
        <v>19</v>
      </c>
      <c r="C4011" t="s">
        <v>23490</v>
      </c>
      <c r="D4011" t="str">
        <f>HYPERLINK("https://rhld.insurance.arkansas.gov/NPILookup?Npi=1457318065","1457318065")</f>
        <v>1457318065</v>
      </c>
      <c r="E4011" t="s">
        <v>1607</v>
      </c>
    </row>
    <row r="4012" spans="1:5" x14ac:dyDescent="0.25">
      <c r="A4012" t="s">
        <v>1</v>
      </c>
      <c r="B4012" t="s">
        <v>19</v>
      </c>
      <c r="C4012" t="s">
        <v>23490</v>
      </c>
      <c r="D4012" t="str">
        <f>HYPERLINK("https://rhld.insurance.arkansas.gov/NPILookup?Npi=1457327389","1457327389")</f>
        <v>1457327389</v>
      </c>
      <c r="E4012" t="s">
        <v>1608</v>
      </c>
    </row>
    <row r="4013" spans="1:5" x14ac:dyDescent="0.25">
      <c r="A4013" t="s">
        <v>1</v>
      </c>
      <c r="B4013" t="s">
        <v>19</v>
      </c>
      <c r="C4013" t="s">
        <v>23490</v>
      </c>
      <c r="D4013" t="str">
        <f>HYPERLINK("https://rhld.insurance.arkansas.gov/NPILookup?Npi=1457331076","1457331076")</f>
        <v>1457331076</v>
      </c>
      <c r="E4013" t="s">
        <v>10939</v>
      </c>
    </row>
    <row r="4014" spans="1:5" x14ac:dyDescent="0.25">
      <c r="A4014" t="s">
        <v>1</v>
      </c>
      <c r="B4014" t="s">
        <v>19</v>
      </c>
      <c r="C4014" t="s">
        <v>23490</v>
      </c>
      <c r="D4014" t="str">
        <f>HYPERLINK("https://rhld.insurance.arkansas.gov/NPILookup?Npi=1457345779","1457345779")</f>
        <v>1457345779</v>
      </c>
      <c r="E4014" t="s">
        <v>8680</v>
      </c>
    </row>
    <row r="4015" spans="1:5" x14ac:dyDescent="0.25">
      <c r="A4015" t="s">
        <v>1</v>
      </c>
      <c r="B4015" t="s">
        <v>19</v>
      </c>
      <c r="C4015" t="s">
        <v>23490</v>
      </c>
      <c r="D4015" t="str">
        <f>HYPERLINK("https://rhld.insurance.arkansas.gov/NPILookup?Npi=1457349474","1457349474")</f>
        <v>1457349474</v>
      </c>
      <c r="E4015" t="s">
        <v>8681</v>
      </c>
    </row>
    <row r="4016" spans="1:5" x14ac:dyDescent="0.25">
      <c r="A4016" t="s">
        <v>1</v>
      </c>
      <c r="B4016" t="s">
        <v>19</v>
      </c>
      <c r="C4016" t="s">
        <v>23490</v>
      </c>
      <c r="D4016" t="str">
        <f>HYPERLINK("https://rhld.insurance.arkansas.gov/NPILookup?Npi=1457352577","1457352577")</f>
        <v>1457352577</v>
      </c>
      <c r="E4016" t="s">
        <v>1609</v>
      </c>
    </row>
    <row r="4017" spans="1:5" x14ac:dyDescent="0.25">
      <c r="A4017" t="s">
        <v>1</v>
      </c>
      <c r="B4017" t="s">
        <v>19</v>
      </c>
      <c r="C4017" t="s">
        <v>23490</v>
      </c>
      <c r="D4017" t="str">
        <f>HYPERLINK("https://rhld.insurance.arkansas.gov/NPILookup?Npi=1457352742","1457352742")</f>
        <v>1457352742</v>
      </c>
      <c r="E4017" t="s">
        <v>12844</v>
      </c>
    </row>
    <row r="4018" spans="1:5" x14ac:dyDescent="0.25">
      <c r="A4018" t="s">
        <v>1</v>
      </c>
      <c r="B4018" t="s">
        <v>19</v>
      </c>
      <c r="C4018" t="s">
        <v>23490</v>
      </c>
      <c r="D4018" t="str">
        <f>HYPERLINK("https://rhld.insurance.arkansas.gov/NPILookup?Npi=1457354599","1457354599")</f>
        <v>1457354599</v>
      </c>
      <c r="E4018" t="s">
        <v>1610</v>
      </c>
    </row>
    <row r="4019" spans="1:5" x14ac:dyDescent="0.25">
      <c r="A4019" t="s">
        <v>1</v>
      </c>
      <c r="B4019" t="s">
        <v>19</v>
      </c>
      <c r="C4019" t="s">
        <v>23490</v>
      </c>
      <c r="D4019" t="str">
        <f>HYPERLINK("https://rhld.insurance.arkansas.gov/NPILookup?Npi=1457356347","1457356347")</f>
        <v>1457356347</v>
      </c>
      <c r="E4019" t="s">
        <v>1611</v>
      </c>
    </row>
    <row r="4020" spans="1:5" x14ac:dyDescent="0.25">
      <c r="A4020" t="s">
        <v>1</v>
      </c>
      <c r="B4020" t="s">
        <v>19</v>
      </c>
      <c r="C4020" t="s">
        <v>23490</v>
      </c>
      <c r="D4020" t="str">
        <f>HYPERLINK("https://rhld.insurance.arkansas.gov/NPILookup?Npi=1457368854","1457368854")</f>
        <v>1457368854</v>
      </c>
      <c r="E4020" t="s">
        <v>1612</v>
      </c>
    </row>
    <row r="4021" spans="1:5" x14ac:dyDescent="0.25">
      <c r="A4021" t="s">
        <v>1</v>
      </c>
      <c r="B4021" t="s">
        <v>19</v>
      </c>
      <c r="C4021" t="s">
        <v>23490</v>
      </c>
      <c r="D4021" t="str">
        <f>HYPERLINK("https://rhld.insurance.arkansas.gov/NPILookup?Npi=1457383127","1457383127")</f>
        <v>1457383127</v>
      </c>
      <c r="E4021" t="s">
        <v>10940</v>
      </c>
    </row>
    <row r="4022" spans="1:5" x14ac:dyDescent="0.25">
      <c r="A4022" t="s">
        <v>1</v>
      </c>
      <c r="B4022" t="s">
        <v>19</v>
      </c>
      <c r="C4022" t="s">
        <v>23490</v>
      </c>
      <c r="D4022" t="str">
        <f>HYPERLINK("https://rhld.insurance.arkansas.gov/NPILookup?Npi=1457383655","1457383655")</f>
        <v>1457383655</v>
      </c>
      <c r="E4022" t="s">
        <v>15149</v>
      </c>
    </row>
    <row r="4023" spans="1:5" x14ac:dyDescent="0.25">
      <c r="A4023" t="s">
        <v>1</v>
      </c>
      <c r="B4023" t="s">
        <v>19</v>
      </c>
      <c r="C4023" t="s">
        <v>23490</v>
      </c>
      <c r="D4023" t="str">
        <f>HYPERLINK("https://rhld.insurance.arkansas.gov/NPILookup?Npi=1457388985","1457388985")</f>
        <v>1457388985</v>
      </c>
      <c r="E4023" t="s">
        <v>6750</v>
      </c>
    </row>
    <row r="4024" spans="1:5" x14ac:dyDescent="0.25">
      <c r="A4024" t="s">
        <v>1</v>
      </c>
      <c r="B4024" t="s">
        <v>19</v>
      </c>
      <c r="C4024" t="s">
        <v>23490</v>
      </c>
      <c r="D4024" t="str">
        <f>HYPERLINK("https://rhld.insurance.arkansas.gov/NPILookup?Npi=1457390734","1457390734")</f>
        <v>1457390734</v>
      </c>
      <c r="E4024" t="s">
        <v>1613</v>
      </c>
    </row>
    <row r="4025" spans="1:5" x14ac:dyDescent="0.25">
      <c r="A4025" t="s">
        <v>1</v>
      </c>
      <c r="B4025" t="s">
        <v>19</v>
      </c>
      <c r="C4025" t="s">
        <v>23490</v>
      </c>
      <c r="D4025" t="str">
        <f>HYPERLINK("https://rhld.insurance.arkansas.gov/NPILookup?Npi=1457399438","1457399438")</f>
        <v>1457399438</v>
      </c>
      <c r="E4025" t="s">
        <v>1614</v>
      </c>
    </row>
    <row r="4026" spans="1:5" x14ac:dyDescent="0.25">
      <c r="A4026" t="s">
        <v>1</v>
      </c>
      <c r="B4026" t="s">
        <v>19</v>
      </c>
      <c r="C4026" t="s">
        <v>23490</v>
      </c>
      <c r="D4026" t="str">
        <f>HYPERLINK("https://rhld.insurance.arkansas.gov/NPILookup?Npi=1457413858","1457413858")</f>
        <v>1457413858</v>
      </c>
      <c r="E4026" t="s">
        <v>10941</v>
      </c>
    </row>
    <row r="4027" spans="1:5" x14ac:dyDescent="0.25">
      <c r="A4027" t="s">
        <v>1</v>
      </c>
      <c r="B4027" t="s">
        <v>19</v>
      </c>
      <c r="C4027" t="s">
        <v>23490</v>
      </c>
      <c r="D4027" t="str">
        <f>HYPERLINK("https://rhld.insurance.arkansas.gov/NPILookup?Npi=1457425902","1457425902")</f>
        <v>1457425902</v>
      </c>
      <c r="E4027" t="s">
        <v>1615</v>
      </c>
    </row>
    <row r="4028" spans="1:5" x14ac:dyDescent="0.25">
      <c r="A4028" t="s">
        <v>1</v>
      </c>
      <c r="B4028" t="s">
        <v>19</v>
      </c>
      <c r="C4028" t="s">
        <v>23490</v>
      </c>
      <c r="D4028" t="str">
        <f>HYPERLINK("https://rhld.insurance.arkansas.gov/NPILookup?Npi=1457450827","1457450827")</f>
        <v>1457450827</v>
      </c>
      <c r="E4028" t="s">
        <v>17430</v>
      </c>
    </row>
    <row r="4029" spans="1:5" x14ac:dyDescent="0.25">
      <c r="A4029" t="s">
        <v>1</v>
      </c>
      <c r="B4029" t="s">
        <v>19</v>
      </c>
      <c r="C4029" t="s">
        <v>23490</v>
      </c>
      <c r="D4029" t="str">
        <f>HYPERLINK("https://rhld.insurance.arkansas.gov/NPILookup?Npi=1457456808","1457456808")</f>
        <v>1457456808</v>
      </c>
      <c r="E4029" t="s">
        <v>1616</v>
      </c>
    </row>
    <row r="4030" spans="1:5" x14ac:dyDescent="0.25">
      <c r="A4030" t="s">
        <v>1</v>
      </c>
      <c r="B4030" t="s">
        <v>19</v>
      </c>
      <c r="C4030" t="s">
        <v>23490</v>
      </c>
      <c r="D4030" t="str">
        <f>HYPERLINK("https://rhld.insurance.arkansas.gov/NPILookup?Npi=1457459182","1457459182")</f>
        <v>1457459182</v>
      </c>
      <c r="E4030" t="s">
        <v>1617</v>
      </c>
    </row>
    <row r="4031" spans="1:5" x14ac:dyDescent="0.25">
      <c r="A4031" t="s">
        <v>1</v>
      </c>
      <c r="B4031" t="s">
        <v>19</v>
      </c>
      <c r="C4031" t="s">
        <v>23490</v>
      </c>
      <c r="D4031" t="str">
        <f>HYPERLINK("https://rhld.insurance.arkansas.gov/NPILookup?Npi=1457461105","1457461105")</f>
        <v>1457461105</v>
      </c>
      <c r="E4031" t="s">
        <v>1618</v>
      </c>
    </row>
    <row r="4032" spans="1:5" x14ac:dyDescent="0.25">
      <c r="A4032" t="s">
        <v>1</v>
      </c>
      <c r="B4032" t="s">
        <v>19</v>
      </c>
      <c r="C4032" t="s">
        <v>23490</v>
      </c>
      <c r="D4032" t="str">
        <f>HYPERLINK("https://rhld.insurance.arkansas.gov/NPILookup?Npi=1457463960","1457463960")</f>
        <v>1457463960</v>
      </c>
      <c r="E4032" t="s">
        <v>19738</v>
      </c>
    </row>
    <row r="4033" spans="1:5" x14ac:dyDescent="0.25">
      <c r="A4033" t="s">
        <v>1</v>
      </c>
      <c r="B4033" t="s">
        <v>19</v>
      </c>
      <c r="C4033" t="s">
        <v>23490</v>
      </c>
      <c r="D4033" t="str">
        <f>HYPERLINK("https://rhld.insurance.arkansas.gov/NPILookup?Npi=1457485013","1457485013")</f>
        <v>1457485013</v>
      </c>
      <c r="E4033" t="s">
        <v>12845</v>
      </c>
    </row>
    <row r="4034" spans="1:5" x14ac:dyDescent="0.25">
      <c r="A4034" t="s">
        <v>1</v>
      </c>
      <c r="B4034" t="s">
        <v>19</v>
      </c>
      <c r="C4034" t="s">
        <v>23490</v>
      </c>
      <c r="D4034" t="str">
        <f>HYPERLINK("https://rhld.insurance.arkansas.gov/NPILookup?Npi=1457505323","1457505323")</f>
        <v>1457505323</v>
      </c>
      <c r="E4034" t="s">
        <v>1619</v>
      </c>
    </row>
    <row r="4035" spans="1:5" x14ac:dyDescent="0.25">
      <c r="A4035" t="s">
        <v>1</v>
      </c>
      <c r="B4035" t="s">
        <v>19</v>
      </c>
      <c r="C4035" t="s">
        <v>23490</v>
      </c>
      <c r="D4035" t="str">
        <f>HYPERLINK("https://rhld.insurance.arkansas.gov/NPILookup?Npi=1457518821","1457518821")</f>
        <v>1457518821</v>
      </c>
      <c r="E4035" t="s">
        <v>1620</v>
      </c>
    </row>
    <row r="4036" spans="1:5" x14ac:dyDescent="0.25">
      <c r="A4036" t="s">
        <v>1</v>
      </c>
      <c r="B4036" t="s">
        <v>19</v>
      </c>
      <c r="C4036" t="s">
        <v>23490</v>
      </c>
      <c r="D4036" t="str">
        <f>HYPERLINK("https://rhld.insurance.arkansas.gov/NPILookup?Npi=1457525909","1457525909")</f>
        <v>1457525909</v>
      </c>
      <c r="E4036" t="s">
        <v>1621</v>
      </c>
    </row>
    <row r="4037" spans="1:5" x14ac:dyDescent="0.25">
      <c r="A4037" t="s">
        <v>1</v>
      </c>
      <c r="B4037" t="s">
        <v>19</v>
      </c>
      <c r="C4037" t="s">
        <v>23490</v>
      </c>
      <c r="D4037" t="str">
        <f>HYPERLINK("https://rhld.insurance.arkansas.gov/NPILookup?Npi=1457529661","1457529661")</f>
        <v>1457529661</v>
      </c>
      <c r="E4037" t="s">
        <v>1622</v>
      </c>
    </row>
    <row r="4038" spans="1:5" x14ac:dyDescent="0.25">
      <c r="A4038" t="s">
        <v>1</v>
      </c>
      <c r="B4038" t="s">
        <v>19</v>
      </c>
      <c r="C4038" t="s">
        <v>23490</v>
      </c>
      <c r="D4038" t="str">
        <f>HYPERLINK("https://rhld.insurance.arkansas.gov/NPILookup?Npi=1457533424","1457533424")</f>
        <v>1457533424</v>
      </c>
      <c r="E4038" t="s">
        <v>15150</v>
      </c>
    </row>
    <row r="4039" spans="1:5" x14ac:dyDescent="0.25">
      <c r="A4039" t="s">
        <v>1</v>
      </c>
      <c r="B4039" t="s">
        <v>19</v>
      </c>
      <c r="C4039" t="s">
        <v>23490</v>
      </c>
      <c r="D4039" t="str">
        <f>HYPERLINK("https://rhld.insurance.arkansas.gov/NPILookup?Npi=1457553422","1457553422")</f>
        <v>1457553422</v>
      </c>
      <c r="E4039" t="s">
        <v>1623</v>
      </c>
    </row>
    <row r="4040" spans="1:5" x14ac:dyDescent="0.25">
      <c r="A4040" t="s">
        <v>1</v>
      </c>
      <c r="B4040" t="s">
        <v>19</v>
      </c>
      <c r="C4040" t="s">
        <v>23490</v>
      </c>
      <c r="D4040" t="str">
        <f>HYPERLINK("https://rhld.insurance.arkansas.gov/NPILookup?Npi=1457557936","1457557936")</f>
        <v>1457557936</v>
      </c>
      <c r="E4040" t="s">
        <v>1624</v>
      </c>
    </row>
    <row r="4041" spans="1:5" x14ac:dyDescent="0.25">
      <c r="A4041" t="s">
        <v>1</v>
      </c>
      <c r="B4041" t="s">
        <v>19</v>
      </c>
      <c r="C4041" t="s">
        <v>23490</v>
      </c>
      <c r="D4041" t="str">
        <f>HYPERLINK("https://rhld.insurance.arkansas.gov/NPILookup?Npi=1457569220","1457569220")</f>
        <v>1457569220</v>
      </c>
      <c r="E4041" t="s">
        <v>8682</v>
      </c>
    </row>
    <row r="4042" spans="1:5" x14ac:dyDescent="0.25">
      <c r="A4042" t="s">
        <v>1</v>
      </c>
      <c r="B4042" t="s">
        <v>19</v>
      </c>
      <c r="C4042" t="s">
        <v>23490</v>
      </c>
      <c r="D4042" t="str">
        <f>HYPERLINK("https://rhld.insurance.arkansas.gov/NPILookup?Npi=1457584344","1457584344")</f>
        <v>1457584344</v>
      </c>
      <c r="E4042" t="s">
        <v>6197</v>
      </c>
    </row>
    <row r="4043" spans="1:5" x14ac:dyDescent="0.25">
      <c r="A4043" t="s">
        <v>1</v>
      </c>
      <c r="B4043" t="s">
        <v>19</v>
      </c>
      <c r="C4043" t="s">
        <v>23490</v>
      </c>
      <c r="D4043" t="str">
        <f>HYPERLINK("https://rhld.insurance.arkansas.gov/NPILookup?Npi=1457596959","1457596959")</f>
        <v>1457596959</v>
      </c>
      <c r="E4043" t="s">
        <v>22937</v>
      </c>
    </row>
    <row r="4044" spans="1:5" x14ac:dyDescent="0.25">
      <c r="A4044" t="s">
        <v>1</v>
      </c>
      <c r="B4044" t="s">
        <v>19</v>
      </c>
      <c r="C4044" t="s">
        <v>23490</v>
      </c>
      <c r="D4044" t="str">
        <f>HYPERLINK("https://rhld.insurance.arkansas.gov/NPILookup?Npi=1457600405","1457600405")</f>
        <v>1457600405</v>
      </c>
      <c r="E4044" t="s">
        <v>10942</v>
      </c>
    </row>
    <row r="4045" spans="1:5" x14ac:dyDescent="0.25">
      <c r="A4045" t="s">
        <v>1</v>
      </c>
      <c r="B4045" t="s">
        <v>19</v>
      </c>
      <c r="C4045" t="s">
        <v>23490</v>
      </c>
      <c r="D4045" t="str">
        <f>HYPERLINK("https://rhld.insurance.arkansas.gov/NPILookup?Npi=1457610743","1457610743")</f>
        <v>1457610743</v>
      </c>
      <c r="E4045" t="s">
        <v>1626</v>
      </c>
    </row>
    <row r="4046" spans="1:5" x14ac:dyDescent="0.25">
      <c r="A4046" t="s">
        <v>1</v>
      </c>
      <c r="B4046" t="s">
        <v>19</v>
      </c>
      <c r="C4046" t="s">
        <v>23490</v>
      </c>
      <c r="D4046" t="str">
        <f>HYPERLINK("https://rhld.insurance.arkansas.gov/NPILookup?Npi=1457611105","1457611105")</f>
        <v>1457611105</v>
      </c>
      <c r="E4046" t="s">
        <v>10943</v>
      </c>
    </row>
    <row r="4047" spans="1:5" x14ac:dyDescent="0.25">
      <c r="A4047" t="s">
        <v>1</v>
      </c>
      <c r="B4047" t="s">
        <v>19</v>
      </c>
      <c r="C4047" t="s">
        <v>23490</v>
      </c>
      <c r="D4047" t="str">
        <f>HYPERLINK("https://rhld.insurance.arkansas.gov/NPILookup?Npi=1457616872","1457616872")</f>
        <v>1457616872</v>
      </c>
      <c r="E4047" t="s">
        <v>1627</v>
      </c>
    </row>
    <row r="4048" spans="1:5" x14ac:dyDescent="0.25">
      <c r="A4048" t="s">
        <v>1</v>
      </c>
      <c r="B4048" t="s">
        <v>19</v>
      </c>
      <c r="C4048" t="s">
        <v>23490</v>
      </c>
      <c r="D4048" t="str">
        <f>HYPERLINK("https://rhld.insurance.arkansas.gov/NPILookup?Npi=1457631053","1457631053")</f>
        <v>1457631053</v>
      </c>
      <c r="E4048" t="s">
        <v>8683</v>
      </c>
    </row>
    <row r="4049" spans="1:5" x14ac:dyDescent="0.25">
      <c r="A4049" t="s">
        <v>1</v>
      </c>
      <c r="B4049" t="s">
        <v>19</v>
      </c>
      <c r="C4049" t="s">
        <v>23490</v>
      </c>
      <c r="D4049" t="str">
        <f>HYPERLINK("https://rhld.insurance.arkansas.gov/NPILookup?Npi=1457641763","1457641763")</f>
        <v>1457641763</v>
      </c>
      <c r="E4049" t="s">
        <v>1628</v>
      </c>
    </row>
    <row r="4050" spans="1:5" x14ac:dyDescent="0.25">
      <c r="A4050" t="s">
        <v>1</v>
      </c>
      <c r="B4050" t="s">
        <v>19</v>
      </c>
      <c r="C4050" t="s">
        <v>23490</v>
      </c>
      <c r="D4050" t="str">
        <f>HYPERLINK("https://rhld.insurance.arkansas.gov/NPILookup?Npi=1457647414","1457647414")</f>
        <v>1457647414</v>
      </c>
      <c r="E4050" t="s">
        <v>10944</v>
      </c>
    </row>
    <row r="4051" spans="1:5" x14ac:dyDescent="0.25">
      <c r="A4051" t="s">
        <v>1</v>
      </c>
      <c r="B4051" t="s">
        <v>19</v>
      </c>
      <c r="C4051" t="s">
        <v>23490</v>
      </c>
      <c r="D4051" t="str">
        <f>HYPERLINK("https://rhld.insurance.arkansas.gov/NPILookup?Npi=1457650699","1457650699")</f>
        <v>1457650699</v>
      </c>
      <c r="E4051" t="s">
        <v>1629</v>
      </c>
    </row>
    <row r="4052" spans="1:5" x14ac:dyDescent="0.25">
      <c r="A4052" t="s">
        <v>1</v>
      </c>
      <c r="B4052" t="s">
        <v>19</v>
      </c>
      <c r="C4052" t="s">
        <v>23490</v>
      </c>
      <c r="D4052" t="str">
        <f>HYPERLINK("https://rhld.insurance.arkansas.gov/NPILookup?Npi=1457663155","1457663155")</f>
        <v>1457663155</v>
      </c>
      <c r="E4052" t="s">
        <v>15151</v>
      </c>
    </row>
    <row r="4053" spans="1:5" x14ac:dyDescent="0.25">
      <c r="A4053" t="s">
        <v>1</v>
      </c>
      <c r="B4053" t="s">
        <v>19</v>
      </c>
      <c r="C4053" t="s">
        <v>23490</v>
      </c>
      <c r="D4053" t="str">
        <f>HYPERLINK("https://rhld.insurance.arkansas.gov/NPILookup?Npi=1457664435","1457664435")</f>
        <v>1457664435</v>
      </c>
      <c r="E4053" t="s">
        <v>8684</v>
      </c>
    </row>
    <row r="4054" spans="1:5" x14ac:dyDescent="0.25">
      <c r="A4054" t="s">
        <v>1</v>
      </c>
      <c r="B4054" t="s">
        <v>19</v>
      </c>
      <c r="C4054" t="s">
        <v>23490</v>
      </c>
      <c r="D4054" t="str">
        <f>HYPERLINK("https://rhld.insurance.arkansas.gov/NPILookup?Npi=1457672388","1457672388")</f>
        <v>1457672388</v>
      </c>
      <c r="E4054" t="s">
        <v>19739</v>
      </c>
    </row>
    <row r="4055" spans="1:5" x14ac:dyDescent="0.25">
      <c r="A4055" t="s">
        <v>1</v>
      </c>
      <c r="B4055" t="s">
        <v>19</v>
      </c>
      <c r="C4055" t="s">
        <v>23490</v>
      </c>
      <c r="D4055" t="str">
        <f>HYPERLINK("https://rhld.insurance.arkansas.gov/NPILookup?Npi=1457678054","1457678054")</f>
        <v>1457678054</v>
      </c>
      <c r="E4055" t="s">
        <v>13543</v>
      </c>
    </row>
    <row r="4056" spans="1:5" x14ac:dyDescent="0.25">
      <c r="A4056" t="s">
        <v>1</v>
      </c>
      <c r="B4056" t="s">
        <v>19</v>
      </c>
      <c r="C4056" t="s">
        <v>23490</v>
      </c>
      <c r="D4056" t="str">
        <f>HYPERLINK("https://rhld.insurance.arkansas.gov/NPILookup?Npi=1457690414","1457690414")</f>
        <v>1457690414</v>
      </c>
      <c r="E4056" t="s">
        <v>15152</v>
      </c>
    </row>
    <row r="4057" spans="1:5" x14ac:dyDescent="0.25">
      <c r="A4057" t="s">
        <v>1</v>
      </c>
      <c r="B4057" t="s">
        <v>19</v>
      </c>
      <c r="C4057" t="s">
        <v>23490</v>
      </c>
      <c r="D4057" t="str">
        <f>HYPERLINK("https://rhld.insurance.arkansas.gov/NPILookup?Npi=1457706012","1457706012")</f>
        <v>1457706012</v>
      </c>
      <c r="E4057" t="s">
        <v>10945</v>
      </c>
    </row>
    <row r="4058" spans="1:5" x14ac:dyDescent="0.25">
      <c r="A4058" t="s">
        <v>1</v>
      </c>
      <c r="B4058" t="s">
        <v>19</v>
      </c>
      <c r="C4058" t="s">
        <v>23490</v>
      </c>
      <c r="D4058" t="str">
        <f>HYPERLINK("https://rhld.insurance.arkansas.gov/NPILookup?Npi=1457716029","1457716029")</f>
        <v>1457716029</v>
      </c>
      <c r="E4058" t="s">
        <v>10946</v>
      </c>
    </row>
    <row r="4059" spans="1:5" x14ac:dyDescent="0.25">
      <c r="A4059" t="s">
        <v>1</v>
      </c>
      <c r="B4059" t="s">
        <v>19</v>
      </c>
      <c r="C4059" t="s">
        <v>23490</v>
      </c>
      <c r="D4059" t="str">
        <f>HYPERLINK("https://rhld.insurance.arkansas.gov/NPILookup?Npi=1457716813","1457716813")</f>
        <v>1457716813</v>
      </c>
      <c r="E4059" t="s">
        <v>16960</v>
      </c>
    </row>
    <row r="4060" spans="1:5" x14ac:dyDescent="0.25">
      <c r="A4060" t="s">
        <v>1</v>
      </c>
      <c r="B4060" t="s">
        <v>19</v>
      </c>
      <c r="C4060" t="s">
        <v>23490</v>
      </c>
      <c r="D4060" t="str">
        <f>HYPERLINK("https://rhld.insurance.arkansas.gov/NPILookup?Npi=1457721359","1457721359")</f>
        <v>1457721359</v>
      </c>
      <c r="E4060" t="s">
        <v>1630</v>
      </c>
    </row>
    <row r="4061" spans="1:5" x14ac:dyDescent="0.25">
      <c r="A4061" t="s">
        <v>1</v>
      </c>
      <c r="B4061" t="s">
        <v>19</v>
      </c>
      <c r="C4061" t="s">
        <v>23490</v>
      </c>
      <c r="D4061" t="str">
        <f>HYPERLINK("https://rhld.insurance.arkansas.gov/NPILookup?Npi=1457733875","1457733875")</f>
        <v>1457733875</v>
      </c>
      <c r="E4061" t="s">
        <v>1631</v>
      </c>
    </row>
    <row r="4062" spans="1:5" x14ac:dyDescent="0.25">
      <c r="A4062" t="s">
        <v>1</v>
      </c>
      <c r="B4062" t="s">
        <v>19</v>
      </c>
      <c r="C4062" t="s">
        <v>23490</v>
      </c>
      <c r="D4062" t="str">
        <f>HYPERLINK("https://rhld.insurance.arkansas.gov/NPILookup?Npi=1457743171","1457743171")</f>
        <v>1457743171</v>
      </c>
      <c r="E4062" t="s">
        <v>13544</v>
      </c>
    </row>
    <row r="4063" spans="1:5" x14ac:dyDescent="0.25">
      <c r="A4063" t="s">
        <v>1</v>
      </c>
      <c r="B4063" t="s">
        <v>19</v>
      </c>
      <c r="C4063" t="s">
        <v>23490</v>
      </c>
      <c r="D4063" t="str">
        <f>HYPERLINK("https://rhld.insurance.arkansas.gov/NPILookup?Npi=1457747297","1457747297")</f>
        <v>1457747297</v>
      </c>
      <c r="E4063" t="s">
        <v>13545</v>
      </c>
    </row>
    <row r="4064" spans="1:5" x14ac:dyDescent="0.25">
      <c r="A4064" t="s">
        <v>1</v>
      </c>
      <c r="B4064" t="s">
        <v>19</v>
      </c>
      <c r="C4064" t="s">
        <v>23490</v>
      </c>
      <c r="D4064" t="str">
        <f>HYPERLINK("https://rhld.insurance.arkansas.gov/NPILookup?Npi=1457748683","1457748683")</f>
        <v>1457748683</v>
      </c>
      <c r="E4064" t="s">
        <v>13546</v>
      </c>
    </row>
    <row r="4065" spans="1:5" x14ac:dyDescent="0.25">
      <c r="A4065" t="s">
        <v>1</v>
      </c>
      <c r="B4065" t="s">
        <v>19</v>
      </c>
      <c r="C4065" t="s">
        <v>23490</v>
      </c>
      <c r="D4065" t="str">
        <f>HYPERLINK("https://rhld.insurance.arkansas.gov/NPILookup?Npi=1457751182","1457751182")</f>
        <v>1457751182</v>
      </c>
      <c r="E4065" t="s">
        <v>1632</v>
      </c>
    </row>
    <row r="4066" spans="1:5" x14ac:dyDescent="0.25">
      <c r="A4066" t="s">
        <v>1</v>
      </c>
      <c r="B4066" t="s">
        <v>19</v>
      </c>
      <c r="C4066" t="s">
        <v>23490</v>
      </c>
      <c r="D4066" t="str">
        <f>HYPERLINK("https://rhld.insurance.arkansas.gov/NPILookup?Npi=1457768558","1457768558")</f>
        <v>1457768558</v>
      </c>
      <c r="E4066" t="s">
        <v>10947</v>
      </c>
    </row>
    <row r="4067" spans="1:5" x14ac:dyDescent="0.25">
      <c r="A4067" t="s">
        <v>1</v>
      </c>
      <c r="B4067" t="s">
        <v>19</v>
      </c>
      <c r="C4067" t="s">
        <v>23490</v>
      </c>
      <c r="D4067" t="str">
        <f>HYPERLINK("https://rhld.insurance.arkansas.gov/NPILookup?Npi=1457787400","1457787400")</f>
        <v>1457787400</v>
      </c>
      <c r="E4067" t="s">
        <v>1633</v>
      </c>
    </row>
    <row r="4068" spans="1:5" x14ac:dyDescent="0.25">
      <c r="A4068" t="s">
        <v>1</v>
      </c>
      <c r="B4068" t="s">
        <v>19</v>
      </c>
      <c r="C4068" t="s">
        <v>23490</v>
      </c>
      <c r="D4068" t="str">
        <f>HYPERLINK("https://rhld.insurance.arkansas.gov/NPILookup?Npi=1457787426","1457787426")</f>
        <v>1457787426</v>
      </c>
      <c r="E4068" t="s">
        <v>1634</v>
      </c>
    </row>
    <row r="4069" spans="1:5" x14ac:dyDescent="0.25">
      <c r="A4069" t="s">
        <v>1</v>
      </c>
      <c r="B4069" t="s">
        <v>19</v>
      </c>
      <c r="C4069" t="s">
        <v>23490</v>
      </c>
      <c r="D4069" t="str">
        <f>HYPERLINK("https://rhld.insurance.arkansas.gov/NPILookup?Npi=1457797839","1457797839")</f>
        <v>1457797839</v>
      </c>
      <c r="E4069" t="s">
        <v>10948</v>
      </c>
    </row>
    <row r="4070" spans="1:5" x14ac:dyDescent="0.25">
      <c r="A4070" t="s">
        <v>1</v>
      </c>
      <c r="B4070" t="s">
        <v>19</v>
      </c>
      <c r="C4070" t="s">
        <v>23490</v>
      </c>
      <c r="D4070" t="str">
        <f>HYPERLINK("https://rhld.insurance.arkansas.gov/NPILookup?Npi=1457801797","1457801797")</f>
        <v>1457801797</v>
      </c>
      <c r="E4070" t="s">
        <v>10949</v>
      </c>
    </row>
    <row r="4071" spans="1:5" x14ac:dyDescent="0.25">
      <c r="A4071" t="s">
        <v>1</v>
      </c>
      <c r="B4071" t="s">
        <v>19</v>
      </c>
      <c r="C4071" t="s">
        <v>23490</v>
      </c>
      <c r="D4071" t="str">
        <f>HYPERLINK("https://rhld.insurance.arkansas.gov/NPILookup?Npi=1457801904","1457801904")</f>
        <v>1457801904</v>
      </c>
      <c r="E4071" t="s">
        <v>10950</v>
      </c>
    </row>
    <row r="4072" spans="1:5" x14ac:dyDescent="0.25">
      <c r="A4072" t="s">
        <v>1</v>
      </c>
      <c r="B4072" t="s">
        <v>19</v>
      </c>
      <c r="C4072" t="s">
        <v>23490</v>
      </c>
      <c r="D4072" t="str">
        <f>HYPERLINK("https://rhld.insurance.arkansas.gov/NPILookup?Npi=1457803363","1457803363")</f>
        <v>1457803363</v>
      </c>
      <c r="E4072" t="s">
        <v>15154</v>
      </c>
    </row>
    <row r="4073" spans="1:5" x14ac:dyDescent="0.25">
      <c r="A4073" t="s">
        <v>1</v>
      </c>
      <c r="B4073" t="s">
        <v>19</v>
      </c>
      <c r="C4073" t="s">
        <v>23490</v>
      </c>
      <c r="D4073" t="str">
        <f>HYPERLINK("https://rhld.insurance.arkansas.gov/NPILookup?Npi=1457808362","1457808362")</f>
        <v>1457808362</v>
      </c>
      <c r="E4073" t="s">
        <v>10951</v>
      </c>
    </row>
    <row r="4074" spans="1:5" x14ac:dyDescent="0.25">
      <c r="A4074" t="s">
        <v>1</v>
      </c>
      <c r="B4074" t="s">
        <v>19</v>
      </c>
      <c r="C4074" t="s">
        <v>23490</v>
      </c>
      <c r="D4074" t="str">
        <f>HYPERLINK("https://rhld.insurance.arkansas.gov/NPILookup?Npi=1457809501","1457809501")</f>
        <v>1457809501</v>
      </c>
      <c r="E4074" t="s">
        <v>15155</v>
      </c>
    </row>
    <row r="4075" spans="1:5" x14ac:dyDescent="0.25">
      <c r="A4075" t="s">
        <v>1</v>
      </c>
      <c r="B4075" t="s">
        <v>19</v>
      </c>
      <c r="C4075" t="s">
        <v>23490</v>
      </c>
      <c r="D4075" t="str">
        <f>HYPERLINK("https://rhld.insurance.arkansas.gov/NPILookup?Npi=1457815755","1457815755")</f>
        <v>1457815755</v>
      </c>
      <c r="E4075" t="s">
        <v>13547</v>
      </c>
    </row>
    <row r="4076" spans="1:5" x14ac:dyDescent="0.25">
      <c r="A4076" t="s">
        <v>1</v>
      </c>
      <c r="B4076" t="s">
        <v>19</v>
      </c>
      <c r="C4076" t="s">
        <v>23490</v>
      </c>
      <c r="D4076" t="str">
        <f>HYPERLINK("https://rhld.insurance.arkansas.gov/NPILookup?Npi=1457818353","1457818353")</f>
        <v>1457818353</v>
      </c>
      <c r="E4076" t="s">
        <v>15156</v>
      </c>
    </row>
    <row r="4077" spans="1:5" x14ac:dyDescent="0.25">
      <c r="A4077" t="s">
        <v>1</v>
      </c>
      <c r="B4077" t="s">
        <v>19</v>
      </c>
      <c r="C4077" t="s">
        <v>23490</v>
      </c>
      <c r="D4077" t="str">
        <f>HYPERLINK("https://rhld.insurance.arkansas.gov/NPILookup?Npi=1457818452","1457818452")</f>
        <v>1457818452</v>
      </c>
      <c r="E4077" t="s">
        <v>15157</v>
      </c>
    </row>
    <row r="4078" spans="1:5" x14ac:dyDescent="0.25">
      <c r="A4078" t="s">
        <v>1</v>
      </c>
      <c r="B4078" t="s">
        <v>19</v>
      </c>
      <c r="C4078" t="s">
        <v>23490</v>
      </c>
      <c r="D4078" t="str">
        <f>HYPERLINK("https://rhld.insurance.arkansas.gov/NPILookup?Npi=1457832842","1457832842")</f>
        <v>1457832842</v>
      </c>
      <c r="E4078" t="s">
        <v>13548</v>
      </c>
    </row>
    <row r="4079" spans="1:5" x14ac:dyDescent="0.25">
      <c r="A4079" t="s">
        <v>1</v>
      </c>
      <c r="B4079" t="s">
        <v>19</v>
      </c>
      <c r="C4079" t="s">
        <v>23490</v>
      </c>
      <c r="D4079" t="str">
        <f>HYPERLINK("https://rhld.insurance.arkansas.gov/NPILookup?Npi=1457836298","1457836298")</f>
        <v>1457836298</v>
      </c>
      <c r="E4079" t="s">
        <v>19740</v>
      </c>
    </row>
    <row r="4080" spans="1:5" x14ac:dyDescent="0.25">
      <c r="A4080" t="s">
        <v>1</v>
      </c>
      <c r="B4080" t="s">
        <v>19</v>
      </c>
      <c r="C4080" t="s">
        <v>23490</v>
      </c>
      <c r="D4080" t="str">
        <f>HYPERLINK("https://rhld.insurance.arkansas.gov/NPILookup?Npi=1457849713","1457849713")</f>
        <v>1457849713</v>
      </c>
      <c r="E4080" t="s">
        <v>19741</v>
      </c>
    </row>
    <row r="4081" spans="1:5" x14ac:dyDescent="0.25">
      <c r="A4081" t="s">
        <v>1</v>
      </c>
      <c r="B4081" t="s">
        <v>19</v>
      </c>
      <c r="C4081" t="s">
        <v>23490</v>
      </c>
      <c r="D4081" t="str">
        <f>HYPERLINK("https://rhld.insurance.arkansas.gov/NPILookup?Npi=1457850372","1457850372")</f>
        <v>1457850372</v>
      </c>
      <c r="E4081" t="s">
        <v>12846</v>
      </c>
    </row>
    <row r="4082" spans="1:5" x14ac:dyDescent="0.25">
      <c r="A4082" t="s">
        <v>1</v>
      </c>
      <c r="B4082" t="s">
        <v>19</v>
      </c>
      <c r="C4082" t="s">
        <v>23490</v>
      </c>
      <c r="D4082" t="str">
        <f>HYPERLINK("https://rhld.insurance.arkansas.gov/NPILookup?Npi=1457874208","1457874208")</f>
        <v>1457874208</v>
      </c>
      <c r="E4082" t="s">
        <v>10952</v>
      </c>
    </row>
    <row r="4083" spans="1:5" x14ac:dyDescent="0.25">
      <c r="A4083" t="s">
        <v>1</v>
      </c>
      <c r="B4083" t="s">
        <v>19</v>
      </c>
      <c r="C4083" t="s">
        <v>23490</v>
      </c>
      <c r="D4083" t="str">
        <f>HYPERLINK("https://rhld.insurance.arkansas.gov/NPILookup?Npi=1457885352","1457885352")</f>
        <v>1457885352</v>
      </c>
      <c r="E4083" t="s">
        <v>8113</v>
      </c>
    </row>
    <row r="4084" spans="1:5" x14ac:dyDescent="0.25">
      <c r="A4084" t="s">
        <v>1</v>
      </c>
      <c r="B4084" t="s">
        <v>19</v>
      </c>
      <c r="C4084" t="s">
        <v>23490</v>
      </c>
      <c r="D4084" t="str">
        <f>HYPERLINK("https://rhld.insurance.arkansas.gov/NPILookup?Npi=1457899338","1457899338")</f>
        <v>1457899338</v>
      </c>
      <c r="E4084" t="s">
        <v>10953</v>
      </c>
    </row>
    <row r="4085" spans="1:5" x14ac:dyDescent="0.25">
      <c r="A4085" t="s">
        <v>1</v>
      </c>
      <c r="B4085" t="s">
        <v>19</v>
      </c>
      <c r="C4085" t="s">
        <v>23490</v>
      </c>
      <c r="D4085" t="str">
        <f>HYPERLINK("https://rhld.insurance.arkansas.gov/NPILookup?Npi=1457905465","1457905465")</f>
        <v>1457905465</v>
      </c>
      <c r="E4085" t="s">
        <v>15158</v>
      </c>
    </row>
    <row r="4086" spans="1:5" x14ac:dyDescent="0.25">
      <c r="A4086" t="s">
        <v>1</v>
      </c>
      <c r="B4086" t="s">
        <v>19</v>
      </c>
      <c r="C4086" t="s">
        <v>23490</v>
      </c>
      <c r="D4086" t="str">
        <f>HYPERLINK("https://rhld.insurance.arkansas.gov/NPILookup?Npi=1457906653","1457906653")</f>
        <v>1457906653</v>
      </c>
      <c r="E4086" t="s">
        <v>18780</v>
      </c>
    </row>
    <row r="4087" spans="1:5" x14ac:dyDescent="0.25">
      <c r="A4087" t="s">
        <v>1</v>
      </c>
      <c r="B4087" t="s">
        <v>19</v>
      </c>
      <c r="C4087" t="s">
        <v>23490</v>
      </c>
      <c r="D4087" t="str">
        <f>HYPERLINK("https://rhld.insurance.arkansas.gov/NPILookup?Npi=1457924086","1457924086")</f>
        <v>1457924086</v>
      </c>
      <c r="E4087" t="s">
        <v>18781</v>
      </c>
    </row>
    <row r="4088" spans="1:5" x14ac:dyDescent="0.25">
      <c r="A4088" t="s">
        <v>1</v>
      </c>
      <c r="B4088" t="s">
        <v>19</v>
      </c>
      <c r="C4088" t="s">
        <v>23490</v>
      </c>
      <c r="D4088" t="str">
        <f>HYPERLINK("https://rhld.insurance.arkansas.gov/NPILookup?Npi=1457930497","1457930497")</f>
        <v>1457930497</v>
      </c>
      <c r="E4088" t="s">
        <v>19742</v>
      </c>
    </row>
    <row r="4089" spans="1:5" x14ac:dyDescent="0.25">
      <c r="A4089" t="s">
        <v>1</v>
      </c>
      <c r="B4089" t="s">
        <v>19</v>
      </c>
      <c r="C4089" t="s">
        <v>23490</v>
      </c>
      <c r="D4089" t="str">
        <f>HYPERLINK("https://rhld.insurance.arkansas.gov/NPILookup?Npi=1457935074","1457935074")</f>
        <v>1457935074</v>
      </c>
      <c r="E4089" t="s">
        <v>19743</v>
      </c>
    </row>
    <row r="4090" spans="1:5" x14ac:dyDescent="0.25">
      <c r="A4090" t="s">
        <v>1</v>
      </c>
      <c r="B4090" t="s">
        <v>19</v>
      </c>
      <c r="C4090" t="s">
        <v>23490</v>
      </c>
      <c r="D4090" t="str">
        <f>HYPERLINK("https://rhld.insurance.arkansas.gov/NPILookup?Npi=1457958233","1457958233")</f>
        <v>1457958233</v>
      </c>
      <c r="E4090" t="s">
        <v>18782</v>
      </c>
    </row>
    <row r="4091" spans="1:5" x14ac:dyDescent="0.25">
      <c r="A4091" t="s">
        <v>1</v>
      </c>
      <c r="B4091" t="s">
        <v>19</v>
      </c>
      <c r="C4091" t="s">
        <v>23490</v>
      </c>
      <c r="D4091" t="str">
        <f>HYPERLINK("https://rhld.insurance.arkansas.gov/NPILookup?Npi=1457978173","1457978173")</f>
        <v>1457978173</v>
      </c>
      <c r="E4091" t="s">
        <v>19228</v>
      </c>
    </row>
    <row r="4092" spans="1:5" x14ac:dyDescent="0.25">
      <c r="A4092" t="s">
        <v>1</v>
      </c>
      <c r="B4092" t="s">
        <v>19</v>
      </c>
      <c r="C4092" t="s">
        <v>23490</v>
      </c>
      <c r="D4092" t="str">
        <f>HYPERLINK("https://rhld.insurance.arkansas.gov/NPILookup?Npi=1457990889","1457990889")</f>
        <v>1457990889</v>
      </c>
      <c r="E4092" t="s">
        <v>16961</v>
      </c>
    </row>
    <row r="4093" spans="1:5" x14ac:dyDescent="0.25">
      <c r="A4093" t="s">
        <v>1</v>
      </c>
      <c r="B4093" t="s">
        <v>19</v>
      </c>
      <c r="C4093" t="s">
        <v>23490</v>
      </c>
      <c r="D4093" t="str">
        <f>HYPERLINK("https://rhld.insurance.arkansas.gov/NPILookup?Npi=1467011239","1467011239")</f>
        <v>1467011239</v>
      </c>
      <c r="E4093" t="s">
        <v>18783</v>
      </c>
    </row>
    <row r="4094" spans="1:5" x14ac:dyDescent="0.25">
      <c r="A4094" t="s">
        <v>1</v>
      </c>
      <c r="B4094" t="s">
        <v>19</v>
      </c>
      <c r="C4094" t="s">
        <v>23490</v>
      </c>
      <c r="D4094" t="str">
        <f>HYPERLINK("https://rhld.insurance.arkansas.gov/NPILookup?Npi=1467020529","1467020529")</f>
        <v>1467020529</v>
      </c>
      <c r="E4094" t="s">
        <v>18784</v>
      </c>
    </row>
    <row r="4095" spans="1:5" x14ac:dyDescent="0.25">
      <c r="A4095" t="s">
        <v>1</v>
      </c>
      <c r="B4095" t="s">
        <v>19</v>
      </c>
      <c r="C4095" t="s">
        <v>23490</v>
      </c>
      <c r="D4095" t="str">
        <f>HYPERLINK("https://rhld.insurance.arkansas.gov/NPILookup?Npi=1467022723","1467022723")</f>
        <v>1467022723</v>
      </c>
      <c r="E4095" t="s">
        <v>18785</v>
      </c>
    </row>
    <row r="4096" spans="1:5" x14ac:dyDescent="0.25">
      <c r="A4096" t="s">
        <v>1</v>
      </c>
      <c r="B4096" t="s">
        <v>19</v>
      </c>
      <c r="C4096" t="s">
        <v>23490</v>
      </c>
      <c r="D4096" t="str">
        <f>HYPERLINK("https://rhld.insurance.arkansas.gov/NPILookup?Npi=1467040394","1467040394")</f>
        <v>1467040394</v>
      </c>
      <c r="E4096" t="s">
        <v>17991</v>
      </c>
    </row>
    <row r="4097" spans="1:5" x14ac:dyDescent="0.25">
      <c r="A4097" t="s">
        <v>1</v>
      </c>
      <c r="B4097" t="s">
        <v>19</v>
      </c>
      <c r="C4097" t="s">
        <v>23490</v>
      </c>
      <c r="D4097" t="str">
        <f>HYPERLINK("https://rhld.insurance.arkansas.gov/NPILookup?Npi=1467040923","1467040923")</f>
        <v>1467040923</v>
      </c>
      <c r="E4097" t="s">
        <v>17992</v>
      </c>
    </row>
    <row r="4098" spans="1:5" x14ac:dyDescent="0.25">
      <c r="A4098" t="s">
        <v>1</v>
      </c>
      <c r="B4098" t="s">
        <v>19</v>
      </c>
      <c r="C4098" t="s">
        <v>23490</v>
      </c>
      <c r="D4098" t="str">
        <f>HYPERLINK("https://rhld.insurance.arkansas.gov/NPILookup?Npi=1467041046","1467041046")</f>
        <v>1467041046</v>
      </c>
      <c r="E4098" t="s">
        <v>17993</v>
      </c>
    </row>
    <row r="4099" spans="1:5" x14ac:dyDescent="0.25">
      <c r="A4099" t="s">
        <v>1</v>
      </c>
      <c r="B4099" t="s">
        <v>19</v>
      </c>
      <c r="C4099" t="s">
        <v>23490</v>
      </c>
      <c r="D4099" t="str">
        <f>HYPERLINK("https://rhld.insurance.arkansas.gov/NPILookup?Npi=1467043026","1467043026")</f>
        <v>1467043026</v>
      </c>
      <c r="E4099" t="s">
        <v>18786</v>
      </c>
    </row>
    <row r="4100" spans="1:5" x14ac:dyDescent="0.25">
      <c r="A4100" t="s">
        <v>1</v>
      </c>
      <c r="B4100" t="s">
        <v>19</v>
      </c>
      <c r="C4100" t="s">
        <v>23490</v>
      </c>
      <c r="D4100" t="str">
        <f>HYPERLINK("https://rhld.insurance.arkansas.gov/NPILookup?Npi=1467043224","1467043224")</f>
        <v>1467043224</v>
      </c>
      <c r="E4100" t="s">
        <v>17994</v>
      </c>
    </row>
    <row r="4101" spans="1:5" x14ac:dyDescent="0.25">
      <c r="A4101" t="s">
        <v>1</v>
      </c>
      <c r="B4101" t="s">
        <v>19</v>
      </c>
      <c r="C4101" t="s">
        <v>23490</v>
      </c>
      <c r="D4101" t="str">
        <f>HYPERLINK("https://rhld.insurance.arkansas.gov/NPILookup?Npi=1467051029","1467051029")</f>
        <v>1467051029</v>
      </c>
      <c r="E4101" t="s">
        <v>18787</v>
      </c>
    </row>
    <row r="4102" spans="1:5" x14ac:dyDescent="0.25">
      <c r="A4102" t="s">
        <v>1</v>
      </c>
      <c r="B4102" t="s">
        <v>19</v>
      </c>
      <c r="C4102" t="s">
        <v>23490</v>
      </c>
      <c r="D4102" t="str">
        <f>HYPERLINK("https://rhld.insurance.arkansas.gov/NPILookup?Npi=1467063792","1467063792")</f>
        <v>1467063792</v>
      </c>
      <c r="E4102" t="s">
        <v>22938</v>
      </c>
    </row>
    <row r="4103" spans="1:5" x14ac:dyDescent="0.25">
      <c r="A4103" t="s">
        <v>1</v>
      </c>
      <c r="B4103" t="s">
        <v>19</v>
      </c>
      <c r="C4103" t="s">
        <v>23490</v>
      </c>
      <c r="D4103" t="str">
        <f>HYPERLINK("https://rhld.insurance.arkansas.gov/NPILookup?Npi=1467064519","1467064519")</f>
        <v>1467064519</v>
      </c>
      <c r="E4103" t="s">
        <v>17995</v>
      </c>
    </row>
    <row r="4104" spans="1:5" x14ac:dyDescent="0.25">
      <c r="A4104" t="s">
        <v>1</v>
      </c>
      <c r="B4104" t="s">
        <v>19</v>
      </c>
      <c r="C4104" t="s">
        <v>23490</v>
      </c>
      <c r="D4104" t="str">
        <f>HYPERLINK("https://rhld.insurance.arkansas.gov/NPILookup?Npi=1467065250","1467065250")</f>
        <v>1467065250</v>
      </c>
      <c r="E4104" t="s">
        <v>17996</v>
      </c>
    </row>
    <row r="4105" spans="1:5" x14ac:dyDescent="0.25">
      <c r="A4105" t="s">
        <v>1</v>
      </c>
      <c r="B4105" t="s">
        <v>19</v>
      </c>
      <c r="C4105" t="s">
        <v>8427</v>
      </c>
      <c r="D4105" t="str">
        <f>HYPERLINK("https://rhld.insurance.arkansas.gov/NPILookup?Npi=1467071902","1467071902")</f>
        <v>1467071902</v>
      </c>
      <c r="E4105" t="s">
        <v>22939</v>
      </c>
    </row>
    <row r="4106" spans="1:5" x14ac:dyDescent="0.25">
      <c r="A4106" t="s">
        <v>1</v>
      </c>
      <c r="B4106" t="s">
        <v>19</v>
      </c>
      <c r="C4106" t="s">
        <v>23490</v>
      </c>
      <c r="D4106" t="str">
        <f>HYPERLINK("https://rhld.insurance.arkansas.gov/NPILookup?Npi=1467081000","1467081000")</f>
        <v>1467081000</v>
      </c>
      <c r="E4106" t="s">
        <v>17997</v>
      </c>
    </row>
    <row r="4107" spans="1:5" x14ac:dyDescent="0.25">
      <c r="A4107" t="s">
        <v>1</v>
      </c>
      <c r="B4107" t="s">
        <v>19</v>
      </c>
      <c r="C4107" t="s">
        <v>23490</v>
      </c>
      <c r="D4107" t="str">
        <f>HYPERLINK("https://rhld.insurance.arkansas.gov/NPILookup?Npi=1467088690","1467088690")</f>
        <v>1467088690</v>
      </c>
      <c r="E4107" t="s">
        <v>17998</v>
      </c>
    </row>
    <row r="4108" spans="1:5" x14ac:dyDescent="0.25">
      <c r="A4108" t="s">
        <v>1</v>
      </c>
      <c r="B4108" t="s">
        <v>19</v>
      </c>
      <c r="C4108" t="s">
        <v>23490</v>
      </c>
      <c r="D4108" t="str">
        <f>HYPERLINK("https://rhld.insurance.arkansas.gov/NPILookup?Npi=1467106971","1467106971")</f>
        <v>1467106971</v>
      </c>
      <c r="E4108" t="s">
        <v>20944</v>
      </c>
    </row>
    <row r="4109" spans="1:5" x14ac:dyDescent="0.25">
      <c r="A4109" t="s">
        <v>1</v>
      </c>
      <c r="B4109" t="s">
        <v>19</v>
      </c>
      <c r="C4109" t="s">
        <v>23490</v>
      </c>
      <c r="D4109" t="str">
        <f>HYPERLINK("https://rhld.insurance.arkansas.gov/NPILookup?Npi=1467151902","1467151902")</f>
        <v>1467151902</v>
      </c>
      <c r="E4109" t="s">
        <v>21551</v>
      </c>
    </row>
    <row r="4110" spans="1:5" x14ac:dyDescent="0.25">
      <c r="A4110" t="s">
        <v>1</v>
      </c>
      <c r="B4110" t="s">
        <v>19</v>
      </c>
      <c r="C4110" t="s">
        <v>23490</v>
      </c>
      <c r="D4110" t="str">
        <f>HYPERLINK("https://rhld.insurance.arkansas.gov/NPILookup?Npi=1467400549","1467400549")</f>
        <v>1467400549</v>
      </c>
      <c r="E4110" t="s">
        <v>1635</v>
      </c>
    </row>
    <row r="4111" spans="1:5" x14ac:dyDescent="0.25">
      <c r="A4111" t="s">
        <v>1</v>
      </c>
      <c r="B4111" t="s">
        <v>19</v>
      </c>
      <c r="C4111" t="s">
        <v>23490</v>
      </c>
      <c r="D4111" t="str">
        <f>HYPERLINK("https://rhld.insurance.arkansas.gov/NPILookup?Npi=1467407056","1467407056")</f>
        <v>1467407056</v>
      </c>
      <c r="E4111" t="s">
        <v>1636</v>
      </c>
    </row>
    <row r="4112" spans="1:5" x14ac:dyDescent="0.25">
      <c r="A4112" t="s">
        <v>1</v>
      </c>
      <c r="B4112" t="s">
        <v>19</v>
      </c>
      <c r="C4112" t="s">
        <v>23490</v>
      </c>
      <c r="D4112" t="str">
        <f>HYPERLINK("https://rhld.insurance.arkansas.gov/NPILookup?Npi=1467416149","1467416149")</f>
        <v>1467416149</v>
      </c>
      <c r="E4112" t="s">
        <v>1637</v>
      </c>
    </row>
    <row r="4113" spans="1:5" x14ac:dyDescent="0.25">
      <c r="A4113" t="s">
        <v>1</v>
      </c>
      <c r="B4113" t="s">
        <v>19</v>
      </c>
      <c r="C4113" t="s">
        <v>23490</v>
      </c>
      <c r="D4113" t="str">
        <f>HYPERLINK("https://rhld.insurance.arkansas.gov/NPILookup?Npi=1467418749","1467418749")</f>
        <v>1467418749</v>
      </c>
      <c r="E4113" t="s">
        <v>16962</v>
      </c>
    </row>
    <row r="4114" spans="1:5" x14ac:dyDescent="0.25">
      <c r="A4114" t="s">
        <v>1</v>
      </c>
      <c r="B4114" t="s">
        <v>19</v>
      </c>
      <c r="C4114" t="s">
        <v>23490</v>
      </c>
      <c r="D4114" t="str">
        <f>HYPERLINK("https://rhld.insurance.arkansas.gov/NPILookup?Npi=1467419036","1467419036")</f>
        <v>1467419036</v>
      </c>
      <c r="E4114" t="s">
        <v>1638</v>
      </c>
    </row>
    <row r="4115" spans="1:5" x14ac:dyDescent="0.25">
      <c r="A4115" t="s">
        <v>1</v>
      </c>
      <c r="B4115" t="s">
        <v>19</v>
      </c>
      <c r="C4115" t="s">
        <v>23490</v>
      </c>
      <c r="D4115" t="str">
        <f>HYPERLINK("https://rhld.insurance.arkansas.gov/NPILookup?Npi=1467420570","1467420570")</f>
        <v>1467420570</v>
      </c>
      <c r="E4115" t="s">
        <v>1639</v>
      </c>
    </row>
    <row r="4116" spans="1:5" x14ac:dyDescent="0.25">
      <c r="A4116" t="s">
        <v>1</v>
      </c>
      <c r="B4116" t="s">
        <v>19</v>
      </c>
      <c r="C4116" t="s">
        <v>23490</v>
      </c>
      <c r="D4116" t="str">
        <f>HYPERLINK("https://rhld.insurance.arkansas.gov/NPILookup?Npi=1467422766","1467422766")</f>
        <v>1467422766</v>
      </c>
      <c r="E4116" t="s">
        <v>1640</v>
      </c>
    </row>
    <row r="4117" spans="1:5" x14ac:dyDescent="0.25">
      <c r="A4117" t="s">
        <v>1</v>
      </c>
      <c r="B4117" t="s">
        <v>19</v>
      </c>
      <c r="C4117" t="s">
        <v>23490</v>
      </c>
      <c r="D4117" t="str">
        <f>HYPERLINK("https://rhld.insurance.arkansas.gov/NPILookup?Npi=1467428441","1467428441")</f>
        <v>1467428441</v>
      </c>
      <c r="E4117" t="s">
        <v>1642</v>
      </c>
    </row>
    <row r="4118" spans="1:5" x14ac:dyDescent="0.25">
      <c r="A4118" t="s">
        <v>1</v>
      </c>
      <c r="B4118" t="s">
        <v>19</v>
      </c>
      <c r="C4118" t="s">
        <v>23490</v>
      </c>
      <c r="D4118" t="str">
        <f>HYPERLINK("https://rhld.insurance.arkansas.gov/NPILookup?Npi=1467428847","1467428847")</f>
        <v>1467428847</v>
      </c>
      <c r="E4118" t="s">
        <v>1643</v>
      </c>
    </row>
    <row r="4119" spans="1:5" x14ac:dyDescent="0.25">
      <c r="A4119" t="s">
        <v>1</v>
      </c>
      <c r="B4119" t="s">
        <v>19</v>
      </c>
      <c r="C4119" t="s">
        <v>23490</v>
      </c>
      <c r="D4119" t="str">
        <f>HYPERLINK("https://rhld.insurance.arkansas.gov/NPILookup?Npi=1467429761","1467429761")</f>
        <v>1467429761</v>
      </c>
      <c r="E4119" t="s">
        <v>1644</v>
      </c>
    </row>
    <row r="4120" spans="1:5" x14ac:dyDescent="0.25">
      <c r="A4120" t="s">
        <v>1</v>
      </c>
      <c r="B4120" t="s">
        <v>19</v>
      </c>
      <c r="C4120" t="s">
        <v>23490</v>
      </c>
      <c r="D4120" t="str">
        <f>HYPERLINK("https://rhld.insurance.arkansas.gov/NPILookup?Npi=1467436725","1467436725")</f>
        <v>1467436725</v>
      </c>
      <c r="E4120" t="s">
        <v>1645</v>
      </c>
    </row>
    <row r="4121" spans="1:5" x14ac:dyDescent="0.25">
      <c r="A4121" t="s">
        <v>1</v>
      </c>
      <c r="B4121" t="s">
        <v>19</v>
      </c>
      <c r="C4121" t="s">
        <v>23490</v>
      </c>
      <c r="D4121" t="str">
        <f>HYPERLINK("https://rhld.insurance.arkansas.gov/NPILookup?Npi=1467436758","1467436758")</f>
        <v>1467436758</v>
      </c>
      <c r="E4121" t="s">
        <v>1646</v>
      </c>
    </row>
    <row r="4122" spans="1:5" x14ac:dyDescent="0.25">
      <c r="A4122" t="s">
        <v>1</v>
      </c>
      <c r="B4122" t="s">
        <v>19</v>
      </c>
      <c r="C4122" t="s">
        <v>23490</v>
      </c>
      <c r="D4122" t="str">
        <f>HYPERLINK("https://rhld.insurance.arkansas.gov/NPILookup?Npi=1467448837","1467448837")</f>
        <v>1467448837</v>
      </c>
      <c r="E4122" t="s">
        <v>1647</v>
      </c>
    </row>
    <row r="4123" spans="1:5" x14ac:dyDescent="0.25">
      <c r="A4123" t="s">
        <v>1</v>
      </c>
      <c r="B4123" t="s">
        <v>19</v>
      </c>
      <c r="C4123" t="s">
        <v>23490</v>
      </c>
      <c r="D4123" t="str">
        <f>HYPERLINK("https://rhld.insurance.arkansas.gov/NPILookup?Npi=1467455287","1467455287")</f>
        <v>1467455287</v>
      </c>
      <c r="E4123" t="s">
        <v>15159</v>
      </c>
    </row>
    <row r="4124" spans="1:5" x14ac:dyDescent="0.25">
      <c r="A4124" t="s">
        <v>1</v>
      </c>
      <c r="B4124" t="s">
        <v>19</v>
      </c>
      <c r="C4124" t="s">
        <v>23490</v>
      </c>
      <c r="D4124" t="str">
        <f>HYPERLINK("https://rhld.insurance.arkansas.gov/NPILookup?Npi=1467458539","1467458539")</f>
        <v>1467458539</v>
      </c>
      <c r="E4124" t="s">
        <v>8685</v>
      </c>
    </row>
    <row r="4125" spans="1:5" x14ac:dyDescent="0.25">
      <c r="A4125" t="s">
        <v>1</v>
      </c>
      <c r="B4125" t="s">
        <v>19</v>
      </c>
      <c r="C4125" t="s">
        <v>23490</v>
      </c>
      <c r="D4125" t="str">
        <f>HYPERLINK("https://rhld.insurance.arkansas.gov/NPILookup?Npi=1467459149","1467459149")</f>
        <v>1467459149</v>
      </c>
      <c r="E4125" t="s">
        <v>1648</v>
      </c>
    </row>
    <row r="4126" spans="1:5" x14ac:dyDescent="0.25">
      <c r="A4126" t="s">
        <v>1</v>
      </c>
      <c r="B4126" t="s">
        <v>19</v>
      </c>
      <c r="C4126" t="s">
        <v>23490</v>
      </c>
      <c r="D4126" t="str">
        <f>HYPERLINK("https://rhld.insurance.arkansas.gov/NPILookup?Npi=1467459370","1467459370")</f>
        <v>1467459370</v>
      </c>
      <c r="E4126" t="s">
        <v>1649</v>
      </c>
    </row>
    <row r="4127" spans="1:5" x14ac:dyDescent="0.25">
      <c r="A4127" t="s">
        <v>1</v>
      </c>
      <c r="B4127" t="s">
        <v>19</v>
      </c>
      <c r="C4127" t="s">
        <v>23490</v>
      </c>
      <c r="D4127" t="str">
        <f>HYPERLINK("https://rhld.insurance.arkansas.gov/NPILookup?Npi=1467466136","1467466136")</f>
        <v>1467466136</v>
      </c>
      <c r="E4127" t="s">
        <v>1650</v>
      </c>
    </row>
    <row r="4128" spans="1:5" x14ac:dyDescent="0.25">
      <c r="A4128" t="s">
        <v>1</v>
      </c>
      <c r="B4128" t="s">
        <v>19</v>
      </c>
      <c r="C4128" t="s">
        <v>23490</v>
      </c>
      <c r="D4128" t="str">
        <f>HYPERLINK("https://rhld.insurance.arkansas.gov/NPILookup?Npi=1467469775","1467469775")</f>
        <v>1467469775</v>
      </c>
      <c r="E4128" t="s">
        <v>1651</v>
      </c>
    </row>
    <row r="4129" spans="1:5" x14ac:dyDescent="0.25">
      <c r="A4129" t="s">
        <v>1</v>
      </c>
      <c r="B4129" t="s">
        <v>19</v>
      </c>
      <c r="C4129" t="s">
        <v>23490</v>
      </c>
      <c r="D4129" t="str">
        <f>HYPERLINK("https://rhld.insurance.arkansas.gov/NPILookup?Npi=1467470799","1467470799")</f>
        <v>1467470799</v>
      </c>
      <c r="E4129" t="s">
        <v>15160</v>
      </c>
    </row>
    <row r="4130" spans="1:5" x14ac:dyDescent="0.25">
      <c r="A4130" t="s">
        <v>1</v>
      </c>
      <c r="B4130" t="s">
        <v>19</v>
      </c>
      <c r="C4130" t="s">
        <v>23490</v>
      </c>
      <c r="D4130" t="str">
        <f>HYPERLINK("https://rhld.insurance.arkansas.gov/NPILookup?Npi=1467474981","1467474981")</f>
        <v>1467474981</v>
      </c>
      <c r="E4130" t="s">
        <v>1652</v>
      </c>
    </row>
    <row r="4131" spans="1:5" x14ac:dyDescent="0.25">
      <c r="A4131" t="s">
        <v>1</v>
      </c>
      <c r="B4131" t="s">
        <v>19</v>
      </c>
      <c r="C4131" t="s">
        <v>23490</v>
      </c>
      <c r="D4131" t="str">
        <f>HYPERLINK("https://rhld.insurance.arkansas.gov/NPILookup?Npi=1467487751","1467487751")</f>
        <v>1467487751</v>
      </c>
      <c r="E4131" t="s">
        <v>13549</v>
      </c>
    </row>
    <row r="4132" spans="1:5" x14ac:dyDescent="0.25">
      <c r="A4132" t="s">
        <v>1</v>
      </c>
      <c r="B4132" t="s">
        <v>19</v>
      </c>
      <c r="C4132" t="s">
        <v>23490</v>
      </c>
      <c r="D4132" t="str">
        <f>HYPERLINK("https://rhld.insurance.arkansas.gov/NPILookup?Npi=1467488791","1467488791")</f>
        <v>1467488791</v>
      </c>
      <c r="E4132" t="s">
        <v>1653</v>
      </c>
    </row>
    <row r="4133" spans="1:5" x14ac:dyDescent="0.25">
      <c r="A4133" t="s">
        <v>1</v>
      </c>
      <c r="B4133" t="s">
        <v>19</v>
      </c>
      <c r="C4133" t="s">
        <v>23490</v>
      </c>
      <c r="D4133" t="str">
        <f>HYPERLINK("https://rhld.insurance.arkansas.gov/NPILookup?Npi=1467494617","1467494617")</f>
        <v>1467494617</v>
      </c>
      <c r="E4133" t="s">
        <v>8686</v>
      </c>
    </row>
    <row r="4134" spans="1:5" x14ac:dyDescent="0.25">
      <c r="A4134" t="s">
        <v>1</v>
      </c>
      <c r="B4134" t="s">
        <v>19</v>
      </c>
      <c r="C4134" t="s">
        <v>23490</v>
      </c>
      <c r="D4134" t="str">
        <f>HYPERLINK("https://rhld.insurance.arkansas.gov/NPILookup?Npi=1467498154","1467498154")</f>
        <v>1467498154</v>
      </c>
      <c r="E4134" t="s">
        <v>1654</v>
      </c>
    </row>
    <row r="4135" spans="1:5" x14ac:dyDescent="0.25">
      <c r="A4135" t="s">
        <v>1</v>
      </c>
      <c r="B4135" t="s">
        <v>19</v>
      </c>
      <c r="C4135" t="s">
        <v>23490</v>
      </c>
      <c r="D4135" t="str">
        <f>HYPERLINK("https://rhld.insurance.arkansas.gov/NPILookup?Npi=1467498774","1467498774")</f>
        <v>1467498774</v>
      </c>
      <c r="E4135" t="s">
        <v>1655</v>
      </c>
    </row>
    <row r="4136" spans="1:5" x14ac:dyDescent="0.25">
      <c r="A4136" t="s">
        <v>1</v>
      </c>
      <c r="B4136" t="s">
        <v>19</v>
      </c>
      <c r="C4136" t="s">
        <v>23490</v>
      </c>
      <c r="D4136" t="str">
        <f>HYPERLINK("https://rhld.insurance.arkansas.gov/NPILookup?Npi=1467519165","1467519165")</f>
        <v>1467519165</v>
      </c>
      <c r="E4136" t="s">
        <v>8687</v>
      </c>
    </row>
    <row r="4137" spans="1:5" x14ac:dyDescent="0.25">
      <c r="A4137" t="s">
        <v>1</v>
      </c>
      <c r="B4137" t="s">
        <v>19</v>
      </c>
      <c r="C4137" t="s">
        <v>23490</v>
      </c>
      <c r="D4137" t="str">
        <f>HYPERLINK("https://rhld.insurance.arkansas.gov/NPILookup?Npi=1467525865","1467525865")</f>
        <v>1467525865</v>
      </c>
      <c r="E4137" t="s">
        <v>1656</v>
      </c>
    </row>
    <row r="4138" spans="1:5" x14ac:dyDescent="0.25">
      <c r="A4138" t="s">
        <v>1</v>
      </c>
      <c r="B4138" t="s">
        <v>19</v>
      </c>
      <c r="C4138" t="s">
        <v>23490</v>
      </c>
      <c r="D4138" t="str">
        <f>HYPERLINK("https://rhld.insurance.arkansas.gov/NPILookup?Npi=1467543140","1467543140")</f>
        <v>1467543140</v>
      </c>
      <c r="E4138" t="s">
        <v>1657</v>
      </c>
    </row>
    <row r="4139" spans="1:5" x14ac:dyDescent="0.25">
      <c r="A4139" t="s">
        <v>1</v>
      </c>
      <c r="B4139" t="s">
        <v>19</v>
      </c>
      <c r="C4139" t="s">
        <v>23490</v>
      </c>
      <c r="D4139" t="str">
        <f>HYPERLINK("https://rhld.insurance.arkansas.gov/NPILookup?Npi=1467543488","1467543488")</f>
        <v>1467543488</v>
      </c>
      <c r="E4139" t="s">
        <v>1658</v>
      </c>
    </row>
    <row r="4140" spans="1:5" x14ac:dyDescent="0.25">
      <c r="A4140" t="s">
        <v>1</v>
      </c>
      <c r="B4140" t="s">
        <v>19</v>
      </c>
      <c r="C4140" t="s">
        <v>23490</v>
      </c>
      <c r="D4140" t="str">
        <f>HYPERLINK("https://rhld.insurance.arkansas.gov/NPILookup?Npi=1467562678","1467562678")</f>
        <v>1467562678</v>
      </c>
      <c r="E4140" t="s">
        <v>1659</v>
      </c>
    </row>
    <row r="4141" spans="1:5" x14ac:dyDescent="0.25">
      <c r="A4141" t="s">
        <v>1</v>
      </c>
      <c r="B4141" t="s">
        <v>19</v>
      </c>
      <c r="C4141" t="s">
        <v>23490</v>
      </c>
      <c r="D4141" t="str">
        <f>HYPERLINK("https://rhld.insurance.arkansas.gov/NPILookup?Npi=1467573360","1467573360")</f>
        <v>1467573360</v>
      </c>
      <c r="E4141" t="s">
        <v>1660</v>
      </c>
    </row>
    <row r="4142" spans="1:5" x14ac:dyDescent="0.25">
      <c r="A4142" t="s">
        <v>1</v>
      </c>
      <c r="B4142" t="s">
        <v>19</v>
      </c>
      <c r="C4142" t="s">
        <v>23490</v>
      </c>
      <c r="D4142" t="str">
        <f>HYPERLINK("https://rhld.insurance.arkansas.gov/NPILookup?Npi=1467594184","1467594184")</f>
        <v>1467594184</v>
      </c>
      <c r="E4142" t="s">
        <v>1661</v>
      </c>
    </row>
    <row r="4143" spans="1:5" x14ac:dyDescent="0.25">
      <c r="A4143" t="s">
        <v>1</v>
      </c>
      <c r="B4143" t="s">
        <v>19</v>
      </c>
      <c r="C4143" t="s">
        <v>23490</v>
      </c>
      <c r="D4143" t="str">
        <f>HYPERLINK("https://rhld.insurance.arkansas.gov/NPILookup?Npi=1467605444","1467605444")</f>
        <v>1467605444</v>
      </c>
      <c r="E4143" t="s">
        <v>10954</v>
      </c>
    </row>
    <row r="4144" spans="1:5" x14ac:dyDescent="0.25">
      <c r="A4144" t="s">
        <v>1</v>
      </c>
      <c r="B4144" t="s">
        <v>19</v>
      </c>
      <c r="C4144" t="s">
        <v>23490</v>
      </c>
      <c r="D4144" t="str">
        <f>HYPERLINK("https://rhld.insurance.arkansas.gov/NPILookup?Npi=1467613000","1467613000")</f>
        <v>1467613000</v>
      </c>
      <c r="E4144" t="s">
        <v>1662</v>
      </c>
    </row>
    <row r="4145" spans="1:5" x14ac:dyDescent="0.25">
      <c r="A4145" t="s">
        <v>1</v>
      </c>
      <c r="B4145" t="s">
        <v>19</v>
      </c>
      <c r="C4145" t="s">
        <v>23490</v>
      </c>
      <c r="D4145" t="str">
        <f>HYPERLINK("https://rhld.insurance.arkansas.gov/NPILookup?Npi=1467629790","1467629790")</f>
        <v>1467629790</v>
      </c>
      <c r="E4145" t="s">
        <v>1663</v>
      </c>
    </row>
    <row r="4146" spans="1:5" x14ac:dyDescent="0.25">
      <c r="A4146" t="s">
        <v>1</v>
      </c>
      <c r="B4146" t="s">
        <v>19</v>
      </c>
      <c r="C4146" t="s">
        <v>23490</v>
      </c>
      <c r="D4146" t="str">
        <f>HYPERLINK("https://rhld.insurance.arkansas.gov/NPILookup?Npi=1467653626","1467653626")</f>
        <v>1467653626</v>
      </c>
      <c r="E4146" t="s">
        <v>1664</v>
      </c>
    </row>
    <row r="4147" spans="1:5" x14ac:dyDescent="0.25">
      <c r="A4147" t="s">
        <v>1</v>
      </c>
      <c r="B4147" t="s">
        <v>19</v>
      </c>
      <c r="C4147" t="s">
        <v>23490</v>
      </c>
      <c r="D4147" t="str">
        <f>HYPERLINK("https://rhld.insurance.arkansas.gov/NPILookup?Npi=1467654715","1467654715")</f>
        <v>1467654715</v>
      </c>
      <c r="E4147" t="s">
        <v>19744</v>
      </c>
    </row>
    <row r="4148" spans="1:5" x14ac:dyDescent="0.25">
      <c r="A4148" t="s">
        <v>1</v>
      </c>
      <c r="B4148" t="s">
        <v>19</v>
      </c>
      <c r="C4148" t="s">
        <v>23490</v>
      </c>
      <c r="D4148" t="str">
        <f>HYPERLINK("https://rhld.insurance.arkansas.gov/NPILookup?Npi=1467671677","1467671677")</f>
        <v>1467671677</v>
      </c>
      <c r="E4148" t="s">
        <v>15161</v>
      </c>
    </row>
    <row r="4149" spans="1:5" x14ac:dyDescent="0.25">
      <c r="A4149" t="s">
        <v>1</v>
      </c>
      <c r="B4149" t="s">
        <v>19</v>
      </c>
      <c r="C4149" t="s">
        <v>23490</v>
      </c>
      <c r="D4149" t="str">
        <f>HYPERLINK("https://rhld.insurance.arkansas.gov/NPILookup?Npi=1467715656","1467715656")</f>
        <v>1467715656</v>
      </c>
      <c r="E4149" t="s">
        <v>1536</v>
      </c>
    </row>
    <row r="4150" spans="1:5" x14ac:dyDescent="0.25">
      <c r="A4150" t="s">
        <v>1</v>
      </c>
      <c r="B4150" t="s">
        <v>19</v>
      </c>
      <c r="C4150" t="s">
        <v>23490</v>
      </c>
      <c r="D4150" t="str">
        <f>HYPERLINK("https://rhld.insurance.arkansas.gov/NPILookup?Npi=1467740225","1467740225")</f>
        <v>1467740225</v>
      </c>
      <c r="E4150" t="s">
        <v>1666</v>
      </c>
    </row>
    <row r="4151" spans="1:5" x14ac:dyDescent="0.25">
      <c r="A4151" t="s">
        <v>1</v>
      </c>
      <c r="B4151" t="s">
        <v>19</v>
      </c>
      <c r="C4151" t="s">
        <v>23490</v>
      </c>
      <c r="D4151" t="str">
        <f>HYPERLINK("https://rhld.insurance.arkansas.gov/NPILookup?Npi=1467745984","1467745984")</f>
        <v>1467745984</v>
      </c>
      <c r="E4151" t="s">
        <v>15162</v>
      </c>
    </row>
    <row r="4152" spans="1:5" x14ac:dyDescent="0.25">
      <c r="A4152" t="s">
        <v>1</v>
      </c>
      <c r="B4152" t="s">
        <v>19</v>
      </c>
      <c r="C4152" t="s">
        <v>23490</v>
      </c>
      <c r="D4152" t="str">
        <f>HYPERLINK("https://rhld.insurance.arkansas.gov/NPILookup?Npi=1467750117","1467750117")</f>
        <v>1467750117</v>
      </c>
      <c r="E4152" t="s">
        <v>10955</v>
      </c>
    </row>
    <row r="4153" spans="1:5" x14ac:dyDescent="0.25">
      <c r="A4153" t="s">
        <v>1</v>
      </c>
      <c r="B4153" t="s">
        <v>19</v>
      </c>
      <c r="C4153" t="s">
        <v>23490</v>
      </c>
      <c r="D4153" t="str">
        <f>HYPERLINK("https://rhld.insurance.arkansas.gov/NPILookup?Npi=1467755306","1467755306")</f>
        <v>1467755306</v>
      </c>
      <c r="E4153" t="s">
        <v>1667</v>
      </c>
    </row>
    <row r="4154" spans="1:5" x14ac:dyDescent="0.25">
      <c r="A4154" t="s">
        <v>1</v>
      </c>
      <c r="B4154" t="s">
        <v>19</v>
      </c>
      <c r="C4154" t="s">
        <v>23490</v>
      </c>
      <c r="D4154" t="str">
        <f>HYPERLINK("https://rhld.insurance.arkansas.gov/NPILookup?Npi=1467758904","1467758904")</f>
        <v>1467758904</v>
      </c>
      <c r="E4154" t="s">
        <v>1668</v>
      </c>
    </row>
    <row r="4155" spans="1:5" x14ac:dyDescent="0.25">
      <c r="A4155" t="s">
        <v>1</v>
      </c>
      <c r="B4155" t="s">
        <v>19</v>
      </c>
      <c r="C4155" t="s">
        <v>23490</v>
      </c>
      <c r="D4155" t="str">
        <f>HYPERLINK("https://rhld.insurance.arkansas.gov/NPILookup?Npi=1467763110","1467763110")</f>
        <v>1467763110</v>
      </c>
      <c r="E4155" t="s">
        <v>1669</v>
      </c>
    </row>
    <row r="4156" spans="1:5" x14ac:dyDescent="0.25">
      <c r="A4156" t="s">
        <v>1</v>
      </c>
      <c r="B4156" t="s">
        <v>19</v>
      </c>
      <c r="C4156" t="s">
        <v>23490</v>
      </c>
      <c r="D4156" t="str">
        <f>HYPERLINK("https://rhld.insurance.arkansas.gov/NPILookup?Npi=1467767087","1467767087")</f>
        <v>1467767087</v>
      </c>
      <c r="E4156" t="s">
        <v>15163</v>
      </c>
    </row>
    <row r="4157" spans="1:5" x14ac:dyDescent="0.25">
      <c r="A4157" t="s">
        <v>1</v>
      </c>
      <c r="B4157" t="s">
        <v>19</v>
      </c>
      <c r="C4157" t="s">
        <v>23490</v>
      </c>
      <c r="D4157" t="str">
        <f>HYPERLINK("https://rhld.insurance.arkansas.gov/NPILookup?Npi=1467793679","1467793679")</f>
        <v>1467793679</v>
      </c>
      <c r="E4157" t="s">
        <v>1670</v>
      </c>
    </row>
    <row r="4158" spans="1:5" x14ac:dyDescent="0.25">
      <c r="A4158" t="s">
        <v>1</v>
      </c>
      <c r="B4158" t="s">
        <v>19</v>
      </c>
      <c r="C4158" t="s">
        <v>23490</v>
      </c>
      <c r="D4158" t="str">
        <f>HYPERLINK("https://rhld.insurance.arkansas.gov/NPILookup?Npi=1467801761","1467801761")</f>
        <v>1467801761</v>
      </c>
      <c r="E4158" t="s">
        <v>13550</v>
      </c>
    </row>
    <row r="4159" spans="1:5" x14ac:dyDescent="0.25">
      <c r="A4159" t="s">
        <v>1</v>
      </c>
      <c r="B4159" t="s">
        <v>19</v>
      </c>
      <c r="C4159" t="s">
        <v>23490</v>
      </c>
      <c r="D4159" t="str">
        <f>HYPERLINK("https://rhld.insurance.arkansas.gov/NPILookup?Npi=1467809004","1467809004")</f>
        <v>1467809004</v>
      </c>
      <c r="E4159" t="s">
        <v>10956</v>
      </c>
    </row>
    <row r="4160" spans="1:5" x14ac:dyDescent="0.25">
      <c r="A4160" t="s">
        <v>1</v>
      </c>
      <c r="B4160" t="s">
        <v>19</v>
      </c>
      <c r="C4160" t="s">
        <v>23490</v>
      </c>
      <c r="D4160" t="str">
        <f>HYPERLINK("https://rhld.insurance.arkansas.gov/NPILookup?Npi=1467814137","1467814137")</f>
        <v>1467814137</v>
      </c>
      <c r="E4160" t="s">
        <v>15164</v>
      </c>
    </row>
    <row r="4161" spans="1:5" x14ac:dyDescent="0.25">
      <c r="A4161" t="s">
        <v>1</v>
      </c>
      <c r="B4161" t="s">
        <v>19</v>
      </c>
      <c r="C4161" t="s">
        <v>23490</v>
      </c>
      <c r="D4161" t="str">
        <f>HYPERLINK("https://rhld.insurance.arkansas.gov/NPILookup?Npi=1467817486","1467817486")</f>
        <v>1467817486</v>
      </c>
      <c r="E4161" t="s">
        <v>8688</v>
      </c>
    </row>
    <row r="4162" spans="1:5" x14ac:dyDescent="0.25">
      <c r="A4162" t="s">
        <v>1</v>
      </c>
      <c r="B4162" t="s">
        <v>19</v>
      </c>
      <c r="C4162" t="s">
        <v>23490</v>
      </c>
      <c r="D4162" t="str">
        <f>HYPERLINK("https://rhld.insurance.arkansas.gov/NPILookup?Npi=1467829515","1467829515")</f>
        <v>1467829515</v>
      </c>
      <c r="E4162" t="s">
        <v>15165</v>
      </c>
    </row>
    <row r="4163" spans="1:5" x14ac:dyDescent="0.25">
      <c r="A4163" t="s">
        <v>1</v>
      </c>
      <c r="B4163" t="s">
        <v>19</v>
      </c>
      <c r="C4163" t="s">
        <v>23490</v>
      </c>
      <c r="D4163" t="str">
        <f>HYPERLINK("https://rhld.insurance.arkansas.gov/NPILookup?Npi=1467835611","1467835611")</f>
        <v>1467835611</v>
      </c>
      <c r="E4163" t="s">
        <v>15166</v>
      </c>
    </row>
    <row r="4164" spans="1:5" x14ac:dyDescent="0.25">
      <c r="A4164" t="s">
        <v>1</v>
      </c>
      <c r="B4164" t="s">
        <v>19</v>
      </c>
      <c r="C4164" t="s">
        <v>23490</v>
      </c>
      <c r="D4164" t="str">
        <f>HYPERLINK("https://rhld.insurance.arkansas.gov/NPILookup?Npi=1467849794","1467849794")</f>
        <v>1467849794</v>
      </c>
      <c r="E4164" t="s">
        <v>1671</v>
      </c>
    </row>
    <row r="4165" spans="1:5" x14ac:dyDescent="0.25">
      <c r="A4165" t="s">
        <v>1</v>
      </c>
      <c r="B4165" t="s">
        <v>19</v>
      </c>
      <c r="C4165" t="s">
        <v>23490</v>
      </c>
      <c r="D4165" t="str">
        <f>HYPERLINK("https://rhld.insurance.arkansas.gov/NPILookup?Npi=1467861716","1467861716")</f>
        <v>1467861716</v>
      </c>
      <c r="E4165" t="s">
        <v>1672</v>
      </c>
    </row>
    <row r="4166" spans="1:5" x14ac:dyDescent="0.25">
      <c r="A4166" t="s">
        <v>1</v>
      </c>
      <c r="B4166" t="s">
        <v>19</v>
      </c>
      <c r="C4166" t="s">
        <v>23490</v>
      </c>
      <c r="D4166" t="str">
        <f>HYPERLINK("https://rhld.insurance.arkansas.gov/NPILookup?Npi=1467876615","1467876615")</f>
        <v>1467876615</v>
      </c>
      <c r="E4166" t="s">
        <v>19745</v>
      </c>
    </row>
    <row r="4167" spans="1:5" x14ac:dyDescent="0.25">
      <c r="A4167" t="s">
        <v>1</v>
      </c>
      <c r="B4167" t="s">
        <v>19</v>
      </c>
      <c r="C4167" t="s">
        <v>23490</v>
      </c>
      <c r="D4167" t="str">
        <f>HYPERLINK("https://rhld.insurance.arkansas.gov/NPILookup?Npi=1467877340","1467877340")</f>
        <v>1467877340</v>
      </c>
      <c r="E4167" t="s">
        <v>1673</v>
      </c>
    </row>
    <row r="4168" spans="1:5" x14ac:dyDescent="0.25">
      <c r="A4168" t="s">
        <v>1</v>
      </c>
      <c r="B4168" t="s">
        <v>19</v>
      </c>
      <c r="C4168" t="s">
        <v>23490</v>
      </c>
      <c r="D4168" t="str">
        <f>HYPERLINK("https://rhld.insurance.arkansas.gov/NPILookup?Npi=1467879247","1467879247")</f>
        <v>1467879247</v>
      </c>
      <c r="E4168" t="s">
        <v>1674</v>
      </c>
    </row>
    <row r="4169" spans="1:5" x14ac:dyDescent="0.25">
      <c r="A4169" t="s">
        <v>1</v>
      </c>
      <c r="B4169" t="s">
        <v>19</v>
      </c>
      <c r="C4169" t="s">
        <v>23490</v>
      </c>
      <c r="D4169" t="str">
        <f>HYPERLINK("https://rhld.insurance.arkansas.gov/NPILookup?Npi=1467879957","1467879957")</f>
        <v>1467879957</v>
      </c>
      <c r="E4169" t="s">
        <v>20945</v>
      </c>
    </row>
    <row r="4170" spans="1:5" x14ac:dyDescent="0.25">
      <c r="A4170" t="s">
        <v>1</v>
      </c>
      <c r="B4170" t="s">
        <v>19</v>
      </c>
      <c r="C4170" t="s">
        <v>23490</v>
      </c>
      <c r="D4170" t="str">
        <f>HYPERLINK("https://rhld.insurance.arkansas.gov/NPILookup?Npi=1467891945","1467891945")</f>
        <v>1467891945</v>
      </c>
      <c r="E4170" t="s">
        <v>1675</v>
      </c>
    </row>
    <row r="4171" spans="1:5" x14ac:dyDescent="0.25">
      <c r="A4171" t="s">
        <v>1</v>
      </c>
      <c r="B4171" t="s">
        <v>19</v>
      </c>
      <c r="C4171" t="s">
        <v>23490</v>
      </c>
      <c r="D4171" t="str">
        <f>HYPERLINK("https://rhld.insurance.arkansas.gov/NPILookup?Npi=1467893479","1467893479")</f>
        <v>1467893479</v>
      </c>
      <c r="E4171" t="s">
        <v>10957</v>
      </c>
    </row>
    <row r="4172" spans="1:5" x14ac:dyDescent="0.25">
      <c r="A4172" t="s">
        <v>1</v>
      </c>
      <c r="B4172" t="s">
        <v>19</v>
      </c>
      <c r="C4172" t="s">
        <v>23490</v>
      </c>
      <c r="D4172" t="str">
        <f>HYPERLINK("https://rhld.insurance.arkansas.gov/NPILookup?Npi=1467908970","1467908970")</f>
        <v>1467908970</v>
      </c>
      <c r="E4172" t="s">
        <v>13551</v>
      </c>
    </row>
    <row r="4173" spans="1:5" x14ac:dyDescent="0.25">
      <c r="A4173" t="s">
        <v>1</v>
      </c>
      <c r="B4173" t="s">
        <v>19</v>
      </c>
      <c r="C4173" t="s">
        <v>23490</v>
      </c>
      <c r="D4173" t="str">
        <f>HYPERLINK("https://rhld.insurance.arkansas.gov/NPILookup?Npi=1467909366","1467909366")</f>
        <v>1467909366</v>
      </c>
      <c r="E4173" t="s">
        <v>10958</v>
      </c>
    </row>
    <row r="4174" spans="1:5" x14ac:dyDescent="0.25">
      <c r="A4174" t="s">
        <v>1</v>
      </c>
      <c r="B4174" t="s">
        <v>19</v>
      </c>
      <c r="C4174" t="s">
        <v>23490</v>
      </c>
      <c r="D4174" t="str">
        <f>HYPERLINK("https://rhld.insurance.arkansas.gov/NPILookup?Npi=1467917468","1467917468")</f>
        <v>1467917468</v>
      </c>
      <c r="E4174" t="s">
        <v>13552</v>
      </c>
    </row>
    <row r="4175" spans="1:5" x14ac:dyDescent="0.25">
      <c r="A4175" t="s">
        <v>1</v>
      </c>
      <c r="B4175" t="s">
        <v>19</v>
      </c>
      <c r="C4175" t="s">
        <v>23490</v>
      </c>
      <c r="D4175" t="str">
        <f>HYPERLINK("https://rhld.insurance.arkansas.gov/NPILookup?Npi=1467935114","1467935114")</f>
        <v>1467935114</v>
      </c>
      <c r="E4175" t="s">
        <v>15167</v>
      </c>
    </row>
    <row r="4176" spans="1:5" x14ac:dyDescent="0.25">
      <c r="A4176" t="s">
        <v>1</v>
      </c>
      <c r="B4176" t="s">
        <v>19</v>
      </c>
      <c r="C4176" t="s">
        <v>23490</v>
      </c>
      <c r="D4176" t="str">
        <f>HYPERLINK("https://rhld.insurance.arkansas.gov/NPILookup?Npi=1467950501","1467950501")</f>
        <v>1467950501</v>
      </c>
      <c r="E4176" t="s">
        <v>12847</v>
      </c>
    </row>
    <row r="4177" spans="1:5" x14ac:dyDescent="0.25">
      <c r="A4177" t="s">
        <v>1</v>
      </c>
      <c r="B4177" t="s">
        <v>19</v>
      </c>
      <c r="C4177" t="s">
        <v>23490</v>
      </c>
      <c r="D4177" t="str">
        <f>HYPERLINK("https://rhld.insurance.arkansas.gov/NPILookup?Npi=1467950592","1467950592")</f>
        <v>1467950592</v>
      </c>
      <c r="E4177" t="s">
        <v>15168</v>
      </c>
    </row>
    <row r="4178" spans="1:5" x14ac:dyDescent="0.25">
      <c r="A4178" t="s">
        <v>1</v>
      </c>
      <c r="B4178" t="s">
        <v>19</v>
      </c>
      <c r="C4178" t="s">
        <v>8427</v>
      </c>
      <c r="D4178" t="str">
        <f>HYPERLINK("https://rhld.insurance.arkansas.gov/NPILookup?Npi=1467953026","1467953026")</f>
        <v>1467953026</v>
      </c>
      <c r="E4178" t="s">
        <v>22940</v>
      </c>
    </row>
    <row r="4179" spans="1:5" x14ac:dyDescent="0.25">
      <c r="A4179" t="s">
        <v>1</v>
      </c>
      <c r="B4179" t="s">
        <v>19</v>
      </c>
      <c r="C4179" t="s">
        <v>23490</v>
      </c>
      <c r="D4179" t="str">
        <f>HYPERLINK("https://rhld.insurance.arkansas.gov/NPILookup?Npi=1467953174","1467953174")</f>
        <v>1467953174</v>
      </c>
      <c r="E4179" t="s">
        <v>21552</v>
      </c>
    </row>
    <row r="4180" spans="1:5" x14ac:dyDescent="0.25">
      <c r="A4180" t="s">
        <v>1</v>
      </c>
      <c r="B4180" t="s">
        <v>19</v>
      </c>
      <c r="C4180" t="s">
        <v>23490</v>
      </c>
      <c r="D4180" t="str">
        <f>HYPERLINK("https://rhld.insurance.arkansas.gov/NPILookup?Npi=1467968271","1467968271")</f>
        <v>1467968271</v>
      </c>
      <c r="E4180" t="s">
        <v>15169</v>
      </c>
    </row>
    <row r="4181" spans="1:5" x14ac:dyDescent="0.25">
      <c r="A4181" t="s">
        <v>1</v>
      </c>
      <c r="B4181" t="s">
        <v>19</v>
      </c>
      <c r="C4181" t="s">
        <v>23490</v>
      </c>
      <c r="D4181" t="str">
        <f>HYPERLINK("https://rhld.insurance.arkansas.gov/NPILookup?Npi=1467979229","1467979229")</f>
        <v>1467979229</v>
      </c>
      <c r="E4181" t="s">
        <v>12848</v>
      </c>
    </row>
    <row r="4182" spans="1:5" x14ac:dyDescent="0.25">
      <c r="A4182" t="s">
        <v>1</v>
      </c>
      <c r="B4182" t="s">
        <v>19</v>
      </c>
      <c r="C4182" t="s">
        <v>23490</v>
      </c>
      <c r="D4182" t="str">
        <f>HYPERLINK("https://rhld.insurance.arkansas.gov/NPILookup?Npi=1467987875","1467987875")</f>
        <v>1467987875</v>
      </c>
      <c r="E4182" t="s">
        <v>17431</v>
      </c>
    </row>
    <row r="4183" spans="1:5" x14ac:dyDescent="0.25">
      <c r="A4183" t="s">
        <v>1</v>
      </c>
      <c r="B4183" t="s">
        <v>19</v>
      </c>
      <c r="C4183" t="s">
        <v>23490</v>
      </c>
      <c r="D4183" t="str">
        <f>HYPERLINK("https://rhld.insurance.arkansas.gov/NPILookup?Npi=1467991000","1467991000")</f>
        <v>1467991000</v>
      </c>
      <c r="E4183" t="s">
        <v>10959</v>
      </c>
    </row>
    <row r="4184" spans="1:5" x14ac:dyDescent="0.25">
      <c r="A4184" t="s">
        <v>1</v>
      </c>
      <c r="B4184" t="s">
        <v>19</v>
      </c>
      <c r="C4184" t="s">
        <v>23490</v>
      </c>
      <c r="D4184" t="str">
        <f>HYPERLINK("https://rhld.insurance.arkansas.gov/NPILookup?Npi=1467992933","1467992933")</f>
        <v>1467992933</v>
      </c>
      <c r="E4184" t="s">
        <v>10960</v>
      </c>
    </row>
    <row r="4185" spans="1:5" x14ac:dyDescent="0.25">
      <c r="A4185" t="s">
        <v>1</v>
      </c>
      <c r="B4185" t="s">
        <v>19</v>
      </c>
      <c r="C4185" t="s">
        <v>23490</v>
      </c>
      <c r="D4185" t="str">
        <f>HYPERLINK("https://rhld.insurance.arkansas.gov/NPILookup?Npi=1467993600","1467993600")</f>
        <v>1467993600</v>
      </c>
      <c r="E4185" t="s">
        <v>19746</v>
      </c>
    </row>
    <row r="4186" spans="1:5" x14ac:dyDescent="0.25">
      <c r="A4186" t="s">
        <v>1</v>
      </c>
      <c r="B4186" t="s">
        <v>19</v>
      </c>
      <c r="C4186" t="s">
        <v>23490</v>
      </c>
      <c r="D4186" t="str">
        <f>HYPERLINK("https://rhld.insurance.arkansas.gov/NPILookup?Npi=1477034981","1477034981")</f>
        <v>1477034981</v>
      </c>
      <c r="E4186" t="s">
        <v>19747</v>
      </c>
    </row>
    <row r="4187" spans="1:5" x14ac:dyDescent="0.25">
      <c r="A4187" t="s">
        <v>1</v>
      </c>
      <c r="B4187" t="s">
        <v>19</v>
      </c>
      <c r="C4187" t="s">
        <v>23490</v>
      </c>
      <c r="D4187" t="str">
        <f>HYPERLINK("https://rhld.insurance.arkansas.gov/NPILookup?Npi=1477039105","1477039105")</f>
        <v>1477039105</v>
      </c>
      <c r="E4187" t="s">
        <v>13553</v>
      </c>
    </row>
    <row r="4188" spans="1:5" x14ac:dyDescent="0.25">
      <c r="A4188" t="s">
        <v>1</v>
      </c>
      <c r="B4188" t="s">
        <v>19</v>
      </c>
      <c r="C4188" t="s">
        <v>23490</v>
      </c>
      <c r="D4188" t="str">
        <f>HYPERLINK("https://rhld.insurance.arkansas.gov/NPILookup?Npi=1477050110","1477050110")</f>
        <v>1477050110</v>
      </c>
      <c r="E4188" t="s">
        <v>19748</v>
      </c>
    </row>
    <row r="4189" spans="1:5" x14ac:dyDescent="0.25">
      <c r="A4189" t="s">
        <v>1</v>
      </c>
      <c r="B4189" t="s">
        <v>19</v>
      </c>
      <c r="C4189" t="s">
        <v>23490</v>
      </c>
      <c r="D4189" t="str">
        <f>HYPERLINK("https://rhld.insurance.arkansas.gov/NPILookup?Npi=1477059459","1477059459")</f>
        <v>1477059459</v>
      </c>
      <c r="E4189" t="s">
        <v>9193</v>
      </c>
    </row>
    <row r="4190" spans="1:5" x14ac:dyDescent="0.25">
      <c r="A4190" t="s">
        <v>1</v>
      </c>
      <c r="B4190" t="s">
        <v>19</v>
      </c>
      <c r="C4190" t="s">
        <v>23490</v>
      </c>
      <c r="D4190" t="str">
        <f>HYPERLINK("https://rhld.insurance.arkansas.gov/NPILookup?Npi=1477063873","1477063873")</f>
        <v>1477063873</v>
      </c>
      <c r="E4190" t="s">
        <v>12849</v>
      </c>
    </row>
    <row r="4191" spans="1:5" x14ac:dyDescent="0.25">
      <c r="A4191" t="s">
        <v>1</v>
      </c>
      <c r="B4191" t="s">
        <v>19</v>
      </c>
      <c r="C4191" t="s">
        <v>23490</v>
      </c>
      <c r="D4191" t="str">
        <f>HYPERLINK("https://rhld.insurance.arkansas.gov/NPILookup?Npi=1477071504","1477071504")</f>
        <v>1477071504</v>
      </c>
      <c r="E4191" t="s">
        <v>18788</v>
      </c>
    </row>
    <row r="4192" spans="1:5" x14ac:dyDescent="0.25">
      <c r="A4192" t="s">
        <v>1</v>
      </c>
      <c r="B4192" t="s">
        <v>19</v>
      </c>
      <c r="C4192" t="s">
        <v>23490</v>
      </c>
      <c r="D4192" t="str">
        <f>HYPERLINK("https://rhld.insurance.arkansas.gov/NPILookup?Npi=1477078962","1477078962")</f>
        <v>1477078962</v>
      </c>
      <c r="E4192" t="s">
        <v>10961</v>
      </c>
    </row>
    <row r="4193" spans="1:5" x14ac:dyDescent="0.25">
      <c r="A4193" t="s">
        <v>1</v>
      </c>
      <c r="B4193" t="s">
        <v>19</v>
      </c>
      <c r="C4193" t="s">
        <v>23490</v>
      </c>
      <c r="D4193" t="str">
        <f>HYPERLINK("https://rhld.insurance.arkansas.gov/NPILookup?Npi=1477079085","1477079085")</f>
        <v>1477079085</v>
      </c>
      <c r="E4193" t="s">
        <v>13554</v>
      </c>
    </row>
    <row r="4194" spans="1:5" x14ac:dyDescent="0.25">
      <c r="A4194" t="s">
        <v>1</v>
      </c>
      <c r="B4194" t="s">
        <v>19</v>
      </c>
      <c r="C4194" t="s">
        <v>23490</v>
      </c>
      <c r="D4194" t="str">
        <f>HYPERLINK("https://rhld.insurance.arkansas.gov/NPILookup?Npi=1477090637","1477090637")</f>
        <v>1477090637</v>
      </c>
      <c r="E4194" t="s">
        <v>10962</v>
      </c>
    </row>
    <row r="4195" spans="1:5" x14ac:dyDescent="0.25">
      <c r="A4195" t="s">
        <v>1</v>
      </c>
      <c r="B4195" t="s">
        <v>19</v>
      </c>
      <c r="C4195" t="s">
        <v>23490</v>
      </c>
      <c r="D4195" t="str">
        <f>HYPERLINK("https://rhld.insurance.arkansas.gov/NPILookup?Npi=1477092906","1477092906")</f>
        <v>1477092906</v>
      </c>
      <c r="E4195" t="s">
        <v>15170</v>
      </c>
    </row>
    <row r="4196" spans="1:5" x14ac:dyDescent="0.25">
      <c r="A4196" t="s">
        <v>1</v>
      </c>
      <c r="B4196" t="s">
        <v>19</v>
      </c>
      <c r="C4196" t="s">
        <v>23490</v>
      </c>
      <c r="D4196" t="str">
        <f>HYPERLINK("https://rhld.insurance.arkansas.gov/NPILookup?Npi=1477102119","1477102119")</f>
        <v>1477102119</v>
      </c>
      <c r="E4196" t="s">
        <v>22941</v>
      </c>
    </row>
    <row r="4197" spans="1:5" x14ac:dyDescent="0.25">
      <c r="A4197" t="s">
        <v>1</v>
      </c>
      <c r="B4197" t="s">
        <v>19</v>
      </c>
      <c r="C4197" t="s">
        <v>23490</v>
      </c>
      <c r="D4197" t="str">
        <f>HYPERLINK("https://rhld.insurance.arkansas.gov/NPILookup?Npi=1477119543","1477119543")</f>
        <v>1477119543</v>
      </c>
      <c r="E4197" t="s">
        <v>20946</v>
      </c>
    </row>
    <row r="4198" spans="1:5" x14ac:dyDescent="0.25">
      <c r="A4198" t="s">
        <v>1</v>
      </c>
      <c r="B4198" t="s">
        <v>19</v>
      </c>
      <c r="C4198" t="s">
        <v>23490</v>
      </c>
      <c r="D4198" t="str">
        <f>HYPERLINK("https://rhld.insurance.arkansas.gov/NPILookup?Npi=1477151157","1477151157")</f>
        <v>1477151157</v>
      </c>
      <c r="E4198" t="s">
        <v>17999</v>
      </c>
    </row>
    <row r="4199" spans="1:5" x14ac:dyDescent="0.25">
      <c r="A4199" t="s">
        <v>1</v>
      </c>
      <c r="B4199" t="s">
        <v>19</v>
      </c>
      <c r="C4199" t="s">
        <v>23490</v>
      </c>
      <c r="D4199" t="str">
        <f>HYPERLINK("https://rhld.insurance.arkansas.gov/NPILookup?Npi=1477154771","1477154771")</f>
        <v>1477154771</v>
      </c>
      <c r="E4199" t="s">
        <v>18000</v>
      </c>
    </row>
    <row r="4200" spans="1:5" x14ac:dyDescent="0.25">
      <c r="A4200" t="s">
        <v>1</v>
      </c>
      <c r="B4200" t="s">
        <v>19</v>
      </c>
      <c r="C4200" t="s">
        <v>23490</v>
      </c>
      <c r="D4200" t="str">
        <f>HYPERLINK("https://rhld.insurance.arkansas.gov/NPILookup?Npi=1477156719","1477156719")</f>
        <v>1477156719</v>
      </c>
      <c r="E4200" t="s">
        <v>18001</v>
      </c>
    </row>
    <row r="4201" spans="1:5" x14ac:dyDescent="0.25">
      <c r="A4201" t="s">
        <v>1</v>
      </c>
      <c r="B4201" t="s">
        <v>19</v>
      </c>
      <c r="C4201" t="s">
        <v>23490</v>
      </c>
      <c r="D4201" t="str">
        <f>HYPERLINK("https://rhld.insurance.arkansas.gov/NPILookup?Npi=1477167468","1477167468")</f>
        <v>1477167468</v>
      </c>
      <c r="E4201" t="s">
        <v>18002</v>
      </c>
    </row>
    <row r="4202" spans="1:5" x14ac:dyDescent="0.25">
      <c r="A4202" t="s">
        <v>1</v>
      </c>
      <c r="B4202" t="s">
        <v>19</v>
      </c>
      <c r="C4202" t="s">
        <v>23490</v>
      </c>
      <c r="D4202" t="str">
        <f>HYPERLINK("https://rhld.insurance.arkansas.gov/NPILookup?Npi=1477170082","1477170082")</f>
        <v>1477170082</v>
      </c>
      <c r="E4202" t="s">
        <v>19749</v>
      </c>
    </row>
    <row r="4203" spans="1:5" x14ac:dyDescent="0.25">
      <c r="A4203" t="s">
        <v>1</v>
      </c>
      <c r="B4203" t="s">
        <v>19</v>
      </c>
      <c r="C4203" t="s">
        <v>23490</v>
      </c>
      <c r="D4203" t="str">
        <f>HYPERLINK("https://rhld.insurance.arkansas.gov/NPILookup?Npi=1477183176","1477183176")</f>
        <v>1477183176</v>
      </c>
      <c r="E4203" t="s">
        <v>18003</v>
      </c>
    </row>
    <row r="4204" spans="1:5" x14ac:dyDescent="0.25">
      <c r="A4204" t="s">
        <v>1</v>
      </c>
      <c r="B4204" t="s">
        <v>19</v>
      </c>
      <c r="C4204" t="s">
        <v>23490</v>
      </c>
      <c r="D4204" t="str">
        <f>HYPERLINK("https://rhld.insurance.arkansas.gov/NPILookup?Npi=1477189207","1477189207")</f>
        <v>1477189207</v>
      </c>
      <c r="E4204" t="s">
        <v>16963</v>
      </c>
    </row>
    <row r="4205" spans="1:5" x14ac:dyDescent="0.25">
      <c r="A4205" t="s">
        <v>1</v>
      </c>
      <c r="B4205" t="s">
        <v>19</v>
      </c>
      <c r="C4205" t="s">
        <v>23490</v>
      </c>
      <c r="D4205" t="str">
        <f>HYPERLINK("https://rhld.insurance.arkansas.gov/NPILookup?Npi=1477207678","1477207678")</f>
        <v>1477207678</v>
      </c>
      <c r="E4205" t="s">
        <v>19750</v>
      </c>
    </row>
    <row r="4206" spans="1:5" x14ac:dyDescent="0.25">
      <c r="A4206" t="s">
        <v>1</v>
      </c>
      <c r="B4206" t="s">
        <v>19</v>
      </c>
      <c r="C4206" t="s">
        <v>23490</v>
      </c>
      <c r="D4206" t="str">
        <f>HYPERLINK("https://rhld.insurance.arkansas.gov/NPILookup?Npi=1477209401","1477209401")</f>
        <v>1477209401</v>
      </c>
      <c r="E4206" t="s">
        <v>20947</v>
      </c>
    </row>
    <row r="4207" spans="1:5" x14ac:dyDescent="0.25">
      <c r="A4207" t="s">
        <v>1</v>
      </c>
      <c r="B4207" t="s">
        <v>19</v>
      </c>
      <c r="C4207" t="s">
        <v>23490</v>
      </c>
      <c r="D4207" t="str">
        <f>HYPERLINK("https://rhld.insurance.arkansas.gov/NPILookup?Npi=1477217438","1477217438")</f>
        <v>1477217438</v>
      </c>
      <c r="E4207" t="s">
        <v>19751</v>
      </c>
    </row>
    <row r="4208" spans="1:5" x14ac:dyDescent="0.25">
      <c r="A4208" t="s">
        <v>1</v>
      </c>
      <c r="B4208" t="s">
        <v>19</v>
      </c>
      <c r="C4208" t="s">
        <v>23490</v>
      </c>
      <c r="D4208" t="str">
        <f>HYPERLINK("https://rhld.insurance.arkansas.gov/NPILookup?Npi=1477501518","1477501518")</f>
        <v>1477501518</v>
      </c>
      <c r="E4208" t="s">
        <v>1676</v>
      </c>
    </row>
    <row r="4209" spans="1:5" x14ac:dyDescent="0.25">
      <c r="A4209" t="s">
        <v>1</v>
      </c>
      <c r="B4209" t="s">
        <v>19</v>
      </c>
      <c r="C4209" t="s">
        <v>23490</v>
      </c>
      <c r="D4209" t="str">
        <f>HYPERLINK("https://rhld.insurance.arkansas.gov/NPILookup?Npi=1477502268","1477502268")</f>
        <v>1477502268</v>
      </c>
      <c r="E4209" t="s">
        <v>15171</v>
      </c>
    </row>
    <row r="4210" spans="1:5" x14ac:dyDescent="0.25">
      <c r="A4210" t="s">
        <v>1</v>
      </c>
      <c r="B4210" t="s">
        <v>19</v>
      </c>
      <c r="C4210" t="s">
        <v>23490</v>
      </c>
      <c r="D4210" t="str">
        <f>HYPERLINK("https://rhld.insurance.arkansas.gov/NPILookup?Npi=1477507333","1477507333")</f>
        <v>1477507333</v>
      </c>
      <c r="E4210" t="s">
        <v>19752</v>
      </c>
    </row>
    <row r="4211" spans="1:5" x14ac:dyDescent="0.25">
      <c r="A4211" t="s">
        <v>1</v>
      </c>
      <c r="B4211" t="s">
        <v>19</v>
      </c>
      <c r="C4211" t="s">
        <v>23490</v>
      </c>
      <c r="D4211" t="str">
        <f>HYPERLINK("https://rhld.insurance.arkansas.gov/NPILookup?Npi=1477509008","1477509008")</f>
        <v>1477509008</v>
      </c>
      <c r="E4211" t="s">
        <v>1677</v>
      </c>
    </row>
    <row r="4212" spans="1:5" x14ac:dyDescent="0.25">
      <c r="A4212" t="s">
        <v>1</v>
      </c>
      <c r="B4212" t="s">
        <v>19</v>
      </c>
      <c r="C4212" t="s">
        <v>23490</v>
      </c>
      <c r="D4212" t="str">
        <f>HYPERLINK("https://rhld.insurance.arkansas.gov/NPILookup?Npi=1477511434","1477511434")</f>
        <v>1477511434</v>
      </c>
      <c r="E4212" t="s">
        <v>1678</v>
      </c>
    </row>
    <row r="4213" spans="1:5" x14ac:dyDescent="0.25">
      <c r="A4213" t="s">
        <v>1</v>
      </c>
      <c r="B4213" t="s">
        <v>19</v>
      </c>
      <c r="C4213" t="s">
        <v>23490</v>
      </c>
      <c r="D4213" t="str">
        <f>HYPERLINK("https://rhld.insurance.arkansas.gov/NPILookup?Npi=1477517217","1477517217")</f>
        <v>1477517217</v>
      </c>
      <c r="E4213" t="s">
        <v>1679</v>
      </c>
    </row>
    <row r="4214" spans="1:5" x14ac:dyDescent="0.25">
      <c r="A4214" t="s">
        <v>1</v>
      </c>
      <c r="B4214" t="s">
        <v>19</v>
      </c>
      <c r="C4214" t="s">
        <v>23490</v>
      </c>
      <c r="D4214" t="str">
        <f>HYPERLINK("https://rhld.insurance.arkansas.gov/NPILookup?Npi=1477521037","1477521037")</f>
        <v>1477521037</v>
      </c>
      <c r="E4214" t="s">
        <v>10963</v>
      </c>
    </row>
    <row r="4215" spans="1:5" x14ac:dyDescent="0.25">
      <c r="A4215" t="s">
        <v>1</v>
      </c>
      <c r="B4215" t="s">
        <v>19</v>
      </c>
      <c r="C4215" t="s">
        <v>23490</v>
      </c>
      <c r="D4215" t="str">
        <f>HYPERLINK("https://rhld.insurance.arkansas.gov/NPILookup?Npi=1477523215","1477523215")</f>
        <v>1477523215</v>
      </c>
      <c r="E4215" t="s">
        <v>1680</v>
      </c>
    </row>
    <row r="4216" spans="1:5" x14ac:dyDescent="0.25">
      <c r="A4216" t="s">
        <v>1</v>
      </c>
      <c r="B4216" t="s">
        <v>19</v>
      </c>
      <c r="C4216" t="s">
        <v>23490</v>
      </c>
      <c r="D4216" t="str">
        <f>HYPERLINK("https://rhld.insurance.arkansas.gov/NPILookup?Npi=1477526275","1477526275")</f>
        <v>1477526275</v>
      </c>
      <c r="E4216" t="s">
        <v>1681</v>
      </c>
    </row>
    <row r="4217" spans="1:5" x14ac:dyDescent="0.25">
      <c r="A4217" t="s">
        <v>1</v>
      </c>
      <c r="B4217" t="s">
        <v>19</v>
      </c>
      <c r="C4217" t="s">
        <v>23490</v>
      </c>
      <c r="D4217" t="str">
        <f>HYPERLINK("https://rhld.insurance.arkansas.gov/NPILookup?Npi=1477540532","1477540532")</f>
        <v>1477540532</v>
      </c>
      <c r="E4217" t="s">
        <v>1682</v>
      </c>
    </row>
    <row r="4218" spans="1:5" x14ac:dyDescent="0.25">
      <c r="A4218" t="s">
        <v>1</v>
      </c>
      <c r="B4218" t="s">
        <v>19</v>
      </c>
      <c r="C4218" t="s">
        <v>23490</v>
      </c>
      <c r="D4218" t="str">
        <f>HYPERLINK("https://rhld.insurance.arkansas.gov/NPILookup?Npi=1477550093","1477550093")</f>
        <v>1477550093</v>
      </c>
      <c r="E4218" t="s">
        <v>15172</v>
      </c>
    </row>
    <row r="4219" spans="1:5" x14ac:dyDescent="0.25">
      <c r="A4219" t="s">
        <v>1</v>
      </c>
      <c r="B4219" t="s">
        <v>19</v>
      </c>
      <c r="C4219" t="s">
        <v>23490</v>
      </c>
      <c r="D4219" t="str">
        <f>HYPERLINK("https://rhld.insurance.arkansas.gov/NPILookup?Npi=1477550283","1477550283")</f>
        <v>1477550283</v>
      </c>
      <c r="E4219" t="s">
        <v>15173</v>
      </c>
    </row>
    <row r="4220" spans="1:5" x14ac:dyDescent="0.25">
      <c r="A4220" t="s">
        <v>1</v>
      </c>
      <c r="B4220" t="s">
        <v>19</v>
      </c>
      <c r="C4220" t="s">
        <v>23490</v>
      </c>
      <c r="D4220" t="str">
        <f>HYPERLINK("https://rhld.insurance.arkansas.gov/NPILookup?Npi=1477558054","1477558054")</f>
        <v>1477558054</v>
      </c>
      <c r="E4220" t="s">
        <v>1683</v>
      </c>
    </row>
    <row r="4221" spans="1:5" x14ac:dyDescent="0.25">
      <c r="A4221" t="s">
        <v>1</v>
      </c>
      <c r="B4221" t="s">
        <v>19</v>
      </c>
      <c r="C4221" t="s">
        <v>23490</v>
      </c>
      <c r="D4221" t="str">
        <f>HYPERLINK("https://rhld.insurance.arkansas.gov/NPILookup?Npi=1477560712","1477560712")</f>
        <v>1477560712</v>
      </c>
      <c r="E4221" t="s">
        <v>15174</v>
      </c>
    </row>
    <row r="4222" spans="1:5" x14ac:dyDescent="0.25">
      <c r="A4222" t="s">
        <v>1</v>
      </c>
      <c r="B4222" t="s">
        <v>19</v>
      </c>
      <c r="C4222" t="s">
        <v>23490</v>
      </c>
      <c r="D4222" t="str">
        <f>HYPERLINK("https://rhld.insurance.arkansas.gov/NPILookup?Npi=1477585859","1477585859")</f>
        <v>1477585859</v>
      </c>
      <c r="E4222" t="s">
        <v>4615</v>
      </c>
    </row>
    <row r="4223" spans="1:5" x14ac:dyDescent="0.25">
      <c r="A4223" t="s">
        <v>1</v>
      </c>
      <c r="B4223" t="s">
        <v>19</v>
      </c>
      <c r="C4223" t="s">
        <v>23490</v>
      </c>
      <c r="D4223" t="str">
        <f>HYPERLINK("https://rhld.insurance.arkansas.gov/NPILookup?Npi=1477586345","1477586345")</f>
        <v>1477586345</v>
      </c>
      <c r="E4223" t="s">
        <v>1684</v>
      </c>
    </row>
    <row r="4224" spans="1:5" x14ac:dyDescent="0.25">
      <c r="A4224" t="s">
        <v>1</v>
      </c>
      <c r="B4224" t="s">
        <v>19</v>
      </c>
      <c r="C4224" t="s">
        <v>23490</v>
      </c>
      <c r="D4224" t="str">
        <f>HYPERLINK("https://rhld.insurance.arkansas.gov/NPILookup?Npi=1477587525","1477587525")</f>
        <v>1477587525</v>
      </c>
      <c r="E4224" t="s">
        <v>15175</v>
      </c>
    </row>
    <row r="4225" spans="1:5" x14ac:dyDescent="0.25">
      <c r="A4225" t="s">
        <v>1</v>
      </c>
      <c r="B4225" t="s">
        <v>19</v>
      </c>
      <c r="C4225" t="s">
        <v>23490</v>
      </c>
      <c r="D4225" t="str">
        <f>HYPERLINK("https://rhld.insurance.arkansas.gov/NPILookup?Npi=1477592632","1477592632")</f>
        <v>1477592632</v>
      </c>
      <c r="E4225" t="s">
        <v>15176</v>
      </c>
    </row>
    <row r="4226" spans="1:5" x14ac:dyDescent="0.25">
      <c r="A4226" t="s">
        <v>1</v>
      </c>
      <c r="B4226" t="s">
        <v>19</v>
      </c>
      <c r="C4226" t="s">
        <v>23490</v>
      </c>
      <c r="D4226" t="str">
        <f>HYPERLINK("https://rhld.insurance.arkansas.gov/NPILookup?Npi=1477606028","1477606028")</f>
        <v>1477606028</v>
      </c>
      <c r="E4226" t="s">
        <v>1685</v>
      </c>
    </row>
    <row r="4227" spans="1:5" x14ac:dyDescent="0.25">
      <c r="A4227" t="s">
        <v>1</v>
      </c>
      <c r="B4227" t="s">
        <v>19</v>
      </c>
      <c r="C4227" t="s">
        <v>23490</v>
      </c>
      <c r="D4227" t="str">
        <f>HYPERLINK("https://rhld.insurance.arkansas.gov/NPILookup?Npi=1477632099","1477632099")</f>
        <v>1477632099</v>
      </c>
      <c r="E4227" t="s">
        <v>1686</v>
      </c>
    </row>
    <row r="4228" spans="1:5" x14ac:dyDescent="0.25">
      <c r="A4228" t="s">
        <v>1</v>
      </c>
      <c r="B4228" t="s">
        <v>19</v>
      </c>
      <c r="C4228" t="s">
        <v>23490</v>
      </c>
      <c r="D4228" t="str">
        <f>HYPERLINK("https://rhld.insurance.arkansas.gov/NPILookup?Npi=1477642817","1477642817")</f>
        <v>1477642817</v>
      </c>
      <c r="E4228" t="s">
        <v>1687</v>
      </c>
    </row>
    <row r="4229" spans="1:5" x14ac:dyDescent="0.25">
      <c r="A4229" t="s">
        <v>1</v>
      </c>
      <c r="B4229" t="s">
        <v>19</v>
      </c>
      <c r="C4229" t="s">
        <v>23490</v>
      </c>
      <c r="D4229" t="str">
        <f>HYPERLINK("https://rhld.insurance.arkansas.gov/NPILookup?Npi=1477644979","1477644979")</f>
        <v>1477644979</v>
      </c>
      <c r="E4229" t="s">
        <v>1688</v>
      </c>
    </row>
    <row r="4230" spans="1:5" x14ac:dyDescent="0.25">
      <c r="A4230" t="s">
        <v>1</v>
      </c>
      <c r="B4230" t="s">
        <v>19</v>
      </c>
      <c r="C4230" t="s">
        <v>23490</v>
      </c>
      <c r="D4230" t="str">
        <f>HYPERLINK("https://rhld.insurance.arkansas.gov/NPILookup?Npi=1477659464","1477659464")</f>
        <v>1477659464</v>
      </c>
      <c r="E4230" t="s">
        <v>19753</v>
      </c>
    </row>
    <row r="4231" spans="1:5" x14ac:dyDescent="0.25">
      <c r="A4231" t="s">
        <v>1</v>
      </c>
      <c r="B4231" t="s">
        <v>19</v>
      </c>
      <c r="C4231" t="s">
        <v>23490</v>
      </c>
      <c r="D4231" t="str">
        <f>HYPERLINK("https://rhld.insurance.arkansas.gov/NPILookup?Npi=1477660637","1477660637")</f>
        <v>1477660637</v>
      </c>
      <c r="E4231" t="s">
        <v>1689</v>
      </c>
    </row>
    <row r="4232" spans="1:5" x14ac:dyDescent="0.25">
      <c r="A4232" t="s">
        <v>1</v>
      </c>
      <c r="B4232" t="s">
        <v>19</v>
      </c>
      <c r="C4232" t="s">
        <v>23490</v>
      </c>
      <c r="D4232" t="str">
        <f>HYPERLINK("https://rhld.insurance.arkansas.gov/NPILookup?Npi=1477665446","1477665446")</f>
        <v>1477665446</v>
      </c>
      <c r="E4232" t="s">
        <v>1690</v>
      </c>
    </row>
    <row r="4233" spans="1:5" x14ac:dyDescent="0.25">
      <c r="A4233" t="s">
        <v>1</v>
      </c>
      <c r="B4233" t="s">
        <v>19</v>
      </c>
      <c r="C4233" t="s">
        <v>23490</v>
      </c>
      <c r="D4233" t="str">
        <f>HYPERLINK("https://rhld.insurance.arkansas.gov/NPILookup?Npi=1477665917","1477665917")</f>
        <v>1477665917</v>
      </c>
      <c r="E4233" t="s">
        <v>8690</v>
      </c>
    </row>
    <row r="4234" spans="1:5" x14ac:dyDescent="0.25">
      <c r="A4234" t="s">
        <v>1</v>
      </c>
      <c r="B4234" t="s">
        <v>19</v>
      </c>
      <c r="C4234" t="s">
        <v>23490</v>
      </c>
      <c r="D4234" t="str">
        <f>HYPERLINK("https://rhld.insurance.arkansas.gov/NPILookup?Npi=1477683233","1477683233")</f>
        <v>1477683233</v>
      </c>
      <c r="E4234" t="s">
        <v>1691</v>
      </c>
    </row>
    <row r="4235" spans="1:5" x14ac:dyDescent="0.25">
      <c r="A4235" t="s">
        <v>1</v>
      </c>
      <c r="B4235" t="s">
        <v>19</v>
      </c>
      <c r="C4235" t="s">
        <v>23490</v>
      </c>
      <c r="D4235" t="str">
        <f>HYPERLINK("https://rhld.insurance.arkansas.gov/NPILookup?Npi=1477683886","1477683886")</f>
        <v>1477683886</v>
      </c>
      <c r="E4235" t="s">
        <v>8691</v>
      </c>
    </row>
    <row r="4236" spans="1:5" x14ac:dyDescent="0.25">
      <c r="A4236" t="s">
        <v>1</v>
      </c>
      <c r="B4236" t="s">
        <v>19</v>
      </c>
      <c r="C4236" t="s">
        <v>23490</v>
      </c>
      <c r="D4236" t="str">
        <f>HYPERLINK("https://rhld.insurance.arkansas.gov/NPILookup?Npi=1477692630","1477692630")</f>
        <v>1477692630</v>
      </c>
      <c r="E4236" t="s">
        <v>8692</v>
      </c>
    </row>
    <row r="4237" spans="1:5" x14ac:dyDescent="0.25">
      <c r="A4237" t="s">
        <v>1</v>
      </c>
      <c r="B4237" t="s">
        <v>19</v>
      </c>
      <c r="C4237" t="s">
        <v>23490</v>
      </c>
      <c r="D4237" t="str">
        <f>HYPERLINK("https://rhld.insurance.arkansas.gov/NPILookup?Npi=1477696284","1477696284")</f>
        <v>1477696284</v>
      </c>
      <c r="E4237" t="s">
        <v>1692</v>
      </c>
    </row>
    <row r="4238" spans="1:5" x14ac:dyDescent="0.25">
      <c r="A4238" t="s">
        <v>1</v>
      </c>
      <c r="B4238" t="s">
        <v>19</v>
      </c>
      <c r="C4238" t="s">
        <v>23490</v>
      </c>
      <c r="D4238" t="str">
        <f>HYPERLINK("https://rhld.insurance.arkansas.gov/NPILookup?Npi=1477696821","1477696821")</f>
        <v>1477696821</v>
      </c>
      <c r="E4238" t="s">
        <v>15177</v>
      </c>
    </row>
    <row r="4239" spans="1:5" x14ac:dyDescent="0.25">
      <c r="A4239" t="s">
        <v>1</v>
      </c>
      <c r="B4239" t="s">
        <v>19</v>
      </c>
      <c r="C4239" t="s">
        <v>23490</v>
      </c>
      <c r="D4239" t="str">
        <f>HYPERLINK("https://rhld.insurance.arkansas.gov/NPILookup?Npi=1477703973","1477703973")</f>
        <v>1477703973</v>
      </c>
      <c r="E4239" t="s">
        <v>1693</v>
      </c>
    </row>
    <row r="4240" spans="1:5" x14ac:dyDescent="0.25">
      <c r="A4240" t="s">
        <v>1</v>
      </c>
      <c r="B4240" t="s">
        <v>19</v>
      </c>
      <c r="C4240" t="s">
        <v>23490</v>
      </c>
      <c r="D4240" t="str">
        <f>HYPERLINK("https://rhld.insurance.arkansas.gov/NPILookup?Npi=1477706836","1477706836")</f>
        <v>1477706836</v>
      </c>
      <c r="E4240" t="s">
        <v>10964</v>
      </c>
    </row>
    <row r="4241" spans="1:5" x14ac:dyDescent="0.25">
      <c r="A4241" t="s">
        <v>1</v>
      </c>
      <c r="B4241" t="s">
        <v>19</v>
      </c>
      <c r="C4241" t="s">
        <v>23490</v>
      </c>
      <c r="D4241" t="str">
        <f>HYPERLINK("https://rhld.insurance.arkansas.gov/NPILookup?Npi=1477738342","1477738342")</f>
        <v>1477738342</v>
      </c>
      <c r="E4241" t="s">
        <v>1694</v>
      </c>
    </row>
    <row r="4242" spans="1:5" x14ac:dyDescent="0.25">
      <c r="A4242" t="s">
        <v>1</v>
      </c>
      <c r="B4242" t="s">
        <v>19</v>
      </c>
      <c r="C4242" t="s">
        <v>23490</v>
      </c>
      <c r="D4242" t="str">
        <f>HYPERLINK("https://rhld.insurance.arkansas.gov/NPILookup?Npi=1477744498","1477744498")</f>
        <v>1477744498</v>
      </c>
      <c r="E4242" t="s">
        <v>1695</v>
      </c>
    </row>
    <row r="4243" spans="1:5" x14ac:dyDescent="0.25">
      <c r="A4243" t="s">
        <v>1</v>
      </c>
      <c r="B4243" t="s">
        <v>19</v>
      </c>
      <c r="C4243" t="s">
        <v>23490</v>
      </c>
      <c r="D4243" t="str">
        <f>HYPERLINK("https://rhld.insurance.arkansas.gov/NPILookup?Npi=1477745644","1477745644")</f>
        <v>1477745644</v>
      </c>
      <c r="E4243" t="s">
        <v>1696</v>
      </c>
    </row>
    <row r="4244" spans="1:5" x14ac:dyDescent="0.25">
      <c r="A4244" t="s">
        <v>1</v>
      </c>
      <c r="B4244" t="s">
        <v>19</v>
      </c>
      <c r="C4244" t="s">
        <v>23490</v>
      </c>
      <c r="D4244" t="str">
        <f>HYPERLINK("https://rhld.insurance.arkansas.gov/NPILookup?Npi=1477782621","1477782621")</f>
        <v>1477782621</v>
      </c>
      <c r="E4244" t="s">
        <v>1697</v>
      </c>
    </row>
    <row r="4245" spans="1:5" x14ac:dyDescent="0.25">
      <c r="A4245" t="s">
        <v>1</v>
      </c>
      <c r="B4245" t="s">
        <v>19</v>
      </c>
      <c r="C4245" t="s">
        <v>23490</v>
      </c>
      <c r="D4245" t="str">
        <f>HYPERLINK("https://rhld.insurance.arkansas.gov/NPILookup?Npi=1477792869","1477792869")</f>
        <v>1477792869</v>
      </c>
      <c r="E4245" t="s">
        <v>1698</v>
      </c>
    </row>
    <row r="4246" spans="1:5" x14ac:dyDescent="0.25">
      <c r="A4246" t="s">
        <v>1</v>
      </c>
      <c r="B4246" t="s">
        <v>19</v>
      </c>
      <c r="C4246" t="s">
        <v>23490</v>
      </c>
      <c r="D4246" t="str">
        <f>HYPERLINK("https://rhld.insurance.arkansas.gov/NPILookup?Npi=1477801561","1477801561")</f>
        <v>1477801561</v>
      </c>
      <c r="E4246" t="s">
        <v>19754</v>
      </c>
    </row>
    <row r="4247" spans="1:5" x14ac:dyDescent="0.25">
      <c r="A4247" t="s">
        <v>1</v>
      </c>
      <c r="B4247" t="s">
        <v>19</v>
      </c>
      <c r="C4247" t="s">
        <v>23490</v>
      </c>
      <c r="D4247" t="str">
        <f>HYPERLINK("https://rhld.insurance.arkansas.gov/NPILookup?Npi=1477806909","1477806909")</f>
        <v>1477806909</v>
      </c>
      <c r="E4247" t="s">
        <v>1699</v>
      </c>
    </row>
    <row r="4248" spans="1:5" x14ac:dyDescent="0.25">
      <c r="A4248" t="s">
        <v>1</v>
      </c>
      <c r="B4248" t="s">
        <v>19</v>
      </c>
      <c r="C4248" t="s">
        <v>23490</v>
      </c>
      <c r="D4248" t="str">
        <f>HYPERLINK("https://rhld.insurance.arkansas.gov/NPILookup?Npi=1477817914","1477817914")</f>
        <v>1477817914</v>
      </c>
      <c r="E4248" t="s">
        <v>10965</v>
      </c>
    </row>
    <row r="4249" spans="1:5" x14ac:dyDescent="0.25">
      <c r="A4249" t="s">
        <v>1</v>
      </c>
      <c r="B4249" t="s">
        <v>19</v>
      </c>
      <c r="C4249" t="s">
        <v>23490</v>
      </c>
      <c r="D4249" t="str">
        <f>HYPERLINK("https://rhld.insurance.arkansas.gov/NPILookup?Npi=1477850964","1477850964")</f>
        <v>1477850964</v>
      </c>
      <c r="E4249" t="s">
        <v>15178</v>
      </c>
    </row>
    <row r="4250" spans="1:5" x14ac:dyDescent="0.25">
      <c r="A4250" t="s">
        <v>1</v>
      </c>
      <c r="B4250" t="s">
        <v>19</v>
      </c>
      <c r="C4250" t="s">
        <v>23490</v>
      </c>
      <c r="D4250" t="str">
        <f>HYPERLINK("https://rhld.insurance.arkansas.gov/NPILookup?Npi=1477888105","1477888105")</f>
        <v>1477888105</v>
      </c>
      <c r="E4250" t="s">
        <v>16964</v>
      </c>
    </row>
    <row r="4251" spans="1:5" x14ac:dyDescent="0.25">
      <c r="A4251" t="s">
        <v>1</v>
      </c>
      <c r="B4251" t="s">
        <v>19</v>
      </c>
      <c r="C4251" t="s">
        <v>23490</v>
      </c>
      <c r="D4251" t="str">
        <f>HYPERLINK("https://rhld.insurance.arkansas.gov/NPILookup?Npi=1477893873","1477893873")</f>
        <v>1477893873</v>
      </c>
      <c r="E4251" t="s">
        <v>15179</v>
      </c>
    </row>
    <row r="4252" spans="1:5" x14ac:dyDescent="0.25">
      <c r="A4252" t="s">
        <v>1</v>
      </c>
      <c r="B4252" t="s">
        <v>19</v>
      </c>
      <c r="C4252" t="s">
        <v>23490</v>
      </c>
      <c r="D4252" t="str">
        <f>HYPERLINK("https://rhld.insurance.arkansas.gov/NPILookup?Npi=1477898021","1477898021")</f>
        <v>1477898021</v>
      </c>
      <c r="E4252" t="s">
        <v>1700</v>
      </c>
    </row>
    <row r="4253" spans="1:5" x14ac:dyDescent="0.25">
      <c r="A4253" t="s">
        <v>1</v>
      </c>
      <c r="B4253" t="s">
        <v>19</v>
      </c>
      <c r="C4253" t="s">
        <v>23490</v>
      </c>
      <c r="D4253" t="str">
        <f>HYPERLINK("https://rhld.insurance.arkansas.gov/NPILookup?Npi=1477905214","1477905214")</f>
        <v>1477905214</v>
      </c>
      <c r="E4253" t="s">
        <v>10966</v>
      </c>
    </row>
    <row r="4254" spans="1:5" x14ac:dyDescent="0.25">
      <c r="A4254" t="s">
        <v>1</v>
      </c>
      <c r="B4254" t="s">
        <v>19</v>
      </c>
      <c r="C4254" t="s">
        <v>23490</v>
      </c>
      <c r="D4254" t="str">
        <f>HYPERLINK("https://rhld.insurance.arkansas.gov/NPILookup?Npi=1477913853","1477913853")</f>
        <v>1477913853</v>
      </c>
      <c r="E4254" t="s">
        <v>10967</v>
      </c>
    </row>
    <row r="4255" spans="1:5" x14ac:dyDescent="0.25">
      <c r="A4255" t="s">
        <v>1</v>
      </c>
      <c r="B4255" t="s">
        <v>19</v>
      </c>
      <c r="C4255" t="s">
        <v>23490</v>
      </c>
      <c r="D4255" t="str">
        <f>HYPERLINK("https://rhld.insurance.arkansas.gov/NPILookup?Npi=1477913861","1477913861")</f>
        <v>1477913861</v>
      </c>
      <c r="E4255" t="s">
        <v>10968</v>
      </c>
    </row>
    <row r="4256" spans="1:5" x14ac:dyDescent="0.25">
      <c r="A4256" t="s">
        <v>1</v>
      </c>
      <c r="B4256" t="s">
        <v>19</v>
      </c>
      <c r="C4256" t="s">
        <v>23490</v>
      </c>
      <c r="D4256" t="str">
        <f>HYPERLINK("https://rhld.insurance.arkansas.gov/NPILookup?Npi=1477915593","1477915593")</f>
        <v>1477915593</v>
      </c>
      <c r="E4256" t="s">
        <v>10969</v>
      </c>
    </row>
    <row r="4257" spans="1:5" x14ac:dyDescent="0.25">
      <c r="A4257" t="s">
        <v>1</v>
      </c>
      <c r="B4257" t="s">
        <v>19</v>
      </c>
      <c r="C4257" t="s">
        <v>23490</v>
      </c>
      <c r="D4257" t="str">
        <f>HYPERLINK("https://rhld.insurance.arkansas.gov/NPILookup?Npi=1477915973","1477915973")</f>
        <v>1477915973</v>
      </c>
      <c r="E4257" t="s">
        <v>15180</v>
      </c>
    </row>
    <row r="4258" spans="1:5" x14ac:dyDescent="0.25">
      <c r="A4258" t="s">
        <v>1</v>
      </c>
      <c r="B4258" t="s">
        <v>19</v>
      </c>
      <c r="C4258" t="s">
        <v>23490</v>
      </c>
      <c r="D4258" t="str">
        <f>HYPERLINK("https://rhld.insurance.arkansas.gov/NPILookup?Npi=1477918738","1477918738")</f>
        <v>1477918738</v>
      </c>
      <c r="E4258" t="s">
        <v>10970</v>
      </c>
    </row>
    <row r="4259" spans="1:5" x14ac:dyDescent="0.25">
      <c r="A4259" t="s">
        <v>1</v>
      </c>
      <c r="B4259" t="s">
        <v>19</v>
      </c>
      <c r="C4259" t="s">
        <v>23490</v>
      </c>
      <c r="D4259" t="str">
        <f>HYPERLINK("https://rhld.insurance.arkansas.gov/NPILookup?Npi=1477932242","1477932242")</f>
        <v>1477932242</v>
      </c>
      <c r="E4259" t="s">
        <v>13555</v>
      </c>
    </row>
    <row r="4260" spans="1:5" x14ac:dyDescent="0.25">
      <c r="A4260" t="s">
        <v>1</v>
      </c>
      <c r="B4260" t="s">
        <v>19</v>
      </c>
      <c r="C4260" t="s">
        <v>23490</v>
      </c>
      <c r="D4260" t="str">
        <f>HYPERLINK("https://rhld.insurance.arkansas.gov/NPILookup?Npi=1477935385","1477935385")</f>
        <v>1477935385</v>
      </c>
      <c r="E4260" t="s">
        <v>10971</v>
      </c>
    </row>
    <row r="4261" spans="1:5" x14ac:dyDescent="0.25">
      <c r="A4261" t="s">
        <v>1</v>
      </c>
      <c r="B4261" t="s">
        <v>19</v>
      </c>
      <c r="C4261" t="s">
        <v>23490</v>
      </c>
      <c r="D4261" t="str">
        <f>HYPERLINK("https://rhld.insurance.arkansas.gov/NPILookup?Npi=1477938009","1477938009")</f>
        <v>1477938009</v>
      </c>
      <c r="E4261" t="s">
        <v>15181</v>
      </c>
    </row>
    <row r="4262" spans="1:5" x14ac:dyDescent="0.25">
      <c r="A4262" t="s">
        <v>1</v>
      </c>
      <c r="B4262" t="s">
        <v>19</v>
      </c>
      <c r="C4262" t="s">
        <v>23490</v>
      </c>
      <c r="D4262" t="str">
        <f>HYPERLINK("https://rhld.insurance.arkansas.gov/NPILookup?Npi=1477940971","1477940971")</f>
        <v>1477940971</v>
      </c>
      <c r="E4262" t="s">
        <v>12850</v>
      </c>
    </row>
    <row r="4263" spans="1:5" x14ac:dyDescent="0.25">
      <c r="A4263" t="s">
        <v>1</v>
      </c>
      <c r="B4263" t="s">
        <v>19</v>
      </c>
      <c r="C4263" t="s">
        <v>23490</v>
      </c>
      <c r="D4263" t="str">
        <f>HYPERLINK("https://rhld.insurance.arkansas.gov/NPILookup?Npi=1477949238","1477949238")</f>
        <v>1477949238</v>
      </c>
      <c r="E4263" t="s">
        <v>13556</v>
      </c>
    </row>
    <row r="4264" spans="1:5" x14ac:dyDescent="0.25">
      <c r="A4264" t="s">
        <v>1</v>
      </c>
      <c r="B4264" t="s">
        <v>19</v>
      </c>
      <c r="C4264" t="s">
        <v>23490</v>
      </c>
      <c r="D4264" t="str">
        <f>HYPERLINK("https://rhld.insurance.arkansas.gov/NPILookup?Npi=1477955078","1477955078")</f>
        <v>1477955078</v>
      </c>
      <c r="E4264" t="s">
        <v>15182</v>
      </c>
    </row>
    <row r="4265" spans="1:5" x14ac:dyDescent="0.25">
      <c r="A4265" t="s">
        <v>1</v>
      </c>
      <c r="B4265" t="s">
        <v>19</v>
      </c>
      <c r="C4265" t="s">
        <v>23490</v>
      </c>
      <c r="D4265" t="str">
        <f>HYPERLINK("https://rhld.insurance.arkansas.gov/NPILookup?Npi=1477955177","1477955177")</f>
        <v>1477955177</v>
      </c>
      <c r="E4265" t="s">
        <v>15183</v>
      </c>
    </row>
    <row r="4266" spans="1:5" x14ac:dyDescent="0.25">
      <c r="A4266" t="s">
        <v>1</v>
      </c>
      <c r="B4266" t="s">
        <v>19</v>
      </c>
      <c r="C4266" t="s">
        <v>23490</v>
      </c>
      <c r="D4266" t="str">
        <f>HYPERLINK("https://rhld.insurance.arkansas.gov/NPILookup?Npi=1477955524","1477955524")</f>
        <v>1477955524</v>
      </c>
      <c r="E4266" t="s">
        <v>19755</v>
      </c>
    </row>
    <row r="4267" spans="1:5" x14ac:dyDescent="0.25">
      <c r="A4267" t="s">
        <v>1</v>
      </c>
      <c r="B4267" t="s">
        <v>19</v>
      </c>
      <c r="C4267" t="s">
        <v>23490</v>
      </c>
      <c r="D4267" t="str">
        <f>HYPERLINK("https://rhld.insurance.arkansas.gov/NPILookup?Npi=1477958114","1477958114")</f>
        <v>1477958114</v>
      </c>
      <c r="E4267" t="s">
        <v>1701</v>
      </c>
    </row>
    <row r="4268" spans="1:5" x14ac:dyDescent="0.25">
      <c r="A4268" t="s">
        <v>1</v>
      </c>
      <c r="B4268" t="s">
        <v>19</v>
      </c>
      <c r="C4268" t="s">
        <v>23490</v>
      </c>
      <c r="D4268" t="str">
        <f>HYPERLINK("https://rhld.insurance.arkansas.gov/NPILookup?Npi=1477960920","1477960920")</f>
        <v>1477960920</v>
      </c>
      <c r="E4268" t="s">
        <v>19756</v>
      </c>
    </row>
    <row r="4269" spans="1:5" x14ac:dyDescent="0.25">
      <c r="A4269" t="s">
        <v>1</v>
      </c>
      <c r="B4269" t="s">
        <v>19</v>
      </c>
      <c r="C4269" t="s">
        <v>23490</v>
      </c>
      <c r="D4269" t="str">
        <f>HYPERLINK("https://rhld.insurance.arkansas.gov/NPILookup?Npi=1477960995","1477960995")</f>
        <v>1477960995</v>
      </c>
      <c r="E4269" t="s">
        <v>1702</v>
      </c>
    </row>
    <row r="4270" spans="1:5" x14ac:dyDescent="0.25">
      <c r="A4270" t="s">
        <v>1</v>
      </c>
      <c r="B4270" t="s">
        <v>19</v>
      </c>
      <c r="C4270" t="s">
        <v>23490</v>
      </c>
      <c r="D4270" t="str">
        <f>HYPERLINK("https://rhld.insurance.arkansas.gov/NPILookup?Npi=1477978054","1477978054")</f>
        <v>1477978054</v>
      </c>
      <c r="E4270" t="s">
        <v>1703</v>
      </c>
    </row>
    <row r="4271" spans="1:5" x14ac:dyDescent="0.25">
      <c r="A4271" t="s">
        <v>1</v>
      </c>
      <c r="B4271" t="s">
        <v>19</v>
      </c>
      <c r="C4271" t="s">
        <v>23490</v>
      </c>
      <c r="D4271" t="str">
        <f>HYPERLINK("https://rhld.insurance.arkansas.gov/NPILookup?Npi=1477992352","1477992352")</f>
        <v>1477992352</v>
      </c>
      <c r="E4271" t="s">
        <v>8693</v>
      </c>
    </row>
    <row r="4272" spans="1:5" x14ac:dyDescent="0.25">
      <c r="A4272" t="s">
        <v>1</v>
      </c>
      <c r="B4272" t="s">
        <v>19</v>
      </c>
      <c r="C4272" t="s">
        <v>23490</v>
      </c>
      <c r="D4272" t="str">
        <f>HYPERLINK("https://rhld.insurance.arkansas.gov/NPILookup?Npi=1477999282","1477999282")</f>
        <v>1477999282</v>
      </c>
      <c r="E4272" t="s">
        <v>10972</v>
      </c>
    </row>
    <row r="4273" spans="1:5" x14ac:dyDescent="0.25">
      <c r="A4273" t="s">
        <v>1</v>
      </c>
      <c r="B4273" t="s">
        <v>19</v>
      </c>
      <c r="C4273" t="s">
        <v>23490</v>
      </c>
      <c r="D4273" t="str">
        <f>HYPERLINK("https://rhld.insurance.arkansas.gov/NPILookup?Npi=1487000808","1487000808")</f>
        <v>1487000808</v>
      </c>
      <c r="E4273" t="s">
        <v>10973</v>
      </c>
    </row>
    <row r="4274" spans="1:5" x14ac:dyDescent="0.25">
      <c r="A4274" t="s">
        <v>1</v>
      </c>
      <c r="B4274" t="s">
        <v>19</v>
      </c>
      <c r="C4274" t="s">
        <v>23490</v>
      </c>
      <c r="D4274" t="str">
        <f>HYPERLINK("https://rhld.insurance.arkansas.gov/NPILookup?Npi=1487001848","1487001848")</f>
        <v>1487001848</v>
      </c>
      <c r="E4274" t="s">
        <v>12851</v>
      </c>
    </row>
    <row r="4275" spans="1:5" x14ac:dyDescent="0.25">
      <c r="A4275" t="s">
        <v>1</v>
      </c>
      <c r="B4275" t="s">
        <v>19</v>
      </c>
      <c r="C4275" t="s">
        <v>23490</v>
      </c>
      <c r="D4275" t="str">
        <f>HYPERLINK("https://rhld.insurance.arkansas.gov/NPILookup?Npi=1487004461","1487004461")</f>
        <v>1487004461</v>
      </c>
      <c r="E4275" t="s">
        <v>10974</v>
      </c>
    </row>
    <row r="4276" spans="1:5" x14ac:dyDescent="0.25">
      <c r="A4276" t="s">
        <v>1</v>
      </c>
      <c r="B4276" t="s">
        <v>19</v>
      </c>
      <c r="C4276" t="s">
        <v>23490</v>
      </c>
      <c r="D4276" t="str">
        <f>HYPERLINK("https://rhld.insurance.arkansas.gov/NPILookup?Npi=1487008793","1487008793")</f>
        <v>1487008793</v>
      </c>
      <c r="E4276" t="s">
        <v>21553</v>
      </c>
    </row>
    <row r="4277" spans="1:5" x14ac:dyDescent="0.25">
      <c r="A4277" t="s">
        <v>1</v>
      </c>
      <c r="B4277" t="s">
        <v>19</v>
      </c>
      <c r="C4277" t="s">
        <v>23490</v>
      </c>
      <c r="D4277" t="str">
        <f>HYPERLINK("https://rhld.insurance.arkansas.gov/NPILookup?Npi=1487011383","1487011383")</f>
        <v>1487011383</v>
      </c>
      <c r="E4277" t="s">
        <v>16965</v>
      </c>
    </row>
    <row r="4278" spans="1:5" x14ac:dyDescent="0.25">
      <c r="A4278" t="s">
        <v>1</v>
      </c>
      <c r="B4278" t="s">
        <v>19</v>
      </c>
      <c r="C4278" t="s">
        <v>23490</v>
      </c>
      <c r="D4278" t="str">
        <f>HYPERLINK("https://rhld.insurance.arkansas.gov/NPILookup?Npi=1487016564","1487016564")</f>
        <v>1487016564</v>
      </c>
      <c r="E4278" t="s">
        <v>15184</v>
      </c>
    </row>
    <row r="4279" spans="1:5" x14ac:dyDescent="0.25">
      <c r="A4279" t="s">
        <v>1</v>
      </c>
      <c r="B4279" t="s">
        <v>19</v>
      </c>
      <c r="C4279" t="s">
        <v>23490</v>
      </c>
      <c r="D4279" t="str">
        <f>HYPERLINK("https://rhld.insurance.arkansas.gov/NPILookup?Npi=1487020855","1487020855")</f>
        <v>1487020855</v>
      </c>
      <c r="E4279" t="s">
        <v>1704</v>
      </c>
    </row>
    <row r="4280" spans="1:5" x14ac:dyDescent="0.25">
      <c r="A4280" t="s">
        <v>1</v>
      </c>
      <c r="B4280" t="s">
        <v>19</v>
      </c>
      <c r="C4280" t="s">
        <v>23490</v>
      </c>
      <c r="D4280" t="str">
        <f>HYPERLINK("https://rhld.insurance.arkansas.gov/NPILookup?Npi=1487044962","1487044962")</f>
        <v>1487044962</v>
      </c>
      <c r="E4280" t="s">
        <v>19757</v>
      </c>
    </row>
    <row r="4281" spans="1:5" x14ac:dyDescent="0.25">
      <c r="A4281" t="s">
        <v>1</v>
      </c>
      <c r="B4281" t="s">
        <v>19</v>
      </c>
      <c r="C4281" t="s">
        <v>23490</v>
      </c>
      <c r="D4281" t="str">
        <f>HYPERLINK("https://rhld.insurance.arkansas.gov/NPILookup?Npi=1487045795","1487045795")</f>
        <v>1487045795</v>
      </c>
      <c r="E4281" t="s">
        <v>21554</v>
      </c>
    </row>
    <row r="4282" spans="1:5" x14ac:dyDescent="0.25">
      <c r="A4282" t="s">
        <v>1</v>
      </c>
      <c r="B4282" t="s">
        <v>19</v>
      </c>
      <c r="C4282" t="s">
        <v>23490</v>
      </c>
      <c r="D4282" t="str">
        <f>HYPERLINK("https://rhld.insurance.arkansas.gov/NPILookup?Npi=1487049953","1487049953")</f>
        <v>1487049953</v>
      </c>
      <c r="E4282" t="s">
        <v>13557</v>
      </c>
    </row>
    <row r="4283" spans="1:5" x14ac:dyDescent="0.25">
      <c r="A4283" t="s">
        <v>1</v>
      </c>
      <c r="B4283" t="s">
        <v>19</v>
      </c>
      <c r="C4283" t="s">
        <v>23490</v>
      </c>
      <c r="D4283" t="str">
        <f>HYPERLINK("https://rhld.insurance.arkansas.gov/NPILookup?Npi=1487061149","1487061149")</f>
        <v>1487061149</v>
      </c>
      <c r="E4283" t="s">
        <v>10975</v>
      </c>
    </row>
    <row r="4284" spans="1:5" x14ac:dyDescent="0.25">
      <c r="A4284" t="s">
        <v>1</v>
      </c>
      <c r="B4284" t="s">
        <v>19</v>
      </c>
      <c r="C4284" t="s">
        <v>23490</v>
      </c>
      <c r="D4284" t="str">
        <f>HYPERLINK("https://rhld.insurance.arkansas.gov/NPILookup?Npi=1487061768","1487061768")</f>
        <v>1487061768</v>
      </c>
      <c r="E4284" t="s">
        <v>13558</v>
      </c>
    </row>
    <row r="4285" spans="1:5" x14ac:dyDescent="0.25">
      <c r="A4285" t="s">
        <v>1</v>
      </c>
      <c r="B4285" t="s">
        <v>19</v>
      </c>
      <c r="C4285" t="s">
        <v>23490</v>
      </c>
      <c r="D4285" t="str">
        <f>HYPERLINK("https://rhld.insurance.arkansas.gov/NPILookup?Npi=1487063897","1487063897")</f>
        <v>1487063897</v>
      </c>
      <c r="E4285" t="s">
        <v>8694</v>
      </c>
    </row>
    <row r="4286" spans="1:5" x14ac:dyDescent="0.25">
      <c r="A4286" t="s">
        <v>1</v>
      </c>
      <c r="B4286" t="s">
        <v>19</v>
      </c>
      <c r="C4286" t="s">
        <v>23490</v>
      </c>
      <c r="D4286" t="str">
        <f>HYPERLINK("https://rhld.insurance.arkansas.gov/NPILookup?Npi=1487071031","1487071031")</f>
        <v>1487071031</v>
      </c>
      <c r="E4286" t="s">
        <v>10976</v>
      </c>
    </row>
    <row r="4287" spans="1:5" x14ac:dyDescent="0.25">
      <c r="A4287" t="s">
        <v>1</v>
      </c>
      <c r="B4287" t="s">
        <v>19</v>
      </c>
      <c r="C4287" t="s">
        <v>23490</v>
      </c>
      <c r="D4287" t="str">
        <f>HYPERLINK("https://rhld.insurance.arkansas.gov/NPILookup?Npi=1487074639","1487074639")</f>
        <v>1487074639</v>
      </c>
      <c r="E4287" t="s">
        <v>8695</v>
      </c>
    </row>
    <row r="4288" spans="1:5" x14ac:dyDescent="0.25">
      <c r="A4288" t="s">
        <v>1</v>
      </c>
      <c r="B4288" t="s">
        <v>19</v>
      </c>
      <c r="C4288" t="s">
        <v>23490</v>
      </c>
      <c r="D4288" t="str">
        <f>HYPERLINK("https://rhld.insurance.arkansas.gov/NPILookup?Npi=1487078879","1487078879")</f>
        <v>1487078879</v>
      </c>
      <c r="E4288" t="s">
        <v>10977</v>
      </c>
    </row>
    <row r="4289" spans="1:5" x14ac:dyDescent="0.25">
      <c r="A4289" t="s">
        <v>1</v>
      </c>
      <c r="B4289" t="s">
        <v>19</v>
      </c>
      <c r="C4289" t="s">
        <v>23490</v>
      </c>
      <c r="D4289" t="str">
        <f>HYPERLINK("https://rhld.insurance.arkansas.gov/NPILookup?Npi=1487080461","1487080461")</f>
        <v>1487080461</v>
      </c>
      <c r="E4289" t="s">
        <v>1705</v>
      </c>
    </row>
    <row r="4290" spans="1:5" x14ac:dyDescent="0.25">
      <c r="A4290" t="s">
        <v>1</v>
      </c>
      <c r="B4290" t="s">
        <v>19</v>
      </c>
      <c r="C4290" t="s">
        <v>23490</v>
      </c>
      <c r="D4290" t="str">
        <f>HYPERLINK("https://rhld.insurance.arkansas.gov/NPILookup?Npi=1487097028","1487097028")</f>
        <v>1487097028</v>
      </c>
      <c r="E4290" t="s">
        <v>10978</v>
      </c>
    </row>
    <row r="4291" spans="1:5" x14ac:dyDescent="0.25">
      <c r="A4291" t="s">
        <v>1</v>
      </c>
      <c r="B4291" t="s">
        <v>19</v>
      </c>
      <c r="C4291" t="s">
        <v>23490</v>
      </c>
      <c r="D4291" t="str">
        <f>HYPERLINK("https://rhld.insurance.arkansas.gov/NPILookup?Npi=1487104907","1487104907")</f>
        <v>1487104907</v>
      </c>
      <c r="E4291" t="s">
        <v>10979</v>
      </c>
    </row>
    <row r="4292" spans="1:5" x14ac:dyDescent="0.25">
      <c r="A4292" t="s">
        <v>1</v>
      </c>
      <c r="B4292" t="s">
        <v>19</v>
      </c>
      <c r="C4292" t="s">
        <v>23490</v>
      </c>
      <c r="D4292" t="str">
        <f>HYPERLINK("https://rhld.insurance.arkansas.gov/NPILookup?Npi=1487110573","1487110573")</f>
        <v>1487110573</v>
      </c>
      <c r="E4292" t="s">
        <v>18789</v>
      </c>
    </row>
    <row r="4293" spans="1:5" x14ac:dyDescent="0.25">
      <c r="A4293" t="s">
        <v>1</v>
      </c>
      <c r="B4293" t="s">
        <v>19</v>
      </c>
      <c r="C4293" t="s">
        <v>23490</v>
      </c>
      <c r="D4293" t="str">
        <f>HYPERLINK("https://rhld.insurance.arkansas.gov/NPILookup?Npi=1487113148","1487113148")</f>
        <v>1487113148</v>
      </c>
      <c r="E4293" t="s">
        <v>19758</v>
      </c>
    </row>
    <row r="4294" spans="1:5" x14ac:dyDescent="0.25">
      <c r="A4294" t="s">
        <v>1</v>
      </c>
      <c r="B4294" t="s">
        <v>19</v>
      </c>
      <c r="C4294" t="s">
        <v>23490</v>
      </c>
      <c r="D4294" t="str">
        <f>HYPERLINK("https://rhld.insurance.arkansas.gov/NPILookup?Npi=1487114997","1487114997")</f>
        <v>1487114997</v>
      </c>
      <c r="E4294" t="s">
        <v>13131</v>
      </c>
    </row>
    <row r="4295" spans="1:5" x14ac:dyDescent="0.25">
      <c r="A4295" t="s">
        <v>1</v>
      </c>
      <c r="B4295" t="s">
        <v>19</v>
      </c>
      <c r="C4295" t="s">
        <v>23490</v>
      </c>
      <c r="D4295" t="str">
        <f>HYPERLINK("https://rhld.insurance.arkansas.gov/NPILookup?Npi=1487122784","1487122784")</f>
        <v>1487122784</v>
      </c>
      <c r="E4295" t="s">
        <v>13559</v>
      </c>
    </row>
    <row r="4296" spans="1:5" x14ac:dyDescent="0.25">
      <c r="A4296" t="s">
        <v>1</v>
      </c>
      <c r="B4296" t="s">
        <v>19</v>
      </c>
      <c r="C4296" t="s">
        <v>23490</v>
      </c>
      <c r="D4296" t="str">
        <f>HYPERLINK("https://rhld.insurance.arkansas.gov/NPILookup?Npi=1487127973","1487127973")</f>
        <v>1487127973</v>
      </c>
      <c r="E4296" t="s">
        <v>18790</v>
      </c>
    </row>
    <row r="4297" spans="1:5" x14ac:dyDescent="0.25">
      <c r="A4297" t="s">
        <v>1</v>
      </c>
      <c r="B4297" t="s">
        <v>19</v>
      </c>
      <c r="C4297" t="s">
        <v>23490</v>
      </c>
      <c r="D4297" t="str">
        <f>HYPERLINK("https://rhld.insurance.arkansas.gov/NPILookup?Npi=1487138608","1487138608")</f>
        <v>1487138608</v>
      </c>
      <c r="E4297" t="s">
        <v>15185</v>
      </c>
    </row>
    <row r="4298" spans="1:5" x14ac:dyDescent="0.25">
      <c r="A4298" t="s">
        <v>1</v>
      </c>
      <c r="B4298" t="s">
        <v>19</v>
      </c>
      <c r="C4298" t="s">
        <v>23490</v>
      </c>
      <c r="D4298" t="str">
        <f>HYPERLINK("https://rhld.insurance.arkansas.gov/NPILookup?Npi=1487141420","1487141420")</f>
        <v>1487141420</v>
      </c>
      <c r="E4298" t="s">
        <v>20948</v>
      </c>
    </row>
    <row r="4299" spans="1:5" x14ac:dyDescent="0.25">
      <c r="A4299" t="s">
        <v>1</v>
      </c>
      <c r="B4299" t="s">
        <v>19</v>
      </c>
      <c r="C4299" t="s">
        <v>23490</v>
      </c>
      <c r="D4299" t="str">
        <f>HYPERLINK("https://rhld.insurance.arkansas.gov/NPILookup?Npi=1487165387","1487165387")</f>
        <v>1487165387</v>
      </c>
      <c r="E4299" t="s">
        <v>15186</v>
      </c>
    </row>
    <row r="4300" spans="1:5" x14ac:dyDescent="0.25">
      <c r="A4300" t="s">
        <v>1</v>
      </c>
      <c r="B4300" t="s">
        <v>19</v>
      </c>
      <c r="C4300" t="s">
        <v>23490</v>
      </c>
      <c r="D4300" t="str">
        <f>HYPERLINK("https://rhld.insurance.arkansas.gov/NPILookup?Npi=1487175303","1487175303")</f>
        <v>1487175303</v>
      </c>
      <c r="E4300" t="s">
        <v>15187</v>
      </c>
    </row>
    <row r="4301" spans="1:5" x14ac:dyDescent="0.25">
      <c r="A4301" t="s">
        <v>1</v>
      </c>
      <c r="B4301" t="s">
        <v>19</v>
      </c>
      <c r="C4301" t="s">
        <v>23490</v>
      </c>
      <c r="D4301" t="str">
        <f>HYPERLINK("https://rhld.insurance.arkansas.gov/NPILookup?Npi=1487176764","1487176764")</f>
        <v>1487176764</v>
      </c>
      <c r="E4301" t="s">
        <v>10980</v>
      </c>
    </row>
    <row r="4302" spans="1:5" x14ac:dyDescent="0.25">
      <c r="A4302" t="s">
        <v>1</v>
      </c>
      <c r="B4302" t="s">
        <v>19</v>
      </c>
      <c r="C4302" t="s">
        <v>23490</v>
      </c>
      <c r="D4302" t="str">
        <f>HYPERLINK("https://rhld.insurance.arkansas.gov/NPILookup?Npi=1487177010","1487177010")</f>
        <v>1487177010</v>
      </c>
      <c r="E4302" t="s">
        <v>18004</v>
      </c>
    </row>
    <row r="4303" spans="1:5" x14ac:dyDescent="0.25">
      <c r="A4303" t="s">
        <v>1</v>
      </c>
      <c r="B4303" t="s">
        <v>19</v>
      </c>
      <c r="C4303" t="s">
        <v>23490</v>
      </c>
      <c r="D4303" t="str">
        <f>HYPERLINK("https://rhld.insurance.arkansas.gov/NPILookup?Npi=1487191987","1487191987")</f>
        <v>1487191987</v>
      </c>
      <c r="E4303" t="s">
        <v>10981</v>
      </c>
    </row>
    <row r="4304" spans="1:5" x14ac:dyDescent="0.25">
      <c r="A4304" t="s">
        <v>1</v>
      </c>
      <c r="B4304" t="s">
        <v>19</v>
      </c>
      <c r="C4304" t="s">
        <v>23490</v>
      </c>
      <c r="D4304" t="str">
        <f>HYPERLINK("https://rhld.insurance.arkansas.gov/NPILookup?Npi=1487194346","1487194346")</f>
        <v>1487194346</v>
      </c>
      <c r="E4304" t="s">
        <v>10982</v>
      </c>
    </row>
    <row r="4305" spans="1:5" x14ac:dyDescent="0.25">
      <c r="A4305" t="s">
        <v>1</v>
      </c>
      <c r="B4305" t="s">
        <v>19</v>
      </c>
      <c r="C4305" t="s">
        <v>23490</v>
      </c>
      <c r="D4305" t="str">
        <f>HYPERLINK("https://rhld.insurance.arkansas.gov/NPILookup?Npi=1487199816","1487199816")</f>
        <v>1487199816</v>
      </c>
      <c r="E4305" t="s">
        <v>10983</v>
      </c>
    </row>
    <row r="4306" spans="1:5" x14ac:dyDescent="0.25">
      <c r="A4306" t="s">
        <v>1</v>
      </c>
      <c r="B4306" t="s">
        <v>19</v>
      </c>
      <c r="C4306" t="s">
        <v>23490</v>
      </c>
      <c r="D4306" t="str">
        <f>HYPERLINK("https://rhld.insurance.arkansas.gov/NPILookup?Npi=1487204319","1487204319")</f>
        <v>1487204319</v>
      </c>
      <c r="E4306" t="s">
        <v>21555</v>
      </c>
    </row>
    <row r="4307" spans="1:5" x14ac:dyDescent="0.25">
      <c r="A4307" t="s">
        <v>1</v>
      </c>
      <c r="B4307" t="s">
        <v>19</v>
      </c>
      <c r="C4307" t="s">
        <v>23490</v>
      </c>
      <c r="D4307" t="str">
        <f>HYPERLINK("https://rhld.insurance.arkansas.gov/NPILookup?Npi=1487221537","1487221537")</f>
        <v>1487221537</v>
      </c>
      <c r="E4307" t="s">
        <v>18791</v>
      </c>
    </row>
    <row r="4308" spans="1:5" x14ac:dyDescent="0.25">
      <c r="A4308" t="s">
        <v>1</v>
      </c>
      <c r="B4308" t="s">
        <v>19</v>
      </c>
      <c r="C4308" t="s">
        <v>23490</v>
      </c>
      <c r="D4308" t="str">
        <f>HYPERLINK("https://rhld.insurance.arkansas.gov/NPILookup?Npi=1487223632","1487223632")</f>
        <v>1487223632</v>
      </c>
      <c r="E4308" t="s">
        <v>19759</v>
      </c>
    </row>
    <row r="4309" spans="1:5" x14ac:dyDescent="0.25">
      <c r="A4309" t="s">
        <v>1</v>
      </c>
      <c r="B4309" t="s">
        <v>19</v>
      </c>
      <c r="C4309" t="s">
        <v>23490</v>
      </c>
      <c r="D4309" t="str">
        <f>HYPERLINK("https://rhld.insurance.arkansas.gov/NPILookup?Npi=1487246278","1487246278")</f>
        <v>1487246278</v>
      </c>
      <c r="E4309" t="s">
        <v>18005</v>
      </c>
    </row>
    <row r="4310" spans="1:5" x14ac:dyDescent="0.25">
      <c r="A4310" t="s">
        <v>1</v>
      </c>
      <c r="B4310" t="s">
        <v>19</v>
      </c>
      <c r="C4310" t="s">
        <v>23490</v>
      </c>
      <c r="D4310" t="str">
        <f>HYPERLINK("https://rhld.insurance.arkansas.gov/NPILookup?Npi=1487246765","1487246765")</f>
        <v>1487246765</v>
      </c>
      <c r="E4310" t="s">
        <v>18792</v>
      </c>
    </row>
    <row r="4311" spans="1:5" x14ac:dyDescent="0.25">
      <c r="A4311" t="s">
        <v>1</v>
      </c>
      <c r="B4311" t="s">
        <v>19</v>
      </c>
      <c r="C4311" t="s">
        <v>23490</v>
      </c>
      <c r="D4311" t="str">
        <f>HYPERLINK("https://rhld.insurance.arkansas.gov/NPILookup?Npi=1487249306","1487249306")</f>
        <v>1487249306</v>
      </c>
      <c r="E4311" t="s">
        <v>19760</v>
      </c>
    </row>
    <row r="4312" spans="1:5" x14ac:dyDescent="0.25">
      <c r="A4312" t="s">
        <v>1</v>
      </c>
      <c r="B4312" t="s">
        <v>19</v>
      </c>
      <c r="C4312" t="s">
        <v>23490</v>
      </c>
      <c r="D4312" t="str">
        <f>HYPERLINK("https://rhld.insurance.arkansas.gov/NPILookup?Npi=1487250775","1487250775")</f>
        <v>1487250775</v>
      </c>
      <c r="E4312" t="s">
        <v>18006</v>
      </c>
    </row>
    <row r="4313" spans="1:5" x14ac:dyDescent="0.25">
      <c r="A4313" t="s">
        <v>1</v>
      </c>
      <c r="B4313" t="s">
        <v>19</v>
      </c>
      <c r="C4313" t="s">
        <v>23490</v>
      </c>
      <c r="D4313" t="str">
        <f>HYPERLINK("https://rhld.insurance.arkansas.gov/NPILookup?Npi=1487269726","1487269726")</f>
        <v>1487269726</v>
      </c>
      <c r="E4313" t="s">
        <v>18007</v>
      </c>
    </row>
    <row r="4314" spans="1:5" x14ac:dyDescent="0.25">
      <c r="A4314" t="s">
        <v>1</v>
      </c>
      <c r="B4314" t="s">
        <v>19</v>
      </c>
      <c r="C4314" t="s">
        <v>23490</v>
      </c>
      <c r="D4314" t="str">
        <f>HYPERLINK("https://rhld.insurance.arkansas.gov/NPILookup?Npi=1487290961","1487290961")</f>
        <v>1487290961</v>
      </c>
      <c r="E4314" t="s">
        <v>16966</v>
      </c>
    </row>
    <row r="4315" spans="1:5" x14ac:dyDescent="0.25">
      <c r="A4315" t="s">
        <v>1</v>
      </c>
      <c r="B4315" t="s">
        <v>19</v>
      </c>
      <c r="C4315" t="s">
        <v>23490</v>
      </c>
      <c r="D4315" t="str">
        <f>HYPERLINK("https://rhld.insurance.arkansas.gov/NPILookup?Npi=1487291498","1487291498")</f>
        <v>1487291498</v>
      </c>
      <c r="E4315" t="s">
        <v>22942</v>
      </c>
    </row>
    <row r="4316" spans="1:5" x14ac:dyDescent="0.25">
      <c r="A4316" t="s">
        <v>1</v>
      </c>
      <c r="B4316" t="s">
        <v>19</v>
      </c>
      <c r="C4316" t="s">
        <v>23490</v>
      </c>
      <c r="D4316" t="str">
        <f>HYPERLINK("https://rhld.insurance.arkansas.gov/NPILookup?Npi=1487295572","1487295572")</f>
        <v>1487295572</v>
      </c>
      <c r="E4316" t="s">
        <v>16967</v>
      </c>
    </row>
    <row r="4317" spans="1:5" x14ac:dyDescent="0.25">
      <c r="A4317" t="s">
        <v>1</v>
      </c>
      <c r="B4317" t="s">
        <v>19</v>
      </c>
      <c r="C4317" t="s">
        <v>23490</v>
      </c>
      <c r="D4317" t="str">
        <f>HYPERLINK("https://rhld.insurance.arkansas.gov/NPILookup?Npi=1487308706","1487308706")</f>
        <v>1487308706</v>
      </c>
      <c r="E4317" t="s">
        <v>20949</v>
      </c>
    </row>
    <row r="4318" spans="1:5" x14ac:dyDescent="0.25">
      <c r="A4318" t="s">
        <v>1</v>
      </c>
      <c r="B4318" t="s">
        <v>19</v>
      </c>
      <c r="C4318" t="s">
        <v>23490</v>
      </c>
      <c r="D4318" t="str">
        <f>HYPERLINK("https://rhld.insurance.arkansas.gov/NPILookup?Npi=1487329843","1487329843")</f>
        <v>1487329843</v>
      </c>
      <c r="E4318" t="s">
        <v>19761</v>
      </c>
    </row>
    <row r="4319" spans="1:5" x14ac:dyDescent="0.25">
      <c r="A4319" t="s">
        <v>1</v>
      </c>
      <c r="B4319" t="s">
        <v>19</v>
      </c>
      <c r="C4319" t="s">
        <v>8427</v>
      </c>
      <c r="D4319" t="str">
        <f>HYPERLINK("https://rhld.insurance.arkansas.gov/NPILookup?Npi=1487343752","1487343752")</f>
        <v>1487343752</v>
      </c>
      <c r="E4319" t="s">
        <v>22943</v>
      </c>
    </row>
    <row r="4320" spans="1:5" x14ac:dyDescent="0.25">
      <c r="A4320" t="s">
        <v>1</v>
      </c>
      <c r="B4320" t="s">
        <v>19</v>
      </c>
      <c r="C4320" t="s">
        <v>23490</v>
      </c>
      <c r="D4320" t="str">
        <f>HYPERLINK("https://rhld.insurance.arkansas.gov/NPILookup?Npi=1487373049","1487373049")</f>
        <v>1487373049</v>
      </c>
      <c r="E4320" t="s">
        <v>20950</v>
      </c>
    </row>
    <row r="4321" spans="1:5" x14ac:dyDescent="0.25">
      <c r="A4321" t="s">
        <v>1</v>
      </c>
      <c r="B4321" t="s">
        <v>19</v>
      </c>
      <c r="C4321" t="s">
        <v>23490</v>
      </c>
      <c r="D4321" t="str">
        <f>HYPERLINK("https://rhld.insurance.arkansas.gov/NPILookup?Npi=1487375622","1487375622")</f>
        <v>1487375622</v>
      </c>
      <c r="E4321" t="s">
        <v>20951</v>
      </c>
    </row>
    <row r="4322" spans="1:5" x14ac:dyDescent="0.25">
      <c r="A4322" t="s">
        <v>1</v>
      </c>
      <c r="B4322" t="s">
        <v>19</v>
      </c>
      <c r="C4322" t="s">
        <v>23490</v>
      </c>
      <c r="D4322" t="str">
        <f>HYPERLINK("https://rhld.insurance.arkansas.gov/NPILookup?Npi=1487376935","1487376935")</f>
        <v>1487376935</v>
      </c>
      <c r="E4322" t="s">
        <v>20952</v>
      </c>
    </row>
    <row r="4323" spans="1:5" x14ac:dyDescent="0.25">
      <c r="A4323" t="s">
        <v>1</v>
      </c>
      <c r="B4323" t="s">
        <v>19</v>
      </c>
      <c r="C4323" t="s">
        <v>23490</v>
      </c>
      <c r="D4323" t="str">
        <f>HYPERLINK("https://rhld.insurance.arkansas.gov/NPILookup?Npi=1487601712","1487601712")</f>
        <v>1487601712</v>
      </c>
      <c r="E4323" t="s">
        <v>1706</v>
      </c>
    </row>
    <row r="4324" spans="1:5" x14ac:dyDescent="0.25">
      <c r="A4324" t="s">
        <v>1</v>
      </c>
      <c r="B4324" t="s">
        <v>19</v>
      </c>
      <c r="C4324" t="s">
        <v>23490</v>
      </c>
      <c r="D4324" t="str">
        <f>HYPERLINK("https://rhld.insurance.arkansas.gov/NPILookup?Npi=1487602470","1487602470")</f>
        <v>1487602470</v>
      </c>
      <c r="E4324" t="s">
        <v>1707</v>
      </c>
    </row>
    <row r="4325" spans="1:5" x14ac:dyDescent="0.25">
      <c r="A4325" t="s">
        <v>1</v>
      </c>
      <c r="B4325" t="s">
        <v>19</v>
      </c>
      <c r="C4325" t="s">
        <v>23490</v>
      </c>
      <c r="D4325" t="str">
        <f>HYPERLINK("https://rhld.insurance.arkansas.gov/NPILookup?Npi=1487608170","1487608170")</f>
        <v>1487608170</v>
      </c>
      <c r="E4325" t="s">
        <v>10984</v>
      </c>
    </row>
    <row r="4326" spans="1:5" x14ac:dyDescent="0.25">
      <c r="A4326" t="s">
        <v>1</v>
      </c>
      <c r="B4326" t="s">
        <v>19</v>
      </c>
      <c r="C4326" t="s">
        <v>23490</v>
      </c>
      <c r="D4326" t="str">
        <f>HYPERLINK("https://rhld.insurance.arkansas.gov/NPILookup?Npi=1487609491","1487609491")</f>
        <v>1487609491</v>
      </c>
      <c r="E4326" t="s">
        <v>8696</v>
      </c>
    </row>
    <row r="4327" spans="1:5" x14ac:dyDescent="0.25">
      <c r="A4327" t="s">
        <v>1</v>
      </c>
      <c r="B4327" t="s">
        <v>19</v>
      </c>
      <c r="C4327" t="s">
        <v>23490</v>
      </c>
      <c r="D4327" t="str">
        <f>HYPERLINK("https://rhld.insurance.arkansas.gov/NPILookup?Npi=1487609509","1487609509")</f>
        <v>1487609509</v>
      </c>
      <c r="E4327" t="s">
        <v>1708</v>
      </c>
    </row>
    <row r="4328" spans="1:5" x14ac:dyDescent="0.25">
      <c r="A4328" t="s">
        <v>1</v>
      </c>
      <c r="B4328" t="s">
        <v>19</v>
      </c>
      <c r="C4328" t="s">
        <v>23490</v>
      </c>
      <c r="D4328" t="str">
        <f>HYPERLINK("https://rhld.insurance.arkansas.gov/NPILookup?Npi=1487609541","1487609541")</f>
        <v>1487609541</v>
      </c>
      <c r="E4328" t="s">
        <v>8697</v>
      </c>
    </row>
    <row r="4329" spans="1:5" x14ac:dyDescent="0.25">
      <c r="A4329" t="s">
        <v>1</v>
      </c>
      <c r="B4329" t="s">
        <v>19</v>
      </c>
      <c r="C4329" t="s">
        <v>23490</v>
      </c>
      <c r="D4329" t="str">
        <f>HYPERLINK("https://rhld.insurance.arkansas.gov/NPILookup?Npi=1487617791","1487617791")</f>
        <v>1487617791</v>
      </c>
      <c r="E4329" t="s">
        <v>1709</v>
      </c>
    </row>
    <row r="4330" spans="1:5" x14ac:dyDescent="0.25">
      <c r="A4330" t="s">
        <v>1</v>
      </c>
      <c r="B4330" t="s">
        <v>19</v>
      </c>
      <c r="C4330" t="s">
        <v>23490</v>
      </c>
      <c r="D4330" t="str">
        <f>HYPERLINK("https://rhld.insurance.arkansas.gov/NPILookup?Npi=1487621157","1487621157")</f>
        <v>1487621157</v>
      </c>
      <c r="E4330" t="s">
        <v>12852</v>
      </c>
    </row>
    <row r="4331" spans="1:5" x14ac:dyDescent="0.25">
      <c r="A4331" t="s">
        <v>1</v>
      </c>
      <c r="B4331" t="s">
        <v>19</v>
      </c>
      <c r="C4331" t="s">
        <v>23490</v>
      </c>
      <c r="D4331" t="str">
        <f>HYPERLINK("https://rhld.insurance.arkansas.gov/NPILookup?Npi=1487622668","1487622668")</f>
        <v>1487622668</v>
      </c>
      <c r="E4331" t="s">
        <v>19762</v>
      </c>
    </row>
    <row r="4332" spans="1:5" x14ac:dyDescent="0.25">
      <c r="A4332" t="s">
        <v>1</v>
      </c>
      <c r="B4332" t="s">
        <v>19</v>
      </c>
      <c r="C4332" t="s">
        <v>23490</v>
      </c>
      <c r="D4332" t="str">
        <f>HYPERLINK("https://rhld.insurance.arkansas.gov/NPILookup?Npi=1487624896","1487624896")</f>
        <v>1487624896</v>
      </c>
      <c r="E4332" t="s">
        <v>1710</v>
      </c>
    </row>
    <row r="4333" spans="1:5" x14ac:dyDescent="0.25">
      <c r="A4333" t="s">
        <v>1</v>
      </c>
      <c r="B4333" t="s">
        <v>19</v>
      </c>
      <c r="C4333" t="s">
        <v>23490</v>
      </c>
      <c r="D4333" t="str">
        <f>HYPERLINK("https://rhld.insurance.arkansas.gov/NPILookup?Npi=1487627394","1487627394")</f>
        <v>1487627394</v>
      </c>
      <c r="E4333" t="s">
        <v>937</v>
      </c>
    </row>
    <row r="4334" spans="1:5" x14ac:dyDescent="0.25">
      <c r="A4334" t="s">
        <v>1</v>
      </c>
      <c r="B4334" t="s">
        <v>19</v>
      </c>
      <c r="C4334" t="s">
        <v>23490</v>
      </c>
      <c r="D4334" t="str">
        <f>HYPERLINK("https://rhld.insurance.arkansas.gov/NPILookup?Npi=1487629150","1487629150")</f>
        <v>1487629150</v>
      </c>
      <c r="E4334" t="s">
        <v>1711</v>
      </c>
    </row>
    <row r="4335" spans="1:5" x14ac:dyDescent="0.25">
      <c r="A4335" t="s">
        <v>1</v>
      </c>
      <c r="B4335" t="s">
        <v>19</v>
      </c>
      <c r="C4335" t="s">
        <v>23490</v>
      </c>
      <c r="D4335" t="str">
        <f>HYPERLINK("https://rhld.insurance.arkansas.gov/NPILookup?Npi=1487641874","1487641874")</f>
        <v>1487641874</v>
      </c>
      <c r="E4335" t="s">
        <v>19763</v>
      </c>
    </row>
    <row r="4336" spans="1:5" x14ac:dyDescent="0.25">
      <c r="A4336" t="s">
        <v>1</v>
      </c>
      <c r="B4336" t="s">
        <v>19</v>
      </c>
      <c r="C4336" t="s">
        <v>23490</v>
      </c>
      <c r="D4336" t="str">
        <f>HYPERLINK("https://rhld.insurance.arkansas.gov/NPILookup?Npi=1487644647","1487644647")</f>
        <v>1487644647</v>
      </c>
      <c r="E4336" t="s">
        <v>1712</v>
      </c>
    </row>
    <row r="4337" spans="1:5" x14ac:dyDescent="0.25">
      <c r="A4337" t="s">
        <v>1</v>
      </c>
      <c r="B4337" t="s">
        <v>19</v>
      </c>
      <c r="C4337" t="s">
        <v>23490</v>
      </c>
      <c r="D4337" t="str">
        <f>HYPERLINK("https://rhld.insurance.arkansas.gov/NPILookup?Npi=1487651931","1487651931")</f>
        <v>1487651931</v>
      </c>
      <c r="E4337" t="s">
        <v>1713</v>
      </c>
    </row>
    <row r="4338" spans="1:5" x14ac:dyDescent="0.25">
      <c r="A4338" t="s">
        <v>1</v>
      </c>
      <c r="B4338" t="s">
        <v>19</v>
      </c>
      <c r="C4338" t="s">
        <v>23490</v>
      </c>
      <c r="D4338" t="str">
        <f>HYPERLINK("https://rhld.insurance.arkansas.gov/NPILookup?Npi=1487653242","1487653242")</f>
        <v>1487653242</v>
      </c>
      <c r="E4338" t="s">
        <v>10985</v>
      </c>
    </row>
    <row r="4339" spans="1:5" x14ac:dyDescent="0.25">
      <c r="A4339" t="s">
        <v>1</v>
      </c>
      <c r="B4339" t="s">
        <v>19</v>
      </c>
      <c r="C4339" t="s">
        <v>23490</v>
      </c>
      <c r="D4339" t="str">
        <f>HYPERLINK("https://rhld.insurance.arkansas.gov/NPILookup?Npi=1487655957","1487655957")</f>
        <v>1487655957</v>
      </c>
      <c r="E4339" t="s">
        <v>1714</v>
      </c>
    </row>
    <row r="4340" spans="1:5" x14ac:dyDescent="0.25">
      <c r="A4340" t="s">
        <v>1</v>
      </c>
      <c r="B4340" t="s">
        <v>19</v>
      </c>
      <c r="C4340" t="s">
        <v>23490</v>
      </c>
      <c r="D4340" t="str">
        <f>HYPERLINK("https://rhld.insurance.arkansas.gov/NPILookup?Npi=1487674644","1487674644")</f>
        <v>1487674644</v>
      </c>
      <c r="E4340" t="s">
        <v>15188</v>
      </c>
    </row>
    <row r="4341" spans="1:5" x14ac:dyDescent="0.25">
      <c r="A4341" t="s">
        <v>1</v>
      </c>
      <c r="B4341" t="s">
        <v>19</v>
      </c>
      <c r="C4341" t="s">
        <v>23490</v>
      </c>
      <c r="D4341" t="str">
        <f>HYPERLINK("https://rhld.insurance.arkansas.gov/NPILookup?Npi=1487681730","1487681730")</f>
        <v>1487681730</v>
      </c>
      <c r="E4341" t="s">
        <v>1715</v>
      </c>
    </row>
    <row r="4342" spans="1:5" x14ac:dyDescent="0.25">
      <c r="A4342" t="s">
        <v>1</v>
      </c>
      <c r="B4342" t="s">
        <v>19</v>
      </c>
      <c r="C4342" t="s">
        <v>23490</v>
      </c>
      <c r="D4342" t="str">
        <f>HYPERLINK("https://rhld.insurance.arkansas.gov/NPILookup?Npi=1487682563","1487682563")</f>
        <v>1487682563</v>
      </c>
      <c r="E4342" t="s">
        <v>1716</v>
      </c>
    </row>
    <row r="4343" spans="1:5" x14ac:dyDescent="0.25">
      <c r="A4343" t="s">
        <v>1</v>
      </c>
      <c r="B4343" t="s">
        <v>19</v>
      </c>
      <c r="C4343" t="s">
        <v>23490</v>
      </c>
      <c r="D4343" t="str">
        <f>HYPERLINK("https://rhld.insurance.arkansas.gov/NPILookup?Npi=1487690913","1487690913")</f>
        <v>1487690913</v>
      </c>
      <c r="E4343" t="s">
        <v>15189</v>
      </c>
    </row>
    <row r="4344" spans="1:5" x14ac:dyDescent="0.25">
      <c r="A4344" t="s">
        <v>1</v>
      </c>
      <c r="B4344" t="s">
        <v>19</v>
      </c>
      <c r="C4344" t="s">
        <v>23490</v>
      </c>
      <c r="D4344" t="str">
        <f>HYPERLINK("https://rhld.insurance.arkansas.gov/NPILookup?Npi=1487692760","1487692760")</f>
        <v>1487692760</v>
      </c>
      <c r="E4344" t="s">
        <v>1717</v>
      </c>
    </row>
    <row r="4345" spans="1:5" x14ac:dyDescent="0.25">
      <c r="A4345" t="s">
        <v>1</v>
      </c>
      <c r="B4345" t="s">
        <v>19</v>
      </c>
      <c r="C4345" t="s">
        <v>23490</v>
      </c>
      <c r="D4345" t="str">
        <f>HYPERLINK("https://rhld.insurance.arkansas.gov/NPILookup?Npi=1487704524","1487704524")</f>
        <v>1487704524</v>
      </c>
      <c r="E4345" t="s">
        <v>1718</v>
      </c>
    </row>
    <row r="4346" spans="1:5" x14ac:dyDescent="0.25">
      <c r="A4346" t="s">
        <v>1</v>
      </c>
      <c r="B4346" t="s">
        <v>19</v>
      </c>
      <c r="C4346" t="s">
        <v>23490</v>
      </c>
      <c r="D4346" t="str">
        <f>HYPERLINK("https://rhld.insurance.arkansas.gov/NPILookup?Npi=1487712808","1487712808")</f>
        <v>1487712808</v>
      </c>
      <c r="E4346" t="s">
        <v>8698</v>
      </c>
    </row>
    <row r="4347" spans="1:5" x14ac:dyDescent="0.25">
      <c r="A4347" t="s">
        <v>1</v>
      </c>
      <c r="B4347" t="s">
        <v>19</v>
      </c>
      <c r="C4347" t="s">
        <v>23490</v>
      </c>
      <c r="D4347" t="str">
        <f>HYPERLINK("https://rhld.insurance.arkansas.gov/NPILookup?Npi=1487744322","1487744322")</f>
        <v>1487744322</v>
      </c>
      <c r="E4347" t="s">
        <v>10986</v>
      </c>
    </row>
    <row r="4348" spans="1:5" x14ac:dyDescent="0.25">
      <c r="A4348" t="s">
        <v>1</v>
      </c>
      <c r="B4348" t="s">
        <v>19</v>
      </c>
      <c r="C4348" t="s">
        <v>23490</v>
      </c>
      <c r="D4348" t="str">
        <f>HYPERLINK("https://rhld.insurance.arkansas.gov/NPILookup?Npi=1487744942","1487744942")</f>
        <v>1487744942</v>
      </c>
      <c r="E4348" t="s">
        <v>19764</v>
      </c>
    </row>
    <row r="4349" spans="1:5" x14ac:dyDescent="0.25">
      <c r="A4349" t="s">
        <v>1</v>
      </c>
      <c r="B4349" t="s">
        <v>19</v>
      </c>
      <c r="C4349" t="s">
        <v>23490</v>
      </c>
      <c r="D4349" t="str">
        <f>HYPERLINK("https://rhld.insurance.arkansas.gov/NPILookup?Npi=1487748745","1487748745")</f>
        <v>1487748745</v>
      </c>
      <c r="E4349" t="s">
        <v>15191</v>
      </c>
    </row>
    <row r="4350" spans="1:5" x14ac:dyDescent="0.25">
      <c r="A4350" t="s">
        <v>1</v>
      </c>
      <c r="B4350" t="s">
        <v>19</v>
      </c>
      <c r="C4350" t="s">
        <v>23490</v>
      </c>
      <c r="D4350" t="str">
        <f>HYPERLINK("https://rhld.insurance.arkansas.gov/NPILookup?Npi=1487754347","1487754347")</f>
        <v>1487754347</v>
      </c>
      <c r="E4350" t="s">
        <v>1719</v>
      </c>
    </row>
    <row r="4351" spans="1:5" x14ac:dyDescent="0.25">
      <c r="A4351" t="s">
        <v>1</v>
      </c>
      <c r="B4351" t="s">
        <v>19</v>
      </c>
      <c r="C4351" t="s">
        <v>8427</v>
      </c>
      <c r="D4351" t="str">
        <f>HYPERLINK("https://rhld.insurance.arkansas.gov/NPILookup?Npi=1487815387","1487815387")</f>
        <v>1487815387</v>
      </c>
      <c r="E4351" t="s">
        <v>22944</v>
      </c>
    </row>
    <row r="4352" spans="1:5" x14ac:dyDescent="0.25">
      <c r="A4352" t="s">
        <v>1</v>
      </c>
      <c r="B4352" t="s">
        <v>19</v>
      </c>
      <c r="C4352" t="s">
        <v>23490</v>
      </c>
      <c r="D4352" t="str">
        <f>HYPERLINK("https://rhld.insurance.arkansas.gov/NPILookup?Npi=1487817854","1487817854")</f>
        <v>1487817854</v>
      </c>
      <c r="E4352" t="s">
        <v>1721</v>
      </c>
    </row>
    <row r="4353" spans="1:5" x14ac:dyDescent="0.25">
      <c r="A4353" t="s">
        <v>1</v>
      </c>
      <c r="B4353" t="s">
        <v>19</v>
      </c>
      <c r="C4353" t="s">
        <v>23490</v>
      </c>
      <c r="D4353" t="str">
        <f>HYPERLINK("https://rhld.insurance.arkansas.gov/NPILookup?Npi=1487831061","1487831061")</f>
        <v>1487831061</v>
      </c>
      <c r="E4353" t="s">
        <v>13560</v>
      </c>
    </row>
    <row r="4354" spans="1:5" x14ac:dyDescent="0.25">
      <c r="A4354" t="s">
        <v>1</v>
      </c>
      <c r="B4354" t="s">
        <v>19</v>
      </c>
      <c r="C4354" t="s">
        <v>23490</v>
      </c>
      <c r="D4354" t="str">
        <f>HYPERLINK("https://rhld.insurance.arkansas.gov/NPILookup?Npi=1487845467","1487845467")</f>
        <v>1487845467</v>
      </c>
      <c r="E4354" t="s">
        <v>1722</v>
      </c>
    </row>
    <row r="4355" spans="1:5" x14ac:dyDescent="0.25">
      <c r="A4355" t="s">
        <v>1</v>
      </c>
      <c r="B4355" t="s">
        <v>19</v>
      </c>
      <c r="C4355" t="s">
        <v>23490</v>
      </c>
      <c r="D4355" t="str">
        <f>HYPERLINK("https://rhld.insurance.arkansas.gov/NPILookup?Npi=1487850053","1487850053")</f>
        <v>1487850053</v>
      </c>
      <c r="E4355" t="s">
        <v>19765</v>
      </c>
    </row>
    <row r="4356" spans="1:5" x14ac:dyDescent="0.25">
      <c r="A4356" t="s">
        <v>1</v>
      </c>
      <c r="B4356" t="s">
        <v>19</v>
      </c>
      <c r="C4356" t="s">
        <v>8427</v>
      </c>
      <c r="D4356" t="str">
        <f>HYPERLINK("https://rhld.insurance.arkansas.gov/NPILookup?Npi=1487856936","1487856936")</f>
        <v>1487856936</v>
      </c>
      <c r="E4356" t="s">
        <v>22945</v>
      </c>
    </row>
    <row r="4357" spans="1:5" x14ac:dyDescent="0.25">
      <c r="A4357" t="s">
        <v>1</v>
      </c>
      <c r="B4357" t="s">
        <v>19</v>
      </c>
      <c r="C4357" t="s">
        <v>23490</v>
      </c>
      <c r="D4357" t="str">
        <f>HYPERLINK("https://rhld.insurance.arkansas.gov/NPILookup?Npi=1487875522","1487875522")</f>
        <v>1487875522</v>
      </c>
      <c r="E4357" t="s">
        <v>1724</v>
      </c>
    </row>
    <row r="4358" spans="1:5" x14ac:dyDescent="0.25">
      <c r="A4358" t="s">
        <v>1</v>
      </c>
      <c r="B4358" t="s">
        <v>19</v>
      </c>
      <c r="C4358" t="s">
        <v>23490</v>
      </c>
      <c r="D4358" t="str">
        <f>HYPERLINK("https://rhld.insurance.arkansas.gov/NPILookup?Npi=1487878641","1487878641")</f>
        <v>1487878641</v>
      </c>
      <c r="E4358" t="s">
        <v>1725</v>
      </c>
    </row>
    <row r="4359" spans="1:5" x14ac:dyDescent="0.25">
      <c r="A4359" t="s">
        <v>1</v>
      </c>
      <c r="B4359" t="s">
        <v>19</v>
      </c>
      <c r="C4359" t="s">
        <v>23490</v>
      </c>
      <c r="D4359" t="str">
        <f>HYPERLINK("https://rhld.insurance.arkansas.gov/NPILookup?Npi=1487881892","1487881892")</f>
        <v>1487881892</v>
      </c>
      <c r="E4359" t="s">
        <v>1726</v>
      </c>
    </row>
    <row r="4360" spans="1:5" x14ac:dyDescent="0.25">
      <c r="A4360" t="s">
        <v>1</v>
      </c>
      <c r="B4360" t="s">
        <v>19</v>
      </c>
      <c r="C4360" t="s">
        <v>23490</v>
      </c>
      <c r="D4360" t="str">
        <f>HYPERLINK("https://rhld.insurance.arkansas.gov/NPILookup?Npi=1487884938","1487884938")</f>
        <v>1487884938</v>
      </c>
      <c r="E4360" t="s">
        <v>1727</v>
      </c>
    </row>
    <row r="4361" spans="1:5" x14ac:dyDescent="0.25">
      <c r="A4361" t="s">
        <v>1</v>
      </c>
      <c r="B4361" t="s">
        <v>19</v>
      </c>
      <c r="C4361" t="s">
        <v>23490</v>
      </c>
      <c r="D4361" t="str">
        <f>HYPERLINK("https://rhld.insurance.arkansas.gov/NPILookup?Npi=1487897401","1487897401")</f>
        <v>1487897401</v>
      </c>
      <c r="E4361" t="s">
        <v>8699</v>
      </c>
    </row>
    <row r="4362" spans="1:5" x14ac:dyDescent="0.25">
      <c r="A4362" t="s">
        <v>1</v>
      </c>
      <c r="B4362" t="s">
        <v>19</v>
      </c>
      <c r="C4362" t="s">
        <v>23490</v>
      </c>
      <c r="D4362" t="str">
        <f>HYPERLINK("https://rhld.insurance.arkansas.gov/NPILookup?Npi=1487903936","1487903936")</f>
        <v>1487903936</v>
      </c>
      <c r="E4362" t="s">
        <v>1728</v>
      </c>
    </row>
    <row r="4363" spans="1:5" x14ac:dyDescent="0.25">
      <c r="A4363" t="s">
        <v>1</v>
      </c>
      <c r="B4363" t="s">
        <v>19</v>
      </c>
      <c r="C4363" t="s">
        <v>23490</v>
      </c>
      <c r="D4363" t="str">
        <f>HYPERLINK("https://rhld.insurance.arkansas.gov/NPILookup?Npi=1487917811","1487917811")</f>
        <v>1487917811</v>
      </c>
      <c r="E4363" t="s">
        <v>19766</v>
      </c>
    </row>
    <row r="4364" spans="1:5" x14ac:dyDescent="0.25">
      <c r="A4364" t="s">
        <v>1</v>
      </c>
      <c r="B4364" t="s">
        <v>19</v>
      </c>
      <c r="C4364" t="s">
        <v>23490</v>
      </c>
      <c r="D4364" t="str">
        <f>HYPERLINK("https://rhld.insurance.arkansas.gov/NPILookup?Npi=1487918702","1487918702")</f>
        <v>1487918702</v>
      </c>
      <c r="E4364" t="s">
        <v>1729</v>
      </c>
    </row>
    <row r="4365" spans="1:5" x14ac:dyDescent="0.25">
      <c r="A4365" t="s">
        <v>1</v>
      </c>
      <c r="B4365" t="s">
        <v>19</v>
      </c>
      <c r="C4365" t="s">
        <v>23490</v>
      </c>
      <c r="D4365" t="str">
        <f>HYPERLINK("https://rhld.insurance.arkansas.gov/NPILookup?Npi=1487927711","1487927711")</f>
        <v>1487927711</v>
      </c>
      <c r="E4365" t="s">
        <v>8700</v>
      </c>
    </row>
    <row r="4366" spans="1:5" x14ac:dyDescent="0.25">
      <c r="A4366" t="s">
        <v>1</v>
      </c>
      <c r="B4366" t="s">
        <v>19</v>
      </c>
      <c r="C4366" t="s">
        <v>23490</v>
      </c>
      <c r="D4366" t="str">
        <f>HYPERLINK("https://rhld.insurance.arkansas.gov/NPILookup?Npi=1487936985","1487936985")</f>
        <v>1487936985</v>
      </c>
      <c r="E4366" t="s">
        <v>18793</v>
      </c>
    </row>
    <row r="4367" spans="1:5" x14ac:dyDescent="0.25">
      <c r="A4367" t="s">
        <v>1</v>
      </c>
      <c r="B4367" t="s">
        <v>19</v>
      </c>
      <c r="C4367" t="s">
        <v>23490</v>
      </c>
      <c r="D4367" t="str">
        <f>HYPERLINK("https://rhld.insurance.arkansas.gov/NPILookup?Npi=1487938270","1487938270")</f>
        <v>1487938270</v>
      </c>
      <c r="E4367" t="s">
        <v>15192</v>
      </c>
    </row>
    <row r="4368" spans="1:5" x14ac:dyDescent="0.25">
      <c r="A4368" t="s">
        <v>1</v>
      </c>
      <c r="B4368" t="s">
        <v>19</v>
      </c>
      <c r="C4368" t="s">
        <v>23490</v>
      </c>
      <c r="D4368" t="str">
        <f>HYPERLINK("https://rhld.insurance.arkansas.gov/NPILookup?Npi=1487943676","1487943676")</f>
        <v>1487943676</v>
      </c>
      <c r="E4368" t="s">
        <v>8701</v>
      </c>
    </row>
    <row r="4369" spans="1:5" x14ac:dyDescent="0.25">
      <c r="A4369" t="s">
        <v>1</v>
      </c>
      <c r="B4369" t="s">
        <v>19</v>
      </c>
      <c r="C4369" t="s">
        <v>23490</v>
      </c>
      <c r="D4369" t="str">
        <f>HYPERLINK("https://rhld.insurance.arkansas.gov/NPILookup?Npi=1487944583","1487944583")</f>
        <v>1487944583</v>
      </c>
      <c r="E4369" t="s">
        <v>1730</v>
      </c>
    </row>
    <row r="4370" spans="1:5" x14ac:dyDescent="0.25">
      <c r="A4370" t="s">
        <v>1</v>
      </c>
      <c r="B4370" t="s">
        <v>19</v>
      </c>
      <c r="C4370" t="s">
        <v>23490</v>
      </c>
      <c r="D4370" t="str">
        <f>HYPERLINK("https://rhld.insurance.arkansas.gov/NPILookup?Npi=1487950127","1487950127")</f>
        <v>1487950127</v>
      </c>
      <c r="E4370" t="s">
        <v>15193</v>
      </c>
    </row>
    <row r="4371" spans="1:5" x14ac:dyDescent="0.25">
      <c r="A4371" t="s">
        <v>1</v>
      </c>
      <c r="B4371" t="s">
        <v>19</v>
      </c>
      <c r="C4371" t="s">
        <v>23490</v>
      </c>
      <c r="D4371" t="str">
        <f>HYPERLINK("https://rhld.insurance.arkansas.gov/NPILookup?Npi=1487960258","1487960258")</f>
        <v>1487960258</v>
      </c>
      <c r="E4371" t="s">
        <v>10987</v>
      </c>
    </row>
    <row r="4372" spans="1:5" x14ac:dyDescent="0.25">
      <c r="A4372" t="s">
        <v>1</v>
      </c>
      <c r="B4372" t="s">
        <v>19</v>
      </c>
      <c r="C4372" t="s">
        <v>23490</v>
      </c>
      <c r="D4372" t="str">
        <f>HYPERLINK("https://rhld.insurance.arkansas.gov/NPILookup?Npi=1487961074","1487961074")</f>
        <v>1487961074</v>
      </c>
      <c r="E4372" t="s">
        <v>10988</v>
      </c>
    </row>
    <row r="4373" spans="1:5" x14ac:dyDescent="0.25">
      <c r="A4373" t="s">
        <v>1</v>
      </c>
      <c r="B4373" t="s">
        <v>19</v>
      </c>
      <c r="C4373" t="s">
        <v>23490</v>
      </c>
      <c r="D4373" t="str">
        <f>HYPERLINK("https://rhld.insurance.arkansas.gov/NPILookup?Npi=1487966750","1487966750")</f>
        <v>1487966750</v>
      </c>
      <c r="E4373" t="s">
        <v>15194</v>
      </c>
    </row>
    <row r="4374" spans="1:5" x14ac:dyDescent="0.25">
      <c r="A4374" t="s">
        <v>1</v>
      </c>
      <c r="B4374" t="s">
        <v>19</v>
      </c>
      <c r="C4374" t="s">
        <v>23490</v>
      </c>
      <c r="D4374" t="str">
        <f>HYPERLINK("https://rhld.insurance.arkansas.gov/NPILookup?Npi=1487970521","1487970521")</f>
        <v>1487970521</v>
      </c>
      <c r="E4374" t="s">
        <v>22946</v>
      </c>
    </row>
    <row r="4375" spans="1:5" x14ac:dyDescent="0.25">
      <c r="A4375" t="s">
        <v>1</v>
      </c>
      <c r="B4375" t="s">
        <v>19</v>
      </c>
      <c r="C4375" t="s">
        <v>23490</v>
      </c>
      <c r="D4375" t="str">
        <f>HYPERLINK("https://rhld.insurance.arkansas.gov/NPILookup?Npi=1487992756","1487992756")</f>
        <v>1487992756</v>
      </c>
      <c r="E4375" t="s">
        <v>1731</v>
      </c>
    </row>
    <row r="4376" spans="1:5" x14ac:dyDescent="0.25">
      <c r="A4376" t="s">
        <v>1</v>
      </c>
      <c r="B4376" t="s">
        <v>19</v>
      </c>
      <c r="C4376" t="s">
        <v>23490</v>
      </c>
      <c r="D4376" t="str">
        <f>HYPERLINK("https://rhld.insurance.arkansas.gov/NPILookup?Npi=1497008254","1497008254")</f>
        <v>1497008254</v>
      </c>
      <c r="E4376" t="s">
        <v>13561</v>
      </c>
    </row>
    <row r="4377" spans="1:5" x14ac:dyDescent="0.25">
      <c r="A4377" t="s">
        <v>1</v>
      </c>
      <c r="B4377" t="s">
        <v>19</v>
      </c>
      <c r="C4377" t="s">
        <v>23490</v>
      </c>
      <c r="D4377" t="str">
        <f>HYPERLINK("https://rhld.insurance.arkansas.gov/NPILookup?Npi=1497019483","1497019483")</f>
        <v>1497019483</v>
      </c>
      <c r="E4377" t="s">
        <v>8702</v>
      </c>
    </row>
    <row r="4378" spans="1:5" x14ac:dyDescent="0.25">
      <c r="A4378" t="s">
        <v>1</v>
      </c>
      <c r="B4378" t="s">
        <v>19</v>
      </c>
      <c r="C4378" t="s">
        <v>23490</v>
      </c>
      <c r="D4378" t="str">
        <f>HYPERLINK("https://rhld.insurance.arkansas.gov/NPILookup?Npi=1497032577","1497032577")</f>
        <v>1497032577</v>
      </c>
      <c r="E4378" t="s">
        <v>1732</v>
      </c>
    </row>
    <row r="4379" spans="1:5" x14ac:dyDescent="0.25">
      <c r="A4379" t="s">
        <v>1</v>
      </c>
      <c r="B4379" t="s">
        <v>19</v>
      </c>
      <c r="C4379" t="s">
        <v>23490</v>
      </c>
      <c r="D4379" t="str">
        <f>HYPERLINK("https://rhld.insurance.arkansas.gov/NPILookup?Npi=1497046015","1497046015")</f>
        <v>1497046015</v>
      </c>
      <c r="E4379" t="s">
        <v>1733</v>
      </c>
    </row>
    <row r="4380" spans="1:5" x14ac:dyDescent="0.25">
      <c r="A4380" t="s">
        <v>1</v>
      </c>
      <c r="B4380" t="s">
        <v>19</v>
      </c>
      <c r="C4380" t="s">
        <v>23490</v>
      </c>
      <c r="D4380" t="str">
        <f>HYPERLINK("https://rhld.insurance.arkansas.gov/NPILookup?Npi=1497051684","1497051684")</f>
        <v>1497051684</v>
      </c>
      <c r="E4380" t="s">
        <v>1734</v>
      </c>
    </row>
    <row r="4381" spans="1:5" x14ac:dyDescent="0.25">
      <c r="A4381" t="s">
        <v>1</v>
      </c>
      <c r="B4381" t="s">
        <v>19</v>
      </c>
      <c r="C4381" t="s">
        <v>23490</v>
      </c>
      <c r="D4381" t="str">
        <f>HYPERLINK("https://rhld.insurance.arkansas.gov/NPILookup?Npi=1497052427","1497052427")</f>
        <v>1497052427</v>
      </c>
      <c r="E4381" t="s">
        <v>1735</v>
      </c>
    </row>
    <row r="4382" spans="1:5" x14ac:dyDescent="0.25">
      <c r="A4382" t="s">
        <v>1</v>
      </c>
      <c r="B4382" t="s">
        <v>19</v>
      </c>
      <c r="C4382" t="s">
        <v>23490</v>
      </c>
      <c r="D4382" t="str">
        <f>HYPERLINK("https://rhld.insurance.arkansas.gov/NPILookup?Npi=1497061576","1497061576")</f>
        <v>1497061576</v>
      </c>
      <c r="E4382" t="s">
        <v>15195</v>
      </c>
    </row>
    <row r="4383" spans="1:5" x14ac:dyDescent="0.25">
      <c r="A4383" t="s">
        <v>1</v>
      </c>
      <c r="B4383" t="s">
        <v>19</v>
      </c>
      <c r="C4383" t="s">
        <v>23490</v>
      </c>
      <c r="D4383" t="str">
        <f>HYPERLINK("https://rhld.insurance.arkansas.gov/NPILookup?Npi=1497063044","1497063044")</f>
        <v>1497063044</v>
      </c>
      <c r="E4383" t="s">
        <v>16968</v>
      </c>
    </row>
    <row r="4384" spans="1:5" x14ac:dyDescent="0.25">
      <c r="A4384" t="s">
        <v>1</v>
      </c>
      <c r="B4384" t="s">
        <v>19</v>
      </c>
      <c r="C4384" t="s">
        <v>23490</v>
      </c>
      <c r="D4384" t="str">
        <f>HYPERLINK("https://rhld.insurance.arkansas.gov/NPILookup?Npi=1497103626","1497103626")</f>
        <v>1497103626</v>
      </c>
      <c r="E4384" t="s">
        <v>8703</v>
      </c>
    </row>
    <row r="4385" spans="1:5" x14ac:dyDescent="0.25">
      <c r="A4385" t="s">
        <v>1</v>
      </c>
      <c r="B4385" t="s">
        <v>19</v>
      </c>
      <c r="C4385" t="s">
        <v>23490</v>
      </c>
      <c r="D4385" t="str">
        <f>HYPERLINK("https://rhld.insurance.arkansas.gov/NPILookup?Npi=1497115463","1497115463")</f>
        <v>1497115463</v>
      </c>
      <c r="E4385" t="s">
        <v>13562</v>
      </c>
    </row>
    <row r="4386" spans="1:5" x14ac:dyDescent="0.25">
      <c r="A4386" t="s">
        <v>1</v>
      </c>
      <c r="B4386" t="s">
        <v>19</v>
      </c>
      <c r="C4386" t="s">
        <v>23490</v>
      </c>
      <c r="D4386" t="str">
        <f>HYPERLINK("https://rhld.insurance.arkansas.gov/NPILookup?Npi=1497115497","1497115497")</f>
        <v>1497115497</v>
      </c>
      <c r="E4386" t="s">
        <v>15196</v>
      </c>
    </row>
    <row r="4387" spans="1:5" x14ac:dyDescent="0.25">
      <c r="A4387" t="s">
        <v>1</v>
      </c>
      <c r="B4387" t="s">
        <v>19</v>
      </c>
      <c r="C4387" t="s">
        <v>23490</v>
      </c>
      <c r="D4387" t="str">
        <f>HYPERLINK("https://rhld.insurance.arkansas.gov/NPILookup?Npi=1497115737","1497115737")</f>
        <v>1497115737</v>
      </c>
      <c r="E4387" t="s">
        <v>15197</v>
      </c>
    </row>
    <row r="4388" spans="1:5" x14ac:dyDescent="0.25">
      <c r="A4388" t="s">
        <v>1</v>
      </c>
      <c r="B4388" t="s">
        <v>19</v>
      </c>
      <c r="C4388" t="s">
        <v>23490</v>
      </c>
      <c r="D4388" t="str">
        <f>HYPERLINK("https://rhld.insurance.arkansas.gov/NPILookup?Npi=1497118913","1497118913")</f>
        <v>1497118913</v>
      </c>
      <c r="E4388" t="s">
        <v>10989</v>
      </c>
    </row>
    <row r="4389" spans="1:5" x14ac:dyDescent="0.25">
      <c r="A4389" t="s">
        <v>1</v>
      </c>
      <c r="B4389" t="s">
        <v>19</v>
      </c>
      <c r="C4389" t="s">
        <v>23490</v>
      </c>
      <c r="D4389" t="str">
        <f>HYPERLINK("https://rhld.insurance.arkansas.gov/NPILookup?Npi=1497122113","1497122113")</f>
        <v>1497122113</v>
      </c>
      <c r="E4389" t="s">
        <v>1736</v>
      </c>
    </row>
    <row r="4390" spans="1:5" x14ac:dyDescent="0.25">
      <c r="A4390" t="s">
        <v>1</v>
      </c>
      <c r="B4390" t="s">
        <v>19</v>
      </c>
      <c r="C4390" t="s">
        <v>23490</v>
      </c>
      <c r="D4390" t="str">
        <f>HYPERLINK("https://rhld.insurance.arkansas.gov/NPILookup?Npi=1497123129","1497123129")</f>
        <v>1497123129</v>
      </c>
      <c r="E4390" t="s">
        <v>19767</v>
      </c>
    </row>
    <row r="4391" spans="1:5" x14ac:dyDescent="0.25">
      <c r="A4391" t="s">
        <v>1</v>
      </c>
      <c r="B4391" t="s">
        <v>19</v>
      </c>
      <c r="C4391" t="s">
        <v>23490</v>
      </c>
      <c r="D4391" t="str">
        <f>HYPERLINK("https://rhld.insurance.arkansas.gov/NPILookup?Npi=1497124473","1497124473")</f>
        <v>1497124473</v>
      </c>
      <c r="E4391" t="s">
        <v>1737</v>
      </c>
    </row>
    <row r="4392" spans="1:5" x14ac:dyDescent="0.25">
      <c r="A4392" t="s">
        <v>1</v>
      </c>
      <c r="B4392" t="s">
        <v>19</v>
      </c>
      <c r="C4392" t="s">
        <v>23490</v>
      </c>
      <c r="D4392" t="str">
        <f>HYPERLINK("https://rhld.insurance.arkansas.gov/NPILookup?Npi=1497124762","1497124762")</f>
        <v>1497124762</v>
      </c>
      <c r="E4392" t="s">
        <v>13563</v>
      </c>
    </row>
    <row r="4393" spans="1:5" x14ac:dyDescent="0.25">
      <c r="A4393" t="s">
        <v>1</v>
      </c>
      <c r="B4393" t="s">
        <v>19</v>
      </c>
      <c r="C4393" t="s">
        <v>23490</v>
      </c>
      <c r="D4393" t="str">
        <f>HYPERLINK("https://rhld.insurance.arkansas.gov/NPILookup?Npi=1497125207","1497125207")</f>
        <v>1497125207</v>
      </c>
      <c r="E4393" t="s">
        <v>19768</v>
      </c>
    </row>
    <row r="4394" spans="1:5" x14ac:dyDescent="0.25">
      <c r="A4394" t="s">
        <v>1</v>
      </c>
      <c r="B4394" t="s">
        <v>19</v>
      </c>
      <c r="C4394" t="s">
        <v>23490</v>
      </c>
      <c r="D4394" t="str">
        <f>HYPERLINK("https://rhld.insurance.arkansas.gov/NPILookup?Npi=1497128722","1497128722")</f>
        <v>1497128722</v>
      </c>
      <c r="E4394" t="s">
        <v>21556</v>
      </c>
    </row>
    <row r="4395" spans="1:5" x14ac:dyDescent="0.25">
      <c r="A4395" t="s">
        <v>1</v>
      </c>
      <c r="B4395" t="s">
        <v>19</v>
      </c>
      <c r="C4395" t="s">
        <v>23490</v>
      </c>
      <c r="D4395" t="str">
        <f>HYPERLINK("https://rhld.insurance.arkansas.gov/NPILookup?Npi=1497134696","1497134696")</f>
        <v>1497134696</v>
      </c>
      <c r="E4395" t="s">
        <v>13564</v>
      </c>
    </row>
    <row r="4396" spans="1:5" x14ac:dyDescent="0.25">
      <c r="A4396" t="s">
        <v>1</v>
      </c>
      <c r="B4396" t="s">
        <v>19</v>
      </c>
      <c r="C4396" t="s">
        <v>23490</v>
      </c>
      <c r="D4396" t="str">
        <f>HYPERLINK("https://rhld.insurance.arkansas.gov/NPILookup?Npi=1497138887","1497138887")</f>
        <v>1497138887</v>
      </c>
      <c r="E4396" t="s">
        <v>19769</v>
      </c>
    </row>
    <row r="4397" spans="1:5" x14ac:dyDescent="0.25">
      <c r="A4397" t="s">
        <v>1</v>
      </c>
      <c r="B4397" t="s">
        <v>19</v>
      </c>
      <c r="C4397" t="s">
        <v>23490</v>
      </c>
      <c r="D4397" t="str">
        <f>HYPERLINK("https://rhld.insurance.arkansas.gov/NPILookup?Npi=1497139554","1497139554")</f>
        <v>1497139554</v>
      </c>
      <c r="E4397" t="s">
        <v>1738</v>
      </c>
    </row>
    <row r="4398" spans="1:5" x14ac:dyDescent="0.25">
      <c r="A4398" t="s">
        <v>1</v>
      </c>
      <c r="B4398" t="s">
        <v>19</v>
      </c>
      <c r="C4398" t="s">
        <v>23490</v>
      </c>
      <c r="D4398" t="str">
        <f>HYPERLINK("https://rhld.insurance.arkansas.gov/NPILookup?Npi=1497141485","1497141485")</f>
        <v>1497141485</v>
      </c>
      <c r="E4398" t="s">
        <v>19770</v>
      </c>
    </row>
    <row r="4399" spans="1:5" x14ac:dyDescent="0.25">
      <c r="A4399" t="s">
        <v>1</v>
      </c>
      <c r="B4399" t="s">
        <v>19</v>
      </c>
      <c r="C4399" t="s">
        <v>23490</v>
      </c>
      <c r="D4399" t="str">
        <f>HYPERLINK("https://rhld.insurance.arkansas.gov/NPILookup?Npi=1497160691","1497160691")</f>
        <v>1497160691</v>
      </c>
      <c r="E4399" t="s">
        <v>13565</v>
      </c>
    </row>
    <row r="4400" spans="1:5" x14ac:dyDescent="0.25">
      <c r="A4400" t="s">
        <v>1</v>
      </c>
      <c r="B4400" t="s">
        <v>19</v>
      </c>
      <c r="C4400" t="s">
        <v>23490</v>
      </c>
      <c r="D4400" t="str">
        <f>HYPERLINK("https://rhld.insurance.arkansas.gov/NPILookup?Npi=1497169296","1497169296")</f>
        <v>1497169296</v>
      </c>
      <c r="E4400" t="s">
        <v>10990</v>
      </c>
    </row>
    <row r="4401" spans="1:5" x14ac:dyDescent="0.25">
      <c r="A4401" t="s">
        <v>1</v>
      </c>
      <c r="B4401" t="s">
        <v>19</v>
      </c>
      <c r="C4401" t="s">
        <v>23490</v>
      </c>
      <c r="D4401" t="str">
        <f>HYPERLINK("https://rhld.insurance.arkansas.gov/NPILookup?Npi=1497178305","1497178305")</f>
        <v>1497178305</v>
      </c>
      <c r="E4401" t="s">
        <v>10991</v>
      </c>
    </row>
    <row r="4402" spans="1:5" x14ac:dyDescent="0.25">
      <c r="A4402" t="s">
        <v>1</v>
      </c>
      <c r="B4402" t="s">
        <v>19</v>
      </c>
      <c r="C4402" t="s">
        <v>23490</v>
      </c>
      <c r="D4402" t="str">
        <f>HYPERLINK("https://rhld.insurance.arkansas.gov/NPILookup?Npi=1497194427","1497194427")</f>
        <v>1497194427</v>
      </c>
      <c r="E4402" t="s">
        <v>8704</v>
      </c>
    </row>
    <row r="4403" spans="1:5" x14ac:dyDescent="0.25">
      <c r="A4403" t="s">
        <v>1</v>
      </c>
      <c r="B4403" t="s">
        <v>19</v>
      </c>
      <c r="C4403" t="s">
        <v>23490</v>
      </c>
      <c r="D4403" t="str">
        <f>HYPERLINK("https://rhld.insurance.arkansas.gov/NPILookup?Npi=1497195598","1497195598")</f>
        <v>1497195598</v>
      </c>
      <c r="E4403" t="s">
        <v>19771</v>
      </c>
    </row>
    <row r="4404" spans="1:5" x14ac:dyDescent="0.25">
      <c r="A4404" t="s">
        <v>1</v>
      </c>
      <c r="B4404" t="s">
        <v>19</v>
      </c>
      <c r="C4404" t="s">
        <v>23490</v>
      </c>
      <c r="D4404" t="str">
        <f>HYPERLINK("https://rhld.insurance.arkansas.gov/NPILookup?Npi=1497200638","1497200638")</f>
        <v>1497200638</v>
      </c>
      <c r="E4404" t="s">
        <v>16969</v>
      </c>
    </row>
    <row r="4405" spans="1:5" x14ac:dyDescent="0.25">
      <c r="A4405" t="s">
        <v>1</v>
      </c>
      <c r="B4405" t="s">
        <v>19</v>
      </c>
      <c r="C4405" t="s">
        <v>23490</v>
      </c>
      <c r="D4405" t="str">
        <f>HYPERLINK("https://rhld.insurance.arkansas.gov/NPILookup?Npi=1497203335","1497203335")</f>
        <v>1497203335</v>
      </c>
      <c r="E4405" t="s">
        <v>10992</v>
      </c>
    </row>
    <row r="4406" spans="1:5" x14ac:dyDescent="0.25">
      <c r="A4406" t="s">
        <v>1</v>
      </c>
      <c r="B4406" t="s">
        <v>19</v>
      </c>
      <c r="C4406" t="s">
        <v>23490</v>
      </c>
      <c r="D4406" t="str">
        <f>HYPERLINK("https://rhld.insurance.arkansas.gov/NPILookup?Npi=1497206908","1497206908")</f>
        <v>1497206908</v>
      </c>
      <c r="E4406" t="s">
        <v>10993</v>
      </c>
    </row>
    <row r="4407" spans="1:5" x14ac:dyDescent="0.25">
      <c r="A4407" t="s">
        <v>1</v>
      </c>
      <c r="B4407" t="s">
        <v>19</v>
      </c>
      <c r="C4407" t="s">
        <v>23490</v>
      </c>
      <c r="D4407" t="str">
        <f>HYPERLINK("https://rhld.insurance.arkansas.gov/NPILookup?Npi=1497206924","1497206924")</f>
        <v>1497206924</v>
      </c>
      <c r="E4407" t="s">
        <v>19772</v>
      </c>
    </row>
    <row r="4408" spans="1:5" x14ac:dyDescent="0.25">
      <c r="A4408" t="s">
        <v>1</v>
      </c>
      <c r="B4408" t="s">
        <v>19</v>
      </c>
      <c r="C4408" t="s">
        <v>23490</v>
      </c>
      <c r="D4408" t="str">
        <f>HYPERLINK("https://rhld.insurance.arkansas.gov/NPILookup?Npi=1497208177","1497208177")</f>
        <v>1497208177</v>
      </c>
      <c r="E4408" t="s">
        <v>10994</v>
      </c>
    </row>
    <row r="4409" spans="1:5" x14ac:dyDescent="0.25">
      <c r="A4409" t="s">
        <v>1</v>
      </c>
      <c r="B4409" t="s">
        <v>19</v>
      </c>
      <c r="C4409" t="s">
        <v>23490</v>
      </c>
      <c r="D4409" t="str">
        <f>HYPERLINK("https://rhld.insurance.arkansas.gov/NPILookup?Npi=1497208508","1497208508")</f>
        <v>1497208508</v>
      </c>
      <c r="E4409" t="s">
        <v>10995</v>
      </c>
    </row>
    <row r="4410" spans="1:5" x14ac:dyDescent="0.25">
      <c r="A4410" t="s">
        <v>1</v>
      </c>
      <c r="B4410" t="s">
        <v>19</v>
      </c>
      <c r="C4410" t="s">
        <v>23490</v>
      </c>
      <c r="D4410" t="str">
        <f>HYPERLINK("https://rhld.insurance.arkansas.gov/NPILookup?Npi=1497209696","1497209696")</f>
        <v>1497209696</v>
      </c>
      <c r="E4410" t="s">
        <v>19773</v>
      </c>
    </row>
    <row r="4411" spans="1:5" x14ac:dyDescent="0.25">
      <c r="A4411" t="s">
        <v>1</v>
      </c>
      <c r="B4411" t="s">
        <v>19</v>
      </c>
      <c r="C4411" t="s">
        <v>23490</v>
      </c>
      <c r="D4411" t="str">
        <f>HYPERLINK("https://rhld.insurance.arkansas.gov/NPILookup?Npi=1497218721","1497218721")</f>
        <v>1497218721</v>
      </c>
      <c r="E4411" t="s">
        <v>20953</v>
      </c>
    </row>
    <row r="4412" spans="1:5" x14ac:dyDescent="0.25">
      <c r="A4412" t="s">
        <v>1</v>
      </c>
      <c r="B4412" t="s">
        <v>19</v>
      </c>
      <c r="C4412" t="s">
        <v>23490</v>
      </c>
      <c r="D4412" t="str">
        <f>HYPERLINK("https://rhld.insurance.arkansas.gov/NPILookup?Npi=1497222541","1497222541")</f>
        <v>1497222541</v>
      </c>
      <c r="E4412" t="s">
        <v>22947</v>
      </c>
    </row>
    <row r="4413" spans="1:5" x14ac:dyDescent="0.25">
      <c r="A4413" t="s">
        <v>1</v>
      </c>
      <c r="B4413" t="s">
        <v>19</v>
      </c>
      <c r="C4413" t="s">
        <v>23490</v>
      </c>
      <c r="D4413" t="str">
        <f>HYPERLINK("https://rhld.insurance.arkansas.gov/NPILookup?Npi=1497227003","1497227003")</f>
        <v>1497227003</v>
      </c>
      <c r="E4413" t="s">
        <v>19774</v>
      </c>
    </row>
    <row r="4414" spans="1:5" x14ac:dyDescent="0.25">
      <c r="A4414" t="s">
        <v>1</v>
      </c>
      <c r="B4414" t="s">
        <v>19</v>
      </c>
      <c r="C4414" t="s">
        <v>23490</v>
      </c>
      <c r="D4414" t="str">
        <f>HYPERLINK("https://rhld.insurance.arkansas.gov/NPILookup?Npi=1497241343","1497241343")</f>
        <v>1497241343</v>
      </c>
      <c r="E4414" t="s">
        <v>20954</v>
      </c>
    </row>
    <row r="4415" spans="1:5" x14ac:dyDescent="0.25">
      <c r="A4415" t="s">
        <v>1</v>
      </c>
      <c r="B4415" t="s">
        <v>19</v>
      </c>
      <c r="C4415" t="s">
        <v>23490</v>
      </c>
      <c r="D4415" t="str">
        <f>HYPERLINK("https://rhld.insurance.arkansas.gov/NPILookup?Npi=1497246086","1497246086")</f>
        <v>1497246086</v>
      </c>
      <c r="E4415" t="s">
        <v>18008</v>
      </c>
    </row>
    <row r="4416" spans="1:5" x14ac:dyDescent="0.25">
      <c r="A4416" t="s">
        <v>1</v>
      </c>
      <c r="B4416" t="s">
        <v>19</v>
      </c>
      <c r="C4416" t="s">
        <v>23490</v>
      </c>
      <c r="D4416" t="str">
        <f>HYPERLINK("https://rhld.insurance.arkansas.gov/NPILookup?Npi=1497261093","1497261093")</f>
        <v>1497261093</v>
      </c>
      <c r="E4416" t="s">
        <v>12853</v>
      </c>
    </row>
    <row r="4417" spans="1:5" x14ac:dyDescent="0.25">
      <c r="A4417" t="s">
        <v>1</v>
      </c>
      <c r="B4417" t="s">
        <v>19</v>
      </c>
      <c r="C4417" t="s">
        <v>23490</v>
      </c>
      <c r="D4417" t="str">
        <f>HYPERLINK("https://rhld.insurance.arkansas.gov/NPILookup?Npi=1497270771","1497270771")</f>
        <v>1497270771</v>
      </c>
      <c r="E4417" t="s">
        <v>10996</v>
      </c>
    </row>
    <row r="4418" spans="1:5" x14ac:dyDescent="0.25">
      <c r="A4418" t="s">
        <v>1</v>
      </c>
      <c r="B4418" t="s">
        <v>19</v>
      </c>
      <c r="C4418" t="s">
        <v>23490</v>
      </c>
      <c r="D4418" t="str">
        <f>HYPERLINK("https://rhld.insurance.arkansas.gov/NPILookup?Npi=1497280630","1497280630")</f>
        <v>1497280630</v>
      </c>
      <c r="E4418" t="s">
        <v>10997</v>
      </c>
    </row>
    <row r="4419" spans="1:5" x14ac:dyDescent="0.25">
      <c r="A4419" t="s">
        <v>1</v>
      </c>
      <c r="B4419" t="s">
        <v>19</v>
      </c>
      <c r="C4419" t="s">
        <v>23490</v>
      </c>
      <c r="D4419" t="str">
        <f>HYPERLINK("https://rhld.insurance.arkansas.gov/NPILookup?Npi=1497284475","1497284475")</f>
        <v>1497284475</v>
      </c>
      <c r="E4419" t="s">
        <v>15198</v>
      </c>
    </row>
    <row r="4420" spans="1:5" x14ac:dyDescent="0.25">
      <c r="A4420" t="s">
        <v>1</v>
      </c>
      <c r="B4420" t="s">
        <v>19</v>
      </c>
      <c r="C4420" t="s">
        <v>23490</v>
      </c>
      <c r="D4420" t="str">
        <f>HYPERLINK("https://rhld.insurance.arkansas.gov/NPILookup?Npi=1497299523","1497299523")</f>
        <v>1497299523</v>
      </c>
      <c r="E4420" t="s">
        <v>17075</v>
      </c>
    </row>
    <row r="4421" spans="1:5" x14ac:dyDescent="0.25">
      <c r="A4421" t="s">
        <v>1</v>
      </c>
      <c r="B4421" t="s">
        <v>19</v>
      </c>
      <c r="C4421" t="s">
        <v>23490</v>
      </c>
      <c r="D4421" t="str">
        <f>HYPERLINK("https://rhld.insurance.arkansas.gov/NPILookup?Npi=1497307664","1497307664")</f>
        <v>1497307664</v>
      </c>
      <c r="E4421" t="s">
        <v>19775</v>
      </c>
    </row>
    <row r="4422" spans="1:5" x14ac:dyDescent="0.25">
      <c r="A4422" t="s">
        <v>1</v>
      </c>
      <c r="B4422" t="s">
        <v>19</v>
      </c>
      <c r="C4422" t="s">
        <v>23490</v>
      </c>
      <c r="D4422" t="str">
        <f>HYPERLINK("https://rhld.insurance.arkansas.gov/NPILookup?Npi=1497318232","1497318232")</f>
        <v>1497318232</v>
      </c>
      <c r="E4422" t="s">
        <v>19776</v>
      </c>
    </row>
    <row r="4423" spans="1:5" x14ac:dyDescent="0.25">
      <c r="A4423" t="s">
        <v>1</v>
      </c>
      <c r="B4423" t="s">
        <v>19</v>
      </c>
      <c r="C4423" t="s">
        <v>23490</v>
      </c>
      <c r="D4423" t="str">
        <f>HYPERLINK("https://rhld.insurance.arkansas.gov/NPILookup?Npi=1497320337","1497320337")</f>
        <v>1497320337</v>
      </c>
      <c r="E4423" t="s">
        <v>19777</v>
      </c>
    </row>
    <row r="4424" spans="1:5" x14ac:dyDescent="0.25">
      <c r="A4424" t="s">
        <v>1</v>
      </c>
      <c r="B4424" t="s">
        <v>19</v>
      </c>
      <c r="C4424" t="s">
        <v>23490</v>
      </c>
      <c r="D4424" t="str">
        <f>HYPERLINK("https://rhld.insurance.arkansas.gov/NPILookup?Npi=1497325997","1497325997")</f>
        <v>1497325997</v>
      </c>
      <c r="E4424" t="s">
        <v>18794</v>
      </c>
    </row>
    <row r="4425" spans="1:5" x14ac:dyDescent="0.25">
      <c r="A4425" t="s">
        <v>1</v>
      </c>
      <c r="B4425" t="s">
        <v>19</v>
      </c>
      <c r="C4425" t="s">
        <v>23490</v>
      </c>
      <c r="D4425" t="str">
        <f>HYPERLINK("https://rhld.insurance.arkansas.gov/NPILookup?Npi=1497326599","1497326599")</f>
        <v>1497326599</v>
      </c>
      <c r="E4425" t="s">
        <v>18795</v>
      </c>
    </row>
    <row r="4426" spans="1:5" x14ac:dyDescent="0.25">
      <c r="A4426" t="s">
        <v>1</v>
      </c>
      <c r="B4426" t="s">
        <v>19</v>
      </c>
      <c r="C4426" t="s">
        <v>23490</v>
      </c>
      <c r="D4426" t="str">
        <f>HYPERLINK("https://rhld.insurance.arkansas.gov/NPILookup?Npi=1497330310","1497330310")</f>
        <v>1497330310</v>
      </c>
      <c r="E4426" t="s">
        <v>19778</v>
      </c>
    </row>
    <row r="4427" spans="1:5" x14ac:dyDescent="0.25">
      <c r="A4427" t="s">
        <v>1</v>
      </c>
      <c r="B4427" t="s">
        <v>19</v>
      </c>
      <c r="C4427" t="s">
        <v>23490</v>
      </c>
      <c r="D4427" t="str">
        <f>HYPERLINK("https://rhld.insurance.arkansas.gov/NPILookup?Npi=1497332696","1497332696")</f>
        <v>1497332696</v>
      </c>
      <c r="E4427" t="s">
        <v>18796</v>
      </c>
    </row>
    <row r="4428" spans="1:5" x14ac:dyDescent="0.25">
      <c r="A4428" t="s">
        <v>1</v>
      </c>
      <c r="B4428" t="s">
        <v>19</v>
      </c>
      <c r="C4428" t="s">
        <v>23490</v>
      </c>
      <c r="D4428" t="str">
        <f>HYPERLINK("https://rhld.insurance.arkansas.gov/NPILookup?Npi=1497348106","1497348106")</f>
        <v>1497348106</v>
      </c>
      <c r="E4428" t="s">
        <v>19779</v>
      </c>
    </row>
    <row r="4429" spans="1:5" x14ac:dyDescent="0.25">
      <c r="A4429" t="s">
        <v>1</v>
      </c>
      <c r="B4429" t="s">
        <v>19</v>
      </c>
      <c r="C4429" t="s">
        <v>23490</v>
      </c>
      <c r="D4429" t="str">
        <f>HYPERLINK("https://rhld.insurance.arkansas.gov/NPILookup?Npi=1497376453","1497376453")</f>
        <v>1497376453</v>
      </c>
      <c r="E4429" t="s">
        <v>21557</v>
      </c>
    </row>
    <row r="4430" spans="1:5" x14ac:dyDescent="0.25">
      <c r="A4430" t="s">
        <v>1</v>
      </c>
      <c r="B4430" t="s">
        <v>19</v>
      </c>
      <c r="C4430" t="s">
        <v>23490</v>
      </c>
      <c r="D4430" t="str">
        <f>HYPERLINK("https://rhld.insurance.arkansas.gov/NPILookup?Npi=1497380414","1497380414")</f>
        <v>1497380414</v>
      </c>
      <c r="E4430" t="s">
        <v>18009</v>
      </c>
    </row>
    <row r="4431" spans="1:5" x14ac:dyDescent="0.25">
      <c r="A4431" t="s">
        <v>1</v>
      </c>
      <c r="B4431" t="s">
        <v>19</v>
      </c>
      <c r="C4431" t="s">
        <v>23490</v>
      </c>
      <c r="D4431" t="str">
        <f>HYPERLINK("https://rhld.insurance.arkansas.gov/NPILookup?Npi=1497397921","1497397921")</f>
        <v>1497397921</v>
      </c>
      <c r="E4431" t="s">
        <v>19780</v>
      </c>
    </row>
    <row r="4432" spans="1:5" x14ac:dyDescent="0.25">
      <c r="A4432" t="s">
        <v>1</v>
      </c>
      <c r="B4432" t="s">
        <v>19</v>
      </c>
      <c r="C4432" t="s">
        <v>23490</v>
      </c>
      <c r="D4432" t="str">
        <f>HYPERLINK("https://rhld.insurance.arkansas.gov/NPILookup?Npi=1497411722","1497411722")</f>
        <v>1497411722</v>
      </c>
      <c r="E4432" t="s">
        <v>19781</v>
      </c>
    </row>
    <row r="4433" spans="1:5" x14ac:dyDescent="0.25">
      <c r="A4433" t="s">
        <v>1</v>
      </c>
      <c r="B4433" t="s">
        <v>19</v>
      </c>
      <c r="C4433" t="s">
        <v>23490</v>
      </c>
      <c r="D4433" t="str">
        <f>HYPERLINK("https://rhld.insurance.arkansas.gov/NPILookup?Npi=1497419774","1497419774")</f>
        <v>1497419774</v>
      </c>
      <c r="E4433" t="s">
        <v>19782</v>
      </c>
    </row>
    <row r="4434" spans="1:5" x14ac:dyDescent="0.25">
      <c r="A4434" t="s">
        <v>1</v>
      </c>
      <c r="B4434" t="s">
        <v>19</v>
      </c>
      <c r="C4434" t="s">
        <v>23490</v>
      </c>
      <c r="D4434" t="str">
        <f>HYPERLINK("https://rhld.insurance.arkansas.gov/NPILookup?Npi=1497484505","1497484505")</f>
        <v>1497484505</v>
      </c>
      <c r="E4434" t="s">
        <v>21558</v>
      </c>
    </row>
    <row r="4435" spans="1:5" x14ac:dyDescent="0.25">
      <c r="A4435" t="s">
        <v>1</v>
      </c>
      <c r="B4435" t="s">
        <v>19</v>
      </c>
      <c r="C4435" t="s">
        <v>23490</v>
      </c>
      <c r="D4435" t="str">
        <f>HYPERLINK("https://rhld.insurance.arkansas.gov/NPILookup?Npi=1497493431","1497493431")</f>
        <v>1497493431</v>
      </c>
      <c r="E4435" t="s">
        <v>20955</v>
      </c>
    </row>
    <row r="4436" spans="1:5" x14ac:dyDescent="0.25">
      <c r="A4436" t="s">
        <v>1</v>
      </c>
      <c r="B4436" t="s">
        <v>19</v>
      </c>
      <c r="C4436" t="s">
        <v>23490</v>
      </c>
      <c r="D4436" t="str">
        <f>HYPERLINK("https://rhld.insurance.arkansas.gov/NPILookup?Npi=1497701130","1497701130")</f>
        <v>1497701130</v>
      </c>
      <c r="E4436" t="s">
        <v>1739</v>
      </c>
    </row>
    <row r="4437" spans="1:5" x14ac:dyDescent="0.25">
      <c r="A4437" t="s">
        <v>1</v>
      </c>
      <c r="B4437" t="s">
        <v>19</v>
      </c>
      <c r="C4437" t="s">
        <v>23490</v>
      </c>
      <c r="D4437" t="str">
        <f>HYPERLINK("https://rhld.insurance.arkansas.gov/NPILookup?Npi=1497702096","1497702096")</f>
        <v>1497702096</v>
      </c>
      <c r="E4437" t="s">
        <v>18010</v>
      </c>
    </row>
    <row r="4438" spans="1:5" x14ac:dyDescent="0.25">
      <c r="A4438" t="s">
        <v>1</v>
      </c>
      <c r="B4438" t="s">
        <v>19</v>
      </c>
      <c r="C4438" t="s">
        <v>23490</v>
      </c>
      <c r="D4438" t="str">
        <f>HYPERLINK("https://rhld.insurance.arkansas.gov/NPILookup?Npi=1497702823","1497702823")</f>
        <v>1497702823</v>
      </c>
      <c r="E4438" t="s">
        <v>21559</v>
      </c>
    </row>
    <row r="4439" spans="1:5" x14ac:dyDescent="0.25">
      <c r="A4439" t="s">
        <v>1</v>
      </c>
      <c r="B4439" t="s">
        <v>19</v>
      </c>
      <c r="C4439" t="s">
        <v>23490</v>
      </c>
      <c r="D4439" t="str">
        <f>HYPERLINK("https://rhld.insurance.arkansas.gov/NPILookup?Npi=1497705453","1497705453")</f>
        <v>1497705453</v>
      </c>
      <c r="E4439" t="s">
        <v>15199</v>
      </c>
    </row>
    <row r="4440" spans="1:5" x14ac:dyDescent="0.25">
      <c r="A4440" t="s">
        <v>1</v>
      </c>
      <c r="B4440" t="s">
        <v>19</v>
      </c>
      <c r="C4440" t="s">
        <v>23490</v>
      </c>
      <c r="D4440" t="str">
        <f>HYPERLINK("https://rhld.insurance.arkansas.gov/NPILookup?Npi=1497711279","1497711279")</f>
        <v>1497711279</v>
      </c>
      <c r="E4440" t="s">
        <v>1740</v>
      </c>
    </row>
    <row r="4441" spans="1:5" x14ac:dyDescent="0.25">
      <c r="A4441" t="s">
        <v>1</v>
      </c>
      <c r="B4441" t="s">
        <v>19</v>
      </c>
      <c r="C4441" t="s">
        <v>23490</v>
      </c>
      <c r="D4441" t="str">
        <f>HYPERLINK("https://rhld.insurance.arkansas.gov/NPILookup?Npi=1497712293","1497712293")</f>
        <v>1497712293</v>
      </c>
      <c r="E4441" t="s">
        <v>1741</v>
      </c>
    </row>
    <row r="4442" spans="1:5" x14ac:dyDescent="0.25">
      <c r="A4442" t="s">
        <v>1</v>
      </c>
      <c r="B4442" t="s">
        <v>19</v>
      </c>
      <c r="C4442" t="s">
        <v>23490</v>
      </c>
      <c r="D4442" t="str">
        <f>HYPERLINK("https://rhld.insurance.arkansas.gov/NPILookup?Npi=1497712640","1497712640")</f>
        <v>1497712640</v>
      </c>
      <c r="E4442" t="s">
        <v>1743</v>
      </c>
    </row>
    <row r="4443" spans="1:5" x14ac:dyDescent="0.25">
      <c r="A4443" t="s">
        <v>1</v>
      </c>
      <c r="B4443" t="s">
        <v>19</v>
      </c>
      <c r="C4443" t="s">
        <v>23490</v>
      </c>
      <c r="D4443" t="str">
        <f>HYPERLINK("https://rhld.insurance.arkansas.gov/NPILookup?Npi=1497720221","1497720221")</f>
        <v>1497720221</v>
      </c>
      <c r="E4443" t="s">
        <v>1744</v>
      </c>
    </row>
    <row r="4444" spans="1:5" x14ac:dyDescent="0.25">
      <c r="A4444" t="s">
        <v>1</v>
      </c>
      <c r="B4444" t="s">
        <v>19</v>
      </c>
      <c r="C4444" t="s">
        <v>23490</v>
      </c>
      <c r="D4444" t="str">
        <f>HYPERLINK("https://rhld.insurance.arkansas.gov/NPILookup?Npi=1497724223","1497724223")</f>
        <v>1497724223</v>
      </c>
      <c r="E4444" t="s">
        <v>1745</v>
      </c>
    </row>
    <row r="4445" spans="1:5" x14ac:dyDescent="0.25">
      <c r="A4445" t="s">
        <v>1</v>
      </c>
      <c r="B4445" t="s">
        <v>19</v>
      </c>
      <c r="C4445" t="s">
        <v>23490</v>
      </c>
      <c r="D4445" t="str">
        <f>HYPERLINK("https://rhld.insurance.arkansas.gov/NPILookup?Npi=1497728638","1497728638")</f>
        <v>1497728638</v>
      </c>
      <c r="E4445" t="s">
        <v>1746</v>
      </c>
    </row>
    <row r="4446" spans="1:5" x14ac:dyDescent="0.25">
      <c r="A4446" t="s">
        <v>1</v>
      </c>
      <c r="B4446" t="s">
        <v>19</v>
      </c>
      <c r="C4446" t="s">
        <v>23490</v>
      </c>
      <c r="D4446" t="str">
        <f>HYPERLINK("https://rhld.insurance.arkansas.gov/NPILookup?Npi=1497729941","1497729941")</f>
        <v>1497729941</v>
      </c>
      <c r="E4446" t="s">
        <v>1747</v>
      </c>
    </row>
    <row r="4447" spans="1:5" x14ac:dyDescent="0.25">
      <c r="A4447" t="s">
        <v>1</v>
      </c>
      <c r="B4447" t="s">
        <v>19</v>
      </c>
      <c r="C4447" t="s">
        <v>23490</v>
      </c>
      <c r="D4447" t="str">
        <f>HYPERLINK("https://rhld.insurance.arkansas.gov/NPILookup?Npi=1497735120","1497735120")</f>
        <v>1497735120</v>
      </c>
      <c r="E4447" t="s">
        <v>1748</v>
      </c>
    </row>
    <row r="4448" spans="1:5" x14ac:dyDescent="0.25">
      <c r="A4448" t="s">
        <v>1</v>
      </c>
      <c r="B4448" t="s">
        <v>19</v>
      </c>
      <c r="C4448" t="s">
        <v>23490</v>
      </c>
      <c r="D4448" t="str">
        <f>HYPERLINK("https://rhld.insurance.arkansas.gov/NPILookup?Npi=1497735609","1497735609")</f>
        <v>1497735609</v>
      </c>
      <c r="E4448" t="s">
        <v>1749</v>
      </c>
    </row>
    <row r="4449" spans="1:5" x14ac:dyDescent="0.25">
      <c r="A4449" t="s">
        <v>1</v>
      </c>
      <c r="B4449" t="s">
        <v>19</v>
      </c>
      <c r="C4449" t="s">
        <v>23490</v>
      </c>
      <c r="D4449" t="str">
        <f>HYPERLINK("https://rhld.insurance.arkansas.gov/NPILookup?Npi=1497743413","1497743413")</f>
        <v>1497743413</v>
      </c>
      <c r="E4449" t="s">
        <v>1750</v>
      </c>
    </row>
    <row r="4450" spans="1:5" x14ac:dyDescent="0.25">
      <c r="A4450" t="s">
        <v>1</v>
      </c>
      <c r="B4450" t="s">
        <v>19</v>
      </c>
      <c r="C4450" t="s">
        <v>23490</v>
      </c>
      <c r="D4450" t="str">
        <f>HYPERLINK("https://rhld.insurance.arkansas.gov/NPILookup?Npi=1497745830","1497745830")</f>
        <v>1497745830</v>
      </c>
      <c r="E4450" t="s">
        <v>1751</v>
      </c>
    </row>
    <row r="4451" spans="1:5" x14ac:dyDescent="0.25">
      <c r="A4451" t="s">
        <v>1</v>
      </c>
      <c r="B4451" t="s">
        <v>19</v>
      </c>
      <c r="C4451" t="s">
        <v>23490</v>
      </c>
      <c r="D4451" t="str">
        <f>HYPERLINK("https://rhld.insurance.arkansas.gov/NPILookup?Npi=1497747646","1497747646")</f>
        <v>1497747646</v>
      </c>
      <c r="E4451" t="s">
        <v>1752</v>
      </c>
    </row>
    <row r="4452" spans="1:5" x14ac:dyDescent="0.25">
      <c r="A4452" t="s">
        <v>1</v>
      </c>
      <c r="B4452" t="s">
        <v>19</v>
      </c>
      <c r="C4452" t="s">
        <v>23490</v>
      </c>
      <c r="D4452" t="str">
        <f>HYPERLINK("https://rhld.insurance.arkansas.gov/NPILookup?Npi=1497748297","1497748297")</f>
        <v>1497748297</v>
      </c>
      <c r="E4452" t="s">
        <v>15200</v>
      </c>
    </row>
    <row r="4453" spans="1:5" x14ac:dyDescent="0.25">
      <c r="A4453" t="s">
        <v>1</v>
      </c>
      <c r="B4453" t="s">
        <v>19</v>
      </c>
      <c r="C4453" t="s">
        <v>23490</v>
      </c>
      <c r="D4453" t="str">
        <f>HYPERLINK("https://rhld.insurance.arkansas.gov/NPILookup?Npi=1497748487","1497748487")</f>
        <v>1497748487</v>
      </c>
      <c r="E4453" t="s">
        <v>1753</v>
      </c>
    </row>
    <row r="4454" spans="1:5" x14ac:dyDescent="0.25">
      <c r="A4454" t="s">
        <v>1</v>
      </c>
      <c r="B4454" t="s">
        <v>19</v>
      </c>
      <c r="C4454" t="s">
        <v>23490</v>
      </c>
      <c r="D4454" t="str">
        <f>HYPERLINK("https://rhld.insurance.arkansas.gov/NPILookup?Npi=1497753131","1497753131")</f>
        <v>1497753131</v>
      </c>
      <c r="E4454" t="s">
        <v>1754</v>
      </c>
    </row>
    <row r="4455" spans="1:5" x14ac:dyDescent="0.25">
      <c r="A4455" t="s">
        <v>1</v>
      </c>
      <c r="B4455" t="s">
        <v>19</v>
      </c>
      <c r="C4455" t="s">
        <v>23490</v>
      </c>
      <c r="D4455" t="str">
        <f>HYPERLINK("https://rhld.insurance.arkansas.gov/NPILookup?Npi=1497753818","1497753818")</f>
        <v>1497753818</v>
      </c>
      <c r="E4455" t="s">
        <v>1755</v>
      </c>
    </row>
    <row r="4456" spans="1:5" x14ac:dyDescent="0.25">
      <c r="A4456" t="s">
        <v>1</v>
      </c>
      <c r="B4456" t="s">
        <v>19</v>
      </c>
      <c r="C4456" t="s">
        <v>23490</v>
      </c>
      <c r="D4456" t="str">
        <f>HYPERLINK("https://rhld.insurance.arkansas.gov/NPILookup?Npi=1497757520","1497757520")</f>
        <v>1497757520</v>
      </c>
      <c r="E4456" t="s">
        <v>1756</v>
      </c>
    </row>
    <row r="4457" spans="1:5" x14ac:dyDescent="0.25">
      <c r="A4457" t="s">
        <v>1</v>
      </c>
      <c r="B4457" t="s">
        <v>19</v>
      </c>
      <c r="C4457" t="s">
        <v>23490</v>
      </c>
      <c r="D4457" t="str">
        <f>HYPERLINK("https://rhld.insurance.arkansas.gov/NPILookup?Npi=1497765010","1497765010")</f>
        <v>1497765010</v>
      </c>
      <c r="E4457" t="s">
        <v>1757</v>
      </c>
    </row>
    <row r="4458" spans="1:5" x14ac:dyDescent="0.25">
      <c r="A4458" t="s">
        <v>1</v>
      </c>
      <c r="B4458" t="s">
        <v>19</v>
      </c>
      <c r="C4458" t="s">
        <v>23490</v>
      </c>
      <c r="D4458" t="str">
        <f>HYPERLINK("https://rhld.insurance.arkansas.gov/NPILookup?Npi=1497769772","1497769772")</f>
        <v>1497769772</v>
      </c>
      <c r="E4458" t="s">
        <v>1758</v>
      </c>
    </row>
    <row r="4459" spans="1:5" x14ac:dyDescent="0.25">
      <c r="A4459" t="s">
        <v>1</v>
      </c>
      <c r="B4459" t="s">
        <v>19</v>
      </c>
      <c r="C4459" t="s">
        <v>23490</v>
      </c>
      <c r="D4459" t="str">
        <f>HYPERLINK("https://rhld.insurance.arkansas.gov/NPILookup?Npi=1497771927","1497771927")</f>
        <v>1497771927</v>
      </c>
      <c r="E4459" t="s">
        <v>1759</v>
      </c>
    </row>
    <row r="4460" spans="1:5" x14ac:dyDescent="0.25">
      <c r="A4460" t="s">
        <v>1</v>
      </c>
      <c r="B4460" t="s">
        <v>19</v>
      </c>
      <c r="C4460" t="s">
        <v>23490</v>
      </c>
      <c r="D4460" t="str">
        <f>HYPERLINK("https://rhld.insurance.arkansas.gov/NPILookup?Npi=1497776199","1497776199")</f>
        <v>1497776199</v>
      </c>
      <c r="E4460" t="s">
        <v>19783</v>
      </c>
    </row>
    <row r="4461" spans="1:5" x14ac:dyDescent="0.25">
      <c r="A4461" t="s">
        <v>1</v>
      </c>
      <c r="B4461" t="s">
        <v>19</v>
      </c>
      <c r="C4461" t="s">
        <v>23490</v>
      </c>
      <c r="D4461" t="str">
        <f>HYPERLINK("https://rhld.insurance.arkansas.gov/NPILookup?Npi=1497781298","1497781298")</f>
        <v>1497781298</v>
      </c>
      <c r="E4461" t="s">
        <v>1760</v>
      </c>
    </row>
    <row r="4462" spans="1:5" x14ac:dyDescent="0.25">
      <c r="A4462" t="s">
        <v>1</v>
      </c>
      <c r="B4462" t="s">
        <v>19</v>
      </c>
      <c r="C4462" t="s">
        <v>23490</v>
      </c>
      <c r="D4462" t="str">
        <f>HYPERLINK("https://rhld.insurance.arkansas.gov/NPILookup?Npi=1497781918","1497781918")</f>
        <v>1497781918</v>
      </c>
      <c r="E4462" t="s">
        <v>1761</v>
      </c>
    </row>
    <row r="4463" spans="1:5" x14ac:dyDescent="0.25">
      <c r="A4463" t="s">
        <v>1</v>
      </c>
      <c r="B4463" t="s">
        <v>19</v>
      </c>
      <c r="C4463" t="s">
        <v>23490</v>
      </c>
      <c r="D4463" t="str">
        <f>HYPERLINK("https://rhld.insurance.arkansas.gov/NPILookup?Npi=1497782478","1497782478")</f>
        <v>1497782478</v>
      </c>
      <c r="E4463" t="s">
        <v>15201</v>
      </c>
    </row>
    <row r="4464" spans="1:5" x14ac:dyDescent="0.25">
      <c r="A4464" t="s">
        <v>1</v>
      </c>
      <c r="B4464" t="s">
        <v>19</v>
      </c>
      <c r="C4464" t="s">
        <v>23490</v>
      </c>
      <c r="D4464" t="str">
        <f>HYPERLINK("https://rhld.insurance.arkansas.gov/NPILookup?Npi=1497788905","1497788905")</f>
        <v>1497788905</v>
      </c>
      <c r="E4464" t="s">
        <v>15202</v>
      </c>
    </row>
    <row r="4465" spans="1:5" x14ac:dyDescent="0.25">
      <c r="A4465" t="s">
        <v>1</v>
      </c>
      <c r="B4465" t="s">
        <v>19</v>
      </c>
      <c r="C4465" t="s">
        <v>23490</v>
      </c>
      <c r="D4465" t="str">
        <f>HYPERLINK("https://rhld.insurance.arkansas.gov/NPILookup?Npi=1497812192","1497812192")</f>
        <v>1497812192</v>
      </c>
      <c r="E4465" t="s">
        <v>8705</v>
      </c>
    </row>
    <row r="4466" spans="1:5" x14ac:dyDescent="0.25">
      <c r="A4466" t="s">
        <v>1</v>
      </c>
      <c r="B4466" t="s">
        <v>19</v>
      </c>
      <c r="C4466" t="s">
        <v>23490</v>
      </c>
      <c r="D4466" t="str">
        <f>HYPERLINK("https://rhld.insurance.arkansas.gov/NPILookup?Npi=1497824304","1497824304")</f>
        <v>1497824304</v>
      </c>
      <c r="E4466" t="s">
        <v>1762</v>
      </c>
    </row>
    <row r="4467" spans="1:5" x14ac:dyDescent="0.25">
      <c r="A4467" t="s">
        <v>1</v>
      </c>
      <c r="B4467" t="s">
        <v>19</v>
      </c>
      <c r="C4467" t="s">
        <v>23490</v>
      </c>
      <c r="D4467" t="str">
        <f>HYPERLINK("https://rhld.insurance.arkansas.gov/NPILookup?Npi=1497833610","1497833610")</f>
        <v>1497833610</v>
      </c>
      <c r="E4467" t="s">
        <v>1763</v>
      </c>
    </row>
    <row r="4468" spans="1:5" x14ac:dyDescent="0.25">
      <c r="A4468" t="s">
        <v>1</v>
      </c>
      <c r="B4468" t="s">
        <v>19</v>
      </c>
      <c r="C4468" t="s">
        <v>23490</v>
      </c>
      <c r="D4468" t="str">
        <f>HYPERLINK("https://rhld.insurance.arkansas.gov/NPILookup?Npi=1497836563","1497836563")</f>
        <v>1497836563</v>
      </c>
      <c r="E4468" t="s">
        <v>1764</v>
      </c>
    </row>
    <row r="4469" spans="1:5" x14ac:dyDescent="0.25">
      <c r="A4469" t="s">
        <v>1</v>
      </c>
      <c r="B4469" t="s">
        <v>19</v>
      </c>
      <c r="C4469" t="s">
        <v>23490</v>
      </c>
      <c r="D4469" t="str">
        <f>HYPERLINK("https://rhld.insurance.arkansas.gov/NPILookup?Npi=1497841894","1497841894")</f>
        <v>1497841894</v>
      </c>
      <c r="E4469" t="s">
        <v>1765</v>
      </c>
    </row>
    <row r="4470" spans="1:5" x14ac:dyDescent="0.25">
      <c r="A4470" t="s">
        <v>1</v>
      </c>
      <c r="B4470" t="s">
        <v>19</v>
      </c>
      <c r="C4470" t="s">
        <v>23490</v>
      </c>
      <c r="D4470" t="str">
        <f>HYPERLINK("https://rhld.insurance.arkansas.gov/NPILookup?Npi=1497866149","1497866149")</f>
        <v>1497866149</v>
      </c>
      <c r="E4470" t="s">
        <v>1766</v>
      </c>
    </row>
    <row r="4471" spans="1:5" x14ac:dyDescent="0.25">
      <c r="A4471" t="s">
        <v>1</v>
      </c>
      <c r="B4471" t="s">
        <v>19</v>
      </c>
      <c r="C4471" t="s">
        <v>23490</v>
      </c>
      <c r="D4471" t="str">
        <f>HYPERLINK("https://rhld.insurance.arkansas.gov/NPILookup?Npi=1497871420","1497871420")</f>
        <v>1497871420</v>
      </c>
      <c r="E4471" t="s">
        <v>1767</v>
      </c>
    </row>
    <row r="4472" spans="1:5" x14ac:dyDescent="0.25">
      <c r="A4472" t="s">
        <v>1</v>
      </c>
      <c r="B4472" t="s">
        <v>19</v>
      </c>
      <c r="C4472" t="s">
        <v>23490</v>
      </c>
      <c r="D4472" t="str">
        <f>HYPERLINK("https://rhld.insurance.arkansas.gov/NPILookup?Npi=1497877377","1497877377")</f>
        <v>1497877377</v>
      </c>
      <c r="E4472" t="s">
        <v>1768</v>
      </c>
    </row>
    <row r="4473" spans="1:5" x14ac:dyDescent="0.25">
      <c r="A4473" t="s">
        <v>1</v>
      </c>
      <c r="B4473" t="s">
        <v>19</v>
      </c>
      <c r="C4473" t="s">
        <v>23490</v>
      </c>
      <c r="D4473" t="str">
        <f>HYPERLINK("https://rhld.insurance.arkansas.gov/NPILookup?Npi=1497899702","1497899702")</f>
        <v>1497899702</v>
      </c>
      <c r="E4473" t="s">
        <v>15203</v>
      </c>
    </row>
    <row r="4474" spans="1:5" x14ac:dyDescent="0.25">
      <c r="A4474" t="s">
        <v>1</v>
      </c>
      <c r="B4474" t="s">
        <v>19</v>
      </c>
      <c r="C4474" t="s">
        <v>23490</v>
      </c>
      <c r="D4474" t="str">
        <f>HYPERLINK("https://rhld.insurance.arkansas.gov/NPILookup?Npi=1497910624","1497910624")</f>
        <v>1497910624</v>
      </c>
      <c r="E4474" t="s">
        <v>1769</v>
      </c>
    </row>
    <row r="4475" spans="1:5" x14ac:dyDescent="0.25">
      <c r="A4475" t="s">
        <v>1</v>
      </c>
      <c r="B4475" t="s">
        <v>19</v>
      </c>
      <c r="C4475" t="s">
        <v>23490</v>
      </c>
      <c r="D4475" t="str">
        <f>HYPERLINK("https://rhld.insurance.arkansas.gov/NPILookup?Npi=1497914386","1497914386")</f>
        <v>1497914386</v>
      </c>
      <c r="E4475" t="s">
        <v>1770</v>
      </c>
    </row>
    <row r="4476" spans="1:5" x14ac:dyDescent="0.25">
      <c r="A4476" t="s">
        <v>1</v>
      </c>
      <c r="B4476" t="s">
        <v>19</v>
      </c>
      <c r="C4476" t="s">
        <v>23490</v>
      </c>
      <c r="D4476" t="str">
        <f>HYPERLINK("https://rhld.insurance.arkansas.gov/NPILookup?Npi=1497923445","1497923445")</f>
        <v>1497923445</v>
      </c>
      <c r="E4476" t="s">
        <v>1771</v>
      </c>
    </row>
    <row r="4477" spans="1:5" x14ac:dyDescent="0.25">
      <c r="A4477" t="s">
        <v>1</v>
      </c>
      <c r="B4477" t="s">
        <v>19</v>
      </c>
      <c r="C4477" t="s">
        <v>23490</v>
      </c>
      <c r="D4477" t="str">
        <f>HYPERLINK("https://rhld.insurance.arkansas.gov/NPILookup?Npi=1497964571","1497964571")</f>
        <v>1497964571</v>
      </c>
      <c r="E4477" t="s">
        <v>8706</v>
      </c>
    </row>
    <row r="4478" spans="1:5" x14ac:dyDescent="0.25">
      <c r="A4478" t="s">
        <v>1</v>
      </c>
      <c r="B4478" t="s">
        <v>19</v>
      </c>
      <c r="C4478" t="s">
        <v>23490</v>
      </c>
      <c r="D4478" t="str">
        <f>HYPERLINK("https://rhld.insurance.arkansas.gov/NPILookup?Npi=1497998041","1497998041")</f>
        <v>1497998041</v>
      </c>
      <c r="E4478" t="s">
        <v>16970</v>
      </c>
    </row>
    <row r="4479" spans="1:5" x14ac:dyDescent="0.25">
      <c r="A4479" t="s">
        <v>1</v>
      </c>
      <c r="B4479" t="s">
        <v>19</v>
      </c>
      <c r="C4479" t="s">
        <v>23490</v>
      </c>
      <c r="D4479" t="str">
        <f>HYPERLINK("https://rhld.insurance.arkansas.gov/NPILookup?Npi=1497999155","1497999155")</f>
        <v>1497999155</v>
      </c>
      <c r="E4479" t="s">
        <v>8707</v>
      </c>
    </row>
    <row r="4480" spans="1:5" x14ac:dyDescent="0.25">
      <c r="A4480" t="s">
        <v>1</v>
      </c>
      <c r="B4480" t="s">
        <v>19</v>
      </c>
      <c r="C4480" t="s">
        <v>23490</v>
      </c>
      <c r="D4480" t="str">
        <f>HYPERLINK("https://rhld.insurance.arkansas.gov/NPILookup?Npi=1508009960","1508009960")</f>
        <v>1508009960</v>
      </c>
      <c r="E4480" t="s">
        <v>19784</v>
      </c>
    </row>
    <row r="4481" spans="1:5" x14ac:dyDescent="0.25">
      <c r="A4481" t="s">
        <v>1</v>
      </c>
      <c r="B4481" t="s">
        <v>19</v>
      </c>
      <c r="C4481" t="s">
        <v>23490</v>
      </c>
      <c r="D4481" t="str">
        <f>HYPERLINK("https://rhld.insurance.arkansas.gov/NPILookup?Npi=1508022211","1508022211")</f>
        <v>1508022211</v>
      </c>
      <c r="E4481" t="s">
        <v>10998</v>
      </c>
    </row>
    <row r="4482" spans="1:5" x14ac:dyDescent="0.25">
      <c r="A4482" t="s">
        <v>1</v>
      </c>
      <c r="B4482" t="s">
        <v>19</v>
      </c>
      <c r="C4482" t="s">
        <v>23490</v>
      </c>
      <c r="D4482" t="str">
        <f>HYPERLINK("https://rhld.insurance.arkansas.gov/NPILookup?Npi=1508060641","1508060641")</f>
        <v>1508060641</v>
      </c>
      <c r="E4482" t="s">
        <v>1772</v>
      </c>
    </row>
    <row r="4483" spans="1:5" x14ac:dyDescent="0.25">
      <c r="A4483" t="s">
        <v>1</v>
      </c>
      <c r="B4483" t="s">
        <v>19</v>
      </c>
      <c r="C4483" t="s">
        <v>23490</v>
      </c>
      <c r="D4483" t="str">
        <f>HYPERLINK("https://rhld.insurance.arkansas.gov/NPILookup?Npi=1508070673","1508070673")</f>
        <v>1508070673</v>
      </c>
      <c r="E4483" t="s">
        <v>1773</v>
      </c>
    </row>
    <row r="4484" spans="1:5" x14ac:dyDescent="0.25">
      <c r="A4484" t="s">
        <v>1</v>
      </c>
      <c r="B4484" t="s">
        <v>19</v>
      </c>
      <c r="C4484" t="s">
        <v>23490</v>
      </c>
      <c r="D4484" t="str">
        <f>HYPERLINK("https://rhld.insurance.arkansas.gov/NPILookup?Npi=1508087115","1508087115")</f>
        <v>1508087115</v>
      </c>
      <c r="E4484" t="s">
        <v>1774</v>
      </c>
    </row>
    <row r="4485" spans="1:5" x14ac:dyDescent="0.25">
      <c r="A4485" t="s">
        <v>1</v>
      </c>
      <c r="B4485" t="s">
        <v>19</v>
      </c>
      <c r="C4485" t="s">
        <v>23490</v>
      </c>
      <c r="D4485" t="str">
        <f>HYPERLINK("https://rhld.insurance.arkansas.gov/NPILookup?Npi=1508112061","1508112061")</f>
        <v>1508112061</v>
      </c>
      <c r="E4485" t="s">
        <v>10999</v>
      </c>
    </row>
    <row r="4486" spans="1:5" x14ac:dyDescent="0.25">
      <c r="A4486" t="s">
        <v>1</v>
      </c>
      <c r="B4486" t="s">
        <v>19</v>
      </c>
      <c r="C4486" t="s">
        <v>23490</v>
      </c>
      <c r="D4486" t="str">
        <f>HYPERLINK("https://rhld.insurance.arkansas.gov/NPILookup?Npi=1508148990","1508148990")</f>
        <v>1508148990</v>
      </c>
      <c r="E4486" t="s">
        <v>1775</v>
      </c>
    </row>
    <row r="4487" spans="1:5" x14ac:dyDescent="0.25">
      <c r="A4487" t="s">
        <v>1</v>
      </c>
      <c r="B4487" t="s">
        <v>19</v>
      </c>
      <c r="C4487" t="s">
        <v>23490</v>
      </c>
      <c r="D4487" t="str">
        <f>HYPERLINK("https://rhld.insurance.arkansas.gov/NPILookup?Npi=1508153677","1508153677")</f>
        <v>1508153677</v>
      </c>
      <c r="E4487" t="s">
        <v>15204</v>
      </c>
    </row>
    <row r="4488" spans="1:5" x14ac:dyDescent="0.25">
      <c r="A4488" t="s">
        <v>1</v>
      </c>
      <c r="B4488" t="s">
        <v>19</v>
      </c>
      <c r="C4488" t="s">
        <v>23490</v>
      </c>
      <c r="D4488" t="str">
        <f>HYPERLINK("https://rhld.insurance.arkansas.gov/NPILookup?Npi=1508157371","1508157371")</f>
        <v>1508157371</v>
      </c>
      <c r="E4488" t="s">
        <v>15205</v>
      </c>
    </row>
    <row r="4489" spans="1:5" x14ac:dyDescent="0.25">
      <c r="A4489" t="s">
        <v>1</v>
      </c>
      <c r="B4489" t="s">
        <v>19</v>
      </c>
      <c r="C4489" t="s">
        <v>23490</v>
      </c>
      <c r="D4489" t="str">
        <f>HYPERLINK("https://rhld.insurance.arkansas.gov/NPILookup?Npi=1508168964","1508168964")</f>
        <v>1508168964</v>
      </c>
      <c r="E4489" t="s">
        <v>18011</v>
      </c>
    </row>
    <row r="4490" spans="1:5" x14ac:dyDescent="0.25">
      <c r="A4490" t="s">
        <v>1</v>
      </c>
      <c r="B4490" t="s">
        <v>19</v>
      </c>
      <c r="C4490" t="s">
        <v>23490</v>
      </c>
      <c r="D4490" t="str">
        <f>HYPERLINK("https://rhld.insurance.arkansas.gov/NPILookup?Npi=1508177957","1508177957")</f>
        <v>1508177957</v>
      </c>
      <c r="E4490" t="s">
        <v>16971</v>
      </c>
    </row>
    <row r="4491" spans="1:5" x14ac:dyDescent="0.25">
      <c r="A4491" t="s">
        <v>1</v>
      </c>
      <c r="B4491" t="s">
        <v>19</v>
      </c>
      <c r="C4491" t="s">
        <v>23490</v>
      </c>
      <c r="D4491" t="str">
        <f>HYPERLINK("https://rhld.insurance.arkansas.gov/NPILookup?Npi=1508178955","1508178955")</f>
        <v>1508178955</v>
      </c>
      <c r="E4491" t="s">
        <v>13566</v>
      </c>
    </row>
    <row r="4492" spans="1:5" x14ac:dyDescent="0.25">
      <c r="A4492" t="s">
        <v>1</v>
      </c>
      <c r="B4492" t="s">
        <v>19</v>
      </c>
      <c r="C4492" t="s">
        <v>23490</v>
      </c>
      <c r="D4492" t="str">
        <f>HYPERLINK("https://rhld.insurance.arkansas.gov/NPILookup?Npi=1508181090","1508181090")</f>
        <v>1508181090</v>
      </c>
      <c r="E4492" t="s">
        <v>8708</v>
      </c>
    </row>
    <row r="4493" spans="1:5" x14ac:dyDescent="0.25">
      <c r="A4493" t="s">
        <v>1</v>
      </c>
      <c r="B4493" t="s">
        <v>19</v>
      </c>
      <c r="C4493" t="s">
        <v>23490</v>
      </c>
      <c r="D4493" t="str">
        <f>HYPERLINK("https://rhld.insurance.arkansas.gov/NPILookup?Npi=1508183955","1508183955")</f>
        <v>1508183955</v>
      </c>
      <c r="E4493" t="s">
        <v>8709</v>
      </c>
    </row>
    <row r="4494" spans="1:5" x14ac:dyDescent="0.25">
      <c r="A4494" t="s">
        <v>1</v>
      </c>
      <c r="B4494" t="s">
        <v>19</v>
      </c>
      <c r="C4494" t="s">
        <v>23490</v>
      </c>
      <c r="D4494" t="str">
        <f>HYPERLINK("https://rhld.insurance.arkansas.gov/NPILookup?Npi=1508193459","1508193459")</f>
        <v>1508193459</v>
      </c>
      <c r="E4494" t="s">
        <v>15206</v>
      </c>
    </row>
    <row r="4495" spans="1:5" x14ac:dyDescent="0.25">
      <c r="A4495" t="s">
        <v>1</v>
      </c>
      <c r="B4495" t="s">
        <v>19</v>
      </c>
      <c r="C4495" t="s">
        <v>23490</v>
      </c>
      <c r="D4495" t="str">
        <f>HYPERLINK("https://rhld.insurance.arkansas.gov/NPILookup?Npi=1508194341","1508194341")</f>
        <v>1508194341</v>
      </c>
      <c r="E4495" t="s">
        <v>21560</v>
      </c>
    </row>
    <row r="4496" spans="1:5" x14ac:dyDescent="0.25">
      <c r="A4496" t="s">
        <v>1</v>
      </c>
      <c r="B4496" t="s">
        <v>19</v>
      </c>
      <c r="C4496" t="s">
        <v>23490</v>
      </c>
      <c r="D4496" t="str">
        <f>HYPERLINK("https://rhld.insurance.arkansas.gov/NPILookup?Npi=1508198201","1508198201")</f>
        <v>1508198201</v>
      </c>
      <c r="E4496" t="s">
        <v>19785</v>
      </c>
    </row>
    <row r="4497" spans="1:5" x14ac:dyDescent="0.25">
      <c r="A4497" t="s">
        <v>1</v>
      </c>
      <c r="B4497" t="s">
        <v>19</v>
      </c>
      <c r="C4497" t="s">
        <v>23490</v>
      </c>
      <c r="D4497" t="str">
        <f>HYPERLINK("https://rhld.insurance.arkansas.gov/NPILookup?Npi=1508200510","1508200510")</f>
        <v>1508200510</v>
      </c>
      <c r="E4497" t="s">
        <v>15207</v>
      </c>
    </row>
    <row r="4498" spans="1:5" x14ac:dyDescent="0.25">
      <c r="A4498" t="s">
        <v>1</v>
      </c>
      <c r="B4498" t="s">
        <v>19</v>
      </c>
      <c r="C4498" t="s">
        <v>23490</v>
      </c>
      <c r="D4498" t="str">
        <f>HYPERLINK("https://rhld.insurance.arkansas.gov/NPILookup?Npi=1508200825","1508200825")</f>
        <v>1508200825</v>
      </c>
      <c r="E4498" t="s">
        <v>18012</v>
      </c>
    </row>
    <row r="4499" spans="1:5" x14ac:dyDescent="0.25">
      <c r="A4499" t="s">
        <v>1</v>
      </c>
      <c r="B4499" t="s">
        <v>19</v>
      </c>
      <c r="C4499" t="s">
        <v>23490</v>
      </c>
      <c r="D4499" t="str">
        <f>HYPERLINK("https://rhld.insurance.arkansas.gov/NPILookup?Npi=1508206152","1508206152")</f>
        <v>1508206152</v>
      </c>
      <c r="E4499" t="s">
        <v>11000</v>
      </c>
    </row>
    <row r="4500" spans="1:5" x14ac:dyDescent="0.25">
      <c r="A4500" t="s">
        <v>1</v>
      </c>
      <c r="B4500" t="s">
        <v>19</v>
      </c>
      <c r="C4500" t="s">
        <v>23490</v>
      </c>
      <c r="D4500" t="str">
        <f>HYPERLINK("https://rhld.insurance.arkansas.gov/NPILookup?Npi=1508208992","1508208992")</f>
        <v>1508208992</v>
      </c>
      <c r="E4500" t="s">
        <v>15208</v>
      </c>
    </row>
    <row r="4501" spans="1:5" x14ac:dyDescent="0.25">
      <c r="A4501" t="s">
        <v>1</v>
      </c>
      <c r="B4501" t="s">
        <v>19</v>
      </c>
      <c r="C4501" t="s">
        <v>23490</v>
      </c>
      <c r="D4501" t="str">
        <f>HYPERLINK("https://rhld.insurance.arkansas.gov/NPILookup?Npi=1508213984","1508213984")</f>
        <v>1508213984</v>
      </c>
      <c r="E4501" t="s">
        <v>11001</v>
      </c>
    </row>
    <row r="4502" spans="1:5" x14ac:dyDescent="0.25">
      <c r="A4502" t="s">
        <v>1</v>
      </c>
      <c r="B4502" t="s">
        <v>19</v>
      </c>
      <c r="C4502" t="s">
        <v>23490</v>
      </c>
      <c r="D4502" t="str">
        <f>HYPERLINK("https://rhld.insurance.arkansas.gov/NPILookup?Npi=1508232067","1508232067")</f>
        <v>1508232067</v>
      </c>
      <c r="E4502" t="s">
        <v>11002</v>
      </c>
    </row>
    <row r="4503" spans="1:5" x14ac:dyDescent="0.25">
      <c r="A4503" t="s">
        <v>1</v>
      </c>
      <c r="B4503" t="s">
        <v>19</v>
      </c>
      <c r="C4503" t="s">
        <v>23490</v>
      </c>
      <c r="D4503" t="str">
        <f>HYPERLINK("https://rhld.insurance.arkansas.gov/NPILookup?Npi=1508236027","1508236027")</f>
        <v>1508236027</v>
      </c>
      <c r="E4503" t="s">
        <v>8710</v>
      </c>
    </row>
    <row r="4504" spans="1:5" x14ac:dyDescent="0.25">
      <c r="A4504" t="s">
        <v>1</v>
      </c>
      <c r="B4504" t="s">
        <v>19</v>
      </c>
      <c r="C4504" t="s">
        <v>23490</v>
      </c>
      <c r="D4504" t="str">
        <f>HYPERLINK("https://rhld.insurance.arkansas.gov/NPILookup?Npi=1508239674","1508239674")</f>
        <v>1508239674</v>
      </c>
      <c r="E4504" t="s">
        <v>8711</v>
      </c>
    </row>
    <row r="4505" spans="1:5" x14ac:dyDescent="0.25">
      <c r="A4505" t="s">
        <v>1</v>
      </c>
      <c r="B4505" t="s">
        <v>19</v>
      </c>
      <c r="C4505" t="s">
        <v>23490</v>
      </c>
      <c r="D4505" t="str">
        <f>HYPERLINK("https://rhld.insurance.arkansas.gov/NPILookup?Npi=1508252644","1508252644")</f>
        <v>1508252644</v>
      </c>
      <c r="E4505" t="s">
        <v>1776</v>
      </c>
    </row>
    <row r="4506" spans="1:5" x14ac:dyDescent="0.25">
      <c r="A4506" t="s">
        <v>1</v>
      </c>
      <c r="B4506" t="s">
        <v>19</v>
      </c>
      <c r="C4506" t="s">
        <v>23490</v>
      </c>
      <c r="D4506" t="str">
        <f>HYPERLINK("https://rhld.insurance.arkansas.gov/NPILookup?Npi=1508254962","1508254962")</f>
        <v>1508254962</v>
      </c>
      <c r="E4506" t="s">
        <v>1777</v>
      </c>
    </row>
    <row r="4507" spans="1:5" x14ac:dyDescent="0.25">
      <c r="A4507" t="s">
        <v>1</v>
      </c>
      <c r="B4507" t="s">
        <v>19</v>
      </c>
      <c r="C4507" t="s">
        <v>23490</v>
      </c>
      <c r="D4507" t="str">
        <f>HYPERLINK("https://rhld.insurance.arkansas.gov/NPILookup?Npi=1508272618","1508272618")</f>
        <v>1508272618</v>
      </c>
      <c r="E4507" t="s">
        <v>15209</v>
      </c>
    </row>
    <row r="4508" spans="1:5" x14ac:dyDescent="0.25">
      <c r="A4508" t="s">
        <v>1</v>
      </c>
      <c r="B4508" t="s">
        <v>19</v>
      </c>
      <c r="C4508" t="s">
        <v>23490</v>
      </c>
      <c r="D4508" t="str">
        <f>HYPERLINK("https://rhld.insurance.arkansas.gov/NPILookup?Npi=1508279381","1508279381")</f>
        <v>1508279381</v>
      </c>
      <c r="E4508" t="s">
        <v>1778</v>
      </c>
    </row>
    <row r="4509" spans="1:5" x14ac:dyDescent="0.25">
      <c r="A4509" t="s">
        <v>1</v>
      </c>
      <c r="B4509" t="s">
        <v>19</v>
      </c>
      <c r="C4509" t="s">
        <v>23490</v>
      </c>
      <c r="D4509" t="str">
        <f>HYPERLINK("https://rhld.insurance.arkansas.gov/NPILookup?Npi=1508282955","1508282955")</f>
        <v>1508282955</v>
      </c>
      <c r="E4509" t="s">
        <v>1779</v>
      </c>
    </row>
    <row r="4510" spans="1:5" x14ac:dyDescent="0.25">
      <c r="A4510" t="s">
        <v>1</v>
      </c>
      <c r="B4510" t="s">
        <v>19</v>
      </c>
      <c r="C4510" t="s">
        <v>23490</v>
      </c>
      <c r="D4510" t="str">
        <f>HYPERLINK("https://rhld.insurance.arkansas.gov/NPILookup?Npi=1508295601","1508295601")</f>
        <v>1508295601</v>
      </c>
      <c r="E4510" t="s">
        <v>13568</v>
      </c>
    </row>
    <row r="4511" spans="1:5" x14ac:dyDescent="0.25">
      <c r="A4511" t="s">
        <v>1</v>
      </c>
      <c r="B4511" t="s">
        <v>19</v>
      </c>
      <c r="C4511" t="s">
        <v>23490</v>
      </c>
      <c r="D4511" t="str">
        <f>HYPERLINK("https://rhld.insurance.arkansas.gov/NPILookup?Npi=1508308131","1508308131")</f>
        <v>1508308131</v>
      </c>
      <c r="E4511" t="s">
        <v>11003</v>
      </c>
    </row>
    <row r="4512" spans="1:5" x14ac:dyDescent="0.25">
      <c r="A4512" t="s">
        <v>1</v>
      </c>
      <c r="B4512" t="s">
        <v>19</v>
      </c>
      <c r="C4512" t="s">
        <v>23490</v>
      </c>
      <c r="D4512" t="str">
        <f>HYPERLINK("https://rhld.insurance.arkansas.gov/NPILookup?Npi=1508316647","1508316647")</f>
        <v>1508316647</v>
      </c>
      <c r="E4512" t="s">
        <v>15210</v>
      </c>
    </row>
    <row r="4513" spans="1:5" x14ac:dyDescent="0.25">
      <c r="A4513" t="s">
        <v>1</v>
      </c>
      <c r="B4513" t="s">
        <v>19</v>
      </c>
      <c r="C4513" t="s">
        <v>23490</v>
      </c>
      <c r="D4513" t="str">
        <f>HYPERLINK("https://rhld.insurance.arkansas.gov/NPILookup?Npi=1508317157","1508317157")</f>
        <v>1508317157</v>
      </c>
      <c r="E4513" t="s">
        <v>15211</v>
      </c>
    </row>
    <row r="4514" spans="1:5" x14ac:dyDescent="0.25">
      <c r="A4514" t="s">
        <v>1</v>
      </c>
      <c r="B4514" t="s">
        <v>19</v>
      </c>
      <c r="C4514" t="s">
        <v>23490</v>
      </c>
      <c r="D4514" t="str">
        <f>HYPERLINK("https://rhld.insurance.arkansas.gov/NPILookup?Npi=1508327669","1508327669")</f>
        <v>1508327669</v>
      </c>
      <c r="E4514" t="s">
        <v>20956</v>
      </c>
    </row>
    <row r="4515" spans="1:5" x14ac:dyDescent="0.25">
      <c r="A4515" t="s">
        <v>1</v>
      </c>
      <c r="B4515" t="s">
        <v>19</v>
      </c>
      <c r="C4515" t="s">
        <v>23490</v>
      </c>
      <c r="D4515" t="str">
        <f>HYPERLINK("https://rhld.insurance.arkansas.gov/NPILookup?Npi=1508328253","1508328253")</f>
        <v>1508328253</v>
      </c>
      <c r="E4515" t="s">
        <v>20957</v>
      </c>
    </row>
    <row r="4516" spans="1:5" x14ac:dyDescent="0.25">
      <c r="A4516" t="s">
        <v>1</v>
      </c>
      <c r="B4516" t="s">
        <v>19</v>
      </c>
      <c r="C4516" t="s">
        <v>23490</v>
      </c>
      <c r="D4516" t="str">
        <f>HYPERLINK("https://rhld.insurance.arkansas.gov/NPILookup?Npi=1508336470","1508336470")</f>
        <v>1508336470</v>
      </c>
      <c r="E4516" t="s">
        <v>15212</v>
      </c>
    </row>
    <row r="4517" spans="1:5" x14ac:dyDescent="0.25">
      <c r="A4517" t="s">
        <v>1</v>
      </c>
      <c r="B4517" t="s">
        <v>19</v>
      </c>
      <c r="C4517" t="s">
        <v>23490</v>
      </c>
      <c r="D4517" t="str">
        <f>HYPERLINK("https://rhld.insurance.arkansas.gov/NPILookup?Npi=1508337643","1508337643")</f>
        <v>1508337643</v>
      </c>
      <c r="E4517" t="s">
        <v>20958</v>
      </c>
    </row>
    <row r="4518" spans="1:5" x14ac:dyDescent="0.25">
      <c r="A4518" t="s">
        <v>1</v>
      </c>
      <c r="B4518" t="s">
        <v>19</v>
      </c>
      <c r="C4518" t="s">
        <v>23490</v>
      </c>
      <c r="D4518" t="str">
        <f>HYPERLINK("https://rhld.insurance.arkansas.gov/NPILookup?Npi=1508348798","1508348798")</f>
        <v>1508348798</v>
      </c>
      <c r="E4518" t="s">
        <v>16972</v>
      </c>
    </row>
    <row r="4519" spans="1:5" x14ac:dyDescent="0.25">
      <c r="A4519" t="s">
        <v>1</v>
      </c>
      <c r="B4519" t="s">
        <v>19</v>
      </c>
      <c r="C4519" t="s">
        <v>23490</v>
      </c>
      <c r="D4519" t="str">
        <f>HYPERLINK("https://rhld.insurance.arkansas.gov/NPILookup?Npi=1508349978","1508349978")</f>
        <v>1508349978</v>
      </c>
      <c r="E4519" t="s">
        <v>13569</v>
      </c>
    </row>
    <row r="4520" spans="1:5" x14ac:dyDescent="0.25">
      <c r="A4520" t="s">
        <v>1</v>
      </c>
      <c r="B4520" t="s">
        <v>19</v>
      </c>
      <c r="C4520" t="s">
        <v>23490</v>
      </c>
      <c r="D4520" t="str">
        <f>HYPERLINK("https://rhld.insurance.arkansas.gov/NPILookup?Npi=1508391566","1508391566")</f>
        <v>1508391566</v>
      </c>
      <c r="E4520" t="s">
        <v>15213</v>
      </c>
    </row>
    <row r="4521" spans="1:5" x14ac:dyDescent="0.25">
      <c r="A4521" t="s">
        <v>1</v>
      </c>
      <c r="B4521" t="s">
        <v>19</v>
      </c>
      <c r="C4521" t="s">
        <v>23490</v>
      </c>
      <c r="D4521" t="str">
        <f>HYPERLINK("https://rhld.insurance.arkansas.gov/NPILookup?Npi=1508398306","1508398306")</f>
        <v>1508398306</v>
      </c>
      <c r="E4521" t="s">
        <v>15214</v>
      </c>
    </row>
    <row r="4522" spans="1:5" x14ac:dyDescent="0.25">
      <c r="A4522" t="s">
        <v>1</v>
      </c>
      <c r="B4522" t="s">
        <v>19</v>
      </c>
      <c r="C4522" t="s">
        <v>23490</v>
      </c>
      <c r="D4522" t="str">
        <f>HYPERLINK("https://rhld.insurance.arkansas.gov/NPILookup?Npi=1508398884","1508398884")</f>
        <v>1508398884</v>
      </c>
      <c r="E4522" t="s">
        <v>11004</v>
      </c>
    </row>
    <row r="4523" spans="1:5" x14ac:dyDescent="0.25">
      <c r="A4523" t="s">
        <v>1</v>
      </c>
      <c r="B4523" t="s">
        <v>19</v>
      </c>
      <c r="C4523" t="s">
        <v>23490</v>
      </c>
      <c r="D4523" t="str">
        <f>HYPERLINK("https://rhld.insurance.arkansas.gov/NPILookup?Npi=1508399502","1508399502")</f>
        <v>1508399502</v>
      </c>
      <c r="E4523" t="s">
        <v>11005</v>
      </c>
    </row>
    <row r="4524" spans="1:5" x14ac:dyDescent="0.25">
      <c r="A4524" t="s">
        <v>1</v>
      </c>
      <c r="B4524" t="s">
        <v>19</v>
      </c>
      <c r="C4524" t="s">
        <v>23490</v>
      </c>
      <c r="D4524" t="str">
        <f>HYPERLINK("https://rhld.insurance.arkansas.gov/NPILookup?Npi=1508401852","1508401852")</f>
        <v>1508401852</v>
      </c>
      <c r="E4524" t="s">
        <v>18013</v>
      </c>
    </row>
    <row r="4525" spans="1:5" x14ac:dyDescent="0.25">
      <c r="A4525" t="s">
        <v>1</v>
      </c>
      <c r="B4525" t="s">
        <v>19</v>
      </c>
      <c r="C4525" t="s">
        <v>23490</v>
      </c>
      <c r="D4525" t="str">
        <f>HYPERLINK("https://rhld.insurance.arkansas.gov/NPILookup?Npi=1508427303","1508427303")</f>
        <v>1508427303</v>
      </c>
      <c r="E4525" t="s">
        <v>19786</v>
      </c>
    </row>
    <row r="4526" spans="1:5" x14ac:dyDescent="0.25">
      <c r="A4526" t="s">
        <v>1</v>
      </c>
      <c r="B4526" t="s">
        <v>19</v>
      </c>
      <c r="C4526" t="s">
        <v>23490</v>
      </c>
      <c r="D4526" t="str">
        <f>HYPERLINK("https://rhld.insurance.arkansas.gov/NPILookup?Npi=1508451170","1508451170")</f>
        <v>1508451170</v>
      </c>
      <c r="E4526" t="s">
        <v>18798</v>
      </c>
    </row>
    <row r="4527" spans="1:5" x14ac:dyDescent="0.25">
      <c r="A4527" t="s">
        <v>1</v>
      </c>
      <c r="B4527" t="s">
        <v>19</v>
      </c>
      <c r="C4527" t="s">
        <v>8427</v>
      </c>
      <c r="D4527" t="str">
        <f>HYPERLINK("https://rhld.insurance.arkansas.gov/NPILookup?Npi=1508487042","1508487042")</f>
        <v>1508487042</v>
      </c>
      <c r="E4527" t="s">
        <v>22948</v>
      </c>
    </row>
    <row r="4528" spans="1:5" x14ac:dyDescent="0.25">
      <c r="A4528" t="s">
        <v>1</v>
      </c>
      <c r="B4528" t="s">
        <v>19</v>
      </c>
      <c r="C4528" t="s">
        <v>8427</v>
      </c>
      <c r="D4528" t="str">
        <f>HYPERLINK("https://rhld.insurance.arkansas.gov/NPILookup?Npi=1508493610","1508493610")</f>
        <v>1508493610</v>
      </c>
      <c r="E4528" t="s">
        <v>22949</v>
      </c>
    </row>
    <row r="4529" spans="1:5" x14ac:dyDescent="0.25">
      <c r="A4529" t="s">
        <v>1</v>
      </c>
      <c r="B4529" t="s">
        <v>19</v>
      </c>
      <c r="C4529" t="s">
        <v>23490</v>
      </c>
      <c r="D4529" t="str">
        <f>HYPERLINK("https://rhld.insurance.arkansas.gov/NPILookup?Npi=1508526906","1508526906")</f>
        <v>1508526906</v>
      </c>
      <c r="E4529" t="s">
        <v>19787</v>
      </c>
    </row>
    <row r="4530" spans="1:5" x14ac:dyDescent="0.25">
      <c r="A4530" t="s">
        <v>1</v>
      </c>
      <c r="B4530" t="s">
        <v>19</v>
      </c>
      <c r="C4530" t="s">
        <v>23490</v>
      </c>
      <c r="D4530" t="str">
        <f>HYPERLINK("https://rhld.insurance.arkansas.gov/NPILookup?Npi=1508533050","1508533050")</f>
        <v>1508533050</v>
      </c>
      <c r="E4530" t="s">
        <v>19788</v>
      </c>
    </row>
    <row r="4531" spans="1:5" x14ac:dyDescent="0.25">
      <c r="A4531" t="s">
        <v>1</v>
      </c>
      <c r="B4531" t="s">
        <v>19</v>
      </c>
      <c r="C4531" t="s">
        <v>23490</v>
      </c>
      <c r="D4531" t="str">
        <f>HYPERLINK("https://rhld.insurance.arkansas.gov/NPILookup?Npi=1508800707","1508800707")</f>
        <v>1508800707</v>
      </c>
      <c r="E4531" t="s">
        <v>16973</v>
      </c>
    </row>
    <row r="4532" spans="1:5" x14ac:dyDescent="0.25">
      <c r="A4532" t="s">
        <v>1</v>
      </c>
      <c r="B4532" t="s">
        <v>19</v>
      </c>
      <c r="C4532" t="s">
        <v>23490</v>
      </c>
      <c r="D4532" t="str">
        <f>HYPERLINK("https://rhld.insurance.arkansas.gov/NPILookup?Npi=1508804899","1508804899")</f>
        <v>1508804899</v>
      </c>
      <c r="E4532" t="s">
        <v>1780</v>
      </c>
    </row>
    <row r="4533" spans="1:5" x14ac:dyDescent="0.25">
      <c r="A4533" t="s">
        <v>1</v>
      </c>
      <c r="B4533" t="s">
        <v>19</v>
      </c>
      <c r="C4533" t="s">
        <v>23490</v>
      </c>
      <c r="D4533" t="str">
        <f>HYPERLINK("https://rhld.insurance.arkansas.gov/NPILookup?Npi=1508807736","1508807736")</f>
        <v>1508807736</v>
      </c>
      <c r="E4533" t="s">
        <v>11006</v>
      </c>
    </row>
    <row r="4534" spans="1:5" x14ac:dyDescent="0.25">
      <c r="A4534" t="s">
        <v>1</v>
      </c>
      <c r="B4534" t="s">
        <v>19</v>
      </c>
      <c r="C4534" t="s">
        <v>23490</v>
      </c>
      <c r="D4534" t="str">
        <f>HYPERLINK("https://rhld.insurance.arkansas.gov/NPILookup?Npi=1508808742","1508808742")</f>
        <v>1508808742</v>
      </c>
      <c r="E4534" t="s">
        <v>1781</v>
      </c>
    </row>
    <row r="4535" spans="1:5" x14ac:dyDescent="0.25">
      <c r="A4535" t="s">
        <v>1</v>
      </c>
      <c r="B4535" t="s">
        <v>19</v>
      </c>
      <c r="C4535" t="s">
        <v>23490</v>
      </c>
      <c r="D4535" t="str">
        <f>HYPERLINK("https://rhld.insurance.arkansas.gov/NPILookup?Npi=1508814617","1508814617")</f>
        <v>1508814617</v>
      </c>
      <c r="E4535" t="s">
        <v>15215</v>
      </c>
    </row>
    <row r="4536" spans="1:5" x14ac:dyDescent="0.25">
      <c r="A4536" t="s">
        <v>1</v>
      </c>
      <c r="B4536" t="s">
        <v>19</v>
      </c>
      <c r="C4536" t="s">
        <v>23490</v>
      </c>
      <c r="D4536" t="str">
        <f>HYPERLINK("https://rhld.insurance.arkansas.gov/NPILookup?Npi=1508817719","1508817719")</f>
        <v>1508817719</v>
      </c>
      <c r="E4536" t="s">
        <v>1782</v>
      </c>
    </row>
    <row r="4537" spans="1:5" x14ac:dyDescent="0.25">
      <c r="A4537" t="s">
        <v>1</v>
      </c>
      <c r="B4537" t="s">
        <v>19</v>
      </c>
      <c r="C4537" t="s">
        <v>23490</v>
      </c>
      <c r="D4537" t="str">
        <f>HYPERLINK("https://rhld.insurance.arkansas.gov/NPILookup?Npi=1508824285","1508824285")</f>
        <v>1508824285</v>
      </c>
      <c r="E4537" t="s">
        <v>1783</v>
      </c>
    </row>
    <row r="4538" spans="1:5" x14ac:dyDescent="0.25">
      <c r="A4538" t="s">
        <v>1</v>
      </c>
      <c r="B4538" t="s">
        <v>19</v>
      </c>
      <c r="C4538" t="s">
        <v>23490</v>
      </c>
      <c r="D4538" t="str">
        <f>HYPERLINK("https://rhld.insurance.arkansas.gov/NPILookup?Npi=1508824871","1508824871")</f>
        <v>1508824871</v>
      </c>
      <c r="E4538" t="s">
        <v>1784</v>
      </c>
    </row>
    <row r="4539" spans="1:5" x14ac:dyDescent="0.25">
      <c r="A4539" t="s">
        <v>1</v>
      </c>
      <c r="B4539" t="s">
        <v>19</v>
      </c>
      <c r="C4539" t="s">
        <v>23490</v>
      </c>
      <c r="D4539" t="str">
        <f>HYPERLINK("https://rhld.insurance.arkansas.gov/NPILookup?Npi=1508827700","1508827700")</f>
        <v>1508827700</v>
      </c>
      <c r="E4539" t="s">
        <v>1785</v>
      </c>
    </row>
    <row r="4540" spans="1:5" x14ac:dyDescent="0.25">
      <c r="A4540" t="s">
        <v>1</v>
      </c>
      <c r="B4540" t="s">
        <v>19</v>
      </c>
      <c r="C4540" t="s">
        <v>23490</v>
      </c>
      <c r="D4540" t="str">
        <f>HYPERLINK("https://rhld.insurance.arkansas.gov/NPILookup?Npi=1508831264","1508831264")</f>
        <v>1508831264</v>
      </c>
      <c r="E4540" t="s">
        <v>1786</v>
      </c>
    </row>
    <row r="4541" spans="1:5" x14ac:dyDescent="0.25">
      <c r="A4541" t="s">
        <v>1</v>
      </c>
      <c r="B4541" t="s">
        <v>19</v>
      </c>
      <c r="C4541" t="s">
        <v>23490</v>
      </c>
      <c r="D4541" t="str">
        <f>HYPERLINK("https://rhld.insurance.arkansas.gov/NPILookup?Npi=1508838566","1508838566")</f>
        <v>1508838566</v>
      </c>
      <c r="E4541" t="s">
        <v>1787</v>
      </c>
    </row>
    <row r="4542" spans="1:5" x14ac:dyDescent="0.25">
      <c r="A4542" t="s">
        <v>1</v>
      </c>
      <c r="B4542" t="s">
        <v>19</v>
      </c>
      <c r="C4542" t="s">
        <v>23490</v>
      </c>
      <c r="D4542" t="str">
        <f>HYPERLINK("https://rhld.insurance.arkansas.gov/NPILookup?Npi=1508839788","1508839788")</f>
        <v>1508839788</v>
      </c>
      <c r="E4542" t="s">
        <v>1788</v>
      </c>
    </row>
    <row r="4543" spans="1:5" x14ac:dyDescent="0.25">
      <c r="A4543" t="s">
        <v>1</v>
      </c>
      <c r="B4543" t="s">
        <v>19</v>
      </c>
      <c r="C4543" t="s">
        <v>23490</v>
      </c>
      <c r="D4543" t="str">
        <f>HYPERLINK("https://rhld.insurance.arkansas.gov/NPILookup?Npi=1508839986","1508839986")</f>
        <v>1508839986</v>
      </c>
      <c r="E4543" t="s">
        <v>15216</v>
      </c>
    </row>
    <row r="4544" spans="1:5" x14ac:dyDescent="0.25">
      <c r="A4544" t="s">
        <v>1</v>
      </c>
      <c r="B4544" t="s">
        <v>19</v>
      </c>
      <c r="C4544" t="s">
        <v>23490</v>
      </c>
      <c r="D4544" t="str">
        <f>HYPERLINK("https://rhld.insurance.arkansas.gov/NPILookup?Npi=1508848672","1508848672")</f>
        <v>1508848672</v>
      </c>
      <c r="E4544" t="s">
        <v>1789</v>
      </c>
    </row>
    <row r="4545" spans="1:5" x14ac:dyDescent="0.25">
      <c r="A4545" t="s">
        <v>1</v>
      </c>
      <c r="B4545" t="s">
        <v>19</v>
      </c>
      <c r="C4545" t="s">
        <v>23490</v>
      </c>
      <c r="D4545" t="str">
        <f>HYPERLINK("https://rhld.insurance.arkansas.gov/NPILookup?Npi=1508853466","1508853466")</f>
        <v>1508853466</v>
      </c>
      <c r="E4545" t="s">
        <v>1790</v>
      </c>
    </row>
    <row r="4546" spans="1:5" x14ac:dyDescent="0.25">
      <c r="A4546" t="s">
        <v>1</v>
      </c>
      <c r="B4546" t="s">
        <v>19</v>
      </c>
      <c r="C4546" t="s">
        <v>23490</v>
      </c>
      <c r="D4546" t="str">
        <f>HYPERLINK("https://rhld.insurance.arkansas.gov/NPILookup?Npi=1508861865","1508861865")</f>
        <v>1508861865</v>
      </c>
      <c r="E4546" t="s">
        <v>1791</v>
      </c>
    </row>
    <row r="4547" spans="1:5" x14ac:dyDescent="0.25">
      <c r="A4547" t="s">
        <v>1</v>
      </c>
      <c r="B4547" t="s">
        <v>19</v>
      </c>
      <c r="C4547" t="s">
        <v>23490</v>
      </c>
      <c r="D4547" t="str">
        <f>HYPERLINK("https://rhld.insurance.arkansas.gov/NPILookup?Npi=1508863267","1508863267")</f>
        <v>1508863267</v>
      </c>
      <c r="E4547" t="s">
        <v>1792</v>
      </c>
    </row>
    <row r="4548" spans="1:5" x14ac:dyDescent="0.25">
      <c r="A4548" t="s">
        <v>1</v>
      </c>
      <c r="B4548" t="s">
        <v>19</v>
      </c>
      <c r="C4548" t="s">
        <v>23490</v>
      </c>
      <c r="D4548" t="str">
        <f>HYPERLINK("https://rhld.insurance.arkansas.gov/NPILookup?Npi=1508881533","1508881533")</f>
        <v>1508881533</v>
      </c>
      <c r="E4548" t="s">
        <v>1793</v>
      </c>
    </row>
    <row r="4549" spans="1:5" x14ac:dyDescent="0.25">
      <c r="A4549" t="s">
        <v>1</v>
      </c>
      <c r="B4549" t="s">
        <v>19</v>
      </c>
      <c r="C4549" t="s">
        <v>23490</v>
      </c>
      <c r="D4549" t="str">
        <f>HYPERLINK("https://rhld.insurance.arkansas.gov/NPILookup?Npi=1508882952","1508882952")</f>
        <v>1508882952</v>
      </c>
      <c r="E4549" t="s">
        <v>1794</v>
      </c>
    </row>
    <row r="4550" spans="1:5" x14ac:dyDescent="0.25">
      <c r="A4550" t="s">
        <v>1</v>
      </c>
      <c r="B4550" t="s">
        <v>19</v>
      </c>
      <c r="C4550" t="s">
        <v>23490</v>
      </c>
      <c r="D4550" t="str">
        <f>HYPERLINK("https://rhld.insurance.arkansas.gov/NPILookup?Npi=1508887365","1508887365")</f>
        <v>1508887365</v>
      </c>
      <c r="E4550" t="s">
        <v>1795</v>
      </c>
    </row>
    <row r="4551" spans="1:5" x14ac:dyDescent="0.25">
      <c r="A4551" t="s">
        <v>1</v>
      </c>
      <c r="B4551" t="s">
        <v>19</v>
      </c>
      <c r="C4551" t="s">
        <v>23490</v>
      </c>
      <c r="D4551" t="str">
        <f>HYPERLINK("https://rhld.insurance.arkansas.gov/NPILookup?Npi=1508890989","1508890989")</f>
        <v>1508890989</v>
      </c>
      <c r="E4551" t="s">
        <v>1796</v>
      </c>
    </row>
    <row r="4552" spans="1:5" x14ac:dyDescent="0.25">
      <c r="A4552" t="s">
        <v>1</v>
      </c>
      <c r="B4552" t="s">
        <v>19</v>
      </c>
      <c r="C4552" t="s">
        <v>23490</v>
      </c>
      <c r="D4552" t="str">
        <f>HYPERLINK("https://rhld.insurance.arkansas.gov/NPILookup?Npi=1508925553","1508925553")</f>
        <v>1508925553</v>
      </c>
      <c r="E4552" t="s">
        <v>1797</v>
      </c>
    </row>
    <row r="4553" spans="1:5" x14ac:dyDescent="0.25">
      <c r="A4553" t="s">
        <v>1</v>
      </c>
      <c r="B4553" t="s">
        <v>19</v>
      </c>
      <c r="C4553" t="s">
        <v>23490</v>
      </c>
      <c r="D4553" t="str">
        <f>HYPERLINK("https://rhld.insurance.arkansas.gov/NPILookup?Npi=1508990730","1508990730")</f>
        <v>1508990730</v>
      </c>
      <c r="E4553" t="s">
        <v>8712</v>
      </c>
    </row>
    <row r="4554" spans="1:5" x14ac:dyDescent="0.25">
      <c r="A4554" t="s">
        <v>1</v>
      </c>
      <c r="B4554" t="s">
        <v>19</v>
      </c>
      <c r="C4554" t="s">
        <v>23490</v>
      </c>
      <c r="D4554" t="str">
        <f>HYPERLINK("https://rhld.insurance.arkansas.gov/NPILookup?Npi=1518006170","1518006170")</f>
        <v>1518006170</v>
      </c>
      <c r="E4554" t="s">
        <v>15217</v>
      </c>
    </row>
    <row r="4555" spans="1:5" x14ac:dyDescent="0.25">
      <c r="A4555" t="s">
        <v>1</v>
      </c>
      <c r="B4555" t="s">
        <v>19</v>
      </c>
      <c r="C4555" t="s">
        <v>23490</v>
      </c>
      <c r="D4555" t="str">
        <f>HYPERLINK("https://rhld.insurance.arkansas.gov/NPILookup?Npi=1518018514","1518018514")</f>
        <v>1518018514</v>
      </c>
      <c r="E4555" t="s">
        <v>1798</v>
      </c>
    </row>
    <row r="4556" spans="1:5" x14ac:dyDescent="0.25">
      <c r="A4556" t="s">
        <v>1</v>
      </c>
      <c r="B4556" t="s">
        <v>19</v>
      </c>
      <c r="C4556" t="s">
        <v>23490</v>
      </c>
      <c r="D4556" t="str">
        <f>HYPERLINK("https://rhld.insurance.arkansas.gov/NPILookup?Npi=1518039452","1518039452")</f>
        <v>1518039452</v>
      </c>
      <c r="E4556" t="s">
        <v>1151</v>
      </c>
    </row>
    <row r="4557" spans="1:5" x14ac:dyDescent="0.25">
      <c r="A4557" t="s">
        <v>1</v>
      </c>
      <c r="B4557" t="s">
        <v>19</v>
      </c>
      <c r="C4557" t="s">
        <v>23490</v>
      </c>
      <c r="D4557" t="str">
        <f>HYPERLINK("https://rhld.insurance.arkansas.gov/NPILookup?Npi=1518057082","1518057082")</f>
        <v>1518057082</v>
      </c>
      <c r="E4557" t="s">
        <v>1799</v>
      </c>
    </row>
    <row r="4558" spans="1:5" x14ac:dyDescent="0.25">
      <c r="A4558" t="s">
        <v>1</v>
      </c>
      <c r="B4558" t="s">
        <v>19</v>
      </c>
      <c r="C4558" t="s">
        <v>23490</v>
      </c>
      <c r="D4558" t="str">
        <f>HYPERLINK("https://rhld.insurance.arkansas.gov/NPILookup?Npi=1518090703","1518090703")</f>
        <v>1518090703</v>
      </c>
      <c r="E4558" t="s">
        <v>1800</v>
      </c>
    </row>
    <row r="4559" spans="1:5" x14ac:dyDescent="0.25">
      <c r="A4559" t="s">
        <v>1</v>
      </c>
      <c r="B4559" t="s">
        <v>19</v>
      </c>
      <c r="C4559" t="s">
        <v>23490</v>
      </c>
      <c r="D4559" t="str">
        <f>HYPERLINK("https://rhld.insurance.arkansas.gov/NPILookup?Npi=1518127620","1518127620")</f>
        <v>1518127620</v>
      </c>
      <c r="E4559" t="s">
        <v>1801</v>
      </c>
    </row>
    <row r="4560" spans="1:5" x14ac:dyDescent="0.25">
      <c r="A4560" t="s">
        <v>1</v>
      </c>
      <c r="B4560" t="s">
        <v>19</v>
      </c>
      <c r="C4560" t="s">
        <v>23490</v>
      </c>
      <c r="D4560" t="str">
        <f>HYPERLINK("https://rhld.insurance.arkansas.gov/NPILookup?Npi=1518144534","1518144534")</f>
        <v>1518144534</v>
      </c>
      <c r="E4560" t="s">
        <v>15218</v>
      </c>
    </row>
    <row r="4561" spans="1:5" x14ac:dyDescent="0.25">
      <c r="A4561" t="s">
        <v>1</v>
      </c>
      <c r="B4561" t="s">
        <v>19</v>
      </c>
      <c r="C4561" t="s">
        <v>23490</v>
      </c>
      <c r="D4561" t="str">
        <f>HYPERLINK("https://rhld.insurance.arkansas.gov/NPILookup?Npi=1518147776","1518147776")</f>
        <v>1518147776</v>
      </c>
      <c r="E4561" t="s">
        <v>1802</v>
      </c>
    </row>
    <row r="4562" spans="1:5" x14ac:dyDescent="0.25">
      <c r="A4562" t="s">
        <v>1</v>
      </c>
      <c r="B4562" t="s">
        <v>19</v>
      </c>
      <c r="C4562" t="s">
        <v>23490</v>
      </c>
      <c r="D4562" t="str">
        <f>HYPERLINK("https://rhld.insurance.arkansas.gov/NPILookup?Npi=1518148162","1518148162")</f>
        <v>1518148162</v>
      </c>
      <c r="E4562" t="s">
        <v>1803</v>
      </c>
    </row>
    <row r="4563" spans="1:5" x14ac:dyDescent="0.25">
      <c r="A4563" t="s">
        <v>1</v>
      </c>
      <c r="B4563" t="s">
        <v>19</v>
      </c>
      <c r="C4563" t="s">
        <v>23490</v>
      </c>
      <c r="D4563" t="str">
        <f>HYPERLINK("https://rhld.insurance.arkansas.gov/NPILookup?Npi=1518155761","1518155761")</f>
        <v>1518155761</v>
      </c>
      <c r="E4563" t="s">
        <v>1804</v>
      </c>
    </row>
    <row r="4564" spans="1:5" x14ac:dyDescent="0.25">
      <c r="A4564" t="s">
        <v>1</v>
      </c>
      <c r="B4564" t="s">
        <v>19</v>
      </c>
      <c r="C4564" t="s">
        <v>23490</v>
      </c>
      <c r="D4564" t="str">
        <f>HYPERLINK("https://rhld.insurance.arkansas.gov/NPILookup?Npi=1518173483","1518173483")</f>
        <v>1518173483</v>
      </c>
      <c r="E4564" t="s">
        <v>1805</v>
      </c>
    </row>
    <row r="4565" spans="1:5" x14ac:dyDescent="0.25">
      <c r="A4565" t="s">
        <v>1</v>
      </c>
      <c r="B4565" t="s">
        <v>19</v>
      </c>
      <c r="C4565" t="s">
        <v>23490</v>
      </c>
      <c r="D4565" t="str">
        <f>HYPERLINK("https://rhld.insurance.arkansas.gov/NPILookup?Npi=1518189497","1518189497")</f>
        <v>1518189497</v>
      </c>
      <c r="E4565" t="s">
        <v>1806</v>
      </c>
    </row>
    <row r="4566" spans="1:5" x14ac:dyDescent="0.25">
      <c r="A4566" t="s">
        <v>1</v>
      </c>
      <c r="B4566" t="s">
        <v>19</v>
      </c>
      <c r="C4566" t="s">
        <v>23490</v>
      </c>
      <c r="D4566" t="str">
        <f>HYPERLINK("https://rhld.insurance.arkansas.gov/NPILookup?Npi=1518190370","1518190370")</f>
        <v>1518190370</v>
      </c>
      <c r="E4566" t="s">
        <v>1807</v>
      </c>
    </row>
    <row r="4567" spans="1:5" x14ac:dyDescent="0.25">
      <c r="A4567" t="s">
        <v>1</v>
      </c>
      <c r="B4567" t="s">
        <v>19</v>
      </c>
      <c r="C4567" t="s">
        <v>23490</v>
      </c>
      <c r="D4567" t="str">
        <f>HYPERLINK("https://rhld.insurance.arkansas.gov/NPILookup?Npi=1518194711","1518194711")</f>
        <v>1518194711</v>
      </c>
      <c r="E4567" t="s">
        <v>1808</v>
      </c>
    </row>
    <row r="4568" spans="1:5" x14ac:dyDescent="0.25">
      <c r="A4568" t="s">
        <v>1</v>
      </c>
      <c r="B4568" t="s">
        <v>19</v>
      </c>
      <c r="C4568" t="s">
        <v>23490</v>
      </c>
      <c r="D4568" t="str">
        <f>HYPERLINK("https://rhld.insurance.arkansas.gov/NPILookup?Npi=1518220862","1518220862")</f>
        <v>1518220862</v>
      </c>
      <c r="E4568" t="s">
        <v>8713</v>
      </c>
    </row>
    <row r="4569" spans="1:5" x14ac:dyDescent="0.25">
      <c r="A4569" t="s">
        <v>1</v>
      </c>
      <c r="B4569" t="s">
        <v>19</v>
      </c>
      <c r="C4569" t="s">
        <v>23490</v>
      </c>
      <c r="D4569" t="str">
        <f>HYPERLINK("https://rhld.insurance.arkansas.gov/NPILookup?Npi=1518223130","1518223130")</f>
        <v>1518223130</v>
      </c>
      <c r="E4569" t="s">
        <v>15219</v>
      </c>
    </row>
    <row r="4570" spans="1:5" x14ac:dyDescent="0.25">
      <c r="A4570" t="s">
        <v>1</v>
      </c>
      <c r="B4570" t="s">
        <v>19</v>
      </c>
      <c r="C4570" t="s">
        <v>23490</v>
      </c>
      <c r="D4570" t="str">
        <f>HYPERLINK("https://rhld.insurance.arkansas.gov/NPILookup?Npi=1518230929","1518230929")</f>
        <v>1518230929</v>
      </c>
      <c r="E4570" t="s">
        <v>21561</v>
      </c>
    </row>
    <row r="4571" spans="1:5" x14ac:dyDescent="0.25">
      <c r="A4571" t="s">
        <v>1</v>
      </c>
      <c r="B4571" t="s">
        <v>19</v>
      </c>
      <c r="C4571" t="s">
        <v>23490</v>
      </c>
      <c r="D4571" t="str">
        <f>HYPERLINK("https://rhld.insurance.arkansas.gov/NPILookup?Npi=1518231067","1518231067")</f>
        <v>1518231067</v>
      </c>
      <c r="E4571" t="s">
        <v>15220</v>
      </c>
    </row>
    <row r="4572" spans="1:5" x14ac:dyDescent="0.25">
      <c r="A4572" t="s">
        <v>1</v>
      </c>
      <c r="B4572" t="s">
        <v>19</v>
      </c>
      <c r="C4572" t="s">
        <v>23490</v>
      </c>
      <c r="D4572" t="str">
        <f>HYPERLINK("https://rhld.insurance.arkansas.gov/NPILookup?Npi=1518238450","1518238450")</f>
        <v>1518238450</v>
      </c>
      <c r="E4572" t="s">
        <v>11007</v>
      </c>
    </row>
    <row r="4573" spans="1:5" x14ac:dyDescent="0.25">
      <c r="A4573" t="s">
        <v>1</v>
      </c>
      <c r="B4573" t="s">
        <v>19</v>
      </c>
      <c r="C4573" t="s">
        <v>23490</v>
      </c>
      <c r="D4573" t="str">
        <f>HYPERLINK("https://rhld.insurance.arkansas.gov/NPILookup?Npi=1518252725","1518252725")</f>
        <v>1518252725</v>
      </c>
      <c r="E4573" t="s">
        <v>11008</v>
      </c>
    </row>
    <row r="4574" spans="1:5" x14ac:dyDescent="0.25">
      <c r="A4574" t="s">
        <v>1</v>
      </c>
      <c r="B4574" t="s">
        <v>19</v>
      </c>
      <c r="C4574" t="s">
        <v>23490</v>
      </c>
      <c r="D4574" t="str">
        <f>HYPERLINK("https://rhld.insurance.arkansas.gov/NPILookup?Npi=1518254580","1518254580")</f>
        <v>1518254580</v>
      </c>
      <c r="E4574" t="s">
        <v>17432</v>
      </c>
    </row>
    <row r="4575" spans="1:5" x14ac:dyDescent="0.25">
      <c r="A4575" t="s">
        <v>1</v>
      </c>
      <c r="B4575" t="s">
        <v>19</v>
      </c>
      <c r="C4575" t="s">
        <v>23490</v>
      </c>
      <c r="D4575" t="str">
        <f>HYPERLINK("https://rhld.insurance.arkansas.gov/NPILookup?Npi=1518254713","1518254713")</f>
        <v>1518254713</v>
      </c>
      <c r="E4575" t="s">
        <v>11009</v>
      </c>
    </row>
    <row r="4576" spans="1:5" x14ac:dyDescent="0.25">
      <c r="A4576" t="s">
        <v>1</v>
      </c>
      <c r="B4576" t="s">
        <v>19</v>
      </c>
      <c r="C4576" t="s">
        <v>23490</v>
      </c>
      <c r="D4576" t="str">
        <f>HYPERLINK("https://rhld.insurance.arkansas.gov/NPILookup?Npi=1518270636","1518270636")</f>
        <v>1518270636</v>
      </c>
      <c r="E4576" t="s">
        <v>16974</v>
      </c>
    </row>
    <row r="4577" spans="1:5" x14ac:dyDescent="0.25">
      <c r="A4577" t="s">
        <v>1</v>
      </c>
      <c r="B4577" t="s">
        <v>19</v>
      </c>
      <c r="C4577" t="s">
        <v>23490</v>
      </c>
      <c r="D4577" t="str">
        <f>HYPERLINK("https://rhld.insurance.arkansas.gov/NPILookup?Npi=1518273242","1518273242")</f>
        <v>1518273242</v>
      </c>
      <c r="E4577" t="s">
        <v>11010</v>
      </c>
    </row>
    <row r="4578" spans="1:5" x14ac:dyDescent="0.25">
      <c r="A4578" t="s">
        <v>1</v>
      </c>
      <c r="B4578" t="s">
        <v>19</v>
      </c>
      <c r="C4578" t="s">
        <v>23490</v>
      </c>
      <c r="D4578" t="str">
        <f>HYPERLINK("https://rhld.insurance.arkansas.gov/NPILookup?Npi=1518287226","1518287226")</f>
        <v>1518287226</v>
      </c>
      <c r="E4578" t="s">
        <v>1809</v>
      </c>
    </row>
    <row r="4579" spans="1:5" x14ac:dyDescent="0.25">
      <c r="A4579" t="s">
        <v>1</v>
      </c>
      <c r="B4579" t="s">
        <v>19</v>
      </c>
      <c r="C4579" t="s">
        <v>23490</v>
      </c>
      <c r="D4579" t="str">
        <f>HYPERLINK("https://rhld.insurance.arkansas.gov/NPILookup?Npi=1518301266","1518301266")</f>
        <v>1518301266</v>
      </c>
      <c r="E4579" t="s">
        <v>16975</v>
      </c>
    </row>
    <row r="4580" spans="1:5" x14ac:dyDescent="0.25">
      <c r="A4580" t="s">
        <v>1</v>
      </c>
      <c r="B4580" t="s">
        <v>19</v>
      </c>
      <c r="C4580" t="s">
        <v>23490</v>
      </c>
      <c r="D4580" t="str">
        <f>HYPERLINK("https://rhld.insurance.arkansas.gov/NPILookup?Npi=1518316702","1518316702")</f>
        <v>1518316702</v>
      </c>
      <c r="E4580" t="s">
        <v>17433</v>
      </c>
    </row>
    <row r="4581" spans="1:5" x14ac:dyDescent="0.25">
      <c r="A4581" t="s">
        <v>1</v>
      </c>
      <c r="B4581" t="s">
        <v>19</v>
      </c>
      <c r="C4581" t="s">
        <v>23490</v>
      </c>
      <c r="D4581" t="str">
        <f>HYPERLINK("https://rhld.insurance.arkansas.gov/NPILookup?Npi=1518323542","1518323542")</f>
        <v>1518323542</v>
      </c>
      <c r="E4581" t="s">
        <v>8714</v>
      </c>
    </row>
    <row r="4582" spans="1:5" x14ac:dyDescent="0.25">
      <c r="A4582" t="s">
        <v>1</v>
      </c>
      <c r="B4582" t="s">
        <v>19</v>
      </c>
      <c r="C4582" t="s">
        <v>23490</v>
      </c>
      <c r="D4582" t="str">
        <f>HYPERLINK("https://rhld.insurance.arkansas.gov/NPILookup?Npi=1518324912","1518324912")</f>
        <v>1518324912</v>
      </c>
      <c r="E4582" t="s">
        <v>8715</v>
      </c>
    </row>
    <row r="4583" spans="1:5" x14ac:dyDescent="0.25">
      <c r="A4583" t="s">
        <v>1</v>
      </c>
      <c r="B4583" t="s">
        <v>19</v>
      </c>
      <c r="C4583" t="s">
        <v>23490</v>
      </c>
      <c r="D4583" t="str">
        <f>HYPERLINK("https://rhld.insurance.arkansas.gov/NPILookup?Npi=1518335587","1518335587")</f>
        <v>1518335587</v>
      </c>
      <c r="E4583" t="s">
        <v>21562</v>
      </c>
    </row>
    <row r="4584" spans="1:5" x14ac:dyDescent="0.25">
      <c r="A4584" t="s">
        <v>1</v>
      </c>
      <c r="B4584" t="s">
        <v>19</v>
      </c>
      <c r="C4584" t="s">
        <v>23490</v>
      </c>
      <c r="D4584" t="str">
        <f>HYPERLINK("https://rhld.insurance.arkansas.gov/NPILookup?Npi=1518337732","1518337732")</f>
        <v>1518337732</v>
      </c>
      <c r="E4584" t="s">
        <v>8716</v>
      </c>
    </row>
    <row r="4585" spans="1:5" x14ac:dyDescent="0.25">
      <c r="A4585" t="s">
        <v>1</v>
      </c>
      <c r="B4585" t="s">
        <v>19</v>
      </c>
      <c r="C4585" t="s">
        <v>23490</v>
      </c>
      <c r="D4585" t="str">
        <f>HYPERLINK("https://rhld.insurance.arkansas.gov/NPILookup?Npi=1518337765","1518337765")</f>
        <v>1518337765</v>
      </c>
      <c r="E4585" t="s">
        <v>15221</v>
      </c>
    </row>
    <row r="4586" spans="1:5" x14ac:dyDescent="0.25">
      <c r="A4586" t="s">
        <v>1</v>
      </c>
      <c r="B4586" t="s">
        <v>19</v>
      </c>
      <c r="C4586" t="s">
        <v>23490</v>
      </c>
      <c r="D4586" t="str">
        <f>HYPERLINK("https://rhld.insurance.arkansas.gov/NPILookup?Npi=1518349950","1518349950")</f>
        <v>1518349950</v>
      </c>
      <c r="E4586" t="s">
        <v>1810</v>
      </c>
    </row>
    <row r="4587" spans="1:5" x14ac:dyDescent="0.25">
      <c r="A4587" t="s">
        <v>1</v>
      </c>
      <c r="B4587" t="s">
        <v>19</v>
      </c>
      <c r="C4587" t="s">
        <v>23490</v>
      </c>
      <c r="D4587" t="str">
        <f>HYPERLINK("https://rhld.insurance.arkansas.gov/NPILookup?Npi=1518352616","1518352616")</f>
        <v>1518352616</v>
      </c>
      <c r="E4587" t="s">
        <v>1811</v>
      </c>
    </row>
    <row r="4588" spans="1:5" x14ac:dyDescent="0.25">
      <c r="A4588" t="s">
        <v>1</v>
      </c>
      <c r="B4588" t="s">
        <v>19</v>
      </c>
      <c r="C4588" t="s">
        <v>23490</v>
      </c>
      <c r="D4588" t="str">
        <f>HYPERLINK("https://rhld.insurance.arkansas.gov/NPILookup?Npi=1518356013","1518356013")</f>
        <v>1518356013</v>
      </c>
      <c r="E4588" t="s">
        <v>1812</v>
      </c>
    </row>
    <row r="4589" spans="1:5" x14ac:dyDescent="0.25">
      <c r="A4589" t="s">
        <v>1</v>
      </c>
      <c r="B4589" t="s">
        <v>19</v>
      </c>
      <c r="C4589" t="s">
        <v>23490</v>
      </c>
      <c r="D4589" t="str">
        <f>HYPERLINK("https://rhld.insurance.arkansas.gov/NPILookup?Npi=1518357086","1518357086")</f>
        <v>1518357086</v>
      </c>
      <c r="E4589" t="s">
        <v>19789</v>
      </c>
    </row>
    <row r="4590" spans="1:5" x14ac:dyDescent="0.25">
      <c r="A4590" t="s">
        <v>1</v>
      </c>
      <c r="B4590" t="s">
        <v>19</v>
      </c>
      <c r="C4590" t="s">
        <v>23490</v>
      </c>
      <c r="D4590" t="str">
        <f>HYPERLINK("https://rhld.insurance.arkansas.gov/NPILookup?Npi=1518358522","1518358522")</f>
        <v>1518358522</v>
      </c>
      <c r="E4590" t="s">
        <v>19790</v>
      </c>
    </row>
    <row r="4591" spans="1:5" x14ac:dyDescent="0.25">
      <c r="A4591" t="s">
        <v>1</v>
      </c>
      <c r="B4591" t="s">
        <v>19</v>
      </c>
      <c r="C4591" t="s">
        <v>23490</v>
      </c>
      <c r="D4591" t="str">
        <f>HYPERLINK("https://rhld.insurance.arkansas.gov/NPILookup?Npi=1518362227","1518362227")</f>
        <v>1518362227</v>
      </c>
      <c r="E4591" t="s">
        <v>1813</v>
      </c>
    </row>
    <row r="4592" spans="1:5" x14ac:dyDescent="0.25">
      <c r="A4592" t="s">
        <v>1</v>
      </c>
      <c r="B4592" t="s">
        <v>19</v>
      </c>
      <c r="C4592" t="s">
        <v>23490</v>
      </c>
      <c r="D4592" t="str">
        <f>HYPERLINK("https://rhld.insurance.arkansas.gov/NPILookup?Npi=1518362839","1518362839")</f>
        <v>1518362839</v>
      </c>
      <c r="E4592" t="s">
        <v>19791</v>
      </c>
    </row>
    <row r="4593" spans="1:5" x14ac:dyDescent="0.25">
      <c r="A4593" t="s">
        <v>1</v>
      </c>
      <c r="B4593" t="s">
        <v>19</v>
      </c>
      <c r="C4593" t="s">
        <v>23490</v>
      </c>
      <c r="D4593" t="str">
        <f>HYPERLINK("https://rhld.insurance.arkansas.gov/NPILookup?Npi=1518369396","1518369396")</f>
        <v>1518369396</v>
      </c>
      <c r="E4593" t="s">
        <v>16976</v>
      </c>
    </row>
    <row r="4594" spans="1:5" x14ac:dyDescent="0.25">
      <c r="A4594" t="s">
        <v>1</v>
      </c>
      <c r="B4594" t="s">
        <v>19</v>
      </c>
      <c r="C4594" t="s">
        <v>23490</v>
      </c>
      <c r="D4594" t="str">
        <f>HYPERLINK("https://rhld.insurance.arkansas.gov/NPILookup?Npi=1518374610","1518374610")</f>
        <v>1518374610</v>
      </c>
      <c r="E4594" t="s">
        <v>1814</v>
      </c>
    </row>
    <row r="4595" spans="1:5" x14ac:dyDescent="0.25">
      <c r="A4595" t="s">
        <v>1</v>
      </c>
      <c r="B4595" t="s">
        <v>19</v>
      </c>
      <c r="C4595" t="s">
        <v>23490</v>
      </c>
      <c r="D4595" t="str">
        <f>HYPERLINK("https://rhld.insurance.arkansas.gov/NPILookup?Npi=1518389709","1518389709")</f>
        <v>1518389709</v>
      </c>
      <c r="E4595" t="s">
        <v>1815</v>
      </c>
    </row>
    <row r="4596" spans="1:5" x14ac:dyDescent="0.25">
      <c r="A4596" t="s">
        <v>1</v>
      </c>
      <c r="B4596" t="s">
        <v>19</v>
      </c>
      <c r="C4596" t="s">
        <v>23490</v>
      </c>
      <c r="D4596" t="str">
        <f>HYPERLINK("https://rhld.insurance.arkansas.gov/NPILookup?Npi=1518423557","1518423557")</f>
        <v>1518423557</v>
      </c>
      <c r="E4596" t="s">
        <v>18015</v>
      </c>
    </row>
    <row r="4597" spans="1:5" x14ac:dyDescent="0.25">
      <c r="A4597" t="s">
        <v>1</v>
      </c>
      <c r="B4597" t="s">
        <v>19</v>
      </c>
      <c r="C4597" t="s">
        <v>23490</v>
      </c>
      <c r="D4597" t="str">
        <f>HYPERLINK("https://rhld.insurance.arkansas.gov/NPILookup?Npi=1518439462","1518439462")</f>
        <v>1518439462</v>
      </c>
      <c r="E4597" t="s">
        <v>15222</v>
      </c>
    </row>
    <row r="4598" spans="1:5" x14ac:dyDescent="0.25">
      <c r="A4598" t="s">
        <v>1</v>
      </c>
      <c r="B4598" t="s">
        <v>19</v>
      </c>
      <c r="C4598" t="s">
        <v>23490</v>
      </c>
      <c r="D4598" t="str">
        <f>HYPERLINK("https://rhld.insurance.arkansas.gov/NPILookup?Npi=1518443670","1518443670")</f>
        <v>1518443670</v>
      </c>
      <c r="E4598" t="s">
        <v>13570</v>
      </c>
    </row>
    <row r="4599" spans="1:5" x14ac:dyDescent="0.25">
      <c r="A4599" t="s">
        <v>1</v>
      </c>
      <c r="B4599" t="s">
        <v>19</v>
      </c>
      <c r="C4599" t="s">
        <v>23490</v>
      </c>
      <c r="D4599" t="str">
        <f>HYPERLINK("https://rhld.insurance.arkansas.gov/NPILookup?Npi=1518447960","1518447960")</f>
        <v>1518447960</v>
      </c>
      <c r="E4599" t="s">
        <v>13571</v>
      </c>
    </row>
    <row r="4600" spans="1:5" x14ac:dyDescent="0.25">
      <c r="A4600" t="s">
        <v>1</v>
      </c>
      <c r="B4600" t="s">
        <v>19</v>
      </c>
      <c r="C4600" t="s">
        <v>23490</v>
      </c>
      <c r="D4600" t="str">
        <f>HYPERLINK("https://rhld.insurance.arkansas.gov/NPILookup?Npi=1518459965","1518459965")</f>
        <v>1518459965</v>
      </c>
      <c r="E4600" t="s">
        <v>13572</v>
      </c>
    </row>
    <row r="4601" spans="1:5" x14ac:dyDescent="0.25">
      <c r="A4601" t="s">
        <v>1</v>
      </c>
      <c r="B4601" t="s">
        <v>19</v>
      </c>
      <c r="C4601" t="s">
        <v>23490</v>
      </c>
      <c r="D4601" t="str">
        <f>HYPERLINK("https://rhld.insurance.arkansas.gov/NPILookup?Npi=1518463355","1518463355")</f>
        <v>1518463355</v>
      </c>
      <c r="E4601" t="s">
        <v>19792</v>
      </c>
    </row>
    <row r="4602" spans="1:5" x14ac:dyDescent="0.25">
      <c r="A4602" t="s">
        <v>1</v>
      </c>
      <c r="B4602" t="s">
        <v>19</v>
      </c>
      <c r="C4602" t="s">
        <v>23490</v>
      </c>
      <c r="D4602" t="str">
        <f>HYPERLINK("https://rhld.insurance.arkansas.gov/NPILookup?Npi=1518475466","1518475466")</f>
        <v>1518475466</v>
      </c>
      <c r="E4602" t="s">
        <v>12854</v>
      </c>
    </row>
    <row r="4603" spans="1:5" x14ac:dyDescent="0.25">
      <c r="A4603" t="s">
        <v>1</v>
      </c>
      <c r="B4603" t="s">
        <v>19</v>
      </c>
      <c r="C4603" t="s">
        <v>23490</v>
      </c>
      <c r="D4603" t="str">
        <f>HYPERLINK("https://rhld.insurance.arkansas.gov/NPILookup?Npi=1518481589","1518481589")</f>
        <v>1518481589</v>
      </c>
      <c r="E4603" t="s">
        <v>11011</v>
      </c>
    </row>
    <row r="4604" spans="1:5" x14ac:dyDescent="0.25">
      <c r="A4604" t="s">
        <v>1</v>
      </c>
      <c r="B4604" t="s">
        <v>19</v>
      </c>
      <c r="C4604" t="s">
        <v>23490</v>
      </c>
      <c r="D4604" t="str">
        <f>HYPERLINK("https://rhld.insurance.arkansas.gov/NPILookup?Npi=1518491182","1518491182")</f>
        <v>1518491182</v>
      </c>
      <c r="E4604" t="s">
        <v>1554</v>
      </c>
    </row>
    <row r="4605" spans="1:5" x14ac:dyDescent="0.25">
      <c r="A4605" t="s">
        <v>1</v>
      </c>
      <c r="B4605" t="s">
        <v>19</v>
      </c>
      <c r="C4605" t="s">
        <v>23490</v>
      </c>
      <c r="D4605" t="str">
        <f>HYPERLINK("https://rhld.insurance.arkansas.gov/NPILookup?Npi=1518496538","1518496538")</f>
        <v>1518496538</v>
      </c>
      <c r="E4605" t="s">
        <v>11012</v>
      </c>
    </row>
    <row r="4606" spans="1:5" x14ac:dyDescent="0.25">
      <c r="A4606" t="s">
        <v>1</v>
      </c>
      <c r="B4606" t="s">
        <v>19</v>
      </c>
      <c r="C4606" t="s">
        <v>23490</v>
      </c>
      <c r="D4606" t="str">
        <f>HYPERLINK("https://rhld.insurance.arkansas.gov/NPILookup?Npi=1518497528","1518497528")</f>
        <v>1518497528</v>
      </c>
      <c r="E4606" t="s">
        <v>15223</v>
      </c>
    </row>
    <row r="4607" spans="1:5" x14ac:dyDescent="0.25">
      <c r="A4607" t="s">
        <v>1</v>
      </c>
      <c r="B4607" t="s">
        <v>19</v>
      </c>
      <c r="C4607" t="s">
        <v>23490</v>
      </c>
      <c r="D4607" t="str">
        <f>HYPERLINK("https://rhld.insurance.arkansas.gov/NPILookup?Npi=1518507995","1518507995")</f>
        <v>1518507995</v>
      </c>
      <c r="E4607" t="s">
        <v>18799</v>
      </c>
    </row>
    <row r="4608" spans="1:5" x14ac:dyDescent="0.25">
      <c r="A4608" t="s">
        <v>1</v>
      </c>
      <c r="B4608" t="s">
        <v>19</v>
      </c>
      <c r="C4608" t="s">
        <v>23490</v>
      </c>
      <c r="D4608" t="str">
        <f>HYPERLINK("https://rhld.insurance.arkansas.gov/NPILookup?Npi=1518520741","1518520741")</f>
        <v>1518520741</v>
      </c>
      <c r="E4608" t="s">
        <v>20959</v>
      </c>
    </row>
    <row r="4609" spans="1:5" x14ac:dyDescent="0.25">
      <c r="A4609" t="s">
        <v>1</v>
      </c>
      <c r="B4609" t="s">
        <v>19</v>
      </c>
      <c r="C4609" t="s">
        <v>23490</v>
      </c>
      <c r="D4609" t="str">
        <f>HYPERLINK("https://rhld.insurance.arkansas.gov/NPILookup?Npi=1518522887","1518522887")</f>
        <v>1518522887</v>
      </c>
      <c r="E4609" t="s">
        <v>21563</v>
      </c>
    </row>
    <row r="4610" spans="1:5" x14ac:dyDescent="0.25">
      <c r="A4610" t="s">
        <v>1</v>
      </c>
      <c r="B4610" t="s">
        <v>19</v>
      </c>
      <c r="C4610" t="s">
        <v>23490</v>
      </c>
      <c r="D4610" t="str">
        <f>HYPERLINK("https://rhld.insurance.arkansas.gov/NPILookup?Npi=1518532704","1518532704")</f>
        <v>1518532704</v>
      </c>
      <c r="E4610" t="s">
        <v>18800</v>
      </c>
    </row>
    <row r="4611" spans="1:5" x14ac:dyDescent="0.25">
      <c r="A4611" t="s">
        <v>1</v>
      </c>
      <c r="B4611" t="s">
        <v>19</v>
      </c>
      <c r="C4611" t="s">
        <v>23490</v>
      </c>
      <c r="D4611" t="str">
        <f>HYPERLINK("https://rhld.insurance.arkansas.gov/NPILookup?Npi=1518572528","1518572528")</f>
        <v>1518572528</v>
      </c>
      <c r="E4611" t="s">
        <v>20960</v>
      </c>
    </row>
    <row r="4612" spans="1:5" x14ac:dyDescent="0.25">
      <c r="A4612" t="s">
        <v>1</v>
      </c>
      <c r="B4612" t="s">
        <v>19</v>
      </c>
      <c r="C4612" t="s">
        <v>23490</v>
      </c>
      <c r="D4612" t="str">
        <f>HYPERLINK("https://rhld.insurance.arkansas.gov/NPILookup?Npi=1518581115","1518581115")</f>
        <v>1518581115</v>
      </c>
      <c r="E4612" t="s">
        <v>18016</v>
      </c>
    </row>
    <row r="4613" spans="1:5" x14ac:dyDescent="0.25">
      <c r="A4613" t="s">
        <v>1</v>
      </c>
      <c r="B4613" t="s">
        <v>19</v>
      </c>
      <c r="C4613" t="s">
        <v>23490</v>
      </c>
      <c r="D4613" t="str">
        <f>HYPERLINK("https://rhld.insurance.arkansas.gov/NPILookup?Npi=1518582154","1518582154")</f>
        <v>1518582154</v>
      </c>
      <c r="E4613" t="s">
        <v>18017</v>
      </c>
    </row>
    <row r="4614" spans="1:5" x14ac:dyDescent="0.25">
      <c r="A4614" t="s">
        <v>1</v>
      </c>
      <c r="B4614" t="s">
        <v>19</v>
      </c>
      <c r="C4614" t="s">
        <v>23490</v>
      </c>
      <c r="D4614" t="str">
        <f>HYPERLINK("https://rhld.insurance.arkansas.gov/NPILookup?Npi=1518583129","1518583129")</f>
        <v>1518583129</v>
      </c>
      <c r="E4614" t="s">
        <v>19793</v>
      </c>
    </row>
    <row r="4615" spans="1:5" x14ac:dyDescent="0.25">
      <c r="A4615" t="s">
        <v>1</v>
      </c>
      <c r="B4615" t="s">
        <v>19</v>
      </c>
      <c r="C4615" t="s">
        <v>23490</v>
      </c>
      <c r="D4615" t="str">
        <f>HYPERLINK("https://rhld.insurance.arkansas.gov/NPILookup?Npi=1518614874","1518614874")</f>
        <v>1518614874</v>
      </c>
      <c r="E4615" t="s">
        <v>19794</v>
      </c>
    </row>
    <row r="4616" spans="1:5" x14ac:dyDescent="0.25">
      <c r="A4616" t="s">
        <v>1</v>
      </c>
      <c r="B4616" t="s">
        <v>19</v>
      </c>
      <c r="C4616" t="s">
        <v>23490</v>
      </c>
      <c r="D4616" t="str">
        <f>HYPERLINK("https://rhld.insurance.arkansas.gov/NPILookup?Npi=1518621739","1518621739")</f>
        <v>1518621739</v>
      </c>
      <c r="E4616" t="s">
        <v>19795</v>
      </c>
    </row>
    <row r="4617" spans="1:5" x14ac:dyDescent="0.25">
      <c r="A4617" t="s">
        <v>1</v>
      </c>
      <c r="B4617" t="s">
        <v>19</v>
      </c>
      <c r="C4617" t="s">
        <v>23490</v>
      </c>
      <c r="D4617" t="str">
        <f>HYPERLINK("https://rhld.insurance.arkansas.gov/NPILookup?Npi=1518622042","1518622042")</f>
        <v>1518622042</v>
      </c>
      <c r="E4617" t="s">
        <v>20961</v>
      </c>
    </row>
    <row r="4618" spans="1:5" x14ac:dyDescent="0.25">
      <c r="A4618" t="s">
        <v>1</v>
      </c>
      <c r="B4618" t="s">
        <v>19</v>
      </c>
      <c r="C4618" t="s">
        <v>23490</v>
      </c>
      <c r="D4618" t="str">
        <f>HYPERLINK("https://rhld.insurance.arkansas.gov/NPILookup?Npi=1518630961","1518630961")</f>
        <v>1518630961</v>
      </c>
      <c r="E4618" t="s">
        <v>19796</v>
      </c>
    </row>
    <row r="4619" spans="1:5" x14ac:dyDescent="0.25">
      <c r="A4619" t="s">
        <v>1</v>
      </c>
      <c r="B4619" t="s">
        <v>19</v>
      </c>
      <c r="C4619" t="s">
        <v>23490</v>
      </c>
      <c r="D4619" t="str">
        <f>HYPERLINK("https://rhld.insurance.arkansas.gov/NPILookup?Npi=1518900554","1518900554")</f>
        <v>1518900554</v>
      </c>
      <c r="E4619" t="s">
        <v>11013</v>
      </c>
    </row>
    <row r="4620" spans="1:5" x14ac:dyDescent="0.25">
      <c r="A4620" t="s">
        <v>1</v>
      </c>
      <c r="B4620" t="s">
        <v>19</v>
      </c>
      <c r="C4620" t="s">
        <v>23490</v>
      </c>
      <c r="D4620" t="str">
        <f>HYPERLINK("https://rhld.insurance.arkansas.gov/NPILookup?Npi=1518901255","1518901255")</f>
        <v>1518901255</v>
      </c>
      <c r="E4620" t="s">
        <v>1816</v>
      </c>
    </row>
    <row r="4621" spans="1:5" x14ac:dyDescent="0.25">
      <c r="A4621" t="s">
        <v>1</v>
      </c>
      <c r="B4621" t="s">
        <v>19</v>
      </c>
      <c r="C4621" t="s">
        <v>23490</v>
      </c>
      <c r="D4621" t="str">
        <f>HYPERLINK("https://rhld.insurance.arkansas.gov/NPILookup?Npi=1518906858","1518906858")</f>
        <v>1518906858</v>
      </c>
      <c r="E4621" t="s">
        <v>1817</v>
      </c>
    </row>
    <row r="4622" spans="1:5" x14ac:dyDescent="0.25">
      <c r="A4622" t="s">
        <v>1</v>
      </c>
      <c r="B4622" t="s">
        <v>19</v>
      </c>
      <c r="C4622" t="s">
        <v>23490</v>
      </c>
      <c r="D4622" t="str">
        <f>HYPERLINK("https://rhld.insurance.arkansas.gov/NPILookup?Npi=1518916949","1518916949")</f>
        <v>1518916949</v>
      </c>
      <c r="E4622" t="s">
        <v>1818</v>
      </c>
    </row>
    <row r="4623" spans="1:5" x14ac:dyDescent="0.25">
      <c r="A4623" t="s">
        <v>1</v>
      </c>
      <c r="B4623" t="s">
        <v>19</v>
      </c>
      <c r="C4623" t="s">
        <v>23490</v>
      </c>
      <c r="D4623" t="str">
        <f>HYPERLINK("https://rhld.insurance.arkansas.gov/NPILookup?Npi=1518918937","1518918937")</f>
        <v>1518918937</v>
      </c>
      <c r="E4623" t="s">
        <v>1819</v>
      </c>
    </row>
    <row r="4624" spans="1:5" x14ac:dyDescent="0.25">
      <c r="A4624" t="s">
        <v>1</v>
      </c>
      <c r="B4624" t="s">
        <v>19</v>
      </c>
      <c r="C4624" t="s">
        <v>23490</v>
      </c>
      <c r="D4624" t="str">
        <f>HYPERLINK("https://rhld.insurance.arkansas.gov/NPILookup?Npi=1518920412","1518920412")</f>
        <v>1518920412</v>
      </c>
      <c r="E4624" t="s">
        <v>1820</v>
      </c>
    </row>
    <row r="4625" spans="1:5" x14ac:dyDescent="0.25">
      <c r="A4625" t="s">
        <v>1</v>
      </c>
      <c r="B4625" t="s">
        <v>19</v>
      </c>
      <c r="C4625" t="s">
        <v>23490</v>
      </c>
      <c r="D4625" t="str">
        <f>HYPERLINK("https://rhld.insurance.arkansas.gov/NPILookup?Npi=1518921287","1518921287")</f>
        <v>1518921287</v>
      </c>
      <c r="E4625" t="s">
        <v>15224</v>
      </c>
    </row>
    <row r="4626" spans="1:5" x14ac:dyDescent="0.25">
      <c r="A4626" t="s">
        <v>1</v>
      </c>
      <c r="B4626" t="s">
        <v>19</v>
      </c>
      <c r="C4626" t="s">
        <v>23490</v>
      </c>
      <c r="D4626" t="str">
        <f>HYPERLINK("https://rhld.insurance.arkansas.gov/NPILookup?Npi=1518923861","1518923861")</f>
        <v>1518923861</v>
      </c>
      <c r="E4626" t="s">
        <v>1821</v>
      </c>
    </row>
    <row r="4627" spans="1:5" x14ac:dyDescent="0.25">
      <c r="A4627" t="s">
        <v>1</v>
      </c>
      <c r="B4627" t="s">
        <v>19</v>
      </c>
      <c r="C4627" t="s">
        <v>23490</v>
      </c>
      <c r="D4627" t="str">
        <f>HYPERLINK("https://rhld.insurance.arkansas.gov/NPILookup?Npi=1518923903","1518923903")</f>
        <v>1518923903</v>
      </c>
      <c r="E4627" t="s">
        <v>1822</v>
      </c>
    </row>
    <row r="4628" spans="1:5" x14ac:dyDescent="0.25">
      <c r="A4628" t="s">
        <v>1</v>
      </c>
      <c r="B4628" t="s">
        <v>19</v>
      </c>
      <c r="C4628" t="s">
        <v>23490</v>
      </c>
      <c r="D4628" t="str">
        <f>HYPERLINK("https://rhld.insurance.arkansas.gov/NPILookup?Npi=1518925817","1518925817")</f>
        <v>1518925817</v>
      </c>
      <c r="E4628" t="s">
        <v>13001</v>
      </c>
    </row>
    <row r="4629" spans="1:5" x14ac:dyDescent="0.25">
      <c r="A4629" t="s">
        <v>1</v>
      </c>
      <c r="B4629" t="s">
        <v>19</v>
      </c>
      <c r="C4629" t="s">
        <v>23490</v>
      </c>
      <c r="D4629" t="str">
        <f>HYPERLINK("https://rhld.insurance.arkansas.gov/NPILookup?Npi=1518926716","1518926716")</f>
        <v>1518926716</v>
      </c>
      <c r="E4629" t="s">
        <v>19797</v>
      </c>
    </row>
    <row r="4630" spans="1:5" x14ac:dyDescent="0.25">
      <c r="A4630" t="s">
        <v>1</v>
      </c>
      <c r="B4630" t="s">
        <v>19</v>
      </c>
      <c r="C4630" t="s">
        <v>23490</v>
      </c>
      <c r="D4630" t="str">
        <f>HYPERLINK("https://rhld.insurance.arkansas.gov/NPILookup?Npi=1518928027","1518928027")</f>
        <v>1518928027</v>
      </c>
      <c r="E4630" t="s">
        <v>1823</v>
      </c>
    </row>
    <row r="4631" spans="1:5" x14ac:dyDescent="0.25">
      <c r="A4631" t="s">
        <v>1</v>
      </c>
      <c r="B4631" t="s">
        <v>19</v>
      </c>
      <c r="C4631" t="s">
        <v>23490</v>
      </c>
      <c r="D4631" t="str">
        <f>HYPERLINK("https://rhld.insurance.arkansas.gov/NPILookup?Npi=1518933167","1518933167")</f>
        <v>1518933167</v>
      </c>
      <c r="E4631" t="s">
        <v>1824</v>
      </c>
    </row>
    <row r="4632" spans="1:5" x14ac:dyDescent="0.25">
      <c r="A4632" t="s">
        <v>1</v>
      </c>
      <c r="B4632" t="s">
        <v>19</v>
      </c>
      <c r="C4632" t="s">
        <v>23490</v>
      </c>
      <c r="D4632" t="str">
        <f>HYPERLINK("https://rhld.insurance.arkansas.gov/NPILookup?Npi=1518935733","1518935733")</f>
        <v>1518935733</v>
      </c>
      <c r="E4632" t="s">
        <v>15225</v>
      </c>
    </row>
    <row r="4633" spans="1:5" x14ac:dyDescent="0.25">
      <c r="A4633" t="s">
        <v>1</v>
      </c>
      <c r="B4633" t="s">
        <v>19</v>
      </c>
      <c r="C4633" t="s">
        <v>23490</v>
      </c>
      <c r="D4633" t="str">
        <f>HYPERLINK("https://rhld.insurance.arkansas.gov/NPILookup?Npi=1518949429","1518949429")</f>
        <v>1518949429</v>
      </c>
      <c r="E4633" t="s">
        <v>1825</v>
      </c>
    </row>
    <row r="4634" spans="1:5" x14ac:dyDescent="0.25">
      <c r="A4634" t="s">
        <v>1</v>
      </c>
      <c r="B4634" t="s">
        <v>19</v>
      </c>
      <c r="C4634" t="s">
        <v>23490</v>
      </c>
      <c r="D4634" t="str">
        <f>HYPERLINK("https://rhld.insurance.arkansas.gov/NPILookup?Npi=1518951664","1518951664")</f>
        <v>1518951664</v>
      </c>
      <c r="E4634" t="s">
        <v>1826</v>
      </c>
    </row>
    <row r="4635" spans="1:5" x14ac:dyDescent="0.25">
      <c r="A4635" t="s">
        <v>1</v>
      </c>
      <c r="B4635" t="s">
        <v>19</v>
      </c>
      <c r="C4635" t="s">
        <v>23490</v>
      </c>
      <c r="D4635" t="str">
        <f>HYPERLINK("https://rhld.insurance.arkansas.gov/NPILookup?Npi=1518961234","1518961234")</f>
        <v>1518961234</v>
      </c>
      <c r="E4635" t="s">
        <v>1827</v>
      </c>
    </row>
    <row r="4636" spans="1:5" x14ac:dyDescent="0.25">
      <c r="A4636" t="s">
        <v>1</v>
      </c>
      <c r="B4636" t="s">
        <v>19</v>
      </c>
      <c r="C4636" t="s">
        <v>23490</v>
      </c>
      <c r="D4636" t="str">
        <f>HYPERLINK("https://rhld.insurance.arkansas.gov/NPILookup?Npi=1518961267","1518961267")</f>
        <v>1518961267</v>
      </c>
      <c r="E4636" t="s">
        <v>1828</v>
      </c>
    </row>
    <row r="4637" spans="1:5" x14ac:dyDescent="0.25">
      <c r="A4637" t="s">
        <v>1</v>
      </c>
      <c r="B4637" t="s">
        <v>19</v>
      </c>
      <c r="C4637" t="s">
        <v>23490</v>
      </c>
      <c r="D4637" t="str">
        <f>HYPERLINK("https://rhld.insurance.arkansas.gov/NPILookup?Npi=1518962968","1518962968")</f>
        <v>1518962968</v>
      </c>
      <c r="E4637" t="s">
        <v>1829</v>
      </c>
    </row>
    <row r="4638" spans="1:5" x14ac:dyDescent="0.25">
      <c r="A4638" t="s">
        <v>1</v>
      </c>
      <c r="B4638" t="s">
        <v>19</v>
      </c>
      <c r="C4638" t="s">
        <v>23490</v>
      </c>
      <c r="D4638" t="str">
        <f>HYPERLINK("https://rhld.insurance.arkansas.gov/NPILookup?Npi=1518965128","1518965128")</f>
        <v>1518965128</v>
      </c>
      <c r="E4638" t="s">
        <v>1830</v>
      </c>
    </row>
    <row r="4639" spans="1:5" x14ac:dyDescent="0.25">
      <c r="A4639" t="s">
        <v>1</v>
      </c>
      <c r="B4639" t="s">
        <v>19</v>
      </c>
      <c r="C4639" t="s">
        <v>23490</v>
      </c>
      <c r="D4639" t="str">
        <f>HYPERLINK("https://rhld.insurance.arkansas.gov/NPILookup?Npi=1518967181","1518967181")</f>
        <v>1518967181</v>
      </c>
      <c r="E4639" t="s">
        <v>1831</v>
      </c>
    </row>
    <row r="4640" spans="1:5" x14ac:dyDescent="0.25">
      <c r="A4640" t="s">
        <v>1</v>
      </c>
      <c r="B4640" t="s">
        <v>19</v>
      </c>
      <c r="C4640" t="s">
        <v>23490</v>
      </c>
      <c r="D4640" t="str">
        <f>HYPERLINK("https://rhld.insurance.arkansas.gov/NPILookup?Npi=1518968734","1518968734")</f>
        <v>1518968734</v>
      </c>
      <c r="E4640" t="s">
        <v>1832</v>
      </c>
    </row>
    <row r="4641" spans="1:5" x14ac:dyDescent="0.25">
      <c r="A4641" t="s">
        <v>1</v>
      </c>
      <c r="B4641" t="s">
        <v>19</v>
      </c>
      <c r="C4641" t="s">
        <v>23490</v>
      </c>
      <c r="D4641" t="str">
        <f>HYPERLINK("https://rhld.insurance.arkansas.gov/NPILookup?Npi=1518980887","1518980887")</f>
        <v>1518980887</v>
      </c>
      <c r="E4641" t="s">
        <v>2194</v>
      </c>
    </row>
    <row r="4642" spans="1:5" x14ac:dyDescent="0.25">
      <c r="A4642" t="s">
        <v>1</v>
      </c>
      <c r="B4642" t="s">
        <v>19</v>
      </c>
      <c r="C4642" t="s">
        <v>23490</v>
      </c>
      <c r="D4642" t="str">
        <f>HYPERLINK("https://rhld.insurance.arkansas.gov/NPILookup?Npi=1518982305","1518982305")</f>
        <v>1518982305</v>
      </c>
      <c r="E4642" t="s">
        <v>1833</v>
      </c>
    </row>
    <row r="4643" spans="1:5" x14ac:dyDescent="0.25">
      <c r="A4643" t="s">
        <v>1</v>
      </c>
      <c r="B4643" t="s">
        <v>19</v>
      </c>
      <c r="C4643" t="s">
        <v>23490</v>
      </c>
      <c r="D4643" t="str">
        <f>HYPERLINK("https://rhld.insurance.arkansas.gov/NPILookup?Npi=1518984194","1518984194")</f>
        <v>1518984194</v>
      </c>
      <c r="E4643" t="s">
        <v>6925</v>
      </c>
    </row>
    <row r="4644" spans="1:5" x14ac:dyDescent="0.25">
      <c r="A4644" t="s">
        <v>1</v>
      </c>
      <c r="B4644" t="s">
        <v>19</v>
      </c>
      <c r="C4644" t="s">
        <v>23490</v>
      </c>
      <c r="D4644" t="str">
        <f>HYPERLINK("https://rhld.insurance.arkansas.gov/NPILookup?Npi=1518985456","1518985456")</f>
        <v>1518985456</v>
      </c>
      <c r="E4644" t="s">
        <v>15226</v>
      </c>
    </row>
    <row r="4645" spans="1:5" x14ac:dyDescent="0.25">
      <c r="A4645" t="s">
        <v>1</v>
      </c>
      <c r="B4645" t="s">
        <v>19</v>
      </c>
      <c r="C4645" t="s">
        <v>23490</v>
      </c>
      <c r="D4645" t="str">
        <f>HYPERLINK("https://rhld.insurance.arkansas.gov/NPILookup?Npi=1518986355","1518986355")</f>
        <v>1518986355</v>
      </c>
      <c r="E4645" t="s">
        <v>8717</v>
      </c>
    </row>
    <row r="4646" spans="1:5" x14ac:dyDescent="0.25">
      <c r="A4646" t="s">
        <v>1</v>
      </c>
      <c r="B4646" t="s">
        <v>19</v>
      </c>
      <c r="C4646" t="s">
        <v>23490</v>
      </c>
      <c r="D4646" t="str">
        <f>HYPERLINK("https://rhld.insurance.arkansas.gov/NPILookup?Npi=1518993567","1518993567")</f>
        <v>1518993567</v>
      </c>
      <c r="E4646" t="s">
        <v>15227</v>
      </c>
    </row>
    <row r="4647" spans="1:5" x14ac:dyDescent="0.25">
      <c r="A4647" t="s">
        <v>1</v>
      </c>
      <c r="B4647" t="s">
        <v>19</v>
      </c>
      <c r="C4647" t="s">
        <v>23490</v>
      </c>
      <c r="D4647" t="str">
        <f>HYPERLINK("https://rhld.insurance.arkansas.gov/NPILookup?Npi=1518994169","1518994169")</f>
        <v>1518994169</v>
      </c>
      <c r="E4647" t="s">
        <v>1835</v>
      </c>
    </row>
    <row r="4648" spans="1:5" x14ac:dyDescent="0.25">
      <c r="A4648" t="s">
        <v>1</v>
      </c>
      <c r="B4648" t="s">
        <v>19</v>
      </c>
      <c r="C4648" t="s">
        <v>23490</v>
      </c>
      <c r="D4648" t="str">
        <f>HYPERLINK("https://rhld.insurance.arkansas.gov/NPILookup?Npi=1528006673","1528006673")</f>
        <v>1528006673</v>
      </c>
      <c r="E4648" t="s">
        <v>1836</v>
      </c>
    </row>
    <row r="4649" spans="1:5" x14ac:dyDescent="0.25">
      <c r="A4649" t="s">
        <v>1</v>
      </c>
      <c r="B4649" t="s">
        <v>19</v>
      </c>
      <c r="C4649" t="s">
        <v>23490</v>
      </c>
      <c r="D4649" t="str">
        <f>HYPERLINK("https://rhld.insurance.arkansas.gov/NPILookup?Npi=1528007705","1528007705")</f>
        <v>1528007705</v>
      </c>
      <c r="E4649" t="s">
        <v>13573</v>
      </c>
    </row>
    <row r="4650" spans="1:5" x14ac:dyDescent="0.25">
      <c r="A4650" t="s">
        <v>1</v>
      </c>
      <c r="B4650" t="s">
        <v>19</v>
      </c>
      <c r="C4650" t="s">
        <v>23490</v>
      </c>
      <c r="D4650" t="str">
        <f>HYPERLINK("https://rhld.insurance.arkansas.gov/NPILookup?Npi=1528009529","1528009529")</f>
        <v>1528009529</v>
      </c>
      <c r="E4650" t="s">
        <v>15228</v>
      </c>
    </row>
    <row r="4651" spans="1:5" x14ac:dyDescent="0.25">
      <c r="A4651" t="s">
        <v>1</v>
      </c>
      <c r="B4651" t="s">
        <v>19</v>
      </c>
      <c r="C4651" t="s">
        <v>23490</v>
      </c>
      <c r="D4651" t="str">
        <f>HYPERLINK("https://rhld.insurance.arkansas.gov/NPILookup?Npi=1528013851","1528013851")</f>
        <v>1528013851</v>
      </c>
      <c r="E4651" t="s">
        <v>1837</v>
      </c>
    </row>
    <row r="4652" spans="1:5" x14ac:dyDescent="0.25">
      <c r="A4652" t="s">
        <v>1</v>
      </c>
      <c r="B4652" t="s">
        <v>19</v>
      </c>
      <c r="C4652" t="s">
        <v>23490</v>
      </c>
      <c r="D4652" t="str">
        <f>HYPERLINK("https://rhld.insurance.arkansas.gov/NPILookup?Npi=1528019098","1528019098")</f>
        <v>1528019098</v>
      </c>
      <c r="E4652" t="s">
        <v>1838</v>
      </c>
    </row>
    <row r="4653" spans="1:5" x14ac:dyDescent="0.25">
      <c r="A4653" t="s">
        <v>1</v>
      </c>
      <c r="B4653" t="s">
        <v>19</v>
      </c>
      <c r="C4653" t="s">
        <v>23490</v>
      </c>
      <c r="D4653" t="str">
        <f>HYPERLINK("https://rhld.insurance.arkansas.gov/NPILookup?Npi=1528021649","1528021649")</f>
        <v>1528021649</v>
      </c>
      <c r="E4653" t="s">
        <v>1839</v>
      </c>
    </row>
    <row r="4654" spans="1:5" x14ac:dyDescent="0.25">
      <c r="A4654" t="s">
        <v>1</v>
      </c>
      <c r="B4654" t="s">
        <v>19</v>
      </c>
      <c r="C4654" t="s">
        <v>23490</v>
      </c>
      <c r="D4654" t="str">
        <f>HYPERLINK("https://rhld.insurance.arkansas.gov/NPILookup?Npi=1528022167","1528022167")</f>
        <v>1528022167</v>
      </c>
      <c r="E4654" t="s">
        <v>1840</v>
      </c>
    </row>
    <row r="4655" spans="1:5" x14ac:dyDescent="0.25">
      <c r="A4655" t="s">
        <v>1</v>
      </c>
      <c r="B4655" t="s">
        <v>19</v>
      </c>
      <c r="C4655" t="s">
        <v>23490</v>
      </c>
      <c r="D4655" t="str">
        <f>HYPERLINK("https://rhld.insurance.arkansas.gov/NPILookup?Npi=1528024866","1528024866")</f>
        <v>1528024866</v>
      </c>
      <c r="E4655" t="s">
        <v>1841</v>
      </c>
    </row>
    <row r="4656" spans="1:5" x14ac:dyDescent="0.25">
      <c r="A4656" t="s">
        <v>1</v>
      </c>
      <c r="B4656" t="s">
        <v>19</v>
      </c>
      <c r="C4656" t="s">
        <v>23490</v>
      </c>
      <c r="D4656" t="str">
        <f>HYPERLINK("https://rhld.insurance.arkansas.gov/NPILookup?Npi=1528025038","1528025038")</f>
        <v>1528025038</v>
      </c>
      <c r="E4656" t="s">
        <v>1842</v>
      </c>
    </row>
    <row r="4657" spans="1:5" x14ac:dyDescent="0.25">
      <c r="A4657" t="s">
        <v>1</v>
      </c>
      <c r="B4657" t="s">
        <v>19</v>
      </c>
      <c r="C4657" t="s">
        <v>23490</v>
      </c>
      <c r="D4657" t="str">
        <f>HYPERLINK("https://rhld.insurance.arkansas.gov/NPILookup?Npi=1528027828","1528027828")</f>
        <v>1528027828</v>
      </c>
      <c r="E4657" t="s">
        <v>1843</v>
      </c>
    </row>
    <row r="4658" spans="1:5" x14ac:dyDescent="0.25">
      <c r="A4658" t="s">
        <v>1</v>
      </c>
      <c r="B4658" t="s">
        <v>19</v>
      </c>
      <c r="C4658" t="s">
        <v>23490</v>
      </c>
      <c r="D4658" t="str">
        <f>HYPERLINK("https://rhld.insurance.arkansas.gov/NPILookup?Npi=1528039443","1528039443")</f>
        <v>1528039443</v>
      </c>
      <c r="E4658" t="s">
        <v>1844</v>
      </c>
    </row>
    <row r="4659" spans="1:5" x14ac:dyDescent="0.25">
      <c r="A4659" t="s">
        <v>1</v>
      </c>
      <c r="B4659" t="s">
        <v>19</v>
      </c>
      <c r="C4659" t="s">
        <v>23490</v>
      </c>
      <c r="D4659" t="str">
        <f>HYPERLINK("https://rhld.insurance.arkansas.gov/NPILookup?Npi=1528041696","1528041696")</f>
        <v>1528041696</v>
      </c>
      <c r="E4659" t="s">
        <v>15229</v>
      </c>
    </row>
    <row r="4660" spans="1:5" x14ac:dyDescent="0.25">
      <c r="A4660" t="s">
        <v>1</v>
      </c>
      <c r="B4660" t="s">
        <v>19</v>
      </c>
      <c r="C4660" t="s">
        <v>23490</v>
      </c>
      <c r="D4660" t="str">
        <f>HYPERLINK("https://rhld.insurance.arkansas.gov/NPILookup?Npi=1528052784","1528052784")</f>
        <v>1528052784</v>
      </c>
      <c r="E4660" t="s">
        <v>1845</v>
      </c>
    </row>
    <row r="4661" spans="1:5" x14ac:dyDescent="0.25">
      <c r="A4661" t="s">
        <v>1</v>
      </c>
      <c r="B4661" t="s">
        <v>19</v>
      </c>
      <c r="C4661" t="s">
        <v>23490</v>
      </c>
      <c r="D4661" t="str">
        <f>HYPERLINK("https://rhld.insurance.arkansas.gov/NPILookup?Npi=1528052800","1528052800")</f>
        <v>1528052800</v>
      </c>
      <c r="E4661" t="s">
        <v>1846</v>
      </c>
    </row>
    <row r="4662" spans="1:5" x14ac:dyDescent="0.25">
      <c r="A4662" t="s">
        <v>1</v>
      </c>
      <c r="B4662" t="s">
        <v>19</v>
      </c>
      <c r="C4662" t="s">
        <v>23490</v>
      </c>
      <c r="D4662" t="str">
        <f>HYPERLINK("https://rhld.insurance.arkansas.gov/NPILookup?Npi=1528055738","1528055738")</f>
        <v>1528055738</v>
      </c>
      <c r="E4662" t="s">
        <v>1847</v>
      </c>
    </row>
    <row r="4663" spans="1:5" x14ac:dyDescent="0.25">
      <c r="A4663" t="s">
        <v>1</v>
      </c>
      <c r="B4663" t="s">
        <v>19</v>
      </c>
      <c r="C4663" t="s">
        <v>23490</v>
      </c>
      <c r="D4663" t="str">
        <f>HYPERLINK("https://rhld.insurance.arkansas.gov/NPILookup?Npi=1528058765","1528058765")</f>
        <v>1528058765</v>
      </c>
      <c r="E4663" t="s">
        <v>15230</v>
      </c>
    </row>
    <row r="4664" spans="1:5" x14ac:dyDescent="0.25">
      <c r="A4664" t="s">
        <v>1</v>
      </c>
      <c r="B4664" t="s">
        <v>19</v>
      </c>
      <c r="C4664" t="s">
        <v>23490</v>
      </c>
      <c r="D4664" t="str">
        <f>HYPERLINK("https://rhld.insurance.arkansas.gov/NPILookup?Npi=1528063252","1528063252")</f>
        <v>1528063252</v>
      </c>
      <c r="E4664" t="s">
        <v>1848</v>
      </c>
    </row>
    <row r="4665" spans="1:5" x14ac:dyDescent="0.25">
      <c r="A4665" t="s">
        <v>1</v>
      </c>
      <c r="B4665" t="s">
        <v>19</v>
      </c>
      <c r="C4665" t="s">
        <v>23490</v>
      </c>
      <c r="D4665" t="str">
        <f>HYPERLINK("https://rhld.insurance.arkansas.gov/NPILookup?Npi=1528063807","1528063807")</f>
        <v>1528063807</v>
      </c>
      <c r="E4665" t="s">
        <v>15231</v>
      </c>
    </row>
    <row r="4666" spans="1:5" x14ac:dyDescent="0.25">
      <c r="A4666" t="s">
        <v>1</v>
      </c>
      <c r="B4666" t="s">
        <v>19</v>
      </c>
      <c r="C4666" t="s">
        <v>23490</v>
      </c>
      <c r="D4666" t="str">
        <f>HYPERLINK("https://rhld.insurance.arkansas.gov/NPILookup?Npi=1528063997","1528063997")</f>
        <v>1528063997</v>
      </c>
      <c r="E4666" t="s">
        <v>1849</v>
      </c>
    </row>
    <row r="4667" spans="1:5" x14ac:dyDescent="0.25">
      <c r="A4667" t="s">
        <v>1</v>
      </c>
      <c r="B4667" t="s">
        <v>19</v>
      </c>
      <c r="C4667" t="s">
        <v>23490</v>
      </c>
      <c r="D4667" t="str">
        <f>HYPERLINK("https://rhld.insurance.arkansas.gov/NPILookup?Npi=1528082401","1528082401")</f>
        <v>1528082401</v>
      </c>
      <c r="E4667" t="s">
        <v>13574</v>
      </c>
    </row>
    <row r="4668" spans="1:5" x14ac:dyDescent="0.25">
      <c r="A4668" t="s">
        <v>1</v>
      </c>
      <c r="B4668" t="s">
        <v>19</v>
      </c>
      <c r="C4668" t="s">
        <v>23490</v>
      </c>
      <c r="D4668" t="str">
        <f>HYPERLINK("https://rhld.insurance.arkansas.gov/NPILookup?Npi=1528083946","1528083946")</f>
        <v>1528083946</v>
      </c>
      <c r="E4668" t="s">
        <v>19798</v>
      </c>
    </row>
    <row r="4669" spans="1:5" x14ac:dyDescent="0.25">
      <c r="A4669" t="s">
        <v>1</v>
      </c>
      <c r="B4669" t="s">
        <v>19</v>
      </c>
      <c r="C4669" t="s">
        <v>23490</v>
      </c>
      <c r="D4669" t="str">
        <f>HYPERLINK("https://rhld.insurance.arkansas.gov/NPILookup?Npi=1528086857","1528086857")</f>
        <v>1528086857</v>
      </c>
      <c r="E4669" t="s">
        <v>15232</v>
      </c>
    </row>
    <row r="4670" spans="1:5" x14ac:dyDescent="0.25">
      <c r="A4670" t="s">
        <v>1</v>
      </c>
      <c r="B4670" t="s">
        <v>19</v>
      </c>
      <c r="C4670" t="s">
        <v>23490</v>
      </c>
      <c r="D4670" t="str">
        <f>HYPERLINK("https://rhld.insurance.arkansas.gov/NPILookup?Npi=1528088846","1528088846")</f>
        <v>1528088846</v>
      </c>
      <c r="E4670" t="s">
        <v>11014</v>
      </c>
    </row>
    <row r="4671" spans="1:5" x14ac:dyDescent="0.25">
      <c r="A4671" t="s">
        <v>1</v>
      </c>
      <c r="B4671" t="s">
        <v>19</v>
      </c>
      <c r="C4671" t="s">
        <v>23490</v>
      </c>
      <c r="D4671" t="str">
        <f>HYPERLINK("https://rhld.insurance.arkansas.gov/NPILookup?Npi=1528145695","1528145695")</f>
        <v>1528145695</v>
      </c>
      <c r="E4671" t="s">
        <v>1853</v>
      </c>
    </row>
    <row r="4672" spans="1:5" x14ac:dyDescent="0.25">
      <c r="A4672" t="s">
        <v>1</v>
      </c>
      <c r="B4672" t="s">
        <v>19</v>
      </c>
      <c r="C4672" t="s">
        <v>23490</v>
      </c>
      <c r="D4672" t="str">
        <f>HYPERLINK("https://rhld.insurance.arkansas.gov/NPILookup?Npi=1528149531","1528149531")</f>
        <v>1528149531</v>
      </c>
      <c r="E4672" t="s">
        <v>8718</v>
      </c>
    </row>
    <row r="4673" spans="1:5" x14ac:dyDescent="0.25">
      <c r="A4673" t="s">
        <v>1</v>
      </c>
      <c r="B4673" t="s">
        <v>19</v>
      </c>
      <c r="C4673" t="s">
        <v>23490</v>
      </c>
      <c r="D4673" t="str">
        <f>HYPERLINK("https://rhld.insurance.arkansas.gov/NPILookup?Npi=1528158227","1528158227")</f>
        <v>1528158227</v>
      </c>
      <c r="E4673" t="s">
        <v>11015</v>
      </c>
    </row>
    <row r="4674" spans="1:5" x14ac:dyDescent="0.25">
      <c r="A4674" t="s">
        <v>1</v>
      </c>
      <c r="B4674" t="s">
        <v>19</v>
      </c>
      <c r="C4674" t="s">
        <v>23490</v>
      </c>
      <c r="D4674" t="str">
        <f>HYPERLINK("https://rhld.insurance.arkansas.gov/NPILookup?Npi=1528172095","1528172095")</f>
        <v>1528172095</v>
      </c>
      <c r="E4674" t="s">
        <v>8719</v>
      </c>
    </row>
    <row r="4675" spans="1:5" x14ac:dyDescent="0.25">
      <c r="A4675" t="s">
        <v>1</v>
      </c>
      <c r="B4675" t="s">
        <v>19</v>
      </c>
      <c r="C4675" t="s">
        <v>23490</v>
      </c>
      <c r="D4675" t="str">
        <f>HYPERLINK("https://rhld.insurance.arkansas.gov/NPILookup?Npi=1528175056","1528175056")</f>
        <v>1528175056</v>
      </c>
      <c r="E4675" t="s">
        <v>19799</v>
      </c>
    </row>
    <row r="4676" spans="1:5" x14ac:dyDescent="0.25">
      <c r="A4676" t="s">
        <v>1</v>
      </c>
      <c r="B4676" t="s">
        <v>19</v>
      </c>
      <c r="C4676" t="s">
        <v>23490</v>
      </c>
      <c r="D4676" t="str">
        <f>HYPERLINK("https://rhld.insurance.arkansas.gov/NPILookup?Npi=1528177151","1528177151")</f>
        <v>1528177151</v>
      </c>
      <c r="E4676" t="s">
        <v>15233</v>
      </c>
    </row>
    <row r="4677" spans="1:5" x14ac:dyDescent="0.25">
      <c r="A4677" t="s">
        <v>1</v>
      </c>
      <c r="B4677" t="s">
        <v>19</v>
      </c>
      <c r="C4677" t="s">
        <v>23490</v>
      </c>
      <c r="D4677" t="str">
        <f>HYPERLINK("https://rhld.insurance.arkansas.gov/NPILookup?Npi=1528200417","1528200417")</f>
        <v>1528200417</v>
      </c>
      <c r="E4677" t="s">
        <v>18018</v>
      </c>
    </row>
    <row r="4678" spans="1:5" x14ac:dyDescent="0.25">
      <c r="A4678" t="s">
        <v>1</v>
      </c>
      <c r="B4678" t="s">
        <v>19</v>
      </c>
      <c r="C4678" t="s">
        <v>23490</v>
      </c>
      <c r="D4678" t="str">
        <f>HYPERLINK("https://rhld.insurance.arkansas.gov/NPILookup?Npi=1528224508","1528224508")</f>
        <v>1528224508</v>
      </c>
      <c r="E4678" t="s">
        <v>11016</v>
      </c>
    </row>
    <row r="4679" spans="1:5" x14ac:dyDescent="0.25">
      <c r="A4679" t="s">
        <v>1</v>
      </c>
      <c r="B4679" t="s">
        <v>19</v>
      </c>
      <c r="C4679" t="s">
        <v>23490</v>
      </c>
      <c r="D4679" t="str">
        <f>HYPERLINK("https://rhld.insurance.arkansas.gov/NPILookup?Npi=1528225844","1528225844")</f>
        <v>1528225844</v>
      </c>
      <c r="E4679" t="s">
        <v>1854</v>
      </c>
    </row>
    <row r="4680" spans="1:5" x14ac:dyDescent="0.25">
      <c r="A4680" t="s">
        <v>1</v>
      </c>
      <c r="B4680" t="s">
        <v>19</v>
      </c>
      <c r="C4680" t="s">
        <v>23490</v>
      </c>
      <c r="D4680" t="str">
        <f>HYPERLINK("https://rhld.insurance.arkansas.gov/NPILookup?Npi=1528231867","1528231867")</f>
        <v>1528231867</v>
      </c>
      <c r="E4680" t="s">
        <v>1855</v>
      </c>
    </row>
    <row r="4681" spans="1:5" x14ac:dyDescent="0.25">
      <c r="A4681" t="s">
        <v>1</v>
      </c>
      <c r="B4681" t="s">
        <v>19</v>
      </c>
      <c r="C4681" t="s">
        <v>23490</v>
      </c>
      <c r="D4681" t="str">
        <f>HYPERLINK("https://rhld.insurance.arkansas.gov/NPILookup?Npi=1528257003","1528257003")</f>
        <v>1528257003</v>
      </c>
      <c r="E4681" t="s">
        <v>1857</v>
      </c>
    </row>
    <row r="4682" spans="1:5" x14ac:dyDescent="0.25">
      <c r="A4682" t="s">
        <v>1</v>
      </c>
      <c r="B4682" t="s">
        <v>19</v>
      </c>
      <c r="C4682" t="s">
        <v>23490</v>
      </c>
      <c r="D4682" t="str">
        <f>HYPERLINK("https://rhld.insurance.arkansas.gov/NPILookup?Npi=1528258514","1528258514")</f>
        <v>1528258514</v>
      </c>
      <c r="E4682" t="s">
        <v>1858</v>
      </c>
    </row>
    <row r="4683" spans="1:5" x14ac:dyDescent="0.25">
      <c r="A4683" t="s">
        <v>1</v>
      </c>
      <c r="B4683" t="s">
        <v>19</v>
      </c>
      <c r="C4683" t="s">
        <v>23490</v>
      </c>
      <c r="D4683" t="str">
        <f>HYPERLINK("https://rhld.insurance.arkansas.gov/NPILookup?Npi=1528261617","1528261617")</f>
        <v>1528261617</v>
      </c>
      <c r="E4683" t="s">
        <v>1859</v>
      </c>
    </row>
    <row r="4684" spans="1:5" x14ac:dyDescent="0.25">
      <c r="A4684" t="s">
        <v>1</v>
      </c>
      <c r="B4684" t="s">
        <v>19</v>
      </c>
      <c r="C4684" t="s">
        <v>23490</v>
      </c>
      <c r="D4684" t="str">
        <f>HYPERLINK("https://rhld.insurance.arkansas.gov/NPILookup?Npi=1528291531","1528291531")</f>
        <v>1528291531</v>
      </c>
      <c r="E4684" t="s">
        <v>15234</v>
      </c>
    </row>
    <row r="4685" spans="1:5" x14ac:dyDescent="0.25">
      <c r="A4685" t="s">
        <v>1</v>
      </c>
      <c r="B4685" t="s">
        <v>19</v>
      </c>
      <c r="C4685" t="s">
        <v>23490</v>
      </c>
      <c r="D4685" t="str">
        <f>HYPERLINK("https://rhld.insurance.arkansas.gov/NPILookup?Npi=1528294667","1528294667")</f>
        <v>1528294667</v>
      </c>
      <c r="E4685" t="s">
        <v>18019</v>
      </c>
    </row>
    <row r="4686" spans="1:5" x14ac:dyDescent="0.25">
      <c r="A4686" t="s">
        <v>1</v>
      </c>
      <c r="B4686" t="s">
        <v>19</v>
      </c>
      <c r="C4686" t="s">
        <v>23490</v>
      </c>
      <c r="D4686" t="str">
        <f>HYPERLINK("https://rhld.insurance.arkansas.gov/NPILookup?Npi=1528296878","1528296878")</f>
        <v>1528296878</v>
      </c>
      <c r="E4686" t="s">
        <v>1860</v>
      </c>
    </row>
    <row r="4687" spans="1:5" x14ac:dyDescent="0.25">
      <c r="A4687" t="s">
        <v>1</v>
      </c>
      <c r="B4687" t="s">
        <v>19</v>
      </c>
      <c r="C4687" t="s">
        <v>23490</v>
      </c>
      <c r="D4687" t="str">
        <f>HYPERLINK("https://rhld.insurance.arkansas.gov/NPILookup?Npi=1528309986","1528309986")</f>
        <v>1528309986</v>
      </c>
      <c r="E4687" t="s">
        <v>11017</v>
      </c>
    </row>
    <row r="4688" spans="1:5" x14ac:dyDescent="0.25">
      <c r="A4688" t="s">
        <v>1</v>
      </c>
      <c r="B4688" t="s">
        <v>19</v>
      </c>
      <c r="C4688" t="s">
        <v>23490</v>
      </c>
      <c r="D4688" t="str">
        <f>HYPERLINK("https://rhld.insurance.arkansas.gov/NPILookup?Npi=1528319167","1528319167")</f>
        <v>1528319167</v>
      </c>
      <c r="E4688" t="s">
        <v>15235</v>
      </c>
    </row>
    <row r="4689" spans="1:5" x14ac:dyDescent="0.25">
      <c r="A4689" t="s">
        <v>1</v>
      </c>
      <c r="B4689" t="s">
        <v>19</v>
      </c>
      <c r="C4689" t="s">
        <v>23490</v>
      </c>
      <c r="D4689" t="str">
        <f>HYPERLINK("https://rhld.insurance.arkansas.gov/NPILookup?Npi=1528325529","1528325529")</f>
        <v>1528325529</v>
      </c>
      <c r="E4689" t="s">
        <v>11018</v>
      </c>
    </row>
    <row r="4690" spans="1:5" x14ac:dyDescent="0.25">
      <c r="A4690" t="s">
        <v>1</v>
      </c>
      <c r="B4690" t="s">
        <v>19</v>
      </c>
      <c r="C4690" t="s">
        <v>23490</v>
      </c>
      <c r="D4690" t="str">
        <f>HYPERLINK("https://rhld.insurance.arkansas.gov/NPILookup?Npi=1528336294","1528336294")</f>
        <v>1528336294</v>
      </c>
      <c r="E4690" t="s">
        <v>1862</v>
      </c>
    </row>
    <row r="4691" spans="1:5" x14ac:dyDescent="0.25">
      <c r="A4691" t="s">
        <v>1</v>
      </c>
      <c r="B4691" t="s">
        <v>19</v>
      </c>
      <c r="C4691" t="s">
        <v>23490</v>
      </c>
      <c r="D4691" t="str">
        <f>HYPERLINK("https://rhld.insurance.arkansas.gov/NPILookup?Npi=1528350006","1528350006")</f>
        <v>1528350006</v>
      </c>
      <c r="E4691" t="s">
        <v>15236</v>
      </c>
    </row>
    <row r="4692" spans="1:5" x14ac:dyDescent="0.25">
      <c r="A4692" t="s">
        <v>1</v>
      </c>
      <c r="B4692" t="s">
        <v>19</v>
      </c>
      <c r="C4692" t="s">
        <v>23490</v>
      </c>
      <c r="D4692" t="str">
        <f>HYPERLINK("https://rhld.insurance.arkansas.gov/NPILookup?Npi=1528386547","1528386547")</f>
        <v>1528386547</v>
      </c>
      <c r="E4692" t="s">
        <v>1863</v>
      </c>
    </row>
    <row r="4693" spans="1:5" x14ac:dyDescent="0.25">
      <c r="A4693" t="s">
        <v>1</v>
      </c>
      <c r="B4693" t="s">
        <v>19</v>
      </c>
      <c r="C4693" t="s">
        <v>23490</v>
      </c>
      <c r="D4693" t="str">
        <f>HYPERLINK("https://rhld.insurance.arkansas.gov/NPILookup?Npi=1528393667","1528393667")</f>
        <v>1528393667</v>
      </c>
      <c r="E4693" t="s">
        <v>1864</v>
      </c>
    </row>
    <row r="4694" spans="1:5" x14ac:dyDescent="0.25">
      <c r="A4694" t="s">
        <v>1</v>
      </c>
      <c r="B4694" t="s">
        <v>19</v>
      </c>
      <c r="C4694" t="s">
        <v>23490</v>
      </c>
      <c r="D4694" t="str">
        <f>HYPERLINK("https://rhld.insurance.arkansas.gov/NPILookup?Npi=1528401163","1528401163")</f>
        <v>1528401163</v>
      </c>
      <c r="E4694" t="s">
        <v>8720</v>
      </c>
    </row>
    <row r="4695" spans="1:5" x14ac:dyDescent="0.25">
      <c r="A4695" t="s">
        <v>1</v>
      </c>
      <c r="B4695" t="s">
        <v>19</v>
      </c>
      <c r="C4695" t="s">
        <v>23490</v>
      </c>
      <c r="D4695" t="str">
        <f>HYPERLINK("https://rhld.insurance.arkansas.gov/NPILookup?Npi=1528409059","1528409059")</f>
        <v>1528409059</v>
      </c>
      <c r="E4695" t="s">
        <v>21564</v>
      </c>
    </row>
    <row r="4696" spans="1:5" x14ac:dyDescent="0.25">
      <c r="A4696" t="s">
        <v>1</v>
      </c>
      <c r="B4696" t="s">
        <v>19</v>
      </c>
      <c r="C4696" t="s">
        <v>23490</v>
      </c>
      <c r="D4696" t="str">
        <f>HYPERLINK("https://rhld.insurance.arkansas.gov/NPILookup?Npi=1528415999","1528415999")</f>
        <v>1528415999</v>
      </c>
      <c r="E4696" t="s">
        <v>13575</v>
      </c>
    </row>
    <row r="4697" spans="1:5" x14ac:dyDescent="0.25">
      <c r="A4697" t="s">
        <v>1</v>
      </c>
      <c r="B4697" t="s">
        <v>19</v>
      </c>
      <c r="C4697" t="s">
        <v>23490</v>
      </c>
      <c r="D4697" t="str">
        <f>HYPERLINK("https://rhld.insurance.arkansas.gov/NPILookup?Npi=1528422037","1528422037")</f>
        <v>1528422037</v>
      </c>
      <c r="E4697" t="s">
        <v>15237</v>
      </c>
    </row>
    <row r="4698" spans="1:5" x14ac:dyDescent="0.25">
      <c r="A4698" t="s">
        <v>1</v>
      </c>
      <c r="B4698" t="s">
        <v>19</v>
      </c>
      <c r="C4698" t="s">
        <v>23490</v>
      </c>
      <c r="D4698" t="str">
        <f>HYPERLINK("https://rhld.insurance.arkansas.gov/NPILookup?Npi=1528422441","1528422441")</f>
        <v>1528422441</v>
      </c>
      <c r="E4698" t="s">
        <v>8721</v>
      </c>
    </row>
    <row r="4699" spans="1:5" x14ac:dyDescent="0.25">
      <c r="A4699" t="s">
        <v>1</v>
      </c>
      <c r="B4699" t="s">
        <v>19</v>
      </c>
      <c r="C4699" t="s">
        <v>23490</v>
      </c>
      <c r="D4699" t="str">
        <f>HYPERLINK("https://rhld.insurance.arkansas.gov/NPILookup?Npi=1528440922","1528440922")</f>
        <v>1528440922</v>
      </c>
      <c r="E4699" t="s">
        <v>13576</v>
      </c>
    </row>
    <row r="4700" spans="1:5" x14ac:dyDescent="0.25">
      <c r="A4700" t="s">
        <v>1</v>
      </c>
      <c r="B4700" t="s">
        <v>19</v>
      </c>
      <c r="C4700" t="s">
        <v>23490</v>
      </c>
      <c r="D4700" t="str">
        <f>HYPERLINK("https://rhld.insurance.arkansas.gov/NPILookup?Npi=1528446283","1528446283")</f>
        <v>1528446283</v>
      </c>
      <c r="E4700" t="s">
        <v>13577</v>
      </c>
    </row>
    <row r="4701" spans="1:5" x14ac:dyDescent="0.25">
      <c r="A4701" t="s">
        <v>1</v>
      </c>
      <c r="B4701" t="s">
        <v>19</v>
      </c>
      <c r="C4701" t="s">
        <v>23490</v>
      </c>
      <c r="D4701" t="str">
        <f>HYPERLINK("https://rhld.insurance.arkansas.gov/NPILookup?Npi=1528453727","1528453727")</f>
        <v>1528453727</v>
      </c>
      <c r="E4701" t="s">
        <v>11019</v>
      </c>
    </row>
    <row r="4702" spans="1:5" x14ac:dyDescent="0.25">
      <c r="A4702" t="s">
        <v>1</v>
      </c>
      <c r="B4702" t="s">
        <v>19</v>
      </c>
      <c r="C4702" t="s">
        <v>23490</v>
      </c>
      <c r="D4702" t="str">
        <f>HYPERLINK("https://rhld.insurance.arkansas.gov/NPILookup?Npi=1528459799","1528459799")</f>
        <v>1528459799</v>
      </c>
      <c r="E4702" t="s">
        <v>1865</v>
      </c>
    </row>
    <row r="4703" spans="1:5" x14ac:dyDescent="0.25">
      <c r="A4703" t="s">
        <v>1</v>
      </c>
      <c r="B4703" t="s">
        <v>19</v>
      </c>
      <c r="C4703" t="s">
        <v>23490</v>
      </c>
      <c r="D4703" t="str">
        <f>HYPERLINK("https://rhld.insurance.arkansas.gov/NPILookup?Npi=1528461456","1528461456")</f>
        <v>1528461456</v>
      </c>
      <c r="E4703" t="s">
        <v>11020</v>
      </c>
    </row>
    <row r="4704" spans="1:5" x14ac:dyDescent="0.25">
      <c r="A4704" t="s">
        <v>1</v>
      </c>
      <c r="B4704" t="s">
        <v>19</v>
      </c>
      <c r="C4704" t="s">
        <v>23490</v>
      </c>
      <c r="D4704" t="str">
        <f>HYPERLINK("https://rhld.insurance.arkansas.gov/NPILookup?Npi=1528461621","1528461621")</f>
        <v>1528461621</v>
      </c>
      <c r="E4704" t="s">
        <v>8722</v>
      </c>
    </row>
    <row r="4705" spans="1:5" x14ac:dyDescent="0.25">
      <c r="A4705" t="s">
        <v>1</v>
      </c>
      <c r="B4705" t="s">
        <v>19</v>
      </c>
      <c r="C4705" t="s">
        <v>23490</v>
      </c>
      <c r="D4705" t="str">
        <f>HYPERLINK("https://rhld.insurance.arkansas.gov/NPILookup?Npi=1528472289","1528472289")</f>
        <v>1528472289</v>
      </c>
      <c r="E4705" t="s">
        <v>11021</v>
      </c>
    </row>
    <row r="4706" spans="1:5" x14ac:dyDescent="0.25">
      <c r="A4706" t="s">
        <v>1</v>
      </c>
      <c r="B4706" t="s">
        <v>19</v>
      </c>
      <c r="C4706" t="s">
        <v>23490</v>
      </c>
      <c r="D4706" t="str">
        <f>HYPERLINK("https://rhld.insurance.arkansas.gov/NPILookup?Npi=1528476744","1528476744")</f>
        <v>1528476744</v>
      </c>
      <c r="E4706" t="s">
        <v>19800</v>
      </c>
    </row>
    <row r="4707" spans="1:5" x14ac:dyDescent="0.25">
      <c r="A4707" t="s">
        <v>1</v>
      </c>
      <c r="B4707" t="s">
        <v>19</v>
      </c>
      <c r="C4707" t="s">
        <v>23490</v>
      </c>
      <c r="D4707" t="str">
        <f>HYPERLINK("https://rhld.insurance.arkansas.gov/NPILookup?Npi=1528481868","1528481868")</f>
        <v>1528481868</v>
      </c>
      <c r="E4707" t="s">
        <v>1866</v>
      </c>
    </row>
    <row r="4708" spans="1:5" x14ac:dyDescent="0.25">
      <c r="A4708" t="s">
        <v>1</v>
      </c>
      <c r="B4708" t="s">
        <v>19</v>
      </c>
      <c r="C4708" t="s">
        <v>23490</v>
      </c>
      <c r="D4708" t="str">
        <f>HYPERLINK("https://rhld.insurance.arkansas.gov/NPILookup?Npi=1528489994","1528489994")</f>
        <v>1528489994</v>
      </c>
      <c r="E4708" t="s">
        <v>19801</v>
      </c>
    </row>
    <row r="4709" spans="1:5" x14ac:dyDescent="0.25">
      <c r="A4709" t="s">
        <v>1</v>
      </c>
      <c r="B4709" t="s">
        <v>19</v>
      </c>
      <c r="C4709" t="s">
        <v>23490</v>
      </c>
      <c r="D4709" t="str">
        <f>HYPERLINK("https://rhld.insurance.arkansas.gov/NPILookup?Npi=1528505088","1528505088")</f>
        <v>1528505088</v>
      </c>
      <c r="E4709" t="s">
        <v>13578</v>
      </c>
    </row>
    <row r="4710" spans="1:5" x14ac:dyDescent="0.25">
      <c r="A4710" t="s">
        <v>1</v>
      </c>
      <c r="B4710" t="s">
        <v>19</v>
      </c>
      <c r="C4710" t="s">
        <v>23490</v>
      </c>
      <c r="D4710" t="str">
        <f>HYPERLINK("https://rhld.insurance.arkansas.gov/NPILookup?Npi=1528517844","1528517844")</f>
        <v>1528517844</v>
      </c>
      <c r="E4710" t="s">
        <v>15238</v>
      </c>
    </row>
    <row r="4711" spans="1:5" x14ac:dyDescent="0.25">
      <c r="A4711" t="s">
        <v>1</v>
      </c>
      <c r="B4711" t="s">
        <v>19</v>
      </c>
      <c r="C4711" t="s">
        <v>23490</v>
      </c>
      <c r="D4711" t="str">
        <f>HYPERLINK("https://rhld.insurance.arkansas.gov/NPILookup?Npi=1528520228","1528520228")</f>
        <v>1528520228</v>
      </c>
      <c r="E4711" t="s">
        <v>20962</v>
      </c>
    </row>
    <row r="4712" spans="1:5" x14ac:dyDescent="0.25">
      <c r="A4712" t="s">
        <v>1</v>
      </c>
      <c r="B4712" t="s">
        <v>19</v>
      </c>
      <c r="C4712" t="s">
        <v>23490</v>
      </c>
      <c r="D4712" t="str">
        <f>HYPERLINK("https://rhld.insurance.arkansas.gov/NPILookup?Npi=1528528809","1528528809")</f>
        <v>1528528809</v>
      </c>
      <c r="E4712" t="s">
        <v>20963</v>
      </c>
    </row>
    <row r="4713" spans="1:5" x14ac:dyDescent="0.25">
      <c r="A4713" t="s">
        <v>1</v>
      </c>
      <c r="B4713" t="s">
        <v>19</v>
      </c>
      <c r="C4713" t="s">
        <v>23490</v>
      </c>
      <c r="D4713" t="str">
        <f>HYPERLINK("https://rhld.insurance.arkansas.gov/NPILookup?Npi=1528552130","1528552130")</f>
        <v>1528552130</v>
      </c>
      <c r="E4713" t="s">
        <v>18801</v>
      </c>
    </row>
    <row r="4714" spans="1:5" x14ac:dyDescent="0.25">
      <c r="A4714" t="s">
        <v>1</v>
      </c>
      <c r="B4714" t="s">
        <v>19</v>
      </c>
      <c r="C4714" t="s">
        <v>23490</v>
      </c>
      <c r="D4714" t="str">
        <f>HYPERLINK("https://rhld.insurance.arkansas.gov/NPILookup?Npi=1528560513","1528560513")</f>
        <v>1528560513</v>
      </c>
      <c r="E4714" t="s">
        <v>19802</v>
      </c>
    </row>
    <row r="4715" spans="1:5" x14ac:dyDescent="0.25">
      <c r="A4715" t="s">
        <v>1</v>
      </c>
      <c r="B4715" t="s">
        <v>19</v>
      </c>
      <c r="C4715" t="s">
        <v>23490</v>
      </c>
      <c r="D4715" t="str">
        <f>HYPERLINK("https://rhld.insurance.arkansas.gov/NPILookup?Npi=1528570819","1528570819")</f>
        <v>1528570819</v>
      </c>
      <c r="E4715" t="s">
        <v>15239</v>
      </c>
    </row>
    <row r="4716" spans="1:5" x14ac:dyDescent="0.25">
      <c r="A4716" t="s">
        <v>1</v>
      </c>
      <c r="B4716" t="s">
        <v>19</v>
      </c>
      <c r="C4716" t="s">
        <v>23490</v>
      </c>
      <c r="D4716" t="str">
        <f>HYPERLINK("https://rhld.insurance.arkansas.gov/NPILookup?Npi=1528571148","1528571148")</f>
        <v>1528571148</v>
      </c>
      <c r="E4716" t="s">
        <v>16977</v>
      </c>
    </row>
    <row r="4717" spans="1:5" x14ac:dyDescent="0.25">
      <c r="A4717" t="s">
        <v>1</v>
      </c>
      <c r="B4717" t="s">
        <v>19</v>
      </c>
      <c r="C4717" t="s">
        <v>23490</v>
      </c>
      <c r="D4717" t="str">
        <f>HYPERLINK("https://rhld.insurance.arkansas.gov/NPILookup?Npi=1528575545","1528575545")</f>
        <v>1528575545</v>
      </c>
      <c r="E4717" t="s">
        <v>18020</v>
      </c>
    </row>
    <row r="4718" spans="1:5" x14ac:dyDescent="0.25">
      <c r="A4718" t="s">
        <v>1</v>
      </c>
      <c r="B4718" t="s">
        <v>19</v>
      </c>
      <c r="C4718" t="s">
        <v>23490</v>
      </c>
      <c r="D4718" t="str">
        <f>HYPERLINK("https://rhld.insurance.arkansas.gov/NPILookup?Npi=1528575602","1528575602")</f>
        <v>1528575602</v>
      </c>
      <c r="E4718" t="s">
        <v>22950</v>
      </c>
    </row>
    <row r="4719" spans="1:5" x14ac:dyDescent="0.25">
      <c r="A4719" t="s">
        <v>1</v>
      </c>
      <c r="B4719" t="s">
        <v>19</v>
      </c>
      <c r="C4719" t="s">
        <v>23490</v>
      </c>
      <c r="D4719" t="str">
        <f>HYPERLINK("https://rhld.insurance.arkansas.gov/NPILookup?Npi=1528577012","1528577012")</f>
        <v>1528577012</v>
      </c>
      <c r="E4719" t="s">
        <v>15240</v>
      </c>
    </row>
    <row r="4720" spans="1:5" x14ac:dyDescent="0.25">
      <c r="A4720" t="s">
        <v>1</v>
      </c>
      <c r="B4720" t="s">
        <v>19</v>
      </c>
      <c r="C4720" t="s">
        <v>23490</v>
      </c>
      <c r="D4720" t="str">
        <f>HYPERLINK("https://rhld.insurance.arkansas.gov/NPILookup?Npi=1528582186","1528582186")</f>
        <v>1528582186</v>
      </c>
      <c r="E4720" t="s">
        <v>11022</v>
      </c>
    </row>
    <row r="4721" spans="1:5" x14ac:dyDescent="0.25">
      <c r="A4721" t="s">
        <v>1</v>
      </c>
      <c r="B4721" t="s">
        <v>19</v>
      </c>
      <c r="C4721" t="s">
        <v>23490</v>
      </c>
      <c r="D4721" t="str">
        <f>HYPERLINK("https://rhld.insurance.arkansas.gov/NPILookup?Npi=1528592862","1528592862")</f>
        <v>1528592862</v>
      </c>
      <c r="E4721" t="s">
        <v>18021</v>
      </c>
    </row>
    <row r="4722" spans="1:5" x14ac:dyDescent="0.25">
      <c r="A4722" t="s">
        <v>1</v>
      </c>
      <c r="B4722" t="s">
        <v>19</v>
      </c>
      <c r="C4722" t="s">
        <v>23490</v>
      </c>
      <c r="D4722" t="str">
        <f>HYPERLINK("https://rhld.insurance.arkansas.gov/NPILookup?Npi=1528597028","1528597028")</f>
        <v>1528597028</v>
      </c>
      <c r="E4722" t="s">
        <v>11023</v>
      </c>
    </row>
    <row r="4723" spans="1:5" x14ac:dyDescent="0.25">
      <c r="A4723" t="s">
        <v>1</v>
      </c>
      <c r="B4723" t="s">
        <v>19</v>
      </c>
      <c r="C4723" t="s">
        <v>23490</v>
      </c>
      <c r="D4723" t="str">
        <f>HYPERLINK("https://rhld.insurance.arkansas.gov/NPILookup?Npi=1528598018","1528598018")</f>
        <v>1528598018</v>
      </c>
      <c r="E4723" t="s">
        <v>15241</v>
      </c>
    </row>
    <row r="4724" spans="1:5" x14ac:dyDescent="0.25">
      <c r="A4724" t="s">
        <v>1</v>
      </c>
      <c r="B4724" t="s">
        <v>19</v>
      </c>
      <c r="C4724" t="s">
        <v>23490</v>
      </c>
      <c r="D4724" t="str">
        <f>HYPERLINK("https://rhld.insurance.arkansas.gov/NPILookup?Npi=1528613726","1528613726")</f>
        <v>1528613726</v>
      </c>
      <c r="E4724" t="s">
        <v>21565</v>
      </c>
    </row>
    <row r="4725" spans="1:5" x14ac:dyDescent="0.25">
      <c r="A4725" t="s">
        <v>1</v>
      </c>
      <c r="B4725" t="s">
        <v>19</v>
      </c>
      <c r="C4725" t="s">
        <v>23490</v>
      </c>
      <c r="D4725" t="str">
        <f>HYPERLINK("https://rhld.insurance.arkansas.gov/NPILookup?Npi=1528627676","1528627676")</f>
        <v>1528627676</v>
      </c>
      <c r="E4725" t="s">
        <v>19803</v>
      </c>
    </row>
    <row r="4726" spans="1:5" x14ac:dyDescent="0.25">
      <c r="A4726" t="s">
        <v>1</v>
      </c>
      <c r="B4726" t="s">
        <v>19</v>
      </c>
      <c r="C4726" t="s">
        <v>23490</v>
      </c>
      <c r="D4726" t="str">
        <f>HYPERLINK("https://rhld.insurance.arkansas.gov/NPILookup?Npi=1528668241","1528668241")</f>
        <v>1528668241</v>
      </c>
      <c r="E4726" t="s">
        <v>18023</v>
      </c>
    </row>
    <row r="4727" spans="1:5" x14ac:dyDescent="0.25">
      <c r="A4727" t="s">
        <v>1</v>
      </c>
      <c r="B4727" t="s">
        <v>19</v>
      </c>
      <c r="C4727" t="s">
        <v>23490</v>
      </c>
      <c r="D4727" t="str">
        <f>HYPERLINK("https://rhld.insurance.arkansas.gov/NPILookup?Npi=1528675386","1528675386")</f>
        <v>1528675386</v>
      </c>
      <c r="E4727" t="s">
        <v>18802</v>
      </c>
    </row>
    <row r="4728" spans="1:5" x14ac:dyDescent="0.25">
      <c r="A4728" t="s">
        <v>1</v>
      </c>
      <c r="B4728" t="s">
        <v>19</v>
      </c>
      <c r="C4728" t="s">
        <v>23490</v>
      </c>
      <c r="D4728" t="str">
        <f>HYPERLINK("https://rhld.insurance.arkansas.gov/NPILookup?Npi=1528685807","1528685807")</f>
        <v>1528685807</v>
      </c>
      <c r="E4728" t="s">
        <v>18024</v>
      </c>
    </row>
    <row r="4729" spans="1:5" x14ac:dyDescent="0.25">
      <c r="A4729" t="s">
        <v>1</v>
      </c>
      <c r="B4729" t="s">
        <v>19</v>
      </c>
      <c r="C4729" t="s">
        <v>23490</v>
      </c>
      <c r="D4729" t="str">
        <f>HYPERLINK("https://rhld.insurance.arkansas.gov/NPILookup?Npi=1528686870","1528686870")</f>
        <v>1528686870</v>
      </c>
      <c r="E4729" t="s">
        <v>17434</v>
      </c>
    </row>
    <row r="4730" spans="1:5" x14ac:dyDescent="0.25">
      <c r="A4730" t="s">
        <v>1</v>
      </c>
      <c r="B4730" t="s">
        <v>19</v>
      </c>
      <c r="C4730" t="s">
        <v>8427</v>
      </c>
      <c r="D4730" t="str">
        <f>HYPERLINK("https://rhld.insurance.arkansas.gov/NPILookup?Npi=1528689239","1528689239")</f>
        <v>1528689239</v>
      </c>
      <c r="E4730" t="s">
        <v>22951</v>
      </c>
    </row>
    <row r="4731" spans="1:5" x14ac:dyDescent="0.25">
      <c r="A4731" t="s">
        <v>1</v>
      </c>
      <c r="B4731" t="s">
        <v>19</v>
      </c>
      <c r="C4731" t="s">
        <v>23490</v>
      </c>
      <c r="D4731" t="str">
        <f>HYPERLINK("https://rhld.insurance.arkansas.gov/NPILookup?Npi=1528691912","1528691912")</f>
        <v>1528691912</v>
      </c>
      <c r="E4731" t="s">
        <v>19804</v>
      </c>
    </row>
    <row r="4732" spans="1:5" x14ac:dyDescent="0.25">
      <c r="A4732" t="s">
        <v>1</v>
      </c>
      <c r="B4732" t="s">
        <v>19</v>
      </c>
      <c r="C4732" t="s">
        <v>23490</v>
      </c>
      <c r="D4732" t="str">
        <f>HYPERLINK("https://rhld.insurance.arkansas.gov/NPILookup?Npi=1528693033","1528693033")</f>
        <v>1528693033</v>
      </c>
      <c r="E4732" t="s">
        <v>21566</v>
      </c>
    </row>
    <row r="4733" spans="1:5" x14ac:dyDescent="0.25">
      <c r="A4733" t="s">
        <v>1</v>
      </c>
      <c r="B4733" t="s">
        <v>19</v>
      </c>
      <c r="C4733" t="s">
        <v>8427</v>
      </c>
      <c r="D4733" t="str">
        <f>HYPERLINK("https://rhld.insurance.arkansas.gov/NPILookup?Npi=1528694544","1528694544")</f>
        <v>1528694544</v>
      </c>
      <c r="E4733" t="s">
        <v>22952</v>
      </c>
    </row>
    <row r="4734" spans="1:5" x14ac:dyDescent="0.25">
      <c r="A4734" t="s">
        <v>1</v>
      </c>
      <c r="B4734" t="s">
        <v>19</v>
      </c>
      <c r="C4734" t="s">
        <v>23490</v>
      </c>
      <c r="D4734" t="str">
        <f>HYPERLINK("https://rhld.insurance.arkansas.gov/NPILookup?Npi=1528765146","1528765146")</f>
        <v>1528765146</v>
      </c>
      <c r="E4734" t="s">
        <v>21567</v>
      </c>
    </row>
    <row r="4735" spans="1:5" x14ac:dyDescent="0.25">
      <c r="A4735" t="s">
        <v>1</v>
      </c>
      <c r="B4735" t="s">
        <v>19</v>
      </c>
      <c r="C4735" t="s">
        <v>23490</v>
      </c>
      <c r="D4735" t="str">
        <f>HYPERLINK("https://rhld.insurance.arkansas.gov/NPILookup?Npi=1528780343","1528780343")</f>
        <v>1528780343</v>
      </c>
      <c r="E4735" t="s">
        <v>20964</v>
      </c>
    </row>
    <row r="4736" spans="1:5" x14ac:dyDescent="0.25">
      <c r="A4736" t="s">
        <v>1</v>
      </c>
      <c r="B4736" t="s">
        <v>19</v>
      </c>
      <c r="C4736" t="s">
        <v>23490</v>
      </c>
      <c r="D4736" t="str">
        <f>HYPERLINK("https://rhld.insurance.arkansas.gov/NPILookup?Npi=1528786316","1528786316")</f>
        <v>1528786316</v>
      </c>
      <c r="E4736" t="s">
        <v>21568</v>
      </c>
    </row>
    <row r="4737" spans="1:5" x14ac:dyDescent="0.25">
      <c r="A4737" t="s">
        <v>1</v>
      </c>
      <c r="B4737" t="s">
        <v>19</v>
      </c>
      <c r="C4737" t="s">
        <v>23490</v>
      </c>
      <c r="D4737" t="str">
        <f>HYPERLINK("https://rhld.insurance.arkansas.gov/NPILookup?Npi=1538102322","1538102322")</f>
        <v>1538102322</v>
      </c>
      <c r="E4737" t="s">
        <v>1867</v>
      </c>
    </row>
    <row r="4738" spans="1:5" x14ac:dyDescent="0.25">
      <c r="A4738" t="s">
        <v>1</v>
      </c>
      <c r="B4738" t="s">
        <v>19</v>
      </c>
      <c r="C4738" t="s">
        <v>23490</v>
      </c>
      <c r="D4738" t="str">
        <f>HYPERLINK("https://rhld.insurance.arkansas.gov/NPILookup?Npi=1538107511","1538107511")</f>
        <v>1538107511</v>
      </c>
      <c r="E4738" t="s">
        <v>1868</v>
      </c>
    </row>
    <row r="4739" spans="1:5" x14ac:dyDescent="0.25">
      <c r="A4739" t="s">
        <v>1</v>
      </c>
      <c r="B4739" t="s">
        <v>19</v>
      </c>
      <c r="C4739" t="s">
        <v>23490</v>
      </c>
      <c r="D4739" t="str">
        <f>HYPERLINK("https://rhld.insurance.arkansas.gov/NPILookup?Npi=1538112081","1538112081")</f>
        <v>1538112081</v>
      </c>
      <c r="E4739" t="s">
        <v>11024</v>
      </c>
    </row>
    <row r="4740" spans="1:5" x14ac:dyDescent="0.25">
      <c r="A4740" t="s">
        <v>1</v>
      </c>
      <c r="B4740" t="s">
        <v>19</v>
      </c>
      <c r="C4740" t="s">
        <v>23490</v>
      </c>
      <c r="D4740" t="str">
        <f>HYPERLINK("https://rhld.insurance.arkansas.gov/NPILookup?Npi=1538114822","1538114822")</f>
        <v>1538114822</v>
      </c>
      <c r="E4740" t="s">
        <v>1869</v>
      </c>
    </row>
    <row r="4741" spans="1:5" x14ac:dyDescent="0.25">
      <c r="A4741" t="s">
        <v>1</v>
      </c>
      <c r="B4741" t="s">
        <v>19</v>
      </c>
      <c r="C4741" t="s">
        <v>23490</v>
      </c>
      <c r="D4741" t="str">
        <f>HYPERLINK("https://rhld.insurance.arkansas.gov/NPILookup?Npi=1538116389","1538116389")</f>
        <v>1538116389</v>
      </c>
      <c r="E4741" t="s">
        <v>1870</v>
      </c>
    </row>
    <row r="4742" spans="1:5" x14ac:dyDescent="0.25">
      <c r="A4742" t="s">
        <v>1</v>
      </c>
      <c r="B4742" t="s">
        <v>19</v>
      </c>
      <c r="C4742" t="s">
        <v>23490</v>
      </c>
      <c r="D4742" t="str">
        <f>HYPERLINK("https://rhld.insurance.arkansas.gov/NPILookup?Npi=1538117171","1538117171")</f>
        <v>1538117171</v>
      </c>
      <c r="E4742" t="s">
        <v>1871</v>
      </c>
    </row>
    <row r="4743" spans="1:5" x14ac:dyDescent="0.25">
      <c r="A4743" t="s">
        <v>1</v>
      </c>
      <c r="B4743" t="s">
        <v>19</v>
      </c>
      <c r="C4743" t="s">
        <v>23490</v>
      </c>
      <c r="D4743" t="str">
        <f>HYPERLINK("https://rhld.insurance.arkansas.gov/NPILookup?Npi=1538118120","1538118120")</f>
        <v>1538118120</v>
      </c>
      <c r="E4743" t="s">
        <v>8723</v>
      </c>
    </row>
    <row r="4744" spans="1:5" x14ac:dyDescent="0.25">
      <c r="A4744" t="s">
        <v>1</v>
      </c>
      <c r="B4744" t="s">
        <v>19</v>
      </c>
      <c r="C4744" t="s">
        <v>23490</v>
      </c>
      <c r="D4744" t="str">
        <f>HYPERLINK("https://rhld.insurance.arkansas.gov/NPILookup?Npi=1538119458","1538119458")</f>
        <v>1538119458</v>
      </c>
      <c r="E4744" t="s">
        <v>1872</v>
      </c>
    </row>
    <row r="4745" spans="1:5" x14ac:dyDescent="0.25">
      <c r="A4745" t="s">
        <v>1</v>
      </c>
      <c r="B4745" t="s">
        <v>19</v>
      </c>
      <c r="C4745" t="s">
        <v>23490</v>
      </c>
      <c r="D4745" t="str">
        <f>HYPERLINK("https://rhld.insurance.arkansas.gov/NPILookup?Npi=1538122858","1538122858")</f>
        <v>1538122858</v>
      </c>
      <c r="E4745" t="s">
        <v>1873</v>
      </c>
    </row>
    <row r="4746" spans="1:5" x14ac:dyDescent="0.25">
      <c r="A4746" t="s">
        <v>1</v>
      </c>
      <c r="B4746" t="s">
        <v>19</v>
      </c>
      <c r="C4746" t="s">
        <v>23490</v>
      </c>
      <c r="D4746" t="str">
        <f>HYPERLINK("https://rhld.insurance.arkansas.gov/NPILookup?Npi=1538126784","1538126784")</f>
        <v>1538126784</v>
      </c>
      <c r="E4746" t="s">
        <v>1874</v>
      </c>
    </row>
    <row r="4747" spans="1:5" x14ac:dyDescent="0.25">
      <c r="A4747" t="s">
        <v>1</v>
      </c>
      <c r="B4747" t="s">
        <v>19</v>
      </c>
      <c r="C4747" t="s">
        <v>23490</v>
      </c>
      <c r="D4747" t="str">
        <f>HYPERLINK("https://rhld.insurance.arkansas.gov/NPILookup?Npi=1538132279","1538132279")</f>
        <v>1538132279</v>
      </c>
      <c r="E4747" t="s">
        <v>1875</v>
      </c>
    </row>
    <row r="4748" spans="1:5" x14ac:dyDescent="0.25">
      <c r="A4748" t="s">
        <v>1</v>
      </c>
      <c r="B4748" t="s">
        <v>19</v>
      </c>
      <c r="C4748" t="s">
        <v>23490</v>
      </c>
      <c r="D4748" t="str">
        <f>HYPERLINK("https://rhld.insurance.arkansas.gov/NPILookup?Npi=1538134200","1538134200")</f>
        <v>1538134200</v>
      </c>
      <c r="E4748" t="s">
        <v>1876</v>
      </c>
    </row>
    <row r="4749" spans="1:5" x14ac:dyDescent="0.25">
      <c r="A4749" t="s">
        <v>1</v>
      </c>
      <c r="B4749" t="s">
        <v>19</v>
      </c>
      <c r="C4749" t="s">
        <v>23490</v>
      </c>
      <c r="D4749" t="str">
        <f>HYPERLINK("https://rhld.insurance.arkansas.gov/NPILookup?Npi=1538135314","1538135314")</f>
        <v>1538135314</v>
      </c>
      <c r="E4749" t="s">
        <v>15242</v>
      </c>
    </row>
    <row r="4750" spans="1:5" x14ac:dyDescent="0.25">
      <c r="A4750" t="s">
        <v>1</v>
      </c>
      <c r="B4750" t="s">
        <v>19</v>
      </c>
      <c r="C4750" t="s">
        <v>23490</v>
      </c>
      <c r="D4750" t="str">
        <f>HYPERLINK("https://rhld.insurance.arkansas.gov/NPILookup?Npi=1538137633","1538137633")</f>
        <v>1538137633</v>
      </c>
      <c r="E4750" t="s">
        <v>1877</v>
      </c>
    </row>
    <row r="4751" spans="1:5" x14ac:dyDescent="0.25">
      <c r="A4751" t="s">
        <v>1</v>
      </c>
      <c r="B4751" t="s">
        <v>19</v>
      </c>
      <c r="C4751" t="s">
        <v>23490</v>
      </c>
      <c r="D4751" t="str">
        <f>HYPERLINK("https://rhld.insurance.arkansas.gov/NPILookup?Npi=1538137864","1538137864")</f>
        <v>1538137864</v>
      </c>
      <c r="E4751" t="s">
        <v>1878</v>
      </c>
    </row>
    <row r="4752" spans="1:5" x14ac:dyDescent="0.25">
      <c r="A4752" t="s">
        <v>1</v>
      </c>
      <c r="B4752" t="s">
        <v>19</v>
      </c>
      <c r="C4752" t="s">
        <v>23490</v>
      </c>
      <c r="D4752" t="str">
        <f>HYPERLINK("https://rhld.insurance.arkansas.gov/NPILookup?Npi=1538137914","1538137914")</f>
        <v>1538137914</v>
      </c>
      <c r="E4752" t="s">
        <v>1879</v>
      </c>
    </row>
    <row r="4753" spans="1:5" x14ac:dyDescent="0.25">
      <c r="A4753" t="s">
        <v>1</v>
      </c>
      <c r="B4753" t="s">
        <v>19</v>
      </c>
      <c r="C4753" t="s">
        <v>23490</v>
      </c>
      <c r="D4753" t="str">
        <f>HYPERLINK("https://rhld.insurance.arkansas.gov/NPILookup?Npi=1538138250","1538138250")</f>
        <v>1538138250</v>
      </c>
      <c r="E4753" t="s">
        <v>1880</v>
      </c>
    </row>
    <row r="4754" spans="1:5" x14ac:dyDescent="0.25">
      <c r="A4754" t="s">
        <v>1</v>
      </c>
      <c r="B4754" t="s">
        <v>19</v>
      </c>
      <c r="C4754" t="s">
        <v>23490</v>
      </c>
      <c r="D4754" t="str">
        <f>HYPERLINK("https://rhld.insurance.arkansas.gov/NPILookup?Npi=1538141221","1538141221")</f>
        <v>1538141221</v>
      </c>
      <c r="E4754" t="s">
        <v>19805</v>
      </c>
    </row>
    <row r="4755" spans="1:5" x14ac:dyDescent="0.25">
      <c r="A4755" t="s">
        <v>1</v>
      </c>
      <c r="B4755" t="s">
        <v>19</v>
      </c>
      <c r="C4755" t="s">
        <v>23490</v>
      </c>
      <c r="D4755" t="str">
        <f>HYPERLINK("https://rhld.insurance.arkansas.gov/NPILookup?Npi=1538151014","1538151014")</f>
        <v>1538151014</v>
      </c>
      <c r="E4755" t="s">
        <v>1881</v>
      </c>
    </row>
    <row r="4756" spans="1:5" x14ac:dyDescent="0.25">
      <c r="A4756" t="s">
        <v>1</v>
      </c>
      <c r="B4756" t="s">
        <v>19</v>
      </c>
      <c r="C4756" t="s">
        <v>23490</v>
      </c>
      <c r="D4756" t="str">
        <f>HYPERLINK("https://rhld.insurance.arkansas.gov/NPILookup?Npi=1538152699","1538152699")</f>
        <v>1538152699</v>
      </c>
      <c r="E4756" t="s">
        <v>1882</v>
      </c>
    </row>
    <row r="4757" spans="1:5" x14ac:dyDescent="0.25">
      <c r="A4757" t="s">
        <v>1</v>
      </c>
      <c r="B4757" t="s">
        <v>19</v>
      </c>
      <c r="C4757" t="s">
        <v>23490</v>
      </c>
      <c r="D4757" t="str">
        <f>HYPERLINK("https://rhld.insurance.arkansas.gov/NPILookup?Npi=1538154570","1538154570")</f>
        <v>1538154570</v>
      </c>
      <c r="E4757" t="s">
        <v>1883</v>
      </c>
    </row>
    <row r="4758" spans="1:5" x14ac:dyDescent="0.25">
      <c r="A4758" t="s">
        <v>1</v>
      </c>
      <c r="B4758" t="s">
        <v>19</v>
      </c>
      <c r="C4758" t="s">
        <v>23490</v>
      </c>
      <c r="D4758" t="str">
        <f>HYPERLINK("https://rhld.insurance.arkansas.gov/NPILookup?Npi=1538155338","1538155338")</f>
        <v>1538155338</v>
      </c>
      <c r="E4758" t="s">
        <v>1884</v>
      </c>
    </row>
    <row r="4759" spans="1:5" x14ac:dyDescent="0.25">
      <c r="A4759" t="s">
        <v>1</v>
      </c>
      <c r="B4759" t="s">
        <v>19</v>
      </c>
      <c r="C4759" t="s">
        <v>23490</v>
      </c>
      <c r="D4759" t="str">
        <f>HYPERLINK("https://rhld.insurance.arkansas.gov/NPILookup?Npi=1538160536","1538160536")</f>
        <v>1538160536</v>
      </c>
      <c r="E4759" t="s">
        <v>8724</v>
      </c>
    </row>
    <row r="4760" spans="1:5" x14ac:dyDescent="0.25">
      <c r="A4760" t="s">
        <v>1</v>
      </c>
      <c r="B4760" t="s">
        <v>19</v>
      </c>
      <c r="C4760" t="s">
        <v>23490</v>
      </c>
      <c r="D4760" t="str">
        <f>HYPERLINK("https://rhld.insurance.arkansas.gov/NPILookup?Npi=1538161385","1538161385")</f>
        <v>1538161385</v>
      </c>
      <c r="E4760" t="s">
        <v>1885</v>
      </c>
    </row>
    <row r="4761" spans="1:5" x14ac:dyDescent="0.25">
      <c r="A4761" t="s">
        <v>1</v>
      </c>
      <c r="B4761" t="s">
        <v>19</v>
      </c>
      <c r="C4761" t="s">
        <v>23490</v>
      </c>
      <c r="D4761" t="str">
        <f>HYPERLINK("https://rhld.insurance.arkansas.gov/NPILookup?Npi=1538162045","1538162045")</f>
        <v>1538162045</v>
      </c>
      <c r="E4761" t="s">
        <v>11025</v>
      </c>
    </row>
    <row r="4762" spans="1:5" x14ac:dyDescent="0.25">
      <c r="A4762" t="s">
        <v>1</v>
      </c>
      <c r="B4762" t="s">
        <v>19</v>
      </c>
      <c r="C4762" t="s">
        <v>23490</v>
      </c>
      <c r="D4762" t="str">
        <f>HYPERLINK("https://rhld.insurance.arkansas.gov/NPILookup?Npi=1538163506","1538163506")</f>
        <v>1538163506</v>
      </c>
      <c r="E4762" t="s">
        <v>8725</v>
      </c>
    </row>
    <row r="4763" spans="1:5" x14ac:dyDescent="0.25">
      <c r="A4763" t="s">
        <v>1</v>
      </c>
      <c r="B4763" t="s">
        <v>19</v>
      </c>
      <c r="C4763" t="s">
        <v>23490</v>
      </c>
      <c r="D4763" t="str">
        <f>HYPERLINK("https://rhld.insurance.arkansas.gov/NPILookup?Npi=1538166483","1538166483")</f>
        <v>1538166483</v>
      </c>
      <c r="E4763" t="s">
        <v>1886</v>
      </c>
    </row>
    <row r="4764" spans="1:5" x14ac:dyDescent="0.25">
      <c r="A4764" t="s">
        <v>1</v>
      </c>
      <c r="B4764" t="s">
        <v>19</v>
      </c>
      <c r="C4764" t="s">
        <v>23490</v>
      </c>
      <c r="D4764" t="str">
        <f>HYPERLINK("https://rhld.insurance.arkansas.gov/NPILookup?Npi=1538168133","1538168133")</f>
        <v>1538168133</v>
      </c>
      <c r="E4764" t="s">
        <v>1887</v>
      </c>
    </row>
    <row r="4765" spans="1:5" x14ac:dyDescent="0.25">
      <c r="A4765" t="s">
        <v>1</v>
      </c>
      <c r="B4765" t="s">
        <v>19</v>
      </c>
      <c r="C4765" t="s">
        <v>23490</v>
      </c>
      <c r="D4765" t="str">
        <f>HYPERLINK("https://rhld.insurance.arkansas.gov/NPILookup?Npi=1538168505","1538168505")</f>
        <v>1538168505</v>
      </c>
      <c r="E4765" t="s">
        <v>1888</v>
      </c>
    </row>
    <row r="4766" spans="1:5" x14ac:dyDescent="0.25">
      <c r="A4766" t="s">
        <v>1</v>
      </c>
      <c r="B4766" t="s">
        <v>19</v>
      </c>
      <c r="C4766" t="s">
        <v>23490</v>
      </c>
      <c r="D4766" t="str">
        <f>HYPERLINK("https://rhld.insurance.arkansas.gov/NPILookup?Npi=1538169131","1538169131")</f>
        <v>1538169131</v>
      </c>
      <c r="E4766" t="s">
        <v>1889</v>
      </c>
    </row>
    <row r="4767" spans="1:5" x14ac:dyDescent="0.25">
      <c r="A4767" t="s">
        <v>1</v>
      </c>
      <c r="B4767" t="s">
        <v>19</v>
      </c>
      <c r="C4767" t="s">
        <v>23490</v>
      </c>
      <c r="D4767" t="str">
        <f>HYPERLINK("https://rhld.insurance.arkansas.gov/NPILookup?Npi=1538179536","1538179536")</f>
        <v>1538179536</v>
      </c>
      <c r="E4767" t="s">
        <v>15243</v>
      </c>
    </row>
    <row r="4768" spans="1:5" x14ac:dyDescent="0.25">
      <c r="A4768" t="s">
        <v>1</v>
      </c>
      <c r="B4768" t="s">
        <v>19</v>
      </c>
      <c r="C4768" t="s">
        <v>23490</v>
      </c>
      <c r="D4768" t="str">
        <f>HYPERLINK("https://rhld.insurance.arkansas.gov/NPILookup?Npi=1538181078","1538181078")</f>
        <v>1538181078</v>
      </c>
      <c r="E4768" t="s">
        <v>1890</v>
      </c>
    </row>
    <row r="4769" spans="1:5" x14ac:dyDescent="0.25">
      <c r="A4769" t="s">
        <v>1</v>
      </c>
      <c r="B4769" t="s">
        <v>19</v>
      </c>
      <c r="C4769" t="s">
        <v>23490</v>
      </c>
      <c r="D4769" t="str">
        <f>HYPERLINK("https://rhld.insurance.arkansas.gov/NPILookup?Npi=1538185889","1538185889")</f>
        <v>1538185889</v>
      </c>
      <c r="E4769" t="s">
        <v>1891</v>
      </c>
    </row>
    <row r="4770" spans="1:5" x14ac:dyDescent="0.25">
      <c r="A4770" t="s">
        <v>1</v>
      </c>
      <c r="B4770" t="s">
        <v>19</v>
      </c>
      <c r="C4770" t="s">
        <v>23490</v>
      </c>
      <c r="D4770" t="str">
        <f>HYPERLINK("https://rhld.insurance.arkansas.gov/NPILookup?Npi=1538187190","1538187190")</f>
        <v>1538187190</v>
      </c>
      <c r="E4770" t="s">
        <v>1892</v>
      </c>
    </row>
    <row r="4771" spans="1:5" x14ac:dyDescent="0.25">
      <c r="A4771" t="s">
        <v>1</v>
      </c>
      <c r="B4771" t="s">
        <v>19</v>
      </c>
      <c r="C4771" t="s">
        <v>23490</v>
      </c>
      <c r="D4771" t="str">
        <f>HYPERLINK("https://rhld.insurance.arkansas.gov/NPILookup?Npi=1538187869","1538187869")</f>
        <v>1538187869</v>
      </c>
      <c r="E4771" t="s">
        <v>1893</v>
      </c>
    </row>
    <row r="4772" spans="1:5" x14ac:dyDescent="0.25">
      <c r="A4772" t="s">
        <v>1</v>
      </c>
      <c r="B4772" t="s">
        <v>19</v>
      </c>
      <c r="C4772" t="s">
        <v>23490</v>
      </c>
      <c r="D4772" t="str">
        <f>HYPERLINK("https://rhld.insurance.arkansas.gov/NPILookup?Npi=1538189634","1538189634")</f>
        <v>1538189634</v>
      </c>
      <c r="E4772" t="s">
        <v>1894</v>
      </c>
    </row>
    <row r="4773" spans="1:5" x14ac:dyDescent="0.25">
      <c r="A4773" t="s">
        <v>1</v>
      </c>
      <c r="B4773" t="s">
        <v>19</v>
      </c>
      <c r="C4773" t="s">
        <v>23490</v>
      </c>
      <c r="D4773" t="str">
        <f>HYPERLINK("https://rhld.insurance.arkansas.gov/NPILookup?Npi=1538195128","1538195128")</f>
        <v>1538195128</v>
      </c>
      <c r="E4773" t="s">
        <v>21569</v>
      </c>
    </row>
    <row r="4774" spans="1:5" x14ac:dyDescent="0.25">
      <c r="A4774" t="s">
        <v>1</v>
      </c>
      <c r="B4774" t="s">
        <v>19</v>
      </c>
      <c r="C4774" t="s">
        <v>23490</v>
      </c>
      <c r="D4774" t="str">
        <f>HYPERLINK("https://rhld.insurance.arkansas.gov/NPILookup?Npi=1538200134","1538200134")</f>
        <v>1538200134</v>
      </c>
      <c r="E4774" t="s">
        <v>15244</v>
      </c>
    </row>
    <row r="4775" spans="1:5" x14ac:dyDescent="0.25">
      <c r="A4775" t="s">
        <v>1</v>
      </c>
      <c r="B4775" t="s">
        <v>19</v>
      </c>
      <c r="C4775" t="s">
        <v>23490</v>
      </c>
      <c r="D4775" t="str">
        <f>HYPERLINK("https://rhld.insurance.arkansas.gov/NPILookup?Npi=1538204649","1538204649")</f>
        <v>1538204649</v>
      </c>
      <c r="E4775" t="s">
        <v>1895</v>
      </c>
    </row>
    <row r="4776" spans="1:5" x14ac:dyDescent="0.25">
      <c r="A4776" t="s">
        <v>1</v>
      </c>
      <c r="B4776" t="s">
        <v>19</v>
      </c>
      <c r="C4776" t="s">
        <v>23490</v>
      </c>
      <c r="D4776" t="str">
        <f>HYPERLINK("https://rhld.insurance.arkansas.gov/NPILookup?Npi=1538246632","1538246632")</f>
        <v>1538246632</v>
      </c>
      <c r="E4776" t="s">
        <v>16978</v>
      </c>
    </row>
    <row r="4777" spans="1:5" x14ac:dyDescent="0.25">
      <c r="A4777" t="s">
        <v>1</v>
      </c>
      <c r="B4777" t="s">
        <v>19</v>
      </c>
      <c r="C4777" t="s">
        <v>23490</v>
      </c>
      <c r="D4777" t="str">
        <f>HYPERLINK("https://rhld.insurance.arkansas.gov/NPILookup?Npi=1538257894","1538257894")</f>
        <v>1538257894</v>
      </c>
      <c r="E4777" t="s">
        <v>1896</v>
      </c>
    </row>
    <row r="4778" spans="1:5" x14ac:dyDescent="0.25">
      <c r="A4778" t="s">
        <v>1</v>
      </c>
      <c r="B4778" t="s">
        <v>19</v>
      </c>
      <c r="C4778" t="s">
        <v>23490</v>
      </c>
      <c r="D4778" t="str">
        <f>HYPERLINK("https://rhld.insurance.arkansas.gov/NPILookup?Npi=1538258348","1538258348")</f>
        <v>1538258348</v>
      </c>
      <c r="E4778" t="s">
        <v>15245</v>
      </c>
    </row>
    <row r="4779" spans="1:5" x14ac:dyDescent="0.25">
      <c r="A4779" t="s">
        <v>1</v>
      </c>
      <c r="B4779" t="s">
        <v>19</v>
      </c>
      <c r="C4779" t="s">
        <v>23490</v>
      </c>
      <c r="D4779" t="str">
        <f>HYPERLINK("https://rhld.insurance.arkansas.gov/NPILookup?Npi=1538268131","1538268131")</f>
        <v>1538268131</v>
      </c>
      <c r="E4779" t="s">
        <v>1897</v>
      </c>
    </row>
    <row r="4780" spans="1:5" x14ac:dyDescent="0.25">
      <c r="A4780" t="s">
        <v>1</v>
      </c>
      <c r="B4780" t="s">
        <v>19</v>
      </c>
      <c r="C4780" t="s">
        <v>23490</v>
      </c>
      <c r="D4780" t="str">
        <f>HYPERLINK("https://rhld.insurance.arkansas.gov/NPILookup?Npi=1538276191","1538276191")</f>
        <v>1538276191</v>
      </c>
      <c r="E4780" t="s">
        <v>15246</v>
      </c>
    </row>
    <row r="4781" spans="1:5" x14ac:dyDescent="0.25">
      <c r="A4781" t="s">
        <v>1</v>
      </c>
      <c r="B4781" t="s">
        <v>19</v>
      </c>
      <c r="C4781" t="s">
        <v>23490</v>
      </c>
      <c r="D4781" t="str">
        <f>HYPERLINK("https://rhld.insurance.arkansas.gov/NPILookup?Npi=1538279385","1538279385")</f>
        <v>1538279385</v>
      </c>
      <c r="E4781" t="s">
        <v>11026</v>
      </c>
    </row>
    <row r="4782" spans="1:5" x14ac:dyDescent="0.25">
      <c r="A4782" t="s">
        <v>1</v>
      </c>
      <c r="B4782" t="s">
        <v>19</v>
      </c>
      <c r="C4782" t="s">
        <v>23490</v>
      </c>
      <c r="D4782" t="str">
        <f>HYPERLINK("https://rhld.insurance.arkansas.gov/NPILookup?Npi=1538305800","1538305800")</f>
        <v>1538305800</v>
      </c>
      <c r="E4782" t="s">
        <v>1898</v>
      </c>
    </row>
    <row r="4783" spans="1:5" x14ac:dyDescent="0.25">
      <c r="A4783" t="s">
        <v>1</v>
      </c>
      <c r="B4783" t="s">
        <v>19</v>
      </c>
      <c r="C4783" t="s">
        <v>23490</v>
      </c>
      <c r="D4783" t="str">
        <f>HYPERLINK("https://rhld.insurance.arkansas.gov/NPILookup?Npi=1538322052","1538322052")</f>
        <v>1538322052</v>
      </c>
      <c r="E4783" t="s">
        <v>13579</v>
      </c>
    </row>
    <row r="4784" spans="1:5" x14ac:dyDescent="0.25">
      <c r="A4784" t="s">
        <v>1</v>
      </c>
      <c r="B4784" t="s">
        <v>19</v>
      </c>
      <c r="C4784" t="s">
        <v>23490</v>
      </c>
      <c r="D4784" t="str">
        <f>HYPERLINK("https://rhld.insurance.arkansas.gov/NPILookup?Npi=1538330220","1538330220")</f>
        <v>1538330220</v>
      </c>
      <c r="E4784" t="s">
        <v>469</v>
      </c>
    </row>
    <row r="4785" spans="1:5" x14ac:dyDescent="0.25">
      <c r="A4785" t="s">
        <v>1</v>
      </c>
      <c r="B4785" t="s">
        <v>19</v>
      </c>
      <c r="C4785" t="s">
        <v>23490</v>
      </c>
      <c r="D4785" t="str">
        <f>HYPERLINK("https://rhld.insurance.arkansas.gov/NPILookup?Npi=1538331962","1538331962")</f>
        <v>1538331962</v>
      </c>
      <c r="E4785" t="s">
        <v>1899</v>
      </c>
    </row>
    <row r="4786" spans="1:5" x14ac:dyDescent="0.25">
      <c r="A4786" t="s">
        <v>1</v>
      </c>
      <c r="B4786" t="s">
        <v>19</v>
      </c>
      <c r="C4786" t="s">
        <v>23490</v>
      </c>
      <c r="D4786" t="str">
        <f>HYPERLINK("https://rhld.insurance.arkansas.gov/NPILookup?Npi=1538340682","1538340682")</f>
        <v>1538340682</v>
      </c>
      <c r="E4786" t="s">
        <v>1900</v>
      </c>
    </row>
    <row r="4787" spans="1:5" x14ac:dyDescent="0.25">
      <c r="A4787" t="s">
        <v>1</v>
      </c>
      <c r="B4787" t="s">
        <v>19</v>
      </c>
      <c r="C4787" t="s">
        <v>23490</v>
      </c>
      <c r="D4787" t="str">
        <f>HYPERLINK("https://rhld.insurance.arkansas.gov/NPILookup?Npi=1538353073","1538353073")</f>
        <v>1538353073</v>
      </c>
      <c r="E4787" t="s">
        <v>15247</v>
      </c>
    </row>
    <row r="4788" spans="1:5" x14ac:dyDescent="0.25">
      <c r="A4788" t="s">
        <v>1</v>
      </c>
      <c r="B4788" t="s">
        <v>19</v>
      </c>
      <c r="C4788" t="s">
        <v>23490</v>
      </c>
      <c r="D4788" t="str">
        <f>HYPERLINK("https://rhld.insurance.arkansas.gov/NPILookup?Npi=1538393400","1538393400")</f>
        <v>1538393400</v>
      </c>
      <c r="E4788" t="s">
        <v>8726</v>
      </c>
    </row>
    <row r="4789" spans="1:5" x14ac:dyDescent="0.25">
      <c r="A4789" t="s">
        <v>1</v>
      </c>
      <c r="B4789" t="s">
        <v>19</v>
      </c>
      <c r="C4789" t="s">
        <v>23490</v>
      </c>
      <c r="D4789" t="str">
        <f>HYPERLINK("https://rhld.insurance.arkansas.gov/NPILookup?Npi=1538395967","1538395967")</f>
        <v>1538395967</v>
      </c>
      <c r="E4789" t="s">
        <v>1901</v>
      </c>
    </row>
    <row r="4790" spans="1:5" x14ac:dyDescent="0.25">
      <c r="A4790" t="s">
        <v>1</v>
      </c>
      <c r="B4790" t="s">
        <v>19</v>
      </c>
      <c r="C4790" t="s">
        <v>23490</v>
      </c>
      <c r="D4790" t="str">
        <f>HYPERLINK("https://rhld.insurance.arkansas.gov/NPILookup?Npi=1538414420","1538414420")</f>
        <v>1538414420</v>
      </c>
      <c r="E4790" t="s">
        <v>11028</v>
      </c>
    </row>
    <row r="4791" spans="1:5" x14ac:dyDescent="0.25">
      <c r="A4791" t="s">
        <v>1</v>
      </c>
      <c r="B4791" t="s">
        <v>19</v>
      </c>
      <c r="C4791" t="s">
        <v>23490</v>
      </c>
      <c r="D4791" t="str">
        <f>HYPERLINK("https://rhld.insurance.arkansas.gov/NPILookup?Npi=1538418389","1538418389")</f>
        <v>1538418389</v>
      </c>
      <c r="E4791" t="s">
        <v>1902</v>
      </c>
    </row>
    <row r="4792" spans="1:5" x14ac:dyDescent="0.25">
      <c r="A4792" t="s">
        <v>1</v>
      </c>
      <c r="B4792" t="s">
        <v>19</v>
      </c>
      <c r="C4792" t="s">
        <v>23490</v>
      </c>
      <c r="D4792" t="str">
        <f>HYPERLINK("https://rhld.insurance.arkansas.gov/NPILookup?Npi=1538424833","1538424833")</f>
        <v>1538424833</v>
      </c>
      <c r="E4792" t="s">
        <v>15248</v>
      </c>
    </row>
    <row r="4793" spans="1:5" x14ac:dyDescent="0.25">
      <c r="A4793" t="s">
        <v>1</v>
      </c>
      <c r="B4793" t="s">
        <v>19</v>
      </c>
      <c r="C4793" t="s">
        <v>23490</v>
      </c>
      <c r="D4793" t="str">
        <f>HYPERLINK("https://rhld.insurance.arkansas.gov/NPILookup?Npi=1538434295","1538434295")</f>
        <v>1538434295</v>
      </c>
      <c r="E4793" t="s">
        <v>1903</v>
      </c>
    </row>
    <row r="4794" spans="1:5" x14ac:dyDescent="0.25">
      <c r="A4794" t="s">
        <v>1</v>
      </c>
      <c r="B4794" t="s">
        <v>19</v>
      </c>
      <c r="C4794" t="s">
        <v>23490</v>
      </c>
      <c r="D4794" t="str">
        <f>HYPERLINK("https://rhld.insurance.arkansas.gov/NPILookup?Npi=1538454707","1538454707")</f>
        <v>1538454707</v>
      </c>
      <c r="E4794" t="s">
        <v>19806</v>
      </c>
    </row>
    <row r="4795" spans="1:5" x14ac:dyDescent="0.25">
      <c r="A4795" t="s">
        <v>1</v>
      </c>
      <c r="B4795" t="s">
        <v>19</v>
      </c>
      <c r="C4795" t="s">
        <v>23490</v>
      </c>
      <c r="D4795" t="str">
        <f>HYPERLINK("https://rhld.insurance.arkansas.gov/NPILookup?Npi=1538459425","1538459425")</f>
        <v>1538459425</v>
      </c>
      <c r="E4795" t="s">
        <v>1905</v>
      </c>
    </row>
    <row r="4796" spans="1:5" x14ac:dyDescent="0.25">
      <c r="A4796" t="s">
        <v>1</v>
      </c>
      <c r="B4796" t="s">
        <v>19</v>
      </c>
      <c r="C4796" t="s">
        <v>23490</v>
      </c>
      <c r="D4796" t="str">
        <f>HYPERLINK("https://rhld.insurance.arkansas.gov/NPILookup?Npi=1538485750","1538485750")</f>
        <v>1538485750</v>
      </c>
      <c r="E4796" t="s">
        <v>19807</v>
      </c>
    </row>
    <row r="4797" spans="1:5" x14ac:dyDescent="0.25">
      <c r="A4797" t="s">
        <v>1</v>
      </c>
      <c r="B4797" t="s">
        <v>19</v>
      </c>
      <c r="C4797" t="s">
        <v>23490</v>
      </c>
      <c r="D4797" t="str">
        <f>HYPERLINK("https://rhld.insurance.arkansas.gov/NPILookup?Npi=1538485941","1538485941")</f>
        <v>1538485941</v>
      </c>
      <c r="E4797" t="s">
        <v>1906</v>
      </c>
    </row>
    <row r="4798" spans="1:5" x14ac:dyDescent="0.25">
      <c r="A4798" t="s">
        <v>1</v>
      </c>
      <c r="B4798" t="s">
        <v>19</v>
      </c>
      <c r="C4798" t="s">
        <v>23490</v>
      </c>
      <c r="D4798" t="str">
        <f>HYPERLINK("https://rhld.insurance.arkansas.gov/NPILookup?Npi=1538494091","1538494091")</f>
        <v>1538494091</v>
      </c>
      <c r="E4798" t="s">
        <v>19808</v>
      </c>
    </row>
    <row r="4799" spans="1:5" x14ac:dyDescent="0.25">
      <c r="A4799" t="s">
        <v>1</v>
      </c>
      <c r="B4799" t="s">
        <v>19</v>
      </c>
      <c r="C4799" t="s">
        <v>23490</v>
      </c>
      <c r="D4799" t="str">
        <f>HYPERLINK("https://rhld.insurance.arkansas.gov/NPILookup?Npi=1538499454","1538499454")</f>
        <v>1538499454</v>
      </c>
      <c r="E4799" t="s">
        <v>15249</v>
      </c>
    </row>
    <row r="4800" spans="1:5" x14ac:dyDescent="0.25">
      <c r="A4800" t="s">
        <v>1</v>
      </c>
      <c r="B4800" t="s">
        <v>19</v>
      </c>
      <c r="C4800" t="s">
        <v>23490</v>
      </c>
      <c r="D4800" t="str">
        <f>HYPERLINK("https://rhld.insurance.arkansas.gov/NPILookup?Npi=1538509385","1538509385")</f>
        <v>1538509385</v>
      </c>
      <c r="E4800" t="s">
        <v>16979</v>
      </c>
    </row>
    <row r="4801" spans="1:5" x14ac:dyDescent="0.25">
      <c r="A4801" t="s">
        <v>1</v>
      </c>
      <c r="B4801" t="s">
        <v>19</v>
      </c>
      <c r="C4801" t="s">
        <v>23490</v>
      </c>
      <c r="D4801" t="str">
        <f>HYPERLINK("https://rhld.insurance.arkansas.gov/NPILookup?Npi=1538510490","1538510490")</f>
        <v>1538510490</v>
      </c>
      <c r="E4801" t="s">
        <v>11029</v>
      </c>
    </row>
    <row r="4802" spans="1:5" x14ac:dyDescent="0.25">
      <c r="A4802" t="s">
        <v>1</v>
      </c>
      <c r="B4802" t="s">
        <v>19</v>
      </c>
      <c r="C4802" t="s">
        <v>23490</v>
      </c>
      <c r="D4802" t="str">
        <f>HYPERLINK("https://rhld.insurance.arkansas.gov/NPILookup?Npi=1538514419","1538514419")</f>
        <v>1538514419</v>
      </c>
      <c r="E4802" t="s">
        <v>13580</v>
      </c>
    </row>
    <row r="4803" spans="1:5" x14ac:dyDescent="0.25">
      <c r="A4803" t="s">
        <v>1</v>
      </c>
      <c r="B4803" t="s">
        <v>19</v>
      </c>
      <c r="C4803" t="s">
        <v>23490</v>
      </c>
      <c r="D4803" t="str">
        <f>HYPERLINK("https://rhld.insurance.arkansas.gov/NPILookup?Npi=1538528765","1538528765")</f>
        <v>1538528765</v>
      </c>
      <c r="E4803" t="s">
        <v>15250</v>
      </c>
    </row>
    <row r="4804" spans="1:5" x14ac:dyDescent="0.25">
      <c r="A4804" t="s">
        <v>1</v>
      </c>
      <c r="B4804" t="s">
        <v>19</v>
      </c>
      <c r="C4804" t="s">
        <v>23490</v>
      </c>
      <c r="D4804" t="str">
        <f>HYPERLINK("https://rhld.insurance.arkansas.gov/NPILookup?Npi=1538530316","1538530316")</f>
        <v>1538530316</v>
      </c>
      <c r="E4804" t="s">
        <v>8727</v>
      </c>
    </row>
    <row r="4805" spans="1:5" x14ac:dyDescent="0.25">
      <c r="A4805" t="s">
        <v>1</v>
      </c>
      <c r="B4805" t="s">
        <v>19</v>
      </c>
      <c r="C4805" t="s">
        <v>23490</v>
      </c>
      <c r="D4805" t="str">
        <f>HYPERLINK("https://rhld.insurance.arkansas.gov/NPILookup?Npi=1538532809","1538532809")</f>
        <v>1538532809</v>
      </c>
      <c r="E4805" t="s">
        <v>15251</v>
      </c>
    </row>
    <row r="4806" spans="1:5" x14ac:dyDescent="0.25">
      <c r="A4806" t="s">
        <v>1</v>
      </c>
      <c r="B4806" t="s">
        <v>19</v>
      </c>
      <c r="C4806" t="s">
        <v>23490</v>
      </c>
      <c r="D4806" t="str">
        <f>HYPERLINK("https://rhld.insurance.arkansas.gov/NPILookup?Npi=1538539325","1538539325")</f>
        <v>1538539325</v>
      </c>
      <c r="E4806" t="s">
        <v>15252</v>
      </c>
    </row>
    <row r="4807" spans="1:5" x14ac:dyDescent="0.25">
      <c r="A4807" t="s">
        <v>1</v>
      </c>
      <c r="B4807" t="s">
        <v>19</v>
      </c>
      <c r="C4807" t="s">
        <v>23490</v>
      </c>
      <c r="D4807" t="str">
        <f>HYPERLINK("https://rhld.insurance.arkansas.gov/NPILookup?Npi=1538546874","1538546874")</f>
        <v>1538546874</v>
      </c>
      <c r="E4807" t="s">
        <v>1907</v>
      </c>
    </row>
    <row r="4808" spans="1:5" x14ac:dyDescent="0.25">
      <c r="A4808" t="s">
        <v>1</v>
      </c>
      <c r="B4808" t="s">
        <v>19</v>
      </c>
      <c r="C4808" t="s">
        <v>23490</v>
      </c>
      <c r="D4808" t="str">
        <f>HYPERLINK("https://rhld.insurance.arkansas.gov/NPILookup?Npi=1538555248","1538555248")</f>
        <v>1538555248</v>
      </c>
      <c r="E4808" t="s">
        <v>13581</v>
      </c>
    </row>
    <row r="4809" spans="1:5" x14ac:dyDescent="0.25">
      <c r="A4809" t="s">
        <v>1</v>
      </c>
      <c r="B4809" t="s">
        <v>19</v>
      </c>
      <c r="C4809" t="s">
        <v>23490</v>
      </c>
      <c r="D4809" t="str">
        <f>HYPERLINK("https://rhld.insurance.arkansas.gov/NPILookup?Npi=1538555834","1538555834")</f>
        <v>1538555834</v>
      </c>
      <c r="E4809" t="s">
        <v>13582</v>
      </c>
    </row>
    <row r="4810" spans="1:5" x14ac:dyDescent="0.25">
      <c r="A4810" t="s">
        <v>1</v>
      </c>
      <c r="B4810" t="s">
        <v>19</v>
      </c>
      <c r="C4810" t="s">
        <v>23490</v>
      </c>
      <c r="D4810" t="str">
        <f>HYPERLINK("https://rhld.insurance.arkansas.gov/NPILookup?Npi=1538556634","1538556634")</f>
        <v>1538556634</v>
      </c>
      <c r="E4810" t="s">
        <v>13583</v>
      </c>
    </row>
    <row r="4811" spans="1:5" x14ac:dyDescent="0.25">
      <c r="A4811" t="s">
        <v>1</v>
      </c>
      <c r="B4811" t="s">
        <v>19</v>
      </c>
      <c r="C4811" t="s">
        <v>23490</v>
      </c>
      <c r="D4811" t="str">
        <f>HYPERLINK("https://rhld.insurance.arkansas.gov/NPILookup?Npi=1538574199","1538574199")</f>
        <v>1538574199</v>
      </c>
      <c r="E4811" t="s">
        <v>1909</v>
      </c>
    </row>
    <row r="4812" spans="1:5" x14ac:dyDescent="0.25">
      <c r="A4812" t="s">
        <v>1</v>
      </c>
      <c r="B4812" t="s">
        <v>19</v>
      </c>
      <c r="C4812" t="s">
        <v>23490</v>
      </c>
      <c r="D4812" t="str">
        <f>HYPERLINK("https://rhld.insurance.arkansas.gov/NPILookup?Npi=1538602719","1538602719")</f>
        <v>1538602719</v>
      </c>
      <c r="E4812" t="s">
        <v>15253</v>
      </c>
    </row>
    <row r="4813" spans="1:5" x14ac:dyDescent="0.25">
      <c r="A4813" t="s">
        <v>1</v>
      </c>
      <c r="B4813" t="s">
        <v>19</v>
      </c>
      <c r="C4813" t="s">
        <v>23490</v>
      </c>
      <c r="D4813" t="str">
        <f>HYPERLINK("https://rhld.insurance.arkansas.gov/NPILookup?Npi=1538609920","1538609920")</f>
        <v>1538609920</v>
      </c>
      <c r="E4813" t="s">
        <v>11030</v>
      </c>
    </row>
    <row r="4814" spans="1:5" x14ac:dyDescent="0.25">
      <c r="A4814" t="s">
        <v>1</v>
      </c>
      <c r="B4814" t="s">
        <v>19</v>
      </c>
      <c r="C4814" t="s">
        <v>23490</v>
      </c>
      <c r="D4814" t="str">
        <f>HYPERLINK("https://rhld.insurance.arkansas.gov/NPILookup?Npi=1538610316","1538610316")</f>
        <v>1538610316</v>
      </c>
      <c r="E4814" t="s">
        <v>15254</v>
      </c>
    </row>
    <row r="4815" spans="1:5" x14ac:dyDescent="0.25">
      <c r="A4815" t="s">
        <v>1</v>
      </c>
      <c r="B4815" t="s">
        <v>19</v>
      </c>
      <c r="C4815" t="s">
        <v>23490</v>
      </c>
      <c r="D4815" t="str">
        <f>HYPERLINK("https://rhld.insurance.arkansas.gov/NPILookup?Npi=1538611975","1538611975")</f>
        <v>1538611975</v>
      </c>
      <c r="E4815" t="s">
        <v>12855</v>
      </c>
    </row>
    <row r="4816" spans="1:5" x14ac:dyDescent="0.25">
      <c r="A4816" t="s">
        <v>1</v>
      </c>
      <c r="B4816" t="s">
        <v>19</v>
      </c>
      <c r="C4816" t="s">
        <v>23490</v>
      </c>
      <c r="D4816" t="str">
        <f>HYPERLINK("https://rhld.insurance.arkansas.gov/NPILookup?Npi=1538624580","1538624580")</f>
        <v>1538624580</v>
      </c>
      <c r="E4816" t="s">
        <v>15255</v>
      </c>
    </row>
    <row r="4817" spans="1:5" x14ac:dyDescent="0.25">
      <c r="A4817" t="s">
        <v>1</v>
      </c>
      <c r="B4817" t="s">
        <v>19</v>
      </c>
      <c r="C4817" t="s">
        <v>23490</v>
      </c>
      <c r="D4817" t="str">
        <f>HYPERLINK("https://rhld.insurance.arkansas.gov/NPILookup?Npi=1538625900","1538625900")</f>
        <v>1538625900</v>
      </c>
      <c r="E4817" t="s">
        <v>18803</v>
      </c>
    </row>
    <row r="4818" spans="1:5" x14ac:dyDescent="0.25">
      <c r="A4818" t="s">
        <v>1</v>
      </c>
      <c r="B4818" t="s">
        <v>19</v>
      </c>
      <c r="C4818" t="s">
        <v>23490</v>
      </c>
      <c r="D4818" t="str">
        <f>HYPERLINK("https://rhld.insurance.arkansas.gov/NPILookup?Npi=1538633995","1538633995")</f>
        <v>1538633995</v>
      </c>
      <c r="E4818" t="s">
        <v>13584</v>
      </c>
    </row>
    <row r="4819" spans="1:5" x14ac:dyDescent="0.25">
      <c r="A4819" t="s">
        <v>1</v>
      </c>
      <c r="B4819" t="s">
        <v>19</v>
      </c>
      <c r="C4819" t="s">
        <v>23490</v>
      </c>
      <c r="D4819" t="str">
        <f>HYPERLINK("https://rhld.insurance.arkansas.gov/NPILookup?Npi=1538634837","1538634837")</f>
        <v>1538634837</v>
      </c>
      <c r="E4819" t="s">
        <v>18025</v>
      </c>
    </row>
    <row r="4820" spans="1:5" x14ac:dyDescent="0.25">
      <c r="A4820" t="s">
        <v>1</v>
      </c>
      <c r="B4820" t="s">
        <v>19</v>
      </c>
      <c r="C4820" t="s">
        <v>23490</v>
      </c>
      <c r="D4820" t="str">
        <f>HYPERLINK("https://rhld.insurance.arkansas.gov/NPILookup?Npi=1538638275","1538638275")</f>
        <v>1538638275</v>
      </c>
      <c r="E4820" t="s">
        <v>13585</v>
      </c>
    </row>
    <row r="4821" spans="1:5" x14ac:dyDescent="0.25">
      <c r="A4821" t="s">
        <v>1</v>
      </c>
      <c r="B4821" t="s">
        <v>19</v>
      </c>
      <c r="C4821" t="s">
        <v>23490</v>
      </c>
      <c r="D4821" t="str">
        <f>HYPERLINK("https://rhld.insurance.arkansas.gov/NPILookup?Npi=1538642053","1538642053")</f>
        <v>1538642053</v>
      </c>
      <c r="E4821" t="s">
        <v>18026</v>
      </c>
    </row>
    <row r="4822" spans="1:5" x14ac:dyDescent="0.25">
      <c r="A4822" t="s">
        <v>1</v>
      </c>
      <c r="B4822" t="s">
        <v>19</v>
      </c>
      <c r="C4822" t="s">
        <v>23490</v>
      </c>
      <c r="D4822" t="str">
        <f>HYPERLINK("https://rhld.insurance.arkansas.gov/NPILookup?Npi=1538648258","1538648258")</f>
        <v>1538648258</v>
      </c>
      <c r="E4822" t="s">
        <v>13586</v>
      </c>
    </row>
    <row r="4823" spans="1:5" x14ac:dyDescent="0.25">
      <c r="A4823" t="s">
        <v>1</v>
      </c>
      <c r="B4823" t="s">
        <v>19</v>
      </c>
      <c r="C4823" t="s">
        <v>23490</v>
      </c>
      <c r="D4823" t="str">
        <f>HYPERLINK("https://rhld.insurance.arkansas.gov/NPILookup?Npi=1538649231","1538649231")</f>
        <v>1538649231</v>
      </c>
      <c r="E4823" t="s">
        <v>13587</v>
      </c>
    </row>
    <row r="4824" spans="1:5" x14ac:dyDescent="0.25">
      <c r="A4824" t="s">
        <v>1</v>
      </c>
      <c r="B4824" t="s">
        <v>19</v>
      </c>
      <c r="C4824" t="s">
        <v>23490</v>
      </c>
      <c r="D4824" t="str">
        <f>HYPERLINK("https://rhld.insurance.arkansas.gov/NPILookup?Npi=1538654538","1538654538")</f>
        <v>1538654538</v>
      </c>
      <c r="E4824" t="s">
        <v>19809</v>
      </c>
    </row>
    <row r="4825" spans="1:5" x14ac:dyDescent="0.25">
      <c r="A4825" t="s">
        <v>1</v>
      </c>
      <c r="B4825" t="s">
        <v>19</v>
      </c>
      <c r="C4825" t="s">
        <v>23490</v>
      </c>
      <c r="D4825" t="str">
        <f>HYPERLINK("https://rhld.insurance.arkansas.gov/NPILookup?Npi=1538669189","1538669189")</f>
        <v>1538669189</v>
      </c>
      <c r="E4825" t="s">
        <v>21570</v>
      </c>
    </row>
    <row r="4826" spans="1:5" x14ac:dyDescent="0.25">
      <c r="A4826" t="s">
        <v>1</v>
      </c>
      <c r="B4826" t="s">
        <v>19</v>
      </c>
      <c r="C4826" t="s">
        <v>23490</v>
      </c>
      <c r="D4826" t="str">
        <f>HYPERLINK("https://rhld.insurance.arkansas.gov/NPILookup?Npi=1538684170","1538684170")</f>
        <v>1538684170</v>
      </c>
      <c r="E4826" t="s">
        <v>20965</v>
      </c>
    </row>
    <row r="4827" spans="1:5" x14ac:dyDescent="0.25">
      <c r="A4827" t="s">
        <v>1</v>
      </c>
      <c r="B4827" t="s">
        <v>19</v>
      </c>
      <c r="C4827" t="s">
        <v>23490</v>
      </c>
      <c r="D4827" t="str">
        <f>HYPERLINK("https://rhld.insurance.arkansas.gov/NPILookup?Npi=1538689203","1538689203")</f>
        <v>1538689203</v>
      </c>
      <c r="E4827" t="s">
        <v>11031</v>
      </c>
    </row>
    <row r="4828" spans="1:5" x14ac:dyDescent="0.25">
      <c r="A4828" t="s">
        <v>1</v>
      </c>
      <c r="B4828" t="s">
        <v>19</v>
      </c>
      <c r="C4828" t="s">
        <v>23490</v>
      </c>
      <c r="D4828" t="str">
        <f>HYPERLINK("https://rhld.insurance.arkansas.gov/NPILookup?Npi=1538690342","1538690342")</f>
        <v>1538690342</v>
      </c>
      <c r="E4828" t="s">
        <v>11032</v>
      </c>
    </row>
    <row r="4829" spans="1:5" x14ac:dyDescent="0.25">
      <c r="A4829" t="s">
        <v>1</v>
      </c>
      <c r="B4829" t="s">
        <v>19</v>
      </c>
      <c r="C4829" t="s">
        <v>23490</v>
      </c>
      <c r="D4829" t="str">
        <f>HYPERLINK("https://rhld.insurance.arkansas.gov/NPILookup?Npi=1538696497","1538696497")</f>
        <v>1538696497</v>
      </c>
      <c r="E4829" t="s">
        <v>11033</v>
      </c>
    </row>
    <row r="4830" spans="1:5" x14ac:dyDescent="0.25">
      <c r="A4830" t="s">
        <v>1</v>
      </c>
      <c r="B4830" t="s">
        <v>19</v>
      </c>
      <c r="C4830" t="s">
        <v>23490</v>
      </c>
      <c r="D4830" t="str">
        <f>HYPERLINK("https://rhld.insurance.arkansas.gov/NPILookup?Npi=1538697438","1538697438")</f>
        <v>1538697438</v>
      </c>
      <c r="E4830" t="s">
        <v>18027</v>
      </c>
    </row>
    <row r="4831" spans="1:5" x14ac:dyDescent="0.25">
      <c r="A4831" t="s">
        <v>1</v>
      </c>
      <c r="B4831" t="s">
        <v>19</v>
      </c>
      <c r="C4831" t="s">
        <v>23490</v>
      </c>
      <c r="D4831" t="str">
        <f>HYPERLINK("https://rhld.insurance.arkansas.gov/NPILookup?Npi=1538697586","1538697586")</f>
        <v>1538697586</v>
      </c>
      <c r="E4831" t="s">
        <v>4946</v>
      </c>
    </row>
    <row r="4832" spans="1:5" x14ac:dyDescent="0.25">
      <c r="A4832" t="s">
        <v>1</v>
      </c>
      <c r="B4832" t="s">
        <v>19</v>
      </c>
      <c r="C4832" t="s">
        <v>23490</v>
      </c>
      <c r="D4832" t="str">
        <f>HYPERLINK("https://rhld.insurance.arkansas.gov/NPILookup?Npi=1538714738","1538714738")</f>
        <v>1538714738</v>
      </c>
      <c r="E4832" t="s">
        <v>19810</v>
      </c>
    </row>
    <row r="4833" spans="1:5" x14ac:dyDescent="0.25">
      <c r="A4833" t="s">
        <v>1</v>
      </c>
      <c r="B4833" t="s">
        <v>19</v>
      </c>
      <c r="C4833" t="s">
        <v>23490</v>
      </c>
      <c r="D4833" t="str">
        <f>HYPERLINK("https://rhld.insurance.arkansas.gov/NPILookup?Npi=1538756754","1538756754")</f>
        <v>1538756754</v>
      </c>
      <c r="E4833" t="s">
        <v>18028</v>
      </c>
    </row>
    <row r="4834" spans="1:5" x14ac:dyDescent="0.25">
      <c r="A4834" t="s">
        <v>1</v>
      </c>
      <c r="B4834" t="s">
        <v>19</v>
      </c>
      <c r="C4834" t="s">
        <v>23490</v>
      </c>
      <c r="D4834" t="str">
        <f>HYPERLINK("https://rhld.insurance.arkansas.gov/NPILookup?Npi=1538762737","1538762737")</f>
        <v>1538762737</v>
      </c>
      <c r="E4834" t="s">
        <v>18029</v>
      </c>
    </row>
    <row r="4835" spans="1:5" x14ac:dyDescent="0.25">
      <c r="A4835" t="s">
        <v>1</v>
      </c>
      <c r="B4835" t="s">
        <v>19</v>
      </c>
      <c r="C4835" t="s">
        <v>23490</v>
      </c>
      <c r="D4835" t="str">
        <f>HYPERLINK("https://rhld.insurance.arkansas.gov/NPILookup?Npi=1538763677","1538763677")</f>
        <v>1538763677</v>
      </c>
      <c r="E4835" t="s">
        <v>18030</v>
      </c>
    </row>
    <row r="4836" spans="1:5" x14ac:dyDescent="0.25">
      <c r="A4836" t="s">
        <v>1</v>
      </c>
      <c r="B4836" t="s">
        <v>19</v>
      </c>
      <c r="C4836" t="s">
        <v>23490</v>
      </c>
      <c r="D4836" t="str">
        <f>HYPERLINK("https://rhld.insurance.arkansas.gov/NPILookup?Npi=1538780226","1538780226")</f>
        <v>1538780226</v>
      </c>
      <c r="E4836" t="s">
        <v>20966</v>
      </c>
    </row>
    <row r="4837" spans="1:5" x14ac:dyDescent="0.25">
      <c r="A4837" t="s">
        <v>1</v>
      </c>
      <c r="B4837" t="s">
        <v>19</v>
      </c>
      <c r="C4837" t="s">
        <v>23490</v>
      </c>
      <c r="D4837" t="str">
        <f>HYPERLINK("https://rhld.insurance.arkansas.gov/NPILookup?Npi=1538796164","1538796164")</f>
        <v>1538796164</v>
      </c>
      <c r="E4837" t="s">
        <v>16980</v>
      </c>
    </row>
    <row r="4838" spans="1:5" x14ac:dyDescent="0.25">
      <c r="A4838" t="s">
        <v>1</v>
      </c>
      <c r="B4838" t="s">
        <v>19</v>
      </c>
      <c r="C4838" t="s">
        <v>23490</v>
      </c>
      <c r="D4838" t="str">
        <f>HYPERLINK("https://rhld.insurance.arkansas.gov/NPILookup?Npi=1538798087","1538798087")</f>
        <v>1538798087</v>
      </c>
      <c r="E4838" t="s">
        <v>21571</v>
      </c>
    </row>
    <row r="4839" spans="1:5" x14ac:dyDescent="0.25">
      <c r="A4839" t="s">
        <v>1</v>
      </c>
      <c r="B4839" t="s">
        <v>19</v>
      </c>
      <c r="C4839" t="s">
        <v>23490</v>
      </c>
      <c r="D4839" t="str">
        <f>HYPERLINK("https://rhld.insurance.arkansas.gov/NPILookup?Npi=1538801741","1538801741")</f>
        <v>1538801741</v>
      </c>
      <c r="E4839" t="s">
        <v>19811</v>
      </c>
    </row>
    <row r="4840" spans="1:5" x14ac:dyDescent="0.25">
      <c r="A4840" t="s">
        <v>1</v>
      </c>
      <c r="B4840" t="s">
        <v>19</v>
      </c>
      <c r="C4840" t="s">
        <v>23490</v>
      </c>
      <c r="D4840" t="str">
        <f>HYPERLINK("https://rhld.insurance.arkansas.gov/NPILookup?Npi=1538818018","1538818018")</f>
        <v>1538818018</v>
      </c>
      <c r="E4840" t="s">
        <v>20967</v>
      </c>
    </row>
    <row r="4841" spans="1:5" x14ac:dyDescent="0.25">
      <c r="A4841" t="s">
        <v>1</v>
      </c>
      <c r="B4841" t="s">
        <v>19</v>
      </c>
      <c r="C4841" t="s">
        <v>23490</v>
      </c>
      <c r="D4841" t="str">
        <f>HYPERLINK("https://rhld.insurance.arkansas.gov/NPILookup?Npi=1538825443","1538825443")</f>
        <v>1538825443</v>
      </c>
      <c r="E4841" t="s">
        <v>19812</v>
      </c>
    </row>
    <row r="4842" spans="1:5" x14ac:dyDescent="0.25">
      <c r="A4842" t="s">
        <v>1</v>
      </c>
      <c r="B4842" t="s">
        <v>19</v>
      </c>
      <c r="C4842" t="s">
        <v>23490</v>
      </c>
      <c r="D4842" t="str">
        <f>HYPERLINK("https://rhld.insurance.arkansas.gov/NPILookup?Npi=1538837661","1538837661")</f>
        <v>1538837661</v>
      </c>
      <c r="E4842" t="s">
        <v>21572</v>
      </c>
    </row>
    <row r="4843" spans="1:5" x14ac:dyDescent="0.25">
      <c r="A4843" t="s">
        <v>1</v>
      </c>
      <c r="B4843" t="s">
        <v>19</v>
      </c>
      <c r="C4843" t="s">
        <v>23490</v>
      </c>
      <c r="D4843" t="str">
        <f>HYPERLINK("https://rhld.insurance.arkansas.gov/NPILookup?Npi=1538882121","1538882121")</f>
        <v>1538882121</v>
      </c>
      <c r="E4843" t="s">
        <v>21573</v>
      </c>
    </row>
    <row r="4844" spans="1:5" x14ac:dyDescent="0.25">
      <c r="A4844" t="s">
        <v>1</v>
      </c>
      <c r="B4844" t="s">
        <v>19</v>
      </c>
      <c r="C4844" t="s">
        <v>23490</v>
      </c>
      <c r="D4844" t="str">
        <f>HYPERLINK("https://rhld.insurance.arkansas.gov/NPILookup?Npi=1538896196","1538896196")</f>
        <v>1538896196</v>
      </c>
      <c r="E4844" t="s">
        <v>21574</v>
      </c>
    </row>
    <row r="4845" spans="1:5" x14ac:dyDescent="0.25">
      <c r="A4845" t="s">
        <v>1</v>
      </c>
      <c r="B4845" t="s">
        <v>19</v>
      </c>
      <c r="C4845" t="s">
        <v>8427</v>
      </c>
      <c r="D4845" t="str">
        <f>HYPERLINK("https://rhld.insurance.arkansas.gov/NPILookup?Npi=1538948484","1538948484")</f>
        <v>1538948484</v>
      </c>
      <c r="E4845" t="s">
        <v>22953</v>
      </c>
    </row>
    <row r="4846" spans="1:5" x14ac:dyDescent="0.25">
      <c r="A4846" t="s">
        <v>1</v>
      </c>
      <c r="B4846" t="s">
        <v>19</v>
      </c>
      <c r="C4846" t="s">
        <v>23490</v>
      </c>
      <c r="D4846" t="str">
        <f>HYPERLINK("https://rhld.insurance.arkansas.gov/NPILookup?Npi=1548203664","1548203664")</f>
        <v>1548203664</v>
      </c>
      <c r="E4846" t="s">
        <v>1910</v>
      </c>
    </row>
    <row r="4847" spans="1:5" x14ac:dyDescent="0.25">
      <c r="A4847" t="s">
        <v>1</v>
      </c>
      <c r="B4847" t="s">
        <v>19</v>
      </c>
      <c r="C4847" t="s">
        <v>23490</v>
      </c>
      <c r="D4847" t="str">
        <f>HYPERLINK("https://rhld.insurance.arkansas.gov/NPILookup?Npi=1548204654","1548204654")</f>
        <v>1548204654</v>
      </c>
      <c r="E4847" t="s">
        <v>1911</v>
      </c>
    </row>
    <row r="4848" spans="1:5" x14ac:dyDescent="0.25">
      <c r="A4848" t="s">
        <v>1</v>
      </c>
      <c r="B4848" t="s">
        <v>19</v>
      </c>
      <c r="C4848" t="s">
        <v>23490</v>
      </c>
      <c r="D4848" t="str">
        <f>HYPERLINK("https://rhld.insurance.arkansas.gov/NPILookup?Npi=1548207905","1548207905")</f>
        <v>1548207905</v>
      </c>
      <c r="E4848" t="s">
        <v>1912</v>
      </c>
    </row>
    <row r="4849" spans="1:5" x14ac:dyDescent="0.25">
      <c r="A4849" t="s">
        <v>1</v>
      </c>
      <c r="B4849" t="s">
        <v>19</v>
      </c>
      <c r="C4849" t="s">
        <v>23490</v>
      </c>
      <c r="D4849" t="str">
        <f>HYPERLINK("https://rhld.insurance.arkansas.gov/NPILookup?Npi=1548210172","1548210172")</f>
        <v>1548210172</v>
      </c>
      <c r="E4849" t="s">
        <v>1913</v>
      </c>
    </row>
    <row r="4850" spans="1:5" x14ac:dyDescent="0.25">
      <c r="A4850" t="s">
        <v>1</v>
      </c>
      <c r="B4850" t="s">
        <v>19</v>
      </c>
      <c r="C4850" t="s">
        <v>23490</v>
      </c>
      <c r="D4850" t="str">
        <f>HYPERLINK("https://rhld.insurance.arkansas.gov/NPILookup?Npi=1548226632","1548226632")</f>
        <v>1548226632</v>
      </c>
      <c r="E4850" t="s">
        <v>1914</v>
      </c>
    </row>
    <row r="4851" spans="1:5" x14ac:dyDescent="0.25">
      <c r="A4851" t="s">
        <v>1</v>
      </c>
      <c r="B4851" t="s">
        <v>19</v>
      </c>
      <c r="C4851" t="s">
        <v>23490</v>
      </c>
      <c r="D4851" t="str">
        <f>HYPERLINK("https://rhld.insurance.arkansas.gov/NPILookup?Npi=1548226863","1548226863")</f>
        <v>1548226863</v>
      </c>
      <c r="E4851" t="s">
        <v>1915</v>
      </c>
    </row>
    <row r="4852" spans="1:5" x14ac:dyDescent="0.25">
      <c r="A4852" t="s">
        <v>1</v>
      </c>
      <c r="B4852" t="s">
        <v>19</v>
      </c>
      <c r="C4852" t="s">
        <v>23490</v>
      </c>
      <c r="D4852" t="str">
        <f>HYPERLINK("https://rhld.insurance.arkansas.gov/NPILookup?Npi=1548227481","1548227481")</f>
        <v>1548227481</v>
      </c>
      <c r="E4852" t="s">
        <v>1916</v>
      </c>
    </row>
    <row r="4853" spans="1:5" x14ac:dyDescent="0.25">
      <c r="A4853" t="s">
        <v>1</v>
      </c>
      <c r="B4853" t="s">
        <v>19</v>
      </c>
      <c r="C4853" t="s">
        <v>23490</v>
      </c>
      <c r="D4853" t="str">
        <f>HYPERLINK("https://rhld.insurance.arkansas.gov/NPILookup?Npi=1548230899","1548230899")</f>
        <v>1548230899</v>
      </c>
      <c r="E4853" t="s">
        <v>1834</v>
      </c>
    </row>
    <row r="4854" spans="1:5" x14ac:dyDescent="0.25">
      <c r="A4854" t="s">
        <v>1</v>
      </c>
      <c r="B4854" t="s">
        <v>19</v>
      </c>
      <c r="C4854" t="s">
        <v>23490</v>
      </c>
      <c r="D4854" t="str">
        <f>HYPERLINK("https://rhld.insurance.arkansas.gov/NPILookup?Npi=1548245608","1548245608")</f>
        <v>1548245608</v>
      </c>
      <c r="E4854" t="s">
        <v>19813</v>
      </c>
    </row>
    <row r="4855" spans="1:5" x14ac:dyDescent="0.25">
      <c r="A4855" t="s">
        <v>1</v>
      </c>
      <c r="B4855" t="s">
        <v>19</v>
      </c>
      <c r="C4855" t="s">
        <v>23490</v>
      </c>
      <c r="D4855" t="str">
        <f>HYPERLINK("https://rhld.insurance.arkansas.gov/NPILookup?Npi=1548246630","1548246630")</f>
        <v>1548246630</v>
      </c>
      <c r="E4855" t="s">
        <v>11034</v>
      </c>
    </row>
    <row r="4856" spans="1:5" x14ac:dyDescent="0.25">
      <c r="A4856" t="s">
        <v>1</v>
      </c>
      <c r="B4856" t="s">
        <v>19</v>
      </c>
      <c r="C4856" t="s">
        <v>23490</v>
      </c>
      <c r="D4856" t="str">
        <f>HYPERLINK("https://rhld.insurance.arkansas.gov/NPILookup?Npi=1548249196","1548249196")</f>
        <v>1548249196</v>
      </c>
      <c r="E4856" t="s">
        <v>1917</v>
      </c>
    </row>
    <row r="4857" spans="1:5" x14ac:dyDescent="0.25">
      <c r="A4857" t="s">
        <v>1</v>
      </c>
      <c r="B4857" t="s">
        <v>19</v>
      </c>
      <c r="C4857" t="s">
        <v>23490</v>
      </c>
      <c r="D4857" t="str">
        <f>HYPERLINK("https://rhld.insurance.arkansas.gov/NPILookup?Npi=1548255441","1548255441")</f>
        <v>1548255441</v>
      </c>
      <c r="E4857" t="s">
        <v>19814</v>
      </c>
    </row>
    <row r="4858" spans="1:5" x14ac:dyDescent="0.25">
      <c r="A4858" t="s">
        <v>1</v>
      </c>
      <c r="B4858" t="s">
        <v>19</v>
      </c>
      <c r="C4858" t="s">
        <v>23490</v>
      </c>
      <c r="D4858" t="str">
        <f>HYPERLINK("https://rhld.insurance.arkansas.gov/NPILookup?Npi=1548257520","1548257520")</f>
        <v>1548257520</v>
      </c>
      <c r="E4858" t="s">
        <v>19815</v>
      </c>
    </row>
    <row r="4859" spans="1:5" x14ac:dyDescent="0.25">
      <c r="A4859" t="s">
        <v>1</v>
      </c>
      <c r="B4859" t="s">
        <v>19</v>
      </c>
      <c r="C4859" t="s">
        <v>23490</v>
      </c>
      <c r="D4859" t="str">
        <f>HYPERLINK("https://rhld.insurance.arkansas.gov/NPILookup?Npi=1548258361","1548258361")</f>
        <v>1548258361</v>
      </c>
      <c r="E4859" t="s">
        <v>1918</v>
      </c>
    </row>
    <row r="4860" spans="1:5" x14ac:dyDescent="0.25">
      <c r="A4860" t="s">
        <v>1</v>
      </c>
      <c r="B4860" t="s">
        <v>19</v>
      </c>
      <c r="C4860" t="s">
        <v>23490</v>
      </c>
      <c r="D4860" t="str">
        <f>HYPERLINK("https://rhld.insurance.arkansas.gov/NPILookup?Npi=1548263296","1548263296")</f>
        <v>1548263296</v>
      </c>
      <c r="E4860" t="s">
        <v>1919</v>
      </c>
    </row>
    <row r="4861" spans="1:5" x14ac:dyDescent="0.25">
      <c r="A4861" t="s">
        <v>1</v>
      </c>
      <c r="B4861" t="s">
        <v>19</v>
      </c>
      <c r="C4861" t="s">
        <v>23490</v>
      </c>
      <c r="D4861" t="str">
        <f>HYPERLINK("https://rhld.insurance.arkansas.gov/NPILookup?Npi=1548265572","1548265572")</f>
        <v>1548265572</v>
      </c>
      <c r="E4861" t="s">
        <v>1920</v>
      </c>
    </row>
    <row r="4862" spans="1:5" x14ac:dyDescent="0.25">
      <c r="A4862" t="s">
        <v>1</v>
      </c>
      <c r="B4862" t="s">
        <v>19</v>
      </c>
      <c r="C4862" t="s">
        <v>23490</v>
      </c>
      <c r="D4862" t="str">
        <f>HYPERLINK("https://rhld.insurance.arkansas.gov/NPILookup?Npi=1548291420","1548291420")</f>
        <v>1548291420</v>
      </c>
      <c r="E4862" t="s">
        <v>1921</v>
      </c>
    </row>
    <row r="4863" spans="1:5" x14ac:dyDescent="0.25">
      <c r="A4863" t="s">
        <v>1</v>
      </c>
      <c r="B4863" t="s">
        <v>19</v>
      </c>
      <c r="C4863" t="s">
        <v>23490</v>
      </c>
      <c r="D4863" t="str">
        <f>HYPERLINK("https://rhld.insurance.arkansas.gov/NPILookup?Npi=1548293103","1548293103")</f>
        <v>1548293103</v>
      </c>
      <c r="E4863" t="s">
        <v>19816</v>
      </c>
    </row>
    <row r="4864" spans="1:5" x14ac:dyDescent="0.25">
      <c r="A4864" t="s">
        <v>1</v>
      </c>
      <c r="B4864" t="s">
        <v>19</v>
      </c>
      <c r="C4864" t="s">
        <v>23490</v>
      </c>
      <c r="D4864" t="str">
        <f>HYPERLINK("https://rhld.insurance.arkansas.gov/NPILookup?Npi=1548303381","1548303381")</f>
        <v>1548303381</v>
      </c>
      <c r="E4864" t="s">
        <v>8728</v>
      </c>
    </row>
    <row r="4865" spans="1:5" x14ac:dyDescent="0.25">
      <c r="A4865" t="s">
        <v>1</v>
      </c>
      <c r="B4865" t="s">
        <v>19</v>
      </c>
      <c r="C4865" t="s">
        <v>23490</v>
      </c>
      <c r="D4865" t="str">
        <f>HYPERLINK("https://rhld.insurance.arkansas.gov/NPILookup?Npi=1548305279","1548305279")</f>
        <v>1548305279</v>
      </c>
      <c r="E4865" t="s">
        <v>1922</v>
      </c>
    </row>
    <row r="4866" spans="1:5" x14ac:dyDescent="0.25">
      <c r="A4866" t="s">
        <v>1</v>
      </c>
      <c r="B4866" t="s">
        <v>19</v>
      </c>
      <c r="C4866" t="s">
        <v>23490</v>
      </c>
      <c r="D4866" t="str">
        <f>HYPERLINK("https://rhld.insurance.arkansas.gov/NPILookup?Npi=1548306517","1548306517")</f>
        <v>1548306517</v>
      </c>
      <c r="E4866" t="s">
        <v>19817</v>
      </c>
    </row>
    <row r="4867" spans="1:5" x14ac:dyDescent="0.25">
      <c r="A4867" t="s">
        <v>1</v>
      </c>
      <c r="B4867" t="s">
        <v>19</v>
      </c>
      <c r="C4867" t="s">
        <v>23490</v>
      </c>
      <c r="D4867" t="str">
        <f>HYPERLINK("https://rhld.insurance.arkansas.gov/NPILookup?Npi=1548327372","1548327372")</f>
        <v>1548327372</v>
      </c>
      <c r="E4867" t="s">
        <v>1923</v>
      </c>
    </row>
    <row r="4868" spans="1:5" x14ac:dyDescent="0.25">
      <c r="A4868" t="s">
        <v>1</v>
      </c>
      <c r="B4868" t="s">
        <v>19</v>
      </c>
      <c r="C4868" t="s">
        <v>23490</v>
      </c>
      <c r="D4868" t="str">
        <f>HYPERLINK("https://rhld.insurance.arkansas.gov/NPILookup?Npi=1548327950","1548327950")</f>
        <v>1548327950</v>
      </c>
      <c r="E4868" t="s">
        <v>1924</v>
      </c>
    </row>
    <row r="4869" spans="1:5" x14ac:dyDescent="0.25">
      <c r="A4869" t="s">
        <v>1</v>
      </c>
      <c r="B4869" t="s">
        <v>19</v>
      </c>
      <c r="C4869" t="s">
        <v>23490</v>
      </c>
      <c r="D4869" t="str">
        <f>HYPERLINK("https://rhld.insurance.arkansas.gov/NPILookup?Npi=1548329857","1548329857")</f>
        <v>1548329857</v>
      </c>
      <c r="E4869" t="s">
        <v>1925</v>
      </c>
    </row>
    <row r="4870" spans="1:5" x14ac:dyDescent="0.25">
      <c r="A4870" t="s">
        <v>1</v>
      </c>
      <c r="B4870" t="s">
        <v>19</v>
      </c>
      <c r="C4870" t="s">
        <v>23490</v>
      </c>
      <c r="D4870" t="str">
        <f>HYPERLINK("https://rhld.insurance.arkansas.gov/NPILookup?Npi=1548331085","1548331085")</f>
        <v>1548331085</v>
      </c>
      <c r="E4870" t="s">
        <v>8729</v>
      </c>
    </row>
    <row r="4871" spans="1:5" x14ac:dyDescent="0.25">
      <c r="A4871" t="s">
        <v>1</v>
      </c>
      <c r="B4871" t="s">
        <v>19</v>
      </c>
      <c r="C4871" t="s">
        <v>23490</v>
      </c>
      <c r="D4871" t="str">
        <f>HYPERLINK("https://rhld.insurance.arkansas.gov/NPILookup?Npi=1548334337","1548334337")</f>
        <v>1548334337</v>
      </c>
      <c r="E4871" t="s">
        <v>1926</v>
      </c>
    </row>
    <row r="4872" spans="1:5" x14ac:dyDescent="0.25">
      <c r="A4872" t="s">
        <v>1</v>
      </c>
      <c r="B4872" t="s">
        <v>19</v>
      </c>
      <c r="C4872" t="s">
        <v>23490</v>
      </c>
      <c r="D4872" t="str">
        <f>HYPERLINK("https://rhld.insurance.arkansas.gov/NPILookup?Npi=1548345606","1548345606")</f>
        <v>1548345606</v>
      </c>
      <c r="E4872" t="s">
        <v>1927</v>
      </c>
    </row>
    <row r="4873" spans="1:5" x14ac:dyDescent="0.25">
      <c r="A4873" t="s">
        <v>1</v>
      </c>
      <c r="B4873" t="s">
        <v>19</v>
      </c>
      <c r="C4873" t="s">
        <v>23490</v>
      </c>
      <c r="D4873" t="str">
        <f>HYPERLINK("https://rhld.insurance.arkansas.gov/NPILookup?Npi=1548354194","1548354194")</f>
        <v>1548354194</v>
      </c>
      <c r="E4873" t="s">
        <v>1928</v>
      </c>
    </row>
    <row r="4874" spans="1:5" x14ac:dyDescent="0.25">
      <c r="A4874" t="s">
        <v>1</v>
      </c>
      <c r="B4874" t="s">
        <v>19</v>
      </c>
      <c r="C4874" t="s">
        <v>23490</v>
      </c>
      <c r="D4874" t="str">
        <f>HYPERLINK("https://rhld.insurance.arkansas.gov/NPILookup?Npi=1548365448","1548365448")</f>
        <v>1548365448</v>
      </c>
      <c r="E4874" t="s">
        <v>1929</v>
      </c>
    </row>
    <row r="4875" spans="1:5" x14ac:dyDescent="0.25">
      <c r="A4875" t="s">
        <v>1</v>
      </c>
      <c r="B4875" t="s">
        <v>19</v>
      </c>
      <c r="C4875" t="s">
        <v>23490</v>
      </c>
      <c r="D4875" t="str">
        <f>HYPERLINK("https://rhld.insurance.arkansas.gov/NPILookup?Npi=1548366354","1548366354")</f>
        <v>1548366354</v>
      </c>
      <c r="E4875" t="s">
        <v>1930</v>
      </c>
    </row>
    <row r="4876" spans="1:5" x14ac:dyDescent="0.25">
      <c r="A4876" t="s">
        <v>1</v>
      </c>
      <c r="B4876" t="s">
        <v>19</v>
      </c>
      <c r="C4876" t="s">
        <v>23490</v>
      </c>
      <c r="D4876" t="str">
        <f>HYPERLINK("https://rhld.insurance.arkansas.gov/NPILookup?Npi=1548373947","1548373947")</f>
        <v>1548373947</v>
      </c>
      <c r="E4876" t="s">
        <v>1931</v>
      </c>
    </row>
    <row r="4877" spans="1:5" x14ac:dyDescent="0.25">
      <c r="A4877" t="s">
        <v>1</v>
      </c>
      <c r="B4877" t="s">
        <v>19</v>
      </c>
      <c r="C4877" t="s">
        <v>23490</v>
      </c>
      <c r="D4877" t="str">
        <f>HYPERLINK("https://rhld.insurance.arkansas.gov/NPILookup?Npi=1548398498","1548398498")</f>
        <v>1548398498</v>
      </c>
      <c r="E4877" t="s">
        <v>1932</v>
      </c>
    </row>
    <row r="4878" spans="1:5" x14ac:dyDescent="0.25">
      <c r="A4878" t="s">
        <v>1</v>
      </c>
      <c r="B4878" t="s">
        <v>19</v>
      </c>
      <c r="C4878" t="s">
        <v>23490</v>
      </c>
      <c r="D4878" t="str">
        <f>HYPERLINK("https://rhld.insurance.arkansas.gov/NPILookup?Npi=1548418767","1548418767")</f>
        <v>1548418767</v>
      </c>
      <c r="E4878" t="s">
        <v>12777</v>
      </c>
    </row>
    <row r="4879" spans="1:5" x14ac:dyDescent="0.25">
      <c r="A4879" t="s">
        <v>1</v>
      </c>
      <c r="B4879" t="s">
        <v>19</v>
      </c>
      <c r="C4879" t="s">
        <v>23490</v>
      </c>
      <c r="D4879" t="str">
        <f>HYPERLINK("https://rhld.insurance.arkansas.gov/NPILookup?Npi=1548443393","1548443393")</f>
        <v>1548443393</v>
      </c>
      <c r="E4879" t="s">
        <v>1934</v>
      </c>
    </row>
    <row r="4880" spans="1:5" x14ac:dyDescent="0.25">
      <c r="A4880" t="s">
        <v>1</v>
      </c>
      <c r="B4880" t="s">
        <v>19</v>
      </c>
      <c r="C4880" t="s">
        <v>23490</v>
      </c>
      <c r="D4880" t="str">
        <f>HYPERLINK("https://rhld.insurance.arkansas.gov/NPILookup?Npi=1548452634","1548452634")</f>
        <v>1548452634</v>
      </c>
      <c r="E4880" t="s">
        <v>21575</v>
      </c>
    </row>
    <row r="4881" spans="1:5" x14ac:dyDescent="0.25">
      <c r="A4881" t="s">
        <v>1</v>
      </c>
      <c r="B4881" t="s">
        <v>19</v>
      </c>
      <c r="C4881" t="s">
        <v>23490</v>
      </c>
      <c r="D4881" t="str">
        <f>HYPERLINK("https://rhld.insurance.arkansas.gov/NPILookup?Npi=1548464936","1548464936")</f>
        <v>1548464936</v>
      </c>
      <c r="E4881" t="s">
        <v>1935</v>
      </c>
    </row>
    <row r="4882" spans="1:5" x14ac:dyDescent="0.25">
      <c r="A4882" t="s">
        <v>1</v>
      </c>
      <c r="B4882" t="s">
        <v>19</v>
      </c>
      <c r="C4882" t="s">
        <v>23490</v>
      </c>
      <c r="D4882" t="str">
        <f>HYPERLINK("https://rhld.insurance.arkansas.gov/NPILookup?Npi=1548464993","1548464993")</f>
        <v>1548464993</v>
      </c>
      <c r="E4882" t="s">
        <v>1936</v>
      </c>
    </row>
    <row r="4883" spans="1:5" x14ac:dyDescent="0.25">
      <c r="A4883" t="s">
        <v>1</v>
      </c>
      <c r="B4883" t="s">
        <v>19</v>
      </c>
      <c r="C4883" t="s">
        <v>23490</v>
      </c>
      <c r="D4883" t="str">
        <f>HYPERLINK("https://rhld.insurance.arkansas.gov/NPILookup?Npi=1548476252","1548476252")</f>
        <v>1548476252</v>
      </c>
      <c r="E4883" t="s">
        <v>1937</v>
      </c>
    </row>
    <row r="4884" spans="1:5" x14ac:dyDescent="0.25">
      <c r="A4884" t="s">
        <v>1</v>
      </c>
      <c r="B4884" t="s">
        <v>19</v>
      </c>
      <c r="C4884" t="s">
        <v>23490</v>
      </c>
      <c r="D4884" t="str">
        <f>HYPERLINK("https://rhld.insurance.arkansas.gov/NPILookup?Npi=1548492945","1548492945")</f>
        <v>1548492945</v>
      </c>
      <c r="E4884" t="s">
        <v>1938</v>
      </c>
    </row>
    <row r="4885" spans="1:5" x14ac:dyDescent="0.25">
      <c r="A4885" t="s">
        <v>1</v>
      </c>
      <c r="B4885" t="s">
        <v>19</v>
      </c>
      <c r="C4885" t="s">
        <v>23490</v>
      </c>
      <c r="D4885" t="str">
        <f>HYPERLINK("https://rhld.insurance.arkansas.gov/NPILookup?Npi=1548497258","1548497258")</f>
        <v>1548497258</v>
      </c>
      <c r="E4885" t="s">
        <v>13588</v>
      </c>
    </row>
    <row r="4886" spans="1:5" x14ac:dyDescent="0.25">
      <c r="A4886" t="s">
        <v>1</v>
      </c>
      <c r="B4886" t="s">
        <v>19</v>
      </c>
      <c r="C4886" t="s">
        <v>23490</v>
      </c>
      <c r="D4886" t="str">
        <f>HYPERLINK("https://rhld.insurance.arkansas.gov/NPILookup?Npi=1548500770","1548500770")</f>
        <v>1548500770</v>
      </c>
      <c r="E4886" t="s">
        <v>1939</v>
      </c>
    </row>
    <row r="4887" spans="1:5" x14ac:dyDescent="0.25">
      <c r="A4887" t="s">
        <v>1</v>
      </c>
      <c r="B4887" t="s">
        <v>19</v>
      </c>
      <c r="C4887" t="s">
        <v>23490</v>
      </c>
      <c r="D4887" t="str">
        <f>HYPERLINK("https://rhld.insurance.arkansas.gov/NPILookup?Npi=1548524861","1548524861")</f>
        <v>1548524861</v>
      </c>
      <c r="E4887" t="s">
        <v>11036</v>
      </c>
    </row>
    <row r="4888" spans="1:5" x14ac:dyDescent="0.25">
      <c r="A4888" t="s">
        <v>1</v>
      </c>
      <c r="B4888" t="s">
        <v>19</v>
      </c>
      <c r="C4888" t="s">
        <v>23490</v>
      </c>
      <c r="D4888" t="str">
        <f>HYPERLINK("https://rhld.insurance.arkansas.gov/NPILookup?Npi=1548540115","1548540115")</f>
        <v>1548540115</v>
      </c>
      <c r="E4888" t="s">
        <v>1940</v>
      </c>
    </row>
    <row r="4889" spans="1:5" x14ac:dyDescent="0.25">
      <c r="A4889" t="s">
        <v>1</v>
      </c>
      <c r="B4889" t="s">
        <v>19</v>
      </c>
      <c r="C4889" t="s">
        <v>23490</v>
      </c>
      <c r="D4889" t="str">
        <f>HYPERLINK("https://rhld.insurance.arkansas.gov/NPILookup?Npi=1548540396","1548540396")</f>
        <v>1548540396</v>
      </c>
      <c r="E4889" t="s">
        <v>17435</v>
      </c>
    </row>
    <row r="4890" spans="1:5" x14ac:dyDescent="0.25">
      <c r="A4890" t="s">
        <v>1</v>
      </c>
      <c r="B4890" t="s">
        <v>19</v>
      </c>
      <c r="C4890" t="s">
        <v>23490</v>
      </c>
      <c r="D4890" t="str">
        <f>HYPERLINK("https://rhld.insurance.arkansas.gov/NPILookup?Npi=1548546336","1548546336")</f>
        <v>1548546336</v>
      </c>
      <c r="E4890" t="s">
        <v>19818</v>
      </c>
    </row>
    <row r="4891" spans="1:5" x14ac:dyDescent="0.25">
      <c r="A4891" t="s">
        <v>1</v>
      </c>
      <c r="B4891" t="s">
        <v>19</v>
      </c>
      <c r="C4891" t="s">
        <v>23490</v>
      </c>
      <c r="D4891" t="str">
        <f>HYPERLINK("https://rhld.insurance.arkansas.gov/NPILookup?Npi=1548550015","1548550015")</f>
        <v>1548550015</v>
      </c>
      <c r="E4891" t="s">
        <v>1941</v>
      </c>
    </row>
    <row r="4892" spans="1:5" x14ac:dyDescent="0.25">
      <c r="A4892" t="s">
        <v>1</v>
      </c>
      <c r="B4892" t="s">
        <v>19</v>
      </c>
      <c r="C4892" t="s">
        <v>23490</v>
      </c>
      <c r="D4892" t="str">
        <f>HYPERLINK("https://rhld.insurance.arkansas.gov/NPILookup?Npi=1548555378","1548555378")</f>
        <v>1548555378</v>
      </c>
      <c r="E4892" t="s">
        <v>1942</v>
      </c>
    </row>
    <row r="4893" spans="1:5" x14ac:dyDescent="0.25">
      <c r="A4893" t="s">
        <v>1</v>
      </c>
      <c r="B4893" t="s">
        <v>19</v>
      </c>
      <c r="C4893" t="s">
        <v>23490</v>
      </c>
      <c r="D4893" t="str">
        <f>HYPERLINK("https://rhld.insurance.arkansas.gov/NPILookup?Npi=1548557275","1548557275")</f>
        <v>1548557275</v>
      </c>
      <c r="E4893" t="s">
        <v>13589</v>
      </c>
    </row>
    <row r="4894" spans="1:5" x14ac:dyDescent="0.25">
      <c r="A4894" t="s">
        <v>1</v>
      </c>
      <c r="B4894" t="s">
        <v>19</v>
      </c>
      <c r="C4894" t="s">
        <v>23490</v>
      </c>
      <c r="D4894" t="str">
        <f>HYPERLINK("https://rhld.insurance.arkansas.gov/NPILookup?Npi=1548569551","1548569551")</f>
        <v>1548569551</v>
      </c>
      <c r="E4894" t="s">
        <v>1943</v>
      </c>
    </row>
    <row r="4895" spans="1:5" x14ac:dyDescent="0.25">
      <c r="A4895" t="s">
        <v>1</v>
      </c>
      <c r="B4895" t="s">
        <v>19</v>
      </c>
      <c r="C4895" t="s">
        <v>23490</v>
      </c>
      <c r="D4895" t="str">
        <f>HYPERLINK("https://rhld.insurance.arkansas.gov/NPILookup?Npi=1548579857","1548579857")</f>
        <v>1548579857</v>
      </c>
      <c r="E4895" t="s">
        <v>15256</v>
      </c>
    </row>
    <row r="4896" spans="1:5" x14ac:dyDescent="0.25">
      <c r="A4896" t="s">
        <v>1</v>
      </c>
      <c r="B4896" t="s">
        <v>19</v>
      </c>
      <c r="C4896" t="s">
        <v>23490</v>
      </c>
      <c r="D4896" t="str">
        <f>HYPERLINK("https://rhld.insurance.arkansas.gov/NPILookup?Npi=1548580236","1548580236")</f>
        <v>1548580236</v>
      </c>
      <c r="E4896" t="s">
        <v>1944</v>
      </c>
    </row>
    <row r="4897" spans="1:5" x14ac:dyDescent="0.25">
      <c r="A4897" t="s">
        <v>1</v>
      </c>
      <c r="B4897" t="s">
        <v>19</v>
      </c>
      <c r="C4897" t="s">
        <v>23490</v>
      </c>
      <c r="D4897" t="str">
        <f>HYPERLINK("https://rhld.insurance.arkansas.gov/NPILookup?Npi=1548580509","1548580509")</f>
        <v>1548580509</v>
      </c>
      <c r="E4897" t="s">
        <v>8730</v>
      </c>
    </row>
    <row r="4898" spans="1:5" x14ac:dyDescent="0.25">
      <c r="A4898" t="s">
        <v>1</v>
      </c>
      <c r="B4898" t="s">
        <v>19</v>
      </c>
      <c r="C4898" t="s">
        <v>23490</v>
      </c>
      <c r="D4898" t="str">
        <f>HYPERLINK("https://rhld.insurance.arkansas.gov/NPILookup?Npi=1548604044","1548604044")</f>
        <v>1548604044</v>
      </c>
      <c r="E4898" t="s">
        <v>20968</v>
      </c>
    </row>
    <row r="4899" spans="1:5" x14ac:dyDescent="0.25">
      <c r="A4899" t="s">
        <v>1</v>
      </c>
      <c r="B4899" t="s">
        <v>19</v>
      </c>
      <c r="C4899" t="s">
        <v>23490</v>
      </c>
      <c r="D4899" t="str">
        <f>HYPERLINK("https://rhld.insurance.arkansas.gov/NPILookup?Npi=1548605256","1548605256")</f>
        <v>1548605256</v>
      </c>
      <c r="E4899" t="s">
        <v>11037</v>
      </c>
    </row>
    <row r="4900" spans="1:5" x14ac:dyDescent="0.25">
      <c r="A4900" t="s">
        <v>1</v>
      </c>
      <c r="B4900" t="s">
        <v>19</v>
      </c>
      <c r="C4900" t="s">
        <v>23490</v>
      </c>
      <c r="D4900" t="str">
        <f>HYPERLINK("https://rhld.insurance.arkansas.gov/NPILookup?Npi=1548608128","1548608128")</f>
        <v>1548608128</v>
      </c>
      <c r="E4900" t="s">
        <v>15257</v>
      </c>
    </row>
    <row r="4901" spans="1:5" x14ac:dyDescent="0.25">
      <c r="A4901" t="s">
        <v>1</v>
      </c>
      <c r="B4901" t="s">
        <v>19</v>
      </c>
      <c r="C4901" t="s">
        <v>23490</v>
      </c>
      <c r="D4901" t="str">
        <f>HYPERLINK("https://rhld.insurance.arkansas.gov/NPILookup?Npi=1548611049","1548611049")</f>
        <v>1548611049</v>
      </c>
      <c r="E4901" t="s">
        <v>15258</v>
      </c>
    </row>
    <row r="4902" spans="1:5" x14ac:dyDescent="0.25">
      <c r="A4902" t="s">
        <v>1</v>
      </c>
      <c r="B4902" t="s">
        <v>19</v>
      </c>
      <c r="C4902" t="s">
        <v>23490</v>
      </c>
      <c r="D4902" t="str">
        <f>HYPERLINK("https://rhld.insurance.arkansas.gov/NPILookup?Npi=1548613029","1548613029")</f>
        <v>1548613029</v>
      </c>
      <c r="E4902" t="s">
        <v>11038</v>
      </c>
    </row>
    <row r="4903" spans="1:5" x14ac:dyDescent="0.25">
      <c r="A4903" t="s">
        <v>1</v>
      </c>
      <c r="B4903" t="s">
        <v>19</v>
      </c>
      <c r="C4903" t="s">
        <v>23490</v>
      </c>
      <c r="D4903" t="str">
        <f>HYPERLINK("https://rhld.insurance.arkansas.gov/NPILookup?Npi=1548614340","1548614340")</f>
        <v>1548614340</v>
      </c>
      <c r="E4903" t="s">
        <v>12856</v>
      </c>
    </row>
    <row r="4904" spans="1:5" x14ac:dyDescent="0.25">
      <c r="A4904" t="s">
        <v>1</v>
      </c>
      <c r="B4904" t="s">
        <v>19</v>
      </c>
      <c r="C4904" t="s">
        <v>23490</v>
      </c>
      <c r="D4904" t="str">
        <f>HYPERLINK("https://rhld.insurance.arkansas.gov/NPILookup?Npi=1548626310","1548626310")</f>
        <v>1548626310</v>
      </c>
      <c r="E4904" t="s">
        <v>15259</v>
      </c>
    </row>
    <row r="4905" spans="1:5" x14ac:dyDescent="0.25">
      <c r="A4905" t="s">
        <v>1</v>
      </c>
      <c r="B4905" t="s">
        <v>19</v>
      </c>
      <c r="C4905" t="s">
        <v>23490</v>
      </c>
      <c r="D4905" t="str">
        <f>HYPERLINK("https://rhld.insurance.arkansas.gov/NPILookup?Npi=1548629199","1548629199")</f>
        <v>1548629199</v>
      </c>
      <c r="E4905" t="s">
        <v>11039</v>
      </c>
    </row>
    <row r="4906" spans="1:5" x14ac:dyDescent="0.25">
      <c r="A4906" t="s">
        <v>1</v>
      </c>
      <c r="B4906" t="s">
        <v>19</v>
      </c>
      <c r="C4906" t="s">
        <v>23490</v>
      </c>
      <c r="D4906" t="str">
        <f>HYPERLINK("https://rhld.insurance.arkansas.gov/NPILookup?Npi=1548657406","1548657406")</f>
        <v>1548657406</v>
      </c>
      <c r="E4906" t="s">
        <v>13590</v>
      </c>
    </row>
    <row r="4907" spans="1:5" x14ac:dyDescent="0.25">
      <c r="A4907" t="s">
        <v>1</v>
      </c>
      <c r="B4907" t="s">
        <v>19</v>
      </c>
      <c r="C4907" t="s">
        <v>23490</v>
      </c>
      <c r="D4907" t="str">
        <f>HYPERLINK("https://rhld.insurance.arkansas.gov/NPILookup?Npi=1548665607","1548665607")</f>
        <v>1548665607</v>
      </c>
      <c r="E4907" t="s">
        <v>15260</v>
      </c>
    </row>
    <row r="4908" spans="1:5" x14ac:dyDescent="0.25">
      <c r="A4908" t="s">
        <v>1</v>
      </c>
      <c r="B4908" t="s">
        <v>19</v>
      </c>
      <c r="C4908" t="s">
        <v>23490</v>
      </c>
      <c r="D4908" t="str">
        <f>HYPERLINK("https://rhld.insurance.arkansas.gov/NPILookup?Npi=1548669823","1548669823")</f>
        <v>1548669823</v>
      </c>
      <c r="E4908" t="s">
        <v>8731</v>
      </c>
    </row>
    <row r="4909" spans="1:5" x14ac:dyDescent="0.25">
      <c r="A4909" t="s">
        <v>1</v>
      </c>
      <c r="B4909" t="s">
        <v>19</v>
      </c>
      <c r="C4909" t="s">
        <v>23490</v>
      </c>
      <c r="D4909" t="str">
        <f>HYPERLINK("https://rhld.insurance.arkansas.gov/NPILookup?Npi=1548671415","1548671415")</f>
        <v>1548671415</v>
      </c>
      <c r="E4909" t="s">
        <v>11040</v>
      </c>
    </row>
    <row r="4910" spans="1:5" x14ac:dyDescent="0.25">
      <c r="A4910" t="s">
        <v>1</v>
      </c>
      <c r="B4910" t="s">
        <v>19</v>
      </c>
      <c r="C4910" t="s">
        <v>23490</v>
      </c>
      <c r="D4910" t="str">
        <f>HYPERLINK("https://rhld.insurance.arkansas.gov/NPILookup?Npi=1548672413","1548672413")</f>
        <v>1548672413</v>
      </c>
      <c r="E4910" t="s">
        <v>19819</v>
      </c>
    </row>
    <row r="4911" spans="1:5" x14ac:dyDescent="0.25">
      <c r="A4911" t="s">
        <v>1</v>
      </c>
      <c r="B4911" t="s">
        <v>19</v>
      </c>
      <c r="C4911" t="s">
        <v>23490</v>
      </c>
      <c r="D4911" t="str">
        <f>HYPERLINK("https://rhld.insurance.arkansas.gov/NPILookup?Npi=1548675028","1548675028")</f>
        <v>1548675028</v>
      </c>
      <c r="E4911" t="s">
        <v>11041</v>
      </c>
    </row>
    <row r="4912" spans="1:5" x14ac:dyDescent="0.25">
      <c r="A4912" t="s">
        <v>1</v>
      </c>
      <c r="B4912" t="s">
        <v>19</v>
      </c>
      <c r="C4912" t="s">
        <v>23490</v>
      </c>
      <c r="D4912" t="str">
        <f>HYPERLINK("https://rhld.insurance.arkansas.gov/NPILookup?Npi=1548681430","1548681430")</f>
        <v>1548681430</v>
      </c>
      <c r="E4912" t="s">
        <v>8732</v>
      </c>
    </row>
    <row r="4913" spans="1:5" x14ac:dyDescent="0.25">
      <c r="A4913" t="s">
        <v>1</v>
      </c>
      <c r="B4913" t="s">
        <v>19</v>
      </c>
      <c r="C4913" t="s">
        <v>23490</v>
      </c>
      <c r="D4913" t="str">
        <f>HYPERLINK("https://rhld.insurance.arkansas.gov/NPILookup?Npi=1548683790","1548683790")</f>
        <v>1548683790</v>
      </c>
      <c r="E4913" t="s">
        <v>15261</v>
      </c>
    </row>
    <row r="4914" spans="1:5" x14ac:dyDescent="0.25">
      <c r="A4914" t="s">
        <v>1</v>
      </c>
      <c r="B4914" t="s">
        <v>19</v>
      </c>
      <c r="C4914" t="s">
        <v>23490</v>
      </c>
      <c r="D4914" t="str">
        <f>HYPERLINK("https://rhld.insurance.arkansas.gov/NPILookup?Npi=1548704604","1548704604")</f>
        <v>1548704604</v>
      </c>
      <c r="E4914" t="s">
        <v>13591</v>
      </c>
    </row>
    <row r="4915" spans="1:5" x14ac:dyDescent="0.25">
      <c r="A4915" t="s">
        <v>1</v>
      </c>
      <c r="B4915" t="s">
        <v>19</v>
      </c>
      <c r="C4915" t="s">
        <v>23490</v>
      </c>
      <c r="D4915" t="str">
        <f>HYPERLINK("https://rhld.insurance.arkansas.gov/NPILookup?Npi=1548709256","1548709256")</f>
        <v>1548709256</v>
      </c>
      <c r="E4915" t="s">
        <v>16981</v>
      </c>
    </row>
    <row r="4916" spans="1:5" x14ac:dyDescent="0.25">
      <c r="A4916" t="s">
        <v>1</v>
      </c>
      <c r="B4916" t="s">
        <v>19</v>
      </c>
      <c r="C4916" t="s">
        <v>23490</v>
      </c>
      <c r="D4916" t="str">
        <f>HYPERLINK("https://rhld.insurance.arkansas.gov/NPILookup?Npi=1548718125","1548718125")</f>
        <v>1548718125</v>
      </c>
      <c r="E4916" t="s">
        <v>15262</v>
      </c>
    </row>
    <row r="4917" spans="1:5" x14ac:dyDescent="0.25">
      <c r="A4917" t="s">
        <v>1</v>
      </c>
      <c r="B4917" t="s">
        <v>19</v>
      </c>
      <c r="C4917" t="s">
        <v>23490</v>
      </c>
      <c r="D4917" t="str">
        <f>HYPERLINK("https://rhld.insurance.arkansas.gov/NPILookup?Npi=1548727100","1548727100")</f>
        <v>1548727100</v>
      </c>
      <c r="E4917" t="s">
        <v>19820</v>
      </c>
    </row>
    <row r="4918" spans="1:5" x14ac:dyDescent="0.25">
      <c r="A4918" t="s">
        <v>1</v>
      </c>
      <c r="B4918" t="s">
        <v>19</v>
      </c>
      <c r="C4918" t="s">
        <v>23490</v>
      </c>
      <c r="D4918" t="str">
        <f>HYPERLINK("https://rhld.insurance.arkansas.gov/NPILookup?Npi=1548729262","1548729262")</f>
        <v>1548729262</v>
      </c>
      <c r="E4918" t="s">
        <v>3256</v>
      </c>
    </row>
    <row r="4919" spans="1:5" x14ac:dyDescent="0.25">
      <c r="A4919" t="s">
        <v>1</v>
      </c>
      <c r="B4919" t="s">
        <v>19</v>
      </c>
      <c r="C4919" t="s">
        <v>23490</v>
      </c>
      <c r="D4919" t="str">
        <f>HYPERLINK("https://rhld.insurance.arkansas.gov/NPILookup?Npi=1548733603","1548733603")</f>
        <v>1548733603</v>
      </c>
      <c r="E4919" t="s">
        <v>19821</v>
      </c>
    </row>
    <row r="4920" spans="1:5" x14ac:dyDescent="0.25">
      <c r="A4920" t="s">
        <v>1</v>
      </c>
      <c r="B4920" t="s">
        <v>19</v>
      </c>
      <c r="C4920" t="s">
        <v>23490</v>
      </c>
      <c r="D4920" t="str">
        <f>HYPERLINK("https://rhld.insurance.arkansas.gov/NPILookup?Npi=1548733678","1548733678")</f>
        <v>1548733678</v>
      </c>
      <c r="E4920" t="s">
        <v>16982</v>
      </c>
    </row>
    <row r="4921" spans="1:5" x14ac:dyDescent="0.25">
      <c r="A4921" t="s">
        <v>1</v>
      </c>
      <c r="B4921" t="s">
        <v>19</v>
      </c>
      <c r="C4921" t="s">
        <v>23490</v>
      </c>
      <c r="D4921" t="str">
        <f>HYPERLINK("https://rhld.insurance.arkansas.gov/NPILookup?Npi=1548741895","1548741895")</f>
        <v>1548741895</v>
      </c>
      <c r="E4921" t="s">
        <v>13592</v>
      </c>
    </row>
    <row r="4922" spans="1:5" x14ac:dyDescent="0.25">
      <c r="A4922" t="s">
        <v>1</v>
      </c>
      <c r="B4922" t="s">
        <v>19</v>
      </c>
      <c r="C4922" t="s">
        <v>23490</v>
      </c>
      <c r="D4922" t="str">
        <f>HYPERLINK("https://rhld.insurance.arkansas.gov/NPILookup?Npi=1548745334","1548745334")</f>
        <v>1548745334</v>
      </c>
      <c r="E4922" t="s">
        <v>13593</v>
      </c>
    </row>
    <row r="4923" spans="1:5" x14ac:dyDescent="0.25">
      <c r="A4923" t="s">
        <v>1</v>
      </c>
      <c r="B4923" t="s">
        <v>19</v>
      </c>
      <c r="C4923" t="s">
        <v>23490</v>
      </c>
      <c r="D4923" t="str">
        <f>HYPERLINK("https://rhld.insurance.arkansas.gov/NPILookup?Npi=1548749906","1548749906")</f>
        <v>1548749906</v>
      </c>
      <c r="E4923" t="s">
        <v>13594</v>
      </c>
    </row>
    <row r="4924" spans="1:5" x14ac:dyDescent="0.25">
      <c r="A4924" t="s">
        <v>1</v>
      </c>
      <c r="B4924" t="s">
        <v>19</v>
      </c>
      <c r="C4924" t="s">
        <v>23490</v>
      </c>
      <c r="D4924" t="str">
        <f>HYPERLINK("https://rhld.insurance.arkansas.gov/NPILookup?Npi=1548767130","1548767130")</f>
        <v>1548767130</v>
      </c>
      <c r="E4924" t="s">
        <v>21576</v>
      </c>
    </row>
    <row r="4925" spans="1:5" x14ac:dyDescent="0.25">
      <c r="A4925" t="s">
        <v>1</v>
      </c>
      <c r="B4925" t="s">
        <v>19</v>
      </c>
      <c r="C4925" t="s">
        <v>23490</v>
      </c>
      <c r="D4925" t="str">
        <f>HYPERLINK("https://rhld.insurance.arkansas.gov/NPILookup?Npi=1548770514","1548770514")</f>
        <v>1548770514</v>
      </c>
      <c r="E4925" t="s">
        <v>15263</v>
      </c>
    </row>
    <row r="4926" spans="1:5" x14ac:dyDescent="0.25">
      <c r="A4926" t="s">
        <v>1</v>
      </c>
      <c r="B4926" t="s">
        <v>19</v>
      </c>
      <c r="C4926" t="s">
        <v>23490</v>
      </c>
      <c r="D4926" t="str">
        <f>HYPERLINK("https://rhld.insurance.arkansas.gov/NPILookup?Npi=1548773179","1548773179")</f>
        <v>1548773179</v>
      </c>
      <c r="E4926" t="s">
        <v>12857</v>
      </c>
    </row>
    <row r="4927" spans="1:5" x14ac:dyDescent="0.25">
      <c r="A4927" t="s">
        <v>1</v>
      </c>
      <c r="B4927" t="s">
        <v>19</v>
      </c>
      <c r="C4927" t="s">
        <v>23490</v>
      </c>
      <c r="D4927" t="str">
        <f>HYPERLINK("https://rhld.insurance.arkansas.gov/NPILookup?Npi=1548789209","1548789209")</f>
        <v>1548789209</v>
      </c>
      <c r="E4927" t="s">
        <v>13595</v>
      </c>
    </row>
    <row r="4928" spans="1:5" x14ac:dyDescent="0.25">
      <c r="A4928" t="s">
        <v>1</v>
      </c>
      <c r="B4928" t="s">
        <v>19</v>
      </c>
      <c r="C4928" t="s">
        <v>23490</v>
      </c>
      <c r="D4928" t="str">
        <f>HYPERLINK("https://rhld.insurance.arkansas.gov/NPILookup?Npi=1548791510","1548791510")</f>
        <v>1548791510</v>
      </c>
      <c r="E4928" t="s">
        <v>9540</v>
      </c>
    </row>
    <row r="4929" spans="1:5" x14ac:dyDescent="0.25">
      <c r="A4929" t="s">
        <v>1</v>
      </c>
      <c r="B4929" t="s">
        <v>19</v>
      </c>
      <c r="C4929" t="s">
        <v>23490</v>
      </c>
      <c r="D4929" t="str">
        <f>HYPERLINK("https://rhld.insurance.arkansas.gov/NPILookup?Npi=1548792989","1548792989")</f>
        <v>1548792989</v>
      </c>
      <c r="E4929" t="s">
        <v>19822</v>
      </c>
    </row>
    <row r="4930" spans="1:5" x14ac:dyDescent="0.25">
      <c r="A4930" t="s">
        <v>1</v>
      </c>
      <c r="B4930" t="s">
        <v>19</v>
      </c>
      <c r="C4930" t="s">
        <v>23490</v>
      </c>
      <c r="D4930" t="str">
        <f>HYPERLINK("https://rhld.insurance.arkansas.gov/NPILookup?Npi=1548793011","1548793011")</f>
        <v>1548793011</v>
      </c>
      <c r="E4930" t="s">
        <v>12858</v>
      </c>
    </row>
    <row r="4931" spans="1:5" x14ac:dyDescent="0.25">
      <c r="A4931" t="s">
        <v>1</v>
      </c>
      <c r="B4931" t="s">
        <v>19</v>
      </c>
      <c r="C4931" t="s">
        <v>23490</v>
      </c>
      <c r="D4931" t="str">
        <f>HYPERLINK("https://rhld.insurance.arkansas.gov/NPILookup?Npi=1548820822","1548820822")</f>
        <v>1548820822</v>
      </c>
      <c r="E4931" t="s">
        <v>4253</v>
      </c>
    </row>
    <row r="4932" spans="1:5" x14ac:dyDescent="0.25">
      <c r="A4932" t="s">
        <v>1</v>
      </c>
      <c r="B4932" t="s">
        <v>19</v>
      </c>
      <c r="C4932" t="s">
        <v>23490</v>
      </c>
      <c r="D4932" t="str">
        <f>HYPERLINK("https://rhld.insurance.arkansas.gov/NPILookup?Npi=1548824428","1548824428")</f>
        <v>1548824428</v>
      </c>
      <c r="E4932" t="s">
        <v>15264</v>
      </c>
    </row>
    <row r="4933" spans="1:5" x14ac:dyDescent="0.25">
      <c r="A4933" t="s">
        <v>1</v>
      </c>
      <c r="B4933" t="s">
        <v>19</v>
      </c>
      <c r="C4933" t="s">
        <v>23490</v>
      </c>
      <c r="D4933" t="str">
        <f>HYPERLINK("https://rhld.insurance.arkansas.gov/NPILookup?Npi=1548831696","1548831696")</f>
        <v>1548831696</v>
      </c>
      <c r="E4933" t="s">
        <v>18804</v>
      </c>
    </row>
    <row r="4934" spans="1:5" x14ac:dyDescent="0.25">
      <c r="A4934" t="s">
        <v>1</v>
      </c>
      <c r="B4934" t="s">
        <v>19</v>
      </c>
      <c r="C4934" t="s">
        <v>23490</v>
      </c>
      <c r="D4934" t="str">
        <f>HYPERLINK("https://rhld.insurance.arkansas.gov/NPILookup?Npi=1548837826","1548837826")</f>
        <v>1548837826</v>
      </c>
      <c r="E4934" t="s">
        <v>18805</v>
      </c>
    </row>
    <row r="4935" spans="1:5" x14ac:dyDescent="0.25">
      <c r="A4935" t="s">
        <v>1</v>
      </c>
      <c r="B4935" t="s">
        <v>19</v>
      </c>
      <c r="C4935" t="s">
        <v>23490</v>
      </c>
      <c r="D4935" t="str">
        <f>HYPERLINK("https://rhld.insurance.arkansas.gov/NPILookup?Npi=1548847197","1548847197")</f>
        <v>1548847197</v>
      </c>
      <c r="E4935" t="s">
        <v>18806</v>
      </c>
    </row>
    <row r="4936" spans="1:5" x14ac:dyDescent="0.25">
      <c r="A4936" t="s">
        <v>1</v>
      </c>
      <c r="B4936" t="s">
        <v>19</v>
      </c>
      <c r="C4936" t="s">
        <v>8427</v>
      </c>
      <c r="D4936" t="str">
        <f>HYPERLINK("https://rhld.insurance.arkansas.gov/NPILookup?Npi=1548858749","1548858749")</f>
        <v>1548858749</v>
      </c>
      <c r="E4936" t="s">
        <v>22954</v>
      </c>
    </row>
    <row r="4937" spans="1:5" x14ac:dyDescent="0.25">
      <c r="A4937" t="s">
        <v>1</v>
      </c>
      <c r="B4937" t="s">
        <v>19</v>
      </c>
      <c r="C4937" t="s">
        <v>23490</v>
      </c>
      <c r="D4937" t="str">
        <f>HYPERLINK("https://rhld.insurance.arkansas.gov/NPILookup?Npi=1548869845","1548869845")</f>
        <v>1548869845</v>
      </c>
      <c r="E4937" t="s">
        <v>17436</v>
      </c>
    </row>
    <row r="4938" spans="1:5" x14ac:dyDescent="0.25">
      <c r="A4938" t="s">
        <v>1</v>
      </c>
      <c r="B4938" t="s">
        <v>19</v>
      </c>
      <c r="C4938" t="s">
        <v>23490</v>
      </c>
      <c r="D4938" t="str">
        <f>HYPERLINK("https://rhld.insurance.arkansas.gov/NPILookup?Npi=1548870892","1548870892")</f>
        <v>1548870892</v>
      </c>
      <c r="E4938" t="s">
        <v>18031</v>
      </c>
    </row>
    <row r="4939" spans="1:5" x14ac:dyDescent="0.25">
      <c r="A4939" t="s">
        <v>1</v>
      </c>
      <c r="B4939" t="s">
        <v>19</v>
      </c>
      <c r="C4939" t="s">
        <v>8427</v>
      </c>
      <c r="D4939" t="str">
        <f>HYPERLINK("https://rhld.insurance.arkansas.gov/NPILookup?Npi=1548871510","1548871510")</f>
        <v>1548871510</v>
      </c>
      <c r="E4939" t="s">
        <v>22955</v>
      </c>
    </row>
    <row r="4940" spans="1:5" x14ac:dyDescent="0.25">
      <c r="A4940" t="s">
        <v>1</v>
      </c>
      <c r="B4940" t="s">
        <v>19</v>
      </c>
      <c r="C4940" t="s">
        <v>23490</v>
      </c>
      <c r="D4940" t="str">
        <f>HYPERLINK("https://rhld.insurance.arkansas.gov/NPILookup?Npi=1548872302","1548872302")</f>
        <v>1548872302</v>
      </c>
      <c r="E4940" t="s">
        <v>18032</v>
      </c>
    </row>
    <row r="4941" spans="1:5" x14ac:dyDescent="0.25">
      <c r="A4941" t="s">
        <v>1</v>
      </c>
      <c r="B4941" t="s">
        <v>19</v>
      </c>
      <c r="C4941" t="s">
        <v>23490</v>
      </c>
      <c r="D4941" t="str">
        <f>HYPERLINK("https://rhld.insurance.arkansas.gov/NPILookup?Npi=1548895568","1548895568")</f>
        <v>1548895568</v>
      </c>
      <c r="E4941" t="s">
        <v>18807</v>
      </c>
    </row>
    <row r="4942" spans="1:5" x14ac:dyDescent="0.25">
      <c r="A4942" t="s">
        <v>1</v>
      </c>
      <c r="B4942" t="s">
        <v>19</v>
      </c>
      <c r="C4942" t="s">
        <v>23490</v>
      </c>
      <c r="D4942" t="str">
        <f>HYPERLINK("https://rhld.insurance.arkansas.gov/NPILookup?Npi=1548896962","1548896962")</f>
        <v>1548896962</v>
      </c>
      <c r="E4942" t="s">
        <v>18033</v>
      </c>
    </row>
    <row r="4943" spans="1:5" x14ac:dyDescent="0.25">
      <c r="A4943" t="s">
        <v>1</v>
      </c>
      <c r="B4943" t="s">
        <v>19</v>
      </c>
      <c r="C4943" t="s">
        <v>23490</v>
      </c>
      <c r="D4943" t="str">
        <f>HYPERLINK("https://rhld.insurance.arkansas.gov/NPILookup?Npi=1548899107","1548899107")</f>
        <v>1548899107</v>
      </c>
      <c r="E4943" t="s">
        <v>19823</v>
      </c>
    </row>
    <row r="4944" spans="1:5" x14ac:dyDescent="0.25">
      <c r="A4944" t="s">
        <v>1</v>
      </c>
      <c r="B4944" t="s">
        <v>19</v>
      </c>
      <c r="C4944" t="s">
        <v>23490</v>
      </c>
      <c r="D4944" t="str">
        <f>HYPERLINK("https://rhld.insurance.arkansas.gov/NPILookup?Npi=1548921497","1548921497")</f>
        <v>1548921497</v>
      </c>
      <c r="E4944" t="s">
        <v>19824</v>
      </c>
    </row>
    <row r="4945" spans="1:5" x14ac:dyDescent="0.25">
      <c r="A4945" t="s">
        <v>1</v>
      </c>
      <c r="B4945" t="s">
        <v>19</v>
      </c>
      <c r="C4945" t="s">
        <v>23490</v>
      </c>
      <c r="D4945" t="str">
        <f>HYPERLINK("https://rhld.insurance.arkansas.gov/NPILookup?Npi=1548927619","1548927619")</f>
        <v>1548927619</v>
      </c>
      <c r="E4945" t="s">
        <v>19825</v>
      </c>
    </row>
    <row r="4946" spans="1:5" x14ac:dyDescent="0.25">
      <c r="A4946" t="s">
        <v>1</v>
      </c>
      <c r="B4946" t="s">
        <v>19</v>
      </c>
      <c r="C4946" t="s">
        <v>23490</v>
      </c>
      <c r="D4946" t="str">
        <f>HYPERLINK("https://rhld.insurance.arkansas.gov/NPILookup?Npi=1548931132","1548931132")</f>
        <v>1548931132</v>
      </c>
      <c r="E4946" t="s">
        <v>18808</v>
      </c>
    </row>
    <row r="4947" spans="1:5" x14ac:dyDescent="0.25">
      <c r="A4947" t="s">
        <v>1</v>
      </c>
      <c r="B4947" t="s">
        <v>19</v>
      </c>
      <c r="C4947" t="s">
        <v>23490</v>
      </c>
      <c r="D4947" t="str">
        <f>HYPERLINK("https://rhld.insurance.arkansas.gov/NPILookup?Npi=1548995756","1548995756")</f>
        <v>1548995756</v>
      </c>
      <c r="E4947" t="s">
        <v>20969</v>
      </c>
    </row>
    <row r="4948" spans="1:5" x14ac:dyDescent="0.25">
      <c r="A4948" t="s">
        <v>1</v>
      </c>
      <c r="B4948" t="s">
        <v>19</v>
      </c>
      <c r="C4948" t="s">
        <v>23490</v>
      </c>
      <c r="D4948" t="str">
        <f>HYPERLINK("https://rhld.insurance.arkansas.gov/NPILookup?Npi=1558035121","1558035121")</f>
        <v>1558035121</v>
      </c>
      <c r="E4948" t="s">
        <v>18809</v>
      </c>
    </row>
    <row r="4949" spans="1:5" x14ac:dyDescent="0.25">
      <c r="A4949" t="s">
        <v>1</v>
      </c>
      <c r="B4949" t="s">
        <v>19</v>
      </c>
      <c r="C4949" t="s">
        <v>23490</v>
      </c>
      <c r="D4949" t="str">
        <f>HYPERLINK("https://rhld.insurance.arkansas.gov/NPILookup?Npi=1558039297","1558039297")</f>
        <v>1558039297</v>
      </c>
      <c r="E4949" t="s">
        <v>19826</v>
      </c>
    </row>
    <row r="4950" spans="1:5" x14ac:dyDescent="0.25">
      <c r="A4950" t="s">
        <v>1</v>
      </c>
      <c r="B4950" t="s">
        <v>19</v>
      </c>
      <c r="C4950" t="s">
        <v>23490</v>
      </c>
      <c r="D4950" t="str">
        <f>HYPERLINK("https://rhld.insurance.arkansas.gov/NPILookup?Npi=1558094631","1558094631")</f>
        <v>1558094631</v>
      </c>
      <c r="E4950" t="s">
        <v>20970</v>
      </c>
    </row>
    <row r="4951" spans="1:5" x14ac:dyDescent="0.25">
      <c r="A4951" t="s">
        <v>1</v>
      </c>
      <c r="B4951" t="s">
        <v>19</v>
      </c>
      <c r="C4951" t="s">
        <v>23490</v>
      </c>
      <c r="D4951" t="str">
        <f>HYPERLINK("https://rhld.insurance.arkansas.gov/NPILookup?Npi=1558304527","1558304527")</f>
        <v>1558304527</v>
      </c>
      <c r="E4951" t="s">
        <v>1945</v>
      </c>
    </row>
    <row r="4952" spans="1:5" x14ac:dyDescent="0.25">
      <c r="A4952" t="s">
        <v>1</v>
      </c>
      <c r="B4952" t="s">
        <v>19</v>
      </c>
      <c r="C4952" t="s">
        <v>23490</v>
      </c>
      <c r="D4952" t="str">
        <f>HYPERLINK("https://rhld.insurance.arkansas.gov/NPILookup?Npi=1558304659","1558304659")</f>
        <v>1558304659</v>
      </c>
      <c r="E4952" t="s">
        <v>1946</v>
      </c>
    </row>
    <row r="4953" spans="1:5" x14ac:dyDescent="0.25">
      <c r="A4953" t="s">
        <v>1</v>
      </c>
      <c r="B4953" t="s">
        <v>19</v>
      </c>
      <c r="C4953" t="s">
        <v>23490</v>
      </c>
      <c r="D4953" t="str">
        <f>HYPERLINK("https://rhld.insurance.arkansas.gov/NPILookup?Npi=1558305722","1558305722")</f>
        <v>1558305722</v>
      </c>
      <c r="E4953" t="s">
        <v>15265</v>
      </c>
    </row>
    <row r="4954" spans="1:5" x14ac:dyDescent="0.25">
      <c r="A4954" t="s">
        <v>1</v>
      </c>
      <c r="B4954" t="s">
        <v>19</v>
      </c>
      <c r="C4954" t="s">
        <v>23490</v>
      </c>
      <c r="D4954" t="str">
        <f>HYPERLINK("https://rhld.insurance.arkansas.gov/NPILookup?Npi=1558306019","1558306019")</f>
        <v>1558306019</v>
      </c>
      <c r="E4954" t="s">
        <v>11042</v>
      </c>
    </row>
    <row r="4955" spans="1:5" x14ac:dyDescent="0.25">
      <c r="A4955" t="s">
        <v>1</v>
      </c>
      <c r="B4955" t="s">
        <v>19</v>
      </c>
      <c r="C4955" t="s">
        <v>23490</v>
      </c>
      <c r="D4955" t="str">
        <f>HYPERLINK("https://rhld.insurance.arkansas.gov/NPILookup?Npi=1558310680","1558310680")</f>
        <v>1558310680</v>
      </c>
      <c r="E4955" t="s">
        <v>1947</v>
      </c>
    </row>
    <row r="4956" spans="1:5" x14ac:dyDescent="0.25">
      <c r="A4956" t="s">
        <v>1</v>
      </c>
      <c r="B4956" t="s">
        <v>19</v>
      </c>
      <c r="C4956" t="s">
        <v>23490</v>
      </c>
      <c r="D4956" t="str">
        <f>HYPERLINK("https://rhld.insurance.arkansas.gov/NPILookup?Npi=1558326454","1558326454")</f>
        <v>1558326454</v>
      </c>
      <c r="E4956" t="s">
        <v>1948</v>
      </c>
    </row>
    <row r="4957" spans="1:5" x14ac:dyDescent="0.25">
      <c r="A4957" t="s">
        <v>1</v>
      </c>
      <c r="B4957" t="s">
        <v>19</v>
      </c>
      <c r="C4957" t="s">
        <v>23490</v>
      </c>
      <c r="D4957" t="str">
        <f>HYPERLINK("https://rhld.insurance.arkansas.gov/NPILookup?Npi=1558330704","1558330704")</f>
        <v>1558330704</v>
      </c>
      <c r="E4957" t="s">
        <v>1949</v>
      </c>
    </row>
    <row r="4958" spans="1:5" x14ac:dyDescent="0.25">
      <c r="A4958" t="s">
        <v>1</v>
      </c>
      <c r="B4958" t="s">
        <v>19</v>
      </c>
      <c r="C4958" t="s">
        <v>23490</v>
      </c>
      <c r="D4958" t="str">
        <f>HYPERLINK("https://rhld.insurance.arkansas.gov/NPILookup?Npi=1558340844","1558340844")</f>
        <v>1558340844</v>
      </c>
      <c r="E4958" t="s">
        <v>8733</v>
      </c>
    </row>
    <row r="4959" spans="1:5" x14ac:dyDescent="0.25">
      <c r="A4959" t="s">
        <v>1</v>
      </c>
      <c r="B4959" t="s">
        <v>19</v>
      </c>
      <c r="C4959" t="s">
        <v>23490</v>
      </c>
      <c r="D4959" t="str">
        <f>HYPERLINK("https://rhld.insurance.arkansas.gov/NPILookup?Npi=1558359398","1558359398")</f>
        <v>1558359398</v>
      </c>
      <c r="E4959" t="s">
        <v>1950</v>
      </c>
    </row>
    <row r="4960" spans="1:5" x14ac:dyDescent="0.25">
      <c r="A4960" t="s">
        <v>1</v>
      </c>
      <c r="B4960" t="s">
        <v>19</v>
      </c>
      <c r="C4960" t="s">
        <v>23490</v>
      </c>
      <c r="D4960" t="str">
        <f>HYPERLINK("https://rhld.insurance.arkansas.gov/NPILookup?Npi=1558362194","1558362194")</f>
        <v>1558362194</v>
      </c>
      <c r="E4960" t="s">
        <v>1951</v>
      </c>
    </row>
    <row r="4961" spans="1:5" x14ac:dyDescent="0.25">
      <c r="A4961" t="s">
        <v>1</v>
      </c>
      <c r="B4961" t="s">
        <v>19</v>
      </c>
      <c r="C4961" t="s">
        <v>23490</v>
      </c>
      <c r="D4961" t="str">
        <f>HYPERLINK("https://rhld.insurance.arkansas.gov/NPILookup?Npi=1558363689","1558363689")</f>
        <v>1558363689</v>
      </c>
      <c r="E4961" t="s">
        <v>1952</v>
      </c>
    </row>
    <row r="4962" spans="1:5" x14ac:dyDescent="0.25">
      <c r="A4962" t="s">
        <v>1</v>
      </c>
      <c r="B4962" t="s">
        <v>19</v>
      </c>
      <c r="C4962" t="s">
        <v>23490</v>
      </c>
      <c r="D4962" t="str">
        <f>HYPERLINK("https://rhld.insurance.arkansas.gov/NPILookup?Npi=1558386920","1558386920")</f>
        <v>1558386920</v>
      </c>
      <c r="E4962" t="s">
        <v>15266</v>
      </c>
    </row>
    <row r="4963" spans="1:5" x14ac:dyDescent="0.25">
      <c r="A4963" t="s">
        <v>1</v>
      </c>
      <c r="B4963" t="s">
        <v>19</v>
      </c>
      <c r="C4963" t="s">
        <v>23490</v>
      </c>
      <c r="D4963" t="str">
        <f>HYPERLINK("https://rhld.insurance.arkansas.gov/NPILookup?Npi=1558389114","1558389114")</f>
        <v>1558389114</v>
      </c>
      <c r="E4963" t="s">
        <v>1953</v>
      </c>
    </row>
    <row r="4964" spans="1:5" x14ac:dyDescent="0.25">
      <c r="A4964" t="s">
        <v>1</v>
      </c>
      <c r="B4964" t="s">
        <v>19</v>
      </c>
      <c r="C4964" t="s">
        <v>23490</v>
      </c>
      <c r="D4964" t="str">
        <f>HYPERLINK("https://rhld.insurance.arkansas.gov/NPILookup?Npi=1558390021","1558390021")</f>
        <v>1558390021</v>
      </c>
      <c r="E4964" t="s">
        <v>1954</v>
      </c>
    </row>
    <row r="4965" spans="1:5" x14ac:dyDescent="0.25">
      <c r="A4965" t="s">
        <v>1</v>
      </c>
      <c r="B4965" t="s">
        <v>19</v>
      </c>
      <c r="C4965" t="s">
        <v>23490</v>
      </c>
      <c r="D4965" t="str">
        <f>HYPERLINK("https://rhld.insurance.arkansas.gov/NPILookup?Npi=1558393744","1558393744")</f>
        <v>1558393744</v>
      </c>
      <c r="E4965" t="s">
        <v>1955</v>
      </c>
    </row>
    <row r="4966" spans="1:5" x14ac:dyDescent="0.25">
      <c r="A4966" t="s">
        <v>1</v>
      </c>
      <c r="B4966" t="s">
        <v>19</v>
      </c>
      <c r="C4966" t="s">
        <v>23490</v>
      </c>
      <c r="D4966" t="str">
        <f>HYPERLINK("https://rhld.insurance.arkansas.gov/NPILookup?Npi=1558403519","1558403519")</f>
        <v>1558403519</v>
      </c>
      <c r="E4966" t="s">
        <v>15267</v>
      </c>
    </row>
    <row r="4967" spans="1:5" x14ac:dyDescent="0.25">
      <c r="A4967" t="s">
        <v>1</v>
      </c>
      <c r="B4967" t="s">
        <v>19</v>
      </c>
      <c r="C4967" t="s">
        <v>23490</v>
      </c>
      <c r="D4967" t="str">
        <f>HYPERLINK("https://rhld.insurance.arkansas.gov/NPILookup?Npi=1558412999","1558412999")</f>
        <v>1558412999</v>
      </c>
      <c r="E4967" t="s">
        <v>1956</v>
      </c>
    </row>
    <row r="4968" spans="1:5" x14ac:dyDescent="0.25">
      <c r="A4968" t="s">
        <v>1</v>
      </c>
      <c r="B4968" t="s">
        <v>19</v>
      </c>
      <c r="C4968" t="s">
        <v>23490</v>
      </c>
      <c r="D4968" t="str">
        <f>HYPERLINK("https://rhld.insurance.arkansas.gov/NPILookup?Npi=1558440180","1558440180")</f>
        <v>1558440180</v>
      </c>
      <c r="E4968" t="s">
        <v>1957</v>
      </c>
    </row>
    <row r="4969" spans="1:5" x14ac:dyDescent="0.25">
      <c r="A4969" t="s">
        <v>1</v>
      </c>
      <c r="B4969" t="s">
        <v>19</v>
      </c>
      <c r="C4969" t="s">
        <v>23490</v>
      </c>
      <c r="D4969" t="str">
        <f>HYPERLINK("https://rhld.insurance.arkansas.gov/NPILookup?Npi=1558470815","1558470815")</f>
        <v>1558470815</v>
      </c>
      <c r="E4969" t="s">
        <v>1722</v>
      </c>
    </row>
    <row r="4970" spans="1:5" x14ac:dyDescent="0.25">
      <c r="A4970" t="s">
        <v>1</v>
      </c>
      <c r="B4970" t="s">
        <v>19</v>
      </c>
      <c r="C4970" t="s">
        <v>23490</v>
      </c>
      <c r="D4970" t="str">
        <f>HYPERLINK("https://rhld.insurance.arkansas.gov/NPILookup?Npi=1558473058","1558473058")</f>
        <v>1558473058</v>
      </c>
      <c r="E4970" t="s">
        <v>1958</v>
      </c>
    </row>
    <row r="4971" spans="1:5" x14ac:dyDescent="0.25">
      <c r="A4971" t="s">
        <v>1</v>
      </c>
      <c r="B4971" t="s">
        <v>19</v>
      </c>
      <c r="C4971" t="s">
        <v>23490</v>
      </c>
      <c r="D4971" t="str">
        <f>HYPERLINK("https://rhld.insurance.arkansas.gov/NPILookup?Npi=1558473165","1558473165")</f>
        <v>1558473165</v>
      </c>
      <c r="E4971" t="s">
        <v>1959</v>
      </c>
    </row>
    <row r="4972" spans="1:5" x14ac:dyDescent="0.25">
      <c r="A4972" t="s">
        <v>1</v>
      </c>
      <c r="B4972" t="s">
        <v>19</v>
      </c>
      <c r="C4972" t="s">
        <v>23490</v>
      </c>
      <c r="D4972" t="str">
        <f>HYPERLINK("https://rhld.insurance.arkansas.gov/NPILookup?Npi=1558477455","1558477455")</f>
        <v>1558477455</v>
      </c>
      <c r="E4972" t="s">
        <v>1960</v>
      </c>
    </row>
    <row r="4973" spans="1:5" x14ac:dyDescent="0.25">
      <c r="A4973" t="s">
        <v>1</v>
      </c>
      <c r="B4973" t="s">
        <v>19</v>
      </c>
      <c r="C4973" t="s">
        <v>23490</v>
      </c>
      <c r="D4973" t="str">
        <f>HYPERLINK("https://rhld.insurance.arkansas.gov/NPILookup?Npi=1558485656","1558485656")</f>
        <v>1558485656</v>
      </c>
      <c r="E4973" t="s">
        <v>1961</v>
      </c>
    </row>
    <row r="4974" spans="1:5" x14ac:dyDescent="0.25">
      <c r="A4974" t="s">
        <v>1</v>
      </c>
      <c r="B4974" t="s">
        <v>19</v>
      </c>
      <c r="C4974" t="s">
        <v>23490</v>
      </c>
      <c r="D4974" t="str">
        <f>HYPERLINK("https://rhld.insurance.arkansas.gov/NPILookup?Npi=1558492306","1558492306")</f>
        <v>1558492306</v>
      </c>
      <c r="E4974" t="s">
        <v>11043</v>
      </c>
    </row>
    <row r="4975" spans="1:5" x14ac:dyDescent="0.25">
      <c r="A4975" t="s">
        <v>1</v>
      </c>
      <c r="B4975" t="s">
        <v>19</v>
      </c>
      <c r="C4975" t="s">
        <v>23490</v>
      </c>
      <c r="D4975" t="str">
        <f>HYPERLINK("https://rhld.insurance.arkansas.gov/NPILookup?Npi=1558511261","1558511261")</f>
        <v>1558511261</v>
      </c>
      <c r="E4975" t="s">
        <v>19827</v>
      </c>
    </row>
    <row r="4976" spans="1:5" x14ac:dyDescent="0.25">
      <c r="A4976" t="s">
        <v>1</v>
      </c>
      <c r="B4976" t="s">
        <v>19</v>
      </c>
      <c r="C4976" t="s">
        <v>23490</v>
      </c>
      <c r="D4976" t="str">
        <f>HYPERLINK("https://rhld.insurance.arkansas.gov/NPILookup?Npi=1558522193","1558522193")</f>
        <v>1558522193</v>
      </c>
      <c r="E4976" t="s">
        <v>15268</v>
      </c>
    </row>
    <row r="4977" spans="1:5" x14ac:dyDescent="0.25">
      <c r="A4977" t="s">
        <v>1</v>
      </c>
      <c r="B4977" t="s">
        <v>19</v>
      </c>
      <c r="C4977" t="s">
        <v>23490</v>
      </c>
      <c r="D4977" t="str">
        <f>HYPERLINK("https://rhld.insurance.arkansas.gov/NPILookup?Npi=1558529347","1558529347")</f>
        <v>1558529347</v>
      </c>
      <c r="E4977" t="s">
        <v>1962</v>
      </c>
    </row>
    <row r="4978" spans="1:5" x14ac:dyDescent="0.25">
      <c r="A4978" t="s">
        <v>1</v>
      </c>
      <c r="B4978" t="s">
        <v>19</v>
      </c>
      <c r="C4978" t="s">
        <v>23490</v>
      </c>
      <c r="D4978" t="str">
        <f>HYPERLINK("https://rhld.insurance.arkansas.gov/NPILookup?Npi=1558533760","1558533760")</f>
        <v>1558533760</v>
      </c>
      <c r="E4978" t="s">
        <v>13596</v>
      </c>
    </row>
    <row r="4979" spans="1:5" x14ac:dyDescent="0.25">
      <c r="A4979" t="s">
        <v>1</v>
      </c>
      <c r="B4979" t="s">
        <v>19</v>
      </c>
      <c r="C4979" t="s">
        <v>23490</v>
      </c>
      <c r="D4979" t="str">
        <f>HYPERLINK("https://rhld.insurance.arkansas.gov/NPILookup?Npi=1558544312","1558544312")</f>
        <v>1558544312</v>
      </c>
      <c r="E4979" t="s">
        <v>1963</v>
      </c>
    </row>
    <row r="4980" spans="1:5" x14ac:dyDescent="0.25">
      <c r="A4980" t="s">
        <v>1</v>
      </c>
      <c r="B4980" t="s">
        <v>19</v>
      </c>
      <c r="C4980" t="s">
        <v>23490</v>
      </c>
      <c r="D4980" t="str">
        <f>HYPERLINK("https://rhld.insurance.arkansas.gov/NPILookup?Npi=1558547919","1558547919")</f>
        <v>1558547919</v>
      </c>
      <c r="E4980" t="s">
        <v>4360</v>
      </c>
    </row>
    <row r="4981" spans="1:5" x14ac:dyDescent="0.25">
      <c r="A4981" t="s">
        <v>1</v>
      </c>
      <c r="B4981" t="s">
        <v>19</v>
      </c>
      <c r="C4981" t="s">
        <v>23490</v>
      </c>
      <c r="D4981" t="str">
        <f>HYPERLINK("https://rhld.insurance.arkansas.gov/NPILookup?Npi=1558555391","1558555391")</f>
        <v>1558555391</v>
      </c>
      <c r="E4981" t="s">
        <v>1964</v>
      </c>
    </row>
    <row r="4982" spans="1:5" x14ac:dyDescent="0.25">
      <c r="A4982" t="s">
        <v>1</v>
      </c>
      <c r="B4982" t="s">
        <v>19</v>
      </c>
      <c r="C4982" t="s">
        <v>23490</v>
      </c>
      <c r="D4982" t="str">
        <f>HYPERLINK("https://rhld.insurance.arkansas.gov/NPILookup?Npi=1558568253","1558568253")</f>
        <v>1558568253</v>
      </c>
      <c r="E4982" t="s">
        <v>18034</v>
      </c>
    </row>
    <row r="4983" spans="1:5" x14ac:dyDescent="0.25">
      <c r="A4983" t="s">
        <v>1</v>
      </c>
      <c r="B4983" t="s">
        <v>19</v>
      </c>
      <c r="C4983" t="s">
        <v>23490</v>
      </c>
      <c r="D4983" t="str">
        <f>HYPERLINK("https://rhld.insurance.arkansas.gov/NPILookup?Npi=1558608067","1558608067")</f>
        <v>1558608067</v>
      </c>
      <c r="E4983" t="s">
        <v>16983</v>
      </c>
    </row>
    <row r="4984" spans="1:5" x14ac:dyDescent="0.25">
      <c r="A4984" t="s">
        <v>1</v>
      </c>
      <c r="B4984" t="s">
        <v>19</v>
      </c>
      <c r="C4984" t="s">
        <v>23490</v>
      </c>
      <c r="D4984" t="str">
        <f>HYPERLINK("https://rhld.insurance.arkansas.gov/NPILookup?Npi=1558620856","1558620856")</f>
        <v>1558620856</v>
      </c>
      <c r="E4984" t="s">
        <v>1965</v>
      </c>
    </row>
    <row r="4985" spans="1:5" x14ac:dyDescent="0.25">
      <c r="A4985" t="s">
        <v>1</v>
      </c>
      <c r="B4985" t="s">
        <v>19</v>
      </c>
      <c r="C4985" t="s">
        <v>23490</v>
      </c>
      <c r="D4985" t="str">
        <f>HYPERLINK("https://rhld.insurance.arkansas.gov/NPILookup?Npi=1558633222","1558633222")</f>
        <v>1558633222</v>
      </c>
      <c r="E4985" t="s">
        <v>15270</v>
      </c>
    </row>
    <row r="4986" spans="1:5" x14ac:dyDescent="0.25">
      <c r="A4986" t="s">
        <v>1</v>
      </c>
      <c r="B4986" t="s">
        <v>19</v>
      </c>
      <c r="C4986" t="s">
        <v>23490</v>
      </c>
      <c r="D4986" t="str">
        <f>HYPERLINK("https://rhld.insurance.arkansas.gov/NPILookup?Npi=1558636704","1558636704")</f>
        <v>1558636704</v>
      </c>
      <c r="E4986" t="s">
        <v>1966</v>
      </c>
    </row>
    <row r="4987" spans="1:5" x14ac:dyDescent="0.25">
      <c r="A4987" t="s">
        <v>1</v>
      </c>
      <c r="B4987" t="s">
        <v>19</v>
      </c>
      <c r="C4987" t="s">
        <v>23490</v>
      </c>
      <c r="D4987" t="str">
        <f>HYPERLINK("https://rhld.insurance.arkansas.gov/NPILookup?Npi=1558637298","1558637298")</f>
        <v>1558637298</v>
      </c>
      <c r="E4987" t="s">
        <v>15271</v>
      </c>
    </row>
    <row r="4988" spans="1:5" x14ac:dyDescent="0.25">
      <c r="A4988" t="s">
        <v>1</v>
      </c>
      <c r="B4988" t="s">
        <v>19</v>
      </c>
      <c r="C4988" t="s">
        <v>23490</v>
      </c>
      <c r="D4988" t="str">
        <f>HYPERLINK("https://rhld.insurance.arkansas.gov/NPILookup?Npi=1558653576","1558653576")</f>
        <v>1558653576</v>
      </c>
      <c r="E4988" t="s">
        <v>11044</v>
      </c>
    </row>
    <row r="4989" spans="1:5" x14ac:dyDescent="0.25">
      <c r="A4989" t="s">
        <v>1</v>
      </c>
      <c r="B4989" t="s">
        <v>19</v>
      </c>
      <c r="C4989" t="s">
        <v>23490</v>
      </c>
      <c r="D4989" t="str">
        <f>HYPERLINK("https://rhld.insurance.arkansas.gov/NPILookup?Npi=1558655167","1558655167")</f>
        <v>1558655167</v>
      </c>
      <c r="E4989" t="s">
        <v>8734</v>
      </c>
    </row>
    <row r="4990" spans="1:5" x14ac:dyDescent="0.25">
      <c r="A4990" t="s">
        <v>1</v>
      </c>
      <c r="B4990" t="s">
        <v>19</v>
      </c>
      <c r="C4990" t="s">
        <v>23490</v>
      </c>
      <c r="D4990" t="str">
        <f>HYPERLINK("https://rhld.insurance.arkansas.gov/NPILookup?Npi=1558657635","1558657635")</f>
        <v>1558657635</v>
      </c>
      <c r="E4990" t="s">
        <v>1967</v>
      </c>
    </row>
    <row r="4991" spans="1:5" x14ac:dyDescent="0.25">
      <c r="A4991" t="s">
        <v>1</v>
      </c>
      <c r="B4991" t="s">
        <v>19</v>
      </c>
      <c r="C4991" t="s">
        <v>23490</v>
      </c>
      <c r="D4991" t="str">
        <f>HYPERLINK("https://rhld.insurance.arkansas.gov/NPILookup?Npi=1558657999","1558657999")</f>
        <v>1558657999</v>
      </c>
      <c r="E4991" t="s">
        <v>1968</v>
      </c>
    </row>
    <row r="4992" spans="1:5" x14ac:dyDescent="0.25">
      <c r="A4992" t="s">
        <v>1</v>
      </c>
      <c r="B4992" t="s">
        <v>19</v>
      </c>
      <c r="C4992" t="s">
        <v>23490</v>
      </c>
      <c r="D4992" t="str">
        <f>HYPERLINK("https://rhld.insurance.arkansas.gov/NPILookup?Npi=1558658302","1558658302")</f>
        <v>1558658302</v>
      </c>
      <c r="E4992" t="s">
        <v>15272</v>
      </c>
    </row>
    <row r="4993" spans="1:5" x14ac:dyDescent="0.25">
      <c r="A4993" t="s">
        <v>1</v>
      </c>
      <c r="B4993" t="s">
        <v>19</v>
      </c>
      <c r="C4993" t="s">
        <v>23490</v>
      </c>
      <c r="D4993" t="str">
        <f>HYPERLINK("https://rhld.insurance.arkansas.gov/NPILookup?Npi=1558662965","1558662965")</f>
        <v>1558662965</v>
      </c>
      <c r="E4993" t="s">
        <v>15273</v>
      </c>
    </row>
    <row r="4994" spans="1:5" x14ac:dyDescent="0.25">
      <c r="A4994" t="s">
        <v>1</v>
      </c>
      <c r="B4994" t="s">
        <v>19</v>
      </c>
      <c r="C4994" t="s">
        <v>23490</v>
      </c>
      <c r="D4994" t="str">
        <f>HYPERLINK("https://rhld.insurance.arkansas.gov/NPILookup?Npi=1558686105","1558686105")</f>
        <v>1558686105</v>
      </c>
      <c r="E4994" t="s">
        <v>1969</v>
      </c>
    </row>
    <row r="4995" spans="1:5" x14ac:dyDescent="0.25">
      <c r="A4995" t="s">
        <v>1</v>
      </c>
      <c r="B4995" t="s">
        <v>19</v>
      </c>
      <c r="C4995" t="s">
        <v>23490</v>
      </c>
      <c r="D4995" t="str">
        <f>HYPERLINK("https://rhld.insurance.arkansas.gov/NPILookup?Npi=1558686402","1558686402")</f>
        <v>1558686402</v>
      </c>
      <c r="E4995" t="s">
        <v>1970</v>
      </c>
    </row>
    <row r="4996" spans="1:5" x14ac:dyDescent="0.25">
      <c r="A4996" t="s">
        <v>1</v>
      </c>
      <c r="B4996" t="s">
        <v>19</v>
      </c>
      <c r="C4996" t="s">
        <v>23490</v>
      </c>
      <c r="D4996" t="str">
        <f>HYPERLINK("https://rhld.insurance.arkansas.gov/NPILookup?Npi=1558697540","1558697540")</f>
        <v>1558697540</v>
      </c>
      <c r="E4996" t="s">
        <v>15274</v>
      </c>
    </row>
    <row r="4997" spans="1:5" x14ac:dyDescent="0.25">
      <c r="A4997" t="s">
        <v>1</v>
      </c>
      <c r="B4997" t="s">
        <v>19</v>
      </c>
      <c r="C4997" t="s">
        <v>23490</v>
      </c>
      <c r="D4997" t="str">
        <f>HYPERLINK("https://rhld.insurance.arkansas.gov/NPILookup?Npi=1558710608","1558710608")</f>
        <v>1558710608</v>
      </c>
      <c r="E4997" t="s">
        <v>11045</v>
      </c>
    </row>
    <row r="4998" spans="1:5" x14ac:dyDescent="0.25">
      <c r="A4998" t="s">
        <v>1</v>
      </c>
      <c r="B4998" t="s">
        <v>19</v>
      </c>
      <c r="C4998" t="s">
        <v>23490</v>
      </c>
      <c r="D4998" t="str">
        <f>HYPERLINK("https://rhld.insurance.arkansas.gov/NPILookup?Npi=1558715987","1558715987")</f>
        <v>1558715987</v>
      </c>
      <c r="E4998" t="s">
        <v>11046</v>
      </c>
    </row>
    <row r="4999" spans="1:5" x14ac:dyDescent="0.25">
      <c r="A4999" t="s">
        <v>1</v>
      </c>
      <c r="B4999" t="s">
        <v>19</v>
      </c>
      <c r="C4999" t="s">
        <v>23490</v>
      </c>
      <c r="D4999" t="str">
        <f>HYPERLINK("https://rhld.insurance.arkansas.gov/NPILookup?Npi=1558716738","1558716738")</f>
        <v>1558716738</v>
      </c>
      <c r="E4999" t="s">
        <v>13597</v>
      </c>
    </row>
    <row r="5000" spans="1:5" x14ac:dyDescent="0.25">
      <c r="A5000" t="s">
        <v>1</v>
      </c>
      <c r="B5000" t="s">
        <v>19</v>
      </c>
      <c r="C5000" t="s">
        <v>23490</v>
      </c>
      <c r="D5000" t="str">
        <f>HYPERLINK("https://rhld.insurance.arkansas.gov/NPILookup?Npi=1558744128","1558744128")</f>
        <v>1558744128</v>
      </c>
      <c r="E5000" t="s">
        <v>13598</v>
      </c>
    </row>
    <row r="5001" spans="1:5" x14ac:dyDescent="0.25">
      <c r="A5001" t="s">
        <v>1</v>
      </c>
      <c r="B5001" t="s">
        <v>19</v>
      </c>
      <c r="C5001" t="s">
        <v>23490</v>
      </c>
      <c r="D5001" t="str">
        <f>HYPERLINK("https://rhld.insurance.arkansas.gov/NPILookup?Npi=1558744391","1558744391")</f>
        <v>1558744391</v>
      </c>
      <c r="E5001" t="s">
        <v>21577</v>
      </c>
    </row>
    <row r="5002" spans="1:5" x14ac:dyDescent="0.25">
      <c r="A5002" t="s">
        <v>1</v>
      </c>
      <c r="B5002" t="s">
        <v>19</v>
      </c>
      <c r="C5002" t="s">
        <v>23490</v>
      </c>
      <c r="D5002" t="str">
        <f>HYPERLINK("https://rhld.insurance.arkansas.gov/NPILookup?Npi=1558748657","1558748657")</f>
        <v>1558748657</v>
      </c>
      <c r="E5002" t="s">
        <v>8735</v>
      </c>
    </row>
    <row r="5003" spans="1:5" x14ac:dyDescent="0.25">
      <c r="A5003" t="s">
        <v>1</v>
      </c>
      <c r="B5003" t="s">
        <v>19</v>
      </c>
      <c r="C5003" t="s">
        <v>23490</v>
      </c>
      <c r="D5003" t="str">
        <f>HYPERLINK("https://rhld.insurance.arkansas.gov/NPILookup?Npi=1558752535","1558752535")</f>
        <v>1558752535</v>
      </c>
      <c r="E5003" t="s">
        <v>1971</v>
      </c>
    </row>
    <row r="5004" spans="1:5" x14ac:dyDescent="0.25">
      <c r="A5004" t="s">
        <v>1</v>
      </c>
      <c r="B5004" t="s">
        <v>19</v>
      </c>
      <c r="C5004" t="s">
        <v>23490</v>
      </c>
      <c r="D5004" t="str">
        <f>HYPERLINK("https://rhld.insurance.arkansas.gov/NPILookup?Npi=1558758730","1558758730")</f>
        <v>1558758730</v>
      </c>
      <c r="E5004" t="s">
        <v>13599</v>
      </c>
    </row>
    <row r="5005" spans="1:5" x14ac:dyDescent="0.25">
      <c r="A5005" t="s">
        <v>1</v>
      </c>
      <c r="B5005" t="s">
        <v>19</v>
      </c>
      <c r="C5005" t="s">
        <v>23490</v>
      </c>
      <c r="D5005" t="str">
        <f>HYPERLINK("https://rhld.insurance.arkansas.gov/NPILookup?Npi=1558761148","1558761148")</f>
        <v>1558761148</v>
      </c>
      <c r="E5005" t="s">
        <v>12859</v>
      </c>
    </row>
    <row r="5006" spans="1:5" x14ac:dyDescent="0.25">
      <c r="A5006" t="s">
        <v>1</v>
      </c>
      <c r="B5006" t="s">
        <v>19</v>
      </c>
      <c r="C5006" t="s">
        <v>23490</v>
      </c>
      <c r="D5006" t="str">
        <f>HYPERLINK("https://rhld.insurance.arkansas.gov/NPILookup?Npi=1558761668","1558761668")</f>
        <v>1558761668</v>
      </c>
      <c r="E5006" t="s">
        <v>15275</v>
      </c>
    </row>
    <row r="5007" spans="1:5" x14ac:dyDescent="0.25">
      <c r="A5007" t="s">
        <v>1</v>
      </c>
      <c r="B5007" t="s">
        <v>19</v>
      </c>
      <c r="C5007" t="s">
        <v>23490</v>
      </c>
      <c r="D5007" t="str">
        <f>HYPERLINK("https://rhld.insurance.arkansas.gov/NPILookup?Npi=1558767178","1558767178")</f>
        <v>1558767178</v>
      </c>
      <c r="E5007" t="s">
        <v>11048</v>
      </c>
    </row>
    <row r="5008" spans="1:5" x14ac:dyDescent="0.25">
      <c r="A5008" t="s">
        <v>1</v>
      </c>
      <c r="B5008" t="s">
        <v>19</v>
      </c>
      <c r="C5008" t="s">
        <v>23490</v>
      </c>
      <c r="D5008" t="str">
        <f>HYPERLINK("https://rhld.insurance.arkansas.gov/NPILookup?Npi=1558775023","1558775023")</f>
        <v>1558775023</v>
      </c>
      <c r="E5008" t="s">
        <v>1972</v>
      </c>
    </row>
    <row r="5009" spans="1:5" x14ac:dyDescent="0.25">
      <c r="A5009" t="s">
        <v>1</v>
      </c>
      <c r="B5009" t="s">
        <v>19</v>
      </c>
      <c r="C5009" t="s">
        <v>23490</v>
      </c>
      <c r="D5009" t="str">
        <f>HYPERLINK("https://rhld.insurance.arkansas.gov/NPILookup?Npi=1558776393","1558776393")</f>
        <v>1558776393</v>
      </c>
      <c r="E5009" t="s">
        <v>1973</v>
      </c>
    </row>
    <row r="5010" spans="1:5" x14ac:dyDescent="0.25">
      <c r="A5010" t="s">
        <v>1</v>
      </c>
      <c r="B5010" t="s">
        <v>19</v>
      </c>
      <c r="C5010" t="s">
        <v>23490</v>
      </c>
      <c r="D5010" t="str">
        <f>HYPERLINK("https://rhld.insurance.arkansas.gov/NPILookup?Npi=1558779710","1558779710")</f>
        <v>1558779710</v>
      </c>
      <c r="E5010" t="s">
        <v>1974</v>
      </c>
    </row>
    <row r="5011" spans="1:5" x14ac:dyDescent="0.25">
      <c r="A5011" t="s">
        <v>1</v>
      </c>
      <c r="B5011" t="s">
        <v>19</v>
      </c>
      <c r="C5011" t="s">
        <v>23490</v>
      </c>
      <c r="D5011" t="str">
        <f>HYPERLINK("https://rhld.insurance.arkansas.gov/NPILookup?Npi=1558781740","1558781740")</f>
        <v>1558781740</v>
      </c>
      <c r="E5011" t="s">
        <v>13005</v>
      </c>
    </row>
    <row r="5012" spans="1:5" x14ac:dyDescent="0.25">
      <c r="A5012" t="s">
        <v>1</v>
      </c>
      <c r="B5012" t="s">
        <v>19</v>
      </c>
      <c r="C5012" t="s">
        <v>23490</v>
      </c>
      <c r="D5012" t="str">
        <f>HYPERLINK("https://rhld.insurance.arkansas.gov/NPILookup?Npi=1558784728","1558784728")</f>
        <v>1558784728</v>
      </c>
      <c r="E5012" t="s">
        <v>1975</v>
      </c>
    </row>
    <row r="5013" spans="1:5" x14ac:dyDescent="0.25">
      <c r="A5013" t="s">
        <v>1</v>
      </c>
      <c r="B5013" t="s">
        <v>19</v>
      </c>
      <c r="C5013" t="s">
        <v>23490</v>
      </c>
      <c r="D5013" t="str">
        <f>HYPERLINK("https://rhld.insurance.arkansas.gov/NPILookup?Npi=1558809475","1558809475")</f>
        <v>1558809475</v>
      </c>
      <c r="E5013" t="s">
        <v>11049</v>
      </c>
    </row>
    <row r="5014" spans="1:5" x14ac:dyDescent="0.25">
      <c r="A5014" t="s">
        <v>1</v>
      </c>
      <c r="B5014" t="s">
        <v>19</v>
      </c>
      <c r="C5014" t="s">
        <v>23490</v>
      </c>
      <c r="D5014" t="str">
        <f>HYPERLINK("https://rhld.insurance.arkansas.gov/NPILookup?Npi=1558811935","1558811935")</f>
        <v>1558811935</v>
      </c>
      <c r="E5014" t="s">
        <v>11050</v>
      </c>
    </row>
    <row r="5015" spans="1:5" x14ac:dyDescent="0.25">
      <c r="A5015" t="s">
        <v>1</v>
      </c>
      <c r="B5015" t="s">
        <v>19</v>
      </c>
      <c r="C5015" t="s">
        <v>23490</v>
      </c>
      <c r="D5015" t="str">
        <f>HYPERLINK("https://rhld.insurance.arkansas.gov/NPILookup?Npi=1558812842","1558812842")</f>
        <v>1558812842</v>
      </c>
      <c r="E5015" t="s">
        <v>6840</v>
      </c>
    </row>
    <row r="5016" spans="1:5" x14ac:dyDescent="0.25">
      <c r="A5016" t="s">
        <v>1</v>
      </c>
      <c r="B5016" t="s">
        <v>19</v>
      </c>
      <c r="C5016" t="s">
        <v>23490</v>
      </c>
      <c r="D5016" t="str">
        <f>HYPERLINK("https://rhld.insurance.arkansas.gov/NPILookup?Npi=1558813352","1558813352")</f>
        <v>1558813352</v>
      </c>
      <c r="E5016" t="s">
        <v>11051</v>
      </c>
    </row>
    <row r="5017" spans="1:5" x14ac:dyDescent="0.25">
      <c r="A5017" t="s">
        <v>1</v>
      </c>
      <c r="B5017" t="s">
        <v>19</v>
      </c>
      <c r="C5017" t="s">
        <v>23490</v>
      </c>
      <c r="D5017" t="str">
        <f>HYPERLINK("https://rhld.insurance.arkansas.gov/NPILookup?Npi=1558820688","1558820688")</f>
        <v>1558820688</v>
      </c>
      <c r="E5017" t="s">
        <v>13600</v>
      </c>
    </row>
    <row r="5018" spans="1:5" x14ac:dyDescent="0.25">
      <c r="A5018" t="s">
        <v>1</v>
      </c>
      <c r="B5018" t="s">
        <v>19</v>
      </c>
      <c r="C5018" t="s">
        <v>23490</v>
      </c>
      <c r="D5018" t="str">
        <f>HYPERLINK("https://rhld.insurance.arkansas.gov/NPILookup?Npi=1558822791","1558822791")</f>
        <v>1558822791</v>
      </c>
      <c r="E5018" t="s">
        <v>15276</v>
      </c>
    </row>
    <row r="5019" spans="1:5" x14ac:dyDescent="0.25">
      <c r="A5019" t="s">
        <v>1</v>
      </c>
      <c r="B5019" t="s">
        <v>19</v>
      </c>
      <c r="C5019" t="s">
        <v>23490</v>
      </c>
      <c r="D5019" t="str">
        <f>HYPERLINK("https://rhld.insurance.arkansas.gov/NPILookup?Npi=1558831644","1558831644")</f>
        <v>1558831644</v>
      </c>
      <c r="E5019" t="s">
        <v>13601</v>
      </c>
    </row>
    <row r="5020" spans="1:5" x14ac:dyDescent="0.25">
      <c r="A5020" t="s">
        <v>1</v>
      </c>
      <c r="B5020" t="s">
        <v>19</v>
      </c>
      <c r="C5020" t="s">
        <v>23490</v>
      </c>
      <c r="D5020" t="str">
        <f>HYPERLINK("https://rhld.insurance.arkansas.gov/NPILookup?Npi=1558856807","1558856807")</f>
        <v>1558856807</v>
      </c>
      <c r="E5020" t="s">
        <v>19828</v>
      </c>
    </row>
    <row r="5021" spans="1:5" x14ac:dyDescent="0.25">
      <c r="A5021" t="s">
        <v>1</v>
      </c>
      <c r="B5021" t="s">
        <v>19</v>
      </c>
      <c r="C5021" t="s">
        <v>23490</v>
      </c>
      <c r="D5021" t="str">
        <f>HYPERLINK("https://rhld.insurance.arkansas.gov/NPILookup?Npi=1558865014","1558865014")</f>
        <v>1558865014</v>
      </c>
      <c r="E5021" t="s">
        <v>19829</v>
      </c>
    </row>
    <row r="5022" spans="1:5" x14ac:dyDescent="0.25">
      <c r="A5022" t="s">
        <v>1</v>
      </c>
      <c r="B5022" t="s">
        <v>19</v>
      </c>
      <c r="C5022" t="s">
        <v>23490</v>
      </c>
      <c r="D5022" t="str">
        <f>HYPERLINK("https://rhld.insurance.arkansas.gov/NPILookup?Npi=1558871814","1558871814")</f>
        <v>1558871814</v>
      </c>
      <c r="E5022" t="s">
        <v>20971</v>
      </c>
    </row>
    <row r="5023" spans="1:5" x14ac:dyDescent="0.25">
      <c r="A5023" t="s">
        <v>1</v>
      </c>
      <c r="B5023" t="s">
        <v>19</v>
      </c>
      <c r="C5023" t="s">
        <v>23490</v>
      </c>
      <c r="D5023" t="str">
        <f>HYPERLINK("https://rhld.insurance.arkansas.gov/NPILookup?Npi=1558882639","1558882639")</f>
        <v>1558882639</v>
      </c>
      <c r="E5023" t="s">
        <v>11052</v>
      </c>
    </row>
    <row r="5024" spans="1:5" x14ac:dyDescent="0.25">
      <c r="A5024" t="s">
        <v>1</v>
      </c>
      <c r="B5024" t="s">
        <v>19</v>
      </c>
      <c r="C5024" t="s">
        <v>23490</v>
      </c>
      <c r="D5024" t="str">
        <f>HYPERLINK("https://rhld.insurance.arkansas.gov/NPILookup?Npi=1558893156","1558893156")</f>
        <v>1558893156</v>
      </c>
      <c r="E5024" t="s">
        <v>15277</v>
      </c>
    </row>
    <row r="5025" spans="1:5" x14ac:dyDescent="0.25">
      <c r="A5025" t="s">
        <v>1</v>
      </c>
      <c r="B5025" t="s">
        <v>19</v>
      </c>
      <c r="C5025" t="s">
        <v>23490</v>
      </c>
      <c r="D5025" t="str">
        <f>HYPERLINK("https://rhld.insurance.arkansas.gov/NPILookup?Npi=1558894295","1558894295")</f>
        <v>1558894295</v>
      </c>
      <c r="E5025" t="s">
        <v>11053</v>
      </c>
    </row>
    <row r="5026" spans="1:5" x14ac:dyDescent="0.25">
      <c r="A5026" t="s">
        <v>1</v>
      </c>
      <c r="B5026" t="s">
        <v>19</v>
      </c>
      <c r="C5026" t="s">
        <v>23490</v>
      </c>
      <c r="D5026" t="str">
        <f>HYPERLINK("https://rhld.insurance.arkansas.gov/NPILookup?Npi=1558897967","1558897967")</f>
        <v>1558897967</v>
      </c>
      <c r="E5026" t="s">
        <v>17437</v>
      </c>
    </row>
    <row r="5027" spans="1:5" x14ac:dyDescent="0.25">
      <c r="A5027" t="s">
        <v>1</v>
      </c>
      <c r="B5027" t="s">
        <v>19</v>
      </c>
      <c r="C5027" t="s">
        <v>23490</v>
      </c>
      <c r="D5027" t="str">
        <f>HYPERLINK("https://rhld.insurance.arkansas.gov/NPILookup?Npi=1558902577","1558902577")</f>
        <v>1558902577</v>
      </c>
      <c r="E5027" t="s">
        <v>20972</v>
      </c>
    </row>
    <row r="5028" spans="1:5" x14ac:dyDescent="0.25">
      <c r="A5028" t="s">
        <v>1</v>
      </c>
      <c r="B5028" t="s">
        <v>19</v>
      </c>
      <c r="C5028" t="s">
        <v>23490</v>
      </c>
      <c r="D5028" t="str">
        <f>HYPERLINK("https://rhld.insurance.arkansas.gov/NPILookup?Npi=1558919365","1558919365")</f>
        <v>1558919365</v>
      </c>
      <c r="E5028" t="s">
        <v>21578</v>
      </c>
    </row>
    <row r="5029" spans="1:5" x14ac:dyDescent="0.25">
      <c r="A5029" t="s">
        <v>1</v>
      </c>
      <c r="B5029" t="s">
        <v>19</v>
      </c>
      <c r="C5029" t="s">
        <v>23490</v>
      </c>
      <c r="D5029" t="str">
        <f>HYPERLINK("https://rhld.insurance.arkansas.gov/NPILookup?Npi=1558920355","1558920355")</f>
        <v>1558920355</v>
      </c>
      <c r="E5029" t="s">
        <v>19830</v>
      </c>
    </row>
    <row r="5030" spans="1:5" x14ac:dyDescent="0.25">
      <c r="A5030" t="s">
        <v>1</v>
      </c>
      <c r="B5030" t="s">
        <v>19</v>
      </c>
      <c r="C5030" t="s">
        <v>23490</v>
      </c>
      <c r="D5030" t="str">
        <f>HYPERLINK("https://rhld.insurance.arkansas.gov/NPILookup?Npi=1558942094","1558942094")</f>
        <v>1558942094</v>
      </c>
      <c r="E5030" t="s">
        <v>18035</v>
      </c>
    </row>
    <row r="5031" spans="1:5" x14ac:dyDescent="0.25">
      <c r="A5031" t="s">
        <v>1</v>
      </c>
      <c r="B5031" t="s">
        <v>19</v>
      </c>
      <c r="C5031" t="s">
        <v>23490</v>
      </c>
      <c r="D5031" t="str">
        <f>HYPERLINK("https://rhld.insurance.arkansas.gov/NPILookup?Npi=1558957787","1558957787")</f>
        <v>1558957787</v>
      </c>
      <c r="E5031" t="s">
        <v>18036</v>
      </c>
    </row>
    <row r="5032" spans="1:5" x14ac:dyDescent="0.25">
      <c r="A5032" t="s">
        <v>1</v>
      </c>
      <c r="B5032" t="s">
        <v>19</v>
      </c>
      <c r="C5032" t="s">
        <v>23490</v>
      </c>
      <c r="D5032" t="str">
        <f>HYPERLINK("https://rhld.insurance.arkansas.gov/NPILookup?Npi=1558957951","1558957951")</f>
        <v>1558957951</v>
      </c>
      <c r="E5032" t="s">
        <v>18037</v>
      </c>
    </row>
    <row r="5033" spans="1:5" x14ac:dyDescent="0.25">
      <c r="A5033" t="s">
        <v>1</v>
      </c>
      <c r="B5033" t="s">
        <v>19</v>
      </c>
      <c r="C5033" t="s">
        <v>23490</v>
      </c>
      <c r="D5033" t="str">
        <f>HYPERLINK("https://rhld.insurance.arkansas.gov/NPILookup?Npi=1558992149","1558992149")</f>
        <v>1558992149</v>
      </c>
      <c r="E5033" t="s">
        <v>17438</v>
      </c>
    </row>
    <row r="5034" spans="1:5" x14ac:dyDescent="0.25">
      <c r="A5034" t="s">
        <v>1</v>
      </c>
      <c r="B5034" t="s">
        <v>19</v>
      </c>
      <c r="C5034" t="s">
        <v>23490</v>
      </c>
      <c r="D5034" t="str">
        <f>HYPERLINK("https://rhld.insurance.arkansas.gov/NPILookup?Npi=1568000503","1568000503")</f>
        <v>1568000503</v>
      </c>
      <c r="E5034" t="s">
        <v>18038</v>
      </c>
    </row>
    <row r="5035" spans="1:5" x14ac:dyDescent="0.25">
      <c r="A5035" t="s">
        <v>1</v>
      </c>
      <c r="B5035" t="s">
        <v>19</v>
      </c>
      <c r="C5035" t="s">
        <v>23490</v>
      </c>
      <c r="D5035" t="str">
        <f>HYPERLINK("https://rhld.insurance.arkansas.gov/NPILookup?Npi=1568010072","1568010072")</f>
        <v>1568010072</v>
      </c>
      <c r="E5035" t="s">
        <v>17439</v>
      </c>
    </row>
    <row r="5036" spans="1:5" x14ac:dyDescent="0.25">
      <c r="A5036" t="s">
        <v>1</v>
      </c>
      <c r="B5036" t="s">
        <v>19</v>
      </c>
      <c r="C5036" t="s">
        <v>23490</v>
      </c>
      <c r="D5036" t="str">
        <f>HYPERLINK("https://rhld.insurance.arkansas.gov/NPILookup?Npi=1568026466","1568026466")</f>
        <v>1568026466</v>
      </c>
      <c r="E5036" t="s">
        <v>20973</v>
      </c>
    </row>
    <row r="5037" spans="1:5" x14ac:dyDescent="0.25">
      <c r="A5037" t="s">
        <v>1</v>
      </c>
      <c r="B5037" t="s">
        <v>19</v>
      </c>
      <c r="C5037" t="s">
        <v>23490</v>
      </c>
      <c r="D5037" t="str">
        <f>HYPERLINK("https://rhld.insurance.arkansas.gov/NPILookup?Npi=1568038206","1568038206")</f>
        <v>1568038206</v>
      </c>
      <c r="E5037" t="s">
        <v>18810</v>
      </c>
    </row>
    <row r="5038" spans="1:5" x14ac:dyDescent="0.25">
      <c r="A5038" t="s">
        <v>1</v>
      </c>
      <c r="B5038" t="s">
        <v>19</v>
      </c>
      <c r="C5038" t="s">
        <v>23490</v>
      </c>
      <c r="D5038" t="str">
        <f>HYPERLINK("https://rhld.insurance.arkansas.gov/NPILookup?Npi=1568054930","1568054930")</f>
        <v>1568054930</v>
      </c>
      <c r="E5038" t="s">
        <v>19831</v>
      </c>
    </row>
    <row r="5039" spans="1:5" x14ac:dyDescent="0.25">
      <c r="A5039" t="s">
        <v>1</v>
      </c>
      <c r="B5039" t="s">
        <v>19</v>
      </c>
      <c r="C5039" t="s">
        <v>23490</v>
      </c>
      <c r="D5039" t="str">
        <f>HYPERLINK("https://rhld.insurance.arkansas.gov/NPILookup?Npi=1568061828","1568061828")</f>
        <v>1568061828</v>
      </c>
      <c r="E5039" t="s">
        <v>19832</v>
      </c>
    </row>
    <row r="5040" spans="1:5" x14ac:dyDescent="0.25">
      <c r="A5040" t="s">
        <v>1</v>
      </c>
      <c r="B5040" t="s">
        <v>19</v>
      </c>
      <c r="C5040" t="s">
        <v>23490</v>
      </c>
      <c r="D5040" t="str">
        <f>HYPERLINK("https://rhld.insurance.arkansas.gov/NPILookup?Npi=1568070761","1568070761")</f>
        <v>1568070761</v>
      </c>
      <c r="E5040" t="s">
        <v>18039</v>
      </c>
    </row>
    <row r="5041" spans="1:5" x14ac:dyDescent="0.25">
      <c r="A5041" t="s">
        <v>1</v>
      </c>
      <c r="B5041" t="s">
        <v>19</v>
      </c>
      <c r="C5041" t="s">
        <v>23490</v>
      </c>
      <c r="D5041" t="str">
        <f>HYPERLINK("https://rhld.insurance.arkansas.gov/NPILookup?Npi=1568082006","1568082006")</f>
        <v>1568082006</v>
      </c>
      <c r="E5041" t="s">
        <v>18040</v>
      </c>
    </row>
    <row r="5042" spans="1:5" x14ac:dyDescent="0.25">
      <c r="A5042" t="s">
        <v>1</v>
      </c>
      <c r="B5042" t="s">
        <v>19</v>
      </c>
      <c r="C5042" t="s">
        <v>8427</v>
      </c>
      <c r="D5042" t="str">
        <f>HYPERLINK("https://rhld.insurance.arkansas.gov/NPILookup?Npi=1568089555","1568089555")</f>
        <v>1568089555</v>
      </c>
      <c r="E5042" t="s">
        <v>12327</v>
      </c>
    </row>
    <row r="5043" spans="1:5" x14ac:dyDescent="0.25">
      <c r="A5043" t="s">
        <v>1</v>
      </c>
      <c r="B5043" t="s">
        <v>19</v>
      </c>
      <c r="C5043" t="s">
        <v>8427</v>
      </c>
      <c r="D5043" t="str">
        <f>HYPERLINK("https://rhld.insurance.arkansas.gov/NPILookup?Npi=1568090959","1568090959")</f>
        <v>1568090959</v>
      </c>
      <c r="E5043" t="s">
        <v>22956</v>
      </c>
    </row>
    <row r="5044" spans="1:5" x14ac:dyDescent="0.25">
      <c r="A5044" t="s">
        <v>1</v>
      </c>
      <c r="B5044" t="s">
        <v>19</v>
      </c>
      <c r="C5044" t="s">
        <v>23490</v>
      </c>
      <c r="D5044" t="str">
        <f>HYPERLINK("https://rhld.insurance.arkansas.gov/NPILookup?Npi=1568406551","1568406551")</f>
        <v>1568406551</v>
      </c>
      <c r="E5044" t="s">
        <v>1976</v>
      </c>
    </row>
    <row r="5045" spans="1:5" x14ac:dyDescent="0.25">
      <c r="A5045" t="s">
        <v>1</v>
      </c>
      <c r="B5045" t="s">
        <v>19</v>
      </c>
      <c r="C5045" t="s">
        <v>23490</v>
      </c>
      <c r="D5045" t="str">
        <f>HYPERLINK("https://rhld.insurance.arkansas.gov/NPILookup?Npi=1568407088","1568407088")</f>
        <v>1568407088</v>
      </c>
      <c r="E5045" t="s">
        <v>1977</v>
      </c>
    </row>
    <row r="5046" spans="1:5" x14ac:dyDescent="0.25">
      <c r="A5046" t="s">
        <v>1</v>
      </c>
      <c r="B5046" t="s">
        <v>19</v>
      </c>
      <c r="C5046" t="s">
        <v>23490</v>
      </c>
      <c r="D5046" t="str">
        <f>HYPERLINK("https://rhld.insurance.arkansas.gov/NPILookup?Npi=1568407666","1568407666")</f>
        <v>1568407666</v>
      </c>
      <c r="E5046" t="s">
        <v>1978</v>
      </c>
    </row>
    <row r="5047" spans="1:5" x14ac:dyDescent="0.25">
      <c r="A5047" t="s">
        <v>1</v>
      </c>
      <c r="B5047" t="s">
        <v>19</v>
      </c>
      <c r="C5047" t="s">
        <v>23490</v>
      </c>
      <c r="D5047" t="str">
        <f>HYPERLINK("https://rhld.insurance.arkansas.gov/NPILookup?Npi=1568414415","1568414415")</f>
        <v>1568414415</v>
      </c>
      <c r="E5047" t="s">
        <v>1979</v>
      </c>
    </row>
    <row r="5048" spans="1:5" x14ac:dyDescent="0.25">
      <c r="A5048" t="s">
        <v>1</v>
      </c>
      <c r="B5048" t="s">
        <v>19</v>
      </c>
      <c r="C5048" t="s">
        <v>23490</v>
      </c>
      <c r="D5048" t="str">
        <f>HYPERLINK("https://rhld.insurance.arkansas.gov/NPILookup?Npi=1568414704","1568414704")</f>
        <v>1568414704</v>
      </c>
      <c r="E5048" t="s">
        <v>1980</v>
      </c>
    </row>
    <row r="5049" spans="1:5" x14ac:dyDescent="0.25">
      <c r="A5049" t="s">
        <v>1</v>
      </c>
      <c r="B5049" t="s">
        <v>19</v>
      </c>
      <c r="C5049" t="s">
        <v>23490</v>
      </c>
      <c r="D5049" t="str">
        <f>HYPERLINK("https://rhld.insurance.arkansas.gov/NPILookup?Npi=1568425510","1568425510")</f>
        <v>1568425510</v>
      </c>
      <c r="E5049" t="s">
        <v>1981</v>
      </c>
    </row>
    <row r="5050" spans="1:5" x14ac:dyDescent="0.25">
      <c r="A5050" t="s">
        <v>1</v>
      </c>
      <c r="B5050" t="s">
        <v>19</v>
      </c>
      <c r="C5050" t="s">
        <v>23490</v>
      </c>
      <c r="D5050" t="str">
        <f>HYPERLINK("https://rhld.insurance.arkansas.gov/NPILookup?Npi=1568434520","1568434520")</f>
        <v>1568434520</v>
      </c>
      <c r="E5050" t="s">
        <v>1982</v>
      </c>
    </row>
    <row r="5051" spans="1:5" x14ac:dyDescent="0.25">
      <c r="A5051" t="s">
        <v>1</v>
      </c>
      <c r="B5051" t="s">
        <v>19</v>
      </c>
      <c r="C5051" t="s">
        <v>23490</v>
      </c>
      <c r="D5051" t="str">
        <f>HYPERLINK("https://rhld.insurance.arkansas.gov/NPILookup?Npi=1568439057","1568439057")</f>
        <v>1568439057</v>
      </c>
      <c r="E5051" t="s">
        <v>1983</v>
      </c>
    </row>
    <row r="5052" spans="1:5" x14ac:dyDescent="0.25">
      <c r="A5052" t="s">
        <v>1</v>
      </c>
      <c r="B5052" t="s">
        <v>19</v>
      </c>
      <c r="C5052" t="s">
        <v>23490</v>
      </c>
      <c r="D5052" t="str">
        <f>HYPERLINK("https://rhld.insurance.arkansas.gov/NPILookup?Npi=1568441251","1568441251")</f>
        <v>1568441251</v>
      </c>
      <c r="E5052" t="s">
        <v>1984</v>
      </c>
    </row>
    <row r="5053" spans="1:5" x14ac:dyDescent="0.25">
      <c r="A5053" t="s">
        <v>1</v>
      </c>
      <c r="B5053" t="s">
        <v>19</v>
      </c>
      <c r="C5053" t="s">
        <v>23490</v>
      </c>
      <c r="D5053" t="str">
        <f>HYPERLINK("https://rhld.insurance.arkansas.gov/NPILookup?Npi=1568441616","1568441616")</f>
        <v>1568441616</v>
      </c>
      <c r="E5053" t="s">
        <v>19833</v>
      </c>
    </row>
    <row r="5054" spans="1:5" x14ac:dyDescent="0.25">
      <c r="A5054" t="s">
        <v>1</v>
      </c>
      <c r="B5054" t="s">
        <v>19</v>
      </c>
      <c r="C5054" t="s">
        <v>23490</v>
      </c>
      <c r="D5054" t="str">
        <f>HYPERLINK("https://rhld.insurance.arkansas.gov/NPILookup?Npi=1568450393","1568450393")</f>
        <v>1568450393</v>
      </c>
      <c r="E5054" t="s">
        <v>1985</v>
      </c>
    </row>
    <row r="5055" spans="1:5" x14ac:dyDescent="0.25">
      <c r="A5055" t="s">
        <v>1</v>
      </c>
      <c r="B5055" t="s">
        <v>19</v>
      </c>
      <c r="C5055" t="s">
        <v>23490</v>
      </c>
      <c r="D5055" t="str">
        <f>HYPERLINK("https://rhld.insurance.arkansas.gov/NPILookup?Npi=1568451136","1568451136")</f>
        <v>1568451136</v>
      </c>
      <c r="E5055" t="s">
        <v>1986</v>
      </c>
    </row>
    <row r="5056" spans="1:5" x14ac:dyDescent="0.25">
      <c r="A5056" t="s">
        <v>1</v>
      </c>
      <c r="B5056" t="s">
        <v>19</v>
      </c>
      <c r="C5056" t="s">
        <v>23490</v>
      </c>
      <c r="D5056" t="str">
        <f>HYPERLINK("https://rhld.insurance.arkansas.gov/NPILookup?Npi=1568462182","1568462182")</f>
        <v>1568462182</v>
      </c>
      <c r="E5056" t="s">
        <v>1987</v>
      </c>
    </row>
    <row r="5057" spans="1:5" x14ac:dyDescent="0.25">
      <c r="A5057" t="s">
        <v>1</v>
      </c>
      <c r="B5057" t="s">
        <v>19</v>
      </c>
      <c r="C5057" t="s">
        <v>23490</v>
      </c>
      <c r="D5057" t="str">
        <f>HYPERLINK("https://rhld.insurance.arkansas.gov/NPILookup?Npi=1568462463","1568462463")</f>
        <v>1568462463</v>
      </c>
      <c r="E5057" t="s">
        <v>1988</v>
      </c>
    </row>
    <row r="5058" spans="1:5" x14ac:dyDescent="0.25">
      <c r="A5058" t="s">
        <v>1</v>
      </c>
      <c r="B5058" t="s">
        <v>19</v>
      </c>
      <c r="C5058" t="s">
        <v>23490</v>
      </c>
      <c r="D5058" t="str">
        <f>HYPERLINK("https://rhld.insurance.arkansas.gov/NPILookup?Npi=1568466274","1568466274")</f>
        <v>1568466274</v>
      </c>
      <c r="E5058" t="s">
        <v>19834</v>
      </c>
    </row>
    <row r="5059" spans="1:5" x14ac:dyDescent="0.25">
      <c r="A5059" t="s">
        <v>1</v>
      </c>
      <c r="B5059" t="s">
        <v>19</v>
      </c>
      <c r="C5059" t="s">
        <v>23490</v>
      </c>
      <c r="D5059" t="str">
        <f>HYPERLINK("https://rhld.insurance.arkansas.gov/NPILookup?Npi=1568467603","1568467603")</f>
        <v>1568467603</v>
      </c>
      <c r="E5059" t="s">
        <v>1989</v>
      </c>
    </row>
    <row r="5060" spans="1:5" x14ac:dyDescent="0.25">
      <c r="A5060" t="s">
        <v>1</v>
      </c>
      <c r="B5060" t="s">
        <v>19</v>
      </c>
      <c r="C5060" t="s">
        <v>23490</v>
      </c>
      <c r="D5060" t="str">
        <f>HYPERLINK("https://rhld.insurance.arkansas.gov/NPILookup?Npi=1568469179","1568469179")</f>
        <v>1568469179</v>
      </c>
      <c r="E5060" t="s">
        <v>1990</v>
      </c>
    </row>
    <row r="5061" spans="1:5" x14ac:dyDescent="0.25">
      <c r="A5061" t="s">
        <v>1</v>
      </c>
      <c r="B5061" t="s">
        <v>19</v>
      </c>
      <c r="C5061" t="s">
        <v>23490</v>
      </c>
      <c r="D5061" t="str">
        <f>HYPERLINK("https://rhld.insurance.arkansas.gov/NPILookup?Npi=1568469211","1568469211")</f>
        <v>1568469211</v>
      </c>
      <c r="E5061" t="s">
        <v>1991</v>
      </c>
    </row>
    <row r="5062" spans="1:5" x14ac:dyDescent="0.25">
      <c r="A5062" t="s">
        <v>1</v>
      </c>
      <c r="B5062" t="s">
        <v>19</v>
      </c>
      <c r="C5062" t="s">
        <v>23490</v>
      </c>
      <c r="D5062" t="str">
        <f>HYPERLINK("https://rhld.insurance.arkansas.gov/NPILookup?Npi=1568469237","1568469237")</f>
        <v>1568469237</v>
      </c>
      <c r="E5062" t="s">
        <v>1992</v>
      </c>
    </row>
    <row r="5063" spans="1:5" x14ac:dyDescent="0.25">
      <c r="A5063" t="s">
        <v>1</v>
      </c>
      <c r="B5063" t="s">
        <v>19</v>
      </c>
      <c r="C5063" t="s">
        <v>23490</v>
      </c>
      <c r="D5063" t="str">
        <f>HYPERLINK("https://rhld.insurance.arkansas.gov/NPILookup?Npi=1568471993","1568471993")</f>
        <v>1568471993</v>
      </c>
      <c r="E5063" t="s">
        <v>1993</v>
      </c>
    </row>
    <row r="5064" spans="1:5" x14ac:dyDescent="0.25">
      <c r="A5064" t="s">
        <v>1</v>
      </c>
      <c r="B5064" t="s">
        <v>19</v>
      </c>
      <c r="C5064" t="s">
        <v>23490</v>
      </c>
      <c r="D5064" t="str">
        <f>HYPERLINK("https://rhld.insurance.arkansas.gov/NPILookup?Npi=1568499986","1568499986")</f>
        <v>1568499986</v>
      </c>
      <c r="E5064" t="s">
        <v>1994</v>
      </c>
    </row>
    <row r="5065" spans="1:5" x14ac:dyDescent="0.25">
      <c r="A5065" t="s">
        <v>1</v>
      </c>
      <c r="B5065" t="s">
        <v>19</v>
      </c>
      <c r="C5065" t="s">
        <v>23490</v>
      </c>
      <c r="D5065" t="str">
        <f>HYPERLINK("https://rhld.insurance.arkansas.gov/NPILookup?Npi=1568501096","1568501096")</f>
        <v>1568501096</v>
      </c>
      <c r="E5065" t="s">
        <v>3835</v>
      </c>
    </row>
    <row r="5066" spans="1:5" x14ac:dyDescent="0.25">
      <c r="A5066" t="s">
        <v>1</v>
      </c>
      <c r="B5066" t="s">
        <v>19</v>
      </c>
      <c r="C5066" t="s">
        <v>23490</v>
      </c>
      <c r="D5066" t="str">
        <f>HYPERLINK("https://rhld.insurance.arkansas.gov/NPILookup?Npi=1568501112","1568501112")</f>
        <v>1568501112</v>
      </c>
      <c r="E5066" t="s">
        <v>15278</v>
      </c>
    </row>
    <row r="5067" spans="1:5" x14ac:dyDescent="0.25">
      <c r="A5067" t="s">
        <v>1</v>
      </c>
      <c r="B5067" t="s">
        <v>19</v>
      </c>
      <c r="C5067" t="s">
        <v>23490</v>
      </c>
      <c r="D5067" t="str">
        <f>HYPERLINK("https://rhld.insurance.arkansas.gov/NPILookup?Npi=1568502938","1568502938")</f>
        <v>1568502938</v>
      </c>
      <c r="E5067" t="s">
        <v>1995</v>
      </c>
    </row>
    <row r="5068" spans="1:5" x14ac:dyDescent="0.25">
      <c r="A5068" t="s">
        <v>1</v>
      </c>
      <c r="B5068" t="s">
        <v>19</v>
      </c>
      <c r="C5068" t="s">
        <v>23490</v>
      </c>
      <c r="D5068" t="str">
        <f>HYPERLINK("https://rhld.insurance.arkansas.gov/NPILookup?Npi=1568519965","1568519965")</f>
        <v>1568519965</v>
      </c>
      <c r="E5068" t="s">
        <v>1996</v>
      </c>
    </row>
    <row r="5069" spans="1:5" x14ac:dyDescent="0.25">
      <c r="A5069" t="s">
        <v>1</v>
      </c>
      <c r="B5069" t="s">
        <v>19</v>
      </c>
      <c r="C5069" t="s">
        <v>23490</v>
      </c>
      <c r="D5069" t="str">
        <f>HYPERLINK("https://rhld.insurance.arkansas.gov/NPILookup?Npi=1568534428","1568534428")</f>
        <v>1568534428</v>
      </c>
      <c r="E5069" t="s">
        <v>1997</v>
      </c>
    </row>
    <row r="5070" spans="1:5" x14ac:dyDescent="0.25">
      <c r="A5070" t="s">
        <v>1</v>
      </c>
      <c r="B5070" t="s">
        <v>19</v>
      </c>
      <c r="C5070" t="s">
        <v>23490</v>
      </c>
      <c r="D5070" t="str">
        <f>HYPERLINK("https://rhld.insurance.arkansas.gov/NPILookup?Npi=1568546877","1568546877")</f>
        <v>1568546877</v>
      </c>
      <c r="E5070" t="s">
        <v>1998</v>
      </c>
    </row>
    <row r="5071" spans="1:5" x14ac:dyDescent="0.25">
      <c r="A5071" t="s">
        <v>1</v>
      </c>
      <c r="B5071" t="s">
        <v>19</v>
      </c>
      <c r="C5071" t="s">
        <v>23490</v>
      </c>
      <c r="D5071" t="str">
        <f>HYPERLINK("https://rhld.insurance.arkansas.gov/NPILookup?Npi=1568553071","1568553071")</f>
        <v>1568553071</v>
      </c>
      <c r="E5071" t="s">
        <v>1999</v>
      </c>
    </row>
    <row r="5072" spans="1:5" x14ac:dyDescent="0.25">
      <c r="A5072" t="s">
        <v>1</v>
      </c>
      <c r="B5072" t="s">
        <v>19</v>
      </c>
      <c r="C5072" t="s">
        <v>23490</v>
      </c>
      <c r="D5072" t="str">
        <f>HYPERLINK("https://rhld.insurance.arkansas.gov/NPILookup?Npi=1568564870","1568564870")</f>
        <v>1568564870</v>
      </c>
      <c r="E5072" t="s">
        <v>15279</v>
      </c>
    </row>
    <row r="5073" spans="1:5" x14ac:dyDescent="0.25">
      <c r="A5073" t="s">
        <v>1</v>
      </c>
      <c r="B5073" t="s">
        <v>19</v>
      </c>
      <c r="C5073" t="s">
        <v>23490</v>
      </c>
      <c r="D5073" t="str">
        <f>HYPERLINK("https://rhld.insurance.arkansas.gov/NPILookup?Npi=1568571438","1568571438")</f>
        <v>1568571438</v>
      </c>
      <c r="E5073" t="s">
        <v>2000</v>
      </c>
    </row>
    <row r="5074" spans="1:5" x14ac:dyDescent="0.25">
      <c r="A5074" t="s">
        <v>1</v>
      </c>
      <c r="B5074" t="s">
        <v>19</v>
      </c>
      <c r="C5074" t="s">
        <v>23490</v>
      </c>
      <c r="D5074" t="str">
        <f>HYPERLINK("https://rhld.insurance.arkansas.gov/NPILookup?Npi=1568605004","1568605004")</f>
        <v>1568605004</v>
      </c>
      <c r="E5074" t="s">
        <v>2002</v>
      </c>
    </row>
    <row r="5075" spans="1:5" x14ac:dyDescent="0.25">
      <c r="A5075" t="s">
        <v>1</v>
      </c>
      <c r="B5075" t="s">
        <v>19</v>
      </c>
      <c r="C5075" t="s">
        <v>23490</v>
      </c>
      <c r="D5075" t="str">
        <f>HYPERLINK("https://rhld.insurance.arkansas.gov/NPILookup?Npi=1568653822","1568653822")</f>
        <v>1568653822</v>
      </c>
      <c r="E5075" t="s">
        <v>8736</v>
      </c>
    </row>
    <row r="5076" spans="1:5" x14ac:dyDescent="0.25">
      <c r="A5076" t="s">
        <v>1</v>
      </c>
      <c r="B5076" t="s">
        <v>19</v>
      </c>
      <c r="C5076" t="s">
        <v>23490</v>
      </c>
      <c r="D5076" t="str">
        <f>HYPERLINK("https://rhld.insurance.arkansas.gov/NPILookup?Npi=1568657344","1568657344")</f>
        <v>1568657344</v>
      </c>
      <c r="E5076" t="s">
        <v>15280</v>
      </c>
    </row>
    <row r="5077" spans="1:5" x14ac:dyDescent="0.25">
      <c r="A5077" t="s">
        <v>1</v>
      </c>
      <c r="B5077" t="s">
        <v>19</v>
      </c>
      <c r="C5077" t="s">
        <v>23490</v>
      </c>
      <c r="D5077" t="str">
        <f>HYPERLINK("https://rhld.insurance.arkansas.gov/NPILookup?Npi=1568660553","1568660553")</f>
        <v>1568660553</v>
      </c>
      <c r="E5077" t="s">
        <v>8737</v>
      </c>
    </row>
    <row r="5078" spans="1:5" x14ac:dyDescent="0.25">
      <c r="A5078" t="s">
        <v>1</v>
      </c>
      <c r="B5078" t="s">
        <v>19</v>
      </c>
      <c r="C5078" t="s">
        <v>23490</v>
      </c>
      <c r="D5078" t="str">
        <f>HYPERLINK("https://rhld.insurance.arkansas.gov/NPILookup?Npi=1568661395","1568661395")</f>
        <v>1568661395</v>
      </c>
      <c r="E5078" t="s">
        <v>19835</v>
      </c>
    </row>
    <row r="5079" spans="1:5" x14ac:dyDescent="0.25">
      <c r="A5079" t="s">
        <v>1</v>
      </c>
      <c r="B5079" t="s">
        <v>19</v>
      </c>
      <c r="C5079" t="s">
        <v>23490</v>
      </c>
      <c r="D5079" t="str">
        <f>HYPERLINK("https://rhld.insurance.arkansas.gov/NPILookup?Npi=1568717734","1568717734")</f>
        <v>1568717734</v>
      </c>
      <c r="E5079" t="s">
        <v>2003</v>
      </c>
    </row>
    <row r="5080" spans="1:5" x14ac:dyDescent="0.25">
      <c r="A5080" t="s">
        <v>1</v>
      </c>
      <c r="B5080" t="s">
        <v>19</v>
      </c>
      <c r="C5080" t="s">
        <v>23490</v>
      </c>
      <c r="D5080" t="str">
        <f>HYPERLINK("https://rhld.insurance.arkansas.gov/NPILookup?Npi=1568742401","1568742401")</f>
        <v>1568742401</v>
      </c>
      <c r="E5080" t="s">
        <v>8738</v>
      </c>
    </row>
    <row r="5081" spans="1:5" x14ac:dyDescent="0.25">
      <c r="A5081" t="s">
        <v>1</v>
      </c>
      <c r="B5081" t="s">
        <v>19</v>
      </c>
      <c r="C5081" t="s">
        <v>23490</v>
      </c>
      <c r="D5081" t="str">
        <f>HYPERLINK("https://rhld.insurance.arkansas.gov/NPILookup?Npi=1568750941","1568750941")</f>
        <v>1568750941</v>
      </c>
      <c r="E5081" t="s">
        <v>2004</v>
      </c>
    </row>
    <row r="5082" spans="1:5" x14ac:dyDescent="0.25">
      <c r="A5082" t="s">
        <v>1</v>
      </c>
      <c r="B5082" t="s">
        <v>19</v>
      </c>
      <c r="C5082" t="s">
        <v>23490</v>
      </c>
      <c r="D5082" t="str">
        <f>HYPERLINK("https://rhld.insurance.arkansas.gov/NPILookup?Npi=1568753481","1568753481")</f>
        <v>1568753481</v>
      </c>
      <c r="E5082" t="s">
        <v>2005</v>
      </c>
    </row>
    <row r="5083" spans="1:5" x14ac:dyDescent="0.25">
      <c r="A5083" t="s">
        <v>1</v>
      </c>
      <c r="B5083" t="s">
        <v>19</v>
      </c>
      <c r="C5083" t="s">
        <v>23490</v>
      </c>
      <c r="D5083" t="str">
        <f>HYPERLINK("https://rhld.insurance.arkansas.gov/NPILookup?Npi=1568754851","1568754851")</f>
        <v>1568754851</v>
      </c>
      <c r="E5083" t="s">
        <v>2006</v>
      </c>
    </row>
    <row r="5084" spans="1:5" x14ac:dyDescent="0.25">
      <c r="A5084" t="s">
        <v>1</v>
      </c>
      <c r="B5084" t="s">
        <v>19</v>
      </c>
      <c r="C5084" t="s">
        <v>23490</v>
      </c>
      <c r="D5084" t="str">
        <f>HYPERLINK("https://rhld.insurance.arkansas.gov/NPILookup?Npi=1568757730","1568757730")</f>
        <v>1568757730</v>
      </c>
      <c r="E5084" t="s">
        <v>11054</v>
      </c>
    </row>
    <row r="5085" spans="1:5" x14ac:dyDescent="0.25">
      <c r="A5085" t="s">
        <v>1</v>
      </c>
      <c r="B5085" t="s">
        <v>19</v>
      </c>
      <c r="C5085" t="s">
        <v>23490</v>
      </c>
      <c r="D5085" t="str">
        <f>HYPERLINK("https://rhld.insurance.arkansas.gov/NPILookup?Npi=1568763514","1568763514")</f>
        <v>1568763514</v>
      </c>
      <c r="E5085" t="s">
        <v>18041</v>
      </c>
    </row>
    <row r="5086" spans="1:5" x14ac:dyDescent="0.25">
      <c r="A5086" t="s">
        <v>1</v>
      </c>
      <c r="B5086" t="s">
        <v>19</v>
      </c>
      <c r="C5086" t="s">
        <v>23490</v>
      </c>
      <c r="D5086" t="str">
        <f>HYPERLINK("https://rhld.insurance.arkansas.gov/NPILookup?Npi=1568791259","1568791259")</f>
        <v>1568791259</v>
      </c>
      <c r="E5086" t="s">
        <v>11055</v>
      </c>
    </row>
    <row r="5087" spans="1:5" x14ac:dyDescent="0.25">
      <c r="A5087" t="s">
        <v>1</v>
      </c>
      <c r="B5087" t="s">
        <v>19</v>
      </c>
      <c r="C5087" t="s">
        <v>23490</v>
      </c>
      <c r="D5087" t="str">
        <f>HYPERLINK("https://rhld.insurance.arkansas.gov/NPILookup?Npi=1568801447","1568801447")</f>
        <v>1568801447</v>
      </c>
      <c r="E5087" t="s">
        <v>8739</v>
      </c>
    </row>
    <row r="5088" spans="1:5" x14ac:dyDescent="0.25">
      <c r="A5088" t="s">
        <v>1</v>
      </c>
      <c r="B5088" t="s">
        <v>19</v>
      </c>
      <c r="C5088" t="s">
        <v>23490</v>
      </c>
      <c r="D5088" t="str">
        <f>HYPERLINK("https://rhld.insurance.arkansas.gov/NPILookup?Npi=1568809044","1568809044")</f>
        <v>1568809044</v>
      </c>
      <c r="E5088" t="s">
        <v>12860</v>
      </c>
    </row>
    <row r="5089" spans="1:5" x14ac:dyDescent="0.25">
      <c r="A5089" t="s">
        <v>1</v>
      </c>
      <c r="B5089" t="s">
        <v>19</v>
      </c>
      <c r="C5089" t="s">
        <v>8427</v>
      </c>
      <c r="D5089" t="str">
        <f>HYPERLINK("https://rhld.insurance.arkansas.gov/NPILookup?Npi=1568811321","1568811321")</f>
        <v>1568811321</v>
      </c>
      <c r="E5089" t="s">
        <v>22957</v>
      </c>
    </row>
    <row r="5090" spans="1:5" x14ac:dyDescent="0.25">
      <c r="A5090" t="s">
        <v>1</v>
      </c>
      <c r="B5090" t="s">
        <v>19</v>
      </c>
      <c r="C5090" t="s">
        <v>23490</v>
      </c>
      <c r="D5090" t="str">
        <f>HYPERLINK("https://rhld.insurance.arkansas.gov/NPILookup?Npi=1568813608","1568813608")</f>
        <v>1568813608</v>
      </c>
      <c r="E5090" t="s">
        <v>12861</v>
      </c>
    </row>
    <row r="5091" spans="1:5" x14ac:dyDescent="0.25">
      <c r="A5091" t="s">
        <v>1</v>
      </c>
      <c r="B5091" t="s">
        <v>19</v>
      </c>
      <c r="C5091" t="s">
        <v>23490</v>
      </c>
      <c r="D5091" t="str">
        <f>HYPERLINK("https://rhld.insurance.arkansas.gov/NPILookup?Npi=1568814655","1568814655")</f>
        <v>1568814655</v>
      </c>
      <c r="E5091" t="s">
        <v>11056</v>
      </c>
    </row>
    <row r="5092" spans="1:5" x14ac:dyDescent="0.25">
      <c r="A5092" t="s">
        <v>1</v>
      </c>
      <c r="B5092" t="s">
        <v>19</v>
      </c>
      <c r="C5092" t="s">
        <v>23490</v>
      </c>
      <c r="D5092" t="str">
        <f>HYPERLINK("https://rhld.insurance.arkansas.gov/NPILookup?Npi=1568820389","1568820389")</f>
        <v>1568820389</v>
      </c>
      <c r="E5092" t="s">
        <v>8740</v>
      </c>
    </row>
    <row r="5093" spans="1:5" x14ac:dyDescent="0.25">
      <c r="A5093" t="s">
        <v>1</v>
      </c>
      <c r="B5093" t="s">
        <v>19</v>
      </c>
      <c r="C5093" t="s">
        <v>23490</v>
      </c>
      <c r="D5093" t="str">
        <f>HYPERLINK("https://rhld.insurance.arkansas.gov/NPILookup?Npi=1568822401","1568822401")</f>
        <v>1568822401</v>
      </c>
      <c r="E5093" t="s">
        <v>8741</v>
      </c>
    </row>
    <row r="5094" spans="1:5" x14ac:dyDescent="0.25">
      <c r="A5094" t="s">
        <v>1</v>
      </c>
      <c r="B5094" t="s">
        <v>19</v>
      </c>
      <c r="C5094" t="s">
        <v>23490</v>
      </c>
      <c r="D5094" t="str">
        <f>HYPERLINK("https://rhld.insurance.arkansas.gov/NPILookup?Npi=1568837144","1568837144")</f>
        <v>1568837144</v>
      </c>
      <c r="E5094" t="s">
        <v>8742</v>
      </c>
    </row>
    <row r="5095" spans="1:5" x14ac:dyDescent="0.25">
      <c r="A5095" t="s">
        <v>1</v>
      </c>
      <c r="B5095" t="s">
        <v>19</v>
      </c>
      <c r="C5095" t="s">
        <v>23490</v>
      </c>
      <c r="D5095" t="str">
        <f>HYPERLINK("https://rhld.insurance.arkansas.gov/NPILookup?Npi=1568840205","1568840205")</f>
        <v>1568840205</v>
      </c>
      <c r="E5095" t="s">
        <v>11057</v>
      </c>
    </row>
    <row r="5096" spans="1:5" x14ac:dyDescent="0.25">
      <c r="A5096" t="s">
        <v>1</v>
      </c>
      <c r="B5096" t="s">
        <v>19</v>
      </c>
      <c r="C5096" t="s">
        <v>23490</v>
      </c>
      <c r="D5096" t="str">
        <f>HYPERLINK("https://rhld.insurance.arkansas.gov/NPILookup?Npi=1568845071","1568845071")</f>
        <v>1568845071</v>
      </c>
      <c r="E5096" t="s">
        <v>2008</v>
      </c>
    </row>
    <row r="5097" spans="1:5" x14ac:dyDescent="0.25">
      <c r="A5097" t="s">
        <v>1</v>
      </c>
      <c r="B5097" t="s">
        <v>19</v>
      </c>
      <c r="C5097" t="s">
        <v>23490</v>
      </c>
      <c r="D5097" t="str">
        <f>HYPERLINK("https://rhld.insurance.arkansas.gov/NPILookup?Npi=1568850147","1568850147")</f>
        <v>1568850147</v>
      </c>
      <c r="E5097" t="s">
        <v>8743</v>
      </c>
    </row>
    <row r="5098" spans="1:5" x14ac:dyDescent="0.25">
      <c r="A5098" t="s">
        <v>1</v>
      </c>
      <c r="B5098" t="s">
        <v>19</v>
      </c>
      <c r="C5098" t="s">
        <v>23490</v>
      </c>
      <c r="D5098" t="str">
        <f>HYPERLINK("https://rhld.insurance.arkansas.gov/NPILookup?Npi=1568853356","1568853356")</f>
        <v>1568853356</v>
      </c>
      <c r="E5098" t="s">
        <v>8744</v>
      </c>
    </row>
    <row r="5099" spans="1:5" x14ac:dyDescent="0.25">
      <c r="A5099" t="s">
        <v>1</v>
      </c>
      <c r="B5099" t="s">
        <v>19</v>
      </c>
      <c r="C5099" t="s">
        <v>23490</v>
      </c>
      <c r="D5099" t="str">
        <f>HYPERLINK("https://rhld.insurance.arkansas.gov/NPILookup?Npi=1568864148","1568864148")</f>
        <v>1568864148</v>
      </c>
      <c r="E5099" t="s">
        <v>2009</v>
      </c>
    </row>
    <row r="5100" spans="1:5" x14ac:dyDescent="0.25">
      <c r="A5100" t="s">
        <v>1</v>
      </c>
      <c r="B5100" t="s">
        <v>19</v>
      </c>
      <c r="C5100" t="s">
        <v>23490</v>
      </c>
      <c r="D5100" t="str">
        <f>HYPERLINK("https://rhld.insurance.arkansas.gov/NPILookup?Npi=1568868099","1568868099")</f>
        <v>1568868099</v>
      </c>
      <c r="E5100" t="s">
        <v>8745</v>
      </c>
    </row>
    <row r="5101" spans="1:5" x14ac:dyDescent="0.25">
      <c r="A5101" t="s">
        <v>1</v>
      </c>
      <c r="B5101" t="s">
        <v>19</v>
      </c>
      <c r="C5101" t="s">
        <v>23490</v>
      </c>
      <c r="D5101" t="str">
        <f>HYPERLINK("https://rhld.insurance.arkansas.gov/NPILookup?Npi=1568870640","1568870640")</f>
        <v>1568870640</v>
      </c>
      <c r="E5101" t="s">
        <v>2010</v>
      </c>
    </row>
    <row r="5102" spans="1:5" x14ac:dyDescent="0.25">
      <c r="A5102" t="s">
        <v>1</v>
      </c>
      <c r="B5102" t="s">
        <v>19</v>
      </c>
      <c r="C5102" t="s">
        <v>23490</v>
      </c>
      <c r="D5102" t="str">
        <f>HYPERLINK("https://rhld.insurance.arkansas.gov/NPILookup?Npi=1568878668","1568878668")</f>
        <v>1568878668</v>
      </c>
      <c r="E5102" t="s">
        <v>2011</v>
      </c>
    </row>
    <row r="5103" spans="1:5" x14ac:dyDescent="0.25">
      <c r="A5103" t="s">
        <v>1</v>
      </c>
      <c r="B5103" t="s">
        <v>19</v>
      </c>
      <c r="C5103" t="s">
        <v>23490</v>
      </c>
      <c r="D5103" t="str">
        <f>HYPERLINK("https://rhld.insurance.arkansas.gov/NPILookup?Npi=1568885499","1568885499")</f>
        <v>1568885499</v>
      </c>
      <c r="E5103" t="s">
        <v>13602</v>
      </c>
    </row>
    <row r="5104" spans="1:5" x14ac:dyDescent="0.25">
      <c r="A5104" t="s">
        <v>1</v>
      </c>
      <c r="B5104" t="s">
        <v>19</v>
      </c>
      <c r="C5104" t="s">
        <v>23490</v>
      </c>
      <c r="D5104" t="str">
        <f>HYPERLINK("https://rhld.insurance.arkansas.gov/NPILookup?Npi=1568900793","1568900793")</f>
        <v>1568900793</v>
      </c>
      <c r="E5104" t="s">
        <v>18042</v>
      </c>
    </row>
    <row r="5105" spans="1:5" x14ac:dyDescent="0.25">
      <c r="A5105" t="s">
        <v>1</v>
      </c>
      <c r="B5105" t="s">
        <v>19</v>
      </c>
      <c r="C5105" t="s">
        <v>23490</v>
      </c>
      <c r="D5105" t="str">
        <f>HYPERLINK("https://rhld.insurance.arkansas.gov/NPILookup?Npi=1568902112","1568902112")</f>
        <v>1568902112</v>
      </c>
      <c r="E5105" t="s">
        <v>19836</v>
      </c>
    </row>
    <row r="5106" spans="1:5" x14ac:dyDescent="0.25">
      <c r="A5106" t="s">
        <v>1</v>
      </c>
      <c r="B5106" t="s">
        <v>19</v>
      </c>
      <c r="C5106" t="s">
        <v>23490</v>
      </c>
      <c r="D5106" t="str">
        <f>HYPERLINK("https://rhld.insurance.arkansas.gov/NPILookup?Npi=1568947752","1568947752")</f>
        <v>1568947752</v>
      </c>
      <c r="E5106" t="s">
        <v>13603</v>
      </c>
    </row>
    <row r="5107" spans="1:5" x14ac:dyDescent="0.25">
      <c r="A5107" t="s">
        <v>1</v>
      </c>
      <c r="B5107" t="s">
        <v>19</v>
      </c>
      <c r="C5107" t="s">
        <v>23490</v>
      </c>
      <c r="D5107" t="str">
        <f>HYPERLINK("https://rhld.insurance.arkansas.gov/NPILookup?Npi=1568948875","1568948875")</f>
        <v>1568948875</v>
      </c>
      <c r="E5107" t="s">
        <v>19229</v>
      </c>
    </row>
    <row r="5108" spans="1:5" x14ac:dyDescent="0.25">
      <c r="A5108" t="s">
        <v>1</v>
      </c>
      <c r="B5108" t="s">
        <v>19</v>
      </c>
      <c r="C5108" t="s">
        <v>23490</v>
      </c>
      <c r="D5108" t="str">
        <f>HYPERLINK("https://rhld.insurance.arkansas.gov/NPILookup?Npi=1568955441","1568955441")</f>
        <v>1568955441</v>
      </c>
      <c r="E5108" t="s">
        <v>19837</v>
      </c>
    </row>
    <row r="5109" spans="1:5" x14ac:dyDescent="0.25">
      <c r="A5109" t="s">
        <v>1</v>
      </c>
      <c r="B5109" t="s">
        <v>19</v>
      </c>
      <c r="C5109" t="s">
        <v>23490</v>
      </c>
      <c r="D5109" t="str">
        <f>HYPERLINK("https://rhld.insurance.arkansas.gov/NPILookup?Npi=1568956456","1568956456")</f>
        <v>1568956456</v>
      </c>
      <c r="E5109" t="s">
        <v>13604</v>
      </c>
    </row>
    <row r="5110" spans="1:5" x14ac:dyDescent="0.25">
      <c r="A5110" t="s">
        <v>1</v>
      </c>
      <c r="B5110" t="s">
        <v>19</v>
      </c>
      <c r="C5110" t="s">
        <v>23490</v>
      </c>
      <c r="D5110" t="str">
        <f>HYPERLINK("https://rhld.insurance.arkansas.gov/NPILookup?Npi=1568958916","1568958916")</f>
        <v>1568958916</v>
      </c>
      <c r="E5110" t="s">
        <v>19838</v>
      </c>
    </row>
    <row r="5111" spans="1:5" x14ac:dyDescent="0.25">
      <c r="A5111" t="s">
        <v>1</v>
      </c>
      <c r="B5111" t="s">
        <v>19</v>
      </c>
      <c r="C5111" t="s">
        <v>8427</v>
      </c>
      <c r="D5111" t="str">
        <f>HYPERLINK("https://rhld.insurance.arkansas.gov/NPILookup?Npi=1568959674","1568959674")</f>
        <v>1568959674</v>
      </c>
      <c r="E5111" t="s">
        <v>22958</v>
      </c>
    </row>
    <row r="5112" spans="1:5" x14ac:dyDescent="0.25">
      <c r="A5112" t="s">
        <v>1</v>
      </c>
      <c r="B5112" t="s">
        <v>19</v>
      </c>
      <c r="C5112" t="s">
        <v>23490</v>
      </c>
      <c r="D5112" t="str">
        <f>HYPERLINK("https://rhld.insurance.arkansas.gov/NPILookup?Npi=1568979052","1568979052")</f>
        <v>1568979052</v>
      </c>
      <c r="E5112" t="s">
        <v>12862</v>
      </c>
    </row>
    <row r="5113" spans="1:5" x14ac:dyDescent="0.25">
      <c r="A5113" t="s">
        <v>1</v>
      </c>
      <c r="B5113" t="s">
        <v>19</v>
      </c>
      <c r="C5113" t="s">
        <v>23490</v>
      </c>
      <c r="D5113" t="str">
        <f>HYPERLINK("https://rhld.insurance.arkansas.gov/NPILookup?Npi=1568998235","1568998235")</f>
        <v>1568998235</v>
      </c>
      <c r="E5113" t="s">
        <v>17440</v>
      </c>
    </row>
    <row r="5114" spans="1:5" x14ac:dyDescent="0.25">
      <c r="A5114" t="s">
        <v>1</v>
      </c>
      <c r="B5114" t="s">
        <v>19</v>
      </c>
      <c r="C5114" t="s">
        <v>23490</v>
      </c>
      <c r="D5114" t="str">
        <f>HYPERLINK("https://rhld.insurance.arkansas.gov/NPILookup?Npi=1578000287","1578000287")</f>
        <v>1578000287</v>
      </c>
      <c r="E5114" t="s">
        <v>11058</v>
      </c>
    </row>
    <row r="5115" spans="1:5" x14ac:dyDescent="0.25">
      <c r="A5115" t="s">
        <v>1</v>
      </c>
      <c r="B5115" t="s">
        <v>19</v>
      </c>
      <c r="C5115" t="s">
        <v>23490</v>
      </c>
      <c r="D5115" t="str">
        <f>HYPERLINK("https://rhld.insurance.arkansas.gov/NPILookup?Npi=1578004685","1578004685")</f>
        <v>1578004685</v>
      </c>
      <c r="E5115" t="s">
        <v>11059</v>
      </c>
    </row>
    <row r="5116" spans="1:5" x14ac:dyDescent="0.25">
      <c r="A5116" t="s">
        <v>1</v>
      </c>
      <c r="B5116" t="s">
        <v>19</v>
      </c>
      <c r="C5116" t="s">
        <v>23490</v>
      </c>
      <c r="D5116" t="str">
        <f>HYPERLINK("https://rhld.insurance.arkansas.gov/NPILookup?Npi=1578006565","1578006565")</f>
        <v>1578006565</v>
      </c>
      <c r="E5116" t="s">
        <v>11060</v>
      </c>
    </row>
    <row r="5117" spans="1:5" x14ac:dyDescent="0.25">
      <c r="A5117" t="s">
        <v>1</v>
      </c>
      <c r="B5117" t="s">
        <v>19</v>
      </c>
      <c r="C5117" t="s">
        <v>23490</v>
      </c>
      <c r="D5117" t="str">
        <f>HYPERLINK("https://rhld.insurance.arkansas.gov/NPILookup?Npi=1578016580","1578016580")</f>
        <v>1578016580</v>
      </c>
      <c r="E5117" t="s">
        <v>8747</v>
      </c>
    </row>
    <row r="5118" spans="1:5" x14ac:dyDescent="0.25">
      <c r="A5118" t="s">
        <v>1</v>
      </c>
      <c r="B5118" t="s">
        <v>19</v>
      </c>
      <c r="C5118" t="s">
        <v>23490</v>
      </c>
      <c r="D5118" t="str">
        <f>HYPERLINK("https://rhld.insurance.arkansas.gov/NPILookup?Npi=1578016713","1578016713")</f>
        <v>1578016713</v>
      </c>
      <c r="E5118" t="s">
        <v>16984</v>
      </c>
    </row>
    <row r="5119" spans="1:5" x14ac:dyDescent="0.25">
      <c r="A5119" t="s">
        <v>1</v>
      </c>
      <c r="B5119" t="s">
        <v>19</v>
      </c>
      <c r="C5119" t="s">
        <v>23490</v>
      </c>
      <c r="D5119" t="str">
        <f>HYPERLINK("https://rhld.insurance.arkansas.gov/NPILookup?Npi=1578026027","1578026027")</f>
        <v>1578026027</v>
      </c>
      <c r="E5119" t="s">
        <v>20974</v>
      </c>
    </row>
    <row r="5120" spans="1:5" x14ac:dyDescent="0.25">
      <c r="A5120" t="s">
        <v>1</v>
      </c>
      <c r="B5120" t="s">
        <v>19</v>
      </c>
      <c r="C5120" t="s">
        <v>23490</v>
      </c>
      <c r="D5120" t="str">
        <f>HYPERLINK("https://rhld.insurance.arkansas.gov/NPILookup?Npi=1578038857","1578038857")</f>
        <v>1578038857</v>
      </c>
      <c r="E5120" t="s">
        <v>21579</v>
      </c>
    </row>
    <row r="5121" spans="1:5" x14ac:dyDescent="0.25">
      <c r="A5121" t="s">
        <v>1</v>
      </c>
      <c r="B5121" t="s">
        <v>19</v>
      </c>
      <c r="C5121" t="s">
        <v>23490</v>
      </c>
      <c r="D5121" t="str">
        <f>HYPERLINK("https://rhld.insurance.arkansas.gov/NPILookup?Npi=1578041703","1578041703")</f>
        <v>1578041703</v>
      </c>
      <c r="E5121" t="s">
        <v>13605</v>
      </c>
    </row>
    <row r="5122" spans="1:5" x14ac:dyDescent="0.25">
      <c r="A5122" t="s">
        <v>1</v>
      </c>
      <c r="B5122" t="s">
        <v>19</v>
      </c>
      <c r="C5122" t="s">
        <v>23490</v>
      </c>
      <c r="D5122" t="str">
        <f>HYPERLINK("https://rhld.insurance.arkansas.gov/NPILookup?Npi=1578050472","1578050472")</f>
        <v>1578050472</v>
      </c>
      <c r="E5122" t="s">
        <v>18811</v>
      </c>
    </row>
    <row r="5123" spans="1:5" x14ac:dyDescent="0.25">
      <c r="A5123" t="s">
        <v>1</v>
      </c>
      <c r="B5123" t="s">
        <v>19</v>
      </c>
      <c r="C5123" t="s">
        <v>23490</v>
      </c>
      <c r="D5123" t="str">
        <f>HYPERLINK("https://rhld.insurance.arkansas.gov/NPILookup?Npi=1578096905","1578096905")</f>
        <v>1578096905</v>
      </c>
      <c r="E5123" t="s">
        <v>18043</v>
      </c>
    </row>
    <row r="5124" spans="1:5" x14ac:dyDescent="0.25">
      <c r="A5124" t="s">
        <v>1</v>
      </c>
      <c r="B5124" t="s">
        <v>19</v>
      </c>
      <c r="C5124" t="s">
        <v>23490</v>
      </c>
      <c r="D5124" t="str">
        <f>HYPERLINK("https://rhld.insurance.arkansas.gov/NPILookup?Npi=1578098570","1578098570")</f>
        <v>1578098570</v>
      </c>
      <c r="E5124" t="s">
        <v>11061</v>
      </c>
    </row>
    <row r="5125" spans="1:5" x14ac:dyDescent="0.25">
      <c r="A5125" t="s">
        <v>1</v>
      </c>
      <c r="B5125" t="s">
        <v>19</v>
      </c>
      <c r="C5125" t="s">
        <v>23490</v>
      </c>
      <c r="D5125" t="str">
        <f>HYPERLINK("https://rhld.insurance.arkansas.gov/NPILookup?Npi=1578101655","1578101655")</f>
        <v>1578101655</v>
      </c>
      <c r="E5125" t="s">
        <v>17441</v>
      </c>
    </row>
    <row r="5126" spans="1:5" x14ac:dyDescent="0.25">
      <c r="A5126" t="s">
        <v>1</v>
      </c>
      <c r="B5126" t="s">
        <v>19</v>
      </c>
      <c r="C5126" t="s">
        <v>23490</v>
      </c>
      <c r="D5126" t="str">
        <f>HYPERLINK("https://rhld.insurance.arkansas.gov/NPILookup?Npi=1578103982","1578103982")</f>
        <v>1578103982</v>
      </c>
      <c r="E5126" t="s">
        <v>16985</v>
      </c>
    </row>
    <row r="5127" spans="1:5" x14ac:dyDescent="0.25">
      <c r="A5127" t="s">
        <v>1</v>
      </c>
      <c r="B5127" t="s">
        <v>19</v>
      </c>
      <c r="C5127" t="s">
        <v>23490</v>
      </c>
      <c r="D5127" t="str">
        <f>HYPERLINK("https://rhld.insurance.arkansas.gov/NPILookup?Npi=1578116398","1578116398")</f>
        <v>1578116398</v>
      </c>
      <c r="E5127" t="s">
        <v>16986</v>
      </c>
    </row>
    <row r="5128" spans="1:5" x14ac:dyDescent="0.25">
      <c r="A5128" t="s">
        <v>1</v>
      </c>
      <c r="B5128" t="s">
        <v>19</v>
      </c>
      <c r="C5128" t="s">
        <v>23490</v>
      </c>
      <c r="D5128" t="str">
        <f>HYPERLINK("https://rhld.insurance.arkansas.gov/NPILookup?Npi=1578118873","1578118873")</f>
        <v>1578118873</v>
      </c>
      <c r="E5128" t="s">
        <v>18812</v>
      </c>
    </row>
    <row r="5129" spans="1:5" x14ac:dyDescent="0.25">
      <c r="A5129" t="s">
        <v>1</v>
      </c>
      <c r="B5129" t="s">
        <v>19</v>
      </c>
      <c r="C5129" t="s">
        <v>23490</v>
      </c>
      <c r="D5129" t="str">
        <f>HYPERLINK("https://rhld.insurance.arkansas.gov/NPILookup?Npi=1578134946","1578134946")</f>
        <v>1578134946</v>
      </c>
      <c r="E5129" t="s">
        <v>18813</v>
      </c>
    </row>
    <row r="5130" spans="1:5" x14ac:dyDescent="0.25">
      <c r="A5130" t="s">
        <v>1</v>
      </c>
      <c r="B5130" t="s">
        <v>19</v>
      </c>
      <c r="C5130" t="s">
        <v>23490</v>
      </c>
      <c r="D5130" t="str">
        <f>HYPERLINK("https://rhld.insurance.arkansas.gov/NPILookup?Npi=1578141180","1578141180")</f>
        <v>1578141180</v>
      </c>
      <c r="E5130" t="s">
        <v>18044</v>
      </c>
    </row>
    <row r="5131" spans="1:5" x14ac:dyDescent="0.25">
      <c r="A5131" t="s">
        <v>1</v>
      </c>
      <c r="B5131" t="s">
        <v>19</v>
      </c>
      <c r="C5131" t="s">
        <v>23490</v>
      </c>
      <c r="D5131" t="str">
        <f>HYPERLINK("https://rhld.insurance.arkansas.gov/NPILookup?Npi=1578165858","1578165858")</f>
        <v>1578165858</v>
      </c>
      <c r="E5131" t="s">
        <v>18045</v>
      </c>
    </row>
    <row r="5132" spans="1:5" x14ac:dyDescent="0.25">
      <c r="A5132" t="s">
        <v>1</v>
      </c>
      <c r="B5132" t="s">
        <v>19</v>
      </c>
      <c r="C5132" t="s">
        <v>23490</v>
      </c>
      <c r="D5132" t="str">
        <f>HYPERLINK("https://rhld.insurance.arkansas.gov/NPILookup?Npi=1578169744","1578169744")</f>
        <v>1578169744</v>
      </c>
      <c r="E5132" t="s">
        <v>21580</v>
      </c>
    </row>
    <row r="5133" spans="1:5" x14ac:dyDescent="0.25">
      <c r="A5133" t="s">
        <v>1</v>
      </c>
      <c r="B5133" t="s">
        <v>19</v>
      </c>
      <c r="C5133" t="s">
        <v>23490</v>
      </c>
      <c r="D5133" t="str">
        <f>HYPERLINK("https://rhld.insurance.arkansas.gov/NPILookup?Npi=1578183653","1578183653")</f>
        <v>1578183653</v>
      </c>
      <c r="E5133" t="s">
        <v>21581</v>
      </c>
    </row>
    <row r="5134" spans="1:5" x14ac:dyDescent="0.25">
      <c r="A5134" t="s">
        <v>1</v>
      </c>
      <c r="B5134" t="s">
        <v>19</v>
      </c>
      <c r="C5134" t="s">
        <v>23490</v>
      </c>
      <c r="D5134" t="str">
        <f>HYPERLINK("https://rhld.insurance.arkansas.gov/NPILookup?Npi=1578186631","1578186631")</f>
        <v>1578186631</v>
      </c>
      <c r="E5134" t="s">
        <v>19839</v>
      </c>
    </row>
    <row r="5135" spans="1:5" x14ac:dyDescent="0.25">
      <c r="A5135" t="s">
        <v>1</v>
      </c>
      <c r="B5135" t="s">
        <v>19</v>
      </c>
      <c r="C5135" t="s">
        <v>23490</v>
      </c>
      <c r="D5135" t="str">
        <f>HYPERLINK("https://rhld.insurance.arkansas.gov/NPILookup?Npi=1578190088","1578190088")</f>
        <v>1578190088</v>
      </c>
      <c r="E5135" t="s">
        <v>18046</v>
      </c>
    </row>
    <row r="5136" spans="1:5" x14ac:dyDescent="0.25">
      <c r="A5136" t="s">
        <v>1</v>
      </c>
      <c r="B5136" t="s">
        <v>19</v>
      </c>
      <c r="C5136" t="s">
        <v>23490</v>
      </c>
      <c r="D5136" t="str">
        <f>HYPERLINK("https://rhld.insurance.arkansas.gov/NPILookup?Npi=1578193637","1578193637")</f>
        <v>1578193637</v>
      </c>
      <c r="E5136" t="s">
        <v>19840</v>
      </c>
    </row>
    <row r="5137" spans="1:5" x14ac:dyDescent="0.25">
      <c r="A5137" t="s">
        <v>1</v>
      </c>
      <c r="B5137" t="s">
        <v>19</v>
      </c>
      <c r="C5137" t="s">
        <v>23490</v>
      </c>
      <c r="D5137" t="str">
        <f>HYPERLINK("https://rhld.insurance.arkansas.gov/NPILookup?Npi=1578234365","1578234365")</f>
        <v>1578234365</v>
      </c>
      <c r="E5137" t="s">
        <v>18814</v>
      </c>
    </row>
    <row r="5138" spans="1:5" x14ac:dyDescent="0.25">
      <c r="A5138" t="s">
        <v>1</v>
      </c>
      <c r="B5138" t="s">
        <v>19</v>
      </c>
      <c r="C5138" t="s">
        <v>23490</v>
      </c>
      <c r="D5138" t="str">
        <f>HYPERLINK("https://rhld.insurance.arkansas.gov/NPILookup?Npi=1578236113","1578236113")</f>
        <v>1578236113</v>
      </c>
      <c r="E5138" t="s">
        <v>18815</v>
      </c>
    </row>
    <row r="5139" spans="1:5" x14ac:dyDescent="0.25">
      <c r="A5139" t="s">
        <v>1</v>
      </c>
      <c r="B5139" t="s">
        <v>19</v>
      </c>
      <c r="C5139" t="s">
        <v>23490</v>
      </c>
      <c r="D5139" t="str">
        <f>HYPERLINK("https://rhld.insurance.arkansas.gov/NPILookup?Npi=1578501300","1578501300")</f>
        <v>1578501300</v>
      </c>
      <c r="E5139" t="s">
        <v>2012</v>
      </c>
    </row>
    <row r="5140" spans="1:5" x14ac:dyDescent="0.25">
      <c r="A5140" t="s">
        <v>1</v>
      </c>
      <c r="B5140" t="s">
        <v>19</v>
      </c>
      <c r="C5140" t="s">
        <v>23490</v>
      </c>
      <c r="D5140" t="str">
        <f>HYPERLINK("https://rhld.insurance.arkansas.gov/NPILookup?Npi=1578507661","1578507661")</f>
        <v>1578507661</v>
      </c>
      <c r="E5140" t="s">
        <v>2013</v>
      </c>
    </row>
    <row r="5141" spans="1:5" x14ac:dyDescent="0.25">
      <c r="A5141" t="s">
        <v>1</v>
      </c>
      <c r="B5141" t="s">
        <v>19</v>
      </c>
      <c r="C5141" t="s">
        <v>23490</v>
      </c>
      <c r="D5141" t="str">
        <f>HYPERLINK("https://rhld.insurance.arkansas.gov/NPILookup?Npi=1578510996","1578510996")</f>
        <v>1578510996</v>
      </c>
      <c r="E5141" t="s">
        <v>8748</v>
      </c>
    </row>
    <row r="5142" spans="1:5" x14ac:dyDescent="0.25">
      <c r="A5142" t="s">
        <v>1</v>
      </c>
      <c r="B5142" t="s">
        <v>19</v>
      </c>
      <c r="C5142" t="s">
        <v>23490</v>
      </c>
      <c r="D5142" t="str">
        <f>HYPERLINK("https://rhld.insurance.arkansas.gov/NPILookup?Npi=1578512356","1578512356")</f>
        <v>1578512356</v>
      </c>
      <c r="E5142" t="s">
        <v>11062</v>
      </c>
    </row>
    <row r="5143" spans="1:5" x14ac:dyDescent="0.25">
      <c r="A5143" t="s">
        <v>1</v>
      </c>
      <c r="B5143" t="s">
        <v>19</v>
      </c>
      <c r="C5143" t="s">
        <v>23490</v>
      </c>
      <c r="D5143" t="str">
        <f>HYPERLINK("https://rhld.insurance.arkansas.gov/NPILookup?Npi=1578517421","1578517421")</f>
        <v>1578517421</v>
      </c>
      <c r="E5143" t="s">
        <v>15281</v>
      </c>
    </row>
    <row r="5144" spans="1:5" x14ac:dyDescent="0.25">
      <c r="A5144" t="s">
        <v>1</v>
      </c>
      <c r="B5144" t="s">
        <v>19</v>
      </c>
      <c r="C5144" t="s">
        <v>23490</v>
      </c>
      <c r="D5144" t="str">
        <f>HYPERLINK("https://rhld.insurance.arkansas.gov/NPILookup?Npi=1578517504","1578517504")</f>
        <v>1578517504</v>
      </c>
      <c r="E5144" t="s">
        <v>2014</v>
      </c>
    </row>
    <row r="5145" spans="1:5" x14ac:dyDescent="0.25">
      <c r="A5145" t="s">
        <v>1</v>
      </c>
      <c r="B5145" t="s">
        <v>19</v>
      </c>
      <c r="C5145" t="s">
        <v>23490</v>
      </c>
      <c r="D5145" t="str">
        <f>HYPERLINK("https://rhld.insurance.arkansas.gov/NPILookup?Npi=1578523585","1578523585")</f>
        <v>1578523585</v>
      </c>
      <c r="E5145" t="s">
        <v>2016</v>
      </c>
    </row>
    <row r="5146" spans="1:5" x14ac:dyDescent="0.25">
      <c r="A5146" t="s">
        <v>1</v>
      </c>
      <c r="B5146" t="s">
        <v>19</v>
      </c>
      <c r="C5146" t="s">
        <v>23490</v>
      </c>
      <c r="D5146" t="str">
        <f>HYPERLINK("https://rhld.insurance.arkansas.gov/NPILookup?Npi=1578524047","1578524047")</f>
        <v>1578524047</v>
      </c>
      <c r="E5146" t="s">
        <v>2017</v>
      </c>
    </row>
    <row r="5147" spans="1:5" x14ac:dyDescent="0.25">
      <c r="A5147" t="s">
        <v>1</v>
      </c>
      <c r="B5147" t="s">
        <v>19</v>
      </c>
      <c r="C5147" t="s">
        <v>23490</v>
      </c>
      <c r="D5147" t="str">
        <f>HYPERLINK("https://rhld.insurance.arkansas.gov/NPILookup?Npi=1578524435","1578524435")</f>
        <v>1578524435</v>
      </c>
      <c r="E5147" t="s">
        <v>2018</v>
      </c>
    </row>
    <row r="5148" spans="1:5" x14ac:dyDescent="0.25">
      <c r="A5148" t="s">
        <v>1</v>
      </c>
      <c r="B5148" t="s">
        <v>19</v>
      </c>
      <c r="C5148" t="s">
        <v>23490</v>
      </c>
      <c r="D5148" t="str">
        <f>HYPERLINK("https://rhld.insurance.arkansas.gov/NPILookup?Npi=1578527412","1578527412")</f>
        <v>1578527412</v>
      </c>
      <c r="E5148" t="s">
        <v>2019</v>
      </c>
    </row>
    <row r="5149" spans="1:5" x14ac:dyDescent="0.25">
      <c r="A5149" t="s">
        <v>1</v>
      </c>
      <c r="B5149" t="s">
        <v>19</v>
      </c>
      <c r="C5149" t="s">
        <v>23490</v>
      </c>
      <c r="D5149" t="str">
        <f>HYPERLINK("https://rhld.insurance.arkansas.gov/NPILookup?Npi=1578530366","1578530366")</f>
        <v>1578530366</v>
      </c>
      <c r="E5149" t="s">
        <v>2020</v>
      </c>
    </row>
    <row r="5150" spans="1:5" x14ac:dyDescent="0.25">
      <c r="A5150" t="s">
        <v>1</v>
      </c>
      <c r="B5150" t="s">
        <v>19</v>
      </c>
      <c r="C5150" t="s">
        <v>23490</v>
      </c>
      <c r="D5150" t="str">
        <f>HYPERLINK("https://rhld.insurance.arkansas.gov/NPILookup?Npi=1578534012","1578534012")</f>
        <v>1578534012</v>
      </c>
      <c r="E5150" t="s">
        <v>2021</v>
      </c>
    </row>
    <row r="5151" spans="1:5" x14ac:dyDescent="0.25">
      <c r="A5151" t="s">
        <v>1</v>
      </c>
      <c r="B5151" t="s">
        <v>19</v>
      </c>
      <c r="C5151" t="s">
        <v>23490</v>
      </c>
      <c r="D5151" t="str">
        <f>HYPERLINK("https://rhld.insurance.arkansas.gov/NPILookup?Npi=1578536017","1578536017")</f>
        <v>1578536017</v>
      </c>
      <c r="E5151" t="s">
        <v>2022</v>
      </c>
    </row>
    <row r="5152" spans="1:5" x14ac:dyDescent="0.25">
      <c r="A5152" t="s">
        <v>1</v>
      </c>
      <c r="B5152" t="s">
        <v>19</v>
      </c>
      <c r="C5152" t="s">
        <v>23490</v>
      </c>
      <c r="D5152" t="str">
        <f>HYPERLINK("https://rhld.insurance.arkansas.gov/NPILookup?Npi=1578538591","1578538591")</f>
        <v>1578538591</v>
      </c>
      <c r="E5152" t="s">
        <v>15282</v>
      </c>
    </row>
    <row r="5153" spans="1:5" x14ac:dyDescent="0.25">
      <c r="A5153" t="s">
        <v>1</v>
      </c>
      <c r="B5153" t="s">
        <v>19</v>
      </c>
      <c r="C5153" t="s">
        <v>23490</v>
      </c>
      <c r="D5153" t="str">
        <f>HYPERLINK("https://rhld.insurance.arkansas.gov/NPILookup?Npi=1578542015","1578542015")</f>
        <v>1578542015</v>
      </c>
      <c r="E5153" t="s">
        <v>11063</v>
      </c>
    </row>
    <row r="5154" spans="1:5" x14ac:dyDescent="0.25">
      <c r="A5154" t="s">
        <v>1</v>
      </c>
      <c r="B5154" t="s">
        <v>19</v>
      </c>
      <c r="C5154" t="s">
        <v>23490</v>
      </c>
      <c r="D5154" t="str">
        <f>HYPERLINK("https://rhld.insurance.arkansas.gov/NPILookup?Npi=1578552188","1578552188")</f>
        <v>1578552188</v>
      </c>
      <c r="E5154" t="s">
        <v>2023</v>
      </c>
    </row>
    <row r="5155" spans="1:5" x14ac:dyDescent="0.25">
      <c r="A5155" t="s">
        <v>1</v>
      </c>
      <c r="B5155" t="s">
        <v>19</v>
      </c>
      <c r="C5155" t="s">
        <v>23490</v>
      </c>
      <c r="D5155" t="str">
        <f>HYPERLINK("https://rhld.insurance.arkansas.gov/NPILookup?Npi=1578558607","1578558607")</f>
        <v>1578558607</v>
      </c>
      <c r="E5155" t="s">
        <v>15283</v>
      </c>
    </row>
    <row r="5156" spans="1:5" x14ac:dyDescent="0.25">
      <c r="A5156" t="s">
        <v>1</v>
      </c>
      <c r="B5156" t="s">
        <v>19</v>
      </c>
      <c r="C5156" t="s">
        <v>23490</v>
      </c>
      <c r="D5156" t="str">
        <f>HYPERLINK("https://rhld.insurance.arkansas.gov/NPILookup?Npi=1578559027","1578559027")</f>
        <v>1578559027</v>
      </c>
      <c r="E5156" t="s">
        <v>2024</v>
      </c>
    </row>
    <row r="5157" spans="1:5" x14ac:dyDescent="0.25">
      <c r="A5157" t="s">
        <v>1</v>
      </c>
      <c r="B5157" t="s">
        <v>19</v>
      </c>
      <c r="C5157" t="s">
        <v>23490</v>
      </c>
      <c r="D5157" t="str">
        <f>HYPERLINK("https://rhld.insurance.arkansas.gov/NPILookup?Npi=1578565321","1578565321")</f>
        <v>1578565321</v>
      </c>
      <c r="E5157" t="s">
        <v>2025</v>
      </c>
    </row>
    <row r="5158" spans="1:5" x14ac:dyDescent="0.25">
      <c r="A5158" t="s">
        <v>1</v>
      </c>
      <c r="B5158" t="s">
        <v>19</v>
      </c>
      <c r="C5158" t="s">
        <v>23490</v>
      </c>
      <c r="D5158" t="str">
        <f>HYPERLINK("https://rhld.insurance.arkansas.gov/NPILookup?Npi=1578584553","1578584553")</f>
        <v>1578584553</v>
      </c>
      <c r="E5158" t="s">
        <v>15284</v>
      </c>
    </row>
    <row r="5159" spans="1:5" x14ac:dyDescent="0.25">
      <c r="A5159" t="s">
        <v>1</v>
      </c>
      <c r="B5159" t="s">
        <v>19</v>
      </c>
      <c r="C5159" t="s">
        <v>23490</v>
      </c>
      <c r="D5159" t="str">
        <f>HYPERLINK("https://rhld.insurance.arkansas.gov/NPILookup?Npi=1578595203","1578595203")</f>
        <v>1578595203</v>
      </c>
      <c r="E5159" t="s">
        <v>15285</v>
      </c>
    </row>
    <row r="5160" spans="1:5" x14ac:dyDescent="0.25">
      <c r="A5160" t="s">
        <v>1</v>
      </c>
      <c r="B5160" t="s">
        <v>19</v>
      </c>
      <c r="C5160" t="s">
        <v>23490</v>
      </c>
      <c r="D5160" t="str">
        <f>HYPERLINK("https://rhld.insurance.arkansas.gov/NPILookup?Npi=1578599239","1578599239")</f>
        <v>1578599239</v>
      </c>
      <c r="E5160" t="s">
        <v>2027</v>
      </c>
    </row>
    <row r="5161" spans="1:5" x14ac:dyDescent="0.25">
      <c r="A5161" t="s">
        <v>1</v>
      </c>
      <c r="B5161" t="s">
        <v>19</v>
      </c>
      <c r="C5161" t="s">
        <v>23490</v>
      </c>
      <c r="D5161" t="str">
        <f>HYPERLINK("https://rhld.insurance.arkansas.gov/NPILookup?Npi=1578599395","1578599395")</f>
        <v>1578599395</v>
      </c>
      <c r="E5161" t="s">
        <v>2028</v>
      </c>
    </row>
    <row r="5162" spans="1:5" x14ac:dyDescent="0.25">
      <c r="A5162" t="s">
        <v>1</v>
      </c>
      <c r="B5162" t="s">
        <v>19</v>
      </c>
      <c r="C5162" t="s">
        <v>23490</v>
      </c>
      <c r="D5162" t="str">
        <f>HYPERLINK("https://rhld.insurance.arkansas.gov/NPILookup?Npi=1578617189","1578617189")</f>
        <v>1578617189</v>
      </c>
      <c r="E5162" t="s">
        <v>2029</v>
      </c>
    </row>
    <row r="5163" spans="1:5" x14ac:dyDescent="0.25">
      <c r="A5163" t="s">
        <v>1</v>
      </c>
      <c r="B5163" t="s">
        <v>19</v>
      </c>
      <c r="C5163" t="s">
        <v>23490</v>
      </c>
      <c r="D5163" t="str">
        <f>HYPERLINK("https://rhld.insurance.arkansas.gov/NPILookup?Npi=1578632485","1578632485")</f>
        <v>1578632485</v>
      </c>
      <c r="E5163" t="s">
        <v>2030</v>
      </c>
    </row>
    <row r="5164" spans="1:5" x14ac:dyDescent="0.25">
      <c r="A5164" t="s">
        <v>1</v>
      </c>
      <c r="B5164" t="s">
        <v>19</v>
      </c>
      <c r="C5164" t="s">
        <v>23490</v>
      </c>
      <c r="D5164" t="str">
        <f>HYPERLINK("https://rhld.insurance.arkansas.gov/NPILookup?Npi=1578633236","1578633236")</f>
        <v>1578633236</v>
      </c>
      <c r="E5164" t="s">
        <v>15286</v>
      </c>
    </row>
    <row r="5165" spans="1:5" x14ac:dyDescent="0.25">
      <c r="A5165" t="s">
        <v>1</v>
      </c>
      <c r="B5165" t="s">
        <v>19</v>
      </c>
      <c r="C5165" t="s">
        <v>23490</v>
      </c>
      <c r="D5165" t="str">
        <f>HYPERLINK("https://rhld.insurance.arkansas.gov/NPILookup?Npi=1578643581","1578643581")</f>
        <v>1578643581</v>
      </c>
      <c r="E5165" t="s">
        <v>720</v>
      </c>
    </row>
    <row r="5166" spans="1:5" x14ac:dyDescent="0.25">
      <c r="A5166" t="s">
        <v>1</v>
      </c>
      <c r="B5166" t="s">
        <v>19</v>
      </c>
      <c r="C5166" t="s">
        <v>23490</v>
      </c>
      <c r="D5166" t="str">
        <f>HYPERLINK("https://rhld.insurance.arkansas.gov/NPILookup?Npi=1578654083","1578654083")</f>
        <v>1578654083</v>
      </c>
      <c r="E5166" t="s">
        <v>12863</v>
      </c>
    </row>
    <row r="5167" spans="1:5" x14ac:dyDescent="0.25">
      <c r="A5167" t="s">
        <v>1</v>
      </c>
      <c r="B5167" t="s">
        <v>19</v>
      </c>
      <c r="C5167" t="s">
        <v>23490</v>
      </c>
      <c r="D5167" t="str">
        <f>HYPERLINK("https://rhld.insurance.arkansas.gov/NPILookup?Npi=1578656120","1578656120")</f>
        <v>1578656120</v>
      </c>
      <c r="E5167" t="s">
        <v>12864</v>
      </c>
    </row>
    <row r="5168" spans="1:5" x14ac:dyDescent="0.25">
      <c r="A5168" t="s">
        <v>1</v>
      </c>
      <c r="B5168" t="s">
        <v>19</v>
      </c>
      <c r="C5168" t="s">
        <v>23490</v>
      </c>
      <c r="D5168" t="str">
        <f>HYPERLINK("https://rhld.insurance.arkansas.gov/NPILookup?Npi=1578663696","1578663696")</f>
        <v>1578663696</v>
      </c>
      <c r="E5168" t="s">
        <v>2031</v>
      </c>
    </row>
    <row r="5169" spans="1:5" x14ac:dyDescent="0.25">
      <c r="A5169" t="s">
        <v>1</v>
      </c>
      <c r="B5169" t="s">
        <v>19</v>
      </c>
      <c r="C5169" t="s">
        <v>23490</v>
      </c>
      <c r="D5169" t="str">
        <f>HYPERLINK("https://rhld.insurance.arkansas.gov/NPILookup?Npi=1578667010","1578667010")</f>
        <v>1578667010</v>
      </c>
      <c r="E5169" t="s">
        <v>2032</v>
      </c>
    </row>
    <row r="5170" spans="1:5" x14ac:dyDescent="0.25">
      <c r="A5170" t="s">
        <v>1</v>
      </c>
      <c r="B5170" t="s">
        <v>19</v>
      </c>
      <c r="C5170" t="s">
        <v>23490</v>
      </c>
      <c r="D5170" t="str">
        <f>HYPERLINK("https://rhld.insurance.arkansas.gov/NPILookup?Npi=1578690756","1578690756")</f>
        <v>1578690756</v>
      </c>
      <c r="E5170" t="s">
        <v>11064</v>
      </c>
    </row>
    <row r="5171" spans="1:5" x14ac:dyDescent="0.25">
      <c r="A5171" t="s">
        <v>1</v>
      </c>
      <c r="B5171" t="s">
        <v>19</v>
      </c>
      <c r="C5171" t="s">
        <v>23490</v>
      </c>
      <c r="D5171" t="str">
        <f>HYPERLINK("https://rhld.insurance.arkansas.gov/NPILookup?Npi=1578691135","1578691135")</f>
        <v>1578691135</v>
      </c>
      <c r="E5171" t="s">
        <v>2033</v>
      </c>
    </row>
    <row r="5172" spans="1:5" x14ac:dyDescent="0.25">
      <c r="A5172" t="s">
        <v>1</v>
      </c>
      <c r="B5172" t="s">
        <v>19</v>
      </c>
      <c r="C5172" t="s">
        <v>23490</v>
      </c>
      <c r="D5172" t="str">
        <f>HYPERLINK("https://rhld.insurance.arkansas.gov/NPILookup?Npi=1578693511","1578693511")</f>
        <v>1578693511</v>
      </c>
      <c r="E5172" t="s">
        <v>19841</v>
      </c>
    </row>
    <row r="5173" spans="1:5" x14ac:dyDescent="0.25">
      <c r="A5173" t="s">
        <v>1</v>
      </c>
      <c r="B5173" t="s">
        <v>19</v>
      </c>
      <c r="C5173" t="s">
        <v>23490</v>
      </c>
      <c r="D5173" t="str">
        <f>HYPERLINK("https://rhld.insurance.arkansas.gov/NPILookup?Npi=1578777538","1578777538")</f>
        <v>1578777538</v>
      </c>
      <c r="E5173" t="s">
        <v>20975</v>
      </c>
    </row>
    <row r="5174" spans="1:5" x14ac:dyDescent="0.25">
      <c r="A5174" t="s">
        <v>1</v>
      </c>
      <c r="B5174" t="s">
        <v>19</v>
      </c>
      <c r="C5174" t="s">
        <v>23490</v>
      </c>
      <c r="D5174" t="str">
        <f>HYPERLINK("https://rhld.insurance.arkansas.gov/NPILookup?Npi=1578784039","1578784039")</f>
        <v>1578784039</v>
      </c>
      <c r="E5174" t="s">
        <v>19842</v>
      </c>
    </row>
    <row r="5175" spans="1:5" x14ac:dyDescent="0.25">
      <c r="A5175" t="s">
        <v>1</v>
      </c>
      <c r="B5175" t="s">
        <v>19</v>
      </c>
      <c r="C5175" t="s">
        <v>23490</v>
      </c>
      <c r="D5175" t="str">
        <f>HYPERLINK("https://rhld.insurance.arkansas.gov/NPILookup?Npi=1578792644","1578792644")</f>
        <v>1578792644</v>
      </c>
      <c r="E5175" t="s">
        <v>2034</v>
      </c>
    </row>
    <row r="5176" spans="1:5" x14ac:dyDescent="0.25">
      <c r="A5176" t="s">
        <v>1</v>
      </c>
      <c r="B5176" t="s">
        <v>19</v>
      </c>
      <c r="C5176" t="s">
        <v>23490</v>
      </c>
      <c r="D5176" t="str">
        <f>HYPERLINK("https://rhld.insurance.arkansas.gov/NPILookup?Npi=1578793469","1578793469")</f>
        <v>1578793469</v>
      </c>
      <c r="E5176" t="s">
        <v>2035</v>
      </c>
    </row>
    <row r="5177" spans="1:5" x14ac:dyDescent="0.25">
      <c r="A5177" t="s">
        <v>1</v>
      </c>
      <c r="B5177" t="s">
        <v>19</v>
      </c>
      <c r="C5177" t="s">
        <v>23490</v>
      </c>
      <c r="D5177" t="str">
        <f>HYPERLINK("https://rhld.insurance.arkansas.gov/NPILookup?Npi=1578816575","1578816575")</f>
        <v>1578816575</v>
      </c>
      <c r="E5177" t="s">
        <v>13606</v>
      </c>
    </row>
    <row r="5178" spans="1:5" x14ac:dyDescent="0.25">
      <c r="A5178" t="s">
        <v>1</v>
      </c>
      <c r="B5178" t="s">
        <v>19</v>
      </c>
      <c r="C5178" t="s">
        <v>23490</v>
      </c>
      <c r="D5178" t="str">
        <f>HYPERLINK("https://rhld.insurance.arkansas.gov/NPILookup?Npi=1578818621","1578818621")</f>
        <v>1578818621</v>
      </c>
      <c r="E5178" t="s">
        <v>19843</v>
      </c>
    </row>
    <row r="5179" spans="1:5" x14ac:dyDescent="0.25">
      <c r="A5179" t="s">
        <v>1</v>
      </c>
      <c r="B5179" t="s">
        <v>19</v>
      </c>
      <c r="C5179" t="s">
        <v>23490</v>
      </c>
      <c r="D5179" t="str">
        <f>HYPERLINK("https://rhld.insurance.arkansas.gov/NPILookup?Npi=1578819405","1578819405")</f>
        <v>1578819405</v>
      </c>
      <c r="E5179" t="s">
        <v>2036</v>
      </c>
    </row>
    <row r="5180" spans="1:5" x14ac:dyDescent="0.25">
      <c r="A5180" t="s">
        <v>1</v>
      </c>
      <c r="B5180" t="s">
        <v>19</v>
      </c>
      <c r="C5180" t="s">
        <v>23490</v>
      </c>
      <c r="D5180" t="str">
        <f>HYPERLINK("https://rhld.insurance.arkansas.gov/NPILookup?Npi=1578826020","1578826020")</f>
        <v>1578826020</v>
      </c>
      <c r="E5180" t="s">
        <v>2037</v>
      </c>
    </row>
    <row r="5181" spans="1:5" x14ac:dyDescent="0.25">
      <c r="A5181" t="s">
        <v>1</v>
      </c>
      <c r="B5181" t="s">
        <v>19</v>
      </c>
      <c r="C5181" t="s">
        <v>23490</v>
      </c>
      <c r="D5181" t="str">
        <f>HYPERLINK("https://rhld.insurance.arkansas.gov/NPILookup?Npi=1578831434","1578831434")</f>
        <v>1578831434</v>
      </c>
      <c r="E5181" t="s">
        <v>13607</v>
      </c>
    </row>
    <row r="5182" spans="1:5" x14ac:dyDescent="0.25">
      <c r="A5182" t="s">
        <v>1</v>
      </c>
      <c r="B5182" t="s">
        <v>19</v>
      </c>
      <c r="C5182" t="s">
        <v>23490</v>
      </c>
      <c r="D5182" t="str">
        <f>HYPERLINK("https://rhld.insurance.arkansas.gov/NPILookup?Npi=1578835534","1578835534")</f>
        <v>1578835534</v>
      </c>
      <c r="E5182" t="s">
        <v>2038</v>
      </c>
    </row>
    <row r="5183" spans="1:5" x14ac:dyDescent="0.25">
      <c r="A5183" t="s">
        <v>1</v>
      </c>
      <c r="B5183" t="s">
        <v>19</v>
      </c>
      <c r="C5183" t="s">
        <v>23490</v>
      </c>
      <c r="D5183" t="str">
        <f>HYPERLINK("https://rhld.insurance.arkansas.gov/NPILookup?Npi=1578839205","1578839205")</f>
        <v>1578839205</v>
      </c>
      <c r="E5183" t="s">
        <v>15287</v>
      </c>
    </row>
    <row r="5184" spans="1:5" x14ac:dyDescent="0.25">
      <c r="A5184" t="s">
        <v>1</v>
      </c>
      <c r="B5184" t="s">
        <v>19</v>
      </c>
      <c r="C5184" t="s">
        <v>23490</v>
      </c>
      <c r="D5184" t="str">
        <f>HYPERLINK("https://rhld.insurance.arkansas.gov/NPILookup?Npi=1578841441","1578841441")</f>
        <v>1578841441</v>
      </c>
      <c r="E5184" t="s">
        <v>2039</v>
      </c>
    </row>
    <row r="5185" spans="1:5" x14ac:dyDescent="0.25">
      <c r="A5185" t="s">
        <v>1</v>
      </c>
      <c r="B5185" t="s">
        <v>19</v>
      </c>
      <c r="C5185" t="s">
        <v>23490</v>
      </c>
      <c r="D5185" t="str">
        <f>HYPERLINK("https://rhld.insurance.arkansas.gov/NPILookup?Npi=1578862785","1578862785")</f>
        <v>1578862785</v>
      </c>
      <c r="E5185" t="s">
        <v>2040</v>
      </c>
    </row>
    <row r="5186" spans="1:5" x14ac:dyDescent="0.25">
      <c r="A5186" t="s">
        <v>1</v>
      </c>
      <c r="B5186" t="s">
        <v>19</v>
      </c>
      <c r="C5186" t="s">
        <v>23490</v>
      </c>
      <c r="D5186" t="str">
        <f>HYPERLINK("https://rhld.insurance.arkansas.gov/NPILookup?Npi=1578869764","1578869764")</f>
        <v>1578869764</v>
      </c>
      <c r="E5186" t="s">
        <v>21582</v>
      </c>
    </row>
    <row r="5187" spans="1:5" x14ac:dyDescent="0.25">
      <c r="A5187" t="s">
        <v>1</v>
      </c>
      <c r="B5187" t="s">
        <v>19</v>
      </c>
      <c r="C5187" t="s">
        <v>23490</v>
      </c>
      <c r="D5187" t="str">
        <f>HYPERLINK("https://rhld.insurance.arkansas.gov/NPILookup?Npi=1578875894","1578875894")</f>
        <v>1578875894</v>
      </c>
      <c r="E5187" t="s">
        <v>2041</v>
      </c>
    </row>
    <row r="5188" spans="1:5" x14ac:dyDescent="0.25">
      <c r="A5188" t="s">
        <v>1</v>
      </c>
      <c r="B5188" t="s">
        <v>19</v>
      </c>
      <c r="C5188" t="s">
        <v>23490</v>
      </c>
      <c r="D5188" t="str">
        <f>HYPERLINK("https://rhld.insurance.arkansas.gov/NPILookup?Npi=1578876959","1578876959")</f>
        <v>1578876959</v>
      </c>
      <c r="E5188" t="s">
        <v>2042</v>
      </c>
    </row>
    <row r="5189" spans="1:5" x14ac:dyDescent="0.25">
      <c r="A5189" t="s">
        <v>1</v>
      </c>
      <c r="B5189" t="s">
        <v>19</v>
      </c>
      <c r="C5189" t="s">
        <v>23490</v>
      </c>
      <c r="D5189" t="str">
        <f>HYPERLINK("https://rhld.insurance.arkansas.gov/NPILookup?Npi=1578881488","1578881488")</f>
        <v>1578881488</v>
      </c>
      <c r="E5189" t="s">
        <v>2043</v>
      </c>
    </row>
    <row r="5190" spans="1:5" x14ac:dyDescent="0.25">
      <c r="A5190" t="s">
        <v>1</v>
      </c>
      <c r="B5190" t="s">
        <v>19</v>
      </c>
      <c r="C5190" t="s">
        <v>23490</v>
      </c>
      <c r="D5190" t="str">
        <f>HYPERLINK("https://rhld.insurance.arkansas.gov/NPILookup?Npi=1578883377","1578883377")</f>
        <v>1578883377</v>
      </c>
      <c r="E5190" t="s">
        <v>8749</v>
      </c>
    </row>
    <row r="5191" spans="1:5" x14ac:dyDescent="0.25">
      <c r="A5191" t="s">
        <v>1</v>
      </c>
      <c r="B5191" t="s">
        <v>19</v>
      </c>
      <c r="C5191" t="s">
        <v>23490</v>
      </c>
      <c r="D5191" t="str">
        <f>HYPERLINK("https://rhld.insurance.arkansas.gov/NPILookup?Npi=1578884540","1578884540")</f>
        <v>1578884540</v>
      </c>
      <c r="E5191" t="s">
        <v>11066</v>
      </c>
    </row>
    <row r="5192" spans="1:5" x14ac:dyDescent="0.25">
      <c r="A5192" t="s">
        <v>1</v>
      </c>
      <c r="B5192" t="s">
        <v>19</v>
      </c>
      <c r="C5192" t="s">
        <v>23490</v>
      </c>
      <c r="D5192" t="str">
        <f>HYPERLINK("https://rhld.insurance.arkansas.gov/NPILookup?Npi=1578889440","1578889440")</f>
        <v>1578889440</v>
      </c>
      <c r="E5192" t="s">
        <v>2044</v>
      </c>
    </row>
    <row r="5193" spans="1:5" x14ac:dyDescent="0.25">
      <c r="A5193" t="s">
        <v>1</v>
      </c>
      <c r="B5193" t="s">
        <v>19</v>
      </c>
      <c r="C5193" t="s">
        <v>23490</v>
      </c>
      <c r="D5193" t="str">
        <f>HYPERLINK("https://rhld.insurance.arkansas.gov/NPILookup?Npi=1578921698","1578921698")</f>
        <v>1578921698</v>
      </c>
      <c r="E5193" t="s">
        <v>11067</v>
      </c>
    </row>
    <row r="5194" spans="1:5" x14ac:dyDescent="0.25">
      <c r="A5194" t="s">
        <v>1</v>
      </c>
      <c r="B5194" t="s">
        <v>19</v>
      </c>
      <c r="C5194" t="s">
        <v>23490</v>
      </c>
      <c r="D5194" t="str">
        <f>HYPERLINK("https://rhld.insurance.arkansas.gov/NPILookup?Npi=1578930715","1578930715")</f>
        <v>1578930715</v>
      </c>
      <c r="E5194" t="s">
        <v>2045</v>
      </c>
    </row>
    <row r="5195" spans="1:5" x14ac:dyDescent="0.25">
      <c r="A5195" t="s">
        <v>1</v>
      </c>
      <c r="B5195" t="s">
        <v>19</v>
      </c>
      <c r="C5195" t="s">
        <v>23490</v>
      </c>
      <c r="D5195" t="str">
        <f>HYPERLINK("https://rhld.insurance.arkansas.gov/NPILookup?Npi=1578931655","1578931655")</f>
        <v>1578931655</v>
      </c>
      <c r="E5195" t="s">
        <v>15288</v>
      </c>
    </row>
    <row r="5196" spans="1:5" x14ac:dyDescent="0.25">
      <c r="A5196" t="s">
        <v>1</v>
      </c>
      <c r="B5196" t="s">
        <v>19</v>
      </c>
      <c r="C5196" t="s">
        <v>23490</v>
      </c>
      <c r="D5196" t="str">
        <f>HYPERLINK("https://rhld.insurance.arkansas.gov/NPILookup?Npi=1578932695","1578932695")</f>
        <v>1578932695</v>
      </c>
      <c r="E5196" t="s">
        <v>2046</v>
      </c>
    </row>
    <row r="5197" spans="1:5" x14ac:dyDescent="0.25">
      <c r="A5197" t="s">
        <v>1</v>
      </c>
      <c r="B5197" t="s">
        <v>19</v>
      </c>
      <c r="C5197" t="s">
        <v>23490</v>
      </c>
      <c r="D5197" t="str">
        <f>HYPERLINK("https://rhld.insurance.arkansas.gov/NPILookup?Npi=1578942066","1578942066")</f>
        <v>1578942066</v>
      </c>
      <c r="E5197" t="s">
        <v>2047</v>
      </c>
    </row>
    <row r="5198" spans="1:5" x14ac:dyDescent="0.25">
      <c r="A5198" t="s">
        <v>1</v>
      </c>
      <c r="B5198" t="s">
        <v>19</v>
      </c>
      <c r="C5198" t="s">
        <v>23490</v>
      </c>
      <c r="D5198" t="str">
        <f>HYPERLINK("https://rhld.insurance.arkansas.gov/NPILookup?Npi=1578945770","1578945770")</f>
        <v>1578945770</v>
      </c>
      <c r="E5198" t="s">
        <v>1784</v>
      </c>
    </row>
    <row r="5199" spans="1:5" x14ac:dyDescent="0.25">
      <c r="A5199" t="s">
        <v>1</v>
      </c>
      <c r="B5199" t="s">
        <v>19</v>
      </c>
      <c r="C5199" t="s">
        <v>23490</v>
      </c>
      <c r="D5199" t="str">
        <f>HYPERLINK("https://rhld.insurance.arkansas.gov/NPILookup?Npi=1578947925","1578947925")</f>
        <v>1578947925</v>
      </c>
      <c r="E5199" t="s">
        <v>4815</v>
      </c>
    </row>
    <row r="5200" spans="1:5" x14ac:dyDescent="0.25">
      <c r="A5200" t="s">
        <v>1</v>
      </c>
      <c r="B5200" t="s">
        <v>19</v>
      </c>
      <c r="C5200" t="s">
        <v>23490</v>
      </c>
      <c r="D5200" t="str">
        <f>HYPERLINK("https://rhld.insurance.arkansas.gov/NPILookup?Npi=1578951372","1578951372")</f>
        <v>1578951372</v>
      </c>
      <c r="E5200" t="s">
        <v>18047</v>
      </c>
    </row>
    <row r="5201" spans="1:5" x14ac:dyDescent="0.25">
      <c r="A5201" t="s">
        <v>1</v>
      </c>
      <c r="B5201" t="s">
        <v>19</v>
      </c>
      <c r="C5201" t="s">
        <v>23490</v>
      </c>
      <c r="D5201" t="str">
        <f>HYPERLINK("https://rhld.insurance.arkansas.gov/NPILookup?Npi=1578954343","1578954343")</f>
        <v>1578954343</v>
      </c>
      <c r="E5201" t="s">
        <v>8750</v>
      </c>
    </row>
    <row r="5202" spans="1:5" x14ac:dyDescent="0.25">
      <c r="A5202" t="s">
        <v>1</v>
      </c>
      <c r="B5202" t="s">
        <v>19</v>
      </c>
      <c r="C5202" t="s">
        <v>23490</v>
      </c>
      <c r="D5202" t="str">
        <f>HYPERLINK("https://rhld.insurance.arkansas.gov/NPILookup?Npi=1578954616","1578954616")</f>
        <v>1578954616</v>
      </c>
      <c r="E5202" t="s">
        <v>2048</v>
      </c>
    </row>
    <row r="5203" spans="1:5" x14ac:dyDescent="0.25">
      <c r="A5203" t="s">
        <v>1</v>
      </c>
      <c r="B5203" t="s">
        <v>19</v>
      </c>
      <c r="C5203" t="s">
        <v>23490</v>
      </c>
      <c r="D5203" t="str">
        <f>HYPERLINK("https://rhld.insurance.arkansas.gov/NPILookup?Npi=1578956223","1578956223")</f>
        <v>1578956223</v>
      </c>
      <c r="E5203" t="s">
        <v>2049</v>
      </c>
    </row>
    <row r="5204" spans="1:5" x14ac:dyDescent="0.25">
      <c r="A5204" t="s">
        <v>1</v>
      </c>
      <c r="B5204" t="s">
        <v>19</v>
      </c>
      <c r="C5204" t="s">
        <v>23490</v>
      </c>
      <c r="D5204" t="str">
        <f>HYPERLINK("https://rhld.insurance.arkansas.gov/NPILookup?Npi=1578957122","1578957122")</f>
        <v>1578957122</v>
      </c>
      <c r="E5204" t="s">
        <v>11068</v>
      </c>
    </row>
    <row r="5205" spans="1:5" x14ac:dyDescent="0.25">
      <c r="A5205" t="s">
        <v>1</v>
      </c>
      <c r="B5205" t="s">
        <v>19</v>
      </c>
      <c r="C5205" t="s">
        <v>23490</v>
      </c>
      <c r="D5205" t="str">
        <f>HYPERLINK("https://rhld.insurance.arkansas.gov/NPILookup?Npi=1578958138","1578958138")</f>
        <v>1578958138</v>
      </c>
      <c r="E5205" t="s">
        <v>13608</v>
      </c>
    </row>
    <row r="5206" spans="1:5" x14ac:dyDescent="0.25">
      <c r="A5206" t="s">
        <v>1</v>
      </c>
      <c r="B5206" t="s">
        <v>19</v>
      </c>
      <c r="C5206" t="s">
        <v>23490</v>
      </c>
      <c r="D5206" t="str">
        <f>HYPERLINK("https://rhld.insurance.arkansas.gov/NPILookup?Npi=1578960100","1578960100")</f>
        <v>1578960100</v>
      </c>
      <c r="E5206" t="s">
        <v>13609</v>
      </c>
    </row>
    <row r="5207" spans="1:5" x14ac:dyDescent="0.25">
      <c r="A5207" t="s">
        <v>1</v>
      </c>
      <c r="B5207" t="s">
        <v>19</v>
      </c>
      <c r="C5207" t="s">
        <v>23490</v>
      </c>
      <c r="D5207" t="str">
        <f>HYPERLINK("https://rhld.insurance.arkansas.gov/NPILookup?Npi=1578970364","1578970364")</f>
        <v>1578970364</v>
      </c>
      <c r="E5207" t="s">
        <v>8751</v>
      </c>
    </row>
    <row r="5208" spans="1:5" x14ac:dyDescent="0.25">
      <c r="A5208" t="s">
        <v>1</v>
      </c>
      <c r="B5208" t="s">
        <v>19</v>
      </c>
      <c r="C5208" t="s">
        <v>23490</v>
      </c>
      <c r="D5208" t="str">
        <f>HYPERLINK("https://rhld.insurance.arkansas.gov/NPILookup?Npi=1578976908","1578976908")</f>
        <v>1578976908</v>
      </c>
      <c r="E5208" t="s">
        <v>11070</v>
      </c>
    </row>
    <row r="5209" spans="1:5" x14ac:dyDescent="0.25">
      <c r="A5209" t="s">
        <v>1</v>
      </c>
      <c r="B5209" t="s">
        <v>19</v>
      </c>
      <c r="C5209" t="s">
        <v>23490</v>
      </c>
      <c r="D5209" t="str">
        <f>HYPERLINK("https://rhld.insurance.arkansas.gov/NPILookup?Npi=1578977658","1578977658")</f>
        <v>1578977658</v>
      </c>
      <c r="E5209" t="s">
        <v>17442</v>
      </c>
    </row>
    <row r="5210" spans="1:5" x14ac:dyDescent="0.25">
      <c r="A5210" t="s">
        <v>1</v>
      </c>
      <c r="B5210" t="s">
        <v>19</v>
      </c>
      <c r="C5210" t="s">
        <v>23490</v>
      </c>
      <c r="D5210" t="str">
        <f>HYPERLINK("https://rhld.insurance.arkansas.gov/NPILookup?Npi=1578980595","1578980595")</f>
        <v>1578980595</v>
      </c>
      <c r="E5210" t="s">
        <v>16987</v>
      </c>
    </row>
    <row r="5211" spans="1:5" x14ac:dyDescent="0.25">
      <c r="A5211" t="s">
        <v>1</v>
      </c>
      <c r="B5211" t="s">
        <v>19</v>
      </c>
      <c r="C5211" t="s">
        <v>23490</v>
      </c>
      <c r="D5211" t="str">
        <f>HYPERLINK("https://rhld.insurance.arkansas.gov/NPILookup?Npi=1578983805","1578983805")</f>
        <v>1578983805</v>
      </c>
      <c r="E5211" t="s">
        <v>13610</v>
      </c>
    </row>
    <row r="5212" spans="1:5" x14ac:dyDescent="0.25">
      <c r="A5212" t="s">
        <v>1</v>
      </c>
      <c r="B5212" t="s">
        <v>19</v>
      </c>
      <c r="C5212" t="s">
        <v>23490</v>
      </c>
      <c r="D5212" t="str">
        <f>HYPERLINK("https://rhld.insurance.arkansas.gov/NPILookup?Npi=1578986212","1578986212")</f>
        <v>1578986212</v>
      </c>
      <c r="E5212" t="s">
        <v>2050</v>
      </c>
    </row>
    <row r="5213" spans="1:5" x14ac:dyDescent="0.25">
      <c r="A5213" t="s">
        <v>1</v>
      </c>
      <c r="B5213" t="s">
        <v>19</v>
      </c>
      <c r="C5213" t="s">
        <v>23490</v>
      </c>
      <c r="D5213" t="str">
        <f>HYPERLINK("https://rhld.insurance.arkansas.gov/NPILookup?Npi=1578995890","1578995890")</f>
        <v>1578995890</v>
      </c>
      <c r="E5213" t="s">
        <v>2051</v>
      </c>
    </row>
    <row r="5214" spans="1:5" x14ac:dyDescent="0.25">
      <c r="A5214" t="s">
        <v>1</v>
      </c>
      <c r="B5214" t="s">
        <v>19</v>
      </c>
      <c r="C5214" t="s">
        <v>23490</v>
      </c>
      <c r="D5214" t="str">
        <f>HYPERLINK("https://rhld.insurance.arkansas.gov/NPILookup?Npi=1588003297","1588003297")</f>
        <v>1588003297</v>
      </c>
      <c r="E5214" t="s">
        <v>11071</v>
      </c>
    </row>
    <row r="5215" spans="1:5" x14ac:dyDescent="0.25">
      <c r="A5215" t="s">
        <v>1</v>
      </c>
      <c r="B5215" t="s">
        <v>19</v>
      </c>
      <c r="C5215" t="s">
        <v>23490</v>
      </c>
      <c r="D5215" t="str">
        <f>HYPERLINK("https://rhld.insurance.arkansas.gov/NPILookup?Npi=1588007454","1588007454")</f>
        <v>1588007454</v>
      </c>
      <c r="E5215" t="s">
        <v>11072</v>
      </c>
    </row>
    <row r="5216" spans="1:5" x14ac:dyDescent="0.25">
      <c r="A5216" t="s">
        <v>1</v>
      </c>
      <c r="B5216" t="s">
        <v>19</v>
      </c>
      <c r="C5216" t="s">
        <v>23490</v>
      </c>
      <c r="D5216" t="str">
        <f>HYPERLINK("https://rhld.insurance.arkansas.gov/NPILookup?Npi=1588014294","1588014294")</f>
        <v>1588014294</v>
      </c>
      <c r="E5216" t="s">
        <v>11073</v>
      </c>
    </row>
    <row r="5217" spans="1:5" x14ac:dyDescent="0.25">
      <c r="A5217" t="s">
        <v>1</v>
      </c>
      <c r="B5217" t="s">
        <v>19</v>
      </c>
      <c r="C5217" t="s">
        <v>23490</v>
      </c>
      <c r="D5217" t="str">
        <f>HYPERLINK("https://rhld.insurance.arkansas.gov/NPILookup?Npi=1588016646","1588016646")</f>
        <v>1588016646</v>
      </c>
      <c r="E5217" t="s">
        <v>11074</v>
      </c>
    </row>
    <row r="5218" spans="1:5" x14ac:dyDescent="0.25">
      <c r="A5218" t="s">
        <v>1</v>
      </c>
      <c r="B5218" t="s">
        <v>19</v>
      </c>
      <c r="C5218" t="s">
        <v>23490</v>
      </c>
      <c r="D5218" t="str">
        <f>HYPERLINK("https://rhld.insurance.arkansas.gov/NPILookup?Npi=1588026983","1588026983")</f>
        <v>1588026983</v>
      </c>
      <c r="E5218" t="s">
        <v>15289</v>
      </c>
    </row>
    <row r="5219" spans="1:5" x14ac:dyDescent="0.25">
      <c r="A5219" t="s">
        <v>1</v>
      </c>
      <c r="B5219" t="s">
        <v>19</v>
      </c>
      <c r="C5219" t="s">
        <v>23490</v>
      </c>
      <c r="D5219" t="str">
        <f>HYPERLINK("https://rhld.insurance.arkansas.gov/NPILookup?Npi=1588027148","1588027148")</f>
        <v>1588027148</v>
      </c>
      <c r="E5219" t="s">
        <v>15290</v>
      </c>
    </row>
    <row r="5220" spans="1:5" x14ac:dyDescent="0.25">
      <c r="A5220" t="s">
        <v>1</v>
      </c>
      <c r="B5220" t="s">
        <v>19</v>
      </c>
      <c r="C5220" t="s">
        <v>23490</v>
      </c>
      <c r="D5220" t="str">
        <f>HYPERLINK("https://rhld.insurance.arkansas.gov/NPILookup?Npi=1588032437","1588032437")</f>
        <v>1588032437</v>
      </c>
      <c r="E5220" t="s">
        <v>8752</v>
      </c>
    </row>
    <row r="5221" spans="1:5" x14ac:dyDescent="0.25">
      <c r="A5221" t="s">
        <v>1</v>
      </c>
      <c r="B5221" t="s">
        <v>19</v>
      </c>
      <c r="C5221" t="s">
        <v>23490</v>
      </c>
      <c r="D5221" t="str">
        <f>HYPERLINK("https://rhld.insurance.arkansas.gov/NPILookup?Npi=1588042220","1588042220")</f>
        <v>1588042220</v>
      </c>
      <c r="E5221" t="s">
        <v>11075</v>
      </c>
    </row>
    <row r="5222" spans="1:5" x14ac:dyDescent="0.25">
      <c r="A5222" t="s">
        <v>1</v>
      </c>
      <c r="B5222" t="s">
        <v>19</v>
      </c>
      <c r="C5222" t="s">
        <v>23490</v>
      </c>
      <c r="D5222" t="str">
        <f>HYPERLINK("https://rhld.insurance.arkansas.gov/NPILookup?Npi=1588042246","1588042246")</f>
        <v>1588042246</v>
      </c>
      <c r="E5222" t="s">
        <v>12865</v>
      </c>
    </row>
    <row r="5223" spans="1:5" x14ac:dyDescent="0.25">
      <c r="A5223" t="s">
        <v>1</v>
      </c>
      <c r="B5223" t="s">
        <v>19</v>
      </c>
      <c r="C5223" t="s">
        <v>23490</v>
      </c>
      <c r="D5223" t="str">
        <f>HYPERLINK("https://rhld.insurance.arkansas.gov/NPILookup?Npi=1588047443","1588047443")</f>
        <v>1588047443</v>
      </c>
      <c r="E5223" t="s">
        <v>18048</v>
      </c>
    </row>
    <row r="5224" spans="1:5" x14ac:dyDescent="0.25">
      <c r="A5224" t="s">
        <v>1</v>
      </c>
      <c r="B5224" t="s">
        <v>19</v>
      </c>
      <c r="C5224" t="s">
        <v>23490</v>
      </c>
      <c r="D5224" t="str">
        <f>HYPERLINK("https://rhld.insurance.arkansas.gov/NPILookup?Npi=1588053789","1588053789")</f>
        <v>1588053789</v>
      </c>
      <c r="E5224" t="s">
        <v>2053</v>
      </c>
    </row>
    <row r="5225" spans="1:5" x14ac:dyDescent="0.25">
      <c r="A5225" t="s">
        <v>1</v>
      </c>
      <c r="B5225" t="s">
        <v>19</v>
      </c>
      <c r="C5225" t="s">
        <v>23490</v>
      </c>
      <c r="D5225" t="str">
        <f>HYPERLINK("https://rhld.insurance.arkansas.gov/NPILookup?Npi=1588054001","1588054001")</f>
        <v>1588054001</v>
      </c>
      <c r="E5225" t="s">
        <v>2054</v>
      </c>
    </row>
    <row r="5226" spans="1:5" x14ac:dyDescent="0.25">
      <c r="A5226" t="s">
        <v>1</v>
      </c>
      <c r="B5226" t="s">
        <v>19</v>
      </c>
      <c r="C5226" t="s">
        <v>23490</v>
      </c>
      <c r="D5226" t="str">
        <f>HYPERLINK("https://rhld.insurance.arkansas.gov/NPILookup?Npi=1588055578","1588055578")</f>
        <v>1588055578</v>
      </c>
      <c r="E5226" t="s">
        <v>15291</v>
      </c>
    </row>
    <row r="5227" spans="1:5" x14ac:dyDescent="0.25">
      <c r="A5227" t="s">
        <v>1</v>
      </c>
      <c r="B5227" t="s">
        <v>19</v>
      </c>
      <c r="C5227" t="s">
        <v>23490</v>
      </c>
      <c r="D5227" t="str">
        <f>HYPERLINK("https://rhld.insurance.arkansas.gov/NPILookup?Npi=1588058895","1588058895")</f>
        <v>1588058895</v>
      </c>
      <c r="E5227" t="s">
        <v>2055</v>
      </c>
    </row>
    <row r="5228" spans="1:5" x14ac:dyDescent="0.25">
      <c r="A5228" t="s">
        <v>1</v>
      </c>
      <c r="B5228" t="s">
        <v>19</v>
      </c>
      <c r="C5228" t="s">
        <v>23490</v>
      </c>
      <c r="D5228" t="str">
        <f>HYPERLINK("https://rhld.insurance.arkansas.gov/NPILookup?Npi=1588059281","1588059281")</f>
        <v>1588059281</v>
      </c>
      <c r="E5228" t="s">
        <v>13611</v>
      </c>
    </row>
    <row r="5229" spans="1:5" x14ac:dyDescent="0.25">
      <c r="A5229" t="s">
        <v>1</v>
      </c>
      <c r="B5229" t="s">
        <v>19</v>
      </c>
      <c r="C5229" t="s">
        <v>23490</v>
      </c>
      <c r="D5229" t="str">
        <f>HYPERLINK("https://rhld.insurance.arkansas.gov/NPILookup?Npi=1588067375","1588067375")</f>
        <v>1588067375</v>
      </c>
      <c r="E5229" t="s">
        <v>19844</v>
      </c>
    </row>
    <row r="5230" spans="1:5" x14ac:dyDescent="0.25">
      <c r="A5230" t="s">
        <v>1</v>
      </c>
      <c r="B5230" t="s">
        <v>19</v>
      </c>
      <c r="C5230" t="s">
        <v>23490</v>
      </c>
      <c r="D5230" t="str">
        <f>HYPERLINK("https://rhld.insurance.arkansas.gov/NPILookup?Npi=1588073738","1588073738")</f>
        <v>1588073738</v>
      </c>
      <c r="E5230" t="s">
        <v>8753</v>
      </c>
    </row>
    <row r="5231" spans="1:5" x14ac:dyDescent="0.25">
      <c r="A5231" t="s">
        <v>1</v>
      </c>
      <c r="B5231" t="s">
        <v>19</v>
      </c>
      <c r="C5231" t="s">
        <v>23490</v>
      </c>
      <c r="D5231" t="str">
        <f>HYPERLINK("https://rhld.insurance.arkansas.gov/NPILookup?Npi=1588081228","1588081228")</f>
        <v>1588081228</v>
      </c>
      <c r="E5231" t="s">
        <v>11076</v>
      </c>
    </row>
    <row r="5232" spans="1:5" x14ac:dyDescent="0.25">
      <c r="A5232" t="s">
        <v>1</v>
      </c>
      <c r="B5232" t="s">
        <v>19</v>
      </c>
      <c r="C5232" t="s">
        <v>23490</v>
      </c>
      <c r="D5232" t="str">
        <f>HYPERLINK("https://rhld.insurance.arkansas.gov/NPILookup?Npi=1588085468","1588085468")</f>
        <v>1588085468</v>
      </c>
      <c r="E5232" t="s">
        <v>2056</v>
      </c>
    </row>
    <row r="5233" spans="1:5" x14ac:dyDescent="0.25">
      <c r="A5233" t="s">
        <v>1</v>
      </c>
      <c r="B5233" t="s">
        <v>19</v>
      </c>
      <c r="C5233" t="s">
        <v>23490</v>
      </c>
      <c r="D5233" t="str">
        <f>HYPERLINK("https://rhld.insurance.arkansas.gov/NPILookup?Npi=1588097471","1588097471")</f>
        <v>1588097471</v>
      </c>
      <c r="E5233" t="s">
        <v>15292</v>
      </c>
    </row>
    <row r="5234" spans="1:5" x14ac:dyDescent="0.25">
      <c r="A5234" t="s">
        <v>1</v>
      </c>
      <c r="B5234" t="s">
        <v>19</v>
      </c>
      <c r="C5234" t="s">
        <v>23490</v>
      </c>
      <c r="D5234" t="str">
        <f>HYPERLINK("https://rhld.insurance.arkansas.gov/NPILookup?Npi=1588097596","1588097596")</f>
        <v>1588097596</v>
      </c>
      <c r="E5234" t="s">
        <v>16988</v>
      </c>
    </row>
    <row r="5235" spans="1:5" x14ac:dyDescent="0.25">
      <c r="A5235" t="s">
        <v>1</v>
      </c>
      <c r="B5235" t="s">
        <v>19</v>
      </c>
      <c r="C5235" t="s">
        <v>23490</v>
      </c>
      <c r="D5235" t="str">
        <f>HYPERLINK("https://rhld.insurance.arkansas.gov/NPILookup?Npi=1588097836","1588097836")</f>
        <v>1588097836</v>
      </c>
      <c r="E5235" t="s">
        <v>2058</v>
      </c>
    </row>
    <row r="5236" spans="1:5" x14ac:dyDescent="0.25">
      <c r="A5236" t="s">
        <v>1</v>
      </c>
      <c r="B5236" t="s">
        <v>19</v>
      </c>
      <c r="C5236" t="s">
        <v>23490</v>
      </c>
      <c r="D5236" t="str">
        <f>HYPERLINK("https://rhld.insurance.arkansas.gov/NPILookup?Npi=1588104590","1588104590")</f>
        <v>1588104590</v>
      </c>
      <c r="E5236" t="s">
        <v>11077</v>
      </c>
    </row>
    <row r="5237" spans="1:5" x14ac:dyDescent="0.25">
      <c r="A5237" t="s">
        <v>1</v>
      </c>
      <c r="B5237" t="s">
        <v>19</v>
      </c>
      <c r="C5237" t="s">
        <v>23490</v>
      </c>
      <c r="D5237" t="str">
        <f>HYPERLINK("https://rhld.insurance.arkansas.gov/NPILookup?Npi=1588109094","1588109094")</f>
        <v>1588109094</v>
      </c>
      <c r="E5237" t="s">
        <v>11078</v>
      </c>
    </row>
    <row r="5238" spans="1:5" x14ac:dyDescent="0.25">
      <c r="A5238" t="s">
        <v>1</v>
      </c>
      <c r="B5238" t="s">
        <v>19</v>
      </c>
      <c r="C5238" t="s">
        <v>23490</v>
      </c>
      <c r="D5238" t="str">
        <f>HYPERLINK("https://rhld.insurance.arkansas.gov/NPILookup?Npi=1588132948","1588132948")</f>
        <v>1588132948</v>
      </c>
      <c r="E5238" t="s">
        <v>15293</v>
      </c>
    </row>
    <row r="5239" spans="1:5" x14ac:dyDescent="0.25">
      <c r="A5239" t="s">
        <v>1</v>
      </c>
      <c r="B5239" t="s">
        <v>19</v>
      </c>
      <c r="C5239" t="s">
        <v>23490</v>
      </c>
      <c r="D5239" t="str">
        <f>HYPERLINK("https://rhld.insurance.arkansas.gov/NPILookup?Npi=1588138267","1588138267")</f>
        <v>1588138267</v>
      </c>
      <c r="E5239" t="s">
        <v>16989</v>
      </c>
    </row>
    <row r="5240" spans="1:5" x14ac:dyDescent="0.25">
      <c r="A5240" t="s">
        <v>1</v>
      </c>
      <c r="B5240" t="s">
        <v>19</v>
      </c>
      <c r="C5240" t="s">
        <v>23490</v>
      </c>
      <c r="D5240" t="str">
        <f>HYPERLINK("https://rhld.insurance.arkansas.gov/NPILookup?Npi=1588148431","1588148431")</f>
        <v>1588148431</v>
      </c>
      <c r="E5240" t="s">
        <v>15294</v>
      </c>
    </row>
    <row r="5241" spans="1:5" x14ac:dyDescent="0.25">
      <c r="A5241" t="s">
        <v>1</v>
      </c>
      <c r="B5241" t="s">
        <v>19</v>
      </c>
      <c r="C5241" t="s">
        <v>23490</v>
      </c>
      <c r="D5241" t="str">
        <f>HYPERLINK("https://rhld.insurance.arkansas.gov/NPILookup?Npi=1588160915","1588160915")</f>
        <v>1588160915</v>
      </c>
      <c r="E5241" t="s">
        <v>18816</v>
      </c>
    </row>
    <row r="5242" spans="1:5" x14ac:dyDescent="0.25">
      <c r="A5242" t="s">
        <v>1</v>
      </c>
      <c r="B5242" t="s">
        <v>19</v>
      </c>
      <c r="C5242" t="s">
        <v>23490</v>
      </c>
      <c r="D5242" t="str">
        <f>HYPERLINK("https://rhld.insurance.arkansas.gov/NPILookup?Npi=1588161400","1588161400")</f>
        <v>1588161400</v>
      </c>
      <c r="E5242" t="s">
        <v>19845</v>
      </c>
    </row>
    <row r="5243" spans="1:5" x14ac:dyDescent="0.25">
      <c r="A5243" t="s">
        <v>1</v>
      </c>
      <c r="B5243" t="s">
        <v>19</v>
      </c>
      <c r="C5243" t="s">
        <v>23490</v>
      </c>
      <c r="D5243" t="str">
        <f>HYPERLINK("https://rhld.insurance.arkansas.gov/NPILookup?Npi=1588169965","1588169965")</f>
        <v>1588169965</v>
      </c>
      <c r="E5243" t="s">
        <v>20976</v>
      </c>
    </row>
    <row r="5244" spans="1:5" x14ac:dyDescent="0.25">
      <c r="A5244" t="s">
        <v>1</v>
      </c>
      <c r="B5244" t="s">
        <v>19</v>
      </c>
      <c r="C5244" t="s">
        <v>23490</v>
      </c>
      <c r="D5244" t="str">
        <f>HYPERLINK("https://rhld.insurance.arkansas.gov/NPILookup?Npi=1588192553","1588192553")</f>
        <v>1588192553</v>
      </c>
      <c r="E5244" t="s">
        <v>11079</v>
      </c>
    </row>
    <row r="5245" spans="1:5" x14ac:dyDescent="0.25">
      <c r="A5245" t="s">
        <v>1</v>
      </c>
      <c r="B5245" t="s">
        <v>19</v>
      </c>
      <c r="C5245" t="s">
        <v>23490</v>
      </c>
      <c r="D5245" t="str">
        <f>HYPERLINK("https://rhld.insurance.arkansas.gov/NPILookup?Npi=1588194427","1588194427")</f>
        <v>1588194427</v>
      </c>
      <c r="E5245" t="s">
        <v>15295</v>
      </c>
    </row>
    <row r="5246" spans="1:5" x14ac:dyDescent="0.25">
      <c r="A5246" t="s">
        <v>1</v>
      </c>
      <c r="B5246" t="s">
        <v>19</v>
      </c>
      <c r="C5246" t="s">
        <v>23490</v>
      </c>
      <c r="D5246" t="str">
        <f>HYPERLINK("https://rhld.insurance.arkansas.gov/NPILookup?Npi=1588197362","1588197362")</f>
        <v>1588197362</v>
      </c>
      <c r="E5246" t="s">
        <v>11080</v>
      </c>
    </row>
    <row r="5247" spans="1:5" x14ac:dyDescent="0.25">
      <c r="A5247" t="s">
        <v>1</v>
      </c>
      <c r="B5247" t="s">
        <v>19</v>
      </c>
      <c r="C5247" t="s">
        <v>23490</v>
      </c>
      <c r="D5247" t="str">
        <f>HYPERLINK("https://rhld.insurance.arkansas.gov/NPILookup?Npi=1588212575","1588212575")</f>
        <v>1588212575</v>
      </c>
      <c r="E5247" t="s">
        <v>19846</v>
      </c>
    </row>
    <row r="5248" spans="1:5" x14ac:dyDescent="0.25">
      <c r="A5248" t="s">
        <v>1</v>
      </c>
      <c r="B5248" t="s">
        <v>19</v>
      </c>
      <c r="C5248" t="s">
        <v>23490</v>
      </c>
      <c r="D5248" t="str">
        <f>HYPERLINK("https://rhld.insurance.arkansas.gov/NPILookup?Npi=1588213771","1588213771")</f>
        <v>1588213771</v>
      </c>
      <c r="E5248" t="s">
        <v>19847</v>
      </c>
    </row>
    <row r="5249" spans="1:5" x14ac:dyDescent="0.25">
      <c r="A5249" t="s">
        <v>1</v>
      </c>
      <c r="B5249" t="s">
        <v>19</v>
      </c>
      <c r="C5249" t="s">
        <v>23490</v>
      </c>
      <c r="D5249" t="str">
        <f>HYPERLINK("https://rhld.insurance.arkansas.gov/NPILookup?Npi=1588218812","1588218812")</f>
        <v>1588218812</v>
      </c>
      <c r="E5249" t="s">
        <v>15296</v>
      </c>
    </row>
    <row r="5250" spans="1:5" x14ac:dyDescent="0.25">
      <c r="A5250" t="s">
        <v>1</v>
      </c>
      <c r="B5250" t="s">
        <v>19</v>
      </c>
      <c r="C5250" t="s">
        <v>23490</v>
      </c>
      <c r="D5250" t="str">
        <f>HYPERLINK("https://rhld.insurance.arkansas.gov/NPILookup?Npi=1588277289","1588277289")</f>
        <v>1588277289</v>
      </c>
      <c r="E5250" t="s">
        <v>18049</v>
      </c>
    </row>
    <row r="5251" spans="1:5" x14ac:dyDescent="0.25">
      <c r="A5251" t="s">
        <v>1</v>
      </c>
      <c r="B5251" t="s">
        <v>19</v>
      </c>
      <c r="C5251" t="s">
        <v>23490</v>
      </c>
      <c r="D5251" t="str">
        <f>HYPERLINK("https://rhld.insurance.arkansas.gov/NPILookup?Npi=1588279475","1588279475")</f>
        <v>1588279475</v>
      </c>
      <c r="E5251" t="s">
        <v>20977</v>
      </c>
    </row>
    <row r="5252" spans="1:5" x14ac:dyDescent="0.25">
      <c r="A5252" t="s">
        <v>1</v>
      </c>
      <c r="B5252" t="s">
        <v>19</v>
      </c>
      <c r="C5252" t="s">
        <v>8427</v>
      </c>
      <c r="D5252" t="str">
        <f>HYPERLINK("https://rhld.insurance.arkansas.gov/NPILookup?Npi=1588293062","1588293062")</f>
        <v>1588293062</v>
      </c>
      <c r="E5252" t="s">
        <v>22959</v>
      </c>
    </row>
    <row r="5253" spans="1:5" x14ac:dyDescent="0.25">
      <c r="A5253" t="s">
        <v>1</v>
      </c>
      <c r="B5253" t="s">
        <v>19</v>
      </c>
      <c r="C5253" t="s">
        <v>23490</v>
      </c>
      <c r="D5253" t="str">
        <f>HYPERLINK("https://rhld.insurance.arkansas.gov/NPILookup?Npi=1588296586","1588296586")</f>
        <v>1588296586</v>
      </c>
      <c r="E5253" t="s">
        <v>18050</v>
      </c>
    </row>
    <row r="5254" spans="1:5" x14ac:dyDescent="0.25">
      <c r="A5254" t="s">
        <v>1</v>
      </c>
      <c r="B5254" t="s">
        <v>19</v>
      </c>
      <c r="C5254" t="s">
        <v>23490</v>
      </c>
      <c r="D5254" t="str">
        <f>HYPERLINK("https://rhld.insurance.arkansas.gov/NPILookup?Npi=1588297972","1588297972")</f>
        <v>1588297972</v>
      </c>
      <c r="E5254" t="s">
        <v>19848</v>
      </c>
    </row>
    <row r="5255" spans="1:5" x14ac:dyDescent="0.25">
      <c r="A5255" t="s">
        <v>1</v>
      </c>
      <c r="B5255" t="s">
        <v>19</v>
      </c>
      <c r="C5255" t="s">
        <v>23490</v>
      </c>
      <c r="D5255" t="str">
        <f>HYPERLINK("https://rhld.insurance.arkansas.gov/NPILookup?Npi=1588299291","1588299291")</f>
        <v>1588299291</v>
      </c>
      <c r="E5255" t="s">
        <v>22960</v>
      </c>
    </row>
    <row r="5256" spans="1:5" x14ac:dyDescent="0.25">
      <c r="A5256" t="s">
        <v>1</v>
      </c>
      <c r="B5256" t="s">
        <v>19</v>
      </c>
      <c r="C5256" t="s">
        <v>23490</v>
      </c>
      <c r="D5256" t="str">
        <f>HYPERLINK("https://rhld.insurance.arkansas.gov/NPILookup?Npi=1588327407","1588327407")</f>
        <v>1588327407</v>
      </c>
      <c r="E5256" t="s">
        <v>13391</v>
      </c>
    </row>
    <row r="5257" spans="1:5" x14ac:dyDescent="0.25">
      <c r="A5257" t="s">
        <v>1</v>
      </c>
      <c r="B5257" t="s">
        <v>19</v>
      </c>
      <c r="C5257" t="s">
        <v>23490</v>
      </c>
      <c r="D5257" t="str">
        <f>HYPERLINK("https://rhld.insurance.arkansas.gov/NPILookup?Npi=1588389662","1588389662")</f>
        <v>1588389662</v>
      </c>
      <c r="E5257" t="s">
        <v>21583</v>
      </c>
    </row>
    <row r="5258" spans="1:5" x14ac:dyDescent="0.25">
      <c r="A5258" t="s">
        <v>1</v>
      </c>
      <c r="B5258" t="s">
        <v>19</v>
      </c>
      <c r="C5258" t="s">
        <v>23490</v>
      </c>
      <c r="D5258" t="str">
        <f>HYPERLINK("https://rhld.insurance.arkansas.gov/NPILookup?Npi=1588391858","1588391858")</f>
        <v>1588391858</v>
      </c>
      <c r="E5258" t="s">
        <v>20978</v>
      </c>
    </row>
    <row r="5259" spans="1:5" x14ac:dyDescent="0.25">
      <c r="A5259" t="s">
        <v>1</v>
      </c>
      <c r="B5259" t="s">
        <v>19</v>
      </c>
      <c r="C5259" t="s">
        <v>23490</v>
      </c>
      <c r="D5259" t="str">
        <f>HYPERLINK("https://rhld.insurance.arkansas.gov/NPILookup?Npi=1588396600","1588396600")</f>
        <v>1588396600</v>
      </c>
      <c r="E5259" t="s">
        <v>21584</v>
      </c>
    </row>
    <row r="5260" spans="1:5" x14ac:dyDescent="0.25">
      <c r="A5260" t="s">
        <v>1</v>
      </c>
      <c r="B5260" t="s">
        <v>19</v>
      </c>
      <c r="C5260" t="s">
        <v>23490</v>
      </c>
      <c r="D5260" t="str">
        <f>HYPERLINK("https://rhld.insurance.arkansas.gov/NPILookup?Npi=1588396857","1588396857")</f>
        <v>1588396857</v>
      </c>
      <c r="E5260" t="s">
        <v>21585</v>
      </c>
    </row>
    <row r="5261" spans="1:5" x14ac:dyDescent="0.25">
      <c r="A5261" t="s">
        <v>1</v>
      </c>
      <c r="B5261" t="s">
        <v>19</v>
      </c>
      <c r="C5261" t="s">
        <v>23490</v>
      </c>
      <c r="D5261" t="str">
        <f>HYPERLINK("https://rhld.insurance.arkansas.gov/NPILookup?Npi=1588602718","1588602718")</f>
        <v>1588602718</v>
      </c>
      <c r="E5261" t="s">
        <v>15297</v>
      </c>
    </row>
    <row r="5262" spans="1:5" x14ac:dyDescent="0.25">
      <c r="A5262" t="s">
        <v>1</v>
      </c>
      <c r="B5262" t="s">
        <v>19</v>
      </c>
      <c r="C5262" t="s">
        <v>23490</v>
      </c>
      <c r="D5262" t="str">
        <f>HYPERLINK("https://rhld.insurance.arkansas.gov/NPILookup?Npi=1588613327","1588613327")</f>
        <v>1588613327</v>
      </c>
      <c r="E5262" t="s">
        <v>1008</v>
      </c>
    </row>
    <row r="5263" spans="1:5" x14ac:dyDescent="0.25">
      <c r="A5263" t="s">
        <v>1</v>
      </c>
      <c r="B5263" t="s">
        <v>19</v>
      </c>
      <c r="C5263" t="s">
        <v>23490</v>
      </c>
      <c r="D5263" t="str">
        <f>HYPERLINK("https://rhld.insurance.arkansas.gov/NPILookup?Npi=1588618599","1588618599")</f>
        <v>1588618599</v>
      </c>
      <c r="E5263" t="s">
        <v>2059</v>
      </c>
    </row>
    <row r="5264" spans="1:5" x14ac:dyDescent="0.25">
      <c r="A5264" t="s">
        <v>1</v>
      </c>
      <c r="B5264" t="s">
        <v>19</v>
      </c>
      <c r="C5264" t="s">
        <v>23490</v>
      </c>
      <c r="D5264" t="str">
        <f>HYPERLINK("https://rhld.insurance.arkansas.gov/NPILookup?Npi=1588619621","1588619621")</f>
        <v>1588619621</v>
      </c>
      <c r="E5264" t="s">
        <v>15298</v>
      </c>
    </row>
    <row r="5265" spans="1:5" x14ac:dyDescent="0.25">
      <c r="A5265" t="s">
        <v>1</v>
      </c>
      <c r="B5265" t="s">
        <v>19</v>
      </c>
      <c r="C5265" t="s">
        <v>23490</v>
      </c>
      <c r="D5265" t="str">
        <f>HYPERLINK("https://rhld.insurance.arkansas.gov/NPILookup?Npi=1588621742","1588621742")</f>
        <v>1588621742</v>
      </c>
      <c r="E5265" t="s">
        <v>2060</v>
      </c>
    </row>
    <row r="5266" spans="1:5" x14ac:dyDescent="0.25">
      <c r="A5266" t="s">
        <v>1</v>
      </c>
      <c r="B5266" t="s">
        <v>19</v>
      </c>
      <c r="C5266" t="s">
        <v>23490</v>
      </c>
      <c r="D5266" t="str">
        <f>HYPERLINK("https://rhld.insurance.arkansas.gov/NPILookup?Npi=1588632384","1588632384")</f>
        <v>1588632384</v>
      </c>
      <c r="E5266" t="s">
        <v>15299</v>
      </c>
    </row>
    <row r="5267" spans="1:5" x14ac:dyDescent="0.25">
      <c r="A5267" t="s">
        <v>1</v>
      </c>
      <c r="B5267" t="s">
        <v>19</v>
      </c>
      <c r="C5267" t="s">
        <v>23490</v>
      </c>
      <c r="D5267" t="str">
        <f>HYPERLINK("https://rhld.insurance.arkansas.gov/NPILookup?Npi=1588637698","1588637698")</f>
        <v>1588637698</v>
      </c>
      <c r="E5267" t="s">
        <v>2062</v>
      </c>
    </row>
    <row r="5268" spans="1:5" x14ac:dyDescent="0.25">
      <c r="A5268" t="s">
        <v>1</v>
      </c>
      <c r="B5268" t="s">
        <v>19</v>
      </c>
      <c r="C5268" t="s">
        <v>23490</v>
      </c>
      <c r="D5268" t="str">
        <f>HYPERLINK("https://rhld.insurance.arkansas.gov/NPILookup?Npi=1588644397","1588644397")</f>
        <v>1588644397</v>
      </c>
      <c r="E5268" t="s">
        <v>15300</v>
      </c>
    </row>
    <row r="5269" spans="1:5" x14ac:dyDescent="0.25">
      <c r="A5269" t="s">
        <v>1</v>
      </c>
      <c r="B5269" t="s">
        <v>19</v>
      </c>
      <c r="C5269" t="s">
        <v>23490</v>
      </c>
      <c r="D5269" t="str">
        <f>HYPERLINK("https://rhld.insurance.arkansas.gov/NPILookup?Npi=1588648885","1588648885")</f>
        <v>1588648885</v>
      </c>
      <c r="E5269" t="s">
        <v>19849</v>
      </c>
    </row>
    <row r="5270" spans="1:5" x14ac:dyDescent="0.25">
      <c r="A5270" t="s">
        <v>1</v>
      </c>
      <c r="B5270" t="s">
        <v>19</v>
      </c>
      <c r="C5270" t="s">
        <v>23490</v>
      </c>
      <c r="D5270" t="str">
        <f>HYPERLINK("https://rhld.insurance.arkansas.gov/NPILookup?Npi=1588656730","1588656730")</f>
        <v>1588656730</v>
      </c>
      <c r="E5270" t="s">
        <v>8754</v>
      </c>
    </row>
    <row r="5271" spans="1:5" x14ac:dyDescent="0.25">
      <c r="A5271" t="s">
        <v>1</v>
      </c>
      <c r="B5271" t="s">
        <v>19</v>
      </c>
      <c r="C5271" t="s">
        <v>23490</v>
      </c>
      <c r="D5271" t="str">
        <f>HYPERLINK("https://rhld.insurance.arkansas.gov/NPILookup?Npi=1588664510","1588664510")</f>
        <v>1588664510</v>
      </c>
      <c r="E5271" t="s">
        <v>15301</v>
      </c>
    </row>
    <row r="5272" spans="1:5" x14ac:dyDescent="0.25">
      <c r="A5272" t="s">
        <v>1</v>
      </c>
      <c r="B5272" t="s">
        <v>19</v>
      </c>
      <c r="C5272" t="s">
        <v>23490</v>
      </c>
      <c r="D5272" t="str">
        <f>HYPERLINK("https://rhld.insurance.arkansas.gov/NPILookup?Npi=1588668453","1588668453")</f>
        <v>1588668453</v>
      </c>
      <c r="E5272" t="s">
        <v>11081</v>
      </c>
    </row>
    <row r="5273" spans="1:5" x14ac:dyDescent="0.25">
      <c r="A5273" t="s">
        <v>1</v>
      </c>
      <c r="B5273" t="s">
        <v>19</v>
      </c>
      <c r="C5273" t="s">
        <v>23490</v>
      </c>
      <c r="D5273" t="str">
        <f>HYPERLINK("https://rhld.insurance.arkansas.gov/NPILookup?Npi=1588668461","1588668461")</f>
        <v>1588668461</v>
      </c>
      <c r="E5273" t="s">
        <v>19850</v>
      </c>
    </row>
    <row r="5274" spans="1:5" x14ac:dyDescent="0.25">
      <c r="A5274" t="s">
        <v>1</v>
      </c>
      <c r="B5274" t="s">
        <v>19</v>
      </c>
      <c r="C5274" t="s">
        <v>23490</v>
      </c>
      <c r="D5274" t="str">
        <f>HYPERLINK("https://rhld.insurance.arkansas.gov/NPILookup?Npi=1588671747","1588671747")</f>
        <v>1588671747</v>
      </c>
      <c r="E5274" t="s">
        <v>2063</v>
      </c>
    </row>
    <row r="5275" spans="1:5" x14ac:dyDescent="0.25">
      <c r="A5275" t="s">
        <v>1</v>
      </c>
      <c r="B5275" t="s">
        <v>19</v>
      </c>
      <c r="C5275" t="s">
        <v>23490</v>
      </c>
      <c r="D5275" t="str">
        <f>HYPERLINK("https://rhld.insurance.arkansas.gov/NPILookup?Npi=1588675037","1588675037")</f>
        <v>1588675037</v>
      </c>
      <c r="E5275" t="s">
        <v>19851</v>
      </c>
    </row>
    <row r="5276" spans="1:5" x14ac:dyDescent="0.25">
      <c r="A5276" t="s">
        <v>1</v>
      </c>
      <c r="B5276" t="s">
        <v>19</v>
      </c>
      <c r="C5276" t="s">
        <v>23490</v>
      </c>
      <c r="D5276" t="str">
        <f>HYPERLINK("https://rhld.insurance.arkansas.gov/NPILookup?Npi=1588681126","1588681126")</f>
        <v>1588681126</v>
      </c>
      <c r="E5276" t="s">
        <v>13612</v>
      </c>
    </row>
    <row r="5277" spans="1:5" x14ac:dyDescent="0.25">
      <c r="A5277" t="s">
        <v>1</v>
      </c>
      <c r="B5277" t="s">
        <v>19</v>
      </c>
      <c r="C5277" t="s">
        <v>23490</v>
      </c>
      <c r="D5277" t="str">
        <f>HYPERLINK("https://rhld.insurance.arkansas.gov/NPILookup?Npi=1588682058","1588682058")</f>
        <v>1588682058</v>
      </c>
      <c r="E5277" t="s">
        <v>2064</v>
      </c>
    </row>
    <row r="5278" spans="1:5" x14ac:dyDescent="0.25">
      <c r="A5278" t="s">
        <v>1</v>
      </c>
      <c r="B5278" t="s">
        <v>19</v>
      </c>
      <c r="C5278" t="s">
        <v>23490</v>
      </c>
      <c r="D5278" t="str">
        <f>HYPERLINK("https://rhld.insurance.arkansas.gov/NPILookup?Npi=1588682785","1588682785")</f>
        <v>1588682785</v>
      </c>
      <c r="E5278" t="s">
        <v>11082</v>
      </c>
    </row>
    <row r="5279" spans="1:5" x14ac:dyDescent="0.25">
      <c r="A5279" t="s">
        <v>1</v>
      </c>
      <c r="B5279" t="s">
        <v>19</v>
      </c>
      <c r="C5279" t="s">
        <v>23490</v>
      </c>
      <c r="D5279" t="str">
        <f>HYPERLINK("https://rhld.insurance.arkansas.gov/NPILookup?Npi=1588682801","1588682801")</f>
        <v>1588682801</v>
      </c>
      <c r="E5279" t="s">
        <v>11083</v>
      </c>
    </row>
    <row r="5280" spans="1:5" x14ac:dyDescent="0.25">
      <c r="A5280" t="s">
        <v>1</v>
      </c>
      <c r="B5280" t="s">
        <v>19</v>
      </c>
      <c r="C5280" t="s">
        <v>23490</v>
      </c>
      <c r="D5280" t="str">
        <f>HYPERLINK("https://rhld.insurance.arkansas.gov/NPILookup?Npi=1588690689","1588690689")</f>
        <v>1588690689</v>
      </c>
      <c r="E5280" t="s">
        <v>18051</v>
      </c>
    </row>
    <row r="5281" spans="1:5" x14ac:dyDescent="0.25">
      <c r="A5281" t="s">
        <v>1</v>
      </c>
      <c r="B5281" t="s">
        <v>19</v>
      </c>
      <c r="C5281" t="s">
        <v>23490</v>
      </c>
      <c r="D5281" t="str">
        <f>HYPERLINK("https://rhld.insurance.arkansas.gov/NPILookup?Npi=1588698906","1588698906")</f>
        <v>1588698906</v>
      </c>
      <c r="E5281" t="s">
        <v>2065</v>
      </c>
    </row>
    <row r="5282" spans="1:5" x14ac:dyDescent="0.25">
      <c r="A5282" t="s">
        <v>1</v>
      </c>
      <c r="B5282" t="s">
        <v>19</v>
      </c>
      <c r="C5282" t="s">
        <v>23490</v>
      </c>
      <c r="D5282" t="str">
        <f>HYPERLINK("https://rhld.insurance.arkansas.gov/NPILookup?Npi=1588699904","1588699904")</f>
        <v>1588699904</v>
      </c>
      <c r="E5282" t="s">
        <v>2066</v>
      </c>
    </row>
    <row r="5283" spans="1:5" x14ac:dyDescent="0.25">
      <c r="A5283" t="s">
        <v>1</v>
      </c>
      <c r="B5283" t="s">
        <v>19</v>
      </c>
      <c r="C5283" t="s">
        <v>23490</v>
      </c>
      <c r="D5283" t="str">
        <f>HYPERLINK("https://rhld.insurance.arkansas.gov/NPILookup?Npi=1588701288","1588701288")</f>
        <v>1588701288</v>
      </c>
      <c r="E5283" t="s">
        <v>2067</v>
      </c>
    </row>
    <row r="5284" spans="1:5" x14ac:dyDescent="0.25">
      <c r="A5284" t="s">
        <v>1</v>
      </c>
      <c r="B5284" t="s">
        <v>19</v>
      </c>
      <c r="C5284" t="s">
        <v>23490</v>
      </c>
      <c r="D5284" t="str">
        <f>HYPERLINK("https://rhld.insurance.arkansas.gov/NPILookup?Npi=1588733497","1588733497")</f>
        <v>1588733497</v>
      </c>
      <c r="E5284" t="s">
        <v>19852</v>
      </c>
    </row>
    <row r="5285" spans="1:5" x14ac:dyDescent="0.25">
      <c r="A5285" t="s">
        <v>1</v>
      </c>
      <c r="B5285" t="s">
        <v>19</v>
      </c>
      <c r="C5285" t="s">
        <v>23490</v>
      </c>
      <c r="D5285" t="str">
        <f>HYPERLINK("https://rhld.insurance.arkansas.gov/NPILookup?Npi=1588742134","1588742134")</f>
        <v>1588742134</v>
      </c>
      <c r="E5285" t="s">
        <v>1195</v>
      </c>
    </row>
    <row r="5286" spans="1:5" x14ac:dyDescent="0.25">
      <c r="A5286" t="s">
        <v>1</v>
      </c>
      <c r="B5286" t="s">
        <v>19</v>
      </c>
      <c r="C5286" t="s">
        <v>23490</v>
      </c>
      <c r="D5286" t="str">
        <f>HYPERLINK("https://rhld.insurance.arkansas.gov/NPILookup?Npi=1588743314","1588743314")</f>
        <v>1588743314</v>
      </c>
      <c r="E5286" t="s">
        <v>2068</v>
      </c>
    </row>
    <row r="5287" spans="1:5" x14ac:dyDescent="0.25">
      <c r="A5287" t="s">
        <v>1</v>
      </c>
      <c r="B5287" t="s">
        <v>19</v>
      </c>
      <c r="C5287" t="s">
        <v>23490</v>
      </c>
      <c r="D5287" t="str">
        <f>HYPERLINK("https://rhld.insurance.arkansas.gov/NPILookup?Npi=1588756233","1588756233")</f>
        <v>1588756233</v>
      </c>
      <c r="E5287" t="s">
        <v>8755</v>
      </c>
    </row>
    <row r="5288" spans="1:5" x14ac:dyDescent="0.25">
      <c r="A5288" t="s">
        <v>1</v>
      </c>
      <c r="B5288" t="s">
        <v>19</v>
      </c>
      <c r="C5288" t="s">
        <v>23490</v>
      </c>
      <c r="D5288" t="str">
        <f>HYPERLINK("https://rhld.insurance.arkansas.gov/NPILookup?Npi=1588759625","1588759625")</f>
        <v>1588759625</v>
      </c>
      <c r="E5288" t="s">
        <v>2069</v>
      </c>
    </row>
    <row r="5289" spans="1:5" x14ac:dyDescent="0.25">
      <c r="A5289" t="s">
        <v>1</v>
      </c>
      <c r="B5289" t="s">
        <v>19</v>
      </c>
      <c r="C5289" t="s">
        <v>23490</v>
      </c>
      <c r="D5289" t="str">
        <f>HYPERLINK("https://rhld.insurance.arkansas.gov/NPILookup?Npi=1588775894","1588775894")</f>
        <v>1588775894</v>
      </c>
      <c r="E5289" t="s">
        <v>2070</v>
      </c>
    </row>
    <row r="5290" spans="1:5" x14ac:dyDescent="0.25">
      <c r="A5290" t="s">
        <v>1</v>
      </c>
      <c r="B5290" t="s">
        <v>19</v>
      </c>
      <c r="C5290" t="s">
        <v>23490</v>
      </c>
      <c r="D5290" t="str">
        <f>HYPERLINK("https://rhld.insurance.arkansas.gov/NPILookup?Npi=1588783666","1588783666")</f>
        <v>1588783666</v>
      </c>
      <c r="E5290" t="s">
        <v>2071</v>
      </c>
    </row>
    <row r="5291" spans="1:5" x14ac:dyDescent="0.25">
      <c r="A5291" t="s">
        <v>1</v>
      </c>
      <c r="B5291" t="s">
        <v>19</v>
      </c>
      <c r="C5291" t="s">
        <v>23490</v>
      </c>
      <c r="D5291" t="str">
        <f>HYPERLINK("https://rhld.insurance.arkansas.gov/NPILookup?Npi=1588785414","1588785414")</f>
        <v>1588785414</v>
      </c>
      <c r="E5291" t="s">
        <v>21586</v>
      </c>
    </row>
    <row r="5292" spans="1:5" x14ac:dyDescent="0.25">
      <c r="A5292" t="s">
        <v>1</v>
      </c>
      <c r="B5292" t="s">
        <v>19</v>
      </c>
      <c r="C5292" t="s">
        <v>23490</v>
      </c>
      <c r="D5292" t="str">
        <f>HYPERLINK("https://rhld.insurance.arkansas.gov/NPILookup?Npi=1588785554","1588785554")</f>
        <v>1588785554</v>
      </c>
      <c r="E5292" t="s">
        <v>13377</v>
      </c>
    </row>
    <row r="5293" spans="1:5" x14ac:dyDescent="0.25">
      <c r="A5293" t="s">
        <v>1</v>
      </c>
      <c r="B5293" t="s">
        <v>19</v>
      </c>
      <c r="C5293" t="s">
        <v>23490</v>
      </c>
      <c r="D5293" t="str">
        <f>HYPERLINK("https://rhld.insurance.arkansas.gov/NPILookup?Npi=1588807655","1588807655")</f>
        <v>1588807655</v>
      </c>
      <c r="E5293" t="s">
        <v>2072</v>
      </c>
    </row>
    <row r="5294" spans="1:5" x14ac:dyDescent="0.25">
      <c r="A5294" t="s">
        <v>1</v>
      </c>
      <c r="B5294" t="s">
        <v>19</v>
      </c>
      <c r="C5294" t="s">
        <v>23490</v>
      </c>
      <c r="D5294" t="str">
        <f>HYPERLINK("https://rhld.insurance.arkansas.gov/NPILookup?Npi=1588807994","1588807994")</f>
        <v>1588807994</v>
      </c>
      <c r="E5294" t="s">
        <v>8756</v>
      </c>
    </row>
    <row r="5295" spans="1:5" x14ac:dyDescent="0.25">
      <c r="A5295" t="s">
        <v>1</v>
      </c>
      <c r="B5295" t="s">
        <v>19</v>
      </c>
      <c r="C5295" t="s">
        <v>23490</v>
      </c>
      <c r="D5295" t="str">
        <f>HYPERLINK("https://rhld.insurance.arkansas.gov/NPILookup?Npi=1588826903","1588826903")</f>
        <v>1588826903</v>
      </c>
      <c r="E5295" t="s">
        <v>2073</v>
      </c>
    </row>
    <row r="5296" spans="1:5" x14ac:dyDescent="0.25">
      <c r="A5296" t="s">
        <v>1</v>
      </c>
      <c r="B5296" t="s">
        <v>19</v>
      </c>
      <c r="C5296" t="s">
        <v>23490</v>
      </c>
      <c r="D5296" t="str">
        <f>HYPERLINK("https://rhld.insurance.arkansas.gov/NPILookup?Npi=1588847925","1588847925")</f>
        <v>1588847925</v>
      </c>
      <c r="E5296" t="s">
        <v>15302</v>
      </c>
    </row>
    <row r="5297" spans="1:5" x14ac:dyDescent="0.25">
      <c r="A5297" t="s">
        <v>1</v>
      </c>
      <c r="B5297" t="s">
        <v>19</v>
      </c>
      <c r="C5297" t="s">
        <v>23490</v>
      </c>
      <c r="D5297" t="str">
        <f>HYPERLINK("https://rhld.insurance.arkansas.gov/NPILookup?Npi=1588853535","1588853535")</f>
        <v>1588853535</v>
      </c>
      <c r="E5297" t="s">
        <v>11085</v>
      </c>
    </row>
    <row r="5298" spans="1:5" x14ac:dyDescent="0.25">
      <c r="A5298" t="s">
        <v>1</v>
      </c>
      <c r="B5298" t="s">
        <v>19</v>
      </c>
      <c r="C5298" t="s">
        <v>23490</v>
      </c>
      <c r="D5298" t="str">
        <f>HYPERLINK("https://rhld.insurance.arkansas.gov/NPILookup?Npi=1588866297","1588866297")</f>
        <v>1588866297</v>
      </c>
      <c r="E5298" t="s">
        <v>2075</v>
      </c>
    </row>
    <row r="5299" spans="1:5" x14ac:dyDescent="0.25">
      <c r="A5299" t="s">
        <v>1</v>
      </c>
      <c r="B5299" t="s">
        <v>19</v>
      </c>
      <c r="C5299" t="s">
        <v>23490</v>
      </c>
      <c r="D5299" t="str">
        <f>HYPERLINK("https://rhld.insurance.arkansas.gov/NPILookup?Npi=1588903603","1588903603")</f>
        <v>1588903603</v>
      </c>
      <c r="E5299" t="s">
        <v>2076</v>
      </c>
    </row>
    <row r="5300" spans="1:5" x14ac:dyDescent="0.25">
      <c r="A5300" t="s">
        <v>1</v>
      </c>
      <c r="B5300" t="s">
        <v>19</v>
      </c>
      <c r="C5300" t="s">
        <v>23490</v>
      </c>
      <c r="D5300" t="str">
        <f>HYPERLINK("https://rhld.insurance.arkansas.gov/NPILookup?Npi=1588911580","1588911580")</f>
        <v>1588911580</v>
      </c>
      <c r="E5300" t="s">
        <v>15303</v>
      </c>
    </row>
    <row r="5301" spans="1:5" x14ac:dyDescent="0.25">
      <c r="A5301" t="s">
        <v>1</v>
      </c>
      <c r="B5301" t="s">
        <v>19</v>
      </c>
      <c r="C5301" t="s">
        <v>23490</v>
      </c>
      <c r="D5301" t="str">
        <f>HYPERLINK("https://rhld.insurance.arkansas.gov/NPILookup?Npi=1588928436","1588928436")</f>
        <v>1588928436</v>
      </c>
      <c r="E5301" t="s">
        <v>2077</v>
      </c>
    </row>
    <row r="5302" spans="1:5" x14ac:dyDescent="0.25">
      <c r="A5302" t="s">
        <v>1</v>
      </c>
      <c r="B5302" t="s">
        <v>19</v>
      </c>
      <c r="C5302" t="s">
        <v>23490</v>
      </c>
      <c r="D5302" t="str">
        <f>HYPERLINK("https://rhld.insurance.arkansas.gov/NPILookup?Npi=1588968606","1588968606")</f>
        <v>1588968606</v>
      </c>
      <c r="E5302" t="s">
        <v>8757</v>
      </c>
    </row>
    <row r="5303" spans="1:5" x14ac:dyDescent="0.25">
      <c r="A5303" t="s">
        <v>1</v>
      </c>
      <c r="B5303" t="s">
        <v>19</v>
      </c>
      <c r="C5303" t="s">
        <v>23490</v>
      </c>
      <c r="D5303" t="str">
        <f>HYPERLINK("https://rhld.insurance.arkansas.gov/NPILookup?Npi=1588993810","1588993810")</f>
        <v>1588993810</v>
      </c>
      <c r="E5303" t="s">
        <v>2078</v>
      </c>
    </row>
    <row r="5304" spans="1:5" x14ac:dyDescent="0.25">
      <c r="A5304" t="s">
        <v>1</v>
      </c>
      <c r="B5304" t="s">
        <v>19</v>
      </c>
      <c r="C5304" t="s">
        <v>23490</v>
      </c>
      <c r="D5304" t="str">
        <f>HYPERLINK("https://rhld.insurance.arkansas.gov/NPILookup?Npi=1598012957","1598012957")</f>
        <v>1598012957</v>
      </c>
      <c r="E5304" t="s">
        <v>11086</v>
      </c>
    </row>
    <row r="5305" spans="1:5" x14ac:dyDescent="0.25">
      <c r="A5305" t="s">
        <v>1</v>
      </c>
      <c r="B5305" t="s">
        <v>19</v>
      </c>
      <c r="C5305" t="s">
        <v>23490</v>
      </c>
      <c r="D5305" t="str">
        <f>HYPERLINK("https://rhld.insurance.arkansas.gov/NPILookup?Npi=1598013815","1598013815")</f>
        <v>1598013815</v>
      </c>
      <c r="E5305" t="s">
        <v>2079</v>
      </c>
    </row>
    <row r="5306" spans="1:5" x14ac:dyDescent="0.25">
      <c r="A5306" t="s">
        <v>1</v>
      </c>
      <c r="B5306" t="s">
        <v>19</v>
      </c>
      <c r="C5306" t="s">
        <v>23490</v>
      </c>
      <c r="D5306" t="str">
        <f>HYPERLINK("https://rhld.insurance.arkansas.gov/NPILookup?Npi=1598021453","1598021453")</f>
        <v>1598021453</v>
      </c>
      <c r="E5306" t="s">
        <v>11087</v>
      </c>
    </row>
    <row r="5307" spans="1:5" x14ac:dyDescent="0.25">
      <c r="A5307" t="s">
        <v>1</v>
      </c>
      <c r="B5307" t="s">
        <v>19</v>
      </c>
      <c r="C5307" t="s">
        <v>23490</v>
      </c>
      <c r="D5307" t="str">
        <f>HYPERLINK("https://rhld.insurance.arkansas.gov/NPILookup?Npi=1598022535","1598022535")</f>
        <v>1598022535</v>
      </c>
      <c r="E5307" t="s">
        <v>19853</v>
      </c>
    </row>
    <row r="5308" spans="1:5" x14ac:dyDescent="0.25">
      <c r="A5308" t="s">
        <v>1</v>
      </c>
      <c r="B5308" t="s">
        <v>19</v>
      </c>
      <c r="C5308" t="s">
        <v>23490</v>
      </c>
      <c r="D5308" t="str">
        <f>HYPERLINK("https://rhld.insurance.arkansas.gov/NPILookup?Npi=1598026304","1598026304")</f>
        <v>1598026304</v>
      </c>
      <c r="E5308" t="s">
        <v>19854</v>
      </c>
    </row>
    <row r="5309" spans="1:5" x14ac:dyDescent="0.25">
      <c r="A5309" t="s">
        <v>1</v>
      </c>
      <c r="B5309" t="s">
        <v>19</v>
      </c>
      <c r="C5309" t="s">
        <v>23490</v>
      </c>
      <c r="D5309" t="str">
        <f>HYPERLINK("https://rhld.insurance.arkansas.gov/NPILookup?Npi=1598030603","1598030603")</f>
        <v>1598030603</v>
      </c>
      <c r="E5309" t="s">
        <v>2080</v>
      </c>
    </row>
    <row r="5310" spans="1:5" x14ac:dyDescent="0.25">
      <c r="A5310" t="s">
        <v>1</v>
      </c>
      <c r="B5310" t="s">
        <v>19</v>
      </c>
      <c r="C5310" t="s">
        <v>23490</v>
      </c>
      <c r="D5310" t="str">
        <f>HYPERLINK("https://rhld.insurance.arkansas.gov/NPILookup?Npi=1598037814","1598037814")</f>
        <v>1598037814</v>
      </c>
      <c r="E5310" t="s">
        <v>2081</v>
      </c>
    </row>
    <row r="5311" spans="1:5" x14ac:dyDescent="0.25">
      <c r="A5311" t="s">
        <v>1</v>
      </c>
      <c r="B5311" t="s">
        <v>19</v>
      </c>
      <c r="C5311" t="s">
        <v>23490</v>
      </c>
      <c r="D5311" t="str">
        <f>HYPERLINK("https://rhld.insurance.arkansas.gov/NPILookup?Npi=1598052250","1598052250")</f>
        <v>1598052250</v>
      </c>
      <c r="E5311" t="s">
        <v>2082</v>
      </c>
    </row>
    <row r="5312" spans="1:5" x14ac:dyDescent="0.25">
      <c r="A5312" t="s">
        <v>1</v>
      </c>
      <c r="B5312" t="s">
        <v>19</v>
      </c>
      <c r="C5312" t="s">
        <v>23490</v>
      </c>
      <c r="D5312" t="str">
        <f>HYPERLINK("https://rhld.insurance.arkansas.gov/NPILookup?Npi=1598054652","1598054652")</f>
        <v>1598054652</v>
      </c>
      <c r="E5312" t="s">
        <v>2083</v>
      </c>
    </row>
    <row r="5313" spans="1:5" x14ac:dyDescent="0.25">
      <c r="A5313" t="s">
        <v>1</v>
      </c>
      <c r="B5313" t="s">
        <v>19</v>
      </c>
      <c r="C5313" t="s">
        <v>23490</v>
      </c>
      <c r="D5313" t="str">
        <f>HYPERLINK("https://rhld.insurance.arkansas.gov/NPILookup?Npi=1598055287","1598055287")</f>
        <v>1598055287</v>
      </c>
      <c r="E5313" t="s">
        <v>18052</v>
      </c>
    </row>
    <row r="5314" spans="1:5" x14ac:dyDescent="0.25">
      <c r="A5314" t="s">
        <v>1</v>
      </c>
      <c r="B5314" t="s">
        <v>19</v>
      </c>
      <c r="C5314" t="s">
        <v>23490</v>
      </c>
      <c r="D5314" t="str">
        <f>HYPERLINK("https://rhld.insurance.arkansas.gov/NPILookup?Npi=1598075558","1598075558")</f>
        <v>1598075558</v>
      </c>
      <c r="E5314" t="s">
        <v>11088</v>
      </c>
    </row>
    <row r="5315" spans="1:5" x14ac:dyDescent="0.25">
      <c r="A5315" t="s">
        <v>1</v>
      </c>
      <c r="B5315" t="s">
        <v>19</v>
      </c>
      <c r="C5315" t="s">
        <v>23490</v>
      </c>
      <c r="D5315" t="str">
        <f>HYPERLINK("https://rhld.insurance.arkansas.gov/NPILookup?Npi=1598077679","1598077679")</f>
        <v>1598077679</v>
      </c>
      <c r="E5315" t="s">
        <v>2084</v>
      </c>
    </row>
    <row r="5316" spans="1:5" x14ac:dyDescent="0.25">
      <c r="A5316" t="s">
        <v>1</v>
      </c>
      <c r="B5316" t="s">
        <v>19</v>
      </c>
      <c r="C5316" t="s">
        <v>23490</v>
      </c>
      <c r="D5316" t="str">
        <f>HYPERLINK("https://rhld.insurance.arkansas.gov/NPILookup?Npi=1598086050","1598086050")</f>
        <v>1598086050</v>
      </c>
      <c r="E5316" t="s">
        <v>19855</v>
      </c>
    </row>
    <row r="5317" spans="1:5" x14ac:dyDescent="0.25">
      <c r="A5317" t="s">
        <v>1</v>
      </c>
      <c r="B5317" t="s">
        <v>19</v>
      </c>
      <c r="C5317" t="s">
        <v>23490</v>
      </c>
      <c r="D5317" t="str">
        <f>HYPERLINK("https://rhld.insurance.arkansas.gov/NPILookup?Npi=1598104689","1598104689")</f>
        <v>1598104689</v>
      </c>
      <c r="E5317" t="s">
        <v>11089</v>
      </c>
    </row>
    <row r="5318" spans="1:5" x14ac:dyDescent="0.25">
      <c r="A5318" t="s">
        <v>1</v>
      </c>
      <c r="B5318" t="s">
        <v>19</v>
      </c>
      <c r="C5318" t="s">
        <v>23490</v>
      </c>
      <c r="D5318" t="str">
        <f>HYPERLINK("https://rhld.insurance.arkansas.gov/NPILookup?Npi=1598114332","1598114332")</f>
        <v>1598114332</v>
      </c>
      <c r="E5318" t="s">
        <v>19856</v>
      </c>
    </row>
    <row r="5319" spans="1:5" x14ac:dyDescent="0.25">
      <c r="A5319" t="s">
        <v>1</v>
      </c>
      <c r="B5319" t="s">
        <v>19</v>
      </c>
      <c r="C5319" t="s">
        <v>23490</v>
      </c>
      <c r="D5319" t="str">
        <f>HYPERLINK("https://rhld.insurance.arkansas.gov/NPILookup?Npi=1598116402","1598116402")</f>
        <v>1598116402</v>
      </c>
      <c r="E5319" t="s">
        <v>15304</v>
      </c>
    </row>
    <row r="5320" spans="1:5" x14ac:dyDescent="0.25">
      <c r="A5320" t="s">
        <v>1</v>
      </c>
      <c r="B5320" t="s">
        <v>19</v>
      </c>
      <c r="C5320" t="s">
        <v>23490</v>
      </c>
      <c r="D5320" t="str">
        <f>HYPERLINK("https://rhld.insurance.arkansas.gov/NPILookup?Npi=1598128712","1598128712")</f>
        <v>1598128712</v>
      </c>
      <c r="E5320" t="s">
        <v>1116</v>
      </c>
    </row>
    <row r="5321" spans="1:5" x14ac:dyDescent="0.25">
      <c r="A5321" t="s">
        <v>1</v>
      </c>
      <c r="B5321" t="s">
        <v>19</v>
      </c>
      <c r="C5321" t="s">
        <v>23490</v>
      </c>
      <c r="D5321" t="str">
        <f>HYPERLINK("https://rhld.insurance.arkansas.gov/NPILookup?Npi=1598132771","1598132771")</f>
        <v>1598132771</v>
      </c>
      <c r="E5321" t="s">
        <v>15305</v>
      </c>
    </row>
    <row r="5322" spans="1:5" x14ac:dyDescent="0.25">
      <c r="A5322" t="s">
        <v>1</v>
      </c>
      <c r="B5322" t="s">
        <v>19</v>
      </c>
      <c r="C5322" t="s">
        <v>23490</v>
      </c>
      <c r="D5322" t="str">
        <f>HYPERLINK("https://rhld.insurance.arkansas.gov/NPILookup?Npi=1598147597","1598147597")</f>
        <v>1598147597</v>
      </c>
      <c r="E5322" t="s">
        <v>8758</v>
      </c>
    </row>
    <row r="5323" spans="1:5" x14ac:dyDescent="0.25">
      <c r="A5323" t="s">
        <v>1</v>
      </c>
      <c r="B5323" t="s">
        <v>19</v>
      </c>
      <c r="C5323" t="s">
        <v>23490</v>
      </c>
      <c r="D5323" t="str">
        <f>HYPERLINK("https://rhld.insurance.arkansas.gov/NPILookup?Npi=1598153157","1598153157")</f>
        <v>1598153157</v>
      </c>
      <c r="E5323" t="s">
        <v>2085</v>
      </c>
    </row>
    <row r="5324" spans="1:5" x14ac:dyDescent="0.25">
      <c r="A5324" t="s">
        <v>1</v>
      </c>
      <c r="B5324" t="s">
        <v>19</v>
      </c>
      <c r="C5324" t="s">
        <v>23490</v>
      </c>
      <c r="D5324" t="str">
        <f>HYPERLINK("https://rhld.insurance.arkansas.gov/NPILookup?Npi=1598167868","1598167868")</f>
        <v>1598167868</v>
      </c>
      <c r="E5324" t="s">
        <v>15306</v>
      </c>
    </row>
    <row r="5325" spans="1:5" x14ac:dyDescent="0.25">
      <c r="A5325" t="s">
        <v>1</v>
      </c>
      <c r="B5325" t="s">
        <v>19</v>
      </c>
      <c r="C5325" t="s">
        <v>23490</v>
      </c>
      <c r="D5325" t="str">
        <f>HYPERLINK("https://rhld.insurance.arkansas.gov/NPILookup?Npi=1598168544","1598168544")</f>
        <v>1598168544</v>
      </c>
      <c r="E5325" t="s">
        <v>16990</v>
      </c>
    </row>
    <row r="5326" spans="1:5" x14ac:dyDescent="0.25">
      <c r="A5326" t="s">
        <v>1</v>
      </c>
      <c r="B5326" t="s">
        <v>19</v>
      </c>
      <c r="C5326" t="s">
        <v>23490</v>
      </c>
      <c r="D5326" t="str">
        <f>HYPERLINK("https://rhld.insurance.arkansas.gov/NPILookup?Npi=1598180812","1598180812")</f>
        <v>1598180812</v>
      </c>
      <c r="E5326" t="s">
        <v>11090</v>
      </c>
    </row>
    <row r="5327" spans="1:5" x14ac:dyDescent="0.25">
      <c r="A5327" t="s">
        <v>1</v>
      </c>
      <c r="B5327" t="s">
        <v>19</v>
      </c>
      <c r="C5327" t="s">
        <v>23490</v>
      </c>
      <c r="D5327" t="str">
        <f>HYPERLINK("https://rhld.insurance.arkansas.gov/NPILookup?Npi=1598184574","1598184574")</f>
        <v>1598184574</v>
      </c>
      <c r="E5327" t="s">
        <v>2086</v>
      </c>
    </row>
    <row r="5328" spans="1:5" x14ac:dyDescent="0.25">
      <c r="A5328" t="s">
        <v>1</v>
      </c>
      <c r="B5328" t="s">
        <v>19</v>
      </c>
      <c r="C5328" t="s">
        <v>23490</v>
      </c>
      <c r="D5328" t="str">
        <f>HYPERLINK("https://rhld.insurance.arkansas.gov/NPILookup?Npi=1598184970","1598184970")</f>
        <v>1598184970</v>
      </c>
      <c r="E5328" t="s">
        <v>11091</v>
      </c>
    </row>
    <row r="5329" spans="1:5" x14ac:dyDescent="0.25">
      <c r="A5329" t="s">
        <v>1</v>
      </c>
      <c r="B5329" t="s">
        <v>19</v>
      </c>
      <c r="C5329" t="s">
        <v>23490</v>
      </c>
      <c r="D5329" t="str">
        <f>HYPERLINK("https://rhld.insurance.arkansas.gov/NPILookup?Npi=1598186926","1598186926")</f>
        <v>1598186926</v>
      </c>
      <c r="E5329" t="s">
        <v>2087</v>
      </c>
    </row>
    <row r="5330" spans="1:5" x14ac:dyDescent="0.25">
      <c r="A5330" t="s">
        <v>1</v>
      </c>
      <c r="B5330" t="s">
        <v>19</v>
      </c>
      <c r="C5330" t="s">
        <v>23490</v>
      </c>
      <c r="D5330" t="str">
        <f>HYPERLINK("https://rhld.insurance.arkansas.gov/NPILookup?Npi=1598187452","1598187452")</f>
        <v>1598187452</v>
      </c>
      <c r="E5330" t="s">
        <v>8759</v>
      </c>
    </row>
    <row r="5331" spans="1:5" x14ac:dyDescent="0.25">
      <c r="A5331" t="s">
        <v>1</v>
      </c>
      <c r="B5331" t="s">
        <v>19</v>
      </c>
      <c r="C5331" t="s">
        <v>23490</v>
      </c>
      <c r="D5331" t="str">
        <f>HYPERLINK("https://rhld.insurance.arkansas.gov/NPILookup?Npi=1598193468","1598193468")</f>
        <v>1598193468</v>
      </c>
      <c r="E5331" t="s">
        <v>11092</v>
      </c>
    </row>
    <row r="5332" spans="1:5" x14ac:dyDescent="0.25">
      <c r="A5332" t="s">
        <v>1</v>
      </c>
      <c r="B5332" t="s">
        <v>19</v>
      </c>
      <c r="C5332" t="s">
        <v>23490</v>
      </c>
      <c r="D5332" t="str">
        <f>HYPERLINK("https://rhld.insurance.arkansas.gov/NPILookup?Npi=1598205320","1598205320")</f>
        <v>1598205320</v>
      </c>
      <c r="E5332" t="s">
        <v>20979</v>
      </c>
    </row>
    <row r="5333" spans="1:5" x14ac:dyDescent="0.25">
      <c r="A5333" t="s">
        <v>1</v>
      </c>
      <c r="B5333" t="s">
        <v>19</v>
      </c>
      <c r="C5333" t="s">
        <v>23490</v>
      </c>
      <c r="D5333" t="str">
        <f>HYPERLINK("https://rhld.insurance.arkansas.gov/NPILookup?Npi=1598219263","1598219263")</f>
        <v>1598219263</v>
      </c>
      <c r="E5333" t="s">
        <v>19857</v>
      </c>
    </row>
    <row r="5334" spans="1:5" x14ac:dyDescent="0.25">
      <c r="A5334" t="s">
        <v>1</v>
      </c>
      <c r="B5334" t="s">
        <v>19</v>
      </c>
      <c r="C5334" t="s">
        <v>23490</v>
      </c>
      <c r="D5334" t="str">
        <f>HYPERLINK("https://rhld.insurance.arkansas.gov/NPILookup?Npi=1598227787","1598227787")</f>
        <v>1598227787</v>
      </c>
      <c r="E5334" t="s">
        <v>20980</v>
      </c>
    </row>
    <row r="5335" spans="1:5" x14ac:dyDescent="0.25">
      <c r="A5335" t="s">
        <v>1</v>
      </c>
      <c r="B5335" t="s">
        <v>19</v>
      </c>
      <c r="C5335" t="s">
        <v>23490</v>
      </c>
      <c r="D5335" t="str">
        <f>HYPERLINK("https://rhld.insurance.arkansas.gov/NPILookup?Npi=1598230195","1598230195")</f>
        <v>1598230195</v>
      </c>
      <c r="E5335" t="s">
        <v>19858</v>
      </c>
    </row>
    <row r="5336" spans="1:5" x14ac:dyDescent="0.25">
      <c r="A5336" t="s">
        <v>1</v>
      </c>
      <c r="B5336" t="s">
        <v>19</v>
      </c>
      <c r="C5336" t="s">
        <v>23490</v>
      </c>
      <c r="D5336" t="str">
        <f>HYPERLINK("https://rhld.insurance.arkansas.gov/NPILookup?Npi=1598244394","1598244394")</f>
        <v>1598244394</v>
      </c>
      <c r="E5336" t="s">
        <v>13613</v>
      </c>
    </row>
    <row r="5337" spans="1:5" x14ac:dyDescent="0.25">
      <c r="A5337" t="s">
        <v>1</v>
      </c>
      <c r="B5337" t="s">
        <v>19</v>
      </c>
      <c r="C5337" t="s">
        <v>23490</v>
      </c>
      <c r="D5337" t="str">
        <f>HYPERLINK("https://rhld.insurance.arkansas.gov/NPILookup?Npi=1598256497","1598256497")</f>
        <v>1598256497</v>
      </c>
      <c r="E5337" t="s">
        <v>19859</v>
      </c>
    </row>
    <row r="5338" spans="1:5" x14ac:dyDescent="0.25">
      <c r="A5338" t="s">
        <v>1</v>
      </c>
      <c r="B5338" t="s">
        <v>19</v>
      </c>
      <c r="C5338" t="s">
        <v>23490</v>
      </c>
      <c r="D5338" t="str">
        <f>HYPERLINK("https://rhld.insurance.arkansas.gov/NPILookup?Npi=1598272866","1598272866")</f>
        <v>1598272866</v>
      </c>
      <c r="E5338" t="s">
        <v>12866</v>
      </c>
    </row>
    <row r="5339" spans="1:5" x14ac:dyDescent="0.25">
      <c r="A5339" t="s">
        <v>1</v>
      </c>
      <c r="B5339" t="s">
        <v>19</v>
      </c>
      <c r="C5339" t="s">
        <v>23490</v>
      </c>
      <c r="D5339" t="str">
        <f>HYPERLINK("https://rhld.insurance.arkansas.gov/NPILookup?Npi=1598282345","1598282345")</f>
        <v>1598282345</v>
      </c>
      <c r="E5339" t="s">
        <v>13614</v>
      </c>
    </row>
    <row r="5340" spans="1:5" x14ac:dyDescent="0.25">
      <c r="A5340" t="s">
        <v>1</v>
      </c>
      <c r="B5340" t="s">
        <v>19</v>
      </c>
      <c r="C5340" t="s">
        <v>23490</v>
      </c>
      <c r="D5340" t="str">
        <f>HYPERLINK("https://rhld.insurance.arkansas.gov/NPILookup?Npi=1598283988","1598283988")</f>
        <v>1598283988</v>
      </c>
      <c r="E5340" t="s">
        <v>15307</v>
      </c>
    </row>
    <row r="5341" spans="1:5" x14ac:dyDescent="0.25">
      <c r="A5341" t="s">
        <v>1</v>
      </c>
      <c r="B5341" t="s">
        <v>19</v>
      </c>
      <c r="C5341" t="s">
        <v>23490</v>
      </c>
      <c r="D5341" t="str">
        <f>HYPERLINK("https://rhld.insurance.arkansas.gov/NPILookup?Npi=1598285181","1598285181")</f>
        <v>1598285181</v>
      </c>
      <c r="E5341" t="s">
        <v>17443</v>
      </c>
    </row>
    <row r="5342" spans="1:5" x14ac:dyDescent="0.25">
      <c r="A5342" t="s">
        <v>1</v>
      </c>
      <c r="B5342" t="s">
        <v>19</v>
      </c>
      <c r="C5342" t="s">
        <v>23490</v>
      </c>
      <c r="D5342" t="str">
        <f>HYPERLINK("https://rhld.insurance.arkansas.gov/NPILookup?Npi=1598286007","1598286007")</f>
        <v>1598286007</v>
      </c>
      <c r="E5342" t="s">
        <v>15308</v>
      </c>
    </row>
    <row r="5343" spans="1:5" x14ac:dyDescent="0.25">
      <c r="A5343" t="s">
        <v>1</v>
      </c>
      <c r="B5343" t="s">
        <v>19</v>
      </c>
      <c r="C5343" t="s">
        <v>23490</v>
      </c>
      <c r="D5343" t="str">
        <f>HYPERLINK("https://rhld.insurance.arkansas.gov/NPILookup?Npi=1598286734","1598286734")</f>
        <v>1598286734</v>
      </c>
      <c r="E5343" t="s">
        <v>15309</v>
      </c>
    </row>
    <row r="5344" spans="1:5" x14ac:dyDescent="0.25">
      <c r="A5344" t="s">
        <v>1</v>
      </c>
      <c r="B5344" t="s">
        <v>19</v>
      </c>
      <c r="C5344" t="s">
        <v>23490</v>
      </c>
      <c r="D5344" t="str">
        <f>HYPERLINK("https://rhld.insurance.arkansas.gov/NPILookup?Npi=1598289746","1598289746")</f>
        <v>1598289746</v>
      </c>
      <c r="E5344" t="s">
        <v>13615</v>
      </c>
    </row>
    <row r="5345" spans="1:5" x14ac:dyDescent="0.25">
      <c r="A5345" t="s">
        <v>1</v>
      </c>
      <c r="B5345" t="s">
        <v>19</v>
      </c>
      <c r="C5345" t="s">
        <v>23490</v>
      </c>
      <c r="D5345" t="str">
        <f>HYPERLINK("https://rhld.insurance.arkansas.gov/NPILookup?Npi=1598295826","1598295826")</f>
        <v>1598295826</v>
      </c>
      <c r="E5345" t="s">
        <v>11093</v>
      </c>
    </row>
    <row r="5346" spans="1:5" x14ac:dyDescent="0.25">
      <c r="A5346" t="s">
        <v>1</v>
      </c>
      <c r="B5346" t="s">
        <v>19</v>
      </c>
      <c r="C5346" t="s">
        <v>23490</v>
      </c>
      <c r="D5346" t="str">
        <f>HYPERLINK("https://rhld.insurance.arkansas.gov/NPILookup?Npi=1598298457","1598298457")</f>
        <v>1598298457</v>
      </c>
      <c r="E5346" t="s">
        <v>15310</v>
      </c>
    </row>
    <row r="5347" spans="1:5" x14ac:dyDescent="0.25">
      <c r="A5347" t="s">
        <v>1</v>
      </c>
      <c r="B5347" t="s">
        <v>19</v>
      </c>
      <c r="C5347" t="s">
        <v>23490</v>
      </c>
      <c r="D5347" t="str">
        <f>HYPERLINK("https://rhld.insurance.arkansas.gov/NPILookup?Npi=1598308140","1598308140")</f>
        <v>1598308140</v>
      </c>
      <c r="E5347" t="s">
        <v>19860</v>
      </c>
    </row>
    <row r="5348" spans="1:5" x14ac:dyDescent="0.25">
      <c r="A5348" t="s">
        <v>1</v>
      </c>
      <c r="B5348" t="s">
        <v>19</v>
      </c>
      <c r="C5348" t="s">
        <v>23490</v>
      </c>
      <c r="D5348" t="str">
        <f>HYPERLINK("https://rhld.insurance.arkansas.gov/NPILookup?Npi=1598313686","1598313686")</f>
        <v>1598313686</v>
      </c>
      <c r="E5348" t="s">
        <v>22961</v>
      </c>
    </row>
    <row r="5349" spans="1:5" x14ac:dyDescent="0.25">
      <c r="A5349" t="s">
        <v>1</v>
      </c>
      <c r="B5349" t="s">
        <v>19</v>
      </c>
      <c r="C5349" t="s">
        <v>23490</v>
      </c>
      <c r="D5349" t="str">
        <f>HYPERLINK("https://rhld.insurance.arkansas.gov/NPILookup?Npi=1598315913","1598315913")</f>
        <v>1598315913</v>
      </c>
      <c r="E5349" t="s">
        <v>16991</v>
      </c>
    </row>
    <row r="5350" spans="1:5" x14ac:dyDescent="0.25">
      <c r="A5350" t="s">
        <v>1</v>
      </c>
      <c r="B5350" t="s">
        <v>19</v>
      </c>
      <c r="C5350" t="s">
        <v>23490</v>
      </c>
      <c r="D5350" t="str">
        <f>HYPERLINK("https://rhld.insurance.arkansas.gov/NPILookup?Npi=1598318958","1598318958")</f>
        <v>1598318958</v>
      </c>
      <c r="E5350" t="s">
        <v>16992</v>
      </c>
    </row>
    <row r="5351" spans="1:5" x14ac:dyDescent="0.25">
      <c r="A5351" t="s">
        <v>1</v>
      </c>
      <c r="B5351" t="s">
        <v>19</v>
      </c>
      <c r="C5351" t="s">
        <v>23490</v>
      </c>
      <c r="D5351" t="str">
        <f>HYPERLINK("https://rhld.insurance.arkansas.gov/NPILookup?Npi=1598334609","1598334609")</f>
        <v>1598334609</v>
      </c>
      <c r="E5351" t="s">
        <v>18817</v>
      </c>
    </row>
    <row r="5352" spans="1:5" x14ac:dyDescent="0.25">
      <c r="A5352" t="s">
        <v>1</v>
      </c>
      <c r="B5352" t="s">
        <v>19</v>
      </c>
      <c r="C5352" t="s">
        <v>23490</v>
      </c>
      <c r="D5352" t="str">
        <f>HYPERLINK("https://rhld.insurance.arkansas.gov/NPILookup?Npi=1598350225","1598350225")</f>
        <v>1598350225</v>
      </c>
      <c r="E5352" t="s">
        <v>19861</v>
      </c>
    </row>
    <row r="5353" spans="1:5" x14ac:dyDescent="0.25">
      <c r="A5353" t="s">
        <v>1</v>
      </c>
      <c r="B5353" t="s">
        <v>19</v>
      </c>
      <c r="C5353" t="s">
        <v>23490</v>
      </c>
      <c r="D5353" t="str">
        <f>HYPERLINK("https://rhld.insurance.arkansas.gov/NPILookup?Npi=1598358616","1598358616")</f>
        <v>1598358616</v>
      </c>
      <c r="E5353" t="s">
        <v>18053</v>
      </c>
    </row>
    <row r="5354" spans="1:5" x14ac:dyDescent="0.25">
      <c r="A5354" t="s">
        <v>1</v>
      </c>
      <c r="B5354" t="s">
        <v>19</v>
      </c>
      <c r="C5354" t="s">
        <v>8427</v>
      </c>
      <c r="D5354" t="str">
        <f>HYPERLINK("https://rhld.insurance.arkansas.gov/NPILookup?Npi=1598387417","1598387417")</f>
        <v>1598387417</v>
      </c>
      <c r="E5354" t="s">
        <v>22962</v>
      </c>
    </row>
    <row r="5355" spans="1:5" x14ac:dyDescent="0.25">
      <c r="A5355" t="s">
        <v>1</v>
      </c>
      <c r="B5355" t="s">
        <v>19</v>
      </c>
      <c r="C5355" t="s">
        <v>23490</v>
      </c>
      <c r="D5355" t="str">
        <f>HYPERLINK("https://rhld.insurance.arkansas.gov/NPILookup?Npi=1598417511","1598417511")</f>
        <v>1598417511</v>
      </c>
      <c r="E5355" t="s">
        <v>17493</v>
      </c>
    </row>
    <row r="5356" spans="1:5" x14ac:dyDescent="0.25">
      <c r="A5356" t="s">
        <v>1</v>
      </c>
      <c r="B5356" t="s">
        <v>19</v>
      </c>
      <c r="C5356" t="s">
        <v>23490</v>
      </c>
      <c r="D5356" t="str">
        <f>HYPERLINK("https://rhld.insurance.arkansas.gov/NPILookup?Npi=1598420911","1598420911")</f>
        <v>1598420911</v>
      </c>
      <c r="E5356" t="s">
        <v>20981</v>
      </c>
    </row>
    <row r="5357" spans="1:5" x14ac:dyDescent="0.25">
      <c r="A5357" t="s">
        <v>1</v>
      </c>
      <c r="B5357" t="s">
        <v>19</v>
      </c>
      <c r="C5357" t="s">
        <v>23490</v>
      </c>
      <c r="D5357" t="str">
        <f>HYPERLINK("https://rhld.insurance.arkansas.gov/NPILookup?Npi=1598422263","1598422263")</f>
        <v>1598422263</v>
      </c>
      <c r="E5357" t="s">
        <v>21587</v>
      </c>
    </row>
    <row r="5358" spans="1:5" x14ac:dyDescent="0.25">
      <c r="A5358" t="s">
        <v>1</v>
      </c>
      <c r="B5358" t="s">
        <v>19</v>
      </c>
      <c r="C5358" t="s">
        <v>23490</v>
      </c>
      <c r="D5358" t="str">
        <f>HYPERLINK("https://rhld.insurance.arkansas.gov/NPILookup?Npi=1598422636","1598422636")</f>
        <v>1598422636</v>
      </c>
      <c r="E5358" t="s">
        <v>18270</v>
      </c>
    </row>
    <row r="5359" spans="1:5" x14ac:dyDescent="0.25">
      <c r="A5359" t="s">
        <v>1</v>
      </c>
      <c r="B5359" t="s">
        <v>19</v>
      </c>
      <c r="C5359" t="s">
        <v>23490</v>
      </c>
      <c r="D5359" t="str">
        <f>HYPERLINK("https://rhld.insurance.arkansas.gov/NPILookup?Npi=1598430068","1598430068")</f>
        <v>1598430068</v>
      </c>
      <c r="E5359" t="s">
        <v>21588</v>
      </c>
    </row>
    <row r="5360" spans="1:5" x14ac:dyDescent="0.25">
      <c r="A5360" t="s">
        <v>1</v>
      </c>
      <c r="B5360" t="s">
        <v>19</v>
      </c>
      <c r="C5360" t="s">
        <v>23490</v>
      </c>
      <c r="D5360" t="str">
        <f>HYPERLINK("https://rhld.insurance.arkansas.gov/NPILookup?Npi=1598436974","1598436974")</f>
        <v>1598436974</v>
      </c>
      <c r="E5360" t="s">
        <v>19862</v>
      </c>
    </row>
    <row r="5361" spans="1:5" x14ac:dyDescent="0.25">
      <c r="A5361" t="s">
        <v>1</v>
      </c>
      <c r="B5361" t="s">
        <v>19</v>
      </c>
      <c r="C5361" t="s">
        <v>23490</v>
      </c>
      <c r="D5361" t="str">
        <f>HYPERLINK("https://rhld.insurance.arkansas.gov/NPILookup?Npi=1598438459","1598438459")</f>
        <v>1598438459</v>
      </c>
      <c r="E5361" t="s">
        <v>18818</v>
      </c>
    </row>
    <row r="5362" spans="1:5" x14ac:dyDescent="0.25">
      <c r="A5362" t="s">
        <v>1</v>
      </c>
      <c r="B5362" t="s">
        <v>19</v>
      </c>
      <c r="C5362" t="s">
        <v>23490</v>
      </c>
      <c r="D5362" t="str">
        <f>HYPERLINK("https://rhld.insurance.arkansas.gov/NPILookup?Npi=1598702235","1598702235")</f>
        <v>1598702235</v>
      </c>
      <c r="E5362" t="s">
        <v>15311</v>
      </c>
    </row>
    <row r="5363" spans="1:5" x14ac:dyDescent="0.25">
      <c r="A5363" t="s">
        <v>1</v>
      </c>
      <c r="B5363" t="s">
        <v>19</v>
      </c>
      <c r="C5363" t="s">
        <v>23490</v>
      </c>
      <c r="D5363" t="str">
        <f>HYPERLINK("https://rhld.insurance.arkansas.gov/NPILookup?Npi=1598702888","1598702888")</f>
        <v>1598702888</v>
      </c>
      <c r="E5363" t="s">
        <v>18054</v>
      </c>
    </row>
    <row r="5364" spans="1:5" x14ac:dyDescent="0.25">
      <c r="A5364" t="s">
        <v>1</v>
      </c>
      <c r="B5364" t="s">
        <v>19</v>
      </c>
      <c r="C5364" t="s">
        <v>23490</v>
      </c>
      <c r="D5364" t="str">
        <f>HYPERLINK("https://rhld.insurance.arkansas.gov/NPILookup?Npi=1598705634","1598705634")</f>
        <v>1598705634</v>
      </c>
      <c r="E5364" t="s">
        <v>16993</v>
      </c>
    </row>
    <row r="5365" spans="1:5" x14ac:dyDescent="0.25">
      <c r="A5365" t="s">
        <v>1</v>
      </c>
      <c r="B5365" t="s">
        <v>19</v>
      </c>
      <c r="C5365" t="s">
        <v>23490</v>
      </c>
      <c r="D5365" t="str">
        <f>HYPERLINK("https://rhld.insurance.arkansas.gov/NPILookup?Npi=1598705683","1598705683")</f>
        <v>1598705683</v>
      </c>
      <c r="E5365" t="s">
        <v>2088</v>
      </c>
    </row>
    <row r="5366" spans="1:5" x14ac:dyDescent="0.25">
      <c r="A5366" t="s">
        <v>1</v>
      </c>
      <c r="B5366" t="s">
        <v>19</v>
      </c>
      <c r="C5366" t="s">
        <v>23490</v>
      </c>
      <c r="D5366" t="str">
        <f>HYPERLINK("https://rhld.insurance.arkansas.gov/NPILookup?Npi=1598712499","1598712499")</f>
        <v>1598712499</v>
      </c>
      <c r="E5366" t="s">
        <v>2089</v>
      </c>
    </row>
    <row r="5367" spans="1:5" x14ac:dyDescent="0.25">
      <c r="A5367" t="s">
        <v>1</v>
      </c>
      <c r="B5367" t="s">
        <v>19</v>
      </c>
      <c r="C5367" t="s">
        <v>23490</v>
      </c>
      <c r="D5367" t="str">
        <f>HYPERLINK("https://rhld.insurance.arkansas.gov/NPILookup?Npi=1598714842","1598714842")</f>
        <v>1598714842</v>
      </c>
      <c r="E5367" t="s">
        <v>2090</v>
      </c>
    </row>
    <row r="5368" spans="1:5" x14ac:dyDescent="0.25">
      <c r="A5368" t="s">
        <v>1</v>
      </c>
      <c r="B5368" t="s">
        <v>19</v>
      </c>
      <c r="C5368" t="s">
        <v>23490</v>
      </c>
      <c r="D5368" t="str">
        <f>HYPERLINK("https://rhld.insurance.arkansas.gov/NPILookup?Npi=1598717738","1598717738")</f>
        <v>1598717738</v>
      </c>
      <c r="E5368" t="s">
        <v>2091</v>
      </c>
    </row>
    <row r="5369" spans="1:5" x14ac:dyDescent="0.25">
      <c r="A5369" t="s">
        <v>1</v>
      </c>
      <c r="B5369" t="s">
        <v>19</v>
      </c>
      <c r="C5369" t="s">
        <v>23490</v>
      </c>
      <c r="D5369" t="str">
        <f>HYPERLINK("https://rhld.insurance.arkansas.gov/NPILookup?Npi=1598731259","1598731259")</f>
        <v>1598731259</v>
      </c>
      <c r="E5369" t="s">
        <v>2092</v>
      </c>
    </row>
    <row r="5370" spans="1:5" x14ac:dyDescent="0.25">
      <c r="A5370" t="s">
        <v>1</v>
      </c>
      <c r="B5370" t="s">
        <v>19</v>
      </c>
      <c r="C5370" t="s">
        <v>23490</v>
      </c>
      <c r="D5370" t="str">
        <f>HYPERLINK("https://rhld.insurance.arkansas.gov/NPILookup?Npi=1598732315","1598732315")</f>
        <v>1598732315</v>
      </c>
      <c r="E5370" t="s">
        <v>575</v>
      </c>
    </row>
    <row r="5371" spans="1:5" x14ac:dyDescent="0.25">
      <c r="A5371" t="s">
        <v>1</v>
      </c>
      <c r="B5371" t="s">
        <v>19</v>
      </c>
      <c r="C5371" t="s">
        <v>23490</v>
      </c>
      <c r="D5371" t="str">
        <f>HYPERLINK("https://rhld.insurance.arkansas.gov/NPILookup?Npi=1598733545","1598733545")</f>
        <v>1598733545</v>
      </c>
      <c r="E5371" t="s">
        <v>2093</v>
      </c>
    </row>
    <row r="5372" spans="1:5" x14ac:dyDescent="0.25">
      <c r="A5372" t="s">
        <v>1</v>
      </c>
      <c r="B5372" t="s">
        <v>19</v>
      </c>
      <c r="C5372" t="s">
        <v>23490</v>
      </c>
      <c r="D5372" t="str">
        <f>HYPERLINK("https://rhld.insurance.arkansas.gov/NPILookup?Npi=1598733602","1598733602")</f>
        <v>1598733602</v>
      </c>
      <c r="E5372" t="s">
        <v>2094</v>
      </c>
    </row>
    <row r="5373" spans="1:5" x14ac:dyDescent="0.25">
      <c r="A5373" t="s">
        <v>1</v>
      </c>
      <c r="B5373" t="s">
        <v>19</v>
      </c>
      <c r="C5373" t="s">
        <v>23490</v>
      </c>
      <c r="D5373" t="str">
        <f>HYPERLINK("https://rhld.insurance.arkansas.gov/NPILookup?Npi=1598742215","1598742215")</f>
        <v>1598742215</v>
      </c>
      <c r="E5373" t="s">
        <v>2095</v>
      </c>
    </row>
    <row r="5374" spans="1:5" x14ac:dyDescent="0.25">
      <c r="A5374" t="s">
        <v>1</v>
      </c>
      <c r="B5374" t="s">
        <v>19</v>
      </c>
      <c r="C5374" t="s">
        <v>23490</v>
      </c>
      <c r="D5374" t="str">
        <f>HYPERLINK("https://rhld.insurance.arkansas.gov/NPILookup?Npi=1598753345","1598753345")</f>
        <v>1598753345</v>
      </c>
      <c r="E5374" t="s">
        <v>19863</v>
      </c>
    </row>
    <row r="5375" spans="1:5" x14ac:dyDescent="0.25">
      <c r="A5375" t="s">
        <v>1</v>
      </c>
      <c r="B5375" t="s">
        <v>19</v>
      </c>
      <c r="C5375" t="s">
        <v>23490</v>
      </c>
      <c r="D5375" t="str">
        <f>HYPERLINK("https://rhld.insurance.arkansas.gov/NPILookup?Npi=1598758120","1598758120")</f>
        <v>1598758120</v>
      </c>
      <c r="E5375" t="s">
        <v>2096</v>
      </c>
    </row>
    <row r="5376" spans="1:5" x14ac:dyDescent="0.25">
      <c r="A5376" t="s">
        <v>1</v>
      </c>
      <c r="B5376" t="s">
        <v>19</v>
      </c>
      <c r="C5376" t="s">
        <v>23490</v>
      </c>
      <c r="D5376" t="str">
        <f>HYPERLINK("https://rhld.insurance.arkansas.gov/NPILookup?Npi=1598760076","1598760076")</f>
        <v>1598760076</v>
      </c>
      <c r="E5376" t="s">
        <v>2097</v>
      </c>
    </row>
    <row r="5377" spans="1:5" x14ac:dyDescent="0.25">
      <c r="A5377" t="s">
        <v>1</v>
      </c>
      <c r="B5377" t="s">
        <v>19</v>
      </c>
      <c r="C5377" t="s">
        <v>23490</v>
      </c>
      <c r="D5377" t="str">
        <f>HYPERLINK("https://rhld.insurance.arkansas.gov/NPILookup?Npi=1598764896","1598764896")</f>
        <v>1598764896</v>
      </c>
      <c r="E5377" t="s">
        <v>2098</v>
      </c>
    </row>
    <row r="5378" spans="1:5" x14ac:dyDescent="0.25">
      <c r="A5378" t="s">
        <v>1</v>
      </c>
      <c r="B5378" t="s">
        <v>19</v>
      </c>
      <c r="C5378" t="s">
        <v>23490</v>
      </c>
      <c r="D5378" t="str">
        <f>HYPERLINK("https://rhld.insurance.arkansas.gov/NPILookup?Npi=1598765208","1598765208")</f>
        <v>1598765208</v>
      </c>
      <c r="E5378" t="s">
        <v>2099</v>
      </c>
    </row>
    <row r="5379" spans="1:5" x14ac:dyDescent="0.25">
      <c r="A5379" t="s">
        <v>1</v>
      </c>
      <c r="B5379" t="s">
        <v>19</v>
      </c>
      <c r="C5379" t="s">
        <v>23490</v>
      </c>
      <c r="D5379" t="str">
        <f>HYPERLINK("https://rhld.insurance.arkansas.gov/NPILookup?Npi=1598771677","1598771677")</f>
        <v>1598771677</v>
      </c>
      <c r="E5379" t="s">
        <v>2100</v>
      </c>
    </row>
    <row r="5380" spans="1:5" x14ac:dyDescent="0.25">
      <c r="A5380" t="s">
        <v>1</v>
      </c>
      <c r="B5380" t="s">
        <v>19</v>
      </c>
      <c r="C5380" t="s">
        <v>23490</v>
      </c>
      <c r="D5380" t="str">
        <f>HYPERLINK("https://rhld.insurance.arkansas.gov/NPILookup?Npi=1598788341","1598788341")</f>
        <v>1598788341</v>
      </c>
      <c r="E5380" t="s">
        <v>2102</v>
      </c>
    </row>
    <row r="5381" spans="1:5" x14ac:dyDescent="0.25">
      <c r="A5381" t="s">
        <v>1</v>
      </c>
      <c r="B5381" t="s">
        <v>19</v>
      </c>
      <c r="C5381" t="s">
        <v>23490</v>
      </c>
      <c r="D5381" t="str">
        <f>HYPERLINK("https://rhld.insurance.arkansas.gov/NPILookup?Npi=1598796690","1598796690")</f>
        <v>1598796690</v>
      </c>
      <c r="E5381" t="s">
        <v>19864</v>
      </c>
    </row>
    <row r="5382" spans="1:5" x14ac:dyDescent="0.25">
      <c r="A5382" t="s">
        <v>1</v>
      </c>
      <c r="B5382" t="s">
        <v>19</v>
      </c>
      <c r="C5382" t="s">
        <v>23490</v>
      </c>
      <c r="D5382" t="str">
        <f>HYPERLINK("https://rhld.insurance.arkansas.gov/NPILookup?Npi=1598797391","1598797391")</f>
        <v>1598797391</v>
      </c>
      <c r="E5382" t="s">
        <v>2103</v>
      </c>
    </row>
    <row r="5383" spans="1:5" x14ac:dyDescent="0.25">
      <c r="A5383" t="s">
        <v>1</v>
      </c>
      <c r="B5383" t="s">
        <v>19</v>
      </c>
      <c r="C5383" t="s">
        <v>23490</v>
      </c>
      <c r="D5383" t="str">
        <f>HYPERLINK("https://rhld.insurance.arkansas.gov/NPILookup?Npi=1598800609","1598800609")</f>
        <v>1598800609</v>
      </c>
      <c r="E5383" t="s">
        <v>15312</v>
      </c>
    </row>
    <row r="5384" spans="1:5" x14ac:dyDescent="0.25">
      <c r="A5384" t="s">
        <v>1</v>
      </c>
      <c r="B5384" t="s">
        <v>19</v>
      </c>
      <c r="C5384" t="s">
        <v>23490</v>
      </c>
      <c r="D5384" t="str">
        <f>HYPERLINK("https://rhld.insurance.arkansas.gov/NPILookup?Npi=1598806192","1598806192")</f>
        <v>1598806192</v>
      </c>
      <c r="E5384" t="s">
        <v>2104</v>
      </c>
    </row>
    <row r="5385" spans="1:5" x14ac:dyDescent="0.25">
      <c r="A5385" t="s">
        <v>1</v>
      </c>
      <c r="B5385" t="s">
        <v>19</v>
      </c>
      <c r="C5385" t="s">
        <v>23490</v>
      </c>
      <c r="D5385" t="str">
        <f>HYPERLINK("https://rhld.insurance.arkansas.gov/NPILookup?Npi=1598841710","1598841710")</f>
        <v>1598841710</v>
      </c>
      <c r="E5385" t="s">
        <v>11094</v>
      </c>
    </row>
    <row r="5386" spans="1:5" x14ac:dyDescent="0.25">
      <c r="A5386" t="s">
        <v>1</v>
      </c>
      <c r="B5386" t="s">
        <v>19</v>
      </c>
      <c r="C5386" t="s">
        <v>23490</v>
      </c>
      <c r="D5386" t="str">
        <f>HYPERLINK("https://rhld.insurance.arkansas.gov/NPILookup?Npi=1598845430","1598845430")</f>
        <v>1598845430</v>
      </c>
      <c r="E5386" t="s">
        <v>2105</v>
      </c>
    </row>
    <row r="5387" spans="1:5" x14ac:dyDescent="0.25">
      <c r="A5387" t="s">
        <v>1</v>
      </c>
      <c r="B5387" t="s">
        <v>19</v>
      </c>
      <c r="C5387" t="s">
        <v>23490</v>
      </c>
      <c r="D5387" t="str">
        <f>HYPERLINK("https://rhld.insurance.arkansas.gov/NPILookup?Npi=1598849234","1598849234")</f>
        <v>1598849234</v>
      </c>
      <c r="E5387" t="s">
        <v>11095</v>
      </c>
    </row>
    <row r="5388" spans="1:5" x14ac:dyDescent="0.25">
      <c r="A5388" t="s">
        <v>1</v>
      </c>
      <c r="B5388" t="s">
        <v>19</v>
      </c>
      <c r="C5388" t="s">
        <v>23490</v>
      </c>
      <c r="D5388" t="str">
        <f>HYPERLINK("https://rhld.insurance.arkansas.gov/NPILookup?Npi=1598855066","1598855066")</f>
        <v>1598855066</v>
      </c>
      <c r="E5388" t="s">
        <v>2106</v>
      </c>
    </row>
    <row r="5389" spans="1:5" x14ac:dyDescent="0.25">
      <c r="A5389" t="s">
        <v>1</v>
      </c>
      <c r="B5389" t="s">
        <v>19</v>
      </c>
      <c r="C5389" t="s">
        <v>23490</v>
      </c>
      <c r="D5389" t="str">
        <f>HYPERLINK("https://rhld.insurance.arkansas.gov/NPILookup?Npi=1598859688","1598859688")</f>
        <v>1598859688</v>
      </c>
      <c r="E5389" t="s">
        <v>15313</v>
      </c>
    </row>
    <row r="5390" spans="1:5" x14ac:dyDescent="0.25">
      <c r="A5390" t="s">
        <v>1</v>
      </c>
      <c r="B5390" t="s">
        <v>19</v>
      </c>
      <c r="C5390" t="s">
        <v>23490</v>
      </c>
      <c r="D5390" t="str">
        <f>HYPERLINK("https://rhld.insurance.arkansas.gov/NPILookup?Npi=1598865578","1598865578")</f>
        <v>1598865578</v>
      </c>
      <c r="E5390" t="s">
        <v>2107</v>
      </c>
    </row>
    <row r="5391" spans="1:5" x14ac:dyDescent="0.25">
      <c r="A5391" t="s">
        <v>1</v>
      </c>
      <c r="B5391" t="s">
        <v>19</v>
      </c>
      <c r="C5391" t="s">
        <v>23490</v>
      </c>
      <c r="D5391" t="str">
        <f>HYPERLINK("https://rhld.insurance.arkansas.gov/NPILookup?Npi=1598866105","1598866105")</f>
        <v>1598866105</v>
      </c>
      <c r="E5391" t="s">
        <v>2108</v>
      </c>
    </row>
    <row r="5392" spans="1:5" x14ac:dyDescent="0.25">
      <c r="A5392" t="s">
        <v>1</v>
      </c>
      <c r="B5392" t="s">
        <v>19</v>
      </c>
      <c r="C5392" t="s">
        <v>23490</v>
      </c>
      <c r="D5392" t="str">
        <f>HYPERLINK("https://rhld.insurance.arkansas.gov/NPILookup?Npi=1598866568","1598866568")</f>
        <v>1598866568</v>
      </c>
      <c r="E5392" t="s">
        <v>15314</v>
      </c>
    </row>
    <row r="5393" spans="1:5" x14ac:dyDescent="0.25">
      <c r="A5393" t="s">
        <v>1</v>
      </c>
      <c r="B5393" t="s">
        <v>19</v>
      </c>
      <c r="C5393" t="s">
        <v>23490</v>
      </c>
      <c r="D5393" t="str">
        <f>HYPERLINK("https://rhld.insurance.arkansas.gov/NPILookup?Npi=1598916942","1598916942")</f>
        <v>1598916942</v>
      </c>
      <c r="E5393" t="s">
        <v>11096</v>
      </c>
    </row>
    <row r="5394" spans="1:5" x14ac:dyDescent="0.25">
      <c r="A5394" t="s">
        <v>1</v>
      </c>
      <c r="B5394" t="s">
        <v>19</v>
      </c>
      <c r="C5394" t="s">
        <v>23490</v>
      </c>
      <c r="D5394" t="str">
        <f>HYPERLINK("https://rhld.insurance.arkansas.gov/NPILookup?Npi=1598920704","1598920704")</f>
        <v>1598920704</v>
      </c>
      <c r="E5394" t="s">
        <v>8760</v>
      </c>
    </row>
    <row r="5395" spans="1:5" x14ac:dyDescent="0.25">
      <c r="A5395" t="s">
        <v>1</v>
      </c>
      <c r="B5395" t="s">
        <v>19</v>
      </c>
      <c r="C5395" t="s">
        <v>23490</v>
      </c>
      <c r="D5395" t="str">
        <f>HYPERLINK("https://rhld.insurance.arkansas.gov/NPILookup?Npi=1598932915","1598932915")</f>
        <v>1598932915</v>
      </c>
      <c r="E5395" t="s">
        <v>11097</v>
      </c>
    </row>
    <row r="5396" spans="1:5" x14ac:dyDescent="0.25">
      <c r="A5396" t="s">
        <v>1</v>
      </c>
      <c r="B5396" t="s">
        <v>19</v>
      </c>
      <c r="C5396" t="s">
        <v>23490</v>
      </c>
      <c r="D5396" t="str">
        <f>HYPERLINK("https://rhld.insurance.arkansas.gov/NPILookup?Npi=1598961047","1598961047")</f>
        <v>1598961047</v>
      </c>
      <c r="E5396" t="s">
        <v>2109</v>
      </c>
    </row>
    <row r="5397" spans="1:5" x14ac:dyDescent="0.25">
      <c r="A5397" t="s">
        <v>1</v>
      </c>
      <c r="B5397" t="s">
        <v>19</v>
      </c>
      <c r="C5397" t="s">
        <v>23490</v>
      </c>
      <c r="D5397" t="str">
        <f>HYPERLINK("https://rhld.insurance.arkansas.gov/NPILookup?Npi=1598984056","1598984056")</f>
        <v>1598984056</v>
      </c>
      <c r="E5397" t="s">
        <v>2110</v>
      </c>
    </row>
    <row r="5398" spans="1:5" x14ac:dyDescent="0.25">
      <c r="A5398" t="s">
        <v>1</v>
      </c>
      <c r="B5398" t="s">
        <v>19</v>
      </c>
      <c r="C5398" t="s">
        <v>23490</v>
      </c>
      <c r="D5398" t="str">
        <f>HYPERLINK("https://rhld.insurance.arkansas.gov/NPILookup?Npi=1598998353","1598998353")</f>
        <v>1598998353</v>
      </c>
      <c r="E5398" t="s">
        <v>2111</v>
      </c>
    </row>
    <row r="5399" spans="1:5" x14ac:dyDescent="0.25">
      <c r="A5399" t="s">
        <v>1</v>
      </c>
      <c r="B5399" t="s">
        <v>19</v>
      </c>
      <c r="C5399" t="s">
        <v>23490</v>
      </c>
      <c r="D5399" t="str">
        <f>HYPERLINK("https://rhld.insurance.arkansas.gov/NPILookup?Npi=1609006410","1609006410")</f>
        <v>1609006410</v>
      </c>
      <c r="E5399" t="s">
        <v>19865</v>
      </c>
    </row>
    <row r="5400" spans="1:5" x14ac:dyDescent="0.25">
      <c r="A5400" t="s">
        <v>1</v>
      </c>
      <c r="B5400" t="s">
        <v>19</v>
      </c>
      <c r="C5400" t="s">
        <v>23490</v>
      </c>
      <c r="D5400" t="str">
        <f>HYPERLINK("https://rhld.insurance.arkansas.gov/NPILookup?Npi=1609013721","1609013721")</f>
        <v>1609013721</v>
      </c>
      <c r="E5400" t="s">
        <v>2112</v>
      </c>
    </row>
    <row r="5401" spans="1:5" x14ac:dyDescent="0.25">
      <c r="A5401" t="s">
        <v>1</v>
      </c>
      <c r="B5401" t="s">
        <v>19</v>
      </c>
      <c r="C5401" t="s">
        <v>23490</v>
      </c>
      <c r="D5401" t="str">
        <f>HYPERLINK("https://rhld.insurance.arkansas.gov/NPILookup?Npi=1609024835","1609024835")</f>
        <v>1609024835</v>
      </c>
      <c r="E5401" t="s">
        <v>20982</v>
      </c>
    </row>
    <row r="5402" spans="1:5" x14ac:dyDescent="0.25">
      <c r="A5402" t="s">
        <v>1</v>
      </c>
      <c r="B5402" t="s">
        <v>19</v>
      </c>
      <c r="C5402" t="s">
        <v>23490</v>
      </c>
      <c r="D5402" t="str">
        <f>HYPERLINK("https://rhld.insurance.arkansas.gov/NPILookup?Npi=1609027465","1609027465")</f>
        <v>1609027465</v>
      </c>
      <c r="E5402" t="s">
        <v>11098</v>
      </c>
    </row>
    <row r="5403" spans="1:5" x14ac:dyDescent="0.25">
      <c r="A5403" t="s">
        <v>1</v>
      </c>
      <c r="B5403" t="s">
        <v>19</v>
      </c>
      <c r="C5403" t="s">
        <v>23490</v>
      </c>
      <c r="D5403" t="str">
        <f>HYPERLINK("https://rhld.insurance.arkansas.gov/NPILookup?Npi=1609028828","1609028828")</f>
        <v>1609028828</v>
      </c>
      <c r="E5403" t="s">
        <v>2113</v>
      </c>
    </row>
    <row r="5404" spans="1:5" x14ac:dyDescent="0.25">
      <c r="A5404" t="s">
        <v>1</v>
      </c>
      <c r="B5404" t="s">
        <v>19</v>
      </c>
      <c r="C5404" t="s">
        <v>23490</v>
      </c>
      <c r="D5404" t="str">
        <f>HYPERLINK("https://rhld.insurance.arkansas.gov/NPILookup?Npi=1609033265","1609033265")</f>
        <v>1609033265</v>
      </c>
      <c r="E5404" t="s">
        <v>13616</v>
      </c>
    </row>
    <row r="5405" spans="1:5" x14ac:dyDescent="0.25">
      <c r="A5405" t="s">
        <v>1</v>
      </c>
      <c r="B5405" t="s">
        <v>19</v>
      </c>
      <c r="C5405" t="s">
        <v>23490</v>
      </c>
      <c r="D5405" t="str">
        <f>HYPERLINK("https://rhld.insurance.arkansas.gov/NPILookup?Npi=1609037993","1609037993")</f>
        <v>1609037993</v>
      </c>
      <c r="E5405" t="s">
        <v>2114</v>
      </c>
    </row>
    <row r="5406" spans="1:5" x14ac:dyDescent="0.25">
      <c r="A5406" t="s">
        <v>1</v>
      </c>
      <c r="B5406" t="s">
        <v>19</v>
      </c>
      <c r="C5406" t="s">
        <v>23490</v>
      </c>
      <c r="D5406" t="str">
        <f>HYPERLINK("https://rhld.insurance.arkansas.gov/NPILookup?Npi=1609040849","1609040849")</f>
        <v>1609040849</v>
      </c>
      <c r="E5406" t="s">
        <v>2115</v>
      </c>
    </row>
    <row r="5407" spans="1:5" x14ac:dyDescent="0.25">
      <c r="A5407" t="s">
        <v>1</v>
      </c>
      <c r="B5407" t="s">
        <v>19</v>
      </c>
      <c r="C5407" t="s">
        <v>23490</v>
      </c>
      <c r="D5407" t="str">
        <f>HYPERLINK("https://rhld.insurance.arkansas.gov/NPILookup?Npi=1609046556","1609046556")</f>
        <v>1609046556</v>
      </c>
      <c r="E5407" t="s">
        <v>2116</v>
      </c>
    </row>
    <row r="5408" spans="1:5" x14ac:dyDescent="0.25">
      <c r="A5408" t="s">
        <v>1</v>
      </c>
      <c r="B5408" t="s">
        <v>19</v>
      </c>
      <c r="C5408" t="s">
        <v>23490</v>
      </c>
      <c r="D5408" t="str">
        <f>HYPERLINK("https://rhld.insurance.arkansas.gov/NPILookup?Npi=1609047943","1609047943")</f>
        <v>1609047943</v>
      </c>
      <c r="E5408" t="s">
        <v>15315</v>
      </c>
    </row>
    <row r="5409" spans="1:5" x14ac:dyDescent="0.25">
      <c r="A5409" t="s">
        <v>1</v>
      </c>
      <c r="B5409" t="s">
        <v>19</v>
      </c>
      <c r="C5409" t="s">
        <v>23490</v>
      </c>
      <c r="D5409" t="str">
        <f>HYPERLINK("https://rhld.insurance.arkansas.gov/NPILookup?Npi=1609050087","1609050087")</f>
        <v>1609050087</v>
      </c>
      <c r="E5409" t="s">
        <v>2117</v>
      </c>
    </row>
    <row r="5410" spans="1:5" x14ac:dyDescent="0.25">
      <c r="A5410" t="s">
        <v>1</v>
      </c>
      <c r="B5410" t="s">
        <v>19</v>
      </c>
      <c r="C5410" t="s">
        <v>23490</v>
      </c>
      <c r="D5410" t="str">
        <f>HYPERLINK("https://rhld.insurance.arkansas.gov/NPILookup?Npi=1609069251","1609069251")</f>
        <v>1609069251</v>
      </c>
      <c r="E5410" t="s">
        <v>15316</v>
      </c>
    </row>
    <row r="5411" spans="1:5" x14ac:dyDescent="0.25">
      <c r="A5411" t="s">
        <v>1</v>
      </c>
      <c r="B5411" t="s">
        <v>19</v>
      </c>
      <c r="C5411" t="s">
        <v>23490</v>
      </c>
      <c r="D5411" t="str">
        <f>HYPERLINK("https://rhld.insurance.arkansas.gov/NPILookup?Npi=1609073022","1609073022")</f>
        <v>1609073022</v>
      </c>
      <c r="E5411" t="s">
        <v>2118</v>
      </c>
    </row>
    <row r="5412" spans="1:5" x14ac:dyDescent="0.25">
      <c r="A5412" t="s">
        <v>1</v>
      </c>
      <c r="B5412" t="s">
        <v>19</v>
      </c>
      <c r="C5412" t="s">
        <v>23490</v>
      </c>
      <c r="D5412" t="str">
        <f>HYPERLINK("https://rhld.insurance.arkansas.gov/NPILookup?Npi=1609087923","1609087923")</f>
        <v>1609087923</v>
      </c>
      <c r="E5412" t="s">
        <v>8761</v>
      </c>
    </row>
    <row r="5413" spans="1:5" x14ac:dyDescent="0.25">
      <c r="A5413" t="s">
        <v>1</v>
      </c>
      <c r="B5413" t="s">
        <v>19</v>
      </c>
      <c r="C5413" t="s">
        <v>23490</v>
      </c>
      <c r="D5413" t="str">
        <f>HYPERLINK("https://rhld.insurance.arkansas.gov/NPILookup?Npi=1609106947","1609106947")</f>
        <v>1609106947</v>
      </c>
      <c r="E5413" t="s">
        <v>2120</v>
      </c>
    </row>
    <row r="5414" spans="1:5" x14ac:dyDescent="0.25">
      <c r="A5414" t="s">
        <v>1</v>
      </c>
      <c r="B5414" t="s">
        <v>19</v>
      </c>
      <c r="C5414" t="s">
        <v>23490</v>
      </c>
      <c r="D5414" t="str">
        <f>HYPERLINK("https://rhld.insurance.arkansas.gov/NPILookup?Npi=1609131358","1609131358")</f>
        <v>1609131358</v>
      </c>
      <c r="E5414" t="s">
        <v>15317</v>
      </c>
    </row>
    <row r="5415" spans="1:5" x14ac:dyDescent="0.25">
      <c r="A5415" t="s">
        <v>1</v>
      </c>
      <c r="B5415" t="s">
        <v>19</v>
      </c>
      <c r="C5415" t="s">
        <v>23490</v>
      </c>
      <c r="D5415" t="str">
        <f>HYPERLINK("https://rhld.insurance.arkansas.gov/NPILookup?Npi=1609134006","1609134006")</f>
        <v>1609134006</v>
      </c>
      <c r="E5415" t="s">
        <v>8762</v>
      </c>
    </row>
    <row r="5416" spans="1:5" x14ac:dyDescent="0.25">
      <c r="A5416" t="s">
        <v>1</v>
      </c>
      <c r="B5416" t="s">
        <v>19</v>
      </c>
      <c r="C5416" t="s">
        <v>23490</v>
      </c>
      <c r="D5416" t="str">
        <f>HYPERLINK("https://rhld.insurance.arkansas.gov/NPILookup?Npi=1609135011","1609135011")</f>
        <v>1609135011</v>
      </c>
      <c r="E5416" t="s">
        <v>15318</v>
      </c>
    </row>
    <row r="5417" spans="1:5" x14ac:dyDescent="0.25">
      <c r="A5417" t="s">
        <v>1</v>
      </c>
      <c r="B5417" t="s">
        <v>19</v>
      </c>
      <c r="C5417" t="s">
        <v>23490</v>
      </c>
      <c r="D5417" t="str">
        <f>HYPERLINK("https://rhld.insurance.arkansas.gov/NPILookup?Npi=1609165364","1609165364")</f>
        <v>1609165364</v>
      </c>
      <c r="E5417" t="s">
        <v>2121</v>
      </c>
    </row>
    <row r="5418" spans="1:5" x14ac:dyDescent="0.25">
      <c r="A5418" t="s">
        <v>1</v>
      </c>
      <c r="B5418" t="s">
        <v>19</v>
      </c>
      <c r="C5418" t="s">
        <v>23490</v>
      </c>
      <c r="D5418" t="str">
        <f>HYPERLINK("https://rhld.insurance.arkansas.gov/NPILookup?Npi=1609167402","1609167402")</f>
        <v>1609167402</v>
      </c>
      <c r="E5418" t="s">
        <v>2122</v>
      </c>
    </row>
    <row r="5419" spans="1:5" x14ac:dyDescent="0.25">
      <c r="A5419" t="s">
        <v>1</v>
      </c>
      <c r="B5419" t="s">
        <v>19</v>
      </c>
      <c r="C5419" t="s">
        <v>23490</v>
      </c>
      <c r="D5419" t="str">
        <f>HYPERLINK("https://rhld.insurance.arkansas.gov/NPILookup?Npi=1609171123","1609171123")</f>
        <v>1609171123</v>
      </c>
      <c r="E5419" t="s">
        <v>2123</v>
      </c>
    </row>
    <row r="5420" spans="1:5" x14ac:dyDescent="0.25">
      <c r="A5420" t="s">
        <v>1</v>
      </c>
      <c r="B5420" t="s">
        <v>19</v>
      </c>
      <c r="C5420" t="s">
        <v>23490</v>
      </c>
      <c r="D5420" t="str">
        <f>HYPERLINK("https://rhld.insurance.arkansas.gov/NPILookup?Npi=1609173038","1609173038")</f>
        <v>1609173038</v>
      </c>
      <c r="E5420" t="s">
        <v>2124</v>
      </c>
    </row>
    <row r="5421" spans="1:5" x14ac:dyDescent="0.25">
      <c r="A5421" t="s">
        <v>1</v>
      </c>
      <c r="B5421" t="s">
        <v>19</v>
      </c>
      <c r="C5421" t="s">
        <v>23490</v>
      </c>
      <c r="D5421" t="str">
        <f>HYPERLINK("https://rhld.insurance.arkansas.gov/NPILookup?Npi=1609183599","1609183599")</f>
        <v>1609183599</v>
      </c>
      <c r="E5421" t="s">
        <v>8763</v>
      </c>
    </row>
    <row r="5422" spans="1:5" x14ac:dyDescent="0.25">
      <c r="A5422" t="s">
        <v>1</v>
      </c>
      <c r="B5422" t="s">
        <v>19</v>
      </c>
      <c r="C5422" t="s">
        <v>23490</v>
      </c>
      <c r="D5422" t="str">
        <f>HYPERLINK("https://rhld.insurance.arkansas.gov/NPILookup?Npi=1609185859","1609185859")</f>
        <v>1609185859</v>
      </c>
      <c r="E5422" t="s">
        <v>19393</v>
      </c>
    </row>
    <row r="5423" spans="1:5" x14ac:dyDescent="0.25">
      <c r="A5423" t="s">
        <v>1</v>
      </c>
      <c r="B5423" t="s">
        <v>19</v>
      </c>
      <c r="C5423" t="s">
        <v>23490</v>
      </c>
      <c r="D5423" t="str">
        <f>HYPERLINK("https://rhld.insurance.arkansas.gov/NPILookup?Npi=1609188614","1609188614")</f>
        <v>1609188614</v>
      </c>
      <c r="E5423" t="s">
        <v>2125</v>
      </c>
    </row>
    <row r="5424" spans="1:5" x14ac:dyDescent="0.25">
      <c r="A5424" t="s">
        <v>1</v>
      </c>
      <c r="B5424" t="s">
        <v>19</v>
      </c>
      <c r="C5424" t="s">
        <v>23490</v>
      </c>
      <c r="D5424" t="str">
        <f>HYPERLINK("https://rhld.insurance.arkansas.gov/NPILookup?Npi=1609189588","1609189588")</f>
        <v>1609189588</v>
      </c>
      <c r="E5424" t="s">
        <v>2126</v>
      </c>
    </row>
    <row r="5425" spans="1:5" x14ac:dyDescent="0.25">
      <c r="A5425" t="s">
        <v>1</v>
      </c>
      <c r="B5425" t="s">
        <v>19</v>
      </c>
      <c r="C5425" t="s">
        <v>23490</v>
      </c>
      <c r="D5425" t="str">
        <f>HYPERLINK("https://rhld.insurance.arkansas.gov/NPILookup?Npi=1609190826","1609190826")</f>
        <v>1609190826</v>
      </c>
      <c r="E5425" t="s">
        <v>2127</v>
      </c>
    </row>
    <row r="5426" spans="1:5" x14ac:dyDescent="0.25">
      <c r="A5426" t="s">
        <v>1</v>
      </c>
      <c r="B5426" t="s">
        <v>19</v>
      </c>
      <c r="C5426" t="s">
        <v>23490</v>
      </c>
      <c r="D5426" t="str">
        <f>HYPERLINK("https://rhld.insurance.arkansas.gov/NPILookup?Npi=1609194109","1609194109")</f>
        <v>1609194109</v>
      </c>
      <c r="E5426" t="s">
        <v>15319</v>
      </c>
    </row>
    <row r="5427" spans="1:5" x14ac:dyDescent="0.25">
      <c r="A5427" t="s">
        <v>1</v>
      </c>
      <c r="B5427" t="s">
        <v>19</v>
      </c>
      <c r="C5427" t="s">
        <v>23490</v>
      </c>
      <c r="D5427" t="str">
        <f>HYPERLINK("https://rhld.insurance.arkansas.gov/NPILookup?Npi=1609211374","1609211374")</f>
        <v>1609211374</v>
      </c>
      <c r="E5427" t="s">
        <v>15320</v>
      </c>
    </row>
    <row r="5428" spans="1:5" x14ac:dyDescent="0.25">
      <c r="A5428" t="s">
        <v>1</v>
      </c>
      <c r="B5428" t="s">
        <v>19</v>
      </c>
      <c r="C5428" t="s">
        <v>23490</v>
      </c>
      <c r="D5428" t="str">
        <f>HYPERLINK("https://rhld.insurance.arkansas.gov/NPILookup?Npi=1609215854","1609215854")</f>
        <v>1609215854</v>
      </c>
      <c r="E5428" t="s">
        <v>15321</v>
      </c>
    </row>
    <row r="5429" spans="1:5" x14ac:dyDescent="0.25">
      <c r="A5429" t="s">
        <v>1</v>
      </c>
      <c r="B5429" t="s">
        <v>19</v>
      </c>
      <c r="C5429" t="s">
        <v>23490</v>
      </c>
      <c r="D5429" t="str">
        <f>HYPERLINK("https://rhld.insurance.arkansas.gov/NPILookup?Npi=1609220110","1609220110")</f>
        <v>1609220110</v>
      </c>
      <c r="E5429" t="s">
        <v>12867</v>
      </c>
    </row>
    <row r="5430" spans="1:5" x14ac:dyDescent="0.25">
      <c r="A5430" t="s">
        <v>1</v>
      </c>
      <c r="B5430" t="s">
        <v>19</v>
      </c>
      <c r="C5430" t="s">
        <v>23490</v>
      </c>
      <c r="D5430" t="str">
        <f>HYPERLINK("https://rhld.insurance.arkansas.gov/NPILookup?Npi=1609228568","1609228568")</f>
        <v>1609228568</v>
      </c>
      <c r="E5430" t="s">
        <v>15322</v>
      </c>
    </row>
    <row r="5431" spans="1:5" x14ac:dyDescent="0.25">
      <c r="A5431" t="s">
        <v>1</v>
      </c>
      <c r="B5431" t="s">
        <v>19</v>
      </c>
      <c r="C5431" t="s">
        <v>23490</v>
      </c>
      <c r="D5431" t="str">
        <f>HYPERLINK("https://rhld.insurance.arkansas.gov/NPILookup?Npi=1609233535","1609233535")</f>
        <v>1609233535</v>
      </c>
      <c r="E5431" t="s">
        <v>8764</v>
      </c>
    </row>
    <row r="5432" spans="1:5" x14ac:dyDescent="0.25">
      <c r="A5432" t="s">
        <v>1</v>
      </c>
      <c r="B5432" t="s">
        <v>19</v>
      </c>
      <c r="C5432" t="s">
        <v>23490</v>
      </c>
      <c r="D5432" t="str">
        <f>HYPERLINK("https://rhld.insurance.arkansas.gov/NPILookup?Npi=1609235076","1609235076")</f>
        <v>1609235076</v>
      </c>
      <c r="E5432" t="s">
        <v>8765</v>
      </c>
    </row>
    <row r="5433" spans="1:5" x14ac:dyDescent="0.25">
      <c r="A5433" t="s">
        <v>1</v>
      </c>
      <c r="B5433" t="s">
        <v>19</v>
      </c>
      <c r="C5433" t="s">
        <v>23490</v>
      </c>
      <c r="D5433" t="str">
        <f>HYPERLINK("https://rhld.insurance.arkansas.gov/NPILookup?Npi=1609235878","1609235878")</f>
        <v>1609235878</v>
      </c>
      <c r="E5433" t="s">
        <v>19866</v>
      </c>
    </row>
    <row r="5434" spans="1:5" x14ac:dyDescent="0.25">
      <c r="A5434" t="s">
        <v>1</v>
      </c>
      <c r="B5434" t="s">
        <v>19</v>
      </c>
      <c r="C5434" t="s">
        <v>23490</v>
      </c>
      <c r="D5434" t="str">
        <f>HYPERLINK("https://rhld.insurance.arkansas.gov/NPILookup?Npi=1609236900","1609236900")</f>
        <v>1609236900</v>
      </c>
      <c r="E5434" t="s">
        <v>11100</v>
      </c>
    </row>
    <row r="5435" spans="1:5" x14ac:dyDescent="0.25">
      <c r="A5435" t="s">
        <v>1</v>
      </c>
      <c r="B5435" t="s">
        <v>19</v>
      </c>
      <c r="C5435" t="s">
        <v>23490</v>
      </c>
      <c r="D5435" t="str">
        <f>HYPERLINK("https://rhld.insurance.arkansas.gov/NPILookup?Npi=1609244318","1609244318")</f>
        <v>1609244318</v>
      </c>
      <c r="E5435" t="s">
        <v>2128</v>
      </c>
    </row>
    <row r="5436" spans="1:5" x14ac:dyDescent="0.25">
      <c r="A5436" t="s">
        <v>1</v>
      </c>
      <c r="B5436" t="s">
        <v>19</v>
      </c>
      <c r="C5436" t="s">
        <v>23490</v>
      </c>
      <c r="D5436" t="str">
        <f>HYPERLINK("https://rhld.insurance.arkansas.gov/NPILookup?Npi=1609258938","1609258938")</f>
        <v>1609258938</v>
      </c>
      <c r="E5436" t="s">
        <v>13617</v>
      </c>
    </row>
    <row r="5437" spans="1:5" x14ac:dyDescent="0.25">
      <c r="A5437" t="s">
        <v>1</v>
      </c>
      <c r="B5437" t="s">
        <v>19</v>
      </c>
      <c r="C5437" t="s">
        <v>23490</v>
      </c>
      <c r="D5437" t="str">
        <f>HYPERLINK("https://rhld.insurance.arkansas.gov/NPILookup?Npi=1609265420","1609265420")</f>
        <v>1609265420</v>
      </c>
      <c r="E5437" t="s">
        <v>2129</v>
      </c>
    </row>
    <row r="5438" spans="1:5" x14ac:dyDescent="0.25">
      <c r="A5438" t="s">
        <v>1</v>
      </c>
      <c r="B5438" t="s">
        <v>19</v>
      </c>
      <c r="C5438" t="s">
        <v>23490</v>
      </c>
      <c r="D5438" t="str">
        <f>HYPERLINK("https://rhld.insurance.arkansas.gov/NPILookup?Npi=1609268762","1609268762")</f>
        <v>1609268762</v>
      </c>
      <c r="E5438" t="s">
        <v>2130</v>
      </c>
    </row>
    <row r="5439" spans="1:5" x14ac:dyDescent="0.25">
      <c r="A5439" t="s">
        <v>1</v>
      </c>
      <c r="B5439" t="s">
        <v>19</v>
      </c>
      <c r="C5439" t="s">
        <v>23490</v>
      </c>
      <c r="D5439" t="str">
        <f>HYPERLINK("https://rhld.insurance.arkansas.gov/NPILookup?Npi=1609281070","1609281070")</f>
        <v>1609281070</v>
      </c>
      <c r="E5439" t="s">
        <v>11101</v>
      </c>
    </row>
    <row r="5440" spans="1:5" x14ac:dyDescent="0.25">
      <c r="A5440" t="s">
        <v>1</v>
      </c>
      <c r="B5440" t="s">
        <v>19</v>
      </c>
      <c r="C5440" t="s">
        <v>23490</v>
      </c>
      <c r="D5440" t="str">
        <f>HYPERLINK("https://rhld.insurance.arkansas.gov/NPILookup?Npi=1609282433","1609282433")</f>
        <v>1609282433</v>
      </c>
      <c r="E5440" t="s">
        <v>2131</v>
      </c>
    </row>
    <row r="5441" spans="1:5" x14ac:dyDescent="0.25">
      <c r="A5441" t="s">
        <v>1</v>
      </c>
      <c r="B5441" t="s">
        <v>19</v>
      </c>
      <c r="C5441" t="s">
        <v>23490</v>
      </c>
      <c r="D5441" t="str">
        <f>HYPERLINK("https://rhld.insurance.arkansas.gov/NPILookup?Npi=1609286780","1609286780")</f>
        <v>1609286780</v>
      </c>
      <c r="E5441" t="s">
        <v>11102</v>
      </c>
    </row>
    <row r="5442" spans="1:5" x14ac:dyDescent="0.25">
      <c r="A5442" t="s">
        <v>1</v>
      </c>
      <c r="B5442" t="s">
        <v>19</v>
      </c>
      <c r="C5442" t="s">
        <v>23490</v>
      </c>
      <c r="D5442" t="str">
        <f>HYPERLINK("https://rhld.insurance.arkansas.gov/NPILookup?Npi=1609290220","1609290220")</f>
        <v>1609290220</v>
      </c>
      <c r="E5442" t="s">
        <v>2132</v>
      </c>
    </row>
    <row r="5443" spans="1:5" x14ac:dyDescent="0.25">
      <c r="A5443" t="s">
        <v>1</v>
      </c>
      <c r="B5443" t="s">
        <v>19</v>
      </c>
      <c r="C5443" t="s">
        <v>23490</v>
      </c>
      <c r="D5443" t="str">
        <f>HYPERLINK("https://rhld.insurance.arkansas.gov/NPILookup?Npi=1609301068","1609301068")</f>
        <v>1609301068</v>
      </c>
      <c r="E5443" t="s">
        <v>11103</v>
      </c>
    </row>
    <row r="5444" spans="1:5" x14ac:dyDescent="0.25">
      <c r="A5444" t="s">
        <v>1</v>
      </c>
      <c r="B5444" t="s">
        <v>19</v>
      </c>
      <c r="C5444" t="s">
        <v>23490</v>
      </c>
      <c r="D5444" t="str">
        <f>HYPERLINK("https://rhld.insurance.arkansas.gov/NPILookup?Npi=1609303304","1609303304")</f>
        <v>1609303304</v>
      </c>
      <c r="E5444" t="s">
        <v>21589</v>
      </c>
    </row>
    <row r="5445" spans="1:5" x14ac:dyDescent="0.25">
      <c r="A5445" t="s">
        <v>1</v>
      </c>
      <c r="B5445" t="s">
        <v>19</v>
      </c>
      <c r="C5445" t="s">
        <v>23490</v>
      </c>
      <c r="D5445" t="str">
        <f>HYPERLINK("https://rhld.insurance.arkansas.gov/NPILookup?Npi=1609304286","1609304286")</f>
        <v>1609304286</v>
      </c>
      <c r="E5445" t="s">
        <v>18819</v>
      </c>
    </row>
    <row r="5446" spans="1:5" x14ac:dyDescent="0.25">
      <c r="A5446" t="s">
        <v>1</v>
      </c>
      <c r="B5446" t="s">
        <v>19</v>
      </c>
      <c r="C5446" t="s">
        <v>23490</v>
      </c>
      <c r="D5446" t="str">
        <f>HYPERLINK("https://rhld.insurance.arkansas.gov/NPILookup?Npi=1609304526","1609304526")</f>
        <v>1609304526</v>
      </c>
      <c r="E5446" t="s">
        <v>17444</v>
      </c>
    </row>
    <row r="5447" spans="1:5" x14ac:dyDescent="0.25">
      <c r="A5447" t="s">
        <v>1</v>
      </c>
      <c r="B5447" t="s">
        <v>19</v>
      </c>
      <c r="C5447" t="s">
        <v>23490</v>
      </c>
      <c r="D5447" t="str">
        <f>HYPERLINK("https://rhld.insurance.arkansas.gov/NPILookup?Npi=1609305929","1609305929")</f>
        <v>1609305929</v>
      </c>
      <c r="E5447" t="s">
        <v>20983</v>
      </c>
    </row>
    <row r="5448" spans="1:5" x14ac:dyDescent="0.25">
      <c r="A5448" t="s">
        <v>1</v>
      </c>
      <c r="B5448" t="s">
        <v>19</v>
      </c>
      <c r="C5448" t="s">
        <v>23490</v>
      </c>
      <c r="D5448" t="str">
        <f>HYPERLINK("https://rhld.insurance.arkansas.gov/NPILookup?Npi=1609311737","1609311737")</f>
        <v>1609311737</v>
      </c>
      <c r="E5448" t="s">
        <v>15323</v>
      </c>
    </row>
    <row r="5449" spans="1:5" x14ac:dyDescent="0.25">
      <c r="A5449" t="s">
        <v>1</v>
      </c>
      <c r="B5449" t="s">
        <v>19</v>
      </c>
      <c r="C5449" t="s">
        <v>23490</v>
      </c>
      <c r="D5449" t="str">
        <f>HYPERLINK("https://rhld.insurance.arkansas.gov/NPILookup?Npi=1609333269","1609333269")</f>
        <v>1609333269</v>
      </c>
      <c r="E5449" t="s">
        <v>19867</v>
      </c>
    </row>
    <row r="5450" spans="1:5" x14ac:dyDescent="0.25">
      <c r="A5450" t="s">
        <v>1</v>
      </c>
      <c r="B5450" t="s">
        <v>19</v>
      </c>
      <c r="C5450" t="s">
        <v>23490</v>
      </c>
      <c r="D5450" t="str">
        <f>HYPERLINK("https://rhld.insurance.arkansas.gov/NPILookup?Npi=1609333806","1609333806")</f>
        <v>1609333806</v>
      </c>
      <c r="E5450" t="s">
        <v>21590</v>
      </c>
    </row>
    <row r="5451" spans="1:5" x14ac:dyDescent="0.25">
      <c r="A5451" t="s">
        <v>1</v>
      </c>
      <c r="B5451" t="s">
        <v>19</v>
      </c>
      <c r="C5451" t="s">
        <v>23490</v>
      </c>
      <c r="D5451" t="str">
        <f>HYPERLINK("https://rhld.insurance.arkansas.gov/NPILookup?Npi=1609334341","1609334341")</f>
        <v>1609334341</v>
      </c>
      <c r="E5451" t="s">
        <v>19868</v>
      </c>
    </row>
    <row r="5452" spans="1:5" x14ac:dyDescent="0.25">
      <c r="A5452" t="s">
        <v>1</v>
      </c>
      <c r="B5452" t="s">
        <v>19</v>
      </c>
      <c r="C5452" t="s">
        <v>23490</v>
      </c>
      <c r="D5452" t="str">
        <f>HYPERLINK("https://rhld.insurance.arkansas.gov/NPILookup?Npi=1609361138","1609361138")</f>
        <v>1609361138</v>
      </c>
      <c r="E5452" t="s">
        <v>13618</v>
      </c>
    </row>
    <row r="5453" spans="1:5" x14ac:dyDescent="0.25">
      <c r="A5453" t="s">
        <v>1</v>
      </c>
      <c r="B5453" t="s">
        <v>19</v>
      </c>
      <c r="C5453" t="s">
        <v>23490</v>
      </c>
      <c r="D5453" t="str">
        <f>HYPERLINK("https://rhld.insurance.arkansas.gov/NPILookup?Npi=1609364934","1609364934")</f>
        <v>1609364934</v>
      </c>
      <c r="E5453" t="s">
        <v>21591</v>
      </c>
    </row>
    <row r="5454" spans="1:5" x14ac:dyDescent="0.25">
      <c r="A5454" t="s">
        <v>1</v>
      </c>
      <c r="B5454" t="s">
        <v>19</v>
      </c>
      <c r="C5454" t="s">
        <v>23490</v>
      </c>
      <c r="D5454" t="str">
        <f>HYPERLINK("https://rhld.insurance.arkansas.gov/NPILookup?Npi=1609372242","1609372242")</f>
        <v>1609372242</v>
      </c>
      <c r="E5454" t="s">
        <v>19869</v>
      </c>
    </row>
    <row r="5455" spans="1:5" x14ac:dyDescent="0.25">
      <c r="A5455" t="s">
        <v>1</v>
      </c>
      <c r="B5455" t="s">
        <v>19</v>
      </c>
      <c r="C5455" t="s">
        <v>23490</v>
      </c>
      <c r="D5455" t="str">
        <f>HYPERLINK("https://rhld.insurance.arkansas.gov/NPILookup?Npi=1609372309","1609372309")</f>
        <v>1609372309</v>
      </c>
      <c r="E5455" t="s">
        <v>20984</v>
      </c>
    </row>
    <row r="5456" spans="1:5" x14ac:dyDescent="0.25">
      <c r="A5456" t="s">
        <v>1</v>
      </c>
      <c r="B5456" t="s">
        <v>19</v>
      </c>
      <c r="C5456" t="s">
        <v>23490</v>
      </c>
      <c r="D5456" t="str">
        <f>HYPERLINK("https://rhld.insurance.arkansas.gov/NPILookup?Npi=1609385715","1609385715")</f>
        <v>1609385715</v>
      </c>
      <c r="E5456" t="s">
        <v>11105</v>
      </c>
    </row>
    <row r="5457" spans="1:5" x14ac:dyDescent="0.25">
      <c r="A5457" t="s">
        <v>1</v>
      </c>
      <c r="B5457" t="s">
        <v>19</v>
      </c>
      <c r="C5457" t="s">
        <v>23490</v>
      </c>
      <c r="D5457" t="str">
        <f>HYPERLINK("https://rhld.insurance.arkansas.gov/NPILookup?Npi=1609395938","1609395938")</f>
        <v>1609395938</v>
      </c>
      <c r="E5457" t="s">
        <v>13008</v>
      </c>
    </row>
    <row r="5458" spans="1:5" x14ac:dyDescent="0.25">
      <c r="A5458" t="s">
        <v>1</v>
      </c>
      <c r="B5458" t="s">
        <v>19</v>
      </c>
      <c r="C5458" t="s">
        <v>23490</v>
      </c>
      <c r="D5458" t="str">
        <f>HYPERLINK("https://rhld.insurance.arkansas.gov/NPILookup?Npi=1609407469","1609407469")</f>
        <v>1609407469</v>
      </c>
      <c r="E5458" t="s">
        <v>19870</v>
      </c>
    </row>
    <row r="5459" spans="1:5" x14ac:dyDescent="0.25">
      <c r="A5459" t="s">
        <v>1</v>
      </c>
      <c r="B5459" t="s">
        <v>19</v>
      </c>
      <c r="C5459" t="s">
        <v>23490</v>
      </c>
      <c r="D5459" t="str">
        <f>HYPERLINK("https://rhld.insurance.arkansas.gov/NPILookup?Npi=1609410232","1609410232")</f>
        <v>1609410232</v>
      </c>
      <c r="E5459" t="s">
        <v>19871</v>
      </c>
    </row>
    <row r="5460" spans="1:5" x14ac:dyDescent="0.25">
      <c r="A5460" t="s">
        <v>1</v>
      </c>
      <c r="B5460" t="s">
        <v>19</v>
      </c>
      <c r="C5460" t="s">
        <v>23490</v>
      </c>
      <c r="D5460" t="str">
        <f>HYPERLINK("https://rhld.insurance.arkansas.gov/NPILookup?Npi=1609417286","1609417286")</f>
        <v>1609417286</v>
      </c>
      <c r="E5460" t="s">
        <v>19872</v>
      </c>
    </row>
    <row r="5461" spans="1:5" x14ac:dyDescent="0.25">
      <c r="A5461" t="s">
        <v>1</v>
      </c>
      <c r="B5461" t="s">
        <v>19</v>
      </c>
      <c r="C5461" t="s">
        <v>23490</v>
      </c>
      <c r="D5461" t="str">
        <f>HYPERLINK("https://rhld.insurance.arkansas.gov/NPILookup?Npi=1609434620","1609434620")</f>
        <v>1609434620</v>
      </c>
      <c r="E5461" t="s">
        <v>15325</v>
      </c>
    </row>
    <row r="5462" spans="1:5" x14ac:dyDescent="0.25">
      <c r="A5462" t="s">
        <v>1</v>
      </c>
      <c r="B5462" t="s">
        <v>19</v>
      </c>
      <c r="C5462" t="s">
        <v>23490</v>
      </c>
      <c r="D5462" t="str">
        <f>HYPERLINK("https://rhld.insurance.arkansas.gov/NPILookup?Npi=1609436096","1609436096")</f>
        <v>1609436096</v>
      </c>
      <c r="E5462" t="s">
        <v>15326</v>
      </c>
    </row>
    <row r="5463" spans="1:5" x14ac:dyDescent="0.25">
      <c r="A5463" t="s">
        <v>1</v>
      </c>
      <c r="B5463" t="s">
        <v>19</v>
      </c>
      <c r="C5463" t="s">
        <v>23490</v>
      </c>
      <c r="D5463" t="str">
        <f>HYPERLINK("https://rhld.insurance.arkansas.gov/NPILookup?Npi=1609445923","1609445923")</f>
        <v>1609445923</v>
      </c>
      <c r="E5463" t="s">
        <v>21592</v>
      </c>
    </row>
    <row r="5464" spans="1:5" x14ac:dyDescent="0.25">
      <c r="A5464" t="s">
        <v>1</v>
      </c>
      <c r="B5464" t="s">
        <v>19</v>
      </c>
      <c r="C5464" t="s">
        <v>23490</v>
      </c>
      <c r="D5464" t="str">
        <f>HYPERLINK("https://rhld.insurance.arkansas.gov/NPILookup?Npi=1609447515","1609447515")</f>
        <v>1609447515</v>
      </c>
      <c r="E5464" t="s">
        <v>19873</v>
      </c>
    </row>
    <row r="5465" spans="1:5" x14ac:dyDescent="0.25">
      <c r="A5465" t="s">
        <v>1</v>
      </c>
      <c r="B5465" t="s">
        <v>19</v>
      </c>
      <c r="C5465" t="s">
        <v>23490</v>
      </c>
      <c r="D5465" t="str">
        <f>HYPERLINK("https://rhld.insurance.arkansas.gov/NPILookup?Npi=1609466473","1609466473")</f>
        <v>1609466473</v>
      </c>
      <c r="E5465" t="s">
        <v>18055</v>
      </c>
    </row>
    <row r="5466" spans="1:5" x14ac:dyDescent="0.25">
      <c r="A5466" t="s">
        <v>1</v>
      </c>
      <c r="B5466" t="s">
        <v>19</v>
      </c>
      <c r="C5466" t="s">
        <v>23490</v>
      </c>
      <c r="D5466" t="str">
        <f>HYPERLINK("https://rhld.insurance.arkansas.gov/NPILookup?Npi=1609485663","1609485663")</f>
        <v>1609485663</v>
      </c>
      <c r="E5466" t="s">
        <v>21593</v>
      </c>
    </row>
    <row r="5467" spans="1:5" x14ac:dyDescent="0.25">
      <c r="A5467" t="s">
        <v>1</v>
      </c>
      <c r="B5467" t="s">
        <v>19</v>
      </c>
      <c r="C5467" t="s">
        <v>23490</v>
      </c>
      <c r="D5467" t="str">
        <f>HYPERLINK("https://rhld.insurance.arkansas.gov/NPILookup?Npi=1609487024","1609487024")</f>
        <v>1609487024</v>
      </c>
      <c r="E5467" t="s">
        <v>19874</v>
      </c>
    </row>
    <row r="5468" spans="1:5" x14ac:dyDescent="0.25">
      <c r="A5468" t="s">
        <v>1</v>
      </c>
      <c r="B5468" t="s">
        <v>19</v>
      </c>
      <c r="C5468" t="s">
        <v>23490</v>
      </c>
      <c r="D5468" t="str">
        <f>HYPERLINK("https://rhld.insurance.arkansas.gov/NPILookup?Npi=1609487933","1609487933")</f>
        <v>1609487933</v>
      </c>
      <c r="E5468" t="s">
        <v>19875</v>
      </c>
    </row>
    <row r="5469" spans="1:5" x14ac:dyDescent="0.25">
      <c r="A5469" t="s">
        <v>1</v>
      </c>
      <c r="B5469" t="s">
        <v>19</v>
      </c>
      <c r="C5469" t="s">
        <v>23490</v>
      </c>
      <c r="D5469" t="str">
        <f>HYPERLINK("https://rhld.insurance.arkansas.gov/NPILookup?Npi=1609492420","1609492420")</f>
        <v>1609492420</v>
      </c>
      <c r="E5469" t="s">
        <v>17445</v>
      </c>
    </row>
    <row r="5470" spans="1:5" x14ac:dyDescent="0.25">
      <c r="A5470" t="s">
        <v>1</v>
      </c>
      <c r="B5470" t="s">
        <v>19</v>
      </c>
      <c r="C5470" t="s">
        <v>23490</v>
      </c>
      <c r="D5470" t="str">
        <f>HYPERLINK("https://rhld.insurance.arkansas.gov/NPILookup?Npi=1609504430","1609504430")</f>
        <v>1609504430</v>
      </c>
      <c r="E5470" t="s">
        <v>20985</v>
      </c>
    </row>
    <row r="5471" spans="1:5" x14ac:dyDescent="0.25">
      <c r="A5471" t="s">
        <v>1</v>
      </c>
      <c r="B5471" t="s">
        <v>19</v>
      </c>
      <c r="C5471" t="s">
        <v>23490</v>
      </c>
      <c r="D5471" t="str">
        <f>HYPERLINK("https://rhld.insurance.arkansas.gov/NPILookup?Npi=1609526995","1609526995")</f>
        <v>1609526995</v>
      </c>
      <c r="E5471" t="s">
        <v>19876</v>
      </c>
    </row>
    <row r="5472" spans="1:5" x14ac:dyDescent="0.25">
      <c r="A5472" t="s">
        <v>1</v>
      </c>
      <c r="B5472" t="s">
        <v>19</v>
      </c>
      <c r="C5472" t="s">
        <v>23490</v>
      </c>
      <c r="D5472" t="str">
        <f>HYPERLINK("https://rhld.insurance.arkansas.gov/NPILookup?Npi=1609534981","1609534981")</f>
        <v>1609534981</v>
      </c>
      <c r="E5472" t="s">
        <v>19877</v>
      </c>
    </row>
    <row r="5473" spans="1:5" x14ac:dyDescent="0.25">
      <c r="A5473" t="s">
        <v>1</v>
      </c>
      <c r="B5473" t="s">
        <v>19</v>
      </c>
      <c r="C5473" t="s">
        <v>23490</v>
      </c>
      <c r="D5473" t="str">
        <f>HYPERLINK("https://rhld.insurance.arkansas.gov/NPILookup?Npi=1609537430","1609537430")</f>
        <v>1609537430</v>
      </c>
      <c r="E5473" t="s">
        <v>1784</v>
      </c>
    </row>
    <row r="5474" spans="1:5" x14ac:dyDescent="0.25">
      <c r="A5474" t="s">
        <v>1</v>
      </c>
      <c r="B5474" t="s">
        <v>19</v>
      </c>
      <c r="C5474" t="s">
        <v>8427</v>
      </c>
      <c r="D5474" t="str">
        <f>HYPERLINK("https://rhld.insurance.arkansas.gov/NPILookup?Npi=1609570431","1609570431")</f>
        <v>1609570431</v>
      </c>
      <c r="E5474" t="s">
        <v>22963</v>
      </c>
    </row>
    <row r="5475" spans="1:5" x14ac:dyDescent="0.25">
      <c r="A5475" t="s">
        <v>1</v>
      </c>
      <c r="B5475" t="s">
        <v>19</v>
      </c>
      <c r="C5475" t="s">
        <v>23490</v>
      </c>
      <c r="D5475" t="str">
        <f>HYPERLINK("https://rhld.insurance.arkansas.gov/NPILookup?Npi=1609815000","1609815000")</f>
        <v>1609815000</v>
      </c>
      <c r="E5475" t="s">
        <v>2133</v>
      </c>
    </row>
    <row r="5476" spans="1:5" x14ac:dyDescent="0.25">
      <c r="A5476" t="s">
        <v>1</v>
      </c>
      <c r="B5476" t="s">
        <v>19</v>
      </c>
      <c r="C5476" t="s">
        <v>23490</v>
      </c>
      <c r="D5476" t="str">
        <f>HYPERLINK("https://rhld.insurance.arkansas.gov/NPILookup?Npi=1609815877","1609815877")</f>
        <v>1609815877</v>
      </c>
      <c r="E5476" t="s">
        <v>2134</v>
      </c>
    </row>
    <row r="5477" spans="1:5" x14ac:dyDescent="0.25">
      <c r="A5477" t="s">
        <v>1</v>
      </c>
      <c r="B5477" t="s">
        <v>19</v>
      </c>
      <c r="C5477" t="s">
        <v>23490</v>
      </c>
      <c r="D5477" t="str">
        <f>HYPERLINK("https://rhld.insurance.arkansas.gov/NPILookup?Npi=1609815919","1609815919")</f>
        <v>1609815919</v>
      </c>
      <c r="E5477" t="s">
        <v>12868</v>
      </c>
    </row>
    <row r="5478" spans="1:5" x14ac:dyDescent="0.25">
      <c r="A5478" t="s">
        <v>1</v>
      </c>
      <c r="B5478" t="s">
        <v>19</v>
      </c>
      <c r="C5478" t="s">
        <v>23490</v>
      </c>
      <c r="D5478" t="str">
        <f>HYPERLINK("https://rhld.insurance.arkansas.gov/NPILookup?Npi=1609819077","1609819077")</f>
        <v>1609819077</v>
      </c>
      <c r="E5478" t="s">
        <v>2135</v>
      </c>
    </row>
    <row r="5479" spans="1:5" x14ac:dyDescent="0.25">
      <c r="A5479" t="s">
        <v>1</v>
      </c>
      <c r="B5479" t="s">
        <v>19</v>
      </c>
      <c r="C5479" t="s">
        <v>23490</v>
      </c>
      <c r="D5479" t="str">
        <f>HYPERLINK("https://rhld.insurance.arkansas.gov/NPILookup?Npi=1609825330","1609825330")</f>
        <v>1609825330</v>
      </c>
      <c r="E5479" t="s">
        <v>15327</v>
      </c>
    </row>
    <row r="5480" spans="1:5" x14ac:dyDescent="0.25">
      <c r="A5480" t="s">
        <v>1</v>
      </c>
      <c r="B5480" t="s">
        <v>19</v>
      </c>
      <c r="C5480" t="s">
        <v>23490</v>
      </c>
      <c r="D5480" t="str">
        <f>HYPERLINK("https://rhld.insurance.arkansas.gov/NPILookup?Npi=1609826486","1609826486")</f>
        <v>1609826486</v>
      </c>
      <c r="E5480" t="s">
        <v>2136</v>
      </c>
    </row>
    <row r="5481" spans="1:5" x14ac:dyDescent="0.25">
      <c r="A5481" t="s">
        <v>1</v>
      </c>
      <c r="B5481" t="s">
        <v>19</v>
      </c>
      <c r="C5481" t="s">
        <v>23490</v>
      </c>
      <c r="D5481" t="str">
        <f>HYPERLINK("https://rhld.insurance.arkansas.gov/NPILookup?Npi=1609834597","1609834597")</f>
        <v>1609834597</v>
      </c>
      <c r="E5481" t="s">
        <v>2137</v>
      </c>
    </row>
    <row r="5482" spans="1:5" x14ac:dyDescent="0.25">
      <c r="A5482" t="s">
        <v>1</v>
      </c>
      <c r="B5482" t="s">
        <v>19</v>
      </c>
      <c r="C5482" t="s">
        <v>23490</v>
      </c>
      <c r="D5482" t="str">
        <f>HYPERLINK("https://rhld.insurance.arkansas.gov/NPILookup?Npi=1609835909","1609835909")</f>
        <v>1609835909</v>
      </c>
      <c r="E5482" t="s">
        <v>2138</v>
      </c>
    </row>
    <row r="5483" spans="1:5" x14ac:dyDescent="0.25">
      <c r="A5483" t="s">
        <v>1</v>
      </c>
      <c r="B5483" t="s">
        <v>19</v>
      </c>
      <c r="C5483" t="s">
        <v>23490</v>
      </c>
      <c r="D5483" t="str">
        <f>HYPERLINK("https://rhld.insurance.arkansas.gov/NPILookup?Npi=1609839653","1609839653")</f>
        <v>1609839653</v>
      </c>
      <c r="E5483" t="s">
        <v>2139</v>
      </c>
    </row>
    <row r="5484" spans="1:5" x14ac:dyDescent="0.25">
      <c r="A5484" t="s">
        <v>1</v>
      </c>
      <c r="B5484" t="s">
        <v>19</v>
      </c>
      <c r="C5484" t="s">
        <v>23490</v>
      </c>
      <c r="D5484" t="str">
        <f>HYPERLINK("https://rhld.insurance.arkansas.gov/NPILookup?Npi=1609851849","1609851849")</f>
        <v>1609851849</v>
      </c>
      <c r="E5484" t="s">
        <v>18820</v>
      </c>
    </row>
    <row r="5485" spans="1:5" x14ac:dyDescent="0.25">
      <c r="A5485" t="s">
        <v>1</v>
      </c>
      <c r="B5485" t="s">
        <v>19</v>
      </c>
      <c r="C5485" t="s">
        <v>23490</v>
      </c>
      <c r="D5485" t="str">
        <f>HYPERLINK("https://rhld.insurance.arkansas.gov/NPILookup?Npi=1609858109","1609858109")</f>
        <v>1609858109</v>
      </c>
      <c r="E5485" t="s">
        <v>15328</v>
      </c>
    </row>
    <row r="5486" spans="1:5" x14ac:dyDescent="0.25">
      <c r="A5486" t="s">
        <v>1</v>
      </c>
      <c r="B5486" t="s">
        <v>19</v>
      </c>
      <c r="C5486" t="s">
        <v>23490</v>
      </c>
      <c r="D5486" t="str">
        <f>HYPERLINK("https://rhld.insurance.arkansas.gov/NPILookup?Npi=1609871607","1609871607")</f>
        <v>1609871607</v>
      </c>
      <c r="E5486" t="s">
        <v>15329</v>
      </c>
    </row>
    <row r="5487" spans="1:5" x14ac:dyDescent="0.25">
      <c r="A5487" t="s">
        <v>1</v>
      </c>
      <c r="B5487" t="s">
        <v>19</v>
      </c>
      <c r="C5487" t="s">
        <v>23490</v>
      </c>
      <c r="D5487" t="str">
        <f>HYPERLINK("https://rhld.insurance.arkansas.gov/NPILookup?Npi=1609872175","1609872175")</f>
        <v>1609872175</v>
      </c>
      <c r="E5487" t="s">
        <v>2140</v>
      </c>
    </row>
    <row r="5488" spans="1:5" x14ac:dyDescent="0.25">
      <c r="A5488" t="s">
        <v>1</v>
      </c>
      <c r="B5488" t="s">
        <v>19</v>
      </c>
      <c r="C5488" t="s">
        <v>23490</v>
      </c>
      <c r="D5488" t="str">
        <f>HYPERLINK("https://rhld.insurance.arkansas.gov/NPILookup?Npi=1609873132","1609873132")</f>
        <v>1609873132</v>
      </c>
      <c r="E5488" t="s">
        <v>2141</v>
      </c>
    </row>
    <row r="5489" spans="1:5" x14ac:dyDescent="0.25">
      <c r="A5489" t="s">
        <v>1</v>
      </c>
      <c r="B5489" t="s">
        <v>19</v>
      </c>
      <c r="C5489" t="s">
        <v>23490</v>
      </c>
      <c r="D5489" t="str">
        <f>HYPERLINK("https://rhld.insurance.arkansas.gov/NPILookup?Npi=1609873983","1609873983")</f>
        <v>1609873983</v>
      </c>
      <c r="E5489" t="s">
        <v>2142</v>
      </c>
    </row>
    <row r="5490" spans="1:5" x14ac:dyDescent="0.25">
      <c r="A5490" t="s">
        <v>1</v>
      </c>
      <c r="B5490" t="s">
        <v>19</v>
      </c>
      <c r="C5490" t="s">
        <v>23490</v>
      </c>
      <c r="D5490" t="str">
        <f>HYPERLINK("https://rhld.insurance.arkansas.gov/NPILookup?Npi=1609874346","1609874346")</f>
        <v>1609874346</v>
      </c>
      <c r="E5490" t="s">
        <v>2143</v>
      </c>
    </row>
    <row r="5491" spans="1:5" x14ac:dyDescent="0.25">
      <c r="A5491" t="s">
        <v>1</v>
      </c>
      <c r="B5491" t="s">
        <v>19</v>
      </c>
      <c r="C5491" t="s">
        <v>23490</v>
      </c>
      <c r="D5491" t="str">
        <f>HYPERLINK("https://rhld.insurance.arkansas.gov/NPILookup?Npi=1609882497","1609882497")</f>
        <v>1609882497</v>
      </c>
      <c r="E5491" t="s">
        <v>2145</v>
      </c>
    </row>
    <row r="5492" spans="1:5" x14ac:dyDescent="0.25">
      <c r="A5492" t="s">
        <v>1</v>
      </c>
      <c r="B5492" t="s">
        <v>19</v>
      </c>
      <c r="C5492" t="s">
        <v>23490</v>
      </c>
      <c r="D5492" t="str">
        <f>HYPERLINK("https://rhld.insurance.arkansas.gov/NPILookup?Npi=1609895911","1609895911")</f>
        <v>1609895911</v>
      </c>
      <c r="E5492" t="s">
        <v>11106</v>
      </c>
    </row>
    <row r="5493" spans="1:5" x14ac:dyDescent="0.25">
      <c r="A5493" t="s">
        <v>1</v>
      </c>
      <c r="B5493" t="s">
        <v>19</v>
      </c>
      <c r="C5493" t="s">
        <v>23490</v>
      </c>
      <c r="D5493" t="str">
        <f>HYPERLINK("https://rhld.insurance.arkansas.gov/NPILookup?Npi=1609911494","1609911494")</f>
        <v>1609911494</v>
      </c>
      <c r="E5493" t="s">
        <v>8766</v>
      </c>
    </row>
    <row r="5494" spans="1:5" x14ac:dyDescent="0.25">
      <c r="A5494" t="s">
        <v>1</v>
      </c>
      <c r="B5494" t="s">
        <v>19</v>
      </c>
      <c r="C5494" t="s">
        <v>23490</v>
      </c>
      <c r="D5494" t="str">
        <f>HYPERLINK("https://rhld.insurance.arkansas.gov/NPILookup?Npi=1609927706","1609927706")</f>
        <v>1609927706</v>
      </c>
      <c r="E5494" t="s">
        <v>2146</v>
      </c>
    </row>
    <row r="5495" spans="1:5" x14ac:dyDescent="0.25">
      <c r="A5495" t="s">
        <v>1</v>
      </c>
      <c r="B5495" t="s">
        <v>19</v>
      </c>
      <c r="C5495" t="s">
        <v>23490</v>
      </c>
      <c r="D5495" t="str">
        <f>HYPERLINK("https://rhld.insurance.arkansas.gov/NPILookup?Npi=1609949023","1609949023")</f>
        <v>1609949023</v>
      </c>
      <c r="E5495" t="s">
        <v>2147</v>
      </c>
    </row>
    <row r="5496" spans="1:5" x14ac:dyDescent="0.25">
      <c r="A5496" t="s">
        <v>1</v>
      </c>
      <c r="B5496" t="s">
        <v>19</v>
      </c>
      <c r="C5496" t="s">
        <v>23490</v>
      </c>
      <c r="D5496" t="str">
        <f>HYPERLINK("https://rhld.insurance.arkansas.gov/NPILookup?Npi=1609949486","1609949486")</f>
        <v>1609949486</v>
      </c>
      <c r="E5496" t="s">
        <v>2148</v>
      </c>
    </row>
    <row r="5497" spans="1:5" x14ac:dyDescent="0.25">
      <c r="A5497" t="s">
        <v>1</v>
      </c>
      <c r="B5497" t="s">
        <v>19</v>
      </c>
      <c r="C5497" t="s">
        <v>23490</v>
      </c>
      <c r="D5497" t="str">
        <f>HYPERLINK("https://rhld.insurance.arkansas.gov/NPILookup?Npi=1609949692","1609949692")</f>
        <v>1609949692</v>
      </c>
      <c r="E5497" t="s">
        <v>15330</v>
      </c>
    </row>
    <row r="5498" spans="1:5" x14ac:dyDescent="0.25">
      <c r="A5498" t="s">
        <v>1</v>
      </c>
      <c r="B5498" t="s">
        <v>19</v>
      </c>
      <c r="C5498" t="s">
        <v>23490</v>
      </c>
      <c r="D5498" t="str">
        <f>HYPERLINK("https://rhld.insurance.arkansas.gov/NPILookup?Npi=1609952696","1609952696")</f>
        <v>1609952696</v>
      </c>
      <c r="E5498" t="s">
        <v>19878</v>
      </c>
    </row>
    <row r="5499" spans="1:5" x14ac:dyDescent="0.25">
      <c r="A5499" t="s">
        <v>1</v>
      </c>
      <c r="B5499" t="s">
        <v>19</v>
      </c>
      <c r="C5499" t="s">
        <v>23490</v>
      </c>
      <c r="D5499" t="str">
        <f>HYPERLINK("https://rhld.insurance.arkansas.gov/NPILookup?Npi=1609954148","1609954148")</f>
        <v>1609954148</v>
      </c>
      <c r="E5499" t="s">
        <v>2149</v>
      </c>
    </row>
    <row r="5500" spans="1:5" x14ac:dyDescent="0.25">
      <c r="A5500" t="s">
        <v>1</v>
      </c>
      <c r="B5500" t="s">
        <v>19</v>
      </c>
      <c r="C5500" t="s">
        <v>23490</v>
      </c>
      <c r="D5500" t="str">
        <f>HYPERLINK("https://rhld.insurance.arkansas.gov/NPILookup?Npi=1609979426","1609979426")</f>
        <v>1609979426</v>
      </c>
      <c r="E5500" t="s">
        <v>2150</v>
      </c>
    </row>
    <row r="5501" spans="1:5" x14ac:dyDescent="0.25">
      <c r="A5501" t="s">
        <v>1</v>
      </c>
      <c r="B5501" t="s">
        <v>19</v>
      </c>
      <c r="C5501" t="s">
        <v>23490</v>
      </c>
      <c r="D5501" t="str">
        <f>HYPERLINK("https://rhld.insurance.arkansas.gov/NPILookup?Npi=1609989250","1609989250")</f>
        <v>1609989250</v>
      </c>
      <c r="E5501" t="s">
        <v>2151</v>
      </c>
    </row>
    <row r="5502" spans="1:5" x14ac:dyDescent="0.25">
      <c r="A5502" t="s">
        <v>1</v>
      </c>
      <c r="B5502" t="s">
        <v>19</v>
      </c>
      <c r="C5502" t="s">
        <v>23490</v>
      </c>
      <c r="D5502" t="str">
        <f>HYPERLINK("https://rhld.insurance.arkansas.gov/NPILookup?Npi=1619046679","1619046679")</f>
        <v>1619046679</v>
      </c>
      <c r="E5502" t="s">
        <v>2152</v>
      </c>
    </row>
    <row r="5503" spans="1:5" x14ac:dyDescent="0.25">
      <c r="A5503" t="s">
        <v>1</v>
      </c>
      <c r="B5503" t="s">
        <v>19</v>
      </c>
      <c r="C5503" t="s">
        <v>23490</v>
      </c>
      <c r="D5503" t="str">
        <f>HYPERLINK("https://rhld.insurance.arkansas.gov/NPILookup?Npi=1619048204","1619048204")</f>
        <v>1619048204</v>
      </c>
      <c r="E5503" t="s">
        <v>15331</v>
      </c>
    </row>
    <row r="5504" spans="1:5" x14ac:dyDescent="0.25">
      <c r="A5504" t="s">
        <v>1</v>
      </c>
      <c r="B5504" t="s">
        <v>19</v>
      </c>
      <c r="C5504" t="s">
        <v>23490</v>
      </c>
      <c r="D5504" t="str">
        <f>HYPERLINK("https://rhld.insurance.arkansas.gov/NPILookup?Npi=1619049384","1619049384")</f>
        <v>1619049384</v>
      </c>
      <c r="E5504" t="s">
        <v>2153</v>
      </c>
    </row>
    <row r="5505" spans="1:5" x14ac:dyDescent="0.25">
      <c r="A5505" t="s">
        <v>1</v>
      </c>
      <c r="B5505" t="s">
        <v>19</v>
      </c>
      <c r="C5505" t="s">
        <v>23490</v>
      </c>
      <c r="D5505" t="str">
        <f>HYPERLINK("https://rhld.insurance.arkansas.gov/NPILookup?Npi=1619064763","1619064763")</f>
        <v>1619064763</v>
      </c>
      <c r="E5505" t="s">
        <v>2154</v>
      </c>
    </row>
    <row r="5506" spans="1:5" x14ac:dyDescent="0.25">
      <c r="A5506" t="s">
        <v>1</v>
      </c>
      <c r="B5506" t="s">
        <v>19</v>
      </c>
      <c r="C5506" t="s">
        <v>23490</v>
      </c>
      <c r="D5506" t="str">
        <f>HYPERLINK("https://rhld.insurance.arkansas.gov/NPILookup?Npi=1619080561","1619080561")</f>
        <v>1619080561</v>
      </c>
      <c r="E5506" t="s">
        <v>2155</v>
      </c>
    </row>
    <row r="5507" spans="1:5" x14ac:dyDescent="0.25">
      <c r="A5507" t="s">
        <v>1</v>
      </c>
      <c r="B5507" t="s">
        <v>19</v>
      </c>
      <c r="C5507" t="s">
        <v>23490</v>
      </c>
      <c r="D5507" t="str">
        <f>HYPERLINK("https://rhld.insurance.arkansas.gov/NPILookup?Npi=1619082310","1619082310")</f>
        <v>1619082310</v>
      </c>
      <c r="E5507" t="s">
        <v>2156</v>
      </c>
    </row>
    <row r="5508" spans="1:5" x14ac:dyDescent="0.25">
      <c r="A5508" t="s">
        <v>1</v>
      </c>
      <c r="B5508" t="s">
        <v>19</v>
      </c>
      <c r="C5508" t="s">
        <v>23490</v>
      </c>
      <c r="D5508" t="str">
        <f>HYPERLINK("https://rhld.insurance.arkansas.gov/NPILookup?Npi=1619088390","1619088390")</f>
        <v>1619088390</v>
      </c>
      <c r="E5508" t="s">
        <v>2157</v>
      </c>
    </row>
    <row r="5509" spans="1:5" x14ac:dyDescent="0.25">
      <c r="A5509" t="s">
        <v>1</v>
      </c>
      <c r="B5509" t="s">
        <v>19</v>
      </c>
      <c r="C5509" t="s">
        <v>23490</v>
      </c>
      <c r="D5509" t="str">
        <f>HYPERLINK("https://rhld.insurance.arkansas.gov/NPILookup?Npi=1619105277","1619105277")</f>
        <v>1619105277</v>
      </c>
      <c r="E5509" t="s">
        <v>2158</v>
      </c>
    </row>
    <row r="5510" spans="1:5" x14ac:dyDescent="0.25">
      <c r="A5510" t="s">
        <v>1</v>
      </c>
      <c r="B5510" t="s">
        <v>19</v>
      </c>
      <c r="C5510" t="s">
        <v>23490</v>
      </c>
      <c r="D5510" t="str">
        <f>HYPERLINK("https://rhld.insurance.arkansas.gov/NPILookup?Npi=1619127800","1619127800")</f>
        <v>1619127800</v>
      </c>
      <c r="E5510" t="s">
        <v>8767</v>
      </c>
    </row>
    <row r="5511" spans="1:5" x14ac:dyDescent="0.25">
      <c r="A5511" t="s">
        <v>1</v>
      </c>
      <c r="B5511" t="s">
        <v>19</v>
      </c>
      <c r="C5511" t="s">
        <v>23490</v>
      </c>
      <c r="D5511" t="str">
        <f>HYPERLINK("https://rhld.insurance.arkansas.gov/NPILookup?Npi=1619128360","1619128360")</f>
        <v>1619128360</v>
      </c>
      <c r="E5511" t="s">
        <v>2159</v>
      </c>
    </row>
    <row r="5512" spans="1:5" x14ac:dyDescent="0.25">
      <c r="A5512" t="s">
        <v>1</v>
      </c>
      <c r="B5512" t="s">
        <v>19</v>
      </c>
      <c r="C5512" t="s">
        <v>23490</v>
      </c>
      <c r="D5512" t="str">
        <f>HYPERLINK("https://rhld.insurance.arkansas.gov/NPILookup?Npi=1619129616","1619129616")</f>
        <v>1619129616</v>
      </c>
      <c r="E5512" t="s">
        <v>2160</v>
      </c>
    </row>
    <row r="5513" spans="1:5" x14ac:dyDescent="0.25">
      <c r="A5513" t="s">
        <v>1</v>
      </c>
      <c r="B5513" t="s">
        <v>19</v>
      </c>
      <c r="C5513" t="s">
        <v>23490</v>
      </c>
      <c r="D5513" t="str">
        <f>HYPERLINK("https://rhld.insurance.arkansas.gov/NPILookup?Npi=1619132933","1619132933")</f>
        <v>1619132933</v>
      </c>
      <c r="E5513" t="s">
        <v>2161</v>
      </c>
    </row>
    <row r="5514" spans="1:5" x14ac:dyDescent="0.25">
      <c r="A5514" t="s">
        <v>1</v>
      </c>
      <c r="B5514" t="s">
        <v>19</v>
      </c>
      <c r="C5514" t="s">
        <v>23490</v>
      </c>
      <c r="D5514" t="str">
        <f>HYPERLINK("https://rhld.insurance.arkansas.gov/NPILookup?Npi=1619136058","1619136058")</f>
        <v>1619136058</v>
      </c>
      <c r="E5514" t="s">
        <v>2162</v>
      </c>
    </row>
    <row r="5515" spans="1:5" x14ac:dyDescent="0.25">
      <c r="A5515" t="s">
        <v>1</v>
      </c>
      <c r="B5515" t="s">
        <v>19</v>
      </c>
      <c r="C5515" t="s">
        <v>23490</v>
      </c>
      <c r="D5515" t="str">
        <f>HYPERLINK("https://rhld.insurance.arkansas.gov/NPILookup?Npi=1619162179","1619162179")</f>
        <v>1619162179</v>
      </c>
      <c r="E5515" t="s">
        <v>2163</v>
      </c>
    </row>
    <row r="5516" spans="1:5" x14ac:dyDescent="0.25">
      <c r="A5516" t="s">
        <v>1</v>
      </c>
      <c r="B5516" t="s">
        <v>19</v>
      </c>
      <c r="C5516" t="s">
        <v>23490</v>
      </c>
      <c r="D5516" t="str">
        <f>HYPERLINK("https://rhld.insurance.arkansas.gov/NPILookup?Npi=1619173150","1619173150")</f>
        <v>1619173150</v>
      </c>
      <c r="E5516" t="s">
        <v>2164</v>
      </c>
    </row>
    <row r="5517" spans="1:5" x14ac:dyDescent="0.25">
      <c r="A5517" t="s">
        <v>1</v>
      </c>
      <c r="B5517" t="s">
        <v>19</v>
      </c>
      <c r="C5517" t="s">
        <v>23490</v>
      </c>
      <c r="D5517" t="str">
        <f>HYPERLINK("https://rhld.insurance.arkansas.gov/NPILookup?Npi=1619179421","1619179421")</f>
        <v>1619179421</v>
      </c>
      <c r="E5517" t="s">
        <v>2165</v>
      </c>
    </row>
    <row r="5518" spans="1:5" x14ac:dyDescent="0.25">
      <c r="A5518" t="s">
        <v>1</v>
      </c>
      <c r="B5518" t="s">
        <v>19</v>
      </c>
      <c r="C5518" t="s">
        <v>23490</v>
      </c>
      <c r="D5518" t="str">
        <f>HYPERLINK("https://rhld.insurance.arkansas.gov/NPILookup?Npi=1619216496","1619216496")</f>
        <v>1619216496</v>
      </c>
      <c r="E5518" t="s">
        <v>2166</v>
      </c>
    </row>
    <row r="5519" spans="1:5" x14ac:dyDescent="0.25">
      <c r="A5519" t="s">
        <v>1</v>
      </c>
      <c r="B5519" t="s">
        <v>19</v>
      </c>
      <c r="C5519" t="s">
        <v>23490</v>
      </c>
      <c r="D5519" t="str">
        <f>HYPERLINK("https://rhld.insurance.arkansas.gov/NPILookup?Npi=1619224615","1619224615")</f>
        <v>1619224615</v>
      </c>
      <c r="E5519" t="s">
        <v>2167</v>
      </c>
    </row>
    <row r="5520" spans="1:5" x14ac:dyDescent="0.25">
      <c r="A5520" t="s">
        <v>1</v>
      </c>
      <c r="B5520" t="s">
        <v>19</v>
      </c>
      <c r="C5520" t="s">
        <v>23490</v>
      </c>
      <c r="D5520" t="str">
        <f>HYPERLINK("https://rhld.insurance.arkansas.gov/NPILookup?Npi=1619231966","1619231966")</f>
        <v>1619231966</v>
      </c>
      <c r="E5520" t="s">
        <v>19879</v>
      </c>
    </row>
    <row r="5521" spans="1:5" x14ac:dyDescent="0.25">
      <c r="A5521" t="s">
        <v>1</v>
      </c>
      <c r="B5521" t="s">
        <v>19</v>
      </c>
      <c r="C5521" t="s">
        <v>23490</v>
      </c>
      <c r="D5521" t="str">
        <f>HYPERLINK("https://rhld.insurance.arkansas.gov/NPILookup?Npi=1619236981","1619236981")</f>
        <v>1619236981</v>
      </c>
      <c r="E5521" t="s">
        <v>2168</v>
      </c>
    </row>
    <row r="5522" spans="1:5" x14ac:dyDescent="0.25">
      <c r="A5522" t="s">
        <v>1</v>
      </c>
      <c r="B5522" t="s">
        <v>19</v>
      </c>
      <c r="C5522" t="s">
        <v>23490</v>
      </c>
      <c r="D5522" t="str">
        <f>HYPERLINK("https://rhld.insurance.arkansas.gov/NPILookup?Npi=1619268455","1619268455")</f>
        <v>1619268455</v>
      </c>
      <c r="E5522" t="s">
        <v>11107</v>
      </c>
    </row>
    <row r="5523" spans="1:5" x14ac:dyDescent="0.25">
      <c r="A5523" t="s">
        <v>1</v>
      </c>
      <c r="B5523" t="s">
        <v>19</v>
      </c>
      <c r="C5523" t="s">
        <v>23490</v>
      </c>
      <c r="D5523" t="str">
        <f>HYPERLINK("https://rhld.insurance.arkansas.gov/NPILookup?Npi=1619273547","1619273547")</f>
        <v>1619273547</v>
      </c>
      <c r="E5523" t="s">
        <v>15332</v>
      </c>
    </row>
    <row r="5524" spans="1:5" x14ac:dyDescent="0.25">
      <c r="A5524" t="s">
        <v>1</v>
      </c>
      <c r="B5524" t="s">
        <v>19</v>
      </c>
      <c r="C5524" t="s">
        <v>23490</v>
      </c>
      <c r="D5524" t="str">
        <f>HYPERLINK("https://rhld.insurance.arkansas.gov/NPILookup?Npi=1619275070","1619275070")</f>
        <v>1619275070</v>
      </c>
      <c r="E5524" t="s">
        <v>2169</v>
      </c>
    </row>
    <row r="5525" spans="1:5" x14ac:dyDescent="0.25">
      <c r="A5525" t="s">
        <v>1</v>
      </c>
      <c r="B5525" t="s">
        <v>19</v>
      </c>
      <c r="C5525" t="s">
        <v>23490</v>
      </c>
      <c r="D5525" t="str">
        <f>HYPERLINK("https://rhld.insurance.arkansas.gov/NPILookup?Npi=1619286150","1619286150")</f>
        <v>1619286150</v>
      </c>
      <c r="E5525" t="s">
        <v>11108</v>
      </c>
    </row>
    <row r="5526" spans="1:5" x14ac:dyDescent="0.25">
      <c r="A5526" t="s">
        <v>1</v>
      </c>
      <c r="B5526" t="s">
        <v>19</v>
      </c>
      <c r="C5526" t="s">
        <v>23490</v>
      </c>
      <c r="D5526" t="str">
        <f>HYPERLINK("https://rhld.insurance.arkansas.gov/NPILookup?Npi=1619296407","1619296407")</f>
        <v>1619296407</v>
      </c>
      <c r="E5526" t="s">
        <v>2170</v>
      </c>
    </row>
    <row r="5527" spans="1:5" x14ac:dyDescent="0.25">
      <c r="A5527" t="s">
        <v>1</v>
      </c>
      <c r="B5527" t="s">
        <v>19</v>
      </c>
      <c r="C5527" t="s">
        <v>23490</v>
      </c>
      <c r="D5527" t="str">
        <f>HYPERLINK("https://rhld.insurance.arkansas.gov/NPILookup?Npi=1619297801","1619297801")</f>
        <v>1619297801</v>
      </c>
      <c r="E5527" t="s">
        <v>15333</v>
      </c>
    </row>
    <row r="5528" spans="1:5" x14ac:dyDescent="0.25">
      <c r="A5528" t="s">
        <v>1</v>
      </c>
      <c r="B5528" t="s">
        <v>19</v>
      </c>
      <c r="C5528" t="s">
        <v>23490</v>
      </c>
      <c r="D5528" t="str">
        <f>HYPERLINK("https://rhld.insurance.arkansas.gov/NPILookup?Npi=1619331659","1619331659")</f>
        <v>1619331659</v>
      </c>
      <c r="E5528" t="s">
        <v>15334</v>
      </c>
    </row>
    <row r="5529" spans="1:5" x14ac:dyDescent="0.25">
      <c r="A5529" t="s">
        <v>1</v>
      </c>
      <c r="B5529" t="s">
        <v>19</v>
      </c>
      <c r="C5529" t="s">
        <v>23490</v>
      </c>
      <c r="D5529" t="str">
        <f>HYPERLINK("https://rhld.insurance.arkansas.gov/NPILookup?Npi=1619354420","1619354420")</f>
        <v>1619354420</v>
      </c>
      <c r="E5529" t="s">
        <v>13619</v>
      </c>
    </row>
    <row r="5530" spans="1:5" x14ac:dyDescent="0.25">
      <c r="A5530" t="s">
        <v>1</v>
      </c>
      <c r="B5530" t="s">
        <v>19</v>
      </c>
      <c r="C5530" t="s">
        <v>23490</v>
      </c>
      <c r="D5530" t="str">
        <f>HYPERLINK("https://rhld.insurance.arkansas.gov/NPILookup?Npi=1619354818","1619354818")</f>
        <v>1619354818</v>
      </c>
      <c r="E5530" t="s">
        <v>15335</v>
      </c>
    </row>
    <row r="5531" spans="1:5" x14ac:dyDescent="0.25">
      <c r="A5531" t="s">
        <v>1</v>
      </c>
      <c r="B5531" t="s">
        <v>19</v>
      </c>
      <c r="C5531" t="s">
        <v>23490</v>
      </c>
      <c r="D5531" t="str">
        <f>HYPERLINK("https://rhld.insurance.arkansas.gov/NPILookup?Npi=1619359171","1619359171")</f>
        <v>1619359171</v>
      </c>
      <c r="E5531" t="s">
        <v>7748</v>
      </c>
    </row>
    <row r="5532" spans="1:5" x14ac:dyDescent="0.25">
      <c r="A5532" t="s">
        <v>1</v>
      </c>
      <c r="B5532" t="s">
        <v>19</v>
      </c>
      <c r="C5532" t="s">
        <v>23490</v>
      </c>
      <c r="D5532" t="str">
        <f>HYPERLINK("https://rhld.insurance.arkansas.gov/NPILookup?Npi=1619366218","1619366218")</f>
        <v>1619366218</v>
      </c>
      <c r="E5532" t="s">
        <v>15336</v>
      </c>
    </row>
    <row r="5533" spans="1:5" x14ac:dyDescent="0.25">
      <c r="A5533" t="s">
        <v>1</v>
      </c>
      <c r="B5533" t="s">
        <v>19</v>
      </c>
      <c r="C5533" t="s">
        <v>23490</v>
      </c>
      <c r="D5533" t="str">
        <f>HYPERLINK("https://rhld.insurance.arkansas.gov/NPILookup?Npi=1619368420","1619368420")</f>
        <v>1619368420</v>
      </c>
      <c r="E5533" t="s">
        <v>2171</v>
      </c>
    </row>
    <row r="5534" spans="1:5" x14ac:dyDescent="0.25">
      <c r="A5534" t="s">
        <v>1</v>
      </c>
      <c r="B5534" t="s">
        <v>19</v>
      </c>
      <c r="C5534" t="s">
        <v>23490</v>
      </c>
      <c r="D5534" t="str">
        <f>HYPERLINK("https://rhld.insurance.arkansas.gov/NPILookup?Npi=1619377199","1619377199")</f>
        <v>1619377199</v>
      </c>
      <c r="E5534" t="s">
        <v>21594</v>
      </c>
    </row>
    <row r="5535" spans="1:5" x14ac:dyDescent="0.25">
      <c r="A5535" t="s">
        <v>1</v>
      </c>
      <c r="B5535" t="s">
        <v>19</v>
      </c>
      <c r="C5535" t="s">
        <v>23490</v>
      </c>
      <c r="D5535" t="str">
        <f>HYPERLINK("https://rhld.insurance.arkansas.gov/NPILookup?Npi=1619381902","1619381902")</f>
        <v>1619381902</v>
      </c>
      <c r="E5535" t="s">
        <v>17446</v>
      </c>
    </row>
    <row r="5536" spans="1:5" x14ac:dyDescent="0.25">
      <c r="A5536" t="s">
        <v>1</v>
      </c>
      <c r="B5536" t="s">
        <v>19</v>
      </c>
      <c r="C5536" t="s">
        <v>23490</v>
      </c>
      <c r="D5536" t="str">
        <f>HYPERLINK("https://rhld.insurance.arkansas.gov/NPILookup?Npi=1619395811","1619395811")</f>
        <v>1619395811</v>
      </c>
      <c r="E5536" t="s">
        <v>12869</v>
      </c>
    </row>
    <row r="5537" spans="1:5" x14ac:dyDescent="0.25">
      <c r="A5537" t="s">
        <v>1</v>
      </c>
      <c r="B5537" t="s">
        <v>19</v>
      </c>
      <c r="C5537" t="s">
        <v>23490</v>
      </c>
      <c r="D5537" t="str">
        <f>HYPERLINK("https://rhld.insurance.arkansas.gov/NPILookup?Npi=1619404993","1619404993")</f>
        <v>1619404993</v>
      </c>
      <c r="E5537" t="s">
        <v>11109</v>
      </c>
    </row>
    <row r="5538" spans="1:5" x14ac:dyDescent="0.25">
      <c r="A5538" t="s">
        <v>1</v>
      </c>
      <c r="B5538" t="s">
        <v>19</v>
      </c>
      <c r="C5538" t="s">
        <v>23490</v>
      </c>
      <c r="D5538" t="str">
        <f>HYPERLINK("https://rhld.insurance.arkansas.gov/NPILookup?Npi=1619406949","1619406949")</f>
        <v>1619406949</v>
      </c>
      <c r="E5538" t="s">
        <v>19880</v>
      </c>
    </row>
    <row r="5539" spans="1:5" x14ac:dyDescent="0.25">
      <c r="A5539" t="s">
        <v>1</v>
      </c>
      <c r="B5539" t="s">
        <v>19</v>
      </c>
      <c r="C5539" t="s">
        <v>23490</v>
      </c>
      <c r="D5539" t="str">
        <f>HYPERLINK("https://rhld.insurance.arkansas.gov/NPILookup?Npi=1619413077","1619413077")</f>
        <v>1619413077</v>
      </c>
      <c r="E5539" t="s">
        <v>11110</v>
      </c>
    </row>
    <row r="5540" spans="1:5" x14ac:dyDescent="0.25">
      <c r="A5540" t="s">
        <v>1</v>
      </c>
      <c r="B5540" t="s">
        <v>19</v>
      </c>
      <c r="C5540" t="s">
        <v>23490</v>
      </c>
      <c r="D5540" t="str">
        <f>HYPERLINK("https://rhld.insurance.arkansas.gov/NPILookup?Npi=1619422888","1619422888")</f>
        <v>1619422888</v>
      </c>
      <c r="E5540" t="s">
        <v>11111</v>
      </c>
    </row>
    <row r="5541" spans="1:5" x14ac:dyDescent="0.25">
      <c r="A5541" t="s">
        <v>1</v>
      </c>
      <c r="B5541" t="s">
        <v>19</v>
      </c>
      <c r="C5541" t="s">
        <v>23490</v>
      </c>
      <c r="D5541" t="str">
        <f>HYPERLINK("https://rhld.insurance.arkansas.gov/NPILookup?Npi=1619441201","1619441201")</f>
        <v>1619441201</v>
      </c>
      <c r="E5541" t="s">
        <v>18056</v>
      </c>
    </row>
    <row r="5542" spans="1:5" x14ac:dyDescent="0.25">
      <c r="A5542" t="s">
        <v>1</v>
      </c>
      <c r="B5542" t="s">
        <v>19</v>
      </c>
      <c r="C5542" t="s">
        <v>23490</v>
      </c>
      <c r="D5542" t="str">
        <f>HYPERLINK("https://rhld.insurance.arkansas.gov/NPILookup?Npi=1619445632","1619445632")</f>
        <v>1619445632</v>
      </c>
      <c r="E5542" t="s">
        <v>19881</v>
      </c>
    </row>
    <row r="5543" spans="1:5" x14ac:dyDescent="0.25">
      <c r="A5543" t="s">
        <v>1</v>
      </c>
      <c r="B5543" t="s">
        <v>19</v>
      </c>
      <c r="C5543" t="s">
        <v>23490</v>
      </c>
      <c r="D5543" t="str">
        <f>HYPERLINK("https://rhld.insurance.arkansas.gov/NPILookup?Npi=1619450095","1619450095")</f>
        <v>1619450095</v>
      </c>
      <c r="E5543" t="s">
        <v>13620</v>
      </c>
    </row>
    <row r="5544" spans="1:5" x14ac:dyDescent="0.25">
      <c r="A5544" t="s">
        <v>1</v>
      </c>
      <c r="B5544" t="s">
        <v>19</v>
      </c>
      <c r="C5544" t="s">
        <v>23490</v>
      </c>
      <c r="D5544" t="str">
        <f>HYPERLINK("https://rhld.insurance.arkansas.gov/NPILookup?Npi=1619452448","1619452448")</f>
        <v>1619452448</v>
      </c>
      <c r="E5544" t="s">
        <v>15337</v>
      </c>
    </row>
    <row r="5545" spans="1:5" x14ac:dyDescent="0.25">
      <c r="A5545" t="s">
        <v>1</v>
      </c>
      <c r="B5545" t="s">
        <v>19</v>
      </c>
      <c r="C5545" t="s">
        <v>23490</v>
      </c>
      <c r="D5545" t="str">
        <f>HYPERLINK("https://rhld.insurance.arkansas.gov/NPILookup?Npi=1619460813","1619460813")</f>
        <v>1619460813</v>
      </c>
      <c r="E5545" t="s">
        <v>13621</v>
      </c>
    </row>
    <row r="5546" spans="1:5" x14ac:dyDescent="0.25">
      <c r="A5546" t="s">
        <v>1</v>
      </c>
      <c r="B5546" t="s">
        <v>19</v>
      </c>
      <c r="C5546" t="s">
        <v>23490</v>
      </c>
      <c r="D5546" t="str">
        <f>HYPERLINK("https://rhld.insurance.arkansas.gov/NPILookup?Npi=1619465119","1619465119")</f>
        <v>1619465119</v>
      </c>
      <c r="E5546" t="s">
        <v>18057</v>
      </c>
    </row>
    <row r="5547" spans="1:5" x14ac:dyDescent="0.25">
      <c r="A5547" t="s">
        <v>1</v>
      </c>
      <c r="B5547" t="s">
        <v>19</v>
      </c>
      <c r="C5547" t="s">
        <v>23490</v>
      </c>
      <c r="D5547" t="str">
        <f>HYPERLINK("https://rhld.insurance.arkansas.gov/NPILookup?Npi=1619470903","1619470903")</f>
        <v>1619470903</v>
      </c>
      <c r="E5547" t="s">
        <v>12870</v>
      </c>
    </row>
    <row r="5548" spans="1:5" x14ac:dyDescent="0.25">
      <c r="A5548" t="s">
        <v>1</v>
      </c>
      <c r="B5548" t="s">
        <v>19</v>
      </c>
      <c r="C5548" t="s">
        <v>23490</v>
      </c>
      <c r="D5548" t="str">
        <f>HYPERLINK("https://rhld.insurance.arkansas.gov/NPILookup?Npi=1619488855","1619488855")</f>
        <v>1619488855</v>
      </c>
      <c r="E5548" t="s">
        <v>3667</v>
      </c>
    </row>
    <row r="5549" spans="1:5" x14ac:dyDescent="0.25">
      <c r="A5549" t="s">
        <v>1</v>
      </c>
      <c r="B5549" t="s">
        <v>19</v>
      </c>
      <c r="C5549" t="s">
        <v>23490</v>
      </c>
      <c r="D5549" t="str">
        <f>HYPERLINK("https://rhld.insurance.arkansas.gov/NPILookup?Npi=1619496148","1619496148")</f>
        <v>1619496148</v>
      </c>
      <c r="E5549" t="s">
        <v>15338</v>
      </c>
    </row>
    <row r="5550" spans="1:5" x14ac:dyDescent="0.25">
      <c r="A5550" t="s">
        <v>1</v>
      </c>
      <c r="B5550" t="s">
        <v>19</v>
      </c>
      <c r="C5550" t="s">
        <v>23490</v>
      </c>
      <c r="D5550" t="str">
        <f>HYPERLINK("https://rhld.insurance.arkansas.gov/NPILookup?Npi=1619496403","1619496403")</f>
        <v>1619496403</v>
      </c>
      <c r="E5550" t="s">
        <v>15339</v>
      </c>
    </row>
    <row r="5551" spans="1:5" x14ac:dyDescent="0.25">
      <c r="A5551" t="s">
        <v>1</v>
      </c>
      <c r="B5551" t="s">
        <v>19</v>
      </c>
      <c r="C5551" t="s">
        <v>23490</v>
      </c>
      <c r="D5551" t="str">
        <f>HYPERLINK("https://rhld.insurance.arkansas.gov/NPILookup?Npi=1619497435","1619497435")</f>
        <v>1619497435</v>
      </c>
      <c r="E5551" t="s">
        <v>18058</v>
      </c>
    </row>
    <row r="5552" spans="1:5" x14ac:dyDescent="0.25">
      <c r="A5552" t="s">
        <v>1</v>
      </c>
      <c r="B5552" t="s">
        <v>19</v>
      </c>
      <c r="C5552" t="s">
        <v>23490</v>
      </c>
      <c r="D5552" t="str">
        <f>HYPERLINK("https://rhld.insurance.arkansas.gov/NPILookup?Npi=1619498607","1619498607")</f>
        <v>1619498607</v>
      </c>
      <c r="E5552" t="s">
        <v>21595</v>
      </c>
    </row>
    <row r="5553" spans="1:5" x14ac:dyDescent="0.25">
      <c r="A5553" t="s">
        <v>1</v>
      </c>
      <c r="B5553" t="s">
        <v>19</v>
      </c>
      <c r="C5553" t="s">
        <v>23490</v>
      </c>
      <c r="D5553" t="str">
        <f>HYPERLINK("https://rhld.insurance.arkansas.gov/NPILookup?Npi=1619504370","1619504370")</f>
        <v>1619504370</v>
      </c>
      <c r="E5553" t="s">
        <v>16994</v>
      </c>
    </row>
    <row r="5554" spans="1:5" x14ac:dyDescent="0.25">
      <c r="A5554" t="s">
        <v>1</v>
      </c>
      <c r="B5554" t="s">
        <v>19</v>
      </c>
      <c r="C5554" t="s">
        <v>23490</v>
      </c>
      <c r="D5554" t="str">
        <f>HYPERLINK("https://rhld.insurance.arkansas.gov/NPILookup?Npi=1619522810","1619522810")</f>
        <v>1619522810</v>
      </c>
      <c r="E5554" t="s">
        <v>18821</v>
      </c>
    </row>
    <row r="5555" spans="1:5" x14ac:dyDescent="0.25">
      <c r="A5555" t="s">
        <v>1</v>
      </c>
      <c r="B5555" t="s">
        <v>19</v>
      </c>
      <c r="C5555" t="s">
        <v>23490</v>
      </c>
      <c r="D5555" t="str">
        <f>HYPERLINK("https://rhld.insurance.arkansas.gov/NPILookup?Npi=1619545829","1619545829")</f>
        <v>1619545829</v>
      </c>
      <c r="E5555" t="s">
        <v>18822</v>
      </c>
    </row>
    <row r="5556" spans="1:5" x14ac:dyDescent="0.25">
      <c r="A5556" t="s">
        <v>1</v>
      </c>
      <c r="B5556" t="s">
        <v>19</v>
      </c>
      <c r="C5556" t="s">
        <v>23490</v>
      </c>
      <c r="D5556" t="str">
        <f>HYPERLINK("https://rhld.insurance.arkansas.gov/NPILookup?Npi=1619547478","1619547478")</f>
        <v>1619547478</v>
      </c>
      <c r="E5556" t="s">
        <v>18823</v>
      </c>
    </row>
    <row r="5557" spans="1:5" x14ac:dyDescent="0.25">
      <c r="A5557" t="s">
        <v>1</v>
      </c>
      <c r="B5557" t="s">
        <v>19</v>
      </c>
      <c r="C5557" t="s">
        <v>23490</v>
      </c>
      <c r="D5557" t="str">
        <f>HYPERLINK("https://rhld.insurance.arkansas.gov/NPILookup?Npi=1619550092","1619550092")</f>
        <v>1619550092</v>
      </c>
      <c r="E5557" t="s">
        <v>19882</v>
      </c>
    </row>
    <row r="5558" spans="1:5" x14ac:dyDescent="0.25">
      <c r="A5558" t="s">
        <v>1</v>
      </c>
      <c r="B5558" t="s">
        <v>19</v>
      </c>
      <c r="C5558" t="s">
        <v>23490</v>
      </c>
      <c r="D5558" t="str">
        <f>HYPERLINK("https://rhld.insurance.arkansas.gov/NPILookup?Npi=1619563343","1619563343")</f>
        <v>1619563343</v>
      </c>
      <c r="E5558" t="s">
        <v>20537</v>
      </c>
    </row>
    <row r="5559" spans="1:5" x14ac:dyDescent="0.25">
      <c r="A5559" t="s">
        <v>1</v>
      </c>
      <c r="B5559" t="s">
        <v>19</v>
      </c>
      <c r="C5559" t="s">
        <v>23490</v>
      </c>
      <c r="D5559" t="str">
        <f>HYPERLINK("https://rhld.insurance.arkansas.gov/NPILookup?Npi=1619574555","1619574555")</f>
        <v>1619574555</v>
      </c>
      <c r="E5559" t="s">
        <v>18059</v>
      </c>
    </row>
    <row r="5560" spans="1:5" x14ac:dyDescent="0.25">
      <c r="A5560" t="s">
        <v>1</v>
      </c>
      <c r="B5560" t="s">
        <v>19</v>
      </c>
      <c r="C5560" t="s">
        <v>23490</v>
      </c>
      <c r="D5560" t="str">
        <f>HYPERLINK("https://rhld.insurance.arkansas.gov/NPILookup?Npi=1619581949","1619581949")</f>
        <v>1619581949</v>
      </c>
      <c r="E5560" t="s">
        <v>17447</v>
      </c>
    </row>
    <row r="5561" spans="1:5" x14ac:dyDescent="0.25">
      <c r="A5561" t="s">
        <v>1</v>
      </c>
      <c r="B5561" t="s">
        <v>19</v>
      </c>
      <c r="C5561" t="s">
        <v>23490</v>
      </c>
      <c r="D5561" t="str">
        <f>HYPERLINK("https://rhld.insurance.arkansas.gov/NPILookup?Npi=1619628336","1619628336")</f>
        <v>1619628336</v>
      </c>
      <c r="E5561" t="s">
        <v>21596</v>
      </c>
    </row>
    <row r="5562" spans="1:5" x14ac:dyDescent="0.25">
      <c r="A5562" t="s">
        <v>1</v>
      </c>
      <c r="B5562" t="s">
        <v>19</v>
      </c>
      <c r="C5562" t="s">
        <v>23490</v>
      </c>
      <c r="D5562" t="str">
        <f>HYPERLINK("https://rhld.insurance.arkansas.gov/NPILookup?Npi=1619633385","1619633385")</f>
        <v>1619633385</v>
      </c>
      <c r="E5562" t="s">
        <v>19883</v>
      </c>
    </row>
    <row r="5563" spans="1:5" x14ac:dyDescent="0.25">
      <c r="A5563" t="s">
        <v>1</v>
      </c>
      <c r="B5563" t="s">
        <v>19</v>
      </c>
      <c r="C5563" t="s">
        <v>23490</v>
      </c>
      <c r="D5563" t="str">
        <f>HYPERLINK("https://rhld.insurance.arkansas.gov/NPILookup?Npi=1619636222","1619636222")</f>
        <v>1619636222</v>
      </c>
      <c r="E5563" t="s">
        <v>19884</v>
      </c>
    </row>
    <row r="5564" spans="1:5" x14ac:dyDescent="0.25">
      <c r="A5564" t="s">
        <v>1</v>
      </c>
      <c r="B5564" t="s">
        <v>19</v>
      </c>
      <c r="C5564" t="s">
        <v>23490</v>
      </c>
      <c r="D5564" t="str">
        <f>HYPERLINK("https://rhld.insurance.arkansas.gov/NPILookup?Npi=1619642493","1619642493")</f>
        <v>1619642493</v>
      </c>
      <c r="E5564" t="s">
        <v>19885</v>
      </c>
    </row>
    <row r="5565" spans="1:5" x14ac:dyDescent="0.25">
      <c r="A5565" t="s">
        <v>1</v>
      </c>
      <c r="B5565" t="s">
        <v>19</v>
      </c>
      <c r="C5565" t="s">
        <v>23490</v>
      </c>
      <c r="D5565" t="str">
        <f>HYPERLINK("https://rhld.insurance.arkansas.gov/NPILookup?Npi=1619647153","1619647153")</f>
        <v>1619647153</v>
      </c>
      <c r="E5565" t="s">
        <v>20986</v>
      </c>
    </row>
    <row r="5566" spans="1:5" x14ac:dyDescent="0.25">
      <c r="A5566" t="s">
        <v>1</v>
      </c>
      <c r="B5566" t="s">
        <v>19</v>
      </c>
      <c r="C5566" t="s">
        <v>23490</v>
      </c>
      <c r="D5566" t="str">
        <f>HYPERLINK("https://rhld.insurance.arkansas.gov/NPILookup?Npi=1619648060","1619648060")</f>
        <v>1619648060</v>
      </c>
      <c r="E5566" t="s">
        <v>19886</v>
      </c>
    </row>
    <row r="5567" spans="1:5" x14ac:dyDescent="0.25">
      <c r="A5567" t="s">
        <v>1</v>
      </c>
      <c r="B5567" t="s">
        <v>19</v>
      </c>
      <c r="C5567" t="s">
        <v>23490</v>
      </c>
      <c r="D5567" t="str">
        <f>HYPERLINK("https://rhld.insurance.arkansas.gov/NPILookup?Npi=1619676418","1619676418")</f>
        <v>1619676418</v>
      </c>
      <c r="E5567" t="s">
        <v>21597</v>
      </c>
    </row>
    <row r="5568" spans="1:5" x14ac:dyDescent="0.25">
      <c r="A5568" t="s">
        <v>1</v>
      </c>
      <c r="B5568" t="s">
        <v>19</v>
      </c>
      <c r="C5568" t="s">
        <v>23490</v>
      </c>
      <c r="D5568" t="str">
        <f>HYPERLINK("https://rhld.insurance.arkansas.gov/NPILookup?Npi=1619681285","1619681285")</f>
        <v>1619681285</v>
      </c>
      <c r="E5568" t="s">
        <v>21598</v>
      </c>
    </row>
    <row r="5569" spans="1:5" x14ac:dyDescent="0.25">
      <c r="A5569" t="s">
        <v>1</v>
      </c>
      <c r="B5569" t="s">
        <v>19</v>
      </c>
      <c r="C5569" t="s">
        <v>23490</v>
      </c>
      <c r="D5569" t="str">
        <f>HYPERLINK("https://rhld.insurance.arkansas.gov/NPILookup?Npi=1619905692","1619905692")</f>
        <v>1619905692</v>
      </c>
      <c r="E5569" t="s">
        <v>11113</v>
      </c>
    </row>
    <row r="5570" spans="1:5" x14ac:dyDescent="0.25">
      <c r="A5570" t="s">
        <v>1</v>
      </c>
      <c r="B5570" t="s">
        <v>19</v>
      </c>
      <c r="C5570" t="s">
        <v>23490</v>
      </c>
      <c r="D5570" t="str">
        <f>HYPERLINK("https://rhld.insurance.arkansas.gov/NPILookup?Npi=1619918505","1619918505")</f>
        <v>1619918505</v>
      </c>
      <c r="E5570" t="s">
        <v>2172</v>
      </c>
    </row>
    <row r="5571" spans="1:5" x14ac:dyDescent="0.25">
      <c r="A5571" t="s">
        <v>1</v>
      </c>
      <c r="B5571" t="s">
        <v>19</v>
      </c>
      <c r="C5571" t="s">
        <v>23490</v>
      </c>
      <c r="D5571" t="str">
        <f>HYPERLINK("https://rhld.insurance.arkansas.gov/NPILookup?Npi=1619930591","1619930591")</f>
        <v>1619930591</v>
      </c>
      <c r="E5571" t="s">
        <v>2173</v>
      </c>
    </row>
    <row r="5572" spans="1:5" x14ac:dyDescent="0.25">
      <c r="A5572" t="s">
        <v>1</v>
      </c>
      <c r="B5572" t="s">
        <v>19</v>
      </c>
      <c r="C5572" t="s">
        <v>23490</v>
      </c>
      <c r="D5572" t="str">
        <f>HYPERLINK("https://rhld.insurance.arkansas.gov/NPILookup?Npi=1619937802","1619937802")</f>
        <v>1619937802</v>
      </c>
      <c r="E5572" t="s">
        <v>2175</v>
      </c>
    </row>
    <row r="5573" spans="1:5" x14ac:dyDescent="0.25">
      <c r="A5573" t="s">
        <v>1</v>
      </c>
      <c r="B5573" t="s">
        <v>19</v>
      </c>
      <c r="C5573" t="s">
        <v>23490</v>
      </c>
      <c r="D5573" t="str">
        <f>HYPERLINK("https://rhld.insurance.arkansas.gov/NPILookup?Npi=1619938164","1619938164")</f>
        <v>1619938164</v>
      </c>
      <c r="E5573" t="s">
        <v>2176</v>
      </c>
    </row>
    <row r="5574" spans="1:5" x14ac:dyDescent="0.25">
      <c r="A5574" t="s">
        <v>1</v>
      </c>
      <c r="B5574" t="s">
        <v>19</v>
      </c>
      <c r="C5574" t="s">
        <v>23490</v>
      </c>
      <c r="D5574" t="str">
        <f>HYPERLINK("https://rhld.insurance.arkansas.gov/NPILookup?Npi=1619940509","1619940509")</f>
        <v>1619940509</v>
      </c>
      <c r="E5574" t="s">
        <v>2177</v>
      </c>
    </row>
    <row r="5575" spans="1:5" x14ac:dyDescent="0.25">
      <c r="A5575" t="s">
        <v>1</v>
      </c>
      <c r="B5575" t="s">
        <v>19</v>
      </c>
      <c r="C5575" t="s">
        <v>23490</v>
      </c>
      <c r="D5575" t="str">
        <f>HYPERLINK("https://rhld.insurance.arkansas.gov/NPILookup?Npi=1619943271","1619943271")</f>
        <v>1619943271</v>
      </c>
      <c r="E5575" t="s">
        <v>2178</v>
      </c>
    </row>
    <row r="5576" spans="1:5" x14ac:dyDescent="0.25">
      <c r="A5576" t="s">
        <v>1</v>
      </c>
      <c r="B5576" t="s">
        <v>19</v>
      </c>
      <c r="C5576" t="s">
        <v>23490</v>
      </c>
      <c r="D5576" t="str">
        <f>HYPERLINK("https://rhld.insurance.arkansas.gov/NPILookup?Npi=1619947298","1619947298")</f>
        <v>1619947298</v>
      </c>
      <c r="E5576" t="s">
        <v>2179</v>
      </c>
    </row>
    <row r="5577" spans="1:5" x14ac:dyDescent="0.25">
      <c r="A5577" t="s">
        <v>1</v>
      </c>
      <c r="B5577" t="s">
        <v>19</v>
      </c>
      <c r="C5577" t="s">
        <v>23490</v>
      </c>
      <c r="D5577" t="str">
        <f>HYPERLINK("https://rhld.insurance.arkansas.gov/NPILookup?Npi=1619959145","1619959145")</f>
        <v>1619959145</v>
      </c>
      <c r="E5577" t="s">
        <v>2180</v>
      </c>
    </row>
    <row r="5578" spans="1:5" x14ac:dyDescent="0.25">
      <c r="A5578" t="s">
        <v>1</v>
      </c>
      <c r="B5578" t="s">
        <v>19</v>
      </c>
      <c r="C5578" t="s">
        <v>23490</v>
      </c>
      <c r="D5578" t="str">
        <f>HYPERLINK("https://rhld.insurance.arkansas.gov/NPILookup?Npi=1619960655","1619960655")</f>
        <v>1619960655</v>
      </c>
      <c r="E5578" t="s">
        <v>13622</v>
      </c>
    </row>
    <row r="5579" spans="1:5" x14ac:dyDescent="0.25">
      <c r="A5579" t="s">
        <v>1</v>
      </c>
      <c r="B5579" t="s">
        <v>19</v>
      </c>
      <c r="C5579" t="s">
        <v>23490</v>
      </c>
      <c r="D5579" t="str">
        <f>HYPERLINK("https://rhld.insurance.arkansas.gov/NPILookup?Npi=1619966900","1619966900")</f>
        <v>1619966900</v>
      </c>
      <c r="E5579" t="s">
        <v>15340</v>
      </c>
    </row>
    <row r="5580" spans="1:5" x14ac:dyDescent="0.25">
      <c r="A5580" t="s">
        <v>1</v>
      </c>
      <c r="B5580" t="s">
        <v>19</v>
      </c>
      <c r="C5580" t="s">
        <v>23490</v>
      </c>
      <c r="D5580" t="str">
        <f>HYPERLINK("https://rhld.insurance.arkansas.gov/NPILookup?Npi=1619968229","1619968229")</f>
        <v>1619968229</v>
      </c>
      <c r="E5580" t="s">
        <v>2181</v>
      </c>
    </row>
    <row r="5581" spans="1:5" x14ac:dyDescent="0.25">
      <c r="A5581" t="s">
        <v>1</v>
      </c>
      <c r="B5581" t="s">
        <v>19</v>
      </c>
      <c r="C5581" t="s">
        <v>23490</v>
      </c>
      <c r="D5581" t="str">
        <f>HYPERLINK("https://rhld.insurance.arkansas.gov/NPILookup?Npi=1619970407","1619970407")</f>
        <v>1619970407</v>
      </c>
      <c r="E5581" t="s">
        <v>2182</v>
      </c>
    </row>
    <row r="5582" spans="1:5" x14ac:dyDescent="0.25">
      <c r="A5582" t="s">
        <v>1</v>
      </c>
      <c r="B5582" t="s">
        <v>19</v>
      </c>
      <c r="C5582" t="s">
        <v>23490</v>
      </c>
      <c r="D5582" t="str">
        <f>HYPERLINK("https://rhld.insurance.arkansas.gov/NPILookup?Npi=1619975166","1619975166")</f>
        <v>1619975166</v>
      </c>
      <c r="E5582" t="s">
        <v>2183</v>
      </c>
    </row>
    <row r="5583" spans="1:5" x14ac:dyDescent="0.25">
      <c r="A5583" t="s">
        <v>1</v>
      </c>
      <c r="B5583" t="s">
        <v>19</v>
      </c>
      <c r="C5583" t="s">
        <v>23490</v>
      </c>
      <c r="D5583" t="str">
        <f>HYPERLINK("https://rhld.insurance.arkansas.gov/NPILookup?Npi=1619976735","1619976735")</f>
        <v>1619976735</v>
      </c>
      <c r="E5583" t="s">
        <v>2184</v>
      </c>
    </row>
    <row r="5584" spans="1:5" x14ac:dyDescent="0.25">
      <c r="A5584" t="s">
        <v>1</v>
      </c>
      <c r="B5584" t="s">
        <v>19</v>
      </c>
      <c r="C5584" t="s">
        <v>23490</v>
      </c>
      <c r="D5584" t="str">
        <f>HYPERLINK("https://rhld.insurance.arkansas.gov/NPILookup?Npi=1619977964","1619977964")</f>
        <v>1619977964</v>
      </c>
      <c r="E5584" t="s">
        <v>2185</v>
      </c>
    </row>
    <row r="5585" spans="1:5" x14ac:dyDescent="0.25">
      <c r="A5585" t="s">
        <v>1</v>
      </c>
      <c r="B5585" t="s">
        <v>19</v>
      </c>
      <c r="C5585" t="s">
        <v>23490</v>
      </c>
      <c r="D5585" t="str">
        <f>HYPERLINK("https://rhld.insurance.arkansas.gov/NPILookup?Npi=1619986387","1619986387")</f>
        <v>1619986387</v>
      </c>
      <c r="E5585" t="s">
        <v>2186</v>
      </c>
    </row>
    <row r="5586" spans="1:5" x14ac:dyDescent="0.25">
      <c r="A5586" t="s">
        <v>1</v>
      </c>
      <c r="B5586" t="s">
        <v>19</v>
      </c>
      <c r="C5586" t="s">
        <v>23490</v>
      </c>
      <c r="D5586" t="str">
        <f>HYPERLINK("https://rhld.insurance.arkansas.gov/NPILookup?Npi=1619992377","1619992377")</f>
        <v>1619992377</v>
      </c>
      <c r="E5586" t="s">
        <v>2187</v>
      </c>
    </row>
    <row r="5587" spans="1:5" x14ac:dyDescent="0.25">
      <c r="A5587" t="s">
        <v>1</v>
      </c>
      <c r="B5587" t="s">
        <v>19</v>
      </c>
      <c r="C5587" t="s">
        <v>23490</v>
      </c>
      <c r="D5587" t="str">
        <f>HYPERLINK("https://rhld.insurance.arkansas.gov/NPILookup?Npi=1619994316","1619994316")</f>
        <v>1619994316</v>
      </c>
      <c r="E5587" t="s">
        <v>2188</v>
      </c>
    </row>
    <row r="5588" spans="1:5" x14ac:dyDescent="0.25">
      <c r="A5588" t="s">
        <v>1</v>
      </c>
      <c r="B5588" t="s">
        <v>19</v>
      </c>
      <c r="C5588" t="s">
        <v>23490</v>
      </c>
      <c r="D5588" t="str">
        <f>HYPERLINK("https://rhld.insurance.arkansas.gov/NPILookup?Npi=1619998259","1619998259")</f>
        <v>1619998259</v>
      </c>
      <c r="E5588" t="s">
        <v>8768</v>
      </c>
    </row>
    <row r="5589" spans="1:5" x14ac:dyDescent="0.25">
      <c r="A5589" t="s">
        <v>1</v>
      </c>
      <c r="B5589" t="s">
        <v>19</v>
      </c>
      <c r="C5589" t="s">
        <v>23490</v>
      </c>
      <c r="D5589" t="str">
        <f>HYPERLINK("https://rhld.insurance.arkansas.gov/NPILookup?Npi=1629001490","1629001490")</f>
        <v>1629001490</v>
      </c>
      <c r="E5589" t="s">
        <v>15341</v>
      </c>
    </row>
    <row r="5590" spans="1:5" x14ac:dyDescent="0.25">
      <c r="A5590" t="s">
        <v>1</v>
      </c>
      <c r="B5590" t="s">
        <v>19</v>
      </c>
      <c r="C5590" t="s">
        <v>23490</v>
      </c>
      <c r="D5590" t="str">
        <f>HYPERLINK("https://rhld.insurance.arkansas.gov/NPILookup?Npi=1629013966","1629013966")</f>
        <v>1629013966</v>
      </c>
      <c r="E5590" t="s">
        <v>2189</v>
      </c>
    </row>
    <row r="5591" spans="1:5" x14ac:dyDescent="0.25">
      <c r="A5591" t="s">
        <v>1</v>
      </c>
      <c r="B5591" t="s">
        <v>19</v>
      </c>
      <c r="C5591" t="s">
        <v>23490</v>
      </c>
      <c r="D5591" t="str">
        <f>HYPERLINK("https://rhld.insurance.arkansas.gov/NPILookup?Npi=1629022066","1629022066")</f>
        <v>1629022066</v>
      </c>
      <c r="E5591" t="s">
        <v>2190</v>
      </c>
    </row>
    <row r="5592" spans="1:5" x14ac:dyDescent="0.25">
      <c r="A5592" t="s">
        <v>1</v>
      </c>
      <c r="B5592" t="s">
        <v>19</v>
      </c>
      <c r="C5592" t="s">
        <v>23490</v>
      </c>
      <c r="D5592" t="str">
        <f>HYPERLINK("https://rhld.insurance.arkansas.gov/NPILookup?Npi=1629027313","1629027313")</f>
        <v>1629027313</v>
      </c>
      <c r="E5592" t="s">
        <v>2191</v>
      </c>
    </row>
    <row r="5593" spans="1:5" x14ac:dyDescent="0.25">
      <c r="A5593" t="s">
        <v>1</v>
      </c>
      <c r="B5593" t="s">
        <v>19</v>
      </c>
      <c r="C5593" t="s">
        <v>23490</v>
      </c>
      <c r="D5593" t="str">
        <f>HYPERLINK("https://rhld.insurance.arkansas.gov/NPILookup?Npi=1629028584","1629028584")</f>
        <v>1629028584</v>
      </c>
      <c r="E5593" t="s">
        <v>2192</v>
      </c>
    </row>
    <row r="5594" spans="1:5" x14ac:dyDescent="0.25">
      <c r="A5594" t="s">
        <v>1</v>
      </c>
      <c r="B5594" t="s">
        <v>19</v>
      </c>
      <c r="C5594" t="s">
        <v>23490</v>
      </c>
      <c r="D5594" t="str">
        <f>HYPERLINK("https://rhld.insurance.arkansas.gov/NPILookup?Npi=1629031950","1629031950")</f>
        <v>1629031950</v>
      </c>
      <c r="E5594" t="s">
        <v>2193</v>
      </c>
    </row>
    <row r="5595" spans="1:5" x14ac:dyDescent="0.25">
      <c r="A5595" t="s">
        <v>1</v>
      </c>
      <c r="B5595" t="s">
        <v>19</v>
      </c>
      <c r="C5595" t="s">
        <v>23490</v>
      </c>
      <c r="D5595" t="str">
        <f>HYPERLINK("https://rhld.insurance.arkansas.gov/NPILookup?Npi=1629034764","1629034764")</f>
        <v>1629034764</v>
      </c>
      <c r="E5595" t="s">
        <v>15342</v>
      </c>
    </row>
    <row r="5596" spans="1:5" x14ac:dyDescent="0.25">
      <c r="A5596" t="s">
        <v>1</v>
      </c>
      <c r="B5596" t="s">
        <v>19</v>
      </c>
      <c r="C5596" t="s">
        <v>23490</v>
      </c>
      <c r="D5596" t="str">
        <f>HYPERLINK("https://rhld.insurance.arkansas.gov/NPILookup?Npi=1629036173","1629036173")</f>
        <v>1629036173</v>
      </c>
      <c r="E5596" t="s">
        <v>15343</v>
      </c>
    </row>
    <row r="5597" spans="1:5" x14ac:dyDescent="0.25">
      <c r="A5597" t="s">
        <v>1</v>
      </c>
      <c r="B5597" t="s">
        <v>19</v>
      </c>
      <c r="C5597" t="s">
        <v>23490</v>
      </c>
      <c r="D5597" t="str">
        <f>HYPERLINK("https://rhld.insurance.arkansas.gov/NPILookup?Npi=1629037585","1629037585")</f>
        <v>1629037585</v>
      </c>
      <c r="E5597" t="s">
        <v>2195</v>
      </c>
    </row>
    <row r="5598" spans="1:5" x14ac:dyDescent="0.25">
      <c r="A5598" t="s">
        <v>1</v>
      </c>
      <c r="B5598" t="s">
        <v>19</v>
      </c>
      <c r="C5598" t="s">
        <v>23490</v>
      </c>
      <c r="D5598" t="str">
        <f>HYPERLINK("https://rhld.insurance.arkansas.gov/NPILookup?Npi=1629044334","1629044334")</f>
        <v>1629044334</v>
      </c>
      <c r="E5598" t="s">
        <v>15344</v>
      </c>
    </row>
    <row r="5599" spans="1:5" x14ac:dyDescent="0.25">
      <c r="A5599" t="s">
        <v>1</v>
      </c>
      <c r="B5599" t="s">
        <v>19</v>
      </c>
      <c r="C5599" t="s">
        <v>23490</v>
      </c>
      <c r="D5599" t="str">
        <f>HYPERLINK("https://rhld.insurance.arkansas.gov/NPILookup?Npi=1629046156","1629046156")</f>
        <v>1629046156</v>
      </c>
      <c r="E5599" t="s">
        <v>15345</v>
      </c>
    </row>
    <row r="5600" spans="1:5" x14ac:dyDescent="0.25">
      <c r="A5600" t="s">
        <v>1</v>
      </c>
      <c r="B5600" t="s">
        <v>19</v>
      </c>
      <c r="C5600" t="s">
        <v>23490</v>
      </c>
      <c r="D5600" t="str">
        <f>HYPERLINK("https://rhld.insurance.arkansas.gov/NPILookup?Npi=1629055397","1629055397")</f>
        <v>1629055397</v>
      </c>
      <c r="E5600" t="s">
        <v>2196</v>
      </c>
    </row>
    <row r="5601" spans="1:5" x14ac:dyDescent="0.25">
      <c r="A5601" t="s">
        <v>1</v>
      </c>
      <c r="B5601" t="s">
        <v>19</v>
      </c>
      <c r="C5601" t="s">
        <v>23490</v>
      </c>
      <c r="D5601" t="str">
        <f>HYPERLINK("https://rhld.insurance.arkansas.gov/NPILookup?Npi=1629076120","1629076120")</f>
        <v>1629076120</v>
      </c>
      <c r="E5601" t="s">
        <v>2197</v>
      </c>
    </row>
    <row r="5602" spans="1:5" x14ac:dyDescent="0.25">
      <c r="A5602" t="s">
        <v>1</v>
      </c>
      <c r="B5602" t="s">
        <v>19</v>
      </c>
      <c r="C5602" t="s">
        <v>23490</v>
      </c>
      <c r="D5602" t="str">
        <f>HYPERLINK("https://rhld.insurance.arkansas.gov/NPILookup?Npi=1629085758","1629085758")</f>
        <v>1629085758</v>
      </c>
      <c r="E5602" t="s">
        <v>2198</v>
      </c>
    </row>
    <row r="5603" spans="1:5" x14ac:dyDescent="0.25">
      <c r="A5603" t="s">
        <v>1</v>
      </c>
      <c r="B5603" t="s">
        <v>19</v>
      </c>
      <c r="C5603" t="s">
        <v>23490</v>
      </c>
      <c r="D5603" t="str">
        <f>HYPERLINK("https://rhld.insurance.arkansas.gov/NPILookup?Npi=1629095328","1629095328")</f>
        <v>1629095328</v>
      </c>
      <c r="E5603" t="s">
        <v>2199</v>
      </c>
    </row>
    <row r="5604" spans="1:5" x14ac:dyDescent="0.25">
      <c r="A5604" t="s">
        <v>1</v>
      </c>
      <c r="B5604" t="s">
        <v>19</v>
      </c>
      <c r="C5604" t="s">
        <v>23490</v>
      </c>
      <c r="D5604" t="str">
        <f>HYPERLINK("https://rhld.insurance.arkansas.gov/NPILookup?Npi=1629103510","1629103510")</f>
        <v>1629103510</v>
      </c>
      <c r="E5604" t="s">
        <v>15346</v>
      </c>
    </row>
    <row r="5605" spans="1:5" x14ac:dyDescent="0.25">
      <c r="A5605" t="s">
        <v>1</v>
      </c>
      <c r="B5605" t="s">
        <v>19</v>
      </c>
      <c r="C5605" t="s">
        <v>23490</v>
      </c>
      <c r="D5605" t="str">
        <f>HYPERLINK("https://rhld.insurance.arkansas.gov/NPILookup?Npi=1629157359","1629157359")</f>
        <v>1629157359</v>
      </c>
      <c r="E5605" t="s">
        <v>11115</v>
      </c>
    </row>
    <row r="5606" spans="1:5" x14ac:dyDescent="0.25">
      <c r="A5606" t="s">
        <v>1</v>
      </c>
      <c r="B5606" t="s">
        <v>19</v>
      </c>
      <c r="C5606" t="s">
        <v>23490</v>
      </c>
      <c r="D5606" t="str">
        <f>HYPERLINK("https://rhld.insurance.arkansas.gov/NPILookup?Npi=1629181433","1629181433")</f>
        <v>1629181433</v>
      </c>
      <c r="E5606" t="s">
        <v>2200</v>
      </c>
    </row>
    <row r="5607" spans="1:5" x14ac:dyDescent="0.25">
      <c r="A5607" t="s">
        <v>1</v>
      </c>
      <c r="B5607" t="s">
        <v>19</v>
      </c>
      <c r="C5607" t="s">
        <v>23490</v>
      </c>
      <c r="D5607" t="str">
        <f>HYPERLINK("https://rhld.insurance.arkansas.gov/NPILookup?Npi=1629186382","1629186382")</f>
        <v>1629186382</v>
      </c>
      <c r="E5607" t="s">
        <v>15347</v>
      </c>
    </row>
    <row r="5608" spans="1:5" x14ac:dyDescent="0.25">
      <c r="A5608" t="s">
        <v>1</v>
      </c>
      <c r="B5608" t="s">
        <v>19</v>
      </c>
      <c r="C5608" t="s">
        <v>23490</v>
      </c>
      <c r="D5608" t="str">
        <f>HYPERLINK("https://rhld.insurance.arkansas.gov/NPILookup?Npi=1629189964","1629189964")</f>
        <v>1629189964</v>
      </c>
      <c r="E5608" t="s">
        <v>2201</v>
      </c>
    </row>
    <row r="5609" spans="1:5" x14ac:dyDescent="0.25">
      <c r="A5609" t="s">
        <v>1</v>
      </c>
      <c r="B5609" t="s">
        <v>19</v>
      </c>
      <c r="C5609" t="s">
        <v>23490</v>
      </c>
      <c r="D5609" t="str">
        <f>HYPERLINK("https://rhld.insurance.arkansas.gov/NPILookup?Npi=1629199633","1629199633")</f>
        <v>1629199633</v>
      </c>
      <c r="E5609" t="s">
        <v>15348</v>
      </c>
    </row>
    <row r="5610" spans="1:5" x14ac:dyDescent="0.25">
      <c r="A5610" t="s">
        <v>1</v>
      </c>
      <c r="B5610" t="s">
        <v>19</v>
      </c>
      <c r="C5610" t="s">
        <v>23490</v>
      </c>
      <c r="D5610" t="str">
        <f>HYPERLINK("https://rhld.insurance.arkansas.gov/NPILookup?Npi=1629201710","1629201710")</f>
        <v>1629201710</v>
      </c>
      <c r="E5610" t="s">
        <v>19230</v>
      </c>
    </row>
    <row r="5611" spans="1:5" x14ac:dyDescent="0.25">
      <c r="A5611" t="s">
        <v>1</v>
      </c>
      <c r="B5611" t="s">
        <v>19</v>
      </c>
      <c r="C5611" t="s">
        <v>23490</v>
      </c>
      <c r="D5611" t="str">
        <f>HYPERLINK("https://rhld.insurance.arkansas.gov/NPILookup?Npi=1629207386","1629207386")</f>
        <v>1629207386</v>
      </c>
      <c r="E5611" t="s">
        <v>2202</v>
      </c>
    </row>
    <row r="5612" spans="1:5" x14ac:dyDescent="0.25">
      <c r="A5612" t="s">
        <v>1</v>
      </c>
      <c r="B5612" t="s">
        <v>19</v>
      </c>
      <c r="C5612" t="s">
        <v>23490</v>
      </c>
      <c r="D5612" t="str">
        <f>HYPERLINK("https://rhld.insurance.arkansas.gov/NPILookup?Npi=1629208053","1629208053")</f>
        <v>1629208053</v>
      </c>
      <c r="E5612" t="s">
        <v>15349</v>
      </c>
    </row>
    <row r="5613" spans="1:5" x14ac:dyDescent="0.25">
      <c r="A5613" t="s">
        <v>1</v>
      </c>
      <c r="B5613" t="s">
        <v>19</v>
      </c>
      <c r="C5613" t="s">
        <v>23490</v>
      </c>
      <c r="D5613" t="str">
        <f>HYPERLINK("https://rhld.insurance.arkansas.gov/NPILookup?Npi=1629208368","1629208368")</f>
        <v>1629208368</v>
      </c>
      <c r="E5613" t="s">
        <v>15350</v>
      </c>
    </row>
    <row r="5614" spans="1:5" x14ac:dyDescent="0.25">
      <c r="A5614" t="s">
        <v>1</v>
      </c>
      <c r="B5614" t="s">
        <v>19</v>
      </c>
      <c r="C5614" t="s">
        <v>23490</v>
      </c>
      <c r="D5614" t="str">
        <f>HYPERLINK("https://rhld.insurance.arkansas.gov/NPILookup?Npi=1629208434","1629208434")</f>
        <v>1629208434</v>
      </c>
      <c r="E5614" t="s">
        <v>2203</v>
      </c>
    </row>
    <row r="5615" spans="1:5" x14ac:dyDescent="0.25">
      <c r="A5615" t="s">
        <v>1</v>
      </c>
      <c r="B5615" t="s">
        <v>19</v>
      </c>
      <c r="C5615" t="s">
        <v>23490</v>
      </c>
      <c r="D5615" t="str">
        <f>HYPERLINK("https://rhld.insurance.arkansas.gov/NPILookup?Npi=1629230396","1629230396")</f>
        <v>1629230396</v>
      </c>
      <c r="E5615" t="s">
        <v>1409</v>
      </c>
    </row>
    <row r="5616" spans="1:5" x14ac:dyDescent="0.25">
      <c r="A5616" t="s">
        <v>1</v>
      </c>
      <c r="B5616" t="s">
        <v>19</v>
      </c>
      <c r="C5616" t="s">
        <v>23490</v>
      </c>
      <c r="D5616" t="str">
        <f>HYPERLINK("https://rhld.insurance.arkansas.gov/NPILookup?Npi=1629237805","1629237805")</f>
        <v>1629237805</v>
      </c>
      <c r="E5616" t="s">
        <v>11116</v>
      </c>
    </row>
    <row r="5617" spans="1:5" x14ac:dyDescent="0.25">
      <c r="A5617" t="s">
        <v>1</v>
      </c>
      <c r="B5617" t="s">
        <v>19</v>
      </c>
      <c r="C5617" t="s">
        <v>23490</v>
      </c>
      <c r="D5617" t="str">
        <f>HYPERLINK("https://rhld.insurance.arkansas.gov/NPILookup?Npi=1629238795","1629238795")</f>
        <v>1629238795</v>
      </c>
      <c r="E5617" t="s">
        <v>2204</v>
      </c>
    </row>
    <row r="5618" spans="1:5" x14ac:dyDescent="0.25">
      <c r="A5618" t="s">
        <v>1</v>
      </c>
      <c r="B5618" t="s">
        <v>19</v>
      </c>
      <c r="C5618" t="s">
        <v>23490</v>
      </c>
      <c r="D5618" t="str">
        <f>HYPERLINK("https://rhld.insurance.arkansas.gov/NPILookup?Npi=1629252846","1629252846")</f>
        <v>1629252846</v>
      </c>
      <c r="E5618" t="s">
        <v>2205</v>
      </c>
    </row>
    <row r="5619" spans="1:5" x14ac:dyDescent="0.25">
      <c r="A5619" t="s">
        <v>1</v>
      </c>
      <c r="B5619" t="s">
        <v>19</v>
      </c>
      <c r="C5619" t="s">
        <v>23490</v>
      </c>
      <c r="D5619" t="str">
        <f>HYPERLINK("https://rhld.insurance.arkansas.gov/NPILookup?Npi=1629272620","1629272620")</f>
        <v>1629272620</v>
      </c>
      <c r="E5619" t="s">
        <v>15351</v>
      </c>
    </row>
    <row r="5620" spans="1:5" x14ac:dyDescent="0.25">
      <c r="A5620" t="s">
        <v>1</v>
      </c>
      <c r="B5620" t="s">
        <v>19</v>
      </c>
      <c r="C5620" t="s">
        <v>23490</v>
      </c>
      <c r="D5620" t="str">
        <f>HYPERLINK("https://rhld.insurance.arkansas.gov/NPILookup?Npi=1629277231","1629277231")</f>
        <v>1629277231</v>
      </c>
      <c r="E5620" t="s">
        <v>2206</v>
      </c>
    </row>
    <row r="5621" spans="1:5" x14ac:dyDescent="0.25">
      <c r="A5621" t="s">
        <v>1</v>
      </c>
      <c r="B5621" t="s">
        <v>19</v>
      </c>
      <c r="C5621" t="s">
        <v>23490</v>
      </c>
      <c r="D5621" t="str">
        <f>HYPERLINK("https://rhld.insurance.arkansas.gov/NPILookup?Npi=1629302823","1629302823")</f>
        <v>1629302823</v>
      </c>
      <c r="E5621" t="s">
        <v>15352</v>
      </c>
    </row>
    <row r="5622" spans="1:5" x14ac:dyDescent="0.25">
      <c r="A5622" t="s">
        <v>1</v>
      </c>
      <c r="B5622" t="s">
        <v>19</v>
      </c>
      <c r="C5622" t="s">
        <v>23490</v>
      </c>
      <c r="D5622" t="str">
        <f>HYPERLINK("https://rhld.insurance.arkansas.gov/NPILookup?Npi=1629303953","1629303953")</f>
        <v>1629303953</v>
      </c>
      <c r="E5622" t="s">
        <v>13623</v>
      </c>
    </row>
    <row r="5623" spans="1:5" x14ac:dyDescent="0.25">
      <c r="A5623" t="s">
        <v>1</v>
      </c>
      <c r="B5623" t="s">
        <v>19</v>
      </c>
      <c r="C5623" t="s">
        <v>23490</v>
      </c>
      <c r="D5623" t="str">
        <f>HYPERLINK("https://rhld.insurance.arkansas.gov/NPILookup?Npi=1629309463","1629309463")</f>
        <v>1629309463</v>
      </c>
      <c r="E5623" t="s">
        <v>2207</v>
      </c>
    </row>
    <row r="5624" spans="1:5" x14ac:dyDescent="0.25">
      <c r="A5624" t="s">
        <v>1</v>
      </c>
      <c r="B5624" t="s">
        <v>19</v>
      </c>
      <c r="C5624" t="s">
        <v>23490</v>
      </c>
      <c r="D5624" t="str">
        <f>HYPERLINK("https://rhld.insurance.arkansas.gov/NPILookup?Npi=1629317813","1629317813")</f>
        <v>1629317813</v>
      </c>
      <c r="E5624" t="s">
        <v>2208</v>
      </c>
    </row>
    <row r="5625" spans="1:5" x14ac:dyDescent="0.25">
      <c r="A5625" t="s">
        <v>1</v>
      </c>
      <c r="B5625" t="s">
        <v>19</v>
      </c>
      <c r="C5625" t="s">
        <v>23490</v>
      </c>
      <c r="D5625" t="str">
        <f>HYPERLINK("https://rhld.insurance.arkansas.gov/NPILookup?Npi=1629320858","1629320858")</f>
        <v>1629320858</v>
      </c>
      <c r="E5625" t="s">
        <v>12871</v>
      </c>
    </row>
    <row r="5626" spans="1:5" x14ac:dyDescent="0.25">
      <c r="A5626" t="s">
        <v>1</v>
      </c>
      <c r="B5626" t="s">
        <v>19</v>
      </c>
      <c r="C5626" t="s">
        <v>23490</v>
      </c>
      <c r="D5626" t="str">
        <f>HYPERLINK("https://rhld.insurance.arkansas.gov/NPILookup?Npi=1629322607","1629322607")</f>
        <v>1629322607</v>
      </c>
      <c r="E5626" t="s">
        <v>2209</v>
      </c>
    </row>
    <row r="5627" spans="1:5" x14ac:dyDescent="0.25">
      <c r="A5627" t="s">
        <v>1</v>
      </c>
      <c r="B5627" t="s">
        <v>19</v>
      </c>
      <c r="C5627" t="s">
        <v>23490</v>
      </c>
      <c r="D5627" t="str">
        <f>HYPERLINK("https://rhld.insurance.arkansas.gov/NPILookup?Npi=1629329289","1629329289")</f>
        <v>1629329289</v>
      </c>
      <c r="E5627" t="s">
        <v>15353</v>
      </c>
    </row>
    <row r="5628" spans="1:5" x14ac:dyDescent="0.25">
      <c r="A5628" t="s">
        <v>1</v>
      </c>
      <c r="B5628" t="s">
        <v>19</v>
      </c>
      <c r="C5628" t="s">
        <v>23490</v>
      </c>
      <c r="D5628" t="str">
        <f>HYPERLINK("https://rhld.insurance.arkansas.gov/NPILookup?Npi=1629336078","1629336078")</f>
        <v>1629336078</v>
      </c>
      <c r="E5628" t="s">
        <v>8769</v>
      </c>
    </row>
    <row r="5629" spans="1:5" x14ac:dyDescent="0.25">
      <c r="A5629" t="s">
        <v>1</v>
      </c>
      <c r="B5629" t="s">
        <v>19</v>
      </c>
      <c r="C5629" t="s">
        <v>23490</v>
      </c>
      <c r="D5629" t="str">
        <f>HYPERLINK("https://rhld.insurance.arkansas.gov/NPILookup?Npi=1629337738","1629337738")</f>
        <v>1629337738</v>
      </c>
      <c r="E5629" t="s">
        <v>11117</v>
      </c>
    </row>
    <row r="5630" spans="1:5" x14ac:dyDescent="0.25">
      <c r="A5630" t="s">
        <v>1</v>
      </c>
      <c r="B5630" t="s">
        <v>19</v>
      </c>
      <c r="C5630" t="s">
        <v>23490</v>
      </c>
      <c r="D5630" t="str">
        <f>HYPERLINK("https://rhld.insurance.arkansas.gov/NPILookup?Npi=1629340948","1629340948")</f>
        <v>1629340948</v>
      </c>
      <c r="E5630" t="s">
        <v>12872</v>
      </c>
    </row>
    <row r="5631" spans="1:5" x14ac:dyDescent="0.25">
      <c r="A5631" t="s">
        <v>1</v>
      </c>
      <c r="B5631" t="s">
        <v>19</v>
      </c>
      <c r="C5631" t="s">
        <v>23490</v>
      </c>
      <c r="D5631" t="str">
        <f>HYPERLINK("https://rhld.insurance.arkansas.gov/NPILookup?Npi=1629343868","1629343868")</f>
        <v>1629343868</v>
      </c>
      <c r="E5631" t="s">
        <v>2210</v>
      </c>
    </row>
    <row r="5632" spans="1:5" x14ac:dyDescent="0.25">
      <c r="A5632" t="s">
        <v>1</v>
      </c>
      <c r="B5632" t="s">
        <v>19</v>
      </c>
      <c r="C5632" t="s">
        <v>23490</v>
      </c>
      <c r="D5632" t="str">
        <f>HYPERLINK("https://rhld.insurance.arkansas.gov/NPILookup?Npi=1629356118","1629356118")</f>
        <v>1629356118</v>
      </c>
      <c r="E5632" t="s">
        <v>2211</v>
      </c>
    </row>
    <row r="5633" spans="1:5" x14ac:dyDescent="0.25">
      <c r="A5633" t="s">
        <v>1</v>
      </c>
      <c r="B5633" t="s">
        <v>19</v>
      </c>
      <c r="C5633" t="s">
        <v>23490</v>
      </c>
      <c r="D5633" t="str">
        <f>HYPERLINK("https://rhld.insurance.arkansas.gov/NPILookup?Npi=1629361340","1629361340")</f>
        <v>1629361340</v>
      </c>
      <c r="E5633" t="s">
        <v>15354</v>
      </c>
    </row>
    <row r="5634" spans="1:5" x14ac:dyDescent="0.25">
      <c r="A5634" t="s">
        <v>1</v>
      </c>
      <c r="B5634" t="s">
        <v>19</v>
      </c>
      <c r="C5634" t="s">
        <v>23490</v>
      </c>
      <c r="D5634" t="str">
        <f>HYPERLINK("https://rhld.insurance.arkansas.gov/NPILookup?Npi=1629365572","1629365572")</f>
        <v>1629365572</v>
      </c>
      <c r="E5634" t="s">
        <v>2212</v>
      </c>
    </row>
    <row r="5635" spans="1:5" x14ac:dyDescent="0.25">
      <c r="A5635" t="s">
        <v>1</v>
      </c>
      <c r="B5635" t="s">
        <v>19</v>
      </c>
      <c r="C5635" t="s">
        <v>23490</v>
      </c>
      <c r="D5635" t="str">
        <f>HYPERLINK("https://rhld.insurance.arkansas.gov/NPILookup?Npi=1629369459","1629369459")</f>
        <v>1629369459</v>
      </c>
      <c r="E5635" t="s">
        <v>2213</v>
      </c>
    </row>
    <row r="5636" spans="1:5" x14ac:dyDescent="0.25">
      <c r="A5636" t="s">
        <v>1</v>
      </c>
      <c r="B5636" t="s">
        <v>19</v>
      </c>
      <c r="C5636" t="s">
        <v>23490</v>
      </c>
      <c r="D5636" t="str">
        <f>HYPERLINK("https://rhld.insurance.arkansas.gov/NPILookup?Npi=1629380639","1629380639")</f>
        <v>1629380639</v>
      </c>
      <c r="E5636" t="s">
        <v>15355</v>
      </c>
    </row>
    <row r="5637" spans="1:5" x14ac:dyDescent="0.25">
      <c r="A5637" t="s">
        <v>1</v>
      </c>
      <c r="B5637" t="s">
        <v>19</v>
      </c>
      <c r="C5637" t="s">
        <v>23490</v>
      </c>
      <c r="D5637" t="str">
        <f>HYPERLINK("https://rhld.insurance.arkansas.gov/NPILookup?Npi=1629381611","1629381611")</f>
        <v>1629381611</v>
      </c>
      <c r="E5637" t="s">
        <v>15356</v>
      </c>
    </row>
    <row r="5638" spans="1:5" x14ac:dyDescent="0.25">
      <c r="A5638" t="s">
        <v>1</v>
      </c>
      <c r="B5638" t="s">
        <v>19</v>
      </c>
      <c r="C5638" t="s">
        <v>23490</v>
      </c>
      <c r="D5638" t="str">
        <f>HYPERLINK("https://rhld.insurance.arkansas.gov/NPILookup?Npi=1629398268","1629398268")</f>
        <v>1629398268</v>
      </c>
      <c r="E5638" t="s">
        <v>2214</v>
      </c>
    </row>
    <row r="5639" spans="1:5" x14ac:dyDescent="0.25">
      <c r="A5639" t="s">
        <v>1</v>
      </c>
      <c r="B5639" t="s">
        <v>19</v>
      </c>
      <c r="C5639" t="s">
        <v>23490</v>
      </c>
      <c r="D5639" t="str">
        <f>HYPERLINK("https://rhld.insurance.arkansas.gov/NPILookup?Npi=1629398276","1629398276")</f>
        <v>1629398276</v>
      </c>
      <c r="E5639" t="s">
        <v>2215</v>
      </c>
    </row>
    <row r="5640" spans="1:5" x14ac:dyDescent="0.25">
      <c r="A5640" t="s">
        <v>1</v>
      </c>
      <c r="B5640" t="s">
        <v>19</v>
      </c>
      <c r="C5640" t="s">
        <v>23490</v>
      </c>
      <c r="D5640" t="str">
        <f>HYPERLINK("https://rhld.insurance.arkansas.gov/NPILookup?Npi=1629407473","1629407473")</f>
        <v>1629407473</v>
      </c>
      <c r="E5640" t="s">
        <v>2216</v>
      </c>
    </row>
    <row r="5641" spans="1:5" x14ac:dyDescent="0.25">
      <c r="A5641" t="s">
        <v>1</v>
      </c>
      <c r="B5641" t="s">
        <v>19</v>
      </c>
      <c r="C5641" t="s">
        <v>23490</v>
      </c>
      <c r="D5641" t="str">
        <f>HYPERLINK("https://rhld.insurance.arkansas.gov/NPILookup?Npi=1629408497","1629408497")</f>
        <v>1629408497</v>
      </c>
      <c r="E5641" t="s">
        <v>2217</v>
      </c>
    </row>
    <row r="5642" spans="1:5" x14ac:dyDescent="0.25">
      <c r="A5642" t="s">
        <v>1</v>
      </c>
      <c r="B5642" t="s">
        <v>19</v>
      </c>
      <c r="C5642" t="s">
        <v>23490</v>
      </c>
      <c r="D5642" t="str">
        <f>HYPERLINK("https://rhld.insurance.arkansas.gov/NPILookup?Npi=1629410766","1629410766")</f>
        <v>1629410766</v>
      </c>
      <c r="E5642" t="s">
        <v>2218</v>
      </c>
    </row>
    <row r="5643" spans="1:5" x14ac:dyDescent="0.25">
      <c r="A5643" t="s">
        <v>1</v>
      </c>
      <c r="B5643" t="s">
        <v>19</v>
      </c>
      <c r="C5643" t="s">
        <v>23490</v>
      </c>
      <c r="D5643" t="str">
        <f>HYPERLINK("https://rhld.insurance.arkansas.gov/NPILookup?Npi=1629414354","1629414354")</f>
        <v>1629414354</v>
      </c>
      <c r="E5643" t="s">
        <v>2219</v>
      </c>
    </row>
    <row r="5644" spans="1:5" x14ac:dyDescent="0.25">
      <c r="A5644" t="s">
        <v>1</v>
      </c>
      <c r="B5644" t="s">
        <v>19</v>
      </c>
      <c r="C5644" t="s">
        <v>23490</v>
      </c>
      <c r="D5644" t="str">
        <f>HYPERLINK("https://rhld.insurance.arkansas.gov/NPILookup?Npi=1629418553","1629418553")</f>
        <v>1629418553</v>
      </c>
      <c r="E5644" t="s">
        <v>2220</v>
      </c>
    </row>
    <row r="5645" spans="1:5" x14ac:dyDescent="0.25">
      <c r="A5645" t="s">
        <v>1</v>
      </c>
      <c r="B5645" t="s">
        <v>19</v>
      </c>
      <c r="C5645" t="s">
        <v>23490</v>
      </c>
      <c r="D5645" t="str">
        <f>HYPERLINK("https://rhld.insurance.arkansas.gov/NPILookup?Npi=1629420310","1629420310")</f>
        <v>1629420310</v>
      </c>
      <c r="E5645" t="s">
        <v>11119</v>
      </c>
    </row>
    <row r="5646" spans="1:5" x14ac:dyDescent="0.25">
      <c r="A5646" t="s">
        <v>1</v>
      </c>
      <c r="B5646" t="s">
        <v>19</v>
      </c>
      <c r="C5646" t="s">
        <v>23490</v>
      </c>
      <c r="D5646" t="str">
        <f>HYPERLINK("https://rhld.insurance.arkansas.gov/NPILookup?Npi=1629422266","1629422266")</f>
        <v>1629422266</v>
      </c>
      <c r="E5646" t="s">
        <v>13624</v>
      </c>
    </row>
    <row r="5647" spans="1:5" x14ac:dyDescent="0.25">
      <c r="A5647" t="s">
        <v>1</v>
      </c>
      <c r="B5647" t="s">
        <v>19</v>
      </c>
      <c r="C5647" t="s">
        <v>23490</v>
      </c>
      <c r="D5647" t="str">
        <f>HYPERLINK("https://rhld.insurance.arkansas.gov/NPILookup?Npi=1629425061","1629425061")</f>
        <v>1629425061</v>
      </c>
      <c r="E5647" t="s">
        <v>13625</v>
      </c>
    </row>
    <row r="5648" spans="1:5" x14ac:dyDescent="0.25">
      <c r="A5648" t="s">
        <v>1</v>
      </c>
      <c r="B5648" t="s">
        <v>19</v>
      </c>
      <c r="C5648" t="s">
        <v>23490</v>
      </c>
      <c r="D5648" t="str">
        <f>HYPERLINK("https://rhld.insurance.arkansas.gov/NPILookup?Npi=1629426721","1629426721")</f>
        <v>1629426721</v>
      </c>
      <c r="E5648" t="s">
        <v>11120</v>
      </c>
    </row>
    <row r="5649" spans="1:5" x14ac:dyDescent="0.25">
      <c r="A5649" t="s">
        <v>1</v>
      </c>
      <c r="B5649" t="s">
        <v>19</v>
      </c>
      <c r="C5649" t="s">
        <v>23490</v>
      </c>
      <c r="D5649" t="str">
        <f>HYPERLINK("https://rhld.insurance.arkansas.gov/NPILookup?Npi=1629431192","1629431192")</f>
        <v>1629431192</v>
      </c>
      <c r="E5649" t="s">
        <v>18060</v>
      </c>
    </row>
    <row r="5650" spans="1:5" x14ac:dyDescent="0.25">
      <c r="A5650" t="s">
        <v>1</v>
      </c>
      <c r="B5650" t="s">
        <v>19</v>
      </c>
      <c r="C5650" t="s">
        <v>23490</v>
      </c>
      <c r="D5650" t="str">
        <f>HYPERLINK("https://rhld.insurance.arkansas.gov/NPILookup?Npi=1629442132","1629442132")</f>
        <v>1629442132</v>
      </c>
      <c r="E5650" t="s">
        <v>11121</v>
      </c>
    </row>
    <row r="5651" spans="1:5" x14ac:dyDescent="0.25">
      <c r="A5651" t="s">
        <v>1</v>
      </c>
      <c r="B5651" t="s">
        <v>19</v>
      </c>
      <c r="C5651" t="s">
        <v>23490</v>
      </c>
      <c r="D5651" t="str">
        <f>HYPERLINK("https://rhld.insurance.arkansas.gov/NPILookup?Npi=1629450127","1629450127")</f>
        <v>1629450127</v>
      </c>
      <c r="E5651" t="s">
        <v>13626</v>
      </c>
    </row>
    <row r="5652" spans="1:5" x14ac:dyDescent="0.25">
      <c r="A5652" t="s">
        <v>1</v>
      </c>
      <c r="B5652" t="s">
        <v>19</v>
      </c>
      <c r="C5652" t="s">
        <v>23490</v>
      </c>
      <c r="D5652" t="str">
        <f>HYPERLINK("https://rhld.insurance.arkansas.gov/NPILookup?Npi=1629453030","1629453030")</f>
        <v>1629453030</v>
      </c>
      <c r="E5652" t="s">
        <v>2221</v>
      </c>
    </row>
    <row r="5653" spans="1:5" x14ac:dyDescent="0.25">
      <c r="A5653" t="s">
        <v>1</v>
      </c>
      <c r="B5653" t="s">
        <v>19</v>
      </c>
      <c r="C5653" t="s">
        <v>23490</v>
      </c>
      <c r="D5653" t="str">
        <f>HYPERLINK("https://rhld.insurance.arkansas.gov/NPILookup?Npi=1629461892","1629461892")</f>
        <v>1629461892</v>
      </c>
      <c r="E5653" t="s">
        <v>2222</v>
      </c>
    </row>
    <row r="5654" spans="1:5" x14ac:dyDescent="0.25">
      <c r="A5654" t="s">
        <v>1</v>
      </c>
      <c r="B5654" t="s">
        <v>19</v>
      </c>
      <c r="C5654" t="s">
        <v>23490</v>
      </c>
      <c r="D5654" t="str">
        <f>HYPERLINK("https://rhld.insurance.arkansas.gov/NPILookup?Npi=1629466610","1629466610")</f>
        <v>1629466610</v>
      </c>
      <c r="E5654" t="s">
        <v>16995</v>
      </c>
    </row>
    <row r="5655" spans="1:5" x14ac:dyDescent="0.25">
      <c r="A5655" t="s">
        <v>1</v>
      </c>
      <c r="B5655" t="s">
        <v>19</v>
      </c>
      <c r="C5655" t="s">
        <v>23490</v>
      </c>
      <c r="D5655" t="str">
        <f>HYPERLINK("https://rhld.insurance.arkansas.gov/NPILookup?Npi=1629468533","1629468533")</f>
        <v>1629468533</v>
      </c>
      <c r="E5655" t="s">
        <v>11122</v>
      </c>
    </row>
    <row r="5656" spans="1:5" x14ac:dyDescent="0.25">
      <c r="A5656" t="s">
        <v>1</v>
      </c>
      <c r="B5656" t="s">
        <v>19</v>
      </c>
      <c r="C5656" t="s">
        <v>23490</v>
      </c>
      <c r="D5656" t="str">
        <f>HYPERLINK("https://rhld.insurance.arkansas.gov/NPILookup?Npi=1629469564","1629469564")</f>
        <v>1629469564</v>
      </c>
      <c r="E5656" t="s">
        <v>7337</v>
      </c>
    </row>
    <row r="5657" spans="1:5" x14ac:dyDescent="0.25">
      <c r="A5657" t="s">
        <v>1</v>
      </c>
      <c r="B5657" t="s">
        <v>19</v>
      </c>
      <c r="C5657" t="s">
        <v>23490</v>
      </c>
      <c r="D5657" t="str">
        <f>HYPERLINK("https://rhld.insurance.arkansas.gov/NPILookup?Npi=1629482419","1629482419")</f>
        <v>1629482419</v>
      </c>
      <c r="E5657" t="s">
        <v>11123</v>
      </c>
    </row>
    <row r="5658" spans="1:5" x14ac:dyDescent="0.25">
      <c r="A5658" t="s">
        <v>1</v>
      </c>
      <c r="B5658" t="s">
        <v>19</v>
      </c>
      <c r="C5658" t="s">
        <v>23490</v>
      </c>
      <c r="D5658" t="str">
        <f>HYPERLINK("https://rhld.insurance.arkansas.gov/NPILookup?Npi=1629483201","1629483201")</f>
        <v>1629483201</v>
      </c>
      <c r="E5658" t="s">
        <v>8770</v>
      </c>
    </row>
    <row r="5659" spans="1:5" x14ac:dyDescent="0.25">
      <c r="A5659" t="s">
        <v>1</v>
      </c>
      <c r="B5659" t="s">
        <v>19</v>
      </c>
      <c r="C5659" t="s">
        <v>23490</v>
      </c>
      <c r="D5659" t="str">
        <f>HYPERLINK("https://rhld.insurance.arkansas.gov/NPILookup?Npi=1629484647","1629484647")</f>
        <v>1629484647</v>
      </c>
      <c r="E5659" t="s">
        <v>19887</v>
      </c>
    </row>
    <row r="5660" spans="1:5" x14ac:dyDescent="0.25">
      <c r="A5660" t="s">
        <v>1</v>
      </c>
      <c r="B5660" t="s">
        <v>19</v>
      </c>
      <c r="C5660" t="s">
        <v>23490</v>
      </c>
      <c r="D5660" t="str">
        <f>HYPERLINK("https://rhld.insurance.arkansas.gov/NPILookup?Npi=1629489133","1629489133")</f>
        <v>1629489133</v>
      </c>
      <c r="E5660" t="s">
        <v>1222</v>
      </c>
    </row>
    <row r="5661" spans="1:5" x14ac:dyDescent="0.25">
      <c r="A5661" t="s">
        <v>1</v>
      </c>
      <c r="B5661" t="s">
        <v>19</v>
      </c>
      <c r="C5661" t="s">
        <v>23490</v>
      </c>
      <c r="D5661" t="str">
        <f>HYPERLINK("https://rhld.insurance.arkansas.gov/NPILookup?Npi=1629511993","1629511993")</f>
        <v>1629511993</v>
      </c>
      <c r="E5661" t="s">
        <v>11124</v>
      </c>
    </row>
    <row r="5662" spans="1:5" x14ac:dyDescent="0.25">
      <c r="A5662" t="s">
        <v>1</v>
      </c>
      <c r="B5662" t="s">
        <v>19</v>
      </c>
      <c r="C5662" t="s">
        <v>23490</v>
      </c>
      <c r="D5662" t="str">
        <f>HYPERLINK("https://rhld.insurance.arkansas.gov/NPILookup?Npi=1629517834","1629517834")</f>
        <v>1629517834</v>
      </c>
      <c r="E5662" t="s">
        <v>15357</v>
      </c>
    </row>
    <row r="5663" spans="1:5" x14ac:dyDescent="0.25">
      <c r="A5663" t="s">
        <v>1</v>
      </c>
      <c r="B5663" t="s">
        <v>19</v>
      </c>
      <c r="C5663" t="s">
        <v>23490</v>
      </c>
      <c r="D5663" t="str">
        <f>HYPERLINK("https://rhld.insurance.arkansas.gov/NPILookup?Npi=1629518683","1629518683")</f>
        <v>1629518683</v>
      </c>
      <c r="E5663" t="s">
        <v>11125</v>
      </c>
    </row>
    <row r="5664" spans="1:5" x14ac:dyDescent="0.25">
      <c r="A5664" t="s">
        <v>1</v>
      </c>
      <c r="B5664" t="s">
        <v>19</v>
      </c>
      <c r="C5664" t="s">
        <v>23490</v>
      </c>
      <c r="D5664" t="str">
        <f>HYPERLINK("https://rhld.insurance.arkansas.gov/NPILookup?Npi=1629518758","1629518758")</f>
        <v>1629518758</v>
      </c>
      <c r="E5664" t="s">
        <v>11126</v>
      </c>
    </row>
    <row r="5665" spans="1:5" x14ac:dyDescent="0.25">
      <c r="A5665" t="s">
        <v>1</v>
      </c>
      <c r="B5665" t="s">
        <v>19</v>
      </c>
      <c r="C5665" t="s">
        <v>23490</v>
      </c>
      <c r="D5665" t="str">
        <f>HYPERLINK("https://rhld.insurance.arkansas.gov/NPILookup?Npi=1629522594","1629522594")</f>
        <v>1629522594</v>
      </c>
      <c r="E5665" t="s">
        <v>11127</v>
      </c>
    </row>
    <row r="5666" spans="1:5" x14ac:dyDescent="0.25">
      <c r="A5666" t="s">
        <v>1</v>
      </c>
      <c r="B5666" t="s">
        <v>19</v>
      </c>
      <c r="C5666" t="s">
        <v>23490</v>
      </c>
      <c r="D5666" t="str">
        <f>HYPERLINK("https://rhld.insurance.arkansas.gov/NPILookup?Npi=1629527965","1629527965")</f>
        <v>1629527965</v>
      </c>
      <c r="E5666" t="s">
        <v>11128</v>
      </c>
    </row>
    <row r="5667" spans="1:5" x14ac:dyDescent="0.25">
      <c r="A5667" t="s">
        <v>1</v>
      </c>
      <c r="B5667" t="s">
        <v>19</v>
      </c>
      <c r="C5667" t="s">
        <v>23490</v>
      </c>
      <c r="D5667" t="str">
        <f>HYPERLINK("https://rhld.insurance.arkansas.gov/NPILookup?Npi=1629532122","1629532122")</f>
        <v>1629532122</v>
      </c>
      <c r="E5667" t="s">
        <v>19888</v>
      </c>
    </row>
    <row r="5668" spans="1:5" x14ac:dyDescent="0.25">
      <c r="A5668" t="s">
        <v>1</v>
      </c>
      <c r="B5668" t="s">
        <v>19</v>
      </c>
      <c r="C5668" t="s">
        <v>23490</v>
      </c>
      <c r="D5668" t="str">
        <f>HYPERLINK("https://rhld.insurance.arkansas.gov/NPILookup?Npi=1629532155","1629532155")</f>
        <v>1629532155</v>
      </c>
      <c r="E5668" t="s">
        <v>13627</v>
      </c>
    </row>
    <row r="5669" spans="1:5" x14ac:dyDescent="0.25">
      <c r="A5669" t="s">
        <v>1</v>
      </c>
      <c r="B5669" t="s">
        <v>19</v>
      </c>
      <c r="C5669" t="s">
        <v>23490</v>
      </c>
      <c r="D5669" t="str">
        <f>HYPERLINK("https://rhld.insurance.arkansas.gov/NPILookup?Npi=1629536255","1629536255")</f>
        <v>1629536255</v>
      </c>
      <c r="E5669" t="s">
        <v>19889</v>
      </c>
    </row>
    <row r="5670" spans="1:5" x14ac:dyDescent="0.25">
      <c r="A5670" t="s">
        <v>1</v>
      </c>
      <c r="B5670" t="s">
        <v>19</v>
      </c>
      <c r="C5670" t="s">
        <v>23490</v>
      </c>
      <c r="D5670" t="str">
        <f>HYPERLINK("https://rhld.insurance.arkansas.gov/NPILookup?Npi=1629555198","1629555198")</f>
        <v>1629555198</v>
      </c>
      <c r="E5670" t="s">
        <v>13628</v>
      </c>
    </row>
    <row r="5671" spans="1:5" x14ac:dyDescent="0.25">
      <c r="A5671" t="s">
        <v>1</v>
      </c>
      <c r="B5671" t="s">
        <v>19</v>
      </c>
      <c r="C5671" t="s">
        <v>23490</v>
      </c>
      <c r="D5671" t="str">
        <f>HYPERLINK("https://rhld.insurance.arkansas.gov/NPILookup?Npi=1629557582","1629557582")</f>
        <v>1629557582</v>
      </c>
      <c r="E5671" t="s">
        <v>8466</v>
      </c>
    </row>
    <row r="5672" spans="1:5" x14ac:dyDescent="0.25">
      <c r="A5672" t="s">
        <v>1</v>
      </c>
      <c r="B5672" t="s">
        <v>19</v>
      </c>
      <c r="C5672" t="s">
        <v>23490</v>
      </c>
      <c r="D5672" t="str">
        <f>HYPERLINK("https://rhld.insurance.arkansas.gov/NPILookup?Npi=1629561808","1629561808")</f>
        <v>1629561808</v>
      </c>
      <c r="E5672" t="s">
        <v>18824</v>
      </c>
    </row>
    <row r="5673" spans="1:5" x14ac:dyDescent="0.25">
      <c r="A5673" t="s">
        <v>1</v>
      </c>
      <c r="B5673" t="s">
        <v>19</v>
      </c>
      <c r="C5673" t="s">
        <v>23490</v>
      </c>
      <c r="D5673" t="str">
        <f>HYPERLINK("https://rhld.insurance.arkansas.gov/NPILookup?Npi=1629576152","1629576152")</f>
        <v>1629576152</v>
      </c>
      <c r="E5673" t="s">
        <v>13629</v>
      </c>
    </row>
    <row r="5674" spans="1:5" x14ac:dyDescent="0.25">
      <c r="A5674" t="s">
        <v>1</v>
      </c>
      <c r="B5674" t="s">
        <v>19</v>
      </c>
      <c r="C5674" t="s">
        <v>23490</v>
      </c>
      <c r="D5674" t="str">
        <f>HYPERLINK("https://rhld.insurance.arkansas.gov/NPILookup?Npi=1629577697","1629577697")</f>
        <v>1629577697</v>
      </c>
      <c r="E5674" t="s">
        <v>19890</v>
      </c>
    </row>
    <row r="5675" spans="1:5" x14ac:dyDescent="0.25">
      <c r="A5675" t="s">
        <v>1</v>
      </c>
      <c r="B5675" t="s">
        <v>19</v>
      </c>
      <c r="C5675" t="s">
        <v>23490</v>
      </c>
      <c r="D5675" t="str">
        <f>HYPERLINK("https://rhld.insurance.arkansas.gov/NPILookup?Npi=1629586573","1629586573")</f>
        <v>1629586573</v>
      </c>
      <c r="E5675" t="s">
        <v>21599</v>
      </c>
    </row>
    <row r="5676" spans="1:5" x14ac:dyDescent="0.25">
      <c r="A5676" t="s">
        <v>1</v>
      </c>
      <c r="B5676" t="s">
        <v>19</v>
      </c>
      <c r="C5676" t="s">
        <v>23490</v>
      </c>
      <c r="D5676" t="str">
        <f>HYPERLINK("https://rhld.insurance.arkansas.gov/NPILookup?Npi=1629596960","1629596960")</f>
        <v>1629596960</v>
      </c>
      <c r="E5676" t="s">
        <v>11129</v>
      </c>
    </row>
    <row r="5677" spans="1:5" x14ac:dyDescent="0.25">
      <c r="A5677" t="s">
        <v>1</v>
      </c>
      <c r="B5677" t="s">
        <v>19</v>
      </c>
      <c r="C5677" t="s">
        <v>23490</v>
      </c>
      <c r="D5677" t="str">
        <f>HYPERLINK("https://rhld.insurance.arkansas.gov/NPILookup?Npi=1629597133","1629597133")</f>
        <v>1629597133</v>
      </c>
      <c r="E5677" t="s">
        <v>11130</v>
      </c>
    </row>
    <row r="5678" spans="1:5" x14ac:dyDescent="0.25">
      <c r="A5678" t="s">
        <v>1</v>
      </c>
      <c r="B5678" t="s">
        <v>19</v>
      </c>
      <c r="C5678" t="s">
        <v>23490</v>
      </c>
      <c r="D5678" t="str">
        <f>HYPERLINK("https://rhld.insurance.arkansas.gov/NPILookup?Npi=1629604129","1629604129")</f>
        <v>1629604129</v>
      </c>
      <c r="E5678" t="s">
        <v>19891</v>
      </c>
    </row>
    <row r="5679" spans="1:5" x14ac:dyDescent="0.25">
      <c r="A5679" t="s">
        <v>1</v>
      </c>
      <c r="B5679" t="s">
        <v>19</v>
      </c>
      <c r="C5679" t="s">
        <v>23490</v>
      </c>
      <c r="D5679" t="str">
        <f>HYPERLINK("https://rhld.insurance.arkansas.gov/NPILookup?Npi=1629620190","1629620190")</f>
        <v>1629620190</v>
      </c>
      <c r="E5679" t="s">
        <v>15358</v>
      </c>
    </row>
    <row r="5680" spans="1:5" x14ac:dyDescent="0.25">
      <c r="A5680" t="s">
        <v>1</v>
      </c>
      <c r="B5680" t="s">
        <v>19</v>
      </c>
      <c r="C5680" t="s">
        <v>23490</v>
      </c>
      <c r="D5680" t="str">
        <f>HYPERLINK("https://rhld.insurance.arkansas.gov/NPILookup?Npi=1629634142","1629634142")</f>
        <v>1629634142</v>
      </c>
      <c r="E5680" t="s">
        <v>20987</v>
      </c>
    </row>
    <row r="5681" spans="1:5" x14ac:dyDescent="0.25">
      <c r="A5681" t="s">
        <v>1</v>
      </c>
      <c r="B5681" t="s">
        <v>19</v>
      </c>
      <c r="C5681" t="s">
        <v>23490</v>
      </c>
      <c r="D5681" t="str">
        <f>HYPERLINK("https://rhld.insurance.arkansas.gov/NPILookup?Npi=1629638382","1629638382")</f>
        <v>1629638382</v>
      </c>
      <c r="E5681" t="s">
        <v>20988</v>
      </c>
    </row>
    <row r="5682" spans="1:5" x14ac:dyDescent="0.25">
      <c r="A5682" t="s">
        <v>1</v>
      </c>
      <c r="B5682" t="s">
        <v>19</v>
      </c>
      <c r="C5682" t="s">
        <v>23490</v>
      </c>
      <c r="D5682" t="str">
        <f>HYPERLINK("https://rhld.insurance.arkansas.gov/NPILookup?Npi=1629661053","1629661053")</f>
        <v>1629661053</v>
      </c>
      <c r="E5682" t="s">
        <v>18825</v>
      </c>
    </row>
    <row r="5683" spans="1:5" x14ac:dyDescent="0.25">
      <c r="A5683" t="s">
        <v>1</v>
      </c>
      <c r="B5683" t="s">
        <v>19</v>
      </c>
      <c r="C5683" t="s">
        <v>23490</v>
      </c>
      <c r="D5683" t="str">
        <f>HYPERLINK("https://rhld.insurance.arkansas.gov/NPILookup?Npi=1629678768","1629678768")</f>
        <v>1629678768</v>
      </c>
      <c r="E5683" t="s">
        <v>18061</v>
      </c>
    </row>
    <row r="5684" spans="1:5" x14ac:dyDescent="0.25">
      <c r="A5684" t="s">
        <v>1</v>
      </c>
      <c r="B5684" t="s">
        <v>19</v>
      </c>
      <c r="C5684" t="s">
        <v>23490</v>
      </c>
      <c r="D5684" t="str">
        <f>HYPERLINK("https://rhld.insurance.arkansas.gov/NPILookup?Npi=1629688247","1629688247")</f>
        <v>1629688247</v>
      </c>
      <c r="E5684" t="s">
        <v>18062</v>
      </c>
    </row>
    <row r="5685" spans="1:5" x14ac:dyDescent="0.25">
      <c r="A5685" t="s">
        <v>1</v>
      </c>
      <c r="B5685" t="s">
        <v>19</v>
      </c>
      <c r="C5685" t="s">
        <v>23490</v>
      </c>
      <c r="D5685" t="str">
        <f>HYPERLINK("https://rhld.insurance.arkansas.gov/NPILookup?Npi=1629689773","1629689773")</f>
        <v>1629689773</v>
      </c>
      <c r="E5685" t="s">
        <v>19892</v>
      </c>
    </row>
    <row r="5686" spans="1:5" x14ac:dyDescent="0.25">
      <c r="A5686" t="s">
        <v>1</v>
      </c>
      <c r="B5686" t="s">
        <v>19</v>
      </c>
      <c r="C5686" t="s">
        <v>23490</v>
      </c>
      <c r="D5686" t="str">
        <f>HYPERLINK("https://rhld.insurance.arkansas.gov/NPILookup?Npi=1629736459","1629736459")</f>
        <v>1629736459</v>
      </c>
      <c r="E5686" t="s">
        <v>21600</v>
      </c>
    </row>
    <row r="5687" spans="1:5" x14ac:dyDescent="0.25">
      <c r="A5687" t="s">
        <v>1</v>
      </c>
      <c r="B5687" t="s">
        <v>19</v>
      </c>
      <c r="C5687" t="s">
        <v>23490</v>
      </c>
      <c r="D5687" t="str">
        <f>HYPERLINK("https://rhld.insurance.arkansas.gov/NPILookup?Npi=1629745088","1629745088")</f>
        <v>1629745088</v>
      </c>
      <c r="E5687" t="s">
        <v>18826</v>
      </c>
    </row>
    <row r="5688" spans="1:5" x14ac:dyDescent="0.25">
      <c r="A5688" t="s">
        <v>1</v>
      </c>
      <c r="B5688" t="s">
        <v>19</v>
      </c>
      <c r="C5688" t="s">
        <v>23490</v>
      </c>
      <c r="D5688" t="str">
        <f>HYPERLINK("https://rhld.insurance.arkansas.gov/NPILookup?Npi=1629791009","1629791009")</f>
        <v>1629791009</v>
      </c>
      <c r="E5688" t="s">
        <v>21601</v>
      </c>
    </row>
    <row r="5689" spans="1:5" x14ac:dyDescent="0.25">
      <c r="A5689" t="s">
        <v>1</v>
      </c>
      <c r="B5689" t="s">
        <v>19</v>
      </c>
      <c r="C5689" t="s">
        <v>23490</v>
      </c>
      <c r="D5689" t="str">
        <f>HYPERLINK("https://rhld.insurance.arkansas.gov/NPILookup?Npi=1639118391","1639118391")</f>
        <v>1639118391</v>
      </c>
      <c r="E5689" t="s">
        <v>2223</v>
      </c>
    </row>
    <row r="5690" spans="1:5" x14ac:dyDescent="0.25">
      <c r="A5690" t="s">
        <v>1</v>
      </c>
      <c r="B5690" t="s">
        <v>19</v>
      </c>
      <c r="C5690" t="s">
        <v>23490</v>
      </c>
      <c r="D5690" t="str">
        <f>HYPERLINK("https://rhld.insurance.arkansas.gov/NPILookup?Npi=1639119753","1639119753")</f>
        <v>1639119753</v>
      </c>
      <c r="E5690" t="s">
        <v>2224</v>
      </c>
    </row>
    <row r="5691" spans="1:5" x14ac:dyDescent="0.25">
      <c r="A5691" t="s">
        <v>1</v>
      </c>
      <c r="B5691" t="s">
        <v>19</v>
      </c>
      <c r="C5691" t="s">
        <v>23490</v>
      </c>
      <c r="D5691" t="str">
        <f>HYPERLINK("https://rhld.insurance.arkansas.gov/NPILookup?Npi=1639120868","1639120868")</f>
        <v>1639120868</v>
      </c>
      <c r="E5691" t="s">
        <v>2225</v>
      </c>
    </row>
    <row r="5692" spans="1:5" x14ac:dyDescent="0.25">
      <c r="A5692" t="s">
        <v>1</v>
      </c>
      <c r="B5692" t="s">
        <v>19</v>
      </c>
      <c r="C5692" t="s">
        <v>23490</v>
      </c>
      <c r="D5692" t="str">
        <f>HYPERLINK("https://rhld.insurance.arkansas.gov/NPILookup?Npi=1639124266","1639124266")</f>
        <v>1639124266</v>
      </c>
      <c r="E5692" t="s">
        <v>8771</v>
      </c>
    </row>
    <row r="5693" spans="1:5" x14ac:dyDescent="0.25">
      <c r="A5693" t="s">
        <v>1</v>
      </c>
      <c r="B5693" t="s">
        <v>19</v>
      </c>
      <c r="C5693" t="s">
        <v>23490</v>
      </c>
      <c r="D5693" t="str">
        <f>HYPERLINK("https://rhld.insurance.arkansas.gov/NPILookup?Npi=1639125719","1639125719")</f>
        <v>1639125719</v>
      </c>
      <c r="E5693" t="s">
        <v>2226</v>
      </c>
    </row>
    <row r="5694" spans="1:5" x14ac:dyDescent="0.25">
      <c r="A5694" t="s">
        <v>1</v>
      </c>
      <c r="B5694" t="s">
        <v>19</v>
      </c>
      <c r="C5694" t="s">
        <v>23490</v>
      </c>
      <c r="D5694" t="str">
        <f>HYPERLINK("https://rhld.insurance.arkansas.gov/NPILookup?Npi=1639136609","1639136609")</f>
        <v>1639136609</v>
      </c>
      <c r="E5694" t="s">
        <v>17448</v>
      </c>
    </row>
    <row r="5695" spans="1:5" x14ac:dyDescent="0.25">
      <c r="A5695" t="s">
        <v>1</v>
      </c>
      <c r="B5695" t="s">
        <v>19</v>
      </c>
      <c r="C5695" t="s">
        <v>23490</v>
      </c>
      <c r="D5695" t="str">
        <f>HYPERLINK("https://rhld.insurance.arkansas.gov/NPILookup?Npi=1639142284","1639142284")</f>
        <v>1639142284</v>
      </c>
      <c r="E5695" t="s">
        <v>2227</v>
      </c>
    </row>
    <row r="5696" spans="1:5" x14ac:dyDescent="0.25">
      <c r="A5696" t="s">
        <v>1</v>
      </c>
      <c r="B5696" t="s">
        <v>19</v>
      </c>
      <c r="C5696" t="s">
        <v>23490</v>
      </c>
      <c r="D5696" t="str">
        <f>HYPERLINK("https://rhld.insurance.arkansas.gov/NPILookup?Npi=1639142524","1639142524")</f>
        <v>1639142524</v>
      </c>
      <c r="E5696" t="s">
        <v>2228</v>
      </c>
    </row>
    <row r="5697" spans="1:5" x14ac:dyDescent="0.25">
      <c r="A5697" t="s">
        <v>1</v>
      </c>
      <c r="B5697" t="s">
        <v>19</v>
      </c>
      <c r="C5697" t="s">
        <v>23490</v>
      </c>
      <c r="D5697" t="str">
        <f>HYPERLINK("https://rhld.insurance.arkansas.gov/NPILookup?Npi=1639158470","1639158470")</f>
        <v>1639158470</v>
      </c>
      <c r="E5697" t="s">
        <v>2229</v>
      </c>
    </row>
    <row r="5698" spans="1:5" x14ac:dyDescent="0.25">
      <c r="A5698" t="s">
        <v>1</v>
      </c>
      <c r="B5698" t="s">
        <v>19</v>
      </c>
      <c r="C5698" t="s">
        <v>23490</v>
      </c>
      <c r="D5698" t="str">
        <f>HYPERLINK("https://rhld.insurance.arkansas.gov/NPILookup?Npi=1639159676","1639159676")</f>
        <v>1639159676</v>
      </c>
      <c r="E5698" t="s">
        <v>2230</v>
      </c>
    </row>
    <row r="5699" spans="1:5" x14ac:dyDescent="0.25">
      <c r="A5699" t="s">
        <v>1</v>
      </c>
      <c r="B5699" t="s">
        <v>19</v>
      </c>
      <c r="C5699" t="s">
        <v>23490</v>
      </c>
      <c r="D5699" t="str">
        <f>HYPERLINK("https://rhld.insurance.arkansas.gov/NPILookup?Npi=1639160682","1639160682")</f>
        <v>1639160682</v>
      </c>
      <c r="E5699" t="s">
        <v>15359</v>
      </c>
    </row>
    <row r="5700" spans="1:5" x14ac:dyDescent="0.25">
      <c r="A5700" t="s">
        <v>1</v>
      </c>
      <c r="B5700" t="s">
        <v>19</v>
      </c>
      <c r="C5700" t="s">
        <v>23490</v>
      </c>
      <c r="D5700" t="str">
        <f>HYPERLINK("https://rhld.insurance.arkansas.gov/NPILookup?Npi=1639163736","1639163736")</f>
        <v>1639163736</v>
      </c>
      <c r="E5700" t="s">
        <v>15360</v>
      </c>
    </row>
    <row r="5701" spans="1:5" x14ac:dyDescent="0.25">
      <c r="A5701" t="s">
        <v>1</v>
      </c>
      <c r="B5701" t="s">
        <v>19</v>
      </c>
      <c r="C5701" t="s">
        <v>23490</v>
      </c>
      <c r="D5701" t="str">
        <f>HYPERLINK("https://rhld.insurance.arkansas.gov/NPILookup?Npi=1639167687","1639167687")</f>
        <v>1639167687</v>
      </c>
      <c r="E5701" t="s">
        <v>15361</v>
      </c>
    </row>
    <row r="5702" spans="1:5" x14ac:dyDescent="0.25">
      <c r="A5702" t="s">
        <v>1</v>
      </c>
      <c r="B5702" t="s">
        <v>19</v>
      </c>
      <c r="C5702" t="s">
        <v>23490</v>
      </c>
      <c r="D5702" t="str">
        <f>HYPERLINK("https://rhld.insurance.arkansas.gov/NPILookup?Npi=1639170194","1639170194")</f>
        <v>1639170194</v>
      </c>
      <c r="E5702" t="s">
        <v>2231</v>
      </c>
    </row>
    <row r="5703" spans="1:5" x14ac:dyDescent="0.25">
      <c r="A5703" t="s">
        <v>1</v>
      </c>
      <c r="B5703" t="s">
        <v>19</v>
      </c>
      <c r="C5703" t="s">
        <v>23490</v>
      </c>
      <c r="D5703" t="str">
        <f>HYPERLINK("https://rhld.insurance.arkansas.gov/NPILookup?Npi=1639173396","1639173396")</f>
        <v>1639173396</v>
      </c>
      <c r="E5703" t="s">
        <v>15362</v>
      </c>
    </row>
    <row r="5704" spans="1:5" x14ac:dyDescent="0.25">
      <c r="A5704" t="s">
        <v>1</v>
      </c>
      <c r="B5704" t="s">
        <v>19</v>
      </c>
      <c r="C5704" t="s">
        <v>23490</v>
      </c>
      <c r="D5704" t="str">
        <f>HYPERLINK("https://rhld.insurance.arkansas.gov/NPILookup?Npi=1639173420","1639173420")</f>
        <v>1639173420</v>
      </c>
      <c r="E5704" t="s">
        <v>2232</v>
      </c>
    </row>
    <row r="5705" spans="1:5" x14ac:dyDescent="0.25">
      <c r="A5705" t="s">
        <v>1</v>
      </c>
      <c r="B5705" t="s">
        <v>19</v>
      </c>
      <c r="C5705" t="s">
        <v>23490</v>
      </c>
      <c r="D5705" t="str">
        <f>HYPERLINK("https://rhld.insurance.arkansas.gov/NPILookup?Npi=1639174105","1639174105")</f>
        <v>1639174105</v>
      </c>
      <c r="E5705" t="s">
        <v>13630</v>
      </c>
    </row>
    <row r="5706" spans="1:5" x14ac:dyDescent="0.25">
      <c r="A5706" t="s">
        <v>1</v>
      </c>
      <c r="B5706" t="s">
        <v>19</v>
      </c>
      <c r="C5706" t="s">
        <v>23490</v>
      </c>
      <c r="D5706" t="str">
        <f>HYPERLINK("https://rhld.insurance.arkansas.gov/NPILookup?Npi=1639175821","1639175821")</f>
        <v>1639175821</v>
      </c>
      <c r="E5706" t="s">
        <v>2233</v>
      </c>
    </row>
    <row r="5707" spans="1:5" x14ac:dyDescent="0.25">
      <c r="A5707" t="s">
        <v>1</v>
      </c>
      <c r="B5707" t="s">
        <v>19</v>
      </c>
      <c r="C5707" t="s">
        <v>23490</v>
      </c>
      <c r="D5707" t="str">
        <f>HYPERLINK("https://rhld.insurance.arkansas.gov/NPILookup?Npi=1639177413","1639177413")</f>
        <v>1639177413</v>
      </c>
      <c r="E5707" t="s">
        <v>2234</v>
      </c>
    </row>
    <row r="5708" spans="1:5" x14ac:dyDescent="0.25">
      <c r="A5708" t="s">
        <v>1</v>
      </c>
      <c r="B5708" t="s">
        <v>19</v>
      </c>
      <c r="C5708" t="s">
        <v>23490</v>
      </c>
      <c r="D5708" t="str">
        <f>HYPERLINK("https://rhld.insurance.arkansas.gov/NPILookup?Npi=1639177959","1639177959")</f>
        <v>1639177959</v>
      </c>
      <c r="E5708" t="s">
        <v>2235</v>
      </c>
    </row>
    <row r="5709" spans="1:5" x14ac:dyDescent="0.25">
      <c r="A5709" t="s">
        <v>1</v>
      </c>
      <c r="B5709" t="s">
        <v>19</v>
      </c>
      <c r="C5709" t="s">
        <v>23490</v>
      </c>
      <c r="D5709" t="str">
        <f>HYPERLINK("https://rhld.insurance.arkansas.gov/NPILookup?Npi=1639179500","1639179500")</f>
        <v>1639179500</v>
      </c>
      <c r="E5709" t="s">
        <v>13631</v>
      </c>
    </row>
    <row r="5710" spans="1:5" x14ac:dyDescent="0.25">
      <c r="A5710" t="s">
        <v>1</v>
      </c>
      <c r="B5710" t="s">
        <v>19</v>
      </c>
      <c r="C5710" t="s">
        <v>23490</v>
      </c>
      <c r="D5710" t="str">
        <f>HYPERLINK("https://rhld.insurance.arkansas.gov/NPILookup?Npi=1639180466","1639180466")</f>
        <v>1639180466</v>
      </c>
      <c r="E5710" t="s">
        <v>22898</v>
      </c>
    </row>
    <row r="5711" spans="1:5" x14ac:dyDescent="0.25">
      <c r="A5711" t="s">
        <v>1</v>
      </c>
      <c r="B5711" t="s">
        <v>19</v>
      </c>
      <c r="C5711" t="s">
        <v>23490</v>
      </c>
      <c r="D5711" t="str">
        <f>HYPERLINK("https://rhld.insurance.arkansas.gov/NPILookup?Npi=1639186349","1639186349")</f>
        <v>1639186349</v>
      </c>
      <c r="E5711" t="s">
        <v>15363</v>
      </c>
    </row>
    <row r="5712" spans="1:5" x14ac:dyDescent="0.25">
      <c r="A5712" t="s">
        <v>1</v>
      </c>
      <c r="B5712" t="s">
        <v>19</v>
      </c>
      <c r="C5712" t="s">
        <v>23490</v>
      </c>
      <c r="D5712" t="str">
        <f>HYPERLINK("https://rhld.insurance.arkansas.gov/NPILookup?Npi=1639193311","1639193311")</f>
        <v>1639193311</v>
      </c>
      <c r="E5712" t="s">
        <v>11131</v>
      </c>
    </row>
    <row r="5713" spans="1:5" x14ac:dyDescent="0.25">
      <c r="A5713" t="s">
        <v>1</v>
      </c>
      <c r="B5713" t="s">
        <v>19</v>
      </c>
      <c r="C5713" t="s">
        <v>23490</v>
      </c>
      <c r="D5713" t="str">
        <f>HYPERLINK("https://rhld.insurance.arkansas.gov/NPILookup?Npi=1639203417","1639203417")</f>
        <v>1639203417</v>
      </c>
      <c r="E5713" t="s">
        <v>2236</v>
      </c>
    </row>
    <row r="5714" spans="1:5" x14ac:dyDescent="0.25">
      <c r="A5714" t="s">
        <v>1</v>
      </c>
      <c r="B5714" t="s">
        <v>19</v>
      </c>
      <c r="C5714" t="s">
        <v>23490</v>
      </c>
      <c r="D5714" t="str">
        <f>HYPERLINK("https://rhld.insurance.arkansas.gov/NPILookup?Npi=1639209810","1639209810")</f>
        <v>1639209810</v>
      </c>
      <c r="E5714" t="s">
        <v>2237</v>
      </c>
    </row>
    <row r="5715" spans="1:5" x14ac:dyDescent="0.25">
      <c r="A5715" t="s">
        <v>1</v>
      </c>
      <c r="B5715" t="s">
        <v>19</v>
      </c>
      <c r="C5715" t="s">
        <v>23490</v>
      </c>
      <c r="D5715" t="str">
        <f>HYPERLINK("https://rhld.insurance.arkansas.gov/NPILookup?Npi=1639229339","1639229339")</f>
        <v>1639229339</v>
      </c>
      <c r="E5715" t="s">
        <v>2238</v>
      </c>
    </row>
    <row r="5716" spans="1:5" x14ac:dyDescent="0.25">
      <c r="A5716" t="s">
        <v>1</v>
      </c>
      <c r="B5716" t="s">
        <v>19</v>
      </c>
      <c r="C5716" t="s">
        <v>23490</v>
      </c>
      <c r="D5716" t="str">
        <f>HYPERLINK("https://rhld.insurance.arkansas.gov/NPILookup?Npi=1639243835","1639243835")</f>
        <v>1639243835</v>
      </c>
      <c r="E5716" t="s">
        <v>15364</v>
      </c>
    </row>
    <row r="5717" spans="1:5" x14ac:dyDescent="0.25">
      <c r="A5717" t="s">
        <v>1</v>
      </c>
      <c r="B5717" t="s">
        <v>19</v>
      </c>
      <c r="C5717" t="s">
        <v>23490</v>
      </c>
      <c r="D5717" t="str">
        <f>HYPERLINK("https://rhld.insurance.arkansas.gov/NPILookup?Npi=1639252166","1639252166")</f>
        <v>1639252166</v>
      </c>
      <c r="E5717" t="s">
        <v>863</v>
      </c>
    </row>
    <row r="5718" spans="1:5" x14ac:dyDescent="0.25">
      <c r="A5718" t="s">
        <v>1</v>
      </c>
      <c r="B5718" t="s">
        <v>19</v>
      </c>
      <c r="C5718" t="s">
        <v>23490</v>
      </c>
      <c r="D5718" t="str">
        <f>HYPERLINK("https://rhld.insurance.arkansas.gov/NPILookup?Npi=1639256803","1639256803")</f>
        <v>1639256803</v>
      </c>
      <c r="E5718" t="s">
        <v>2239</v>
      </c>
    </row>
    <row r="5719" spans="1:5" x14ac:dyDescent="0.25">
      <c r="A5719" t="s">
        <v>1</v>
      </c>
      <c r="B5719" t="s">
        <v>19</v>
      </c>
      <c r="C5719" t="s">
        <v>23490</v>
      </c>
      <c r="D5719" t="str">
        <f>HYPERLINK("https://rhld.insurance.arkansas.gov/NPILookup?Npi=1639270382","1639270382")</f>
        <v>1639270382</v>
      </c>
      <c r="E5719" t="s">
        <v>11132</v>
      </c>
    </row>
    <row r="5720" spans="1:5" x14ac:dyDescent="0.25">
      <c r="A5720" t="s">
        <v>1</v>
      </c>
      <c r="B5720" t="s">
        <v>19</v>
      </c>
      <c r="C5720" t="s">
        <v>23490</v>
      </c>
      <c r="D5720" t="str">
        <f>HYPERLINK("https://rhld.insurance.arkansas.gov/NPILookup?Npi=1639279540","1639279540")</f>
        <v>1639279540</v>
      </c>
      <c r="E5720" t="s">
        <v>2240</v>
      </c>
    </row>
    <row r="5721" spans="1:5" x14ac:dyDescent="0.25">
      <c r="A5721" t="s">
        <v>1</v>
      </c>
      <c r="B5721" t="s">
        <v>19</v>
      </c>
      <c r="C5721" t="s">
        <v>23490</v>
      </c>
      <c r="D5721" t="str">
        <f>HYPERLINK("https://rhld.insurance.arkansas.gov/NPILookup?Npi=1639287600","1639287600")</f>
        <v>1639287600</v>
      </c>
      <c r="E5721" t="s">
        <v>2241</v>
      </c>
    </row>
    <row r="5722" spans="1:5" x14ac:dyDescent="0.25">
      <c r="A5722" t="s">
        <v>1</v>
      </c>
      <c r="B5722" t="s">
        <v>19</v>
      </c>
      <c r="C5722" t="s">
        <v>23490</v>
      </c>
      <c r="D5722" t="str">
        <f>HYPERLINK("https://rhld.insurance.arkansas.gov/NPILookup?Npi=1639303340","1639303340")</f>
        <v>1639303340</v>
      </c>
      <c r="E5722" t="s">
        <v>2242</v>
      </c>
    </row>
    <row r="5723" spans="1:5" x14ac:dyDescent="0.25">
      <c r="A5723" t="s">
        <v>1</v>
      </c>
      <c r="B5723" t="s">
        <v>19</v>
      </c>
      <c r="C5723" t="s">
        <v>23490</v>
      </c>
      <c r="D5723" t="str">
        <f>HYPERLINK("https://rhld.insurance.arkansas.gov/NPILookup?Npi=1639321045","1639321045")</f>
        <v>1639321045</v>
      </c>
      <c r="E5723" t="s">
        <v>2243</v>
      </c>
    </row>
    <row r="5724" spans="1:5" x14ac:dyDescent="0.25">
      <c r="A5724" t="s">
        <v>1</v>
      </c>
      <c r="B5724" t="s">
        <v>19</v>
      </c>
      <c r="C5724" t="s">
        <v>23490</v>
      </c>
      <c r="D5724" t="str">
        <f>HYPERLINK("https://rhld.insurance.arkansas.gov/NPILookup?Npi=1639321326","1639321326")</f>
        <v>1639321326</v>
      </c>
      <c r="E5724" t="s">
        <v>2244</v>
      </c>
    </row>
    <row r="5725" spans="1:5" x14ac:dyDescent="0.25">
      <c r="A5725" t="s">
        <v>1</v>
      </c>
      <c r="B5725" t="s">
        <v>19</v>
      </c>
      <c r="C5725" t="s">
        <v>23490</v>
      </c>
      <c r="D5725" t="str">
        <f>HYPERLINK("https://rhld.insurance.arkansas.gov/NPILookup?Npi=1639327679","1639327679")</f>
        <v>1639327679</v>
      </c>
      <c r="E5725" t="s">
        <v>21602</v>
      </c>
    </row>
    <row r="5726" spans="1:5" x14ac:dyDescent="0.25">
      <c r="A5726" t="s">
        <v>1</v>
      </c>
      <c r="B5726" t="s">
        <v>19</v>
      </c>
      <c r="C5726" t="s">
        <v>23490</v>
      </c>
      <c r="D5726" t="str">
        <f>HYPERLINK("https://rhld.insurance.arkansas.gov/NPILookup?Npi=1639346620","1639346620")</f>
        <v>1639346620</v>
      </c>
      <c r="E5726" t="s">
        <v>11133</v>
      </c>
    </row>
    <row r="5727" spans="1:5" x14ac:dyDescent="0.25">
      <c r="A5727" t="s">
        <v>1</v>
      </c>
      <c r="B5727" t="s">
        <v>19</v>
      </c>
      <c r="C5727" t="s">
        <v>23490</v>
      </c>
      <c r="D5727" t="str">
        <f>HYPERLINK("https://rhld.insurance.arkansas.gov/NPILookup?Npi=1639350150","1639350150")</f>
        <v>1639350150</v>
      </c>
      <c r="E5727" t="s">
        <v>15365</v>
      </c>
    </row>
    <row r="5728" spans="1:5" x14ac:dyDescent="0.25">
      <c r="A5728" t="s">
        <v>1</v>
      </c>
      <c r="B5728" t="s">
        <v>19</v>
      </c>
      <c r="C5728" t="s">
        <v>23490</v>
      </c>
      <c r="D5728" t="str">
        <f>HYPERLINK("https://rhld.insurance.arkansas.gov/NPILookup?Npi=1639368731","1639368731")</f>
        <v>1639368731</v>
      </c>
      <c r="E5728" t="s">
        <v>19893</v>
      </c>
    </row>
    <row r="5729" spans="1:5" x14ac:dyDescent="0.25">
      <c r="A5729" t="s">
        <v>1</v>
      </c>
      <c r="B5729" t="s">
        <v>19</v>
      </c>
      <c r="C5729" t="s">
        <v>23490</v>
      </c>
      <c r="D5729" t="str">
        <f>HYPERLINK("https://rhld.insurance.arkansas.gov/NPILookup?Npi=1639393895","1639393895")</f>
        <v>1639393895</v>
      </c>
      <c r="E5729" t="s">
        <v>2245</v>
      </c>
    </row>
    <row r="5730" spans="1:5" x14ac:dyDescent="0.25">
      <c r="A5730" t="s">
        <v>1</v>
      </c>
      <c r="B5730" t="s">
        <v>19</v>
      </c>
      <c r="C5730" t="s">
        <v>23490</v>
      </c>
      <c r="D5730" t="str">
        <f>HYPERLINK("https://rhld.insurance.arkansas.gov/NPILookup?Npi=1639398571","1639398571")</f>
        <v>1639398571</v>
      </c>
      <c r="E5730" t="s">
        <v>8772</v>
      </c>
    </row>
    <row r="5731" spans="1:5" x14ac:dyDescent="0.25">
      <c r="A5731" t="s">
        <v>1</v>
      </c>
      <c r="B5731" t="s">
        <v>19</v>
      </c>
      <c r="C5731" t="s">
        <v>23490</v>
      </c>
      <c r="D5731" t="str">
        <f>HYPERLINK("https://rhld.insurance.arkansas.gov/NPILookup?Npi=1639427289","1639427289")</f>
        <v>1639427289</v>
      </c>
      <c r="E5731" t="s">
        <v>8773</v>
      </c>
    </row>
    <row r="5732" spans="1:5" x14ac:dyDescent="0.25">
      <c r="A5732" t="s">
        <v>1</v>
      </c>
      <c r="B5732" t="s">
        <v>19</v>
      </c>
      <c r="C5732" t="s">
        <v>23490</v>
      </c>
      <c r="D5732" t="str">
        <f>HYPERLINK("https://rhld.insurance.arkansas.gov/NPILookup?Npi=1639438682","1639438682")</f>
        <v>1639438682</v>
      </c>
      <c r="E5732" t="s">
        <v>2246</v>
      </c>
    </row>
    <row r="5733" spans="1:5" x14ac:dyDescent="0.25">
      <c r="A5733" t="s">
        <v>1</v>
      </c>
      <c r="B5733" t="s">
        <v>19</v>
      </c>
      <c r="C5733" t="s">
        <v>23490</v>
      </c>
      <c r="D5733" t="str">
        <f>HYPERLINK("https://rhld.insurance.arkansas.gov/NPILookup?Npi=1639446271","1639446271")</f>
        <v>1639446271</v>
      </c>
      <c r="E5733" t="s">
        <v>2247</v>
      </c>
    </row>
    <row r="5734" spans="1:5" x14ac:dyDescent="0.25">
      <c r="A5734" t="s">
        <v>1</v>
      </c>
      <c r="B5734" t="s">
        <v>19</v>
      </c>
      <c r="C5734" t="s">
        <v>23490</v>
      </c>
      <c r="D5734" t="str">
        <f>HYPERLINK("https://rhld.insurance.arkansas.gov/NPILookup?Npi=1639461189","1639461189")</f>
        <v>1639461189</v>
      </c>
      <c r="E5734" t="s">
        <v>2248</v>
      </c>
    </row>
    <row r="5735" spans="1:5" x14ac:dyDescent="0.25">
      <c r="A5735" t="s">
        <v>1</v>
      </c>
      <c r="B5735" t="s">
        <v>19</v>
      </c>
      <c r="C5735" t="s">
        <v>23490</v>
      </c>
      <c r="D5735" t="str">
        <f>HYPERLINK("https://rhld.insurance.arkansas.gov/NPILookup?Npi=1639465719","1639465719")</f>
        <v>1639465719</v>
      </c>
      <c r="E5735" t="s">
        <v>15366</v>
      </c>
    </row>
    <row r="5736" spans="1:5" x14ac:dyDescent="0.25">
      <c r="A5736" t="s">
        <v>1</v>
      </c>
      <c r="B5736" t="s">
        <v>19</v>
      </c>
      <c r="C5736" t="s">
        <v>23490</v>
      </c>
      <c r="D5736" t="str">
        <f>HYPERLINK("https://rhld.insurance.arkansas.gov/NPILookup?Npi=1639481450","1639481450")</f>
        <v>1639481450</v>
      </c>
      <c r="E5736" t="s">
        <v>2249</v>
      </c>
    </row>
    <row r="5737" spans="1:5" x14ac:dyDescent="0.25">
      <c r="A5737" t="s">
        <v>1</v>
      </c>
      <c r="B5737" t="s">
        <v>19</v>
      </c>
      <c r="C5737" t="s">
        <v>23490</v>
      </c>
      <c r="D5737" t="str">
        <f>HYPERLINK("https://rhld.insurance.arkansas.gov/NPILookup?Npi=1639486665","1639486665")</f>
        <v>1639486665</v>
      </c>
      <c r="E5737" t="s">
        <v>15367</v>
      </c>
    </row>
    <row r="5738" spans="1:5" x14ac:dyDescent="0.25">
      <c r="A5738" t="s">
        <v>1</v>
      </c>
      <c r="B5738" t="s">
        <v>19</v>
      </c>
      <c r="C5738" t="s">
        <v>23490</v>
      </c>
      <c r="D5738" t="str">
        <f>HYPERLINK("https://rhld.insurance.arkansas.gov/NPILookup?Npi=1639489917","1639489917")</f>
        <v>1639489917</v>
      </c>
      <c r="E5738" t="s">
        <v>12873</v>
      </c>
    </row>
    <row r="5739" spans="1:5" x14ac:dyDescent="0.25">
      <c r="A5739" t="s">
        <v>1</v>
      </c>
      <c r="B5739" t="s">
        <v>19</v>
      </c>
      <c r="C5739" t="s">
        <v>23490</v>
      </c>
      <c r="D5739" t="str">
        <f>HYPERLINK("https://rhld.insurance.arkansas.gov/NPILookup?Npi=1639496425","1639496425")</f>
        <v>1639496425</v>
      </c>
      <c r="E5739" t="s">
        <v>15368</v>
      </c>
    </row>
    <row r="5740" spans="1:5" x14ac:dyDescent="0.25">
      <c r="A5740" t="s">
        <v>1</v>
      </c>
      <c r="B5740" t="s">
        <v>19</v>
      </c>
      <c r="C5740" t="s">
        <v>23490</v>
      </c>
      <c r="D5740" t="str">
        <f>HYPERLINK("https://rhld.insurance.arkansas.gov/NPILookup?Npi=1639498462","1639498462")</f>
        <v>1639498462</v>
      </c>
      <c r="E5740" t="s">
        <v>2250</v>
      </c>
    </row>
    <row r="5741" spans="1:5" x14ac:dyDescent="0.25">
      <c r="A5741" t="s">
        <v>1</v>
      </c>
      <c r="B5741" t="s">
        <v>19</v>
      </c>
      <c r="C5741" t="s">
        <v>23490</v>
      </c>
      <c r="D5741" t="str">
        <f>HYPERLINK("https://rhld.insurance.arkansas.gov/NPILookup?Npi=1639513609","1639513609")</f>
        <v>1639513609</v>
      </c>
      <c r="E5741" t="s">
        <v>2251</v>
      </c>
    </row>
    <row r="5742" spans="1:5" x14ac:dyDescent="0.25">
      <c r="A5742" t="s">
        <v>1</v>
      </c>
      <c r="B5742" t="s">
        <v>19</v>
      </c>
      <c r="C5742" t="s">
        <v>23490</v>
      </c>
      <c r="D5742" t="str">
        <f>HYPERLINK("https://rhld.insurance.arkansas.gov/NPILookup?Npi=1639523392","1639523392")</f>
        <v>1639523392</v>
      </c>
      <c r="E5742" t="s">
        <v>8774</v>
      </c>
    </row>
    <row r="5743" spans="1:5" x14ac:dyDescent="0.25">
      <c r="A5743" t="s">
        <v>1</v>
      </c>
      <c r="B5743" t="s">
        <v>19</v>
      </c>
      <c r="C5743" t="s">
        <v>23490</v>
      </c>
      <c r="D5743" t="str">
        <f>HYPERLINK("https://rhld.insurance.arkansas.gov/NPILookup?Npi=1639531841","1639531841")</f>
        <v>1639531841</v>
      </c>
      <c r="E5743" t="s">
        <v>15369</v>
      </c>
    </row>
    <row r="5744" spans="1:5" x14ac:dyDescent="0.25">
      <c r="A5744" t="s">
        <v>1</v>
      </c>
      <c r="B5744" t="s">
        <v>19</v>
      </c>
      <c r="C5744" t="s">
        <v>23490</v>
      </c>
      <c r="D5744" t="str">
        <f>HYPERLINK("https://rhld.insurance.arkansas.gov/NPILookup?Npi=1639532666","1639532666")</f>
        <v>1639532666</v>
      </c>
      <c r="E5744" t="s">
        <v>16996</v>
      </c>
    </row>
    <row r="5745" spans="1:5" x14ac:dyDescent="0.25">
      <c r="A5745" t="s">
        <v>1</v>
      </c>
      <c r="B5745" t="s">
        <v>19</v>
      </c>
      <c r="C5745" t="s">
        <v>23490</v>
      </c>
      <c r="D5745" t="str">
        <f>HYPERLINK("https://rhld.insurance.arkansas.gov/NPILookup?Npi=1639536782","1639536782")</f>
        <v>1639536782</v>
      </c>
      <c r="E5745" t="s">
        <v>3516</v>
      </c>
    </row>
    <row r="5746" spans="1:5" x14ac:dyDescent="0.25">
      <c r="A5746" t="s">
        <v>1</v>
      </c>
      <c r="B5746" t="s">
        <v>19</v>
      </c>
      <c r="C5746" t="s">
        <v>23490</v>
      </c>
      <c r="D5746" t="str">
        <f>HYPERLINK("https://rhld.insurance.arkansas.gov/NPILookup?Npi=1639537830","1639537830")</f>
        <v>1639537830</v>
      </c>
      <c r="E5746" t="s">
        <v>8775</v>
      </c>
    </row>
    <row r="5747" spans="1:5" x14ac:dyDescent="0.25">
      <c r="A5747" t="s">
        <v>1</v>
      </c>
      <c r="B5747" t="s">
        <v>19</v>
      </c>
      <c r="C5747" t="s">
        <v>23490</v>
      </c>
      <c r="D5747" t="str">
        <f>HYPERLINK("https://rhld.insurance.arkansas.gov/NPILookup?Npi=1639551583","1639551583")</f>
        <v>1639551583</v>
      </c>
      <c r="E5747" t="s">
        <v>8776</v>
      </c>
    </row>
    <row r="5748" spans="1:5" x14ac:dyDescent="0.25">
      <c r="A5748" t="s">
        <v>1</v>
      </c>
      <c r="B5748" t="s">
        <v>19</v>
      </c>
      <c r="C5748" t="s">
        <v>23490</v>
      </c>
      <c r="D5748" t="str">
        <f>HYPERLINK("https://rhld.insurance.arkansas.gov/NPILookup?Npi=1639559230","1639559230")</f>
        <v>1639559230</v>
      </c>
      <c r="E5748" t="s">
        <v>13632</v>
      </c>
    </row>
    <row r="5749" spans="1:5" x14ac:dyDescent="0.25">
      <c r="A5749" t="s">
        <v>1</v>
      </c>
      <c r="B5749" t="s">
        <v>19</v>
      </c>
      <c r="C5749" t="s">
        <v>23490</v>
      </c>
      <c r="D5749" t="str">
        <f>HYPERLINK("https://rhld.insurance.arkansas.gov/NPILookup?Npi=1639560733","1639560733")</f>
        <v>1639560733</v>
      </c>
      <c r="E5749" t="s">
        <v>19894</v>
      </c>
    </row>
    <row r="5750" spans="1:5" x14ac:dyDescent="0.25">
      <c r="A5750" t="s">
        <v>1</v>
      </c>
      <c r="B5750" t="s">
        <v>19</v>
      </c>
      <c r="C5750" t="s">
        <v>23490</v>
      </c>
      <c r="D5750" t="str">
        <f>HYPERLINK("https://rhld.insurance.arkansas.gov/NPILookup?Npi=1639565823","1639565823")</f>
        <v>1639565823</v>
      </c>
      <c r="E5750" t="s">
        <v>15370</v>
      </c>
    </row>
    <row r="5751" spans="1:5" x14ac:dyDescent="0.25">
      <c r="A5751" t="s">
        <v>1</v>
      </c>
      <c r="B5751" t="s">
        <v>19</v>
      </c>
      <c r="C5751" t="s">
        <v>23490</v>
      </c>
      <c r="D5751" t="str">
        <f>HYPERLINK("https://rhld.insurance.arkansas.gov/NPILookup?Npi=1639583834","1639583834")</f>
        <v>1639583834</v>
      </c>
      <c r="E5751" t="s">
        <v>8777</v>
      </c>
    </row>
    <row r="5752" spans="1:5" x14ac:dyDescent="0.25">
      <c r="A5752" t="s">
        <v>1</v>
      </c>
      <c r="B5752" t="s">
        <v>19</v>
      </c>
      <c r="C5752" t="s">
        <v>23490</v>
      </c>
      <c r="D5752" t="str">
        <f>HYPERLINK("https://rhld.insurance.arkansas.gov/NPILookup?Npi=1639588601","1639588601")</f>
        <v>1639588601</v>
      </c>
      <c r="E5752" t="s">
        <v>2252</v>
      </c>
    </row>
    <row r="5753" spans="1:5" x14ac:dyDescent="0.25">
      <c r="A5753" t="s">
        <v>1</v>
      </c>
      <c r="B5753" t="s">
        <v>19</v>
      </c>
      <c r="C5753" t="s">
        <v>23490</v>
      </c>
      <c r="D5753" t="str">
        <f>HYPERLINK("https://rhld.insurance.arkansas.gov/NPILookup?Npi=1639596877","1639596877")</f>
        <v>1639596877</v>
      </c>
      <c r="E5753" t="s">
        <v>8778</v>
      </c>
    </row>
    <row r="5754" spans="1:5" x14ac:dyDescent="0.25">
      <c r="A5754" t="s">
        <v>1</v>
      </c>
      <c r="B5754" t="s">
        <v>19</v>
      </c>
      <c r="C5754" t="s">
        <v>23490</v>
      </c>
      <c r="D5754" t="str">
        <f>HYPERLINK("https://rhld.insurance.arkansas.gov/NPILookup?Npi=1639599194","1639599194")</f>
        <v>1639599194</v>
      </c>
      <c r="E5754" t="s">
        <v>11135</v>
      </c>
    </row>
    <row r="5755" spans="1:5" x14ac:dyDescent="0.25">
      <c r="A5755" t="s">
        <v>1</v>
      </c>
      <c r="B5755" t="s">
        <v>19</v>
      </c>
      <c r="C5755" t="s">
        <v>23490</v>
      </c>
      <c r="D5755" t="str">
        <f>HYPERLINK("https://rhld.insurance.arkansas.gov/NPILookup?Npi=1639605967","1639605967")</f>
        <v>1639605967</v>
      </c>
      <c r="E5755" t="s">
        <v>15371</v>
      </c>
    </row>
    <row r="5756" spans="1:5" x14ac:dyDescent="0.25">
      <c r="A5756" t="s">
        <v>1</v>
      </c>
      <c r="B5756" t="s">
        <v>19</v>
      </c>
      <c r="C5756" t="s">
        <v>23490</v>
      </c>
      <c r="D5756" t="str">
        <f>HYPERLINK("https://rhld.insurance.arkansas.gov/NPILookup?Npi=1639620271","1639620271")</f>
        <v>1639620271</v>
      </c>
      <c r="E5756" t="s">
        <v>11136</v>
      </c>
    </row>
    <row r="5757" spans="1:5" x14ac:dyDescent="0.25">
      <c r="A5757" t="s">
        <v>1</v>
      </c>
      <c r="B5757" t="s">
        <v>19</v>
      </c>
      <c r="C5757" t="s">
        <v>23490</v>
      </c>
      <c r="D5757" t="str">
        <f>HYPERLINK("https://rhld.insurance.arkansas.gov/NPILookup?Npi=1639621121","1639621121")</f>
        <v>1639621121</v>
      </c>
      <c r="E5757" t="s">
        <v>11137</v>
      </c>
    </row>
    <row r="5758" spans="1:5" x14ac:dyDescent="0.25">
      <c r="A5758" t="s">
        <v>1</v>
      </c>
      <c r="B5758" t="s">
        <v>19</v>
      </c>
      <c r="C5758" t="s">
        <v>23490</v>
      </c>
      <c r="D5758" t="str">
        <f>HYPERLINK("https://rhld.insurance.arkansas.gov/NPILookup?Npi=1639630866","1639630866")</f>
        <v>1639630866</v>
      </c>
      <c r="E5758" t="s">
        <v>21603</v>
      </c>
    </row>
    <row r="5759" spans="1:5" x14ac:dyDescent="0.25">
      <c r="A5759" t="s">
        <v>1</v>
      </c>
      <c r="B5759" t="s">
        <v>19</v>
      </c>
      <c r="C5759" t="s">
        <v>23490</v>
      </c>
      <c r="D5759" t="str">
        <f>HYPERLINK("https://rhld.insurance.arkansas.gov/NPILookup?Npi=1639641947","1639641947")</f>
        <v>1639641947</v>
      </c>
      <c r="E5759" t="s">
        <v>17449</v>
      </c>
    </row>
    <row r="5760" spans="1:5" x14ac:dyDescent="0.25">
      <c r="A5760" t="s">
        <v>1</v>
      </c>
      <c r="B5760" t="s">
        <v>19</v>
      </c>
      <c r="C5760" t="s">
        <v>23490</v>
      </c>
      <c r="D5760" t="str">
        <f>HYPERLINK("https://rhld.insurance.arkansas.gov/NPILookup?Npi=1639656333","1639656333")</f>
        <v>1639656333</v>
      </c>
      <c r="E5760" t="s">
        <v>7869</v>
      </c>
    </row>
    <row r="5761" spans="1:5" x14ac:dyDescent="0.25">
      <c r="A5761" t="s">
        <v>1</v>
      </c>
      <c r="B5761" t="s">
        <v>19</v>
      </c>
      <c r="C5761" t="s">
        <v>23490</v>
      </c>
      <c r="D5761" t="str">
        <f>HYPERLINK("https://rhld.insurance.arkansas.gov/NPILookup?Npi=1639674526","1639674526")</f>
        <v>1639674526</v>
      </c>
      <c r="E5761" t="s">
        <v>18063</v>
      </c>
    </row>
    <row r="5762" spans="1:5" x14ac:dyDescent="0.25">
      <c r="A5762" t="s">
        <v>1</v>
      </c>
      <c r="B5762" t="s">
        <v>19</v>
      </c>
      <c r="C5762" t="s">
        <v>23490</v>
      </c>
      <c r="D5762" t="str">
        <f>HYPERLINK("https://rhld.insurance.arkansas.gov/NPILookup?Npi=1639674690","1639674690")</f>
        <v>1639674690</v>
      </c>
      <c r="E5762" t="s">
        <v>20989</v>
      </c>
    </row>
    <row r="5763" spans="1:5" x14ac:dyDescent="0.25">
      <c r="A5763" t="s">
        <v>1</v>
      </c>
      <c r="B5763" t="s">
        <v>19</v>
      </c>
      <c r="C5763" t="s">
        <v>23490</v>
      </c>
      <c r="D5763" t="str">
        <f>HYPERLINK("https://rhld.insurance.arkansas.gov/NPILookup?Npi=1639676745","1639676745")</f>
        <v>1639676745</v>
      </c>
      <c r="E5763" t="s">
        <v>19895</v>
      </c>
    </row>
    <row r="5764" spans="1:5" x14ac:dyDescent="0.25">
      <c r="A5764" t="s">
        <v>1</v>
      </c>
      <c r="B5764" t="s">
        <v>19</v>
      </c>
      <c r="C5764" t="s">
        <v>23490</v>
      </c>
      <c r="D5764" t="str">
        <f>HYPERLINK("https://rhld.insurance.arkansas.gov/NPILookup?Npi=1639687437","1639687437")</f>
        <v>1639687437</v>
      </c>
      <c r="E5764" t="s">
        <v>12874</v>
      </c>
    </row>
    <row r="5765" spans="1:5" x14ac:dyDescent="0.25">
      <c r="A5765" t="s">
        <v>1</v>
      </c>
      <c r="B5765" t="s">
        <v>19</v>
      </c>
      <c r="C5765" t="s">
        <v>23490</v>
      </c>
      <c r="D5765" t="str">
        <f>HYPERLINK("https://rhld.insurance.arkansas.gov/NPILookup?Npi=1639689763","1639689763")</f>
        <v>1639689763</v>
      </c>
      <c r="E5765" t="s">
        <v>11138</v>
      </c>
    </row>
    <row r="5766" spans="1:5" x14ac:dyDescent="0.25">
      <c r="A5766" t="s">
        <v>1</v>
      </c>
      <c r="B5766" t="s">
        <v>19</v>
      </c>
      <c r="C5766" t="s">
        <v>23490</v>
      </c>
      <c r="D5766" t="str">
        <f>HYPERLINK("https://rhld.insurance.arkansas.gov/NPILookup?Npi=1639723273","1639723273")</f>
        <v>1639723273</v>
      </c>
      <c r="E5766" t="s">
        <v>20990</v>
      </c>
    </row>
    <row r="5767" spans="1:5" x14ac:dyDescent="0.25">
      <c r="A5767" t="s">
        <v>1</v>
      </c>
      <c r="B5767" t="s">
        <v>19</v>
      </c>
      <c r="C5767" t="s">
        <v>23490</v>
      </c>
      <c r="D5767" t="str">
        <f>HYPERLINK("https://rhld.insurance.arkansas.gov/NPILookup?Npi=1639724834","1639724834")</f>
        <v>1639724834</v>
      </c>
      <c r="E5767" t="s">
        <v>18827</v>
      </c>
    </row>
    <row r="5768" spans="1:5" x14ac:dyDescent="0.25">
      <c r="A5768" t="s">
        <v>1</v>
      </c>
      <c r="B5768" t="s">
        <v>19</v>
      </c>
      <c r="C5768" t="s">
        <v>23490</v>
      </c>
      <c r="D5768" t="str">
        <f>HYPERLINK("https://rhld.insurance.arkansas.gov/NPILookup?Npi=1639726813","1639726813")</f>
        <v>1639726813</v>
      </c>
      <c r="E5768" t="s">
        <v>17450</v>
      </c>
    </row>
    <row r="5769" spans="1:5" x14ac:dyDescent="0.25">
      <c r="A5769" t="s">
        <v>1</v>
      </c>
      <c r="B5769" t="s">
        <v>19</v>
      </c>
      <c r="C5769" t="s">
        <v>23490</v>
      </c>
      <c r="D5769" t="str">
        <f>HYPERLINK("https://rhld.insurance.arkansas.gov/NPILookup?Npi=1639726862","1639726862")</f>
        <v>1639726862</v>
      </c>
      <c r="E5769" t="s">
        <v>15372</v>
      </c>
    </row>
    <row r="5770" spans="1:5" x14ac:dyDescent="0.25">
      <c r="A5770" t="s">
        <v>1</v>
      </c>
      <c r="B5770" t="s">
        <v>19</v>
      </c>
      <c r="C5770" t="s">
        <v>23490</v>
      </c>
      <c r="D5770" t="str">
        <f>HYPERLINK("https://rhld.insurance.arkansas.gov/NPILookup?Npi=1639731789","1639731789")</f>
        <v>1639731789</v>
      </c>
      <c r="E5770" t="s">
        <v>19896</v>
      </c>
    </row>
    <row r="5771" spans="1:5" x14ac:dyDescent="0.25">
      <c r="A5771" t="s">
        <v>1</v>
      </c>
      <c r="B5771" t="s">
        <v>19</v>
      </c>
      <c r="C5771" t="s">
        <v>23490</v>
      </c>
      <c r="D5771" t="str">
        <f>HYPERLINK("https://rhld.insurance.arkansas.gov/NPILookup?Npi=1639781396","1639781396")</f>
        <v>1639781396</v>
      </c>
      <c r="E5771" t="s">
        <v>17451</v>
      </c>
    </row>
    <row r="5772" spans="1:5" x14ac:dyDescent="0.25">
      <c r="A5772" t="s">
        <v>1</v>
      </c>
      <c r="B5772" t="s">
        <v>19</v>
      </c>
      <c r="C5772" t="s">
        <v>23490</v>
      </c>
      <c r="D5772" t="str">
        <f>HYPERLINK("https://rhld.insurance.arkansas.gov/NPILookup?Npi=1639787880","1639787880")</f>
        <v>1639787880</v>
      </c>
      <c r="E5772" t="s">
        <v>17452</v>
      </c>
    </row>
    <row r="5773" spans="1:5" x14ac:dyDescent="0.25">
      <c r="A5773" t="s">
        <v>1</v>
      </c>
      <c r="B5773" t="s">
        <v>19</v>
      </c>
      <c r="C5773" t="s">
        <v>23490</v>
      </c>
      <c r="D5773" t="str">
        <f>HYPERLINK("https://rhld.insurance.arkansas.gov/NPILookup?Npi=1639790983","1639790983")</f>
        <v>1639790983</v>
      </c>
      <c r="E5773" t="s">
        <v>20991</v>
      </c>
    </row>
    <row r="5774" spans="1:5" x14ac:dyDescent="0.25">
      <c r="A5774" t="s">
        <v>1</v>
      </c>
      <c r="B5774" t="s">
        <v>19</v>
      </c>
      <c r="C5774" t="s">
        <v>23490</v>
      </c>
      <c r="D5774" t="str">
        <f>HYPERLINK("https://rhld.insurance.arkansas.gov/NPILookup?Npi=1639798572","1639798572")</f>
        <v>1639798572</v>
      </c>
      <c r="E5774" t="s">
        <v>17453</v>
      </c>
    </row>
    <row r="5775" spans="1:5" x14ac:dyDescent="0.25">
      <c r="A5775" t="s">
        <v>1</v>
      </c>
      <c r="B5775" t="s">
        <v>19</v>
      </c>
      <c r="C5775" t="s">
        <v>23490</v>
      </c>
      <c r="D5775" t="str">
        <f>HYPERLINK("https://rhld.insurance.arkansas.gov/NPILookup?Npi=1639799240","1639799240")</f>
        <v>1639799240</v>
      </c>
      <c r="E5775" t="s">
        <v>22964</v>
      </c>
    </row>
    <row r="5776" spans="1:5" x14ac:dyDescent="0.25">
      <c r="A5776" t="s">
        <v>1</v>
      </c>
      <c r="B5776" t="s">
        <v>19</v>
      </c>
      <c r="C5776" t="s">
        <v>23490</v>
      </c>
      <c r="D5776" t="str">
        <f>HYPERLINK("https://rhld.insurance.arkansas.gov/NPILookup?Npi=1639806607","1639806607")</f>
        <v>1639806607</v>
      </c>
      <c r="E5776" t="s">
        <v>21604</v>
      </c>
    </row>
    <row r="5777" spans="1:5" x14ac:dyDescent="0.25">
      <c r="A5777" t="s">
        <v>1</v>
      </c>
      <c r="B5777" t="s">
        <v>19</v>
      </c>
      <c r="C5777" t="s">
        <v>23490</v>
      </c>
      <c r="D5777" t="str">
        <f>HYPERLINK("https://rhld.insurance.arkansas.gov/NPILookup?Npi=1639810807","1639810807")</f>
        <v>1639810807</v>
      </c>
      <c r="E5777" t="s">
        <v>19897</v>
      </c>
    </row>
    <row r="5778" spans="1:5" x14ac:dyDescent="0.25">
      <c r="A5778" t="s">
        <v>1</v>
      </c>
      <c r="B5778" t="s">
        <v>19</v>
      </c>
      <c r="C5778" t="s">
        <v>23490</v>
      </c>
      <c r="D5778" t="str">
        <f>HYPERLINK("https://rhld.insurance.arkansas.gov/NPILookup?Npi=1639814742","1639814742")</f>
        <v>1639814742</v>
      </c>
      <c r="E5778" t="s">
        <v>19898</v>
      </c>
    </row>
    <row r="5779" spans="1:5" x14ac:dyDescent="0.25">
      <c r="A5779" t="s">
        <v>1</v>
      </c>
      <c r="B5779" t="s">
        <v>19</v>
      </c>
      <c r="C5779" t="s">
        <v>23490</v>
      </c>
      <c r="D5779" t="str">
        <f>HYPERLINK("https://rhld.insurance.arkansas.gov/NPILookup?Npi=1639824956","1639824956")</f>
        <v>1639824956</v>
      </c>
      <c r="E5779" t="s">
        <v>19899</v>
      </c>
    </row>
    <row r="5780" spans="1:5" x14ac:dyDescent="0.25">
      <c r="A5780" t="s">
        <v>1</v>
      </c>
      <c r="B5780" t="s">
        <v>19</v>
      </c>
      <c r="C5780" t="s">
        <v>23490</v>
      </c>
      <c r="D5780" t="str">
        <f>HYPERLINK("https://rhld.insurance.arkansas.gov/NPILookup?Npi=1639825508","1639825508")</f>
        <v>1639825508</v>
      </c>
      <c r="E5780" t="s">
        <v>19900</v>
      </c>
    </row>
    <row r="5781" spans="1:5" x14ac:dyDescent="0.25">
      <c r="A5781" t="s">
        <v>1</v>
      </c>
      <c r="B5781" t="s">
        <v>19</v>
      </c>
      <c r="C5781" t="s">
        <v>23490</v>
      </c>
      <c r="D5781" t="str">
        <f>HYPERLINK("https://rhld.insurance.arkansas.gov/NPILookup?Npi=1639831274","1639831274")</f>
        <v>1639831274</v>
      </c>
      <c r="E5781" t="s">
        <v>19901</v>
      </c>
    </row>
    <row r="5782" spans="1:5" x14ac:dyDescent="0.25">
      <c r="A5782" t="s">
        <v>1</v>
      </c>
      <c r="B5782" t="s">
        <v>19</v>
      </c>
      <c r="C5782" t="s">
        <v>23490</v>
      </c>
      <c r="D5782" t="str">
        <f>HYPERLINK("https://rhld.insurance.arkansas.gov/NPILookup?Npi=1639832611","1639832611")</f>
        <v>1639832611</v>
      </c>
      <c r="E5782" t="s">
        <v>19902</v>
      </c>
    </row>
    <row r="5783" spans="1:5" x14ac:dyDescent="0.25">
      <c r="A5783" t="s">
        <v>1</v>
      </c>
      <c r="B5783" t="s">
        <v>19</v>
      </c>
      <c r="C5783" t="s">
        <v>23490</v>
      </c>
      <c r="D5783" t="str">
        <f>HYPERLINK("https://rhld.insurance.arkansas.gov/NPILookup?Npi=1649204629","1649204629")</f>
        <v>1649204629</v>
      </c>
      <c r="E5783" t="s">
        <v>15373</v>
      </c>
    </row>
    <row r="5784" spans="1:5" x14ac:dyDescent="0.25">
      <c r="A5784" t="s">
        <v>1</v>
      </c>
      <c r="B5784" t="s">
        <v>19</v>
      </c>
      <c r="C5784" t="s">
        <v>23490</v>
      </c>
      <c r="D5784" t="str">
        <f>HYPERLINK("https://rhld.insurance.arkansas.gov/NPILookup?Npi=1649205584","1649205584")</f>
        <v>1649205584</v>
      </c>
      <c r="E5784" t="s">
        <v>11139</v>
      </c>
    </row>
    <row r="5785" spans="1:5" x14ac:dyDescent="0.25">
      <c r="A5785" t="s">
        <v>1</v>
      </c>
      <c r="B5785" t="s">
        <v>19</v>
      </c>
      <c r="C5785" t="s">
        <v>23490</v>
      </c>
      <c r="D5785" t="str">
        <f>HYPERLINK("https://rhld.insurance.arkansas.gov/NPILookup?Npi=1649207242","1649207242")</f>
        <v>1649207242</v>
      </c>
      <c r="E5785" t="s">
        <v>2253</v>
      </c>
    </row>
    <row r="5786" spans="1:5" x14ac:dyDescent="0.25">
      <c r="A5786" t="s">
        <v>1</v>
      </c>
      <c r="B5786" t="s">
        <v>19</v>
      </c>
      <c r="C5786" t="s">
        <v>23490</v>
      </c>
      <c r="D5786" t="str">
        <f>HYPERLINK("https://rhld.insurance.arkansas.gov/NPILookup?Npi=1649207275","1649207275")</f>
        <v>1649207275</v>
      </c>
      <c r="E5786" t="s">
        <v>2254</v>
      </c>
    </row>
    <row r="5787" spans="1:5" x14ac:dyDescent="0.25">
      <c r="A5787" t="s">
        <v>1</v>
      </c>
      <c r="B5787" t="s">
        <v>19</v>
      </c>
      <c r="C5787" t="s">
        <v>23490</v>
      </c>
      <c r="D5787" t="str">
        <f>HYPERLINK("https://rhld.insurance.arkansas.gov/NPILookup?Npi=1649207416","1649207416")</f>
        <v>1649207416</v>
      </c>
      <c r="E5787" t="s">
        <v>15374</v>
      </c>
    </row>
    <row r="5788" spans="1:5" x14ac:dyDescent="0.25">
      <c r="A5788" t="s">
        <v>1</v>
      </c>
      <c r="B5788" t="s">
        <v>19</v>
      </c>
      <c r="C5788" t="s">
        <v>23490</v>
      </c>
      <c r="D5788" t="str">
        <f>HYPERLINK("https://rhld.insurance.arkansas.gov/NPILookup?Npi=1649217191","1649217191")</f>
        <v>1649217191</v>
      </c>
      <c r="E5788" t="s">
        <v>2255</v>
      </c>
    </row>
    <row r="5789" spans="1:5" x14ac:dyDescent="0.25">
      <c r="A5789" t="s">
        <v>1</v>
      </c>
      <c r="B5789" t="s">
        <v>19</v>
      </c>
      <c r="C5789" t="s">
        <v>23490</v>
      </c>
      <c r="D5789" t="str">
        <f>HYPERLINK("https://rhld.insurance.arkansas.gov/NPILookup?Npi=1649218892","1649218892")</f>
        <v>1649218892</v>
      </c>
      <c r="E5789" t="s">
        <v>2256</v>
      </c>
    </row>
    <row r="5790" spans="1:5" x14ac:dyDescent="0.25">
      <c r="A5790" t="s">
        <v>1</v>
      </c>
      <c r="B5790" t="s">
        <v>19</v>
      </c>
      <c r="C5790" t="s">
        <v>23490</v>
      </c>
      <c r="D5790" t="str">
        <f>HYPERLINK("https://rhld.insurance.arkansas.gov/NPILookup?Npi=1649231895","1649231895")</f>
        <v>1649231895</v>
      </c>
      <c r="E5790" t="s">
        <v>2257</v>
      </c>
    </row>
    <row r="5791" spans="1:5" x14ac:dyDescent="0.25">
      <c r="A5791" t="s">
        <v>1</v>
      </c>
      <c r="B5791" t="s">
        <v>19</v>
      </c>
      <c r="C5791" t="s">
        <v>23490</v>
      </c>
      <c r="D5791" t="str">
        <f>HYPERLINK("https://rhld.insurance.arkansas.gov/NPILookup?Npi=1649236290","1649236290")</f>
        <v>1649236290</v>
      </c>
      <c r="E5791" t="s">
        <v>2258</v>
      </c>
    </row>
    <row r="5792" spans="1:5" x14ac:dyDescent="0.25">
      <c r="A5792" t="s">
        <v>1</v>
      </c>
      <c r="B5792" t="s">
        <v>19</v>
      </c>
      <c r="C5792" t="s">
        <v>23490</v>
      </c>
      <c r="D5792" t="str">
        <f>HYPERLINK("https://rhld.insurance.arkansas.gov/NPILookup?Npi=1649238262","1649238262")</f>
        <v>1649238262</v>
      </c>
      <c r="E5792" t="s">
        <v>2259</v>
      </c>
    </row>
    <row r="5793" spans="1:5" x14ac:dyDescent="0.25">
      <c r="A5793" t="s">
        <v>1</v>
      </c>
      <c r="B5793" t="s">
        <v>19</v>
      </c>
      <c r="C5793" t="s">
        <v>23490</v>
      </c>
      <c r="D5793" t="str">
        <f>HYPERLINK("https://rhld.insurance.arkansas.gov/NPILookup?Npi=1649250689","1649250689")</f>
        <v>1649250689</v>
      </c>
      <c r="E5793" t="s">
        <v>2260</v>
      </c>
    </row>
    <row r="5794" spans="1:5" x14ac:dyDescent="0.25">
      <c r="A5794" t="s">
        <v>1</v>
      </c>
      <c r="B5794" t="s">
        <v>19</v>
      </c>
      <c r="C5794" t="s">
        <v>23490</v>
      </c>
      <c r="D5794" t="str">
        <f>HYPERLINK("https://rhld.insurance.arkansas.gov/NPILookup?Npi=1649258369","1649258369")</f>
        <v>1649258369</v>
      </c>
      <c r="E5794" t="s">
        <v>2261</v>
      </c>
    </row>
    <row r="5795" spans="1:5" x14ac:dyDescent="0.25">
      <c r="A5795" t="s">
        <v>1</v>
      </c>
      <c r="B5795" t="s">
        <v>19</v>
      </c>
      <c r="C5795" t="s">
        <v>23490</v>
      </c>
      <c r="D5795" t="str">
        <f>HYPERLINK("https://rhld.insurance.arkansas.gov/NPILookup?Npi=1649259409","1649259409")</f>
        <v>1649259409</v>
      </c>
      <c r="E5795" t="s">
        <v>2262</v>
      </c>
    </row>
    <row r="5796" spans="1:5" x14ac:dyDescent="0.25">
      <c r="A5796" t="s">
        <v>1</v>
      </c>
      <c r="B5796" t="s">
        <v>19</v>
      </c>
      <c r="C5796" t="s">
        <v>23490</v>
      </c>
      <c r="D5796" t="str">
        <f>HYPERLINK("https://rhld.insurance.arkansas.gov/NPILookup?Npi=1649262189","1649262189")</f>
        <v>1649262189</v>
      </c>
      <c r="E5796" t="s">
        <v>8779</v>
      </c>
    </row>
    <row r="5797" spans="1:5" x14ac:dyDescent="0.25">
      <c r="A5797" t="s">
        <v>1</v>
      </c>
      <c r="B5797" t="s">
        <v>19</v>
      </c>
      <c r="C5797" t="s">
        <v>23490</v>
      </c>
      <c r="D5797" t="str">
        <f>HYPERLINK("https://rhld.insurance.arkansas.gov/NPILookup?Npi=1649262726","1649262726")</f>
        <v>1649262726</v>
      </c>
      <c r="E5797" t="s">
        <v>2263</v>
      </c>
    </row>
    <row r="5798" spans="1:5" x14ac:dyDescent="0.25">
      <c r="A5798" t="s">
        <v>1</v>
      </c>
      <c r="B5798" t="s">
        <v>19</v>
      </c>
      <c r="C5798" t="s">
        <v>23490</v>
      </c>
      <c r="D5798" t="str">
        <f>HYPERLINK("https://rhld.insurance.arkansas.gov/NPILookup?Npi=1649268590","1649268590")</f>
        <v>1649268590</v>
      </c>
      <c r="E5798" t="s">
        <v>2264</v>
      </c>
    </row>
    <row r="5799" spans="1:5" x14ac:dyDescent="0.25">
      <c r="A5799" t="s">
        <v>1</v>
      </c>
      <c r="B5799" t="s">
        <v>19</v>
      </c>
      <c r="C5799" t="s">
        <v>23490</v>
      </c>
      <c r="D5799" t="str">
        <f>HYPERLINK("https://rhld.insurance.arkansas.gov/NPILookup?Npi=1649276924","1649276924")</f>
        <v>1649276924</v>
      </c>
      <c r="E5799" t="s">
        <v>8167</v>
      </c>
    </row>
    <row r="5800" spans="1:5" x14ac:dyDescent="0.25">
      <c r="A5800" t="s">
        <v>1</v>
      </c>
      <c r="B5800" t="s">
        <v>19</v>
      </c>
      <c r="C5800" t="s">
        <v>23490</v>
      </c>
      <c r="D5800" t="str">
        <f>HYPERLINK("https://rhld.insurance.arkansas.gov/NPILookup?Npi=1649277831","1649277831")</f>
        <v>1649277831</v>
      </c>
      <c r="E5800" t="s">
        <v>15375</v>
      </c>
    </row>
    <row r="5801" spans="1:5" x14ac:dyDescent="0.25">
      <c r="A5801" t="s">
        <v>1</v>
      </c>
      <c r="B5801" t="s">
        <v>19</v>
      </c>
      <c r="C5801" t="s">
        <v>23490</v>
      </c>
      <c r="D5801" t="str">
        <f>HYPERLINK("https://rhld.insurance.arkansas.gov/NPILookup?Npi=1649294042","1649294042")</f>
        <v>1649294042</v>
      </c>
      <c r="E5801" t="s">
        <v>15376</v>
      </c>
    </row>
    <row r="5802" spans="1:5" x14ac:dyDescent="0.25">
      <c r="A5802" t="s">
        <v>1</v>
      </c>
      <c r="B5802" t="s">
        <v>19</v>
      </c>
      <c r="C5802" t="s">
        <v>23490</v>
      </c>
      <c r="D5802" t="str">
        <f>HYPERLINK("https://rhld.insurance.arkansas.gov/NPILookup?Npi=1649295833","1649295833")</f>
        <v>1649295833</v>
      </c>
      <c r="E5802" t="s">
        <v>2265</v>
      </c>
    </row>
    <row r="5803" spans="1:5" x14ac:dyDescent="0.25">
      <c r="A5803" t="s">
        <v>1</v>
      </c>
      <c r="B5803" t="s">
        <v>19</v>
      </c>
      <c r="C5803" t="s">
        <v>23490</v>
      </c>
      <c r="D5803" t="str">
        <f>HYPERLINK("https://rhld.insurance.arkansas.gov/NPILookup?Npi=1649296104","1649296104")</f>
        <v>1649296104</v>
      </c>
      <c r="E5803" t="s">
        <v>2266</v>
      </c>
    </row>
    <row r="5804" spans="1:5" x14ac:dyDescent="0.25">
      <c r="A5804" t="s">
        <v>1</v>
      </c>
      <c r="B5804" t="s">
        <v>19</v>
      </c>
      <c r="C5804" t="s">
        <v>23490</v>
      </c>
      <c r="D5804" t="str">
        <f>HYPERLINK("https://rhld.insurance.arkansas.gov/NPILookup?Npi=1649304114","1649304114")</f>
        <v>1649304114</v>
      </c>
      <c r="E5804" t="s">
        <v>2267</v>
      </c>
    </row>
    <row r="5805" spans="1:5" x14ac:dyDescent="0.25">
      <c r="A5805" t="s">
        <v>1</v>
      </c>
      <c r="B5805" t="s">
        <v>19</v>
      </c>
      <c r="C5805" t="s">
        <v>23490</v>
      </c>
      <c r="D5805" t="str">
        <f>HYPERLINK("https://rhld.insurance.arkansas.gov/NPILookup?Npi=1649358847","1649358847")</f>
        <v>1649358847</v>
      </c>
      <c r="E5805" t="s">
        <v>15377</v>
      </c>
    </row>
    <row r="5806" spans="1:5" x14ac:dyDescent="0.25">
      <c r="A5806" t="s">
        <v>1</v>
      </c>
      <c r="B5806" t="s">
        <v>19</v>
      </c>
      <c r="C5806" t="s">
        <v>23490</v>
      </c>
      <c r="D5806" t="str">
        <f>HYPERLINK("https://rhld.insurance.arkansas.gov/NPILookup?Npi=1649359076","1649359076")</f>
        <v>1649359076</v>
      </c>
      <c r="E5806" t="s">
        <v>11140</v>
      </c>
    </row>
    <row r="5807" spans="1:5" x14ac:dyDescent="0.25">
      <c r="A5807" t="s">
        <v>1</v>
      </c>
      <c r="B5807" t="s">
        <v>19</v>
      </c>
      <c r="C5807" t="s">
        <v>23490</v>
      </c>
      <c r="D5807" t="str">
        <f>HYPERLINK("https://rhld.insurance.arkansas.gov/NPILookup?Npi=1649363656","1649363656")</f>
        <v>1649363656</v>
      </c>
      <c r="E5807" t="s">
        <v>2268</v>
      </c>
    </row>
    <row r="5808" spans="1:5" x14ac:dyDescent="0.25">
      <c r="A5808" t="s">
        <v>1</v>
      </c>
      <c r="B5808" t="s">
        <v>19</v>
      </c>
      <c r="C5808" t="s">
        <v>23490</v>
      </c>
      <c r="D5808" t="str">
        <f>HYPERLINK("https://rhld.insurance.arkansas.gov/NPILookup?Npi=1649384413","1649384413")</f>
        <v>1649384413</v>
      </c>
      <c r="E5808" t="s">
        <v>19903</v>
      </c>
    </row>
    <row r="5809" spans="1:5" x14ac:dyDescent="0.25">
      <c r="A5809" t="s">
        <v>1</v>
      </c>
      <c r="B5809" t="s">
        <v>19</v>
      </c>
      <c r="C5809" t="s">
        <v>23490</v>
      </c>
      <c r="D5809" t="str">
        <f>HYPERLINK("https://rhld.insurance.arkansas.gov/NPILookup?Npi=1649390683","1649390683")</f>
        <v>1649390683</v>
      </c>
      <c r="E5809" t="s">
        <v>2269</v>
      </c>
    </row>
    <row r="5810" spans="1:5" x14ac:dyDescent="0.25">
      <c r="A5810" t="s">
        <v>1</v>
      </c>
      <c r="B5810" t="s">
        <v>19</v>
      </c>
      <c r="C5810" t="s">
        <v>23490</v>
      </c>
      <c r="D5810" t="str">
        <f>HYPERLINK("https://rhld.insurance.arkansas.gov/NPILookup?Npi=1649447806","1649447806")</f>
        <v>1649447806</v>
      </c>
      <c r="E5810" t="s">
        <v>19904</v>
      </c>
    </row>
    <row r="5811" spans="1:5" x14ac:dyDescent="0.25">
      <c r="A5811" t="s">
        <v>1</v>
      </c>
      <c r="B5811" t="s">
        <v>19</v>
      </c>
      <c r="C5811" t="s">
        <v>23490</v>
      </c>
      <c r="D5811" t="str">
        <f>HYPERLINK("https://rhld.insurance.arkansas.gov/NPILookup?Npi=1649490418","1649490418")</f>
        <v>1649490418</v>
      </c>
      <c r="E5811" t="s">
        <v>11141</v>
      </c>
    </row>
    <row r="5812" spans="1:5" x14ac:dyDescent="0.25">
      <c r="A5812" t="s">
        <v>1</v>
      </c>
      <c r="B5812" t="s">
        <v>19</v>
      </c>
      <c r="C5812" t="s">
        <v>23490</v>
      </c>
      <c r="D5812" t="str">
        <f>HYPERLINK("https://rhld.insurance.arkansas.gov/NPILookup?Npi=1649492927","1649492927")</f>
        <v>1649492927</v>
      </c>
      <c r="E5812" t="s">
        <v>2273</v>
      </c>
    </row>
    <row r="5813" spans="1:5" x14ac:dyDescent="0.25">
      <c r="A5813" t="s">
        <v>1</v>
      </c>
      <c r="B5813" t="s">
        <v>19</v>
      </c>
      <c r="C5813" t="s">
        <v>23490</v>
      </c>
      <c r="D5813" t="str">
        <f>HYPERLINK("https://rhld.insurance.arkansas.gov/NPILookup?Npi=1649494808","1649494808")</f>
        <v>1649494808</v>
      </c>
      <c r="E5813" t="s">
        <v>2274</v>
      </c>
    </row>
    <row r="5814" spans="1:5" x14ac:dyDescent="0.25">
      <c r="A5814" t="s">
        <v>1</v>
      </c>
      <c r="B5814" t="s">
        <v>19</v>
      </c>
      <c r="C5814" t="s">
        <v>23490</v>
      </c>
      <c r="D5814" t="str">
        <f>HYPERLINK("https://rhld.insurance.arkansas.gov/NPILookup?Npi=1649495342","1649495342")</f>
        <v>1649495342</v>
      </c>
      <c r="E5814" t="s">
        <v>2275</v>
      </c>
    </row>
    <row r="5815" spans="1:5" x14ac:dyDescent="0.25">
      <c r="A5815" t="s">
        <v>1</v>
      </c>
      <c r="B5815" t="s">
        <v>19</v>
      </c>
      <c r="C5815" t="s">
        <v>23490</v>
      </c>
      <c r="D5815" t="str">
        <f>HYPERLINK("https://rhld.insurance.arkansas.gov/NPILookup?Npi=1649506635","1649506635")</f>
        <v>1649506635</v>
      </c>
      <c r="E5815" t="s">
        <v>2276</v>
      </c>
    </row>
    <row r="5816" spans="1:5" x14ac:dyDescent="0.25">
      <c r="A5816" t="s">
        <v>1</v>
      </c>
      <c r="B5816" t="s">
        <v>19</v>
      </c>
      <c r="C5816" t="s">
        <v>23490</v>
      </c>
      <c r="D5816" t="str">
        <f>HYPERLINK("https://rhld.insurance.arkansas.gov/NPILookup?Npi=1649508474","1649508474")</f>
        <v>1649508474</v>
      </c>
      <c r="E5816" t="s">
        <v>19905</v>
      </c>
    </row>
    <row r="5817" spans="1:5" x14ac:dyDescent="0.25">
      <c r="A5817" t="s">
        <v>1</v>
      </c>
      <c r="B5817" t="s">
        <v>19</v>
      </c>
      <c r="C5817" t="s">
        <v>23490</v>
      </c>
      <c r="D5817" t="str">
        <f>HYPERLINK("https://rhld.insurance.arkansas.gov/NPILookup?Npi=1649535519","1649535519")</f>
        <v>1649535519</v>
      </c>
      <c r="E5817" t="s">
        <v>8780</v>
      </c>
    </row>
    <row r="5818" spans="1:5" x14ac:dyDescent="0.25">
      <c r="A5818" t="s">
        <v>1</v>
      </c>
      <c r="B5818" t="s">
        <v>19</v>
      </c>
      <c r="C5818" t="s">
        <v>23490</v>
      </c>
      <c r="D5818" t="str">
        <f>HYPERLINK("https://rhld.insurance.arkansas.gov/NPILookup?Npi=1649536434","1649536434")</f>
        <v>1649536434</v>
      </c>
      <c r="E5818" t="s">
        <v>11142</v>
      </c>
    </row>
    <row r="5819" spans="1:5" x14ac:dyDescent="0.25">
      <c r="A5819" t="s">
        <v>1</v>
      </c>
      <c r="B5819" t="s">
        <v>19</v>
      </c>
      <c r="C5819" t="s">
        <v>23490</v>
      </c>
      <c r="D5819" t="str">
        <f>HYPERLINK("https://rhld.insurance.arkansas.gov/NPILookup?Npi=1649538679","1649538679")</f>
        <v>1649538679</v>
      </c>
      <c r="E5819" t="s">
        <v>2277</v>
      </c>
    </row>
    <row r="5820" spans="1:5" x14ac:dyDescent="0.25">
      <c r="A5820" t="s">
        <v>1</v>
      </c>
      <c r="B5820" t="s">
        <v>19</v>
      </c>
      <c r="C5820" t="s">
        <v>23490</v>
      </c>
      <c r="D5820" t="str">
        <f>HYPERLINK("https://rhld.insurance.arkansas.gov/NPILookup?Npi=1649539768","1649539768")</f>
        <v>1649539768</v>
      </c>
      <c r="E5820" t="s">
        <v>19906</v>
      </c>
    </row>
    <row r="5821" spans="1:5" x14ac:dyDescent="0.25">
      <c r="A5821" t="s">
        <v>1</v>
      </c>
      <c r="B5821" t="s">
        <v>19</v>
      </c>
      <c r="C5821" t="s">
        <v>23490</v>
      </c>
      <c r="D5821" t="str">
        <f>HYPERLINK("https://rhld.insurance.arkansas.gov/NPILookup?Npi=1649545302","1649545302")</f>
        <v>1649545302</v>
      </c>
      <c r="E5821" t="s">
        <v>19907</v>
      </c>
    </row>
    <row r="5822" spans="1:5" x14ac:dyDescent="0.25">
      <c r="A5822" t="s">
        <v>1</v>
      </c>
      <c r="B5822" t="s">
        <v>19</v>
      </c>
      <c r="C5822" t="s">
        <v>23490</v>
      </c>
      <c r="D5822" t="str">
        <f>HYPERLINK("https://rhld.insurance.arkansas.gov/NPILookup?Npi=1649548926","1649548926")</f>
        <v>1649548926</v>
      </c>
      <c r="E5822" t="s">
        <v>2278</v>
      </c>
    </row>
    <row r="5823" spans="1:5" x14ac:dyDescent="0.25">
      <c r="A5823" t="s">
        <v>1</v>
      </c>
      <c r="B5823" t="s">
        <v>19</v>
      </c>
      <c r="C5823" t="s">
        <v>23490</v>
      </c>
      <c r="D5823" t="str">
        <f>HYPERLINK("https://rhld.insurance.arkansas.gov/NPILookup?Npi=1649550708","1649550708")</f>
        <v>1649550708</v>
      </c>
      <c r="E5823" t="s">
        <v>15378</v>
      </c>
    </row>
    <row r="5824" spans="1:5" x14ac:dyDescent="0.25">
      <c r="A5824" t="s">
        <v>1</v>
      </c>
      <c r="B5824" t="s">
        <v>19</v>
      </c>
      <c r="C5824" t="s">
        <v>23490</v>
      </c>
      <c r="D5824" t="str">
        <f>HYPERLINK("https://rhld.insurance.arkansas.gov/NPILookup?Npi=1649556283","1649556283")</f>
        <v>1649556283</v>
      </c>
      <c r="E5824" t="s">
        <v>11143</v>
      </c>
    </row>
    <row r="5825" spans="1:5" x14ac:dyDescent="0.25">
      <c r="A5825" t="s">
        <v>1</v>
      </c>
      <c r="B5825" t="s">
        <v>19</v>
      </c>
      <c r="C5825" t="s">
        <v>23490</v>
      </c>
      <c r="D5825" t="str">
        <f>HYPERLINK("https://rhld.insurance.arkansas.gov/NPILookup?Npi=1649580473","1649580473")</f>
        <v>1649580473</v>
      </c>
      <c r="E5825" t="s">
        <v>2279</v>
      </c>
    </row>
    <row r="5826" spans="1:5" x14ac:dyDescent="0.25">
      <c r="A5826" t="s">
        <v>1</v>
      </c>
      <c r="B5826" t="s">
        <v>19</v>
      </c>
      <c r="C5826" t="s">
        <v>23490</v>
      </c>
      <c r="D5826" t="str">
        <f>HYPERLINK("https://rhld.insurance.arkansas.gov/NPILookup?Npi=1649590886","1649590886")</f>
        <v>1649590886</v>
      </c>
      <c r="E5826" t="s">
        <v>2280</v>
      </c>
    </row>
    <row r="5827" spans="1:5" x14ac:dyDescent="0.25">
      <c r="A5827" t="s">
        <v>1</v>
      </c>
      <c r="B5827" t="s">
        <v>19</v>
      </c>
      <c r="C5827" t="s">
        <v>23490</v>
      </c>
      <c r="D5827" t="str">
        <f>HYPERLINK("https://rhld.insurance.arkansas.gov/NPILookup?Npi=1649599978","1649599978")</f>
        <v>1649599978</v>
      </c>
      <c r="E5827" t="s">
        <v>18064</v>
      </c>
    </row>
    <row r="5828" spans="1:5" x14ac:dyDescent="0.25">
      <c r="A5828" t="s">
        <v>1</v>
      </c>
      <c r="B5828" t="s">
        <v>19</v>
      </c>
      <c r="C5828" t="s">
        <v>23490</v>
      </c>
      <c r="D5828" t="str">
        <f>HYPERLINK("https://rhld.insurance.arkansas.gov/NPILookup?Npi=1649602012","1649602012")</f>
        <v>1649602012</v>
      </c>
      <c r="E5828" t="s">
        <v>19908</v>
      </c>
    </row>
    <row r="5829" spans="1:5" x14ac:dyDescent="0.25">
      <c r="A5829" t="s">
        <v>1</v>
      </c>
      <c r="B5829" t="s">
        <v>19</v>
      </c>
      <c r="C5829" t="s">
        <v>23490</v>
      </c>
      <c r="D5829" t="str">
        <f>HYPERLINK("https://rhld.insurance.arkansas.gov/NPILookup?Npi=1649604141","1649604141")</f>
        <v>1649604141</v>
      </c>
      <c r="E5829" t="s">
        <v>2281</v>
      </c>
    </row>
    <row r="5830" spans="1:5" x14ac:dyDescent="0.25">
      <c r="A5830" t="s">
        <v>1</v>
      </c>
      <c r="B5830" t="s">
        <v>19</v>
      </c>
      <c r="C5830" t="s">
        <v>23490</v>
      </c>
      <c r="D5830" t="str">
        <f>HYPERLINK("https://rhld.insurance.arkansas.gov/NPILookup?Npi=1649614462","1649614462")</f>
        <v>1649614462</v>
      </c>
      <c r="E5830" t="s">
        <v>20992</v>
      </c>
    </row>
    <row r="5831" spans="1:5" x14ac:dyDescent="0.25">
      <c r="A5831" t="s">
        <v>1</v>
      </c>
      <c r="B5831" t="s">
        <v>19</v>
      </c>
      <c r="C5831" t="s">
        <v>23490</v>
      </c>
      <c r="D5831" t="str">
        <f>HYPERLINK("https://rhld.insurance.arkansas.gov/NPILookup?Npi=1649632886","1649632886")</f>
        <v>1649632886</v>
      </c>
      <c r="E5831" t="s">
        <v>13633</v>
      </c>
    </row>
    <row r="5832" spans="1:5" x14ac:dyDescent="0.25">
      <c r="A5832" t="s">
        <v>1</v>
      </c>
      <c r="B5832" t="s">
        <v>19</v>
      </c>
      <c r="C5832" t="s">
        <v>8427</v>
      </c>
      <c r="D5832" t="str">
        <f>HYPERLINK("https://rhld.insurance.arkansas.gov/NPILookup?Npi=1649634585","1649634585")</f>
        <v>1649634585</v>
      </c>
      <c r="E5832" t="s">
        <v>22965</v>
      </c>
    </row>
    <row r="5833" spans="1:5" x14ac:dyDescent="0.25">
      <c r="A5833" t="s">
        <v>1</v>
      </c>
      <c r="B5833" t="s">
        <v>19</v>
      </c>
      <c r="C5833" t="s">
        <v>23490</v>
      </c>
      <c r="D5833" t="str">
        <f>HYPERLINK("https://rhld.insurance.arkansas.gov/NPILookup?Npi=1649634601","1649634601")</f>
        <v>1649634601</v>
      </c>
      <c r="E5833" t="s">
        <v>17454</v>
      </c>
    </row>
    <row r="5834" spans="1:5" x14ac:dyDescent="0.25">
      <c r="A5834" t="s">
        <v>1</v>
      </c>
      <c r="B5834" t="s">
        <v>19</v>
      </c>
      <c r="C5834" t="s">
        <v>23490</v>
      </c>
      <c r="D5834" t="str">
        <f>HYPERLINK("https://rhld.insurance.arkansas.gov/NPILookup?Npi=1649649773","1649649773")</f>
        <v>1649649773</v>
      </c>
      <c r="E5834" t="s">
        <v>15379</v>
      </c>
    </row>
    <row r="5835" spans="1:5" x14ac:dyDescent="0.25">
      <c r="A5835" t="s">
        <v>1</v>
      </c>
      <c r="B5835" t="s">
        <v>19</v>
      </c>
      <c r="C5835" t="s">
        <v>23490</v>
      </c>
      <c r="D5835" t="str">
        <f>HYPERLINK("https://rhld.insurance.arkansas.gov/NPILookup?Npi=1649656752","1649656752")</f>
        <v>1649656752</v>
      </c>
      <c r="E5835" t="s">
        <v>19909</v>
      </c>
    </row>
    <row r="5836" spans="1:5" x14ac:dyDescent="0.25">
      <c r="A5836" t="s">
        <v>1</v>
      </c>
      <c r="B5836" t="s">
        <v>19</v>
      </c>
      <c r="C5836" t="s">
        <v>23490</v>
      </c>
      <c r="D5836" t="str">
        <f>HYPERLINK("https://rhld.insurance.arkansas.gov/NPILookup?Npi=1649672031","1649672031")</f>
        <v>1649672031</v>
      </c>
      <c r="E5836" t="s">
        <v>18828</v>
      </c>
    </row>
    <row r="5837" spans="1:5" x14ac:dyDescent="0.25">
      <c r="A5837" t="s">
        <v>1</v>
      </c>
      <c r="B5837" t="s">
        <v>19</v>
      </c>
      <c r="C5837" t="s">
        <v>23490</v>
      </c>
      <c r="D5837" t="str">
        <f>HYPERLINK("https://rhld.insurance.arkansas.gov/NPILookup?Npi=1649686148","1649686148")</f>
        <v>1649686148</v>
      </c>
      <c r="E5837" t="s">
        <v>2282</v>
      </c>
    </row>
    <row r="5838" spans="1:5" x14ac:dyDescent="0.25">
      <c r="A5838" t="s">
        <v>1</v>
      </c>
      <c r="B5838" t="s">
        <v>19</v>
      </c>
      <c r="C5838" t="s">
        <v>23490</v>
      </c>
      <c r="D5838" t="str">
        <f>HYPERLINK("https://rhld.insurance.arkansas.gov/NPILookup?Npi=1649694183","1649694183")</f>
        <v>1649694183</v>
      </c>
      <c r="E5838" t="s">
        <v>2283</v>
      </c>
    </row>
    <row r="5839" spans="1:5" x14ac:dyDescent="0.25">
      <c r="A5839" t="s">
        <v>1</v>
      </c>
      <c r="B5839" t="s">
        <v>19</v>
      </c>
      <c r="C5839" t="s">
        <v>23490</v>
      </c>
      <c r="D5839" t="str">
        <f>HYPERLINK("https://rhld.insurance.arkansas.gov/NPILookup?Npi=1649695867","1649695867")</f>
        <v>1649695867</v>
      </c>
      <c r="E5839" t="s">
        <v>21605</v>
      </c>
    </row>
    <row r="5840" spans="1:5" x14ac:dyDescent="0.25">
      <c r="A5840" t="s">
        <v>1</v>
      </c>
      <c r="B5840" t="s">
        <v>19</v>
      </c>
      <c r="C5840" t="s">
        <v>23490</v>
      </c>
      <c r="D5840" t="str">
        <f>HYPERLINK("https://rhld.insurance.arkansas.gov/NPILookup?Npi=1649697376","1649697376")</f>
        <v>1649697376</v>
      </c>
      <c r="E5840" t="s">
        <v>15380</v>
      </c>
    </row>
    <row r="5841" spans="1:5" x14ac:dyDescent="0.25">
      <c r="A5841" t="s">
        <v>1</v>
      </c>
      <c r="B5841" t="s">
        <v>19</v>
      </c>
      <c r="C5841" t="s">
        <v>23490</v>
      </c>
      <c r="D5841" t="str">
        <f>HYPERLINK("https://rhld.insurance.arkansas.gov/NPILookup?Npi=1649700063","1649700063")</f>
        <v>1649700063</v>
      </c>
      <c r="E5841" t="s">
        <v>11144</v>
      </c>
    </row>
    <row r="5842" spans="1:5" x14ac:dyDescent="0.25">
      <c r="A5842" t="s">
        <v>1</v>
      </c>
      <c r="B5842" t="s">
        <v>19</v>
      </c>
      <c r="C5842" t="s">
        <v>23490</v>
      </c>
      <c r="D5842" t="str">
        <f>HYPERLINK("https://rhld.insurance.arkansas.gov/NPILookup?Npi=1649700337","1649700337")</f>
        <v>1649700337</v>
      </c>
      <c r="E5842" t="s">
        <v>22966</v>
      </c>
    </row>
    <row r="5843" spans="1:5" x14ac:dyDescent="0.25">
      <c r="A5843" t="s">
        <v>1</v>
      </c>
      <c r="B5843" t="s">
        <v>19</v>
      </c>
      <c r="C5843" t="s">
        <v>23490</v>
      </c>
      <c r="D5843" t="str">
        <f>HYPERLINK("https://rhld.insurance.arkansas.gov/NPILookup?Npi=1649702226","1649702226")</f>
        <v>1649702226</v>
      </c>
      <c r="E5843" t="s">
        <v>21606</v>
      </c>
    </row>
    <row r="5844" spans="1:5" x14ac:dyDescent="0.25">
      <c r="A5844" t="s">
        <v>1</v>
      </c>
      <c r="B5844" t="s">
        <v>19</v>
      </c>
      <c r="C5844" t="s">
        <v>23490</v>
      </c>
      <c r="D5844" t="str">
        <f>HYPERLINK("https://rhld.insurance.arkansas.gov/NPILookup?Npi=1649719923","1649719923")</f>
        <v>1649719923</v>
      </c>
      <c r="E5844" t="s">
        <v>11145</v>
      </c>
    </row>
    <row r="5845" spans="1:5" x14ac:dyDescent="0.25">
      <c r="A5845" t="s">
        <v>1</v>
      </c>
      <c r="B5845" t="s">
        <v>19</v>
      </c>
      <c r="C5845" t="s">
        <v>23490</v>
      </c>
      <c r="D5845" t="str">
        <f>HYPERLINK("https://rhld.insurance.arkansas.gov/NPILookup?Npi=1649720095","1649720095")</f>
        <v>1649720095</v>
      </c>
      <c r="E5845" t="s">
        <v>11146</v>
      </c>
    </row>
    <row r="5846" spans="1:5" x14ac:dyDescent="0.25">
      <c r="A5846" t="s">
        <v>1</v>
      </c>
      <c r="B5846" t="s">
        <v>19</v>
      </c>
      <c r="C5846" t="s">
        <v>23490</v>
      </c>
      <c r="D5846" t="str">
        <f>HYPERLINK("https://rhld.insurance.arkansas.gov/NPILookup?Npi=1649726845","1649726845")</f>
        <v>1649726845</v>
      </c>
      <c r="E5846" t="s">
        <v>11147</v>
      </c>
    </row>
    <row r="5847" spans="1:5" x14ac:dyDescent="0.25">
      <c r="A5847" t="s">
        <v>1</v>
      </c>
      <c r="B5847" t="s">
        <v>19</v>
      </c>
      <c r="C5847" t="s">
        <v>23490</v>
      </c>
      <c r="D5847" t="str">
        <f>HYPERLINK("https://rhld.insurance.arkansas.gov/NPILookup?Npi=1649733478","1649733478")</f>
        <v>1649733478</v>
      </c>
      <c r="E5847" t="s">
        <v>18652</v>
      </c>
    </row>
    <row r="5848" spans="1:5" x14ac:dyDescent="0.25">
      <c r="A5848" t="s">
        <v>1</v>
      </c>
      <c r="B5848" t="s">
        <v>19</v>
      </c>
      <c r="C5848" t="s">
        <v>23490</v>
      </c>
      <c r="D5848" t="str">
        <f>HYPERLINK("https://rhld.insurance.arkansas.gov/NPILookup?Npi=1649733817","1649733817")</f>
        <v>1649733817</v>
      </c>
      <c r="E5848" t="s">
        <v>20993</v>
      </c>
    </row>
    <row r="5849" spans="1:5" x14ac:dyDescent="0.25">
      <c r="A5849" t="s">
        <v>1</v>
      </c>
      <c r="B5849" t="s">
        <v>19</v>
      </c>
      <c r="C5849" t="s">
        <v>23490</v>
      </c>
      <c r="D5849" t="str">
        <f>HYPERLINK("https://rhld.insurance.arkansas.gov/NPILookup?Npi=1649737719","1649737719")</f>
        <v>1649737719</v>
      </c>
      <c r="E5849" t="s">
        <v>13634</v>
      </c>
    </row>
    <row r="5850" spans="1:5" x14ac:dyDescent="0.25">
      <c r="A5850" t="s">
        <v>1</v>
      </c>
      <c r="B5850" t="s">
        <v>19</v>
      </c>
      <c r="C5850" t="s">
        <v>23490</v>
      </c>
      <c r="D5850" t="str">
        <f>HYPERLINK("https://rhld.insurance.arkansas.gov/NPILookup?Npi=1649744244","1649744244")</f>
        <v>1649744244</v>
      </c>
      <c r="E5850" t="s">
        <v>19910</v>
      </c>
    </row>
    <row r="5851" spans="1:5" x14ac:dyDescent="0.25">
      <c r="A5851" t="s">
        <v>1</v>
      </c>
      <c r="B5851" t="s">
        <v>19</v>
      </c>
      <c r="C5851" t="s">
        <v>23490</v>
      </c>
      <c r="D5851" t="str">
        <f>HYPERLINK("https://rhld.insurance.arkansas.gov/NPILookup?Npi=1649755133","1649755133")</f>
        <v>1649755133</v>
      </c>
      <c r="E5851" t="s">
        <v>21607</v>
      </c>
    </row>
    <row r="5852" spans="1:5" x14ac:dyDescent="0.25">
      <c r="A5852" t="s">
        <v>1</v>
      </c>
      <c r="B5852" t="s">
        <v>19</v>
      </c>
      <c r="C5852" t="s">
        <v>23490</v>
      </c>
      <c r="D5852" t="str">
        <f>HYPERLINK("https://rhld.insurance.arkansas.gov/NPILookup?Npi=1649756198","1649756198")</f>
        <v>1649756198</v>
      </c>
      <c r="E5852" t="s">
        <v>13635</v>
      </c>
    </row>
    <row r="5853" spans="1:5" x14ac:dyDescent="0.25">
      <c r="A5853" t="s">
        <v>1</v>
      </c>
      <c r="B5853" t="s">
        <v>19</v>
      </c>
      <c r="C5853" t="s">
        <v>23490</v>
      </c>
      <c r="D5853" t="str">
        <f>HYPERLINK("https://rhld.insurance.arkansas.gov/NPILookup?Npi=1649756586","1649756586")</f>
        <v>1649756586</v>
      </c>
      <c r="E5853" t="s">
        <v>13636</v>
      </c>
    </row>
    <row r="5854" spans="1:5" x14ac:dyDescent="0.25">
      <c r="A5854" t="s">
        <v>1</v>
      </c>
      <c r="B5854" t="s">
        <v>19</v>
      </c>
      <c r="C5854" t="s">
        <v>23490</v>
      </c>
      <c r="D5854" t="str">
        <f>HYPERLINK("https://rhld.insurance.arkansas.gov/NPILookup?Npi=1649761917","1649761917")</f>
        <v>1649761917</v>
      </c>
      <c r="E5854" t="s">
        <v>18829</v>
      </c>
    </row>
    <row r="5855" spans="1:5" x14ac:dyDescent="0.25">
      <c r="A5855" t="s">
        <v>1</v>
      </c>
      <c r="B5855" t="s">
        <v>19</v>
      </c>
      <c r="C5855" t="s">
        <v>23490</v>
      </c>
      <c r="D5855" t="str">
        <f>HYPERLINK("https://rhld.insurance.arkansas.gov/NPILookup?Npi=1649776659","1649776659")</f>
        <v>1649776659</v>
      </c>
      <c r="E5855" t="s">
        <v>18830</v>
      </c>
    </row>
    <row r="5856" spans="1:5" x14ac:dyDescent="0.25">
      <c r="A5856" t="s">
        <v>1</v>
      </c>
      <c r="B5856" t="s">
        <v>19</v>
      </c>
      <c r="C5856" t="s">
        <v>23490</v>
      </c>
      <c r="D5856" t="str">
        <f>HYPERLINK("https://rhld.insurance.arkansas.gov/NPILookup?Npi=1649780404","1649780404")</f>
        <v>1649780404</v>
      </c>
      <c r="E5856" t="s">
        <v>12875</v>
      </c>
    </row>
    <row r="5857" spans="1:5" x14ac:dyDescent="0.25">
      <c r="A5857" t="s">
        <v>1</v>
      </c>
      <c r="B5857" t="s">
        <v>19</v>
      </c>
      <c r="C5857" t="s">
        <v>23490</v>
      </c>
      <c r="D5857" t="str">
        <f>HYPERLINK("https://rhld.insurance.arkansas.gov/NPILookup?Npi=1649811415","1649811415")</f>
        <v>1649811415</v>
      </c>
      <c r="E5857" t="s">
        <v>15381</v>
      </c>
    </row>
    <row r="5858" spans="1:5" x14ac:dyDescent="0.25">
      <c r="A5858" t="s">
        <v>1</v>
      </c>
      <c r="B5858" t="s">
        <v>19</v>
      </c>
      <c r="C5858" t="s">
        <v>23490</v>
      </c>
      <c r="D5858" t="str">
        <f>HYPERLINK("https://rhld.insurance.arkansas.gov/NPILookup?Npi=1649816794","1649816794")</f>
        <v>1649816794</v>
      </c>
      <c r="E5858" t="s">
        <v>16997</v>
      </c>
    </row>
    <row r="5859" spans="1:5" x14ac:dyDescent="0.25">
      <c r="A5859" t="s">
        <v>1</v>
      </c>
      <c r="B5859" t="s">
        <v>19</v>
      </c>
      <c r="C5859" t="s">
        <v>23490</v>
      </c>
      <c r="D5859" t="str">
        <f>HYPERLINK("https://rhld.insurance.arkansas.gov/NPILookup?Npi=1649821448","1649821448")</f>
        <v>1649821448</v>
      </c>
      <c r="E5859" t="s">
        <v>19911</v>
      </c>
    </row>
    <row r="5860" spans="1:5" x14ac:dyDescent="0.25">
      <c r="A5860" t="s">
        <v>1</v>
      </c>
      <c r="B5860" t="s">
        <v>19</v>
      </c>
      <c r="C5860" t="s">
        <v>23490</v>
      </c>
      <c r="D5860" t="str">
        <f>HYPERLINK("https://rhld.insurance.arkansas.gov/NPILookup?Npi=1649831041","1649831041")</f>
        <v>1649831041</v>
      </c>
      <c r="E5860" t="s">
        <v>15382</v>
      </c>
    </row>
    <row r="5861" spans="1:5" x14ac:dyDescent="0.25">
      <c r="A5861" t="s">
        <v>1</v>
      </c>
      <c r="B5861" t="s">
        <v>19</v>
      </c>
      <c r="C5861" t="s">
        <v>23490</v>
      </c>
      <c r="D5861" t="str">
        <f>HYPERLINK("https://rhld.insurance.arkansas.gov/NPILookup?Npi=1649840489","1649840489")</f>
        <v>1649840489</v>
      </c>
      <c r="E5861" t="s">
        <v>19912</v>
      </c>
    </row>
    <row r="5862" spans="1:5" x14ac:dyDescent="0.25">
      <c r="A5862" t="s">
        <v>1</v>
      </c>
      <c r="B5862" t="s">
        <v>19</v>
      </c>
      <c r="C5862" t="s">
        <v>23490</v>
      </c>
      <c r="D5862" t="str">
        <f>HYPERLINK("https://rhld.insurance.arkansas.gov/NPILookup?Npi=1649874736","1649874736")</f>
        <v>1649874736</v>
      </c>
      <c r="E5862" t="s">
        <v>18065</v>
      </c>
    </row>
    <row r="5863" spans="1:5" x14ac:dyDescent="0.25">
      <c r="A5863" t="s">
        <v>1</v>
      </c>
      <c r="B5863" t="s">
        <v>19</v>
      </c>
      <c r="C5863" t="s">
        <v>23490</v>
      </c>
      <c r="D5863" t="str">
        <f>HYPERLINK("https://rhld.insurance.arkansas.gov/NPILookup?Npi=1649885252","1649885252")</f>
        <v>1649885252</v>
      </c>
      <c r="E5863" t="s">
        <v>19913</v>
      </c>
    </row>
    <row r="5864" spans="1:5" x14ac:dyDescent="0.25">
      <c r="A5864" t="s">
        <v>1</v>
      </c>
      <c r="B5864" t="s">
        <v>19</v>
      </c>
      <c r="C5864" t="s">
        <v>23490</v>
      </c>
      <c r="D5864" t="str">
        <f>HYPERLINK("https://rhld.insurance.arkansas.gov/NPILookup?Npi=1649888413","1649888413")</f>
        <v>1649888413</v>
      </c>
      <c r="E5864" t="s">
        <v>17455</v>
      </c>
    </row>
    <row r="5865" spans="1:5" x14ac:dyDescent="0.25">
      <c r="A5865" t="s">
        <v>1</v>
      </c>
      <c r="B5865" t="s">
        <v>19</v>
      </c>
      <c r="C5865" t="s">
        <v>23490</v>
      </c>
      <c r="D5865" t="str">
        <f>HYPERLINK("https://rhld.insurance.arkansas.gov/NPILookup?Npi=1649907593","1649907593")</f>
        <v>1649907593</v>
      </c>
      <c r="E5865" t="s">
        <v>21608</v>
      </c>
    </row>
    <row r="5866" spans="1:5" x14ac:dyDescent="0.25">
      <c r="A5866" t="s">
        <v>1</v>
      </c>
      <c r="B5866" t="s">
        <v>19</v>
      </c>
      <c r="C5866" t="s">
        <v>23490</v>
      </c>
      <c r="D5866" t="str">
        <f>HYPERLINK("https://rhld.insurance.arkansas.gov/NPILookup?Npi=1649933417","1649933417")</f>
        <v>1649933417</v>
      </c>
      <c r="E5866" t="s">
        <v>19914</v>
      </c>
    </row>
    <row r="5867" spans="1:5" x14ac:dyDescent="0.25">
      <c r="A5867" t="s">
        <v>1</v>
      </c>
      <c r="B5867" t="s">
        <v>19</v>
      </c>
      <c r="C5867" t="s">
        <v>23490</v>
      </c>
      <c r="D5867" t="str">
        <f>HYPERLINK("https://rhld.insurance.arkansas.gov/NPILookup?Npi=1649946120","1649946120")</f>
        <v>1649946120</v>
      </c>
      <c r="E5867" t="s">
        <v>19915</v>
      </c>
    </row>
    <row r="5868" spans="1:5" x14ac:dyDescent="0.25">
      <c r="A5868" t="s">
        <v>1</v>
      </c>
      <c r="B5868" t="s">
        <v>19</v>
      </c>
      <c r="C5868" t="s">
        <v>23490</v>
      </c>
      <c r="D5868" t="str">
        <f>HYPERLINK("https://rhld.insurance.arkansas.gov/NPILookup?Npi=1649947276","1649947276")</f>
        <v>1649947276</v>
      </c>
      <c r="E5868" t="s">
        <v>19916</v>
      </c>
    </row>
    <row r="5869" spans="1:5" x14ac:dyDescent="0.25">
      <c r="A5869" t="s">
        <v>1</v>
      </c>
      <c r="B5869" t="s">
        <v>19</v>
      </c>
      <c r="C5869" t="s">
        <v>23490</v>
      </c>
      <c r="D5869" t="str">
        <f>HYPERLINK("https://rhld.insurance.arkansas.gov/NPILookup?Npi=1649947318","1649947318")</f>
        <v>1649947318</v>
      </c>
      <c r="E5869" t="s">
        <v>18831</v>
      </c>
    </row>
    <row r="5870" spans="1:5" x14ac:dyDescent="0.25">
      <c r="A5870" t="s">
        <v>1</v>
      </c>
      <c r="B5870" t="s">
        <v>19</v>
      </c>
      <c r="C5870" t="s">
        <v>23490</v>
      </c>
      <c r="D5870" t="str">
        <f>HYPERLINK("https://rhld.insurance.arkansas.gov/NPILookup?Npi=1649981127","1649981127")</f>
        <v>1649981127</v>
      </c>
      <c r="E5870" t="s">
        <v>21609</v>
      </c>
    </row>
    <row r="5871" spans="1:5" x14ac:dyDescent="0.25">
      <c r="A5871" t="s">
        <v>1</v>
      </c>
      <c r="B5871" t="s">
        <v>19</v>
      </c>
      <c r="C5871" t="s">
        <v>23490</v>
      </c>
      <c r="D5871" t="str">
        <f>HYPERLINK("https://rhld.insurance.arkansas.gov/NPILookup?Npi=1649995861","1649995861")</f>
        <v>1649995861</v>
      </c>
      <c r="E5871" t="s">
        <v>21610</v>
      </c>
    </row>
    <row r="5872" spans="1:5" x14ac:dyDescent="0.25">
      <c r="A5872" t="s">
        <v>1</v>
      </c>
      <c r="B5872" t="s">
        <v>19</v>
      </c>
      <c r="C5872" t="s">
        <v>23490</v>
      </c>
      <c r="D5872" t="str">
        <f>HYPERLINK("https://rhld.insurance.arkansas.gov/NPILookup?Npi=1659012425","1659012425")</f>
        <v>1659012425</v>
      </c>
      <c r="E5872" t="s">
        <v>20994</v>
      </c>
    </row>
    <row r="5873" spans="1:5" x14ac:dyDescent="0.25">
      <c r="A5873" t="s">
        <v>1</v>
      </c>
      <c r="B5873" t="s">
        <v>19</v>
      </c>
      <c r="C5873" t="s">
        <v>23490</v>
      </c>
      <c r="D5873" t="str">
        <f>HYPERLINK("https://rhld.insurance.arkansas.gov/NPILookup?Npi=1659019453","1659019453")</f>
        <v>1659019453</v>
      </c>
      <c r="E5873" t="s">
        <v>21611</v>
      </c>
    </row>
    <row r="5874" spans="1:5" x14ac:dyDescent="0.25">
      <c r="A5874" t="s">
        <v>1</v>
      </c>
      <c r="B5874" t="s">
        <v>19</v>
      </c>
      <c r="C5874" t="s">
        <v>23490</v>
      </c>
      <c r="D5874" t="str">
        <f>HYPERLINK("https://rhld.insurance.arkansas.gov/NPILookup?Npi=1659038800","1659038800")</f>
        <v>1659038800</v>
      </c>
      <c r="E5874" t="s">
        <v>19917</v>
      </c>
    </row>
    <row r="5875" spans="1:5" x14ac:dyDescent="0.25">
      <c r="A5875" t="s">
        <v>1</v>
      </c>
      <c r="B5875" t="s">
        <v>19</v>
      </c>
      <c r="C5875" t="s">
        <v>23490</v>
      </c>
      <c r="D5875" t="str">
        <f>HYPERLINK("https://rhld.insurance.arkansas.gov/NPILookup?Npi=1659092922","1659092922")</f>
        <v>1659092922</v>
      </c>
      <c r="E5875" t="s">
        <v>21612</v>
      </c>
    </row>
    <row r="5876" spans="1:5" x14ac:dyDescent="0.25">
      <c r="A5876" t="s">
        <v>1</v>
      </c>
      <c r="B5876" t="s">
        <v>19</v>
      </c>
      <c r="C5876" t="s">
        <v>23490</v>
      </c>
      <c r="D5876" t="str">
        <f>HYPERLINK("https://rhld.insurance.arkansas.gov/NPILookup?Npi=1659302339","1659302339")</f>
        <v>1659302339</v>
      </c>
      <c r="E5876" t="s">
        <v>2284</v>
      </c>
    </row>
    <row r="5877" spans="1:5" x14ac:dyDescent="0.25">
      <c r="A5877" t="s">
        <v>1</v>
      </c>
      <c r="B5877" t="s">
        <v>19</v>
      </c>
      <c r="C5877" t="s">
        <v>23490</v>
      </c>
      <c r="D5877" t="str">
        <f>HYPERLINK("https://rhld.insurance.arkansas.gov/NPILookup?Npi=1659302545","1659302545")</f>
        <v>1659302545</v>
      </c>
      <c r="E5877" t="s">
        <v>15383</v>
      </c>
    </row>
    <row r="5878" spans="1:5" x14ac:dyDescent="0.25">
      <c r="A5878" t="s">
        <v>1</v>
      </c>
      <c r="B5878" t="s">
        <v>19</v>
      </c>
      <c r="C5878" t="s">
        <v>23490</v>
      </c>
      <c r="D5878" t="str">
        <f>HYPERLINK("https://rhld.insurance.arkansas.gov/NPILookup?Npi=1659311694","1659311694")</f>
        <v>1659311694</v>
      </c>
      <c r="E5878" t="s">
        <v>8781</v>
      </c>
    </row>
    <row r="5879" spans="1:5" x14ac:dyDescent="0.25">
      <c r="A5879" t="s">
        <v>1</v>
      </c>
      <c r="B5879" t="s">
        <v>19</v>
      </c>
      <c r="C5879" t="s">
        <v>23490</v>
      </c>
      <c r="D5879" t="str">
        <f>HYPERLINK("https://rhld.insurance.arkansas.gov/NPILookup?Npi=1659317410","1659317410")</f>
        <v>1659317410</v>
      </c>
      <c r="E5879" t="s">
        <v>1466</v>
      </c>
    </row>
    <row r="5880" spans="1:5" x14ac:dyDescent="0.25">
      <c r="A5880" t="s">
        <v>1</v>
      </c>
      <c r="B5880" t="s">
        <v>19</v>
      </c>
      <c r="C5880" t="s">
        <v>23490</v>
      </c>
      <c r="D5880" t="str">
        <f>HYPERLINK("https://rhld.insurance.arkansas.gov/NPILookup?Npi=1659319879","1659319879")</f>
        <v>1659319879</v>
      </c>
      <c r="E5880" t="s">
        <v>2285</v>
      </c>
    </row>
    <row r="5881" spans="1:5" x14ac:dyDescent="0.25">
      <c r="A5881" t="s">
        <v>1</v>
      </c>
      <c r="B5881" t="s">
        <v>19</v>
      </c>
      <c r="C5881" t="s">
        <v>23490</v>
      </c>
      <c r="D5881" t="str">
        <f>HYPERLINK("https://rhld.insurance.arkansas.gov/NPILookup?Npi=1659326023","1659326023")</f>
        <v>1659326023</v>
      </c>
      <c r="E5881" t="s">
        <v>2286</v>
      </c>
    </row>
    <row r="5882" spans="1:5" x14ac:dyDescent="0.25">
      <c r="A5882" t="s">
        <v>1</v>
      </c>
      <c r="B5882" t="s">
        <v>19</v>
      </c>
      <c r="C5882" t="s">
        <v>23490</v>
      </c>
      <c r="D5882" t="str">
        <f>HYPERLINK("https://rhld.insurance.arkansas.gov/NPILookup?Npi=1659326312","1659326312")</f>
        <v>1659326312</v>
      </c>
      <c r="E5882" t="s">
        <v>2287</v>
      </c>
    </row>
    <row r="5883" spans="1:5" x14ac:dyDescent="0.25">
      <c r="A5883" t="s">
        <v>1</v>
      </c>
      <c r="B5883" t="s">
        <v>19</v>
      </c>
      <c r="C5883" t="s">
        <v>23490</v>
      </c>
      <c r="D5883" t="str">
        <f>HYPERLINK("https://rhld.insurance.arkansas.gov/NPILookup?Npi=1659327765","1659327765")</f>
        <v>1659327765</v>
      </c>
      <c r="E5883" t="s">
        <v>2288</v>
      </c>
    </row>
    <row r="5884" spans="1:5" x14ac:dyDescent="0.25">
      <c r="A5884" t="s">
        <v>1</v>
      </c>
      <c r="B5884" t="s">
        <v>19</v>
      </c>
      <c r="C5884" t="s">
        <v>23490</v>
      </c>
      <c r="D5884" t="str">
        <f>HYPERLINK("https://rhld.insurance.arkansas.gov/NPILookup?Npi=1659331072","1659331072")</f>
        <v>1659331072</v>
      </c>
      <c r="E5884" t="s">
        <v>2289</v>
      </c>
    </row>
    <row r="5885" spans="1:5" x14ac:dyDescent="0.25">
      <c r="A5885" t="s">
        <v>1</v>
      </c>
      <c r="B5885" t="s">
        <v>19</v>
      </c>
      <c r="C5885" t="s">
        <v>23490</v>
      </c>
      <c r="D5885" t="str">
        <f>HYPERLINK("https://rhld.insurance.arkansas.gov/NPILookup?Npi=1659336006","1659336006")</f>
        <v>1659336006</v>
      </c>
      <c r="E5885" t="s">
        <v>13637</v>
      </c>
    </row>
    <row r="5886" spans="1:5" x14ac:dyDescent="0.25">
      <c r="A5886" t="s">
        <v>1</v>
      </c>
      <c r="B5886" t="s">
        <v>19</v>
      </c>
      <c r="C5886" t="s">
        <v>23490</v>
      </c>
      <c r="D5886" t="str">
        <f>HYPERLINK("https://rhld.insurance.arkansas.gov/NPILookup?Npi=1659336196","1659336196")</f>
        <v>1659336196</v>
      </c>
      <c r="E5886" t="s">
        <v>2290</v>
      </c>
    </row>
    <row r="5887" spans="1:5" x14ac:dyDescent="0.25">
      <c r="A5887" t="s">
        <v>1</v>
      </c>
      <c r="B5887" t="s">
        <v>19</v>
      </c>
      <c r="C5887" t="s">
        <v>23490</v>
      </c>
      <c r="D5887" t="str">
        <f>HYPERLINK("https://rhld.insurance.arkansas.gov/NPILookup?Npi=1659338663","1659338663")</f>
        <v>1659338663</v>
      </c>
      <c r="E5887" t="s">
        <v>2291</v>
      </c>
    </row>
    <row r="5888" spans="1:5" x14ac:dyDescent="0.25">
      <c r="A5888" t="s">
        <v>1</v>
      </c>
      <c r="B5888" t="s">
        <v>19</v>
      </c>
      <c r="C5888" t="s">
        <v>23490</v>
      </c>
      <c r="D5888" t="str">
        <f>HYPERLINK("https://rhld.insurance.arkansas.gov/NPILookup?Npi=1659340552","1659340552")</f>
        <v>1659340552</v>
      </c>
      <c r="E5888" t="s">
        <v>2292</v>
      </c>
    </row>
    <row r="5889" spans="1:5" x14ac:dyDescent="0.25">
      <c r="A5889" t="s">
        <v>1</v>
      </c>
      <c r="B5889" t="s">
        <v>19</v>
      </c>
      <c r="C5889" t="s">
        <v>23490</v>
      </c>
      <c r="D5889" t="str">
        <f>HYPERLINK("https://rhld.insurance.arkansas.gov/NPILookup?Npi=1659340826","1659340826")</f>
        <v>1659340826</v>
      </c>
      <c r="E5889" t="s">
        <v>2293</v>
      </c>
    </row>
    <row r="5890" spans="1:5" x14ac:dyDescent="0.25">
      <c r="A5890" t="s">
        <v>1</v>
      </c>
      <c r="B5890" t="s">
        <v>19</v>
      </c>
      <c r="C5890" t="s">
        <v>23490</v>
      </c>
      <c r="D5890" t="str">
        <f>HYPERLINK("https://rhld.insurance.arkansas.gov/NPILookup?Npi=1659345247","1659345247")</f>
        <v>1659345247</v>
      </c>
      <c r="E5890" t="s">
        <v>8782</v>
      </c>
    </row>
    <row r="5891" spans="1:5" x14ac:dyDescent="0.25">
      <c r="A5891" t="s">
        <v>1</v>
      </c>
      <c r="B5891" t="s">
        <v>19</v>
      </c>
      <c r="C5891" t="s">
        <v>23490</v>
      </c>
      <c r="D5891" t="str">
        <f>HYPERLINK("https://rhld.insurance.arkansas.gov/NPILookup?Npi=1659351864","1659351864")</f>
        <v>1659351864</v>
      </c>
      <c r="E5891" t="s">
        <v>15384</v>
      </c>
    </row>
    <row r="5892" spans="1:5" x14ac:dyDescent="0.25">
      <c r="A5892" t="s">
        <v>1</v>
      </c>
      <c r="B5892" t="s">
        <v>19</v>
      </c>
      <c r="C5892" t="s">
        <v>23490</v>
      </c>
      <c r="D5892" t="str">
        <f>HYPERLINK("https://rhld.insurance.arkansas.gov/NPILookup?Npi=1659364545","1659364545")</f>
        <v>1659364545</v>
      </c>
      <c r="E5892" t="s">
        <v>2294</v>
      </c>
    </row>
    <row r="5893" spans="1:5" x14ac:dyDescent="0.25">
      <c r="A5893" t="s">
        <v>1</v>
      </c>
      <c r="B5893" t="s">
        <v>19</v>
      </c>
      <c r="C5893" t="s">
        <v>23490</v>
      </c>
      <c r="D5893" t="str">
        <f>HYPERLINK("https://rhld.insurance.arkansas.gov/NPILookup?Npi=1659369411","1659369411")</f>
        <v>1659369411</v>
      </c>
      <c r="E5893" t="s">
        <v>2295</v>
      </c>
    </row>
    <row r="5894" spans="1:5" x14ac:dyDescent="0.25">
      <c r="A5894" t="s">
        <v>1</v>
      </c>
      <c r="B5894" t="s">
        <v>19</v>
      </c>
      <c r="C5894" t="s">
        <v>23490</v>
      </c>
      <c r="D5894" t="str">
        <f>HYPERLINK("https://rhld.insurance.arkansas.gov/NPILookup?Npi=1659369635","1659369635")</f>
        <v>1659369635</v>
      </c>
      <c r="E5894" t="s">
        <v>13638</v>
      </c>
    </row>
    <row r="5895" spans="1:5" x14ac:dyDescent="0.25">
      <c r="A5895" t="s">
        <v>1</v>
      </c>
      <c r="B5895" t="s">
        <v>19</v>
      </c>
      <c r="C5895" t="s">
        <v>23490</v>
      </c>
      <c r="D5895" t="str">
        <f>HYPERLINK("https://rhld.insurance.arkansas.gov/NPILookup?Npi=1659370229","1659370229")</f>
        <v>1659370229</v>
      </c>
      <c r="E5895" t="s">
        <v>2296</v>
      </c>
    </row>
    <row r="5896" spans="1:5" x14ac:dyDescent="0.25">
      <c r="A5896" t="s">
        <v>1</v>
      </c>
      <c r="B5896" t="s">
        <v>19</v>
      </c>
      <c r="C5896" t="s">
        <v>23490</v>
      </c>
      <c r="D5896" t="str">
        <f>HYPERLINK("https://rhld.insurance.arkansas.gov/NPILookup?Npi=1659373223","1659373223")</f>
        <v>1659373223</v>
      </c>
      <c r="E5896" t="s">
        <v>19918</v>
      </c>
    </row>
    <row r="5897" spans="1:5" x14ac:dyDescent="0.25">
      <c r="A5897" t="s">
        <v>1</v>
      </c>
      <c r="B5897" t="s">
        <v>19</v>
      </c>
      <c r="C5897" t="s">
        <v>23490</v>
      </c>
      <c r="D5897" t="str">
        <f>HYPERLINK("https://rhld.insurance.arkansas.gov/NPILookup?Npi=1659374296","1659374296")</f>
        <v>1659374296</v>
      </c>
      <c r="E5897" t="s">
        <v>15385</v>
      </c>
    </row>
    <row r="5898" spans="1:5" x14ac:dyDescent="0.25">
      <c r="A5898" t="s">
        <v>1</v>
      </c>
      <c r="B5898" t="s">
        <v>19</v>
      </c>
      <c r="C5898" t="s">
        <v>23490</v>
      </c>
      <c r="D5898" t="str">
        <f>HYPERLINK("https://rhld.insurance.arkansas.gov/NPILookup?Npi=1659376143","1659376143")</f>
        <v>1659376143</v>
      </c>
      <c r="E5898" t="s">
        <v>2297</v>
      </c>
    </row>
    <row r="5899" spans="1:5" x14ac:dyDescent="0.25">
      <c r="A5899" t="s">
        <v>1</v>
      </c>
      <c r="B5899" t="s">
        <v>19</v>
      </c>
      <c r="C5899" t="s">
        <v>8427</v>
      </c>
      <c r="D5899" t="str">
        <f>HYPERLINK("https://rhld.insurance.arkansas.gov/NPILookup?Npi=1659395960","1659395960")</f>
        <v>1659395960</v>
      </c>
      <c r="E5899" t="s">
        <v>22967</v>
      </c>
    </row>
    <row r="5900" spans="1:5" x14ac:dyDescent="0.25">
      <c r="A5900" t="s">
        <v>1</v>
      </c>
      <c r="B5900" t="s">
        <v>19</v>
      </c>
      <c r="C5900" t="s">
        <v>23490</v>
      </c>
      <c r="D5900" t="str">
        <f>HYPERLINK("https://rhld.insurance.arkansas.gov/NPILookup?Npi=1659399723","1659399723")</f>
        <v>1659399723</v>
      </c>
      <c r="E5900" t="s">
        <v>15386</v>
      </c>
    </row>
    <row r="5901" spans="1:5" x14ac:dyDescent="0.25">
      <c r="A5901" t="s">
        <v>1</v>
      </c>
      <c r="B5901" t="s">
        <v>19</v>
      </c>
      <c r="C5901" t="s">
        <v>23490</v>
      </c>
      <c r="D5901" t="str">
        <f>HYPERLINK("https://rhld.insurance.arkansas.gov/NPILookup?Npi=1659411049","1659411049")</f>
        <v>1659411049</v>
      </c>
      <c r="E5901" t="s">
        <v>15387</v>
      </c>
    </row>
    <row r="5902" spans="1:5" x14ac:dyDescent="0.25">
      <c r="A5902" t="s">
        <v>1</v>
      </c>
      <c r="B5902" t="s">
        <v>19</v>
      </c>
      <c r="C5902" t="s">
        <v>23490</v>
      </c>
      <c r="D5902" t="str">
        <f>HYPERLINK("https://rhld.insurance.arkansas.gov/NPILookup?Npi=1659441889","1659441889")</f>
        <v>1659441889</v>
      </c>
      <c r="E5902" t="s">
        <v>21613</v>
      </c>
    </row>
    <row r="5903" spans="1:5" x14ac:dyDescent="0.25">
      <c r="A5903" t="s">
        <v>1</v>
      </c>
      <c r="B5903" t="s">
        <v>19</v>
      </c>
      <c r="C5903" t="s">
        <v>23490</v>
      </c>
      <c r="D5903" t="str">
        <f>HYPERLINK("https://rhld.insurance.arkansas.gov/NPILookup?Npi=1659444305","1659444305")</f>
        <v>1659444305</v>
      </c>
      <c r="E5903" t="s">
        <v>15388</v>
      </c>
    </row>
    <row r="5904" spans="1:5" x14ac:dyDescent="0.25">
      <c r="A5904" t="s">
        <v>1</v>
      </c>
      <c r="B5904" t="s">
        <v>19</v>
      </c>
      <c r="C5904" t="s">
        <v>23490</v>
      </c>
      <c r="D5904" t="str">
        <f>HYPERLINK("https://rhld.insurance.arkansas.gov/NPILookup?Npi=1659448868","1659448868")</f>
        <v>1659448868</v>
      </c>
      <c r="E5904" t="s">
        <v>8783</v>
      </c>
    </row>
    <row r="5905" spans="1:5" x14ac:dyDescent="0.25">
      <c r="A5905" t="s">
        <v>1</v>
      </c>
      <c r="B5905" t="s">
        <v>19</v>
      </c>
      <c r="C5905" t="s">
        <v>23490</v>
      </c>
      <c r="D5905" t="str">
        <f>HYPERLINK("https://rhld.insurance.arkansas.gov/NPILookup?Npi=1659449361","1659449361")</f>
        <v>1659449361</v>
      </c>
      <c r="E5905" t="s">
        <v>15389</v>
      </c>
    </row>
    <row r="5906" spans="1:5" x14ac:dyDescent="0.25">
      <c r="A5906" t="s">
        <v>1</v>
      </c>
      <c r="B5906" t="s">
        <v>19</v>
      </c>
      <c r="C5906" t="s">
        <v>23490</v>
      </c>
      <c r="D5906" t="str">
        <f>HYPERLINK("https://rhld.insurance.arkansas.gov/NPILookup?Npi=1659474161","1659474161")</f>
        <v>1659474161</v>
      </c>
      <c r="E5906" t="s">
        <v>2298</v>
      </c>
    </row>
    <row r="5907" spans="1:5" x14ac:dyDescent="0.25">
      <c r="A5907" t="s">
        <v>1</v>
      </c>
      <c r="B5907" t="s">
        <v>19</v>
      </c>
      <c r="C5907" t="s">
        <v>23490</v>
      </c>
      <c r="D5907" t="str">
        <f>HYPERLINK("https://rhld.insurance.arkansas.gov/NPILookup?Npi=1659483949","1659483949")</f>
        <v>1659483949</v>
      </c>
      <c r="E5907" t="s">
        <v>2299</v>
      </c>
    </row>
    <row r="5908" spans="1:5" x14ac:dyDescent="0.25">
      <c r="A5908" t="s">
        <v>1</v>
      </c>
      <c r="B5908" t="s">
        <v>19</v>
      </c>
      <c r="C5908" t="s">
        <v>23490</v>
      </c>
      <c r="D5908" t="str">
        <f>HYPERLINK("https://rhld.insurance.arkansas.gov/NPILookup?Npi=1659497311","1659497311")</f>
        <v>1659497311</v>
      </c>
      <c r="E5908" t="s">
        <v>20995</v>
      </c>
    </row>
    <row r="5909" spans="1:5" x14ac:dyDescent="0.25">
      <c r="A5909" t="s">
        <v>1</v>
      </c>
      <c r="B5909" t="s">
        <v>19</v>
      </c>
      <c r="C5909" t="s">
        <v>23490</v>
      </c>
      <c r="D5909" t="str">
        <f>HYPERLINK("https://rhld.insurance.arkansas.gov/NPILookup?Npi=1659503761","1659503761")</f>
        <v>1659503761</v>
      </c>
      <c r="E5909" t="s">
        <v>2300</v>
      </c>
    </row>
    <row r="5910" spans="1:5" x14ac:dyDescent="0.25">
      <c r="A5910" t="s">
        <v>1</v>
      </c>
      <c r="B5910" t="s">
        <v>19</v>
      </c>
      <c r="C5910" t="s">
        <v>23490</v>
      </c>
      <c r="D5910" t="str">
        <f>HYPERLINK("https://rhld.insurance.arkansas.gov/NPILookup?Npi=1659510725","1659510725")</f>
        <v>1659510725</v>
      </c>
      <c r="E5910" t="s">
        <v>15390</v>
      </c>
    </row>
    <row r="5911" spans="1:5" x14ac:dyDescent="0.25">
      <c r="A5911" t="s">
        <v>1</v>
      </c>
      <c r="B5911" t="s">
        <v>19</v>
      </c>
      <c r="C5911" t="s">
        <v>23490</v>
      </c>
      <c r="D5911" t="str">
        <f>HYPERLINK("https://rhld.insurance.arkansas.gov/NPILookup?Npi=1659523124","1659523124")</f>
        <v>1659523124</v>
      </c>
      <c r="E5911" t="s">
        <v>2301</v>
      </c>
    </row>
    <row r="5912" spans="1:5" x14ac:dyDescent="0.25">
      <c r="A5912" t="s">
        <v>1</v>
      </c>
      <c r="B5912" t="s">
        <v>19</v>
      </c>
      <c r="C5912" t="s">
        <v>23490</v>
      </c>
      <c r="D5912" t="str">
        <f>HYPERLINK("https://rhld.insurance.arkansas.gov/NPILookup?Npi=1659525327","1659525327")</f>
        <v>1659525327</v>
      </c>
      <c r="E5912" t="s">
        <v>2302</v>
      </c>
    </row>
    <row r="5913" spans="1:5" x14ac:dyDescent="0.25">
      <c r="A5913" t="s">
        <v>1</v>
      </c>
      <c r="B5913" t="s">
        <v>19</v>
      </c>
      <c r="C5913" t="s">
        <v>23490</v>
      </c>
      <c r="D5913" t="str">
        <f>HYPERLINK("https://rhld.insurance.arkansas.gov/NPILookup?Npi=1659535805","1659535805")</f>
        <v>1659535805</v>
      </c>
      <c r="E5913" t="s">
        <v>21614</v>
      </c>
    </row>
    <row r="5914" spans="1:5" x14ac:dyDescent="0.25">
      <c r="A5914" t="s">
        <v>1</v>
      </c>
      <c r="B5914" t="s">
        <v>19</v>
      </c>
      <c r="C5914" t="s">
        <v>23490</v>
      </c>
      <c r="D5914" t="str">
        <f>HYPERLINK("https://rhld.insurance.arkansas.gov/NPILookup?Npi=1659536563","1659536563")</f>
        <v>1659536563</v>
      </c>
      <c r="E5914" t="s">
        <v>2303</v>
      </c>
    </row>
    <row r="5915" spans="1:5" x14ac:dyDescent="0.25">
      <c r="A5915" t="s">
        <v>1</v>
      </c>
      <c r="B5915" t="s">
        <v>19</v>
      </c>
      <c r="C5915" t="s">
        <v>23490</v>
      </c>
      <c r="D5915" t="str">
        <f>HYPERLINK("https://rhld.insurance.arkansas.gov/NPILookup?Npi=1659537736","1659537736")</f>
        <v>1659537736</v>
      </c>
      <c r="E5915" t="s">
        <v>19919</v>
      </c>
    </row>
    <row r="5916" spans="1:5" x14ac:dyDescent="0.25">
      <c r="A5916" t="s">
        <v>1</v>
      </c>
      <c r="B5916" t="s">
        <v>19</v>
      </c>
      <c r="C5916" t="s">
        <v>23490</v>
      </c>
      <c r="D5916" t="str">
        <f>HYPERLINK("https://rhld.insurance.arkansas.gov/NPILookup?Npi=1659548790","1659548790")</f>
        <v>1659548790</v>
      </c>
      <c r="E5916" t="s">
        <v>2304</v>
      </c>
    </row>
    <row r="5917" spans="1:5" x14ac:dyDescent="0.25">
      <c r="A5917" t="s">
        <v>1</v>
      </c>
      <c r="B5917" t="s">
        <v>19</v>
      </c>
      <c r="C5917" t="s">
        <v>23490</v>
      </c>
      <c r="D5917" t="str">
        <f>HYPERLINK("https://rhld.insurance.arkansas.gov/NPILookup?Npi=1659594562","1659594562")</f>
        <v>1659594562</v>
      </c>
      <c r="E5917" t="s">
        <v>19920</v>
      </c>
    </row>
    <row r="5918" spans="1:5" x14ac:dyDescent="0.25">
      <c r="A5918" t="s">
        <v>1</v>
      </c>
      <c r="B5918" t="s">
        <v>19</v>
      </c>
      <c r="C5918" t="s">
        <v>23490</v>
      </c>
      <c r="D5918" t="str">
        <f>HYPERLINK("https://rhld.insurance.arkansas.gov/NPILookup?Npi=1659595817","1659595817")</f>
        <v>1659595817</v>
      </c>
      <c r="E5918" t="s">
        <v>2305</v>
      </c>
    </row>
    <row r="5919" spans="1:5" x14ac:dyDescent="0.25">
      <c r="A5919" t="s">
        <v>1</v>
      </c>
      <c r="B5919" t="s">
        <v>19</v>
      </c>
      <c r="C5919" t="s">
        <v>23490</v>
      </c>
      <c r="D5919" t="str">
        <f>HYPERLINK("https://rhld.insurance.arkansas.gov/NPILookup?Npi=1659606713","1659606713")</f>
        <v>1659606713</v>
      </c>
      <c r="E5919" t="s">
        <v>8784</v>
      </c>
    </row>
    <row r="5920" spans="1:5" x14ac:dyDescent="0.25">
      <c r="A5920" t="s">
        <v>1</v>
      </c>
      <c r="B5920" t="s">
        <v>19</v>
      </c>
      <c r="C5920" t="s">
        <v>23490</v>
      </c>
      <c r="D5920" t="str">
        <f>HYPERLINK("https://rhld.insurance.arkansas.gov/NPILookup?Npi=1659611416","1659611416")</f>
        <v>1659611416</v>
      </c>
      <c r="E5920" t="s">
        <v>19921</v>
      </c>
    </row>
    <row r="5921" spans="1:5" x14ac:dyDescent="0.25">
      <c r="A5921" t="s">
        <v>1</v>
      </c>
      <c r="B5921" t="s">
        <v>19</v>
      </c>
      <c r="C5921" t="s">
        <v>23490</v>
      </c>
      <c r="D5921" t="str">
        <f>HYPERLINK("https://rhld.insurance.arkansas.gov/NPILookup?Npi=1659623775","1659623775")</f>
        <v>1659623775</v>
      </c>
      <c r="E5921" t="s">
        <v>19922</v>
      </c>
    </row>
    <row r="5922" spans="1:5" x14ac:dyDescent="0.25">
      <c r="A5922" t="s">
        <v>1</v>
      </c>
      <c r="B5922" t="s">
        <v>19</v>
      </c>
      <c r="C5922" t="s">
        <v>23490</v>
      </c>
      <c r="D5922" t="str">
        <f>HYPERLINK("https://rhld.insurance.arkansas.gov/NPILookup?Npi=1659633840","1659633840")</f>
        <v>1659633840</v>
      </c>
      <c r="E5922" t="s">
        <v>2306</v>
      </c>
    </row>
    <row r="5923" spans="1:5" x14ac:dyDescent="0.25">
      <c r="A5923" t="s">
        <v>1</v>
      </c>
      <c r="B5923" t="s">
        <v>19</v>
      </c>
      <c r="C5923" t="s">
        <v>23490</v>
      </c>
      <c r="D5923" t="str">
        <f>HYPERLINK("https://rhld.insurance.arkansas.gov/NPILookup?Npi=1659634277","1659634277")</f>
        <v>1659634277</v>
      </c>
      <c r="E5923" t="s">
        <v>2307</v>
      </c>
    </row>
    <row r="5924" spans="1:5" x14ac:dyDescent="0.25">
      <c r="A5924" t="s">
        <v>1</v>
      </c>
      <c r="B5924" t="s">
        <v>19</v>
      </c>
      <c r="C5924" t="s">
        <v>23490</v>
      </c>
      <c r="D5924" t="str">
        <f>HYPERLINK("https://rhld.insurance.arkansas.gov/NPILookup?Npi=1659638625","1659638625")</f>
        <v>1659638625</v>
      </c>
      <c r="E5924" t="s">
        <v>8785</v>
      </c>
    </row>
    <row r="5925" spans="1:5" x14ac:dyDescent="0.25">
      <c r="A5925" t="s">
        <v>1</v>
      </c>
      <c r="B5925" t="s">
        <v>19</v>
      </c>
      <c r="C5925" t="s">
        <v>23490</v>
      </c>
      <c r="D5925" t="str">
        <f>HYPERLINK("https://rhld.insurance.arkansas.gov/NPILookup?Npi=1659639664","1659639664")</f>
        <v>1659639664</v>
      </c>
      <c r="E5925" t="s">
        <v>11148</v>
      </c>
    </row>
    <row r="5926" spans="1:5" x14ac:dyDescent="0.25">
      <c r="A5926" t="s">
        <v>1</v>
      </c>
      <c r="B5926" t="s">
        <v>19</v>
      </c>
      <c r="C5926" t="s">
        <v>23490</v>
      </c>
      <c r="D5926" t="str">
        <f>HYPERLINK("https://rhld.insurance.arkansas.gov/NPILookup?Npi=1659641496","1659641496")</f>
        <v>1659641496</v>
      </c>
      <c r="E5926" t="s">
        <v>12876</v>
      </c>
    </row>
    <row r="5927" spans="1:5" x14ac:dyDescent="0.25">
      <c r="A5927" t="s">
        <v>1</v>
      </c>
      <c r="B5927" t="s">
        <v>19</v>
      </c>
      <c r="C5927" t="s">
        <v>23490</v>
      </c>
      <c r="D5927" t="str">
        <f>HYPERLINK("https://rhld.insurance.arkansas.gov/NPILookup?Npi=1659643872","1659643872")</f>
        <v>1659643872</v>
      </c>
      <c r="E5927" t="s">
        <v>2308</v>
      </c>
    </row>
    <row r="5928" spans="1:5" x14ac:dyDescent="0.25">
      <c r="A5928" t="s">
        <v>1</v>
      </c>
      <c r="B5928" t="s">
        <v>19</v>
      </c>
      <c r="C5928" t="s">
        <v>23490</v>
      </c>
      <c r="D5928" t="str">
        <f>HYPERLINK("https://rhld.insurance.arkansas.gov/NPILookup?Npi=1659653558","1659653558")</f>
        <v>1659653558</v>
      </c>
      <c r="E5928" t="s">
        <v>19923</v>
      </c>
    </row>
    <row r="5929" spans="1:5" x14ac:dyDescent="0.25">
      <c r="A5929" t="s">
        <v>1</v>
      </c>
      <c r="B5929" t="s">
        <v>19</v>
      </c>
      <c r="C5929" t="s">
        <v>23490</v>
      </c>
      <c r="D5929" t="str">
        <f>HYPERLINK("https://rhld.insurance.arkansas.gov/NPILookup?Npi=1659660314","1659660314")</f>
        <v>1659660314</v>
      </c>
      <c r="E5929" t="s">
        <v>8786</v>
      </c>
    </row>
    <row r="5930" spans="1:5" x14ac:dyDescent="0.25">
      <c r="A5930" t="s">
        <v>1</v>
      </c>
      <c r="B5930" t="s">
        <v>19</v>
      </c>
      <c r="C5930" t="s">
        <v>23490</v>
      </c>
      <c r="D5930" t="str">
        <f>HYPERLINK("https://rhld.insurance.arkansas.gov/NPILookup?Npi=1659663250","1659663250")</f>
        <v>1659663250</v>
      </c>
      <c r="E5930" t="s">
        <v>12877</v>
      </c>
    </row>
    <row r="5931" spans="1:5" x14ac:dyDescent="0.25">
      <c r="A5931" t="s">
        <v>1</v>
      </c>
      <c r="B5931" t="s">
        <v>19</v>
      </c>
      <c r="C5931" t="s">
        <v>23490</v>
      </c>
      <c r="D5931" t="str">
        <f>HYPERLINK("https://rhld.insurance.arkansas.gov/NPILookup?Npi=1659695898","1659695898")</f>
        <v>1659695898</v>
      </c>
      <c r="E5931" t="s">
        <v>2309</v>
      </c>
    </row>
    <row r="5932" spans="1:5" x14ac:dyDescent="0.25">
      <c r="A5932" t="s">
        <v>1</v>
      </c>
      <c r="B5932" t="s">
        <v>19</v>
      </c>
      <c r="C5932" t="s">
        <v>23490</v>
      </c>
      <c r="D5932" t="str">
        <f>HYPERLINK("https://rhld.insurance.arkansas.gov/NPILookup?Npi=1659710531","1659710531")</f>
        <v>1659710531</v>
      </c>
      <c r="E5932" t="s">
        <v>2310</v>
      </c>
    </row>
    <row r="5933" spans="1:5" x14ac:dyDescent="0.25">
      <c r="A5933" t="s">
        <v>1</v>
      </c>
      <c r="B5933" t="s">
        <v>19</v>
      </c>
      <c r="C5933" t="s">
        <v>23490</v>
      </c>
      <c r="D5933" t="str">
        <f>HYPERLINK("https://rhld.insurance.arkansas.gov/NPILookup?Npi=1659710879","1659710879")</f>
        <v>1659710879</v>
      </c>
      <c r="E5933" t="s">
        <v>951</v>
      </c>
    </row>
    <row r="5934" spans="1:5" x14ac:dyDescent="0.25">
      <c r="A5934" t="s">
        <v>1</v>
      </c>
      <c r="B5934" t="s">
        <v>19</v>
      </c>
      <c r="C5934" t="s">
        <v>23490</v>
      </c>
      <c r="D5934" t="str">
        <f>HYPERLINK("https://rhld.insurance.arkansas.gov/NPILookup?Npi=1659734846","1659734846")</f>
        <v>1659734846</v>
      </c>
      <c r="E5934" t="s">
        <v>13639</v>
      </c>
    </row>
    <row r="5935" spans="1:5" x14ac:dyDescent="0.25">
      <c r="A5935" t="s">
        <v>1</v>
      </c>
      <c r="B5935" t="s">
        <v>19</v>
      </c>
      <c r="C5935" t="s">
        <v>23490</v>
      </c>
      <c r="D5935" t="str">
        <f>HYPERLINK("https://rhld.insurance.arkansas.gov/NPILookup?Npi=1659735421","1659735421")</f>
        <v>1659735421</v>
      </c>
      <c r="E5935" t="s">
        <v>15391</v>
      </c>
    </row>
    <row r="5936" spans="1:5" x14ac:dyDescent="0.25">
      <c r="A5936" t="s">
        <v>1</v>
      </c>
      <c r="B5936" t="s">
        <v>19</v>
      </c>
      <c r="C5936" t="s">
        <v>23490</v>
      </c>
      <c r="D5936" t="str">
        <f>HYPERLINK("https://rhld.insurance.arkansas.gov/NPILookup?Npi=1659738250","1659738250")</f>
        <v>1659738250</v>
      </c>
      <c r="E5936" t="s">
        <v>8787</v>
      </c>
    </row>
    <row r="5937" spans="1:5" x14ac:dyDescent="0.25">
      <c r="A5937" t="s">
        <v>1</v>
      </c>
      <c r="B5937" t="s">
        <v>19</v>
      </c>
      <c r="C5937" t="s">
        <v>23490</v>
      </c>
      <c r="D5937" t="str">
        <f>HYPERLINK("https://rhld.insurance.arkansas.gov/NPILookup?Npi=1659755122","1659755122")</f>
        <v>1659755122</v>
      </c>
      <c r="E5937" t="s">
        <v>18066</v>
      </c>
    </row>
    <row r="5938" spans="1:5" x14ac:dyDescent="0.25">
      <c r="A5938" t="s">
        <v>1</v>
      </c>
      <c r="B5938" t="s">
        <v>19</v>
      </c>
      <c r="C5938" t="s">
        <v>23490</v>
      </c>
      <c r="D5938" t="str">
        <f>HYPERLINK("https://rhld.insurance.arkansas.gov/NPILookup?Npi=1659759108","1659759108")</f>
        <v>1659759108</v>
      </c>
      <c r="E5938" t="s">
        <v>13640</v>
      </c>
    </row>
    <row r="5939" spans="1:5" x14ac:dyDescent="0.25">
      <c r="A5939" t="s">
        <v>1</v>
      </c>
      <c r="B5939" t="s">
        <v>19</v>
      </c>
      <c r="C5939" t="s">
        <v>23490</v>
      </c>
      <c r="D5939" t="str">
        <f>HYPERLINK("https://rhld.insurance.arkansas.gov/NPILookup?Npi=1659760635","1659760635")</f>
        <v>1659760635</v>
      </c>
      <c r="E5939" t="s">
        <v>2311</v>
      </c>
    </row>
    <row r="5940" spans="1:5" x14ac:dyDescent="0.25">
      <c r="A5940" t="s">
        <v>1</v>
      </c>
      <c r="B5940" t="s">
        <v>19</v>
      </c>
      <c r="C5940" t="s">
        <v>23490</v>
      </c>
      <c r="D5940" t="str">
        <f>HYPERLINK("https://rhld.insurance.arkansas.gov/NPILookup?Npi=1659761161","1659761161")</f>
        <v>1659761161</v>
      </c>
      <c r="E5940" t="s">
        <v>2312</v>
      </c>
    </row>
    <row r="5941" spans="1:5" x14ac:dyDescent="0.25">
      <c r="A5941" t="s">
        <v>1</v>
      </c>
      <c r="B5941" t="s">
        <v>19</v>
      </c>
      <c r="C5941" t="s">
        <v>23490</v>
      </c>
      <c r="D5941" t="str">
        <f>HYPERLINK("https://rhld.insurance.arkansas.gov/NPILookup?Npi=1659761609","1659761609")</f>
        <v>1659761609</v>
      </c>
      <c r="E5941" t="s">
        <v>2313</v>
      </c>
    </row>
    <row r="5942" spans="1:5" x14ac:dyDescent="0.25">
      <c r="A5942" t="s">
        <v>1</v>
      </c>
      <c r="B5942" t="s">
        <v>19</v>
      </c>
      <c r="C5942" t="s">
        <v>23490</v>
      </c>
      <c r="D5942" t="str">
        <f>HYPERLINK("https://rhld.insurance.arkansas.gov/NPILookup?Npi=1659762144","1659762144")</f>
        <v>1659762144</v>
      </c>
      <c r="E5942" t="s">
        <v>2314</v>
      </c>
    </row>
    <row r="5943" spans="1:5" x14ac:dyDescent="0.25">
      <c r="A5943" t="s">
        <v>1</v>
      </c>
      <c r="B5943" t="s">
        <v>19</v>
      </c>
      <c r="C5943" t="s">
        <v>23490</v>
      </c>
      <c r="D5943" t="str">
        <f>HYPERLINK("https://rhld.insurance.arkansas.gov/NPILookup?Npi=1659766459","1659766459")</f>
        <v>1659766459</v>
      </c>
      <c r="E5943" t="s">
        <v>19924</v>
      </c>
    </row>
    <row r="5944" spans="1:5" x14ac:dyDescent="0.25">
      <c r="A5944" t="s">
        <v>1</v>
      </c>
      <c r="B5944" t="s">
        <v>19</v>
      </c>
      <c r="C5944" t="s">
        <v>23490</v>
      </c>
      <c r="D5944" t="str">
        <f>HYPERLINK("https://rhld.insurance.arkansas.gov/NPILookup?Npi=1659766939","1659766939")</f>
        <v>1659766939</v>
      </c>
      <c r="E5944" t="s">
        <v>2315</v>
      </c>
    </row>
    <row r="5945" spans="1:5" x14ac:dyDescent="0.25">
      <c r="A5945" t="s">
        <v>1</v>
      </c>
      <c r="B5945" t="s">
        <v>19</v>
      </c>
      <c r="C5945" t="s">
        <v>23490</v>
      </c>
      <c r="D5945" t="str">
        <f>HYPERLINK("https://rhld.insurance.arkansas.gov/NPILookup?Npi=1659767820","1659767820")</f>
        <v>1659767820</v>
      </c>
      <c r="E5945" t="s">
        <v>20996</v>
      </c>
    </row>
    <row r="5946" spans="1:5" x14ac:dyDescent="0.25">
      <c r="A5946" t="s">
        <v>1</v>
      </c>
      <c r="B5946" t="s">
        <v>19</v>
      </c>
      <c r="C5946" t="s">
        <v>23490</v>
      </c>
      <c r="D5946" t="str">
        <f>HYPERLINK("https://rhld.insurance.arkansas.gov/NPILookup?Npi=1659778827","1659778827")</f>
        <v>1659778827</v>
      </c>
      <c r="E5946" t="s">
        <v>15392</v>
      </c>
    </row>
    <row r="5947" spans="1:5" x14ac:dyDescent="0.25">
      <c r="A5947" t="s">
        <v>1</v>
      </c>
      <c r="B5947" t="s">
        <v>19</v>
      </c>
      <c r="C5947" t="s">
        <v>23490</v>
      </c>
      <c r="D5947" t="str">
        <f>HYPERLINK("https://rhld.insurance.arkansas.gov/NPILookup?Npi=1659790210","1659790210")</f>
        <v>1659790210</v>
      </c>
      <c r="E5947" t="s">
        <v>13641</v>
      </c>
    </row>
    <row r="5948" spans="1:5" x14ac:dyDescent="0.25">
      <c r="A5948" t="s">
        <v>1</v>
      </c>
      <c r="B5948" t="s">
        <v>19</v>
      </c>
      <c r="C5948" t="s">
        <v>23490</v>
      </c>
      <c r="D5948" t="str">
        <f>HYPERLINK("https://rhld.insurance.arkansas.gov/NPILookup?Npi=1659806008","1659806008")</f>
        <v>1659806008</v>
      </c>
      <c r="E5948" t="s">
        <v>17456</v>
      </c>
    </row>
    <row r="5949" spans="1:5" x14ac:dyDescent="0.25">
      <c r="A5949" t="s">
        <v>1</v>
      </c>
      <c r="B5949" t="s">
        <v>19</v>
      </c>
      <c r="C5949" t="s">
        <v>23490</v>
      </c>
      <c r="D5949" t="str">
        <f>HYPERLINK("https://rhld.insurance.arkansas.gov/NPILookup?Npi=1659811842","1659811842")</f>
        <v>1659811842</v>
      </c>
      <c r="E5949" t="s">
        <v>11149</v>
      </c>
    </row>
    <row r="5950" spans="1:5" x14ac:dyDescent="0.25">
      <c r="A5950" t="s">
        <v>1</v>
      </c>
      <c r="B5950" t="s">
        <v>19</v>
      </c>
      <c r="C5950" t="s">
        <v>23490</v>
      </c>
      <c r="D5950" t="str">
        <f>HYPERLINK("https://rhld.insurance.arkansas.gov/NPILookup?Npi=1659812402","1659812402")</f>
        <v>1659812402</v>
      </c>
      <c r="E5950" t="s">
        <v>11150</v>
      </c>
    </row>
    <row r="5951" spans="1:5" x14ac:dyDescent="0.25">
      <c r="A5951" t="s">
        <v>1</v>
      </c>
      <c r="B5951" t="s">
        <v>19</v>
      </c>
      <c r="C5951" t="s">
        <v>23490</v>
      </c>
      <c r="D5951" t="str">
        <f>HYPERLINK("https://rhld.insurance.arkansas.gov/NPILookup?Npi=1659814739","1659814739")</f>
        <v>1659814739</v>
      </c>
      <c r="E5951" t="s">
        <v>11151</v>
      </c>
    </row>
    <row r="5952" spans="1:5" x14ac:dyDescent="0.25">
      <c r="A5952" t="s">
        <v>1</v>
      </c>
      <c r="B5952" t="s">
        <v>19</v>
      </c>
      <c r="C5952" t="s">
        <v>23490</v>
      </c>
      <c r="D5952" t="str">
        <f>HYPERLINK("https://rhld.insurance.arkansas.gov/NPILookup?Npi=1659822211","1659822211")</f>
        <v>1659822211</v>
      </c>
      <c r="E5952" t="s">
        <v>276</v>
      </c>
    </row>
    <row r="5953" spans="1:5" x14ac:dyDescent="0.25">
      <c r="A5953" t="s">
        <v>1</v>
      </c>
      <c r="B5953" t="s">
        <v>19</v>
      </c>
      <c r="C5953" t="s">
        <v>23490</v>
      </c>
      <c r="D5953" t="str">
        <f>HYPERLINK("https://rhld.insurance.arkansas.gov/NPILookup?Npi=1659829521","1659829521")</f>
        <v>1659829521</v>
      </c>
      <c r="E5953" t="s">
        <v>11152</v>
      </c>
    </row>
    <row r="5954" spans="1:5" x14ac:dyDescent="0.25">
      <c r="A5954" t="s">
        <v>1</v>
      </c>
      <c r="B5954" t="s">
        <v>19</v>
      </c>
      <c r="C5954" t="s">
        <v>23490</v>
      </c>
      <c r="D5954" t="str">
        <f>HYPERLINK("https://rhld.insurance.arkansas.gov/NPILookup?Npi=1659838092","1659838092")</f>
        <v>1659838092</v>
      </c>
      <c r="E5954" t="s">
        <v>19925</v>
      </c>
    </row>
    <row r="5955" spans="1:5" x14ac:dyDescent="0.25">
      <c r="A5955" t="s">
        <v>1</v>
      </c>
      <c r="B5955" t="s">
        <v>19</v>
      </c>
      <c r="C5955" t="s">
        <v>23490</v>
      </c>
      <c r="D5955" t="str">
        <f>HYPERLINK("https://rhld.insurance.arkansas.gov/NPILookup?Npi=1659851400","1659851400")</f>
        <v>1659851400</v>
      </c>
      <c r="E5955" t="s">
        <v>18067</v>
      </c>
    </row>
    <row r="5956" spans="1:5" x14ac:dyDescent="0.25">
      <c r="A5956" t="s">
        <v>1</v>
      </c>
      <c r="B5956" t="s">
        <v>19</v>
      </c>
      <c r="C5956" t="s">
        <v>23490</v>
      </c>
      <c r="D5956" t="str">
        <f>HYPERLINK("https://rhld.insurance.arkansas.gov/NPILookup?Npi=1659868933","1659868933")</f>
        <v>1659868933</v>
      </c>
      <c r="E5956" t="s">
        <v>13642</v>
      </c>
    </row>
    <row r="5957" spans="1:5" x14ac:dyDescent="0.25">
      <c r="A5957" t="s">
        <v>1</v>
      </c>
      <c r="B5957" t="s">
        <v>19</v>
      </c>
      <c r="C5957" t="s">
        <v>23490</v>
      </c>
      <c r="D5957" t="str">
        <f>HYPERLINK("https://rhld.insurance.arkansas.gov/NPILookup?Npi=1659879583","1659879583")</f>
        <v>1659879583</v>
      </c>
      <c r="E5957" t="s">
        <v>12878</v>
      </c>
    </row>
    <row r="5958" spans="1:5" x14ac:dyDescent="0.25">
      <c r="A5958" t="s">
        <v>1</v>
      </c>
      <c r="B5958" t="s">
        <v>19</v>
      </c>
      <c r="C5958" t="s">
        <v>23490</v>
      </c>
      <c r="D5958" t="str">
        <f>HYPERLINK("https://rhld.insurance.arkansas.gov/NPILookup?Npi=1659888188","1659888188")</f>
        <v>1659888188</v>
      </c>
      <c r="E5958" t="s">
        <v>12879</v>
      </c>
    </row>
    <row r="5959" spans="1:5" x14ac:dyDescent="0.25">
      <c r="A5959" t="s">
        <v>1</v>
      </c>
      <c r="B5959" t="s">
        <v>19</v>
      </c>
      <c r="C5959" t="s">
        <v>8427</v>
      </c>
      <c r="D5959" t="str">
        <f>HYPERLINK("https://rhld.insurance.arkansas.gov/NPILookup?Npi=1659908614","1659908614")</f>
        <v>1659908614</v>
      </c>
      <c r="E5959" t="s">
        <v>22968</v>
      </c>
    </row>
    <row r="5960" spans="1:5" x14ac:dyDescent="0.25">
      <c r="A5960" t="s">
        <v>1</v>
      </c>
      <c r="B5960" t="s">
        <v>19</v>
      </c>
      <c r="C5960" t="s">
        <v>23490</v>
      </c>
      <c r="D5960" t="str">
        <f>HYPERLINK("https://rhld.insurance.arkansas.gov/NPILookup?Npi=1659911253","1659911253")</f>
        <v>1659911253</v>
      </c>
      <c r="E5960" t="s">
        <v>9616</v>
      </c>
    </row>
    <row r="5961" spans="1:5" x14ac:dyDescent="0.25">
      <c r="A5961" t="s">
        <v>1</v>
      </c>
      <c r="B5961" t="s">
        <v>19</v>
      </c>
      <c r="C5961" t="s">
        <v>23490</v>
      </c>
      <c r="D5961" t="str">
        <f>HYPERLINK("https://rhld.insurance.arkansas.gov/NPILookup?Npi=1659925295","1659925295")</f>
        <v>1659925295</v>
      </c>
      <c r="E5961" t="s">
        <v>20997</v>
      </c>
    </row>
    <row r="5962" spans="1:5" x14ac:dyDescent="0.25">
      <c r="A5962" t="s">
        <v>1</v>
      </c>
      <c r="B5962" t="s">
        <v>19</v>
      </c>
      <c r="C5962" t="s">
        <v>23490</v>
      </c>
      <c r="D5962" t="str">
        <f>HYPERLINK("https://rhld.insurance.arkansas.gov/NPILookup?Npi=1659935476","1659935476")</f>
        <v>1659935476</v>
      </c>
      <c r="E5962" t="s">
        <v>15393</v>
      </c>
    </row>
    <row r="5963" spans="1:5" x14ac:dyDescent="0.25">
      <c r="A5963" t="s">
        <v>1</v>
      </c>
      <c r="B5963" t="s">
        <v>19</v>
      </c>
      <c r="C5963" t="s">
        <v>23490</v>
      </c>
      <c r="D5963" t="str">
        <f>HYPERLINK("https://rhld.insurance.arkansas.gov/NPILookup?Npi=1659951465","1659951465")</f>
        <v>1659951465</v>
      </c>
      <c r="E5963" t="s">
        <v>18068</v>
      </c>
    </row>
    <row r="5964" spans="1:5" x14ac:dyDescent="0.25">
      <c r="A5964" t="s">
        <v>1</v>
      </c>
      <c r="B5964" t="s">
        <v>19</v>
      </c>
      <c r="C5964" t="s">
        <v>23490</v>
      </c>
      <c r="D5964" t="str">
        <f>HYPERLINK("https://rhld.insurance.arkansas.gov/NPILookup?Npi=1659964153","1659964153")</f>
        <v>1659964153</v>
      </c>
      <c r="E5964" t="s">
        <v>18069</v>
      </c>
    </row>
    <row r="5965" spans="1:5" x14ac:dyDescent="0.25">
      <c r="A5965" t="s">
        <v>1</v>
      </c>
      <c r="B5965" t="s">
        <v>19</v>
      </c>
      <c r="C5965" t="s">
        <v>23490</v>
      </c>
      <c r="D5965" t="str">
        <f>HYPERLINK("https://rhld.insurance.arkansas.gov/NPILookup?Npi=1659967834","1659967834")</f>
        <v>1659967834</v>
      </c>
      <c r="E5965" t="s">
        <v>21615</v>
      </c>
    </row>
    <row r="5966" spans="1:5" x14ac:dyDescent="0.25">
      <c r="A5966" t="s">
        <v>1</v>
      </c>
      <c r="B5966" t="s">
        <v>19</v>
      </c>
      <c r="C5966" t="s">
        <v>23490</v>
      </c>
      <c r="D5966" t="str">
        <f>HYPERLINK("https://rhld.insurance.arkansas.gov/NPILookup?Npi=1659982411","1659982411")</f>
        <v>1659982411</v>
      </c>
      <c r="E5966" t="s">
        <v>19926</v>
      </c>
    </row>
    <row r="5967" spans="1:5" x14ac:dyDescent="0.25">
      <c r="A5967" t="s">
        <v>1</v>
      </c>
      <c r="B5967" t="s">
        <v>19</v>
      </c>
      <c r="C5967" t="s">
        <v>23490</v>
      </c>
      <c r="D5967" t="str">
        <f>HYPERLINK("https://rhld.insurance.arkansas.gov/NPILookup?Npi=1659987527","1659987527")</f>
        <v>1659987527</v>
      </c>
      <c r="E5967" t="s">
        <v>18070</v>
      </c>
    </row>
    <row r="5968" spans="1:5" x14ac:dyDescent="0.25">
      <c r="A5968" t="s">
        <v>1</v>
      </c>
      <c r="B5968" t="s">
        <v>19</v>
      </c>
      <c r="C5968" t="s">
        <v>23490</v>
      </c>
      <c r="D5968" t="str">
        <f>HYPERLINK("https://rhld.insurance.arkansas.gov/NPILookup?Npi=1659997351","1659997351")</f>
        <v>1659997351</v>
      </c>
      <c r="E5968" t="s">
        <v>18071</v>
      </c>
    </row>
    <row r="5969" spans="1:5" x14ac:dyDescent="0.25">
      <c r="A5969" t="s">
        <v>1</v>
      </c>
      <c r="B5969" t="s">
        <v>19</v>
      </c>
      <c r="C5969" t="s">
        <v>23490</v>
      </c>
      <c r="D5969" t="str">
        <f>HYPERLINK("https://rhld.insurance.arkansas.gov/NPILookup?Npi=1669012878","1669012878")</f>
        <v>1669012878</v>
      </c>
      <c r="E5969" t="s">
        <v>16998</v>
      </c>
    </row>
    <row r="5970" spans="1:5" x14ac:dyDescent="0.25">
      <c r="A5970" t="s">
        <v>1</v>
      </c>
      <c r="B5970" t="s">
        <v>19</v>
      </c>
      <c r="C5970" t="s">
        <v>23490</v>
      </c>
      <c r="D5970" t="str">
        <f>HYPERLINK("https://rhld.insurance.arkansas.gov/NPILookup?Npi=1669013942","1669013942")</f>
        <v>1669013942</v>
      </c>
      <c r="E5970" t="s">
        <v>19927</v>
      </c>
    </row>
    <row r="5971" spans="1:5" x14ac:dyDescent="0.25">
      <c r="A5971" t="s">
        <v>1</v>
      </c>
      <c r="B5971" t="s">
        <v>19</v>
      </c>
      <c r="C5971" t="s">
        <v>23490</v>
      </c>
      <c r="D5971" t="str">
        <f>HYPERLINK("https://rhld.insurance.arkansas.gov/NPILookup?Npi=1669024931","1669024931")</f>
        <v>1669024931</v>
      </c>
      <c r="E5971" t="s">
        <v>15394</v>
      </c>
    </row>
    <row r="5972" spans="1:5" x14ac:dyDescent="0.25">
      <c r="A5972" t="s">
        <v>1</v>
      </c>
      <c r="B5972" t="s">
        <v>19</v>
      </c>
      <c r="C5972" t="s">
        <v>23490</v>
      </c>
      <c r="D5972" t="str">
        <f>HYPERLINK("https://rhld.insurance.arkansas.gov/NPILookup?Npi=1669048799","1669048799")</f>
        <v>1669048799</v>
      </c>
      <c r="E5972" t="s">
        <v>22969</v>
      </c>
    </row>
    <row r="5973" spans="1:5" x14ac:dyDescent="0.25">
      <c r="A5973" t="s">
        <v>1</v>
      </c>
      <c r="B5973" t="s">
        <v>19</v>
      </c>
      <c r="C5973" t="s">
        <v>23490</v>
      </c>
      <c r="D5973" t="str">
        <f>HYPERLINK("https://rhld.insurance.arkansas.gov/NPILookup?Npi=1669052536","1669052536")</f>
        <v>1669052536</v>
      </c>
      <c r="E5973" t="s">
        <v>18072</v>
      </c>
    </row>
    <row r="5974" spans="1:5" x14ac:dyDescent="0.25">
      <c r="A5974" t="s">
        <v>1</v>
      </c>
      <c r="B5974" t="s">
        <v>19</v>
      </c>
      <c r="C5974" t="s">
        <v>23490</v>
      </c>
      <c r="D5974" t="str">
        <f>HYPERLINK("https://rhld.insurance.arkansas.gov/NPILookup?Npi=1669058012","1669058012")</f>
        <v>1669058012</v>
      </c>
      <c r="E5974" t="s">
        <v>21616</v>
      </c>
    </row>
    <row r="5975" spans="1:5" x14ac:dyDescent="0.25">
      <c r="A5975" t="s">
        <v>1</v>
      </c>
      <c r="B5975" t="s">
        <v>19</v>
      </c>
      <c r="C5975" t="s">
        <v>23490</v>
      </c>
      <c r="D5975" t="str">
        <f>HYPERLINK("https://rhld.insurance.arkansas.gov/NPILookup?Npi=1669073631","1669073631")</f>
        <v>1669073631</v>
      </c>
      <c r="E5975" t="s">
        <v>21617</v>
      </c>
    </row>
    <row r="5976" spans="1:5" x14ac:dyDescent="0.25">
      <c r="A5976" t="s">
        <v>1</v>
      </c>
      <c r="B5976" t="s">
        <v>19</v>
      </c>
      <c r="C5976" t="s">
        <v>23490</v>
      </c>
      <c r="D5976" t="str">
        <f>HYPERLINK("https://rhld.insurance.arkansas.gov/NPILookup?Npi=1669079380","1669079380")</f>
        <v>1669079380</v>
      </c>
      <c r="E5976" t="s">
        <v>18073</v>
      </c>
    </row>
    <row r="5977" spans="1:5" x14ac:dyDescent="0.25">
      <c r="A5977" t="s">
        <v>1</v>
      </c>
      <c r="B5977" t="s">
        <v>19</v>
      </c>
      <c r="C5977" t="s">
        <v>23490</v>
      </c>
      <c r="D5977" t="str">
        <f>HYPERLINK("https://rhld.insurance.arkansas.gov/NPILookup?Npi=1669086898","1669086898")</f>
        <v>1669086898</v>
      </c>
      <c r="E5977" t="s">
        <v>19928</v>
      </c>
    </row>
    <row r="5978" spans="1:5" x14ac:dyDescent="0.25">
      <c r="A5978" t="s">
        <v>1</v>
      </c>
      <c r="B5978" t="s">
        <v>19</v>
      </c>
      <c r="C5978" t="s">
        <v>23490</v>
      </c>
      <c r="D5978" t="str">
        <f>HYPERLINK("https://rhld.insurance.arkansas.gov/NPILookup?Npi=1669091195","1669091195")</f>
        <v>1669091195</v>
      </c>
      <c r="E5978" t="s">
        <v>18832</v>
      </c>
    </row>
    <row r="5979" spans="1:5" x14ac:dyDescent="0.25">
      <c r="A5979" t="s">
        <v>1</v>
      </c>
      <c r="B5979" t="s">
        <v>19</v>
      </c>
      <c r="C5979" t="s">
        <v>23490</v>
      </c>
      <c r="D5979" t="str">
        <f>HYPERLINK("https://rhld.insurance.arkansas.gov/NPILookup?Npi=1669129250","1669129250")</f>
        <v>1669129250</v>
      </c>
      <c r="E5979" t="s">
        <v>19929</v>
      </c>
    </row>
    <row r="5980" spans="1:5" x14ac:dyDescent="0.25">
      <c r="A5980" t="s">
        <v>1</v>
      </c>
      <c r="B5980" t="s">
        <v>19</v>
      </c>
      <c r="C5980" t="s">
        <v>23490</v>
      </c>
      <c r="D5980" t="str">
        <f>HYPERLINK("https://rhld.insurance.arkansas.gov/NPILookup?Npi=1669176251","1669176251")</f>
        <v>1669176251</v>
      </c>
      <c r="E5980" t="s">
        <v>21618</v>
      </c>
    </row>
    <row r="5981" spans="1:5" x14ac:dyDescent="0.25">
      <c r="A5981" t="s">
        <v>1</v>
      </c>
      <c r="B5981" t="s">
        <v>19</v>
      </c>
      <c r="C5981" t="s">
        <v>23490</v>
      </c>
      <c r="D5981" t="str">
        <f>HYPERLINK("https://rhld.insurance.arkansas.gov/NPILookup?Npi=1669404851","1669404851")</f>
        <v>1669404851</v>
      </c>
      <c r="E5981" t="s">
        <v>2316</v>
      </c>
    </row>
    <row r="5982" spans="1:5" x14ac:dyDescent="0.25">
      <c r="A5982" t="s">
        <v>1</v>
      </c>
      <c r="B5982" t="s">
        <v>19</v>
      </c>
      <c r="C5982" t="s">
        <v>23490</v>
      </c>
      <c r="D5982" t="str">
        <f>HYPERLINK("https://rhld.insurance.arkansas.gov/NPILookup?Npi=1669405700","1669405700")</f>
        <v>1669405700</v>
      </c>
      <c r="E5982" t="s">
        <v>15395</v>
      </c>
    </row>
    <row r="5983" spans="1:5" x14ac:dyDescent="0.25">
      <c r="A5983" t="s">
        <v>1</v>
      </c>
      <c r="B5983" t="s">
        <v>19</v>
      </c>
      <c r="C5983" t="s">
        <v>23490</v>
      </c>
      <c r="D5983" t="str">
        <f>HYPERLINK("https://rhld.insurance.arkansas.gov/NPILookup?Npi=1669423125","1669423125")</f>
        <v>1669423125</v>
      </c>
      <c r="E5983" t="s">
        <v>2317</v>
      </c>
    </row>
    <row r="5984" spans="1:5" x14ac:dyDescent="0.25">
      <c r="A5984" t="s">
        <v>1</v>
      </c>
      <c r="B5984" t="s">
        <v>19</v>
      </c>
      <c r="C5984" t="s">
        <v>23490</v>
      </c>
      <c r="D5984" t="str">
        <f>HYPERLINK("https://rhld.insurance.arkansas.gov/NPILookup?Npi=1669430575","1669430575")</f>
        <v>1669430575</v>
      </c>
      <c r="E5984" t="s">
        <v>2318</v>
      </c>
    </row>
    <row r="5985" spans="1:5" x14ac:dyDescent="0.25">
      <c r="A5985" t="s">
        <v>1</v>
      </c>
      <c r="B5985" t="s">
        <v>19</v>
      </c>
      <c r="C5985" t="s">
        <v>23490</v>
      </c>
      <c r="D5985" t="str">
        <f>HYPERLINK("https://rhld.insurance.arkansas.gov/NPILookup?Npi=1669430682","1669430682")</f>
        <v>1669430682</v>
      </c>
      <c r="E5985" t="s">
        <v>2319</v>
      </c>
    </row>
    <row r="5986" spans="1:5" x14ac:dyDescent="0.25">
      <c r="A5986" t="s">
        <v>1</v>
      </c>
      <c r="B5986" t="s">
        <v>19</v>
      </c>
      <c r="C5986" t="s">
        <v>23490</v>
      </c>
      <c r="D5986" t="str">
        <f>HYPERLINK("https://rhld.insurance.arkansas.gov/NPILookup?Npi=1669433520","1669433520")</f>
        <v>1669433520</v>
      </c>
      <c r="E5986" t="s">
        <v>2320</v>
      </c>
    </row>
    <row r="5987" spans="1:5" x14ac:dyDescent="0.25">
      <c r="A5987" t="s">
        <v>1</v>
      </c>
      <c r="B5987" t="s">
        <v>19</v>
      </c>
      <c r="C5987" t="s">
        <v>23490</v>
      </c>
      <c r="D5987" t="str">
        <f>HYPERLINK("https://rhld.insurance.arkansas.gov/NPILookup?Npi=1669434171","1669434171")</f>
        <v>1669434171</v>
      </c>
      <c r="E5987" t="s">
        <v>2321</v>
      </c>
    </row>
    <row r="5988" spans="1:5" x14ac:dyDescent="0.25">
      <c r="A5988" t="s">
        <v>1</v>
      </c>
      <c r="B5988" t="s">
        <v>19</v>
      </c>
      <c r="C5988" t="s">
        <v>23490</v>
      </c>
      <c r="D5988" t="str">
        <f>HYPERLINK("https://rhld.insurance.arkansas.gov/NPILookup?Npi=1669440822","1669440822")</f>
        <v>1669440822</v>
      </c>
      <c r="E5988" t="s">
        <v>2322</v>
      </c>
    </row>
    <row r="5989" spans="1:5" x14ac:dyDescent="0.25">
      <c r="A5989" t="s">
        <v>1</v>
      </c>
      <c r="B5989" t="s">
        <v>19</v>
      </c>
      <c r="C5989" t="s">
        <v>23490</v>
      </c>
      <c r="D5989" t="str">
        <f>HYPERLINK("https://rhld.insurance.arkansas.gov/NPILookup?Npi=1669449484","1669449484")</f>
        <v>1669449484</v>
      </c>
      <c r="E5989" t="s">
        <v>18074</v>
      </c>
    </row>
    <row r="5990" spans="1:5" x14ac:dyDescent="0.25">
      <c r="A5990" t="s">
        <v>1</v>
      </c>
      <c r="B5990" t="s">
        <v>19</v>
      </c>
      <c r="C5990" t="s">
        <v>23490</v>
      </c>
      <c r="D5990" t="str">
        <f>HYPERLINK("https://rhld.insurance.arkansas.gov/NPILookup?Npi=1669451407","1669451407")</f>
        <v>1669451407</v>
      </c>
      <c r="E5990" t="s">
        <v>11153</v>
      </c>
    </row>
    <row r="5991" spans="1:5" x14ac:dyDescent="0.25">
      <c r="A5991" t="s">
        <v>1</v>
      </c>
      <c r="B5991" t="s">
        <v>19</v>
      </c>
      <c r="C5991" t="s">
        <v>23490</v>
      </c>
      <c r="D5991" t="str">
        <f>HYPERLINK("https://rhld.insurance.arkansas.gov/NPILookup?Npi=1669459905","1669459905")</f>
        <v>1669459905</v>
      </c>
      <c r="E5991" t="s">
        <v>15396</v>
      </c>
    </row>
    <row r="5992" spans="1:5" x14ac:dyDescent="0.25">
      <c r="A5992" t="s">
        <v>1</v>
      </c>
      <c r="B5992" t="s">
        <v>19</v>
      </c>
      <c r="C5992" t="s">
        <v>23490</v>
      </c>
      <c r="D5992" t="str">
        <f>HYPERLINK("https://rhld.insurance.arkansas.gov/NPILookup?Npi=1669461679","1669461679")</f>
        <v>1669461679</v>
      </c>
      <c r="E5992" t="s">
        <v>11154</v>
      </c>
    </row>
    <row r="5993" spans="1:5" x14ac:dyDescent="0.25">
      <c r="A5993" t="s">
        <v>1</v>
      </c>
      <c r="B5993" t="s">
        <v>19</v>
      </c>
      <c r="C5993" t="s">
        <v>23490</v>
      </c>
      <c r="D5993" t="str">
        <f>HYPERLINK("https://rhld.insurance.arkansas.gov/NPILookup?Npi=1669465795","1669465795")</f>
        <v>1669465795</v>
      </c>
      <c r="E5993" t="s">
        <v>2323</v>
      </c>
    </row>
    <row r="5994" spans="1:5" x14ac:dyDescent="0.25">
      <c r="A5994" t="s">
        <v>1</v>
      </c>
      <c r="B5994" t="s">
        <v>19</v>
      </c>
      <c r="C5994" t="s">
        <v>23490</v>
      </c>
      <c r="D5994" t="str">
        <f>HYPERLINK("https://rhld.insurance.arkansas.gov/NPILookup?Npi=1669467056","1669467056")</f>
        <v>1669467056</v>
      </c>
      <c r="E5994" t="s">
        <v>2324</v>
      </c>
    </row>
    <row r="5995" spans="1:5" x14ac:dyDescent="0.25">
      <c r="A5995" t="s">
        <v>1</v>
      </c>
      <c r="B5995" t="s">
        <v>19</v>
      </c>
      <c r="C5995" t="s">
        <v>23490</v>
      </c>
      <c r="D5995" t="str">
        <f>HYPERLINK("https://rhld.insurance.arkansas.gov/NPILookup?Npi=1669469243","1669469243")</f>
        <v>1669469243</v>
      </c>
      <c r="E5995" t="s">
        <v>15397</v>
      </c>
    </row>
    <row r="5996" spans="1:5" x14ac:dyDescent="0.25">
      <c r="A5996" t="s">
        <v>1</v>
      </c>
      <c r="B5996" t="s">
        <v>19</v>
      </c>
      <c r="C5996" t="s">
        <v>23490</v>
      </c>
      <c r="D5996" t="str">
        <f>HYPERLINK("https://rhld.insurance.arkansas.gov/NPILookup?Npi=1669470316","1669470316")</f>
        <v>1669470316</v>
      </c>
      <c r="E5996" t="s">
        <v>2325</v>
      </c>
    </row>
    <row r="5997" spans="1:5" x14ac:dyDescent="0.25">
      <c r="A5997" t="s">
        <v>1</v>
      </c>
      <c r="B5997" t="s">
        <v>19</v>
      </c>
      <c r="C5997" t="s">
        <v>23490</v>
      </c>
      <c r="D5997" t="str">
        <f>HYPERLINK("https://rhld.insurance.arkansas.gov/NPILookup?Npi=1669477469","1669477469")</f>
        <v>1669477469</v>
      </c>
      <c r="E5997" t="s">
        <v>2326</v>
      </c>
    </row>
    <row r="5998" spans="1:5" x14ac:dyDescent="0.25">
      <c r="A5998" t="s">
        <v>1</v>
      </c>
      <c r="B5998" t="s">
        <v>19</v>
      </c>
      <c r="C5998" t="s">
        <v>23490</v>
      </c>
      <c r="D5998" t="str">
        <f>HYPERLINK("https://rhld.insurance.arkansas.gov/NPILookup?Npi=1669479036","1669479036")</f>
        <v>1669479036</v>
      </c>
      <c r="E5998" t="s">
        <v>2327</v>
      </c>
    </row>
    <row r="5999" spans="1:5" x14ac:dyDescent="0.25">
      <c r="A5999" t="s">
        <v>1</v>
      </c>
      <c r="B5999" t="s">
        <v>19</v>
      </c>
      <c r="C5999" t="s">
        <v>23490</v>
      </c>
      <c r="D5999" t="str">
        <f>HYPERLINK("https://rhld.insurance.arkansas.gov/NPILookup?Npi=1669494860","1669494860")</f>
        <v>1669494860</v>
      </c>
      <c r="E5999" t="s">
        <v>2328</v>
      </c>
    </row>
    <row r="6000" spans="1:5" x14ac:dyDescent="0.25">
      <c r="A6000" t="s">
        <v>1</v>
      </c>
      <c r="B6000" t="s">
        <v>19</v>
      </c>
      <c r="C6000" t="s">
        <v>23490</v>
      </c>
      <c r="D6000" t="str">
        <f>HYPERLINK("https://rhld.insurance.arkansas.gov/NPILookup?Npi=1669525275","1669525275")</f>
        <v>1669525275</v>
      </c>
      <c r="E6000" t="s">
        <v>2329</v>
      </c>
    </row>
    <row r="6001" spans="1:5" x14ac:dyDescent="0.25">
      <c r="A6001" t="s">
        <v>1</v>
      </c>
      <c r="B6001" t="s">
        <v>19</v>
      </c>
      <c r="C6001" t="s">
        <v>23490</v>
      </c>
      <c r="D6001" t="str">
        <f>HYPERLINK("https://rhld.insurance.arkansas.gov/NPILookup?Npi=1669545711","1669545711")</f>
        <v>1669545711</v>
      </c>
      <c r="E6001" t="s">
        <v>11155</v>
      </c>
    </row>
    <row r="6002" spans="1:5" x14ac:dyDescent="0.25">
      <c r="A6002" t="s">
        <v>1</v>
      </c>
      <c r="B6002" t="s">
        <v>19</v>
      </c>
      <c r="C6002" t="s">
        <v>23490</v>
      </c>
      <c r="D6002" t="str">
        <f>HYPERLINK("https://rhld.insurance.arkansas.gov/NPILookup?Npi=1669552642","1669552642")</f>
        <v>1669552642</v>
      </c>
      <c r="E6002" t="s">
        <v>15398</v>
      </c>
    </row>
    <row r="6003" spans="1:5" x14ac:dyDescent="0.25">
      <c r="A6003" t="s">
        <v>1</v>
      </c>
      <c r="B6003" t="s">
        <v>19</v>
      </c>
      <c r="C6003" t="s">
        <v>23490</v>
      </c>
      <c r="D6003" t="str">
        <f>HYPERLINK("https://rhld.insurance.arkansas.gov/NPILookup?Npi=1669562146","1669562146")</f>
        <v>1669562146</v>
      </c>
      <c r="E6003" t="s">
        <v>2330</v>
      </c>
    </row>
    <row r="6004" spans="1:5" x14ac:dyDescent="0.25">
      <c r="A6004" t="s">
        <v>1</v>
      </c>
      <c r="B6004" t="s">
        <v>19</v>
      </c>
      <c r="C6004" t="s">
        <v>23490</v>
      </c>
      <c r="D6004" t="str">
        <f>HYPERLINK("https://rhld.insurance.arkansas.gov/NPILookup?Npi=1669564845","1669564845")</f>
        <v>1669564845</v>
      </c>
      <c r="E6004" t="s">
        <v>19231</v>
      </c>
    </row>
    <row r="6005" spans="1:5" x14ac:dyDescent="0.25">
      <c r="A6005" t="s">
        <v>1</v>
      </c>
      <c r="B6005" t="s">
        <v>19</v>
      </c>
      <c r="C6005" t="s">
        <v>23490</v>
      </c>
      <c r="D6005" t="str">
        <f>HYPERLINK("https://rhld.insurance.arkansas.gov/NPILookup?Npi=1669575569","1669575569")</f>
        <v>1669575569</v>
      </c>
      <c r="E6005" t="s">
        <v>2331</v>
      </c>
    </row>
    <row r="6006" spans="1:5" x14ac:dyDescent="0.25">
      <c r="A6006" t="s">
        <v>1</v>
      </c>
      <c r="B6006" t="s">
        <v>19</v>
      </c>
      <c r="C6006" t="s">
        <v>23490</v>
      </c>
      <c r="D6006" t="str">
        <f>HYPERLINK("https://rhld.insurance.arkansas.gov/NPILookup?Npi=1669585063","1669585063")</f>
        <v>1669585063</v>
      </c>
      <c r="E6006" t="s">
        <v>2332</v>
      </c>
    </row>
    <row r="6007" spans="1:5" x14ac:dyDescent="0.25">
      <c r="A6007" t="s">
        <v>1</v>
      </c>
      <c r="B6007" t="s">
        <v>19</v>
      </c>
      <c r="C6007" t="s">
        <v>23490</v>
      </c>
      <c r="D6007" t="str">
        <f>HYPERLINK("https://rhld.insurance.arkansas.gov/NPILookup?Npi=1669589677","1669589677")</f>
        <v>1669589677</v>
      </c>
      <c r="E6007" t="s">
        <v>11156</v>
      </c>
    </row>
    <row r="6008" spans="1:5" x14ac:dyDescent="0.25">
      <c r="A6008" t="s">
        <v>1</v>
      </c>
      <c r="B6008" t="s">
        <v>19</v>
      </c>
      <c r="C6008" t="s">
        <v>23490</v>
      </c>
      <c r="D6008" t="str">
        <f>HYPERLINK("https://rhld.insurance.arkansas.gov/NPILookup?Npi=1669598561","1669598561")</f>
        <v>1669598561</v>
      </c>
      <c r="E6008" t="s">
        <v>2333</v>
      </c>
    </row>
    <row r="6009" spans="1:5" x14ac:dyDescent="0.25">
      <c r="A6009" t="s">
        <v>1</v>
      </c>
      <c r="B6009" t="s">
        <v>19</v>
      </c>
      <c r="C6009" t="s">
        <v>23490</v>
      </c>
      <c r="D6009" t="str">
        <f>HYPERLINK("https://rhld.insurance.arkansas.gov/NPILookup?Npi=1669614871","1669614871")</f>
        <v>1669614871</v>
      </c>
      <c r="E6009" t="s">
        <v>2334</v>
      </c>
    </row>
    <row r="6010" spans="1:5" x14ac:dyDescent="0.25">
      <c r="A6010" t="s">
        <v>1</v>
      </c>
      <c r="B6010" t="s">
        <v>19</v>
      </c>
      <c r="C6010" t="s">
        <v>23490</v>
      </c>
      <c r="D6010" t="str">
        <f>HYPERLINK("https://rhld.insurance.arkansas.gov/NPILookup?Npi=1669614889","1669614889")</f>
        <v>1669614889</v>
      </c>
      <c r="E6010" t="s">
        <v>18075</v>
      </c>
    </row>
    <row r="6011" spans="1:5" x14ac:dyDescent="0.25">
      <c r="A6011" t="s">
        <v>1</v>
      </c>
      <c r="B6011" t="s">
        <v>19</v>
      </c>
      <c r="C6011" t="s">
        <v>23490</v>
      </c>
      <c r="D6011" t="str">
        <f>HYPERLINK("https://rhld.insurance.arkansas.gov/NPILookup?Npi=1669621710","1669621710")</f>
        <v>1669621710</v>
      </c>
      <c r="E6011" t="s">
        <v>2335</v>
      </c>
    </row>
    <row r="6012" spans="1:5" x14ac:dyDescent="0.25">
      <c r="A6012" t="s">
        <v>1</v>
      </c>
      <c r="B6012" t="s">
        <v>19</v>
      </c>
      <c r="C6012" t="s">
        <v>23490</v>
      </c>
      <c r="D6012" t="str">
        <f>HYPERLINK("https://rhld.insurance.arkansas.gov/NPILookup?Npi=1669637468","1669637468")</f>
        <v>1669637468</v>
      </c>
      <c r="E6012" t="s">
        <v>2336</v>
      </c>
    </row>
    <row r="6013" spans="1:5" x14ac:dyDescent="0.25">
      <c r="A6013" t="s">
        <v>1</v>
      </c>
      <c r="B6013" t="s">
        <v>19</v>
      </c>
      <c r="C6013" t="s">
        <v>23490</v>
      </c>
      <c r="D6013" t="str">
        <f>HYPERLINK("https://rhld.insurance.arkansas.gov/NPILookup?Npi=1669642849","1669642849")</f>
        <v>1669642849</v>
      </c>
      <c r="E6013" t="s">
        <v>21619</v>
      </c>
    </row>
    <row r="6014" spans="1:5" x14ac:dyDescent="0.25">
      <c r="A6014" t="s">
        <v>1</v>
      </c>
      <c r="B6014" t="s">
        <v>19</v>
      </c>
      <c r="C6014" t="s">
        <v>23490</v>
      </c>
      <c r="D6014" t="str">
        <f>HYPERLINK("https://rhld.insurance.arkansas.gov/NPILookup?Npi=1669645099","1669645099")</f>
        <v>1669645099</v>
      </c>
      <c r="E6014" t="s">
        <v>2337</v>
      </c>
    </row>
    <row r="6015" spans="1:5" x14ac:dyDescent="0.25">
      <c r="A6015" t="s">
        <v>1</v>
      </c>
      <c r="B6015" t="s">
        <v>19</v>
      </c>
      <c r="C6015" t="s">
        <v>23490</v>
      </c>
      <c r="D6015" t="str">
        <f>HYPERLINK("https://rhld.insurance.arkansas.gov/NPILookup?Npi=1669658837","1669658837")</f>
        <v>1669658837</v>
      </c>
      <c r="E6015" t="s">
        <v>8788</v>
      </c>
    </row>
    <row r="6016" spans="1:5" x14ac:dyDescent="0.25">
      <c r="A6016" t="s">
        <v>1</v>
      </c>
      <c r="B6016" t="s">
        <v>19</v>
      </c>
      <c r="C6016" t="s">
        <v>23490</v>
      </c>
      <c r="D6016" t="str">
        <f>HYPERLINK("https://rhld.insurance.arkansas.gov/NPILookup?Npi=1669665964","1669665964")</f>
        <v>1669665964</v>
      </c>
      <c r="E6016" t="s">
        <v>2338</v>
      </c>
    </row>
    <row r="6017" spans="1:5" x14ac:dyDescent="0.25">
      <c r="A6017" t="s">
        <v>1</v>
      </c>
      <c r="B6017" t="s">
        <v>19</v>
      </c>
      <c r="C6017" t="s">
        <v>23490</v>
      </c>
      <c r="D6017" t="str">
        <f>HYPERLINK("https://rhld.insurance.arkansas.gov/NPILookup?Npi=1669669446","1669669446")</f>
        <v>1669669446</v>
      </c>
      <c r="E6017" t="s">
        <v>2339</v>
      </c>
    </row>
    <row r="6018" spans="1:5" x14ac:dyDescent="0.25">
      <c r="A6018" t="s">
        <v>1</v>
      </c>
      <c r="B6018" t="s">
        <v>19</v>
      </c>
      <c r="C6018" t="s">
        <v>23490</v>
      </c>
      <c r="D6018" t="str">
        <f>HYPERLINK("https://rhld.insurance.arkansas.gov/NPILookup?Npi=1669669537","1669669537")</f>
        <v>1669669537</v>
      </c>
      <c r="E6018" t="s">
        <v>2340</v>
      </c>
    </row>
    <row r="6019" spans="1:5" x14ac:dyDescent="0.25">
      <c r="A6019" t="s">
        <v>1</v>
      </c>
      <c r="B6019" t="s">
        <v>19</v>
      </c>
      <c r="C6019" t="s">
        <v>23490</v>
      </c>
      <c r="D6019" t="str">
        <f>HYPERLINK("https://rhld.insurance.arkansas.gov/NPILookup?Npi=1669676151","1669676151")</f>
        <v>1669676151</v>
      </c>
      <c r="E6019" t="s">
        <v>11157</v>
      </c>
    </row>
    <row r="6020" spans="1:5" x14ac:dyDescent="0.25">
      <c r="A6020" t="s">
        <v>1</v>
      </c>
      <c r="B6020" t="s">
        <v>19</v>
      </c>
      <c r="C6020" t="s">
        <v>23490</v>
      </c>
      <c r="D6020" t="str">
        <f>HYPERLINK("https://rhld.insurance.arkansas.gov/NPILookup?Npi=1669676557","1669676557")</f>
        <v>1669676557</v>
      </c>
      <c r="E6020" t="s">
        <v>2341</v>
      </c>
    </row>
    <row r="6021" spans="1:5" x14ac:dyDescent="0.25">
      <c r="A6021" t="s">
        <v>1</v>
      </c>
      <c r="B6021" t="s">
        <v>19</v>
      </c>
      <c r="C6021" t="s">
        <v>23490</v>
      </c>
      <c r="D6021" t="str">
        <f>HYPERLINK("https://rhld.insurance.arkansas.gov/NPILookup?Npi=1669682902","1669682902")</f>
        <v>1669682902</v>
      </c>
      <c r="E6021" t="s">
        <v>2342</v>
      </c>
    </row>
    <row r="6022" spans="1:5" x14ac:dyDescent="0.25">
      <c r="A6022" t="s">
        <v>1</v>
      </c>
      <c r="B6022" t="s">
        <v>19</v>
      </c>
      <c r="C6022" t="s">
        <v>23490</v>
      </c>
      <c r="D6022" t="str">
        <f>HYPERLINK("https://rhld.insurance.arkansas.gov/NPILookup?Npi=1669695300","1669695300")</f>
        <v>1669695300</v>
      </c>
      <c r="E6022" t="s">
        <v>8789</v>
      </c>
    </row>
    <row r="6023" spans="1:5" x14ac:dyDescent="0.25">
      <c r="A6023" t="s">
        <v>1</v>
      </c>
      <c r="B6023" t="s">
        <v>19</v>
      </c>
      <c r="C6023" t="s">
        <v>23490</v>
      </c>
      <c r="D6023" t="str">
        <f>HYPERLINK("https://rhld.insurance.arkansas.gov/NPILookup?Npi=1669714663","1669714663")</f>
        <v>1669714663</v>
      </c>
      <c r="E6023" t="s">
        <v>2343</v>
      </c>
    </row>
    <row r="6024" spans="1:5" x14ac:dyDescent="0.25">
      <c r="A6024" t="s">
        <v>1</v>
      </c>
      <c r="B6024" t="s">
        <v>19</v>
      </c>
      <c r="C6024" t="s">
        <v>23490</v>
      </c>
      <c r="D6024" t="str">
        <f>HYPERLINK("https://rhld.insurance.arkansas.gov/NPILookup?Npi=1669731741","1669731741")</f>
        <v>1669731741</v>
      </c>
      <c r="E6024" t="s">
        <v>18076</v>
      </c>
    </row>
    <row r="6025" spans="1:5" x14ac:dyDescent="0.25">
      <c r="A6025" t="s">
        <v>1</v>
      </c>
      <c r="B6025" t="s">
        <v>19</v>
      </c>
      <c r="C6025" t="s">
        <v>23490</v>
      </c>
      <c r="D6025" t="str">
        <f>HYPERLINK("https://rhld.insurance.arkansas.gov/NPILookup?Npi=1669732376","1669732376")</f>
        <v>1669732376</v>
      </c>
      <c r="E6025" t="s">
        <v>15399</v>
      </c>
    </row>
    <row r="6026" spans="1:5" x14ac:dyDescent="0.25">
      <c r="A6026" t="s">
        <v>1</v>
      </c>
      <c r="B6026" t="s">
        <v>19</v>
      </c>
      <c r="C6026" t="s">
        <v>23490</v>
      </c>
      <c r="D6026" t="str">
        <f>HYPERLINK("https://rhld.insurance.arkansas.gov/NPILookup?Npi=1669733838","1669733838")</f>
        <v>1669733838</v>
      </c>
      <c r="E6026" t="s">
        <v>22970</v>
      </c>
    </row>
    <row r="6027" spans="1:5" x14ac:dyDescent="0.25">
      <c r="A6027" t="s">
        <v>1</v>
      </c>
      <c r="B6027" t="s">
        <v>19</v>
      </c>
      <c r="C6027" t="s">
        <v>23490</v>
      </c>
      <c r="D6027" t="str">
        <f>HYPERLINK("https://rhld.insurance.arkansas.gov/NPILookup?Npi=1669747762","1669747762")</f>
        <v>1669747762</v>
      </c>
      <c r="E6027" t="s">
        <v>8790</v>
      </c>
    </row>
    <row r="6028" spans="1:5" x14ac:dyDescent="0.25">
      <c r="A6028" t="s">
        <v>1</v>
      </c>
      <c r="B6028" t="s">
        <v>19</v>
      </c>
      <c r="C6028" t="s">
        <v>23490</v>
      </c>
      <c r="D6028" t="str">
        <f>HYPERLINK("https://rhld.insurance.arkansas.gov/NPILookup?Npi=1669758777","1669758777")</f>
        <v>1669758777</v>
      </c>
      <c r="E6028" t="s">
        <v>2345</v>
      </c>
    </row>
    <row r="6029" spans="1:5" x14ac:dyDescent="0.25">
      <c r="A6029" t="s">
        <v>1</v>
      </c>
      <c r="B6029" t="s">
        <v>19</v>
      </c>
      <c r="C6029" t="s">
        <v>23490</v>
      </c>
      <c r="D6029" t="str">
        <f>HYPERLINK("https://rhld.insurance.arkansas.gov/NPILookup?Npi=1669760609","1669760609")</f>
        <v>1669760609</v>
      </c>
      <c r="E6029" t="s">
        <v>15400</v>
      </c>
    </row>
    <row r="6030" spans="1:5" x14ac:dyDescent="0.25">
      <c r="A6030" t="s">
        <v>1</v>
      </c>
      <c r="B6030" t="s">
        <v>19</v>
      </c>
      <c r="C6030" t="s">
        <v>23490</v>
      </c>
      <c r="D6030" t="str">
        <f>HYPERLINK("https://rhld.insurance.arkansas.gov/NPILookup?Npi=1669777926","1669777926")</f>
        <v>1669777926</v>
      </c>
      <c r="E6030" t="s">
        <v>15401</v>
      </c>
    </row>
    <row r="6031" spans="1:5" x14ac:dyDescent="0.25">
      <c r="A6031" t="s">
        <v>1</v>
      </c>
      <c r="B6031" t="s">
        <v>19</v>
      </c>
      <c r="C6031" t="s">
        <v>23490</v>
      </c>
      <c r="D6031" t="str">
        <f>HYPERLINK("https://rhld.insurance.arkansas.gov/NPILookup?Npi=1669785515","1669785515")</f>
        <v>1669785515</v>
      </c>
      <c r="E6031" t="s">
        <v>2346</v>
      </c>
    </row>
    <row r="6032" spans="1:5" x14ac:dyDescent="0.25">
      <c r="A6032" t="s">
        <v>1</v>
      </c>
      <c r="B6032" t="s">
        <v>19</v>
      </c>
      <c r="C6032" t="s">
        <v>23490</v>
      </c>
      <c r="D6032" t="str">
        <f>HYPERLINK("https://rhld.insurance.arkansas.gov/NPILookup?Npi=1669798807","1669798807")</f>
        <v>1669798807</v>
      </c>
      <c r="E6032" t="s">
        <v>2347</v>
      </c>
    </row>
    <row r="6033" spans="1:5" x14ac:dyDescent="0.25">
      <c r="A6033" t="s">
        <v>1</v>
      </c>
      <c r="B6033" t="s">
        <v>19</v>
      </c>
      <c r="C6033" t="s">
        <v>23490</v>
      </c>
      <c r="D6033" t="str">
        <f>HYPERLINK("https://rhld.insurance.arkansas.gov/NPILookup?Npi=1669798880","1669798880")</f>
        <v>1669798880</v>
      </c>
      <c r="E6033" t="s">
        <v>15402</v>
      </c>
    </row>
    <row r="6034" spans="1:5" x14ac:dyDescent="0.25">
      <c r="A6034" t="s">
        <v>1</v>
      </c>
      <c r="B6034" t="s">
        <v>19</v>
      </c>
      <c r="C6034" t="s">
        <v>23490</v>
      </c>
      <c r="D6034" t="str">
        <f>HYPERLINK("https://rhld.insurance.arkansas.gov/NPILookup?Npi=1669807244","1669807244")</f>
        <v>1669807244</v>
      </c>
      <c r="E6034" t="s">
        <v>11158</v>
      </c>
    </row>
    <row r="6035" spans="1:5" x14ac:dyDescent="0.25">
      <c r="A6035" t="s">
        <v>1</v>
      </c>
      <c r="B6035" t="s">
        <v>19</v>
      </c>
      <c r="C6035" t="s">
        <v>23490</v>
      </c>
      <c r="D6035" t="str">
        <f>HYPERLINK("https://rhld.insurance.arkansas.gov/NPILookup?Npi=1669808051","1669808051")</f>
        <v>1669808051</v>
      </c>
      <c r="E6035" t="s">
        <v>2349</v>
      </c>
    </row>
    <row r="6036" spans="1:5" x14ac:dyDescent="0.25">
      <c r="A6036" t="s">
        <v>1</v>
      </c>
      <c r="B6036" t="s">
        <v>19</v>
      </c>
      <c r="C6036" t="s">
        <v>23490</v>
      </c>
      <c r="D6036" t="str">
        <f>HYPERLINK("https://rhld.insurance.arkansas.gov/NPILookup?Npi=1669812178","1669812178")</f>
        <v>1669812178</v>
      </c>
      <c r="E6036" t="s">
        <v>13643</v>
      </c>
    </row>
    <row r="6037" spans="1:5" x14ac:dyDescent="0.25">
      <c r="A6037" t="s">
        <v>1</v>
      </c>
      <c r="B6037" t="s">
        <v>19</v>
      </c>
      <c r="C6037" t="s">
        <v>23490</v>
      </c>
      <c r="D6037" t="str">
        <f>HYPERLINK("https://rhld.insurance.arkansas.gov/NPILookup?Npi=1669816831","1669816831")</f>
        <v>1669816831</v>
      </c>
      <c r="E6037" t="s">
        <v>2350</v>
      </c>
    </row>
    <row r="6038" spans="1:5" x14ac:dyDescent="0.25">
      <c r="A6038" t="s">
        <v>1</v>
      </c>
      <c r="B6038" t="s">
        <v>19</v>
      </c>
      <c r="C6038" t="s">
        <v>23490</v>
      </c>
      <c r="D6038" t="str">
        <f>HYPERLINK("https://rhld.insurance.arkansas.gov/NPILookup?Npi=1669818043","1669818043")</f>
        <v>1669818043</v>
      </c>
      <c r="E6038" t="s">
        <v>13644</v>
      </c>
    </row>
    <row r="6039" spans="1:5" x14ac:dyDescent="0.25">
      <c r="A6039" t="s">
        <v>1</v>
      </c>
      <c r="B6039" t="s">
        <v>19</v>
      </c>
      <c r="C6039" t="s">
        <v>23490</v>
      </c>
      <c r="D6039" t="str">
        <f>HYPERLINK("https://rhld.insurance.arkansas.gov/NPILookup?Npi=1669821047","1669821047")</f>
        <v>1669821047</v>
      </c>
      <c r="E6039" t="s">
        <v>15403</v>
      </c>
    </row>
    <row r="6040" spans="1:5" x14ac:dyDescent="0.25">
      <c r="A6040" t="s">
        <v>1</v>
      </c>
      <c r="B6040" t="s">
        <v>19</v>
      </c>
      <c r="C6040" t="s">
        <v>23490</v>
      </c>
      <c r="D6040" t="str">
        <f>HYPERLINK("https://rhld.insurance.arkansas.gov/NPILookup?Npi=1669824470","1669824470")</f>
        <v>1669824470</v>
      </c>
      <c r="E6040" t="s">
        <v>15404</v>
      </c>
    </row>
    <row r="6041" spans="1:5" x14ac:dyDescent="0.25">
      <c r="A6041" t="s">
        <v>1</v>
      </c>
      <c r="B6041" t="s">
        <v>19</v>
      </c>
      <c r="C6041" t="s">
        <v>23490</v>
      </c>
      <c r="D6041" t="str">
        <f>HYPERLINK("https://rhld.insurance.arkansas.gov/NPILookup?Npi=1669848156","1669848156")</f>
        <v>1669848156</v>
      </c>
      <c r="E6041" t="s">
        <v>11159</v>
      </c>
    </row>
    <row r="6042" spans="1:5" x14ac:dyDescent="0.25">
      <c r="A6042" t="s">
        <v>1</v>
      </c>
      <c r="B6042" t="s">
        <v>19</v>
      </c>
      <c r="C6042" t="s">
        <v>23490</v>
      </c>
      <c r="D6042" t="str">
        <f>HYPERLINK("https://rhld.insurance.arkansas.gov/NPILookup?Npi=1669855912","1669855912")</f>
        <v>1669855912</v>
      </c>
      <c r="E6042" t="s">
        <v>8791</v>
      </c>
    </row>
    <row r="6043" spans="1:5" x14ac:dyDescent="0.25">
      <c r="A6043" t="s">
        <v>1</v>
      </c>
      <c r="B6043" t="s">
        <v>19</v>
      </c>
      <c r="C6043" t="s">
        <v>23490</v>
      </c>
      <c r="D6043" t="str">
        <f>HYPERLINK("https://rhld.insurance.arkansas.gov/NPILookup?Npi=1669867099","1669867099")</f>
        <v>1669867099</v>
      </c>
      <c r="E6043" t="s">
        <v>13645</v>
      </c>
    </row>
    <row r="6044" spans="1:5" x14ac:dyDescent="0.25">
      <c r="A6044" t="s">
        <v>1</v>
      </c>
      <c r="B6044" t="s">
        <v>19</v>
      </c>
      <c r="C6044" t="s">
        <v>23490</v>
      </c>
      <c r="D6044" t="str">
        <f>HYPERLINK("https://rhld.insurance.arkansas.gov/NPILookup?Npi=1669867503","1669867503")</f>
        <v>1669867503</v>
      </c>
      <c r="E6044" t="s">
        <v>2351</v>
      </c>
    </row>
    <row r="6045" spans="1:5" x14ac:dyDescent="0.25">
      <c r="A6045" t="s">
        <v>1</v>
      </c>
      <c r="B6045" t="s">
        <v>19</v>
      </c>
      <c r="C6045" t="s">
        <v>23490</v>
      </c>
      <c r="D6045" t="str">
        <f>HYPERLINK("https://rhld.insurance.arkansas.gov/NPILookup?Npi=1669868691","1669868691")</f>
        <v>1669868691</v>
      </c>
      <c r="E6045" t="s">
        <v>8792</v>
      </c>
    </row>
    <row r="6046" spans="1:5" x14ac:dyDescent="0.25">
      <c r="A6046" t="s">
        <v>1</v>
      </c>
      <c r="B6046" t="s">
        <v>19</v>
      </c>
      <c r="C6046" t="s">
        <v>23490</v>
      </c>
      <c r="D6046" t="str">
        <f>HYPERLINK("https://rhld.insurance.arkansas.gov/NPILookup?Npi=1669868873","1669868873")</f>
        <v>1669868873</v>
      </c>
      <c r="E6046" t="s">
        <v>8793</v>
      </c>
    </row>
    <row r="6047" spans="1:5" x14ac:dyDescent="0.25">
      <c r="A6047" t="s">
        <v>1</v>
      </c>
      <c r="B6047" t="s">
        <v>19</v>
      </c>
      <c r="C6047" t="s">
        <v>23490</v>
      </c>
      <c r="D6047" t="str">
        <f>HYPERLINK("https://rhld.insurance.arkansas.gov/NPILookup?Npi=1669873774","1669873774")</f>
        <v>1669873774</v>
      </c>
      <c r="E6047" t="s">
        <v>2352</v>
      </c>
    </row>
    <row r="6048" spans="1:5" x14ac:dyDescent="0.25">
      <c r="A6048" t="s">
        <v>1</v>
      </c>
      <c r="B6048" t="s">
        <v>19</v>
      </c>
      <c r="C6048" t="s">
        <v>23490</v>
      </c>
      <c r="D6048" t="str">
        <f>HYPERLINK("https://rhld.insurance.arkansas.gov/NPILookup?Npi=1669880001","1669880001")</f>
        <v>1669880001</v>
      </c>
      <c r="E6048" t="s">
        <v>2353</v>
      </c>
    </row>
    <row r="6049" spans="1:5" x14ac:dyDescent="0.25">
      <c r="A6049" t="s">
        <v>1</v>
      </c>
      <c r="B6049" t="s">
        <v>19</v>
      </c>
      <c r="C6049" t="s">
        <v>23490</v>
      </c>
      <c r="D6049" t="str">
        <f>HYPERLINK("https://rhld.insurance.arkansas.gov/NPILookup?Npi=1669884763","1669884763")</f>
        <v>1669884763</v>
      </c>
      <c r="E6049" t="s">
        <v>11160</v>
      </c>
    </row>
    <row r="6050" spans="1:5" x14ac:dyDescent="0.25">
      <c r="A6050" t="s">
        <v>1</v>
      </c>
      <c r="B6050" t="s">
        <v>19</v>
      </c>
      <c r="C6050" t="s">
        <v>23490</v>
      </c>
      <c r="D6050" t="str">
        <f>HYPERLINK("https://rhld.insurance.arkansas.gov/NPILookup?Npi=1669886552","1669886552")</f>
        <v>1669886552</v>
      </c>
      <c r="E6050" t="s">
        <v>2354</v>
      </c>
    </row>
    <row r="6051" spans="1:5" x14ac:dyDescent="0.25">
      <c r="A6051" t="s">
        <v>1</v>
      </c>
      <c r="B6051" t="s">
        <v>19</v>
      </c>
      <c r="C6051" t="s">
        <v>23490</v>
      </c>
      <c r="D6051" t="str">
        <f>HYPERLINK("https://rhld.insurance.arkansas.gov/NPILookup?Npi=1669886594","1669886594")</f>
        <v>1669886594</v>
      </c>
      <c r="E6051" t="s">
        <v>16999</v>
      </c>
    </row>
    <row r="6052" spans="1:5" x14ac:dyDescent="0.25">
      <c r="A6052" t="s">
        <v>1</v>
      </c>
      <c r="B6052" t="s">
        <v>19</v>
      </c>
      <c r="C6052" t="s">
        <v>23490</v>
      </c>
      <c r="D6052" t="str">
        <f>HYPERLINK("https://rhld.insurance.arkansas.gov/NPILookup?Npi=1669891222","1669891222")</f>
        <v>1669891222</v>
      </c>
      <c r="E6052" t="s">
        <v>11161</v>
      </c>
    </row>
    <row r="6053" spans="1:5" x14ac:dyDescent="0.25">
      <c r="A6053" t="s">
        <v>1</v>
      </c>
      <c r="B6053" t="s">
        <v>19</v>
      </c>
      <c r="C6053" t="s">
        <v>23490</v>
      </c>
      <c r="D6053" t="str">
        <f>HYPERLINK("https://rhld.insurance.arkansas.gov/NPILookup?Npi=1669904769","1669904769")</f>
        <v>1669904769</v>
      </c>
      <c r="E6053" t="s">
        <v>18833</v>
      </c>
    </row>
    <row r="6054" spans="1:5" x14ac:dyDescent="0.25">
      <c r="A6054" t="s">
        <v>1</v>
      </c>
      <c r="B6054" t="s">
        <v>19</v>
      </c>
      <c r="C6054" t="s">
        <v>23490</v>
      </c>
      <c r="D6054" t="str">
        <f>HYPERLINK("https://rhld.insurance.arkansas.gov/NPILookup?Npi=1669917522","1669917522")</f>
        <v>1669917522</v>
      </c>
      <c r="E6054" t="s">
        <v>15405</v>
      </c>
    </row>
    <row r="6055" spans="1:5" x14ac:dyDescent="0.25">
      <c r="A6055" t="s">
        <v>1</v>
      </c>
      <c r="B6055" t="s">
        <v>19</v>
      </c>
      <c r="C6055" t="s">
        <v>23490</v>
      </c>
      <c r="D6055" t="str">
        <f>HYPERLINK("https://rhld.insurance.arkansas.gov/NPILookup?Npi=1669922308","1669922308")</f>
        <v>1669922308</v>
      </c>
      <c r="E6055" t="s">
        <v>21620</v>
      </c>
    </row>
    <row r="6056" spans="1:5" x14ac:dyDescent="0.25">
      <c r="A6056" t="s">
        <v>1</v>
      </c>
      <c r="B6056" t="s">
        <v>19</v>
      </c>
      <c r="C6056" t="s">
        <v>23490</v>
      </c>
      <c r="D6056" t="str">
        <f>HYPERLINK("https://rhld.insurance.arkansas.gov/NPILookup?Npi=1669924379","1669924379")</f>
        <v>1669924379</v>
      </c>
      <c r="E6056" t="s">
        <v>15406</v>
      </c>
    </row>
    <row r="6057" spans="1:5" x14ac:dyDescent="0.25">
      <c r="A6057" t="s">
        <v>1</v>
      </c>
      <c r="B6057" t="s">
        <v>19</v>
      </c>
      <c r="C6057" t="s">
        <v>23490</v>
      </c>
      <c r="D6057" t="str">
        <f>HYPERLINK("https://rhld.insurance.arkansas.gov/NPILookup?Npi=1669924817","1669924817")</f>
        <v>1669924817</v>
      </c>
      <c r="E6057" t="s">
        <v>11162</v>
      </c>
    </row>
    <row r="6058" spans="1:5" x14ac:dyDescent="0.25">
      <c r="A6058" t="s">
        <v>1</v>
      </c>
      <c r="B6058" t="s">
        <v>19</v>
      </c>
      <c r="C6058" t="s">
        <v>23490</v>
      </c>
      <c r="D6058" t="str">
        <f>HYPERLINK("https://rhld.insurance.arkansas.gov/NPILookup?Npi=1669927885","1669927885")</f>
        <v>1669927885</v>
      </c>
      <c r="E6058" t="s">
        <v>15407</v>
      </c>
    </row>
    <row r="6059" spans="1:5" x14ac:dyDescent="0.25">
      <c r="A6059" t="s">
        <v>1</v>
      </c>
      <c r="B6059" t="s">
        <v>19</v>
      </c>
      <c r="C6059" t="s">
        <v>23490</v>
      </c>
      <c r="D6059" t="str">
        <f>HYPERLINK("https://rhld.insurance.arkansas.gov/NPILookup?Npi=1669933370","1669933370")</f>
        <v>1669933370</v>
      </c>
      <c r="E6059" t="s">
        <v>15408</v>
      </c>
    </row>
    <row r="6060" spans="1:5" x14ac:dyDescent="0.25">
      <c r="A6060" t="s">
        <v>1</v>
      </c>
      <c r="B6060" t="s">
        <v>19</v>
      </c>
      <c r="C6060" t="s">
        <v>23490</v>
      </c>
      <c r="D6060" t="str">
        <f>HYPERLINK("https://rhld.insurance.arkansas.gov/NPILookup?Npi=1669937488","1669937488")</f>
        <v>1669937488</v>
      </c>
      <c r="E6060" t="s">
        <v>13646</v>
      </c>
    </row>
    <row r="6061" spans="1:5" x14ac:dyDescent="0.25">
      <c r="A6061" t="s">
        <v>1</v>
      </c>
      <c r="B6061" t="s">
        <v>19</v>
      </c>
      <c r="C6061" t="s">
        <v>23490</v>
      </c>
      <c r="D6061" t="str">
        <f>HYPERLINK("https://rhld.insurance.arkansas.gov/NPILookup?Npi=1669938049","1669938049")</f>
        <v>1669938049</v>
      </c>
      <c r="E6061" t="s">
        <v>13647</v>
      </c>
    </row>
    <row r="6062" spans="1:5" x14ac:dyDescent="0.25">
      <c r="A6062" t="s">
        <v>1</v>
      </c>
      <c r="B6062" t="s">
        <v>19</v>
      </c>
      <c r="C6062" t="s">
        <v>23490</v>
      </c>
      <c r="D6062" t="str">
        <f>HYPERLINK("https://rhld.insurance.arkansas.gov/NPILookup?Npi=1669955423","1669955423")</f>
        <v>1669955423</v>
      </c>
      <c r="E6062" t="s">
        <v>15409</v>
      </c>
    </row>
    <row r="6063" spans="1:5" x14ac:dyDescent="0.25">
      <c r="A6063" t="s">
        <v>1</v>
      </c>
      <c r="B6063" t="s">
        <v>19</v>
      </c>
      <c r="C6063" t="s">
        <v>23490</v>
      </c>
      <c r="D6063" t="str">
        <f>HYPERLINK("https://rhld.insurance.arkansas.gov/NPILookup?Npi=1669974499","1669974499")</f>
        <v>1669974499</v>
      </c>
      <c r="E6063" t="s">
        <v>13648</v>
      </c>
    </row>
    <row r="6064" spans="1:5" x14ac:dyDescent="0.25">
      <c r="A6064" t="s">
        <v>1</v>
      </c>
      <c r="B6064" t="s">
        <v>19</v>
      </c>
      <c r="C6064" t="s">
        <v>23490</v>
      </c>
      <c r="D6064" t="str">
        <f>HYPERLINK("https://rhld.insurance.arkansas.gov/NPILookup?Npi=1669979530","1669979530")</f>
        <v>1669979530</v>
      </c>
      <c r="E6064" t="s">
        <v>22971</v>
      </c>
    </row>
    <row r="6065" spans="1:5" x14ac:dyDescent="0.25">
      <c r="A6065" t="s">
        <v>1</v>
      </c>
      <c r="B6065" t="s">
        <v>19</v>
      </c>
      <c r="C6065" t="s">
        <v>23490</v>
      </c>
      <c r="D6065" t="str">
        <f>HYPERLINK("https://rhld.insurance.arkansas.gov/NPILookup?Npi=1669987012","1669987012")</f>
        <v>1669987012</v>
      </c>
      <c r="E6065" t="s">
        <v>12880</v>
      </c>
    </row>
    <row r="6066" spans="1:5" x14ac:dyDescent="0.25">
      <c r="A6066" t="s">
        <v>1</v>
      </c>
      <c r="B6066" t="s">
        <v>19</v>
      </c>
      <c r="C6066" t="s">
        <v>23490</v>
      </c>
      <c r="D6066" t="str">
        <f>HYPERLINK("https://rhld.insurance.arkansas.gov/NPILookup?Npi=1669991998","1669991998")</f>
        <v>1669991998</v>
      </c>
      <c r="E6066" t="s">
        <v>13015</v>
      </c>
    </row>
    <row r="6067" spans="1:5" x14ac:dyDescent="0.25">
      <c r="A6067" t="s">
        <v>1</v>
      </c>
      <c r="B6067" t="s">
        <v>19</v>
      </c>
      <c r="C6067" t="s">
        <v>23490</v>
      </c>
      <c r="D6067" t="str">
        <f>HYPERLINK("https://rhld.insurance.arkansas.gov/NPILookup?Npi=1679006969","1679006969")</f>
        <v>1679006969</v>
      </c>
      <c r="E6067" t="s">
        <v>11163</v>
      </c>
    </row>
    <row r="6068" spans="1:5" x14ac:dyDescent="0.25">
      <c r="A6068" t="s">
        <v>1</v>
      </c>
      <c r="B6068" t="s">
        <v>19</v>
      </c>
      <c r="C6068" t="s">
        <v>23490</v>
      </c>
      <c r="D6068" t="str">
        <f>HYPERLINK("https://rhld.insurance.arkansas.gov/NPILookup?Npi=1679018469","1679018469")</f>
        <v>1679018469</v>
      </c>
      <c r="E6068" t="s">
        <v>11164</v>
      </c>
    </row>
    <row r="6069" spans="1:5" x14ac:dyDescent="0.25">
      <c r="A6069" t="s">
        <v>1</v>
      </c>
      <c r="B6069" t="s">
        <v>19</v>
      </c>
      <c r="C6069" t="s">
        <v>23490</v>
      </c>
      <c r="D6069" t="str">
        <f>HYPERLINK("https://rhld.insurance.arkansas.gov/NPILookup?Npi=1679023824","1679023824")</f>
        <v>1679023824</v>
      </c>
      <c r="E6069" t="s">
        <v>11165</v>
      </c>
    </row>
    <row r="6070" spans="1:5" x14ac:dyDescent="0.25">
      <c r="A6070" t="s">
        <v>1</v>
      </c>
      <c r="B6070" t="s">
        <v>19</v>
      </c>
      <c r="C6070" t="s">
        <v>23490</v>
      </c>
      <c r="D6070" t="str">
        <f>HYPERLINK("https://rhld.insurance.arkansas.gov/NPILookup?Npi=1679027049","1679027049")</f>
        <v>1679027049</v>
      </c>
      <c r="E6070" t="s">
        <v>17000</v>
      </c>
    </row>
    <row r="6071" spans="1:5" x14ac:dyDescent="0.25">
      <c r="A6071" t="s">
        <v>1</v>
      </c>
      <c r="B6071" t="s">
        <v>19</v>
      </c>
      <c r="C6071" t="s">
        <v>23490</v>
      </c>
      <c r="D6071" t="str">
        <f>HYPERLINK("https://rhld.insurance.arkansas.gov/NPILookup?Npi=1679029227","1679029227")</f>
        <v>1679029227</v>
      </c>
      <c r="E6071" t="s">
        <v>12881</v>
      </c>
    </row>
    <row r="6072" spans="1:5" x14ac:dyDescent="0.25">
      <c r="A6072" t="s">
        <v>1</v>
      </c>
      <c r="B6072" t="s">
        <v>19</v>
      </c>
      <c r="C6072" t="s">
        <v>23490</v>
      </c>
      <c r="D6072" t="str">
        <f>HYPERLINK("https://rhld.insurance.arkansas.gov/NPILookup?Npi=1679047815","1679047815")</f>
        <v>1679047815</v>
      </c>
      <c r="E6072" t="s">
        <v>19930</v>
      </c>
    </row>
    <row r="6073" spans="1:5" x14ac:dyDescent="0.25">
      <c r="A6073" t="s">
        <v>1</v>
      </c>
      <c r="B6073" t="s">
        <v>19</v>
      </c>
      <c r="C6073" t="s">
        <v>23490</v>
      </c>
      <c r="D6073" t="str">
        <f>HYPERLINK("https://rhld.insurance.arkansas.gov/NPILookup?Npi=1679051668","1679051668")</f>
        <v>1679051668</v>
      </c>
      <c r="E6073" t="s">
        <v>13649</v>
      </c>
    </row>
    <row r="6074" spans="1:5" x14ac:dyDescent="0.25">
      <c r="A6074" t="s">
        <v>1</v>
      </c>
      <c r="B6074" t="s">
        <v>19</v>
      </c>
      <c r="C6074" t="s">
        <v>23490</v>
      </c>
      <c r="D6074" t="str">
        <f>HYPERLINK("https://rhld.insurance.arkansas.gov/NPILookup?Npi=1679069249","1679069249")</f>
        <v>1679069249</v>
      </c>
      <c r="E6074" t="s">
        <v>13650</v>
      </c>
    </row>
    <row r="6075" spans="1:5" x14ac:dyDescent="0.25">
      <c r="A6075" t="s">
        <v>1</v>
      </c>
      <c r="B6075" t="s">
        <v>19</v>
      </c>
      <c r="C6075" t="s">
        <v>23490</v>
      </c>
      <c r="D6075" t="str">
        <f>HYPERLINK("https://rhld.insurance.arkansas.gov/NPILookup?Npi=1679072169","1679072169")</f>
        <v>1679072169</v>
      </c>
      <c r="E6075" t="s">
        <v>15410</v>
      </c>
    </row>
    <row r="6076" spans="1:5" x14ac:dyDescent="0.25">
      <c r="A6076" t="s">
        <v>1</v>
      </c>
      <c r="B6076" t="s">
        <v>19</v>
      </c>
      <c r="C6076" t="s">
        <v>23490</v>
      </c>
      <c r="D6076" t="str">
        <f>HYPERLINK("https://rhld.insurance.arkansas.gov/NPILookup?Npi=1679073340","1679073340")</f>
        <v>1679073340</v>
      </c>
      <c r="E6076" t="s">
        <v>5644</v>
      </c>
    </row>
    <row r="6077" spans="1:5" x14ac:dyDescent="0.25">
      <c r="A6077" t="s">
        <v>1</v>
      </c>
      <c r="B6077" t="s">
        <v>19</v>
      </c>
      <c r="C6077" t="s">
        <v>23490</v>
      </c>
      <c r="D6077" t="str">
        <f>HYPERLINK("https://rhld.insurance.arkansas.gov/NPILookup?Npi=1679076764","1679076764")</f>
        <v>1679076764</v>
      </c>
      <c r="E6077" t="s">
        <v>13651</v>
      </c>
    </row>
    <row r="6078" spans="1:5" x14ac:dyDescent="0.25">
      <c r="A6078" t="s">
        <v>1</v>
      </c>
      <c r="B6078" t="s">
        <v>19</v>
      </c>
      <c r="C6078" t="s">
        <v>23490</v>
      </c>
      <c r="D6078" t="str">
        <f>HYPERLINK("https://rhld.insurance.arkansas.gov/NPILookup?Npi=1679078489","1679078489")</f>
        <v>1679078489</v>
      </c>
      <c r="E6078" t="s">
        <v>19931</v>
      </c>
    </row>
    <row r="6079" spans="1:5" x14ac:dyDescent="0.25">
      <c r="A6079" t="s">
        <v>1</v>
      </c>
      <c r="B6079" t="s">
        <v>19</v>
      </c>
      <c r="C6079" t="s">
        <v>23490</v>
      </c>
      <c r="D6079" t="str">
        <f>HYPERLINK("https://rhld.insurance.arkansas.gov/NPILookup?Npi=1679082002","1679082002")</f>
        <v>1679082002</v>
      </c>
      <c r="E6079" t="s">
        <v>15411</v>
      </c>
    </row>
    <row r="6080" spans="1:5" x14ac:dyDescent="0.25">
      <c r="A6080" t="s">
        <v>1</v>
      </c>
      <c r="B6080" t="s">
        <v>19</v>
      </c>
      <c r="C6080" t="s">
        <v>23490</v>
      </c>
      <c r="D6080" t="str">
        <f>HYPERLINK("https://rhld.insurance.arkansas.gov/NPILookup?Npi=1679084826","1679084826")</f>
        <v>1679084826</v>
      </c>
      <c r="E6080" t="s">
        <v>12882</v>
      </c>
    </row>
    <row r="6081" spans="1:5" x14ac:dyDescent="0.25">
      <c r="A6081" t="s">
        <v>1</v>
      </c>
      <c r="B6081" t="s">
        <v>19</v>
      </c>
      <c r="C6081" t="s">
        <v>23490</v>
      </c>
      <c r="D6081" t="str">
        <f>HYPERLINK("https://rhld.insurance.arkansas.gov/NPILookup?Npi=1679104228","1679104228")</f>
        <v>1679104228</v>
      </c>
      <c r="E6081" t="s">
        <v>17001</v>
      </c>
    </row>
    <row r="6082" spans="1:5" x14ac:dyDescent="0.25">
      <c r="A6082" t="s">
        <v>1</v>
      </c>
      <c r="B6082" t="s">
        <v>19</v>
      </c>
      <c r="C6082" t="s">
        <v>23490</v>
      </c>
      <c r="D6082" t="str">
        <f>HYPERLINK("https://rhld.insurance.arkansas.gov/NPILookup?Npi=1679108104","1679108104")</f>
        <v>1679108104</v>
      </c>
      <c r="E6082" t="s">
        <v>21621</v>
      </c>
    </row>
    <row r="6083" spans="1:5" x14ac:dyDescent="0.25">
      <c r="A6083" t="s">
        <v>1</v>
      </c>
      <c r="B6083" t="s">
        <v>19</v>
      </c>
      <c r="C6083" t="s">
        <v>23490</v>
      </c>
      <c r="D6083" t="str">
        <f>HYPERLINK("https://rhld.insurance.arkansas.gov/NPILookup?Npi=1679117659","1679117659")</f>
        <v>1679117659</v>
      </c>
      <c r="E6083" t="s">
        <v>19932</v>
      </c>
    </row>
    <row r="6084" spans="1:5" x14ac:dyDescent="0.25">
      <c r="A6084" t="s">
        <v>1</v>
      </c>
      <c r="B6084" t="s">
        <v>19</v>
      </c>
      <c r="C6084" t="s">
        <v>23490</v>
      </c>
      <c r="D6084" t="str">
        <f>HYPERLINK("https://rhld.insurance.arkansas.gov/NPILookup?Npi=1679130413","1679130413")</f>
        <v>1679130413</v>
      </c>
      <c r="E6084" t="s">
        <v>19933</v>
      </c>
    </row>
    <row r="6085" spans="1:5" x14ac:dyDescent="0.25">
      <c r="A6085" t="s">
        <v>1</v>
      </c>
      <c r="B6085" t="s">
        <v>19</v>
      </c>
      <c r="C6085" t="s">
        <v>23490</v>
      </c>
      <c r="D6085" t="str">
        <f>HYPERLINK("https://rhld.insurance.arkansas.gov/NPILookup?Npi=1679151609","1679151609")</f>
        <v>1679151609</v>
      </c>
      <c r="E6085" t="s">
        <v>18834</v>
      </c>
    </row>
    <row r="6086" spans="1:5" x14ac:dyDescent="0.25">
      <c r="A6086" t="s">
        <v>1</v>
      </c>
      <c r="B6086" t="s">
        <v>19</v>
      </c>
      <c r="C6086" t="s">
        <v>23490</v>
      </c>
      <c r="D6086" t="str">
        <f>HYPERLINK("https://rhld.insurance.arkansas.gov/NPILookup?Npi=1679173645","1679173645")</f>
        <v>1679173645</v>
      </c>
      <c r="E6086" t="s">
        <v>18077</v>
      </c>
    </row>
    <row r="6087" spans="1:5" x14ac:dyDescent="0.25">
      <c r="A6087" t="s">
        <v>1</v>
      </c>
      <c r="B6087" t="s">
        <v>19</v>
      </c>
      <c r="C6087" t="s">
        <v>23490</v>
      </c>
      <c r="D6087" t="str">
        <f>HYPERLINK("https://rhld.insurance.arkansas.gov/NPILookup?Npi=1679176002","1679176002")</f>
        <v>1679176002</v>
      </c>
      <c r="E6087" t="s">
        <v>18078</v>
      </c>
    </row>
    <row r="6088" spans="1:5" x14ac:dyDescent="0.25">
      <c r="A6088" t="s">
        <v>1</v>
      </c>
      <c r="B6088" t="s">
        <v>19</v>
      </c>
      <c r="C6088" t="s">
        <v>23490</v>
      </c>
      <c r="D6088" t="str">
        <f>HYPERLINK("https://rhld.insurance.arkansas.gov/NPILookup?Npi=1679180343","1679180343")</f>
        <v>1679180343</v>
      </c>
      <c r="E6088" t="s">
        <v>18079</v>
      </c>
    </row>
    <row r="6089" spans="1:5" x14ac:dyDescent="0.25">
      <c r="A6089" t="s">
        <v>1</v>
      </c>
      <c r="B6089" t="s">
        <v>19</v>
      </c>
      <c r="C6089" t="s">
        <v>23490</v>
      </c>
      <c r="D6089" t="str">
        <f>HYPERLINK("https://rhld.insurance.arkansas.gov/NPILookup?Npi=1679186662","1679186662")</f>
        <v>1679186662</v>
      </c>
      <c r="E6089" t="s">
        <v>14730</v>
      </c>
    </row>
    <row r="6090" spans="1:5" x14ac:dyDescent="0.25">
      <c r="A6090" t="s">
        <v>1</v>
      </c>
      <c r="B6090" t="s">
        <v>19</v>
      </c>
      <c r="C6090" t="s">
        <v>23490</v>
      </c>
      <c r="D6090" t="str">
        <f>HYPERLINK("https://rhld.insurance.arkansas.gov/NPILookup?Npi=1679187207","1679187207")</f>
        <v>1679187207</v>
      </c>
      <c r="E6090" t="s">
        <v>20998</v>
      </c>
    </row>
    <row r="6091" spans="1:5" x14ac:dyDescent="0.25">
      <c r="A6091" t="s">
        <v>1</v>
      </c>
      <c r="B6091" t="s">
        <v>19</v>
      </c>
      <c r="C6091" t="s">
        <v>23490</v>
      </c>
      <c r="D6091" t="str">
        <f>HYPERLINK("https://rhld.insurance.arkansas.gov/NPILookup?Npi=1679197875","1679197875")</f>
        <v>1679197875</v>
      </c>
      <c r="E6091" t="s">
        <v>2970</v>
      </c>
    </row>
    <row r="6092" spans="1:5" x14ac:dyDescent="0.25">
      <c r="A6092" t="s">
        <v>1</v>
      </c>
      <c r="B6092" t="s">
        <v>19</v>
      </c>
      <c r="C6092" t="s">
        <v>23490</v>
      </c>
      <c r="D6092" t="str">
        <f>HYPERLINK("https://rhld.insurance.arkansas.gov/NPILookup?Npi=1679198287","1679198287")</f>
        <v>1679198287</v>
      </c>
      <c r="E6092" t="s">
        <v>19934</v>
      </c>
    </row>
    <row r="6093" spans="1:5" x14ac:dyDescent="0.25">
      <c r="A6093" t="s">
        <v>1</v>
      </c>
      <c r="B6093" t="s">
        <v>19</v>
      </c>
      <c r="C6093" t="s">
        <v>23490</v>
      </c>
      <c r="D6093" t="str">
        <f>HYPERLINK("https://rhld.insurance.arkansas.gov/NPILookup?Npi=1679204945","1679204945")</f>
        <v>1679204945</v>
      </c>
      <c r="E6093" t="s">
        <v>21622</v>
      </c>
    </row>
    <row r="6094" spans="1:5" x14ac:dyDescent="0.25">
      <c r="A6094" t="s">
        <v>1</v>
      </c>
      <c r="B6094" t="s">
        <v>19</v>
      </c>
      <c r="C6094" t="s">
        <v>23490</v>
      </c>
      <c r="D6094" t="str">
        <f>HYPERLINK("https://rhld.insurance.arkansas.gov/NPILookup?Npi=1679205173","1679205173")</f>
        <v>1679205173</v>
      </c>
      <c r="E6094" t="s">
        <v>20999</v>
      </c>
    </row>
    <row r="6095" spans="1:5" x14ac:dyDescent="0.25">
      <c r="A6095" t="s">
        <v>1</v>
      </c>
      <c r="B6095" t="s">
        <v>19</v>
      </c>
      <c r="C6095" t="s">
        <v>23490</v>
      </c>
      <c r="D6095" t="str">
        <f>HYPERLINK("https://rhld.insurance.arkansas.gov/NPILookup?Npi=1679211734","1679211734")</f>
        <v>1679211734</v>
      </c>
      <c r="E6095" t="s">
        <v>21000</v>
      </c>
    </row>
    <row r="6096" spans="1:5" x14ac:dyDescent="0.25">
      <c r="A6096" t="s">
        <v>1</v>
      </c>
      <c r="B6096" t="s">
        <v>19</v>
      </c>
      <c r="C6096" t="s">
        <v>23490</v>
      </c>
      <c r="D6096" t="str">
        <f>HYPERLINK("https://rhld.insurance.arkansas.gov/NPILookup?Npi=1679220677","1679220677")</f>
        <v>1679220677</v>
      </c>
      <c r="E6096" t="s">
        <v>19935</v>
      </c>
    </row>
    <row r="6097" spans="1:5" x14ac:dyDescent="0.25">
      <c r="A6097" t="s">
        <v>1</v>
      </c>
      <c r="B6097" t="s">
        <v>19</v>
      </c>
      <c r="C6097" t="s">
        <v>23490</v>
      </c>
      <c r="D6097" t="str">
        <f>HYPERLINK("https://rhld.insurance.arkansas.gov/NPILookup?Npi=1679239248","1679239248")</f>
        <v>1679239248</v>
      </c>
      <c r="E6097" t="s">
        <v>21001</v>
      </c>
    </row>
    <row r="6098" spans="1:5" x14ac:dyDescent="0.25">
      <c r="A6098" t="s">
        <v>1</v>
      </c>
      <c r="B6098" t="s">
        <v>19</v>
      </c>
      <c r="C6098" t="s">
        <v>23490</v>
      </c>
      <c r="D6098" t="str">
        <f>HYPERLINK("https://rhld.insurance.arkansas.gov/NPILookup?Npi=1679243943","1679243943")</f>
        <v>1679243943</v>
      </c>
      <c r="E6098" t="s">
        <v>19936</v>
      </c>
    </row>
    <row r="6099" spans="1:5" x14ac:dyDescent="0.25">
      <c r="A6099" t="s">
        <v>1</v>
      </c>
      <c r="B6099" t="s">
        <v>19</v>
      </c>
      <c r="C6099" t="s">
        <v>23490</v>
      </c>
      <c r="D6099" t="str">
        <f>HYPERLINK("https://rhld.insurance.arkansas.gov/NPILookup?Npi=1679246219","1679246219")</f>
        <v>1679246219</v>
      </c>
      <c r="E6099" t="s">
        <v>18835</v>
      </c>
    </row>
    <row r="6100" spans="1:5" x14ac:dyDescent="0.25">
      <c r="A6100" t="s">
        <v>1</v>
      </c>
      <c r="B6100" t="s">
        <v>19</v>
      </c>
      <c r="C6100" t="s">
        <v>23490</v>
      </c>
      <c r="D6100" t="str">
        <f>HYPERLINK("https://rhld.insurance.arkansas.gov/NPILookup?Npi=1679505598","1679505598")</f>
        <v>1679505598</v>
      </c>
      <c r="E6100" t="s">
        <v>11166</v>
      </c>
    </row>
    <row r="6101" spans="1:5" x14ac:dyDescent="0.25">
      <c r="A6101" t="s">
        <v>1</v>
      </c>
      <c r="B6101" t="s">
        <v>19</v>
      </c>
      <c r="C6101" t="s">
        <v>23490</v>
      </c>
      <c r="D6101" t="str">
        <f>HYPERLINK("https://rhld.insurance.arkansas.gov/NPILookup?Npi=1679507024","1679507024")</f>
        <v>1679507024</v>
      </c>
      <c r="E6101" t="s">
        <v>15412</v>
      </c>
    </row>
    <row r="6102" spans="1:5" x14ac:dyDescent="0.25">
      <c r="A6102" t="s">
        <v>1</v>
      </c>
      <c r="B6102" t="s">
        <v>19</v>
      </c>
      <c r="C6102" t="s">
        <v>23490</v>
      </c>
      <c r="D6102" t="str">
        <f>HYPERLINK("https://rhld.insurance.arkansas.gov/NPILookup?Npi=1679507180","1679507180")</f>
        <v>1679507180</v>
      </c>
      <c r="E6102" t="s">
        <v>22972</v>
      </c>
    </row>
    <row r="6103" spans="1:5" x14ac:dyDescent="0.25">
      <c r="A6103" t="s">
        <v>1</v>
      </c>
      <c r="B6103" t="s">
        <v>19</v>
      </c>
      <c r="C6103" t="s">
        <v>23490</v>
      </c>
      <c r="D6103" t="str">
        <f>HYPERLINK("https://rhld.insurance.arkansas.gov/NPILookup?Npi=1679512248","1679512248")</f>
        <v>1679512248</v>
      </c>
      <c r="E6103" t="s">
        <v>2355</v>
      </c>
    </row>
    <row r="6104" spans="1:5" x14ac:dyDescent="0.25">
      <c r="A6104" t="s">
        <v>1</v>
      </c>
      <c r="B6104" t="s">
        <v>19</v>
      </c>
      <c r="C6104" t="s">
        <v>23490</v>
      </c>
      <c r="D6104" t="str">
        <f>HYPERLINK("https://rhld.insurance.arkansas.gov/NPILookup?Npi=1679515522","1679515522")</f>
        <v>1679515522</v>
      </c>
      <c r="E6104" t="s">
        <v>1077</v>
      </c>
    </row>
    <row r="6105" spans="1:5" x14ac:dyDescent="0.25">
      <c r="A6105" t="s">
        <v>1</v>
      </c>
      <c r="B6105" t="s">
        <v>19</v>
      </c>
      <c r="C6105" t="s">
        <v>23490</v>
      </c>
      <c r="D6105" t="str">
        <f>HYPERLINK("https://rhld.insurance.arkansas.gov/NPILookup?Npi=1679523807","1679523807")</f>
        <v>1679523807</v>
      </c>
      <c r="E6105" t="s">
        <v>2356</v>
      </c>
    </row>
    <row r="6106" spans="1:5" x14ac:dyDescent="0.25">
      <c r="A6106" t="s">
        <v>1</v>
      </c>
      <c r="B6106" t="s">
        <v>19</v>
      </c>
      <c r="C6106" t="s">
        <v>23490</v>
      </c>
      <c r="D6106" t="str">
        <f>HYPERLINK("https://rhld.insurance.arkansas.gov/NPILookup?Npi=1679535108","1679535108")</f>
        <v>1679535108</v>
      </c>
      <c r="E6106" t="s">
        <v>2357</v>
      </c>
    </row>
    <row r="6107" spans="1:5" x14ac:dyDescent="0.25">
      <c r="A6107" t="s">
        <v>1</v>
      </c>
      <c r="B6107" t="s">
        <v>19</v>
      </c>
      <c r="C6107" t="s">
        <v>23490</v>
      </c>
      <c r="D6107" t="str">
        <f>HYPERLINK("https://rhld.insurance.arkansas.gov/NPILookup?Npi=1679535181","1679535181")</f>
        <v>1679535181</v>
      </c>
      <c r="E6107" t="s">
        <v>2358</v>
      </c>
    </row>
    <row r="6108" spans="1:5" x14ac:dyDescent="0.25">
      <c r="A6108" t="s">
        <v>1</v>
      </c>
      <c r="B6108" t="s">
        <v>19</v>
      </c>
      <c r="C6108" t="s">
        <v>23490</v>
      </c>
      <c r="D6108" t="str">
        <f>HYPERLINK("https://rhld.insurance.arkansas.gov/NPILookup?Npi=1679539928","1679539928")</f>
        <v>1679539928</v>
      </c>
      <c r="E6108" t="s">
        <v>19937</v>
      </c>
    </row>
    <row r="6109" spans="1:5" x14ac:dyDescent="0.25">
      <c r="A6109" t="s">
        <v>1</v>
      </c>
      <c r="B6109" t="s">
        <v>19</v>
      </c>
      <c r="C6109" t="s">
        <v>23490</v>
      </c>
      <c r="D6109" t="str">
        <f>HYPERLINK("https://rhld.insurance.arkansas.gov/NPILookup?Npi=1679540298","1679540298")</f>
        <v>1679540298</v>
      </c>
      <c r="E6109" t="s">
        <v>2359</v>
      </c>
    </row>
    <row r="6110" spans="1:5" x14ac:dyDescent="0.25">
      <c r="A6110" t="s">
        <v>1</v>
      </c>
      <c r="B6110" t="s">
        <v>19</v>
      </c>
      <c r="C6110" t="s">
        <v>23490</v>
      </c>
      <c r="D6110" t="str">
        <f>HYPERLINK("https://rhld.insurance.arkansas.gov/NPILookup?Npi=1679544571","1679544571")</f>
        <v>1679544571</v>
      </c>
      <c r="E6110" t="s">
        <v>2360</v>
      </c>
    </row>
    <row r="6111" spans="1:5" x14ac:dyDescent="0.25">
      <c r="A6111" t="s">
        <v>1</v>
      </c>
      <c r="B6111" t="s">
        <v>19</v>
      </c>
      <c r="C6111" t="s">
        <v>23490</v>
      </c>
      <c r="D6111" t="str">
        <f>HYPERLINK("https://rhld.insurance.arkansas.gov/NPILookup?Npi=1679547301","1679547301")</f>
        <v>1679547301</v>
      </c>
      <c r="E6111" t="s">
        <v>2361</v>
      </c>
    </row>
    <row r="6112" spans="1:5" x14ac:dyDescent="0.25">
      <c r="A6112" t="s">
        <v>1</v>
      </c>
      <c r="B6112" t="s">
        <v>19</v>
      </c>
      <c r="C6112" t="s">
        <v>23490</v>
      </c>
      <c r="D6112" t="str">
        <f>HYPERLINK("https://rhld.insurance.arkansas.gov/NPILookup?Npi=1679547533","1679547533")</f>
        <v>1679547533</v>
      </c>
      <c r="E6112" t="s">
        <v>15413</v>
      </c>
    </row>
    <row r="6113" spans="1:5" x14ac:dyDescent="0.25">
      <c r="A6113" t="s">
        <v>1</v>
      </c>
      <c r="B6113" t="s">
        <v>19</v>
      </c>
      <c r="C6113" t="s">
        <v>23490</v>
      </c>
      <c r="D6113" t="str">
        <f>HYPERLINK("https://rhld.insurance.arkansas.gov/NPILookup?Npi=1679547608","1679547608")</f>
        <v>1679547608</v>
      </c>
      <c r="E6113" t="s">
        <v>2362</v>
      </c>
    </row>
    <row r="6114" spans="1:5" x14ac:dyDescent="0.25">
      <c r="A6114" t="s">
        <v>1</v>
      </c>
      <c r="B6114" t="s">
        <v>19</v>
      </c>
      <c r="C6114" t="s">
        <v>23490</v>
      </c>
      <c r="D6114" t="str">
        <f>HYPERLINK("https://rhld.insurance.arkansas.gov/NPILookup?Npi=1679550347","1679550347")</f>
        <v>1679550347</v>
      </c>
      <c r="E6114" t="s">
        <v>2363</v>
      </c>
    </row>
    <row r="6115" spans="1:5" x14ac:dyDescent="0.25">
      <c r="A6115" t="s">
        <v>1</v>
      </c>
      <c r="B6115" t="s">
        <v>19</v>
      </c>
      <c r="C6115" t="s">
        <v>23490</v>
      </c>
      <c r="D6115" t="str">
        <f>HYPERLINK("https://rhld.insurance.arkansas.gov/NPILookup?Npi=1679556880","1679556880")</f>
        <v>1679556880</v>
      </c>
      <c r="E6115" t="s">
        <v>2364</v>
      </c>
    </row>
    <row r="6116" spans="1:5" x14ac:dyDescent="0.25">
      <c r="A6116" t="s">
        <v>1</v>
      </c>
      <c r="B6116" t="s">
        <v>19</v>
      </c>
      <c r="C6116" t="s">
        <v>23490</v>
      </c>
      <c r="D6116" t="str">
        <f>HYPERLINK("https://rhld.insurance.arkansas.gov/NPILookup?Npi=1679562748","1679562748")</f>
        <v>1679562748</v>
      </c>
      <c r="E6116" t="s">
        <v>15414</v>
      </c>
    </row>
    <row r="6117" spans="1:5" x14ac:dyDescent="0.25">
      <c r="A6117" t="s">
        <v>1</v>
      </c>
      <c r="B6117" t="s">
        <v>19</v>
      </c>
      <c r="C6117" t="s">
        <v>23490</v>
      </c>
      <c r="D6117" t="str">
        <f>HYPERLINK("https://rhld.insurance.arkansas.gov/NPILookup?Npi=1679569156","1679569156")</f>
        <v>1679569156</v>
      </c>
      <c r="E6117" t="s">
        <v>2365</v>
      </c>
    </row>
    <row r="6118" spans="1:5" x14ac:dyDescent="0.25">
      <c r="A6118" t="s">
        <v>1</v>
      </c>
      <c r="B6118" t="s">
        <v>19</v>
      </c>
      <c r="C6118" t="s">
        <v>23490</v>
      </c>
      <c r="D6118" t="str">
        <f>HYPERLINK("https://rhld.insurance.arkansas.gov/NPILookup?Npi=1679570642","1679570642")</f>
        <v>1679570642</v>
      </c>
      <c r="E6118" t="s">
        <v>2366</v>
      </c>
    </row>
    <row r="6119" spans="1:5" x14ac:dyDescent="0.25">
      <c r="A6119" t="s">
        <v>1</v>
      </c>
      <c r="B6119" t="s">
        <v>19</v>
      </c>
      <c r="C6119" t="s">
        <v>23490</v>
      </c>
      <c r="D6119" t="str">
        <f>HYPERLINK("https://rhld.insurance.arkansas.gov/NPILookup?Npi=1679571723","1679571723")</f>
        <v>1679571723</v>
      </c>
      <c r="E6119" t="s">
        <v>2367</v>
      </c>
    </row>
    <row r="6120" spans="1:5" x14ac:dyDescent="0.25">
      <c r="A6120" t="s">
        <v>1</v>
      </c>
      <c r="B6120" t="s">
        <v>19</v>
      </c>
      <c r="C6120" t="s">
        <v>23490</v>
      </c>
      <c r="D6120" t="str">
        <f>HYPERLINK("https://rhld.insurance.arkansas.gov/NPILookup?Npi=1679571863","1679571863")</f>
        <v>1679571863</v>
      </c>
      <c r="E6120" t="s">
        <v>19938</v>
      </c>
    </row>
    <row r="6121" spans="1:5" x14ac:dyDescent="0.25">
      <c r="A6121" t="s">
        <v>1</v>
      </c>
      <c r="B6121" t="s">
        <v>19</v>
      </c>
      <c r="C6121" t="s">
        <v>23490</v>
      </c>
      <c r="D6121" t="str">
        <f>HYPERLINK("https://rhld.insurance.arkansas.gov/NPILookup?Npi=1679576631","1679576631")</f>
        <v>1679576631</v>
      </c>
      <c r="E6121" t="s">
        <v>2368</v>
      </c>
    </row>
    <row r="6122" spans="1:5" x14ac:dyDescent="0.25">
      <c r="A6122" t="s">
        <v>1</v>
      </c>
      <c r="B6122" t="s">
        <v>19</v>
      </c>
      <c r="C6122" t="s">
        <v>23490</v>
      </c>
      <c r="D6122" t="str">
        <f>HYPERLINK("https://rhld.insurance.arkansas.gov/NPILookup?Npi=1679577381","1679577381")</f>
        <v>1679577381</v>
      </c>
      <c r="E6122" t="s">
        <v>2369</v>
      </c>
    </row>
    <row r="6123" spans="1:5" x14ac:dyDescent="0.25">
      <c r="A6123" t="s">
        <v>1</v>
      </c>
      <c r="B6123" t="s">
        <v>19</v>
      </c>
      <c r="C6123" t="s">
        <v>23490</v>
      </c>
      <c r="D6123" t="str">
        <f>HYPERLINK("https://rhld.insurance.arkansas.gov/NPILookup?Npi=1679577662","1679577662")</f>
        <v>1679577662</v>
      </c>
      <c r="E6123" t="s">
        <v>2370</v>
      </c>
    </row>
    <row r="6124" spans="1:5" x14ac:dyDescent="0.25">
      <c r="A6124" t="s">
        <v>1</v>
      </c>
      <c r="B6124" t="s">
        <v>19</v>
      </c>
      <c r="C6124" t="s">
        <v>23490</v>
      </c>
      <c r="D6124" t="str">
        <f>HYPERLINK("https://rhld.insurance.arkansas.gov/NPILookup?Npi=1679579536","1679579536")</f>
        <v>1679579536</v>
      </c>
      <c r="E6124" t="s">
        <v>2371</v>
      </c>
    </row>
    <row r="6125" spans="1:5" x14ac:dyDescent="0.25">
      <c r="A6125" t="s">
        <v>1</v>
      </c>
      <c r="B6125" t="s">
        <v>19</v>
      </c>
      <c r="C6125" t="s">
        <v>23490</v>
      </c>
      <c r="D6125" t="str">
        <f>HYPERLINK("https://rhld.insurance.arkansas.gov/NPILookup?Npi=1679579650","1679579650")</f>
        <v>1679579650</v>
      </c>
      <c r="E6125" t="s">
        <v>2372</v>
      </c>
    </row>
    <row r="6126" spans="1:5" x14ac:dyDescent="0.25">
      <c r="A6126" t="s">
        <v>1</v>
      </c>
      <c r="B6126" t="s">
        <v>19</v>
      </c>
      <c r="C6126" t="s">
        <v>23490</v>
      </c>
      <c r="D6126" t="str">
        <f>HYPERLINK("https://rhld.insurance.arkansas.gov/NPILookup?Npi=1679592604","1679592604")</f>
        <v>1679592604</v>
      </c>
      <c r="E6126" t="s">
        <v>2373</v>
      </c>
    </row>
    <row r="6127" spans="1:5" x14ac:dyDescent="0.25">
      <c r="A6127" t="s">
        <v>1</v>
      </c>
      <c r="B6127" t="s">
        <v>19</v>
      </c>
      <c r="C6127" t="s">
        <v>23490</v>
      </c>
      <c r="D6127" t="str">
        <f>HYPERLINK("https://rhld.insurance.arkansas.gov/NPILookup?Npi=1679599922","1679599922")</f>
        <v>1679599922</v>
      </c>
      <c r="E6127" t="s">
        <v>2374</v>
      </c>
    </row>
    <row r="6128" spans="1:5" x14ac:dyDescent="0.25">
      <c r="A6128" t="s">
        <v>1</v>
      </c>
      <c r="B6128" t="s">
        <v>19</v>
      </c>
      <c r="C6128" t="s">
        <v>23490</v>
      </c>
      <c r="D6128" t="str">
        <f>HYPERLINK("https://rhld.insurance.arkansas.gov/NPILookup?Npi=1679630891","1679630891")</f>
        <v>1679630891</v>
      </c>
      <c r="E6128" t="s">
        <v>2375</v>
      </c>
    </row>
    <row r="6129" spans="1:5" x14ac:dyDescent="0.25">
      <c r="A6129" t="s">
        <v>1</v>
      </c>
      <c r="B6129" t="s">
        <v>19</v>
      </c>
      <c r="C6129" t="s">
        <v>23490</v>
      </c>
      <c r="D6129" t="str">
        <f>HYPERLINK("https://rhld.insurance.arkansas.gov/NPILookup?Npi=1679641450","1679641450")</f>
        <v>1679641450</v>
      </c>
      <c r="E6129" t="s">
        <v>15415</v>
      </c>
    </row>
    <row r="6130" spans="1:5" x14ac:dyDescent="0.25">
      <c r="A6130" t="s">
        <v>1</v>
      </c>
      <c r="B6130" t="s">
        <v>19</v>
      </c>
      <c r="C6130" t="s">
        <v>23490</v>
      </c>
      <c r="D6130" t="str">
        <f>HYPERLINK("https://rhld.insurance.arkansas.gov/NPILookup?Npi=1679641997","1679641997")</f>
        <v>1679641997</v>
      </c>
      <c r="E6130" t="s">
        <v>2376</v>
      </c>
    </row>
    <row r="6131" spans="1:5" x14ac:dyDescent="0.25">
      <c r="A6131" t="s">
        <v>1</v>
      </c>
      <c r="B6131" t="s">
        <v>19</v>
      </c>
      <c r="C6131" t="s">
        <v>23490</v>
      </c>
      <c r="D6131" t="str">
        <f>HYPERLINK("https://rhld.insurance.arkansas.gov/NPILookup?Npi=1679652408","1679652408")</f>
        <v>1679652408</v>
      </c>
      <c r="E6131" t="s">
        <v>15416</v>
      </c>
    </row>
    <row r="6132" spans="1:5" x14ac:dyDescent="0.25">
      <c r="A6132" t="s">
        <v>1</v>
      </c>
      <c r="B6132" t="s">
        <v>19</v>
      </c>
      <c r="C6132" t="s">
        <v>23490</v>
      </c>
      <c r="D6132" t="str">
        <f>HYPERLINK("https://rhld.insurance.arkansas.gov/NPILookup?Npi=1679676282","1679676282")</f>
        <v>1679676282</v>
      </c>
      <c r="E6132" t="s">
        <v>2377</v>
      </c>
    </row>
    <row r="6133" spans="1:5" x14ac:dyDescent="0.25">
      <c r="A6133" t="s">
        <v>1</v>
      </c>
      <c r="B6133" t="s">
        <v>19</v>
      </c>
      <c r="C6133" t="s">
        <v>23490</v>
      </c>
      <c r="D6133" t="str">
        <f>HYPERLINK("https://rhld.insurance.arkansas.gov/NPILookup?Npi=1679684336","1679684336")</f>
        <v>1679684336</v>
      </c>
      <c r="E6133" t="s">
        <v>8795</v>
      </c>
    </row>
    <row r="6134" spans="1:5" x14ac:dyDescent="0.25">
      <c r="A6134" t="s">
        <v>1</v>
      </c>
      <c r="B6134" t="s">
        <v>19</v>
      </c>
      <c r="C6134" t="s">
        <v>23490</v>
      </c>
      <c r="D6134" t="str">
        <f>HYPERLINK("https://rhld.insurance.arkansas.gov/NPILookup?Npi=1679701957","1679701957")</f>
        <v>1679701957</v>
      </c>
      <c r="E6134" t="s">
        <v>2378</v>
      </c>
    </row>
    <row r="6135" spans="1:5" x14ac:dyDescent="0.25">
      <c r="A6135" t="s">
        <v>1</v>
      </c>
      <c r="B6135" t="s">
        <v>19</v>
      </c>
      <c r="C6135" t="s">
        <v>23490</v>
      </c>
      <c r="D6135" t="str">
        <f>HYPERLINK("https://rhld.insurance.arkansas.gov/NPILookup?Npi=1679702260","1679702260")</f>
        <v>1679702260</v>
      </c>
      <c r="E6135" t="s">
        <v>2379</v>
      </c>
    </row>
    <row r="6136" spans="1:5" x14ac:dyDescent="0.25">
      <c r="A6136" t="s">
        <v>1</v>
      </c>
      <c r="B6136" t="s">
        <v>19</v>
      </c>
      <c r="C6136" t="s">
        <v>23490</v>
      </c>
      <c r="D6136" t="str">
        <f>HYPERLINK("https://rhld.insurance.arkansas.gov/NPILookup?Npi=1679703623","1679703623")</f>
        <v>1679703623</v>
      </c>
      <c r="E6136" t="s">
        <v>2380</v>
      </c>
    </row>
    <row r="6137" spans="1:5" x14ac:dyDescent="0.25">
      <c r="A6137" t="s">
        <v>1</v>
      </c>
      <c r="B6137" t="s">
        <v>19</v>
      </c>
      <c r="C6137" t="s">
        <v>23490</v>
      </c>
      <c r="D6137" t="str">
        <f>HYPERLINK("https://rhld.insurance.arkansas.gov/NPILookup?Npi=1679707194","1679707194")</f>
        <v>1679707194</v>
      </c>
      <c r="E6137" t="s">
        <v>13652</v>
      </c>
    </row>
    <row r="6138" spans="1:5" x14ac:dyDescent="0.25">
      <c r="A6138" t="s">
        <v>1</v>
      </c>
      <c r="B6138" t="s">
        <v>19</v>
      </c>
      <c r="C6138" t="s">
        <v>23490</v>
      </c>
      <c r="D6138" t="str">
        <f>HYPERLINK("https://rhld.insurance.arkansas.gov/NPILookup?Npi=1679736094","1679736094")</f>
        <v>1679736094</v>
      </c>
      <c r="E6138" t="s">
        <v>2381</v>
      </c>
    </row>
    <row r="6139" spans="1:5" x14ac:dyDescent="0.25">
      <c r="A6139" t="s">
        <v>1</v>
      </c>
      <c r="B6139" t="s">
        <v>19</v>
      </c>
      <c r="C6139" t="s">
        <v>23490</v>
      </c>
      <c r="D6139" t="str">
        <f>HYPERLINK("https://rhld.insurance.arkansas.gov/NPILookup?Npi=1679744809","1679744809")</f>
        <v>1679744809</v>
      </c>
      <c r="E6139" t="s">
        <v>15417</v>
      </c>
    </row>
    <row r="6140" spans="1:5" x14ac:dyDescent="0.25">
      <c r="A6140" t="s">
        <v>1</v>
      </c>
      <c r="B6140" t="s">
        <v>19</v>
      </c>
      <c r="C6140" t="s">
        <v>23490</v>
      </c>
      <c r="D6140" t="str">
        <f>HYPERLINK("https://rhld.insurance.arkansas.gov/NPILookup?Npi=1679745780","1679745780")</f>
        <v>1679745780</v>
      </c>
      <c r="E6140" t="s">
        <v>2382</v>
      </c>
    </row>
    <row r="6141" spans="1:5" x14ac:dyDescent="0.25">
      <c r="A6141" t="s">
        <v>1</v>
      </c>
      <c r="B6141" t="s">
        <v>19</v>
      </c>
      <c r="C6141" t="s">
        <v>23490</v>
      </c>
      <c r="D6141" t="str">
        <f>HYPERLINK("https://rhld.insurance.arkansas.gov/NPILookup?Npi=1679771844","1679771844")</f>
        <v>1679771844</v>
      </c>
      <c r="E6141" t="s">
        <v>15418</v>
      </c>
    </row>
    <row r="6142" spans="1:5" x14ac:dyDescent="0.25">
      <c r="A6142" t="s">
        <v>1</v>
      </c>
      <c r="B6142" t="s">
        <v>19</v>
      </c>
      <c r="C6142" t="s">
        <v>23490</v>
      </c>
      <c r="D6142" t="str">
        <f>HYPERLINK("https://rhld.insurance.arkansas.gov/NPILookup?Npi=1679780969","1679780969")</f>
        <v>1679780969</v>
      </c>
      <c r="E6142" t="s">
        <v>2383</v>
      </c>
    </row>
    <row r="6143" spans="1:5" x14ac:dyDescent="0.25">
      <c r="A6143" t="s">
        <v>1</v>
      </c>
      <c r="B6143" t="s">
        <v>19</v>
      </c>
      <c r="C6143" t="s">
        <v>23490</v>
      </c>
      <c r="D6143" t="str">
        <f>HYPERLINK("https://rhld.insurance.arkansas.gov/NPILookup?Npi=1679785174","1679785174")</f>
        <v>1679785174</v>
      </c>
      <c r="E6143" t="s">
        <v>2384</v>
      </c>
    </row>
    <row r="6144" spans="1:5" x14ac:dyDescent="0.25">
      <c r="A6144" t="s">
        <v>1</v>
      </c>
      <c r="B6144" t="s">
        <v>19</v>
      </c>
      <c r="C6144" t="s">
        <v>23490</v>
      </c>
      <c r="D6144" t="str">
        <f>HYPERLINK("https://rhld.insurance.arkansas.gov/NPILookup?Npi=1679792907","1679792907")</f>
        <v>1679792907</v>
      </c>
      <c r="E6144" t="s">
        <v>21623</v>
      </c>
    </row>
    <row r="6145" spans="1:5" x14ac:dyDescent="0.25">
      <c r="A6145" t="s">
        <v>1</v>
      </c>
      <c r="B6145" t="s">
        <v>19</v>
      </c>
      <c r="C6145" t="s">
        <v>23490</v>
      </c>
      <c r="D6145" t="str">
        <f>HYPERLINK("https://rhld.insurance.arkansas.gov/NPILookup?Npi=1679794762","1679794762")</f>
        <v>1679794762</v>
      </c>
      <c r="E6145" t="s">
        <v>2385</v>
      </c>
    </row>
    <row r="6146" spans="1:5" x14ac:dyDescent="0.25">
      <c r="A6146" t="s">
        <v>1</v>
      </c>
      <c r="B6146" t="s">
        <v>19</v>
      </c>
      <c r="C6146" t="s">
        <v>23490</v>
      </c>
      <c r="D6146" t="str">
        <f>HYPERLINK("https://rhld.insurance.arkansas.gov/NPILookup?Npi=1679798995","1679798995")</f>
        <v>1679798995</v>
      </c>
      <c r="E6146" t="s">
        <v>2386</v>
      </c>
    </row>
    <row r="6147" spans="1:5" x14ac:dyDescent="0.25">
      <c r="A6147" t="s">
        <v>1</v>
      </c>
      <c r="B6147" t="s">
        <v>19</v>
      </c>
      <c r="C6147" t="s">
        <v>23490</v>
      </c>
      <c r="D6147" t="str">
        <f>HYPERLINK("https://rhld.insurance.arkansas.gov/NPILookup?Npi=1679818124","1679818124")</f>
        <v>1679818124</v>
      </c>
      <c r="E6147" t="s">
        <v>11167</v>
      </c>
    </row>
    <row r="6148" spans="1:5" x14ac:dyDescent="0.25">
      <c r="A6148" t="s">
        <v>1</v>
      </c>
      <c r="B6148" t="s">
        <v>19</v>
      </c>
      <c r="C6148" t="s">
        <v>23490</v>
      </c>
      <c r="D6148" t="str">
        <f>HYPERLINK("https://rhld.insurance.arkansas.gov/NPILookup?Npi=1679824197","1679824197")</f>
        <v>1679824197</v>
      </c>
      <c r="E6148" t="s">
        <v>22973</v>
      </c>
    </row>
    <row r="6149" spans="1:5" x14ac:dyDescent="0.25">
      <c r="A6149" t="s">
        <v>1</v>
      </c>
      <c r="B6149" t="s">
        <v>19</v>
      </c>
      <c r="C6149" t="s">
        <v>23490</v>
      </c>
      <c r="D6149" t="str">
        <f>HYPERLINK("https://rhld.insurance.arkansas.gov/NPILookup?Npi=1679834626","1679834626")</f>
        <v>1679834626</v>
      </c>
      <c r="E6149" t="s">
        <v>11168</v>
      </c>
    </row>
    <row r="6150" spans="1:5" x14ac:dyDescent="0.25">
      <c r="A6150" t="s">
        <v>1</v>
      </c>
      <c r="B6150" t="s">
        <v>19</v>
      </c>
      <c r="C6150" t="s">
        <v>23490</v>
      </c>
      <c r="D6150" t="str">
        <f>HYPERLINK("https://rhld.insurance.arkansas.gov/NPILookup?Npi=1679847818","1679847818")</f>
        <v>1679847818</v>
      </c>
      <c r="E6150" t="s">
        <v>8797</v>
      </c>
    </row>
    <row r="6151" spans="1:5" x14ac:dyDescent="0.25">
      <c r="A6151" t="s">
        <v>1</v>
      </c>
      <c r="B6151" t="s">
        <v>19</v>
      </c>
      <c r="C6151" t="s">
        <v>23490</v>
      </c>
      <c r="D6151" t="str">
        <f>HYPERLINK("https://rhld.insurance.arkansas.gov/NPILookup?Npi=1679850374","1679850374")</f>
        <v>1679850374</v>
      </c>
      <c r="E6151" t="s">
        <v>21624</v>
      </c>
    </row>
    <row r="6152" spans="1:5" x14ac:dyDescent="0.25">
      <c r="A6152" t="s">
        <v>1</v>
      </c>
      <c r="B6152" t="s">
        <v>19</v>
      </c>
      <c r="C6152" t="s">
        <v>23490</v>
      </c>
      <c r="D6152" t="str">
        <f>HYPERLINK("https://rhld.insurance.arkansas.gov/NPILookup?Npi=1679862023","1679862023")</f>
        <v>1679862023</v>
      </c>
      <c r="E6152" t="s">
        <v>2387</v>
      </c>
    </row>
    <row r="6153" spans="1:5" x14ac:dyDescent="0.25">
      <c r="A6153" t="s">
        <v>1</v>
      </c>
      <c r="B6153" t="s">
        <v>19</v>
      </c>
      <c r="C6153" t="s">
        <v>23490</v>
      </c>
      <c r="D6153" t="str">
        <f>HYPERLINK("https://rhld.insurance.arkansas.gov/NPILookup?Npi=1679868830","1679868830")</f>
        <v>1679868830</v>
      </c>
      <c r="E6153" t="s">
        <v>8798</v>
      </c>
    </row>
    <row r="6154" spans="1:5" x14ac:dyDescent="0.25">
      <c r="A6154" t="s">
        <v>1</v>
      </c>
      <c r="B6154" t="s">
        <v>19</v>
      </c>
      <c r="C6154" t="s">
        <v>23490</v>
      </c>
      <c r="D6154" t="str">
        <f>HYPERLINK("https://rhld.insurance.arkansas.gov/NPILookup?Npi=1679885412","1679885412")</f>
        <v>1679885412</v>
      </c>
      <c r="E6154" t="s">
        <v>13653</v>
      </c>
    </row>
    <row r="6155" spans="1:5" x14ac:dyDescent="0.25">
      <c r="A6155" t="s">
        <v>1</v>
      </c>
      <c r="B6155" t="s">
        <v>19</v>
      </c>
      <c r="C6155" t="s">
        <v>23490</v>
      </c>
      <c r="D6155" t="str">
        <f>HYPERLINK("https://rhld.insurance.arkansas.gov/NPILookup?Npi=1679898332","1679898332")</f>
        <v>1679898332</v>
      </c>
      <c r="E6155" t="s">
        <v>2388</v>
      </c>
    </row>
    <row r="6156" spans="1:5" x14ac:dyDescent="0.25">
      <c r="A6156" t="s">
        <v>1</v>
      </c>
      <c r="B6156" t="s">
        <v>19</v>
      </c>
      <c r="C6156" t="s">
        <v>23490</v>
      </c>
      <c r="D6156" t="str">
        <f>HYPERLINK("https://rhld.insurance.arkansas.gov/NPILookup?Npi=1679908545","1679908545")</f>
        <v>1679908545</v>
      </c>
      <c r="E6156" t="s">
        <v>19939</v>
      </c>
    </row>
    <row r="6157" spans="1:5" x14ac:dyDescent="0.25">
      <c r="A6157" t="s">
        <v>1</v>
      </c>
      <c r="B6157" t="s">
        <v>19</v>
      </c>
      <c r="C6157" t="s">
        <v>23490</v>
      </c>
      <c r="D6157" t="str">
        <f>HYPERLINK("https://rhld.insurance.arkansas.gov/NPILookup?Npi=1679912554","1679912554")</f>
        <v>1679912554</v>
      </c>
      <c r="E6157" t="s">
        <v>17457</v>
      </c>
    </row>
    <row r="6158" spans="1:5" x14ac:dyDescent="0.25">
      <c r="A6158" t="s">
        <v>1</v>
      </c>
      <c r="B6158" t="s">
        <v>19</v>
      </c>
      <c r="C6158" t="s">
        <v>23490</v>
      </c>
      <c r="D6158" t="str">
        <f>HYPERLINK("https://rhld.insurance.arkansas.gov/NPILookup?Npi=1679914113","1679914113")</f>
        <v>1679914113</v>
      </c>
      <c r="E6158" t="s">
        <v>2389</v>
      </c>
    </row>
    <row r="6159" spans="1:5" x14ac:dyDescent="0.25">
      <c r="A6159" t="s">
        <v>1</v>
      </c>
      <c r="B6159" t="s">
        <v>19</v>
      </c>
      <c r="C6159" t="s">
        <v>23490</v>
      </c>
      <c r="D6159" t="str">
        <f>HYPERLINK("https://rhld.insurance.arkansas.gov/NPILookup?Npi=1679926141","1679926141")</f>
        <v>1679926141</v>
      </c>
      <c r="E6159" t="s">
        <v>17458</v>
      </c>
    </row>
    <row r="6160" spans="1:5" x14ac:dyDescent="0.25">
      <c r="A6160" t="s">
        <v>1</v>
      </c>
      <c r="B6160" t="s">
        <v>19</v>
      </c>
      <c r="C6160" t="s">
        <v>23490</v>
      </c>
      <c r="D6160" t="str">
        <f>HYPERLINK("https://rhld.insurance.arkansas.gov/NPILookup?Npi=1679931760","1679931760")</f>
        <v>1679931760</v>
      </c>
      <c r="E6160" t="s">
        <v>3888</v>
      </c>
    </row>
    <row r="6161" spans="1:5" x14ac:dyDescent="0.25">
      <c r="A6161" t="s">
        <v>1</v>
      </c>
      <c r="B6161" t="s">
        <v>19</v>
      </c>
      <c r="C6161" t="s">
        <v>23490</v>
      </c>
      <c r="D6161" t="str">
        <f>HYPERLINK("https://rhld.insurance.arkansas.gov/NPILookup?Npi=1679932321","1679932321")</f>
        <v>1679932321</v>
      </c>
      <c r="E6161" t="s">
        <v>8799</v>
      </c>
    </row>
    <row r="6162" spans="1:5" x14ac:dyDescent="0.25">
      <c r="A6162" t="s">
        <v>1</v>
      </c>
      <c r="B6162" t="s">
        <v>19</v>
      </c>
      <c r="C6162" t="s">
        <v>23490</v>
      </c>
      <c r="D6162" t="str">
        <f>HYPERLINK("https://rhld.insurance.arkansas.gov/NPILookup?Npi=1679949457","1679949457")</f>
        <v>1679949457</v>
      </c>
      <c r="E6162" t="s">
        <v>2390</v>
      </c>
    </row>
    <row r="6163" spans="1:5" x14ac:dyDescent="0.25">
      <c r="A6163" t="s">
        <v>1</v>
      </c>
      <c r="B6163" t="s">
        <v>19</v>
      </c>
      <c r="C6163" t="s">
        <v>23490</v>
      </c>
      <c r="D6163" t="str">
        <f>HYPERLINK("https://rhld.insurance.arkansas.gov/NPILookup?Npi=1679954093","1679954093")</f>
        <v>1679954093</v>
      </c>
      <c r="E6163" t="s">
        <v>15419</v>
      </c>
    </row>
    <row r="6164" spans="1:5" x14ac:dyDescent="0.25">
      <c r="A6164" t="s">
        <v>1</v>
      </c>
      <c r="B6164" t="s">
        <v>19</v>
      </c>
      <c r="C6164" t="s">
        <v>23490</v>
      </c>
      <c r="D6164" t="str">
        <f>HYPERLINK("https://rhld.insurance.arkansas.gov/NPILookup?Npi=1679957369","1679957369")</f>
        <v>1679957369</v>
      </c>
      <c r="E6164" t="s">
        <v>19940</v>
      </c>
    </row>
    <row r="6165" spans="1:5" x14ac:dyDescent="0.25">
      <c r="A6165" t="s">
        <v>1</v>
      </c>
      <c r="B6165" t="s">
        <v>19</v>
      </c>
      <c r="C6165" t="s">
        <v>23490</v>
      </c>
      <c r="D6165" t="str">
        <f>HYPERLINK("https://rhld.insurance.arkansas.gov/NPILookup?Npi=1679976179","1679976179")</f>
        <v>1679976179</v>
      </c>
      <c r="E6165" t="s">
        <v>8801</v>
      </c>
    </row>
    <row r="6166" spans="1:5" x14ac:dyDescent="0.25">
      <c r="A6166" t="s">
        <v>1</v>
      </c>
      <c r="B6166" t="s">
        <v>19</v>
      </c>
      <c r="C6166" t="s">
        <v>23490</v>
      </c>
      <c r="D6166" t="str">
        <f>HYPERLINK("https://rhld.insurance.arkansas.gov/NPILookup?Npi=1679992895","1679992895")</f>
        <v>1679992895</v>
      </c>
      <c r="E6166" t="s">
        <v>15420</v>
      </c>
    </row>
    <row r="6167" spans="1:5" x14ac:dyDescent="0.25">
      <c r="A6167" t="s">
        <v>1</v>
      </c>
      <c r="B6167" t="s">
        <v>19</v>
      </c>
      <c r="C6167" t="s">
        <v>23490</v>
      </c>
      <c r="D6167" t="str">
        <f>HYPERLINK("https://rhld.insurance.arkansas.gov/NPILookup?Npi=1689004814","1689004814")</f>
        <v>1689004814</v>
      </c>
      <c r="E6167" t="s">
        <v>15421</v>
      </c>
    </row>
    <row r="6168" spans="1:5" x14ac:dyDescent="0.25">
      <c r="A6168" t="s">
        <v>1</v>
      </c>
      <c r="B6168" t="s">
        <v>19</v>
      </c>
      <c r="C6168" t="s">
        <v>23490</v>
      </c>
      <c r="D6168" t="str">
        <f>HYPERLINK("https://rhld.insurance.arkansas.gov/NPILookup?Npi=1689021834","1689021834")</f>
        <v>1689021834</v>
      </c>
      <c r="E6168" t="s">
        <v>18836</v>
      </c>
    </row>
    <row r="6169" spans="1:5" x14ac:dyDescent="0.25">
      <c r="A6169" t="s">
        <v>1</v>
      </c>
      <c r="B6169" t="s">
        <v>19</v>
      </c>
      <c r="C6169" t="s">
        <v>23490</v>
      </c>
      <c r="D6169" t="str">
        <f>HYPERLINK("https://rhld.insurance.arkansas.gov/NPILookup?Npi=1689026726","1689026726")</f>
        <v>1689026726</v>
      </c>
      <c r="E6169" t="s">
        <v>18837</v>
      </c>
    </row>
    <row r="6170" spans="1:5" x14ac:dyDescent="0.25">
      <c r="A6170" t="s">
        <v>1</v>
      </c>
      <c r="B6170" t="s">
        <v>19</v>
      </c>
      <c r="C6170" t="s">
        <v>23490</v>
      </c>
      <c r="D6170" t="str">
        <f>HYPERLINK("https://rhld.insurance.arkansas.gov/NPILookup?Npi=1689032237","1689032237")</f>
        <v>1689032237</v>
      </c>
      <c r="E6170" t="s">
        <v>8802</v>
      </c>
    </row>
    <row r="6171" spans="1:5" x14ac:dyDescent="0.25">
      <c r="A6171" t="s">
        <v>1</v>
      </c>
      <c r="B6171" t="s">
        <v>19</v>
      </c>
      <c r="C6171" t="s">
        <v>23490</v>
      </c>
      <c r="D6171" t="str">
        <f>HYPERLINK("https://rhld.insurance.arkansas.gov/NPILookup?Npi=1689049702","1689049702")</f>
        <v>1689049702</v>
      </c>
      <c r="E6171" t="s">
        <v>19941</v>
      </c>
    </row>
    <row r="6172" spans="1:5" x14ac:dyDescent="0.25">
      <c r="A6172" t="s">
        <v>1</v>
      </c>
      <c r="B6172" t="s">
        <v>19</v>
      </c>
      <c r="C6172" t="s">
        <v>23490</v>
      </c>
      <c r="D6172" t="str">
        <f>HYPERLINK("https://rhld.insurance.arkansas.gov/NPILookup?Npi=1689055881","1689055881")</f>
        <v>1689055881</v>
      </c>
      <c r="E6172" t="s">
        <v>19942</v>
      </c>
    </row>
    <row r="6173" spans="1:5" x14ac:dyDescent="0.25">
      <c r="A6173" t="s">
        <v>1</v>
      </c>
      <c r="B6173" t="s">
        <v>19</v>
      </c>
      <c r="C6173" t="s">
        <v>23490</v>
      </c>
      <c r="D6173" t="str">
        <f>HYPERLINK("https://rhld.insurance.arkansas.gov/NPILookup?Npi=1689058810","1689058810")</f>
        <v>1689058810</v>
      </c>
      <c r="E6173" t="s">
        <v>13654</v>
      </c>
    </row>
    <row r="6174" spans="1:5" x14ac:dyDescent="0.25">
      <c r="A6174" t="s">
        <v>1</v>
      </c>
      <c r="B6174" t="s">
        <v>19</v>
      </c>
      <c r="C6174" t="s">
        <v>23490</v>
      </c>
      <c r="D6174" t="str">
        <f>HYPERLINK("https://rhld.insurance.arkansas.gov/NPILookup?Npi=1689060212","1689060212")</f>
        <v>1689060212</v>
      </c>
      <c r="E6174" t="s">
        <v>11169</v>
      </c>
    </row>
    <row r="6175" spans="1:5" x14ac:dyDescent="0.25">
      <c r="A6175" t="s">
        <v>1</v>
      </c>
      <c r="B6175" t="s">
        <v>19</v>
      </c>
      <c r="C6175" t="s">
        <v>23490</v>
      </c>
      <c r="D6175" t="str">
        <f>HYPERLINK("https://rhld.insurance.arkansas.gov/NPILookup?Npi=1689061129","1689061129")</f>
        <v>1689061129</v>
      </c>
      <c r="E6175" t="s">
        <v>8803</v>
      </c>
    </row>
    <row r="6176" spans="1:5" x14ac:dyDescent="0.25">
      <c r="A6176" t="s">
        <v>1</v>
      </c>
      <c r="B6176" t="s">
        <v>19</v>
      </c>
      <c r="C6176" t="s">
        <v>23490</v>
      </c>
      <c r="D6176" t="str">
        <f>HYPERLINK("https://rhld.insurance.arkansas.gov/NPILookup?Npi=1689078156","1689078156")</f>
        <v>1689078156</v>
      </c>
      <c r="E6176" t="s">
        <v>2391</v>
      </c>
    </row>
    <row r="6177" spans="1:5" x14ac:dyDescent="0.25">
      <c r="A6177" t="s">
        <v>1</v>
      </c>
      <c r="B6177" t="s">
        <v>19</v>
      </c>
      <c r="C6177" t="s">
        <v>23490</v>
      </c>
      <c r="D6177" t="str">
        <f>HYPERLINK("https://rhld.insurance.arkansas.gov/NPILookup?Npi=1689080384","1689080384")</f>
        <v>1689080384</v>
      </c>
      <c r="E6177" t="s">
        <v>13655</v>
      </c>
    </row>
    <row r="6178" spans="1:5" x14ac:dyDescent="0.25">
      <c r="A6178" t="s">
        <v>1</v>
      </c>
      <c r="B6178" t="s">
        <v>19</v>
      </c>
      <c r="C6178" t="s">
        <v>23490</v>
      </c>
      <c r="D6178" t="str">
        <f>HYPERLINK("https://rhld.insurance.arkansas.gov/NPILookup?Npi=1689083537","1689083537")</f>
        <v>1689083537</v>
      </c>
      <c r="E6178" t="s">
        <v>22974</v>
      </c>
    </row>
    <row r="6179" spans="1:5" x14ac:dyDescent="0.25">
      <c r="A6179" t="s">
        <v>1</v>
      </c>
      <c r="B6179" t="s">
        <v>19</v>
      </c>
      <c r="C6179" t="s">
        <v>23490</v>
      </c>
      <c r="D6179" t="str">
        <f>HYPERLINK("https://rhld.insurance.arkansas.gov/NPILookup?Npi=1689101099","1689101099")</f>
        <v>1689101099</v>
      </c>
      <c r="E6179" t="s">
        <v>18082</v>
      </c>
    </row>
    <row r="6180" spans="1:5" x14ac:dyDescent="0.25">
      <c r="A6180" t="s">
        <v>1</v>
      </c>
      <c r="B6180" t="s">
        <v>19</v>
      </c>
      <c r="C6180" t="s">
        <v>23490</v>
      </c>
      <c r="D6180" t="str">
        <f>HYPERLINK("https://rhld.insurance.arkansas.gov/NPILookup?Npi=1689105256","1689105256")</f>
        <v>1689105256</v>
      </c>
      <c r="E6180" t="s">
        <v>6291</v>
      </c>
    </row>
    <row r="6181" spans="1:5" x14ac:dyDescent="0.25">
      <c r="A6181" t="s">
        <v>1</v>
      </c>
      <c r="B6181" t="s">
        <v>19</v>
      </c>
      <c r="C6181" t="s">
        <v>23490</v>
      </c>
      <c r="D6181" t="str">
        <f>HYPERLINK("https://rhld.insurance.arkansas.gov/NPILookup?Npi=1689111718","1689111718")</f>
        <v>1689111718</v>
      </c>
      <c r="E6181" t="s">
        <v>17459</v>
      </c>
    </row>
    <row r="6182" spans="1:5" x14ac:dyDescent="0.25">
      <c r="A6182" t="s">
        <v>1</v>
      </c>
      <c r="B6182" t="s">
        <v>19</v>
      </c>
      <c r="C6182" t="s">
        <v>23490</v>
      </c>
      <c r="D6182" t="str">
        <f>HYPERLINK("https://rhld.insurance.arkansas.gov/NPILookup?Npi=1689131567","1689131567")</f>
        <v>1689131567</v>
      </c>
      <c r="E6182" t="s">
        <v>15422</v>
      </c>
    </row>
    <row r="6183" spans="1:5" x14ac:dyDescent="0.25">
      <c r="A6183" t="s">
        <v>1</v>
      </c>
      <c r="B6183" t="s">
        <v>19</v>
      </c>
      <c r="C6183" t="s">
        <v>23490</v>
      </c>
      <c r="D6183" t="str">
        <f>HYPERLINK("https://rhld.insurance.arkansas.gov/NPILookup?Npi=1689136475","1689136475")</f>
        <v>1689136475</v>
      </c>
      <c r="E6183" t="s">
        <v>19943</v>
      </c>
    </row>
    <row r="6184" spans="1:5" x14ac:dyDescent="0.25">
      <c r="A6184" t="s">
        <v>1</v>
      </c>
      <c r="B6184" t="s">
        <v>19</v>
      </c>
      <c r="C6184" t="s">
        <v>23490</v>
      </c>
      <c r="D6184" t="str">
        <f>HYPERLINK("https://rhld.insurance.arkansas.gov/NPILookup?Npi=1689148587","1689148587")</f>
        <v>1689148587</v>
      </c>
      <c r="E6184" t="s">
        <v>19944</v>
      </c>
    </row>
    <row r="6185" spans="1:5" x14ac:dyDescent="0.25">
      <c r="A6185" t="s">
        <v>1</v>
      </c>
      <c r="B6185" t="s">
        <v>19</v>
      </c>
      <c r="C6185" t="s">
        <v>23490</v>
      </c>
      <c r="D6185" t="str">
        <f>HYPERLINK("https://rhld.insurance.arkansas.gov/NPILookup?Npi=1689154460","1689154460")</f>
        <v>1689154460</v>
      </c>
      <c r="E6185" t="s">
        <v>21002</v>
      </c>
    </row>
    <row r="6186" spans="1:5" x14ac:dyDescent="0.25">
      <c r="A6186" t="s">
        <v>1</v>
      </c>
      <c r="B6186" t="s">
        <v>19</v>
      </c>
      <c r="C6186" t="s">
        <v>23490</v>
      </c>
      <c r="D6186" t="str">
        <f>HYPERLINK("https://rhld.insurance.arkansas.gov/NPILookup?Npi=1689166886","1689166886")</f>
        <v>1689166886</v>
      </c>
      <c r="E6186" t="s">
        <v>17002</v>
      </c>
    </row>
    <row r="6187" spans="1:5" x14ac:dyDescent="0.25">
      <c r="A6187" t="s">
        <v>1</v>
      </c>
      <c r="B6187" t="s">
        <v>19</v>
      </c>
      <c r="C6187" t="s">
        <v>23490</v>
      </c>
      <c r="D6187" t="str">
        <f>HYPERLINK("https://rhld.insurance.arkansas.gov/NPILookup?Npi=1689171019","1689171019")</f>
        <v>1689171019</v>
      </c>
      <c r="E6187" t="s">
        <v>19945</v>
      </c>
    </row>
    <row r="6188" spans="1:5" x14ac:dyDescent="0.25">
      <c r="A6188" t="s">
        <v>1</v>
      </c>
      <c r="B6188" t="s">
        <v>19</v>
      </c>
      <c r="C6188" t="s">
        <v>23490</v>
      </c>
      <c r="D6188" t="str">
        <f>HYPERLINK("https://rhld.insurance.arkansas.gov/NPILookup?Npi=1689176398","1689176398")</f>
        <v>1689176398</v>
      </c>
      <c r="E6188" t="s">
        <v>17003</v>
      </c>
    </row>
    <row r="6189" spans="1:5" x14ac:dyDescent="0.25">
      <c r="A6189" t="s">
        <v>1</v>
      </c>
      <c r="B6189" t="s">
        <v>19</v>
      </c>
      <c r="C6189" t="s">
        <v>23490</v>
      </c>
      <c r="D6189" t="str">
        <f>HYPERLINK("https://rhld.insurance.arkansas.gov/NPILookup?Npi=1689185464","1689185464")</f>
        <v>1689185464</v>
      </c>
      <c r="E6189" t="s">
        <v>15423</v>
      </c>
    </row>
    <row r="6190" spans="1:5" x14ac:dyDescent="0.25">
      <c r="A6190" t="s">
        <v>1</v>
      </c>
      <c r="B6190" t="s">
        <v>19</v>
      </c>
      <c r="C6190" t="s">
        <v>23490</v>
      </c>
      <c r="D6190" t="str">
        <f>HYPERLINK("https://rhld.insurance.arkansas.gov/NPILookup?Npi=1689189698","1689189698")</f>
        <v>1689189698</v>
      </c>
      <c r="E6190" t="s">
        <v>13656</v>
      </c>
    </row>
    <row r="6191" spans="1:5" x14ac:dyDescent="0.25">
      <c r="A6191" t="s">
        <v>1</v>
      </c>
      <c r="B6191" t="s">
        <v>19</v>
      </c>
      <c r="C6191" t="s">
        <v>23490</v>
      </c>
      <c r="D6191" t="str">
        <f>HYPERLINK("https://rhld.insurance.arkansas.gov/NPILookup?Npi=1689191108","1689191108")</f>
        <v>1689191108</v>
      </c>
      <c r="E6191" t="s">
        <v>21625</v>
      </c>
    </row>
    <row r="6192" spans="1:5" x14ac:dyDescent="0.25">
      <c r="A6192" t="s">
        <v>1</v>
      </c>
      <c r="B6192" t="s">
        <v>19</v>
      </c>
      <c r="C6192" t="s">
        <v>23490</v>
      </c>
      <c r="D6192" t="str">
        <f>HYPERLINK("https://rhld.insurance.arkansas.gov/NPILookup?Npi=1689228975","1689228975")</f>
        <v>1689228975</v>
      </c>
      <c r="E6192" t="s">
        <v>5658</v>
      </c>
    </row>
    <row r="6193" spans="1:5" x14ac:dyDescent="0.25">
      <c r="A6193" t="s">
        <v>1</v>
      </c>
      <c r="B6193" t="s">
        <v>19</v>
      </c>
      <c r="C6193" t="s">
        <v>23490</v>
      </c>
      <c r="D6193" t="str">
        <f>HYPERLINK("https://rhld.insurance.arkansas.gov/NPILookup?Npi=1689240913","1689240913")</f>
        <v>1689240913</v>
      </c>
      <c r="E6193" t="s">
        <v>18838</v>
      </c>
    </row>
    <row r="6194" spans="1:5" x14ac:dyDescent="0.25">
      <c r="A6194" t="s">
        <v>1</v>
      </c>
      <c r="B6194" t="s">
        <v>19</v>
      </c>
      <c r="C6194" t="s">
        <v>23490</v>
      </c>
      <c r="D6194" t="str">
        <f>HYPERLINK("https://rhld.insurance.arkansas.gov/NPILookup?Npi=1689290249","1689290249")</f>
        <v>1689290249</v>
      </c>
      <c r="E6194" t="s">
        <v>18083</v>
      </c>
    </row>
    <row r="6195" spans="1:5" x14ac:dyDescent="0.25">
      <c r="A6195" t="s">
        <v>1</v>
      </c>
      <c r="B6195" t="s">
        <v>19</v>
      </c>
      <c r="C6195" t="s">
        <v>23490</v>
      </c>
      <c r="D6195" t="str">
        <f>HYPERLINK("https://rhld.insurance.arkansas.gov/NPILookup?Npi=1689304214","1689304214")</f>
        <v>1689304214</v>
      </c>
      <c r="E6195" t="s">
        <v>21003</v>
      </c>
    </row>
    <row r="6196" spans="1:5" x14ac:dyDescent="0.25">
      <c r="A6196" t="s">
        <v>1</v>
      </c>
      <c r="B6196" t="s">
        <v>19</v>
      </c>
      <c r="C6196" t="s">
        <v>23490</v>
      </c>
      <c r="D6196" t="str">
        <f>HYPERLINK("https://rhld.insurance.arkansas.gov/NPILookup?Npi=1689310625","1689310625")</f>
        <v>1689310625</v>
      </c>
      <c r="E6196" t="s">
        <v>21004</v>
      </c>
    </row>
    <row r="6197" spans="1:5" x14ac:dyDescent="0.25">
      <c r="A6197" t="s">
        <v>1</v>
      </c>
      <c r="B6197" t="s">
        <v>19</v>
      </c>
      <c r="C6197" t="s">
        <v>23490</v>
      </c>
      <c r="D6197" t="str">
        <f>HYPERLINK("https://rhld.insurance.arkansas.gov/NPILookup?Npi=1689321085","1689321085")</f>
        <v>1689321085</v>
      </c>
      <c r="E6197" t="s">
        <v>21005</v>
      </c>
    </row>
    <row r="6198" spans="1:5" x14ac:dyDescent="0.25">
      <c r="A6198" t="s">
        <v>1</v>
      </c>
      <c r="B6198" t="s">
        <v>19</v>
      </c>
      <c r="C6198" t="s">
        <v>23490</v>
      </c>
      <c r="D6198" t="str">
        <f>HYPERLINK("https://rhld.insurance.arkansas.gov/NPILookup?Npi=1689331258","1689331258")</f>
        <v>1689331258</v>
      </c>
      <c r="E6198" t="s">
        <v>15036</v>
      </c>
    </row>
    <row r="6199" spans="1:5" x14ac:dyDescent="0.25">
      <c r="A6199" t="s">
        <v>1</v>
      </c>
      <c r="B6199" t="s">
        <v>19</v>
      </c>
      <c r="C6199" t="s">
        <v>23490</v>
      </c>
      <c r="D6199" t="str">
        <f>HYPERLINK("https://rhld.insurance.arkansas.gov/NPILookup?Npi=1689336109","1689336109")</f>
        <v>1689336109</v>
      </c>
      <c r="E6199" t="s">
        <v>19946</v>
      </c>
    </row>
    <row r="6200" spans="1:5" x14ac:dyDescent="0.25">
      <c r="A6200" t="s">
        <v>1</v>
      </c>
      <c r="B6200" t="s">
        <v>19</v>
      </c>
      <c r="C6200" t="s">
        <v>23490</v>
      </c>
      <c r="D6200" t="str">
        <f>HYPERLINK("https://rhld.insurance.arkansas.gov/NPILookup?Npi=1689349243","1689349243")</f>
        <v>1689349243</v>
      </c>
      <c r="E6200" t="s">
        <v>21006</v>
      </c>
    </row>
    <row r="6201" spans="1:5" x14ac:dyDescent="0.25">
      <c r="A6201" t="s">
        <v>1</v>
      </c>
      <c r="B6201" t="s">
        <v>19</v>
      </c>
      <c r="C6201" t="s">
        <v>8427</v>
      </c>
      <c r="D6201" t="str">
        <f>HYPERLINK("https://rhld.insurance.arkansas.gov/NPILookup?Npi=1689383366","1689383366")</f>
        <v>1689383366</v>
      </c>
      <c r="E6201" t="s">
        <v>22975</v>
      </c>
    </row>
    <row r="6202" spans="1:5" x14ac:dyDescent="0.25">
      <c r="A6202" t="s">
        <v>1</v>
      </c>
      <c r="B6202" t="s">
        <v>19</v>
      </c>
      <c r="C6202" t="s">
        <v>23490</v>
      </c>
      <c r="D6202" t="str">
        <f>HYPERLINK("https://rhld.insurance.arkansas.gov/NPILookup?Npi=1689394520","1689394520")</f>
        <v>1689394520</v>
      </c>
      <c r="E6202" t="s">
        <v>21007</v>
      </c>
    </row>
    <row r="6203" spans="1:5" x14ac:dyDescent="0.25">
      <c r="A6203" t="s">
        <v>1</v>
      </c>
      <c r="B6203" t="s">
        <v>19</v>
      </c>
      <c r="C6203" t="s">
        <v>23490</v>
      </c>
      <c r="D6203" t="str">
        <f>HYPERLINK("https://rhld.insurance.arkansas.gov/NPILookup?Npi=1689397952","1689397952")</f>
        <v>1689397952</v>
      </c>
      <c r="E6203" t="s">
        <v>21008</v>
      </c>
    </row>
    <row r="6204" spans="1:5" x14ac:dyDescent="0.25">
      <c r="A6204" t="s">
        <v>1</v>
      </c>
      <c r="B6204" t="s">
        <v>19</v>
      </c>
      <c r="C6204" t="s">
        <v>23490</v>
      </c>
      <c r="D6204" t="str">
        <f>HYPERLINK("https://rhld.insurance.arkansas.gov/NPILookup?Npi=1689606261","1689606261")</f>
        <v>1689606261</v>
      </c>
      <c r="E6204" t="s">
        <v>2392</v>
      </c>
    </row>
    <row r="6205" spans="1:5" x14ac:dyDescent="0.25">
      <c r="A6205" t="s">
        <v>1</v>
      </c>
      <c r="B6205" t="s">
        <v>19</v>
      </c>
      <c r="C6205" t="s">
        <v>23490</v>
      </c>
      <c r="D6205" t="str">
        <f>HYPERLINK("https://rhld.insurance.arkansas.gov/NPILookup?Npi=1689620767","1689620767")</f>
        <v>1689620767</v>
      </c>
      <c r="E6205" t="s">
        <v>11170</v>
      </c>
    </row>
    <row r="6206" spans="1:5" x14ac:dyDescent="0.25">
      <c r="A6206" t="s">
        <v>1</v>
      </c>
      <c r="B6206" t="s">
        <v>19</v>
      </c>
      <c r="C6206" t="s">
        <v>23490</v>
      </c>
      <c r="D6206" t="str">
        <f>HYPERLINK("https://rhld.insurance.arkansas.gov/NPILookup?Npi=1689622128","1689622128")</f>
        <v>1689622128</v>
      </c>
      <c r="E6206" t="s">
        <v>2393</v>
      </c>
    </row>
    <row r="6207" spans="1:5" x14ac:dyDescent="0.25">
      <c r="A6207" t="s">
        <v>1</v>
      </c>
      <c r="B6207" t="s">
        <v>19</v>
      </c>
      <c r="C6207" t="s">
        <v>23490</v>
      </c>
      <c r="D6207" t="str">
        <f>HYPERLINK("https://rhld.insurance.arkansas.gov/NPILookup?Npi=1689623548","1689623548")</f>
        <v>1689623548</v>
      </c>
      <c r="E6207" t="s">
        <v>2394</v>
      </c>
    </row>
    <row r="6208" spans="1:5" x14ac:dyDescent="0.25">
      <c r="A6208" t="s">
        <v>1</v>
      </c>
      <c r="B6208" t="s">
        <v>19</v>
      </c>
      <c r="C6208" t="s">
        <v>23490</v>
      </c>
      <c r="D6208" t="str">
        <f>HYPERLINK("https://rhld.insurance.arkansas.gov/NPILookup?Npi=1689626376","1689626376")</f>
        <v>1689626376</v>
      </c>
      <c r="E6208" t="s">
        <v>2395</v>
      </c>
    </row>
    <row r="6209" spans="1:5" x14ac:dyDescent="0.25">
      <c r="A6209" t="s">
        <v>1</v>
      </c>
      <c r="B6209" t="s">
        <v>19</v>
      </c>
      <c r="C6209" t="s">
        <v>23490</v>
      </c>
      <c r="D6209" t="str">
        <f>HYPERLINK("https://rhld.insurance.arkansas.gov/NPILookup?Npi=1689628323","1689628323")</f>
        <v>1689628323</v>
      </c>
      <c r="E6209" t="s">
        <v>2396</v>
      </c>
    </row>
    <row r="6210" spans="1:5" x14ac:dyDescent="0.25">
      <c r="A6210" t="s">
        <v>1</v>
      </c>
      <c r="B6210" t="s">
        <v>19</v>
      </c>
      <c r="C6210" t="s">
        <v>23490</v>
      </c>
      <c r="D6210" t="str">
        <f>HYPERLINK("https://rhld.insurance.arkansas.gov/NPILookup?Npi=1689637860","1689637860")</f>
        <v>1689637860</v>
      </c>
      <c r="E6210" t="s">
        <v>2397</v>
      </c>
    </row>
    <row r="6211" spans="1:5" x14ac:dyDescent="0.25">
      <c r="A6211" t="s">
        <v>1</v>
      </c>
      <c r="B6211" t="s">
        <v>19</v>
      </c>
      <c r="C6211" t="s">
        <v>23490</v>
      </c>
      <c r="D6211" t="str">
        <f>HYPERLINK("https://rhld.insurance.arkansas.gov/NPILookup?Npi=1689639619","1689639619")</f>
        <v>1689639619</v>
      </c>
      <c r="E6211" t="s">
        <v>21009</v>
      </c>
    </row>
    <row r="6212" spans="1:5" x14ac:dyDescent="0.25">
      <c r="A6212" t="s">
        <v>1</v>
      </c>
      <c r="B6212" t="s">
        <v>19</v>
      </c>
      <c r="C6212" t="s">
        <v>23490</v>
      </c>
      <c r="D6212" t="str">
        <f>HYPERLINK("https://rhld.insurance.arkansas.gov/NPILookup?Npi=1689644478","1689644478")</f>
        <v>1689644478</v>
      </c>
      <c r="E6212" t="s">
        <v>2398</v>
      </c>
    </row>
    <row r="6213" spans="1:5" x14ac:dyDescent="0.25">
      <c r="A6213" t="s">
        <v>1</v>
      </c>
      <c r="B6213" t="s">
        <v>19</v>
      </c>
      <c r="C6213" t="s">
        <v>23490</v>
      </c>
      <c r="D6213" t="str">
        <f>HYPERLINK("https://rhld.insurance.arkansas.gov/NPILookup?Npi=1689645350","1689645350")</f>
        <v>1689645350</v>
      </c>
      <c r="E6213" t="s">
        <v>2399</v>
      </c>
    </row>
    <row r="6214" spans="1:5" x14ac:dyDescent="0.25">
      <c r="A6214" t="s">
        <v>1</v>
      </c>
      <c r="B6214" t="s">
        <v>19</v>
      </c>
      <c r="C6214" t="s">
        <v>23490</v>
      </c>
      <c r="D6214" t="str">
        <f>HYPERLINK("https://rhld.insurance.arkansas.gov/NPILookup?Npi=1689646911","1689646911")</f>
        <v>1689646911</v>
      </c>
      <c r="E6214" t="s">
        <v>2400</v>
      </c>
    </row>
    <row r="6215" spans="1:5" x14ac:dyDescent="0.25">
      <c r="A6215" t="s">
        <v>1</v>
      </c>
      <c r="B6215" t="s">
        <v>19</v>
      </c>
      <c r="C6215" t="s">
        <v>23490</v>
      </c>
      <c r="D6215" t="str">
        <f>HYPERLINK("https://rhld.insurance.arkansas.gov/NPILookup?Npi=1689650855","1689650855")</f>
        <v>1689650855</v>
      </c>
      <c r="E6215" t="s">
        <v>2401</v>
      </c>
    </row>
    <row r="6216" spans="1:5" x14ac:dyDescent="0.25">
      <c r="A6216" t="s">
        <v>1</v>
      </c>
      <c r="B6216" t="s">
        <v>19</v>
      </c>
      <c r="C6216" t="s">
        <v>23490</v>
      </c>
      <c r="D6216" t="str">
        <f>HYPERLINK("https://rhld.insurance.arkansas.gov/NPILookup?Npi=1689651366","1689651366")</f>
        <v>1689651366</v>
      </c>
      <c r="E6216" t="s">
        <v>2402</v>
      </c>
    </row>
    <row r="6217" spans="1:5" x14ac:dyDescent="0.25">
      <c r="A6217" t="s">
        <v>1</v>
      </c>
      <c r="B6217" t="s">
        <v>19</v>
      </c>
      <c r="C6217" t="s">
        <v>23490</v>
      </c>
      <c r="D6217" t="str">
        <f>HYPERLINK("https://rhld.insurance.arkansas.gov/NPILookup?Npi=1689651911","1689651911")</f>
        <v>1689651911</v>
      </c>
      <c r="E6217" t="s">
        <v>2403</v>
      </c>
    </row>
    <row r="6218" spans="1:5" x14ac:dyDescent="0.25">
      <c r="A6218" t="s">
        <v>1</v>
      </c>
      <c r="B6218" t="s">
        <v>19</v>
      </c>
      <c r="C6218" t="s">
        <v>23490</v>
      </c>
      <c r="D6218" t="str">
        <f>HYPERLINK("https://rhld.insurance.arkansas.gov/NPILookup?Npi=1689655276","1689655276")</f>
        <v>1689655276</v>
      </c>
      <c r="E6218" t="s">
        <v>15424</v>
      </c>
    </row>
    <row r="6219" spans="1:5" x14ac:dyDescent="0.25">
      <c r="A6219" t="s">
        <v>1</v>
      </c>
      <c r="B6219" t="s">
        <v>19</v>
      </c>
      <c r="C6219" t="s">
        <v>23490</v>
      </c>
      <c r="D6219" t="str">
        <f>HYPERLINK("https://rhld.insurance.arkansas.gov/NPILookup?Npi=1689665614","1689665614")</f>
        <v>1689665614</v>
      </c>
      <c r="E6219" t="s">
        <v>10004</v>
      </c>
    </row>
    <row r="6220" spans="1:5" x14ac:dyDescent="0.25">
      <c r="A6220" t="s">
        <v>1</v>
      </c>
      <c r="B6220" t="s">
        <v>19</v>
      </c>
      <c r="C6220" t="s">
        <v>23490</v>
      </c>
      <c r="D6220" t="str">
        <f>HYPERLINK("https://rhld.insurance.arkansas.gov/NPILookup?Npi=1689667305","1689667305")</f>
        <v>1689667305</v>
      </c>
      <c r="E6220" t="s">
        <v>11171</v>
      </c>
    </row>
    <row r="6221" spans="1:5" x14ac:dyDescent="0.25">
      <c r="A6221" t="s">
        <v>1</v>
      </c>
      <c r="B6221" t="s">
        <v>19</v>
      </c>
      <c r="C6221" t="s">
        <v>23490</v>
      </c>
      <c r="D6221" t="str">
        <f>HYPERLINK("https://rhld.insurance.arkansas.gov/NPILookup?Npi=1689677296","1689677296")</f>
        <v>1689677296</v>
      </c>
      <c r="E6221" t="s">
        <v>2404</v>
      </c>
    </row>
    <row r="6222" spans="1:5" x14ac:dyDescent="0.25">
      <c r="A6222" t="s">
        <v>1</v>
      </c>
      <c r="B6222" t="s">
        <v>19</v>
      </c>
      <c r="C6222" t="s">
        <v>23490</v>
      </c>
      <c r="D6222" t="str">
        <f>HYPERLINK("https://rhld.insurance.arkansas.gov/NPILookup?Npi=1689679391","1689679391")</f>
        <v>1689679391</v>
      </c>
      <c r="E6222" t="s">
        <v>15425</v>
      </c>
    </row>
    <row r="6223" spans="1:5" x14ac:dyDescent="0.25">
      <c r="A6223" t="s">
        <v>1</v>
      </c>
      <c r="B6223" t="s">
        <v>19</v>
      </c>
      <c r="C6223" t="s">
        <v>23490</v>
      </c>
      <c r="D6223" t="str">
        <f>HYPERLINK("https://rhld.insurance.arkansas.gov/NPILookup?Npi=1689679573","1689679573")</f>
        <v>1689679573</v>
      </c>
      <c r="E6223" t="s">
        <v>2405</v>
      </c>
    </row>
    <row r="6224" spans="1:5" x14ac:dyDescent="0.25">
      <c r="A6224" t="s">
        <v>1</v>
      </c>
      <c r="B6224" t="s">
        <v>19</v>
      </c>
      <c r="C6224" t="s">
        <v>23490</v>
      </c>
      <c r="D6224" t="str">
        <f>HYPERLINK("https://rhld.insurance.arkansas.gov/NPILookup?Npi=1689681355","1689681355")</f>
        <v>1689681355</v>
      </c>
      <c r="E6224" t="s">
        <v>2406</v>
      </c>
    </row>
    <row r="6225" spans="1:5" x14ac:dyDescent="0.25">
      <c r="A6225" t="s">
        <v>1</v>
      </c>
      <c r="B6225" t="s">
        <v>19</v>
      </c>
      <c r="C6225" t="s">
        <v>23490</v>
      </c>
      <c r="D6225" t="str">
        <f>HYPERLINK("https://rhld.insurance.arkansas.gov/NPILookup?Npi=1689692360","1689692360")</f>
        <v>1689692360</v>
      </c>
      <c r="E6225" t="s">
        <v>2407</v>
      </c>
    </row>
    <row r="6226" spans="1:5" x14ac:dyDescent="0.25">
      <c r="A6226" t="s">
        <v>1</v>
      </c>
      <c r="B6226" t="s">
        <v>19</v>
      </c>
      <c r="C6226" t="s">
        <v>23490</v>
      </c>
      <c r="D6226" t="str">
        <f>HYPERLINK("https://rhld.insurance.arkansas.gov/NPILookup?Npi=1689695595","1689695595")</f>
        <v>1689695595</v>
      </c>
      <c r="E6226" t="s">
        <v>8804</v>
      </c>
    </row>
    <row r="6227" spans="1:5" x14ac:dyDescent="0.25">
      <c r="A6227" t="s">
        <v>1</v>
      </c>
      <c r="B6227" t="s">
        <v>19</v>
      </c>
      <c r="C6227" t="s">
        <v>23490</v>
      </c>
      <c r="D6227" t="str">
        <f>HYPERLINK("https://rhld.insurance.arkansas.gov/NPILookup?Npi=1689717456","1689717456")</f>
        <v>1689717456</v>
      </c>
      <c r="E6227" t="s">
        <v>15426</v>
      </c>
    </row>
    <row r="6228" spans="1:5" x14ac:dyDescent="0.25">
      <c r="A6228" t="s">
        <v>1</v>
      </c>
      <c r="B6228" t="s">
        <v>19</v>
      </c>
      <c r="C6228" t="s">
        <v>23490</v>
      </c>
      <c r="D6228" t="str">
        <f>HYPERLINK("https://rhld.insurance.arkansas.gov/NPILookup?Npi=1689733560","1689733560")</f>
        <v>1689733560</v>
      </c>
      <c r="E6228" t="s">
        <v>15427</v>
      </c>
    </row>
    <row r="6229" spans="1:5" x14ac:dyDescent="0.25">
      <c r="A6229" t="s">
        <v>1</v>
      </c>
      <c r="B6229" t="s">
        <v>19</v>
      </c>
      <c r="C6229" t="s">
        <v>23490</v>
      </c>
      <c r="D6229" t="str">
        <f>HYPERLINK("https://rhld.insurance.arkansas.gov/NPILookup?Npi=1689737272","1689737272")</f>
        <v>1689737272</v>
      </c>
      <c r="E6229" t="s">
        <v>2408</v>
      </c>
    </row>
    <row r="6230" spans="1:5" x14ac:dyDescent="0.25">
      <c r="A6230" t="s">
        <v>1</v>
      </c>
      <c r="B6230" t="s">
        <v>19</v>
      </c>
      <c r="C6230" t="s">
        <v>23490</v>
      </c>
      <c r="D6230" t="str">
        <f>HYPERLINK("https://rhld.insurance.arkansas.gov/NPILookup?Npi=1689761280","1689761280")</f>
        <v>1689761280</v>
      </c>
      <c r="E6230" t="s">
        <v>2409</v>
      </c>
    </row>
    <row r="6231" spans="1:5" x14ac:dyDescent="0.25">
      <c r="A6231" t="s">
        <v>1</v>
      </c>
      <c r="B6231" t="s">
        <v>19</v>
      </c>
      <c r="C6231" t="s">
        <v>23490</v>
      </c>
      <c r="D6231" t="str">
        <f>HYPERLINK("https://rhld.insurance.arkansas.gov/NPILookup?Npi=1689763427","1689763427")</f>
        <v>1689763427</v>
      </c>
      <c r="E6231" t="s">
        <v>15428</v>
      </c>
    </row>
    <row r="6232" spans="1:5" x14ac:dyDescent="0.25">
      <c r="A6232" t="s">
        <v>1</v>
      </c>
      <c r="B6232" t="s">
        <v>19</v>
      </c>
      <c r="C6232" t="s">
        <v>23490</v>
      </c>
      <c r="D6232" t="str">
        <f>HYPERLINK("https://rhld.insurance.arkansas.gov/NPILookup?Npi=1689767105","1689767105")</f>
        <v>1689767105</v>
      </c>
      <c r="E6232" t="s">
        <v>2410</v>
      </c>
    </row>
    <row r="6233" spans="1:5" x14ac:dyDescent="0.25">
      <c r="A6233" t="s">
        <v>1</v>
      </c>
      <c r="B6233" t="s">
        <v>19</v>
      </c>
      <c r="C6233" t="s">
        <v>23490</v>
      </c>
      <c r="D6233" t="str">
        <f>HYPERLINK("https://rhld.insurance.arkansas.gov/NPILookup?Npi=1689770315","1689770315")</f>
        <v>1689770315</v>
      </c>
      <c r="E6233" t="s">
        <v>2411</v>
      </c>
    </row>
    <row r="6234" spans="1:5" x14ac:dyDescent="0.25">
      <c r="A6234" t="s">
        <v>1</v>
      </c>
      <c r="B6234" t="s">
        <v>19</v>
      </c>
      <c r="C6234" t="s">
        <v>23490</v>
      </c>
      <c r="D6234" t="str">
        <f>HYPERLINK("https://rhld.insurance.arkansas.gov/NPILookup?Npi=1689776148","1689776148")</f>
        <v>1689776148</v>
      </c>
      <c r="E6234" t="s">
        <v>15429</v>
      </c>
    </row>
    <row r="6235" spans="1:5" x14ac:dyDescent="0.25">
      <c r="A6235" t="s">
        <v>1</v>
      </c>
      <c r="B6235" t="s">
        <v>19</v>
      </c>
      <c r="C6235" t="s">
        <v>23490</v>
      </c>
      <c r="D6235" t="str">
        <f>HYPERLINK("https://rhld.insurance.arkansas.gov/NPILookup?Npi=1689791733","1689791733")</f>
        <v>1689791733</v>
      </c>
      <c r="E6235" t="s">
        <v>15430</v>
      </c>
    </row>
    <row r="6236" spans="1:5" x14ac:dyDescent="0.25">
      <c r="A6236" t="s">
        <v>1</v>
      </c>
      <c r="B6236" t="s">
        <v>19</v>
      </c>
      <c r="C6236" t="s">
        <v>23490</v>
      </c>
      <c r="D6236" t="str">
        <f>HYPERLINK("https://rhld.insurance.arkansas.gov/NPILookup?Npi=1689815201","1689815201")</f>
        <v>1689815201</v>
      </c>
      <c r="E6236" t="s">
        <v>2412</v>
      </c>
    </row>
    <row r="6237" spans="1:5" x14ac:dyDescent="0.25">
      <c r="A6237" t="s">
        <v>1</v>
      </c>
      <c r="B6237" t="s">
        <v>19</v>
      </c>
      <c r="C6237" t="s">
        <v>23490</v>
      </c>
      <c r="D6237" t="str">
        <f>HYPERLINK("https://rhld.insurance.arkansas.gov/NPILookup?Npi=1689816886","1689816886")</f>
        <v>1689816886</v>
      </c>
      <c r="E6237" t="s">
        <v>8805</v>
      </c>
    </row>
    <row r="6238" spans="1:5" x14ac:dyDescent="0.25">
      <c r="A6238" t="s">
        <v>1</v>
      </c>
      <c r="B6238" t="s">
        <v>19</v>
      </c>
      <c r="C6238" t="s">
        <v>23490</v>
      </c>
      <c r="D6238" t="str">
        <f>HYPERLINK("https://rhld.insurance.arkansas.gov/NPILookup?Npi=1689819682","1689819682")</f>
        <v>1689819682</v>
      </c>
      <c r="E6238" t="s">
        <v>2413</v>
      </c>
    </row>
    <row r="6239" spans="1:5" x14ac:dyDescent="0.25">
      <c r="A6239" t="s">
        <v>1</v>
      </c>
      <c r="B6239" t="s">
        <v>19</v>
      </c>
      <c r="C6239" t="s">
        <v>23490</v>
      </c>
      <c r="D6239" t="str">
        <f>HYPERLINK("https://rhld.insurance.arkansas.gov/NPILookup?Npi=1689832768","1689832768")</f>
        <v>1689832768</v>
      </c>
      <c r="E6239" t="s">
        <v>2414</v>
      </c>
    </row>
    <row r="6240" spans="1:5" x14ac:dyDescent="0.25">
      <c r="A6240" t="s">
        <v>1</v>
      </c>
      <c r="B6240" t="s">
        <v>19</v>
      </c>
      <c r="C6240" t="s">
        <v>23490</v>
      </c>
      <c r="D6240" t="str">
        <f>HYPERLINK("https://rhld.insurance.arkansas.gov/NPILookup?Npi=1689844714","1689844714")</f>
        <v>1689844714</v>
      </c>
      <c r="E6240" t="s">
        <v>2415</v>
      </c>
    </row>
    <row r="6241" spans="1:5" x14ac:dyDescent="0.25">
      <c r="A6241" t="s">
        <v>1</v>
      </c>
      <c r="B6241" t="s">
        <v>19</v>
      </c>
      <c r="C6241" t="s">
        <v>23490</v>
      </c>
      <c r="D6241" t="str">
        <f>HYPERLINK("https://rhld.insurance.arkansas.gov/NPILookup?Npi=1689866725","1689866725")</f>
        <v>1689866725</v>
      </c>
      <c r="E6241" t="s">
        <v>2416</v>
      </c>
    </row>
    <row r="6242" spans="1:5" x14ac:dyDescent="0.25">
      <c r="A6242" t="s">
        <v>1</v>
      </c>
      <c r="B6242" t="s">
        <v>19</v>
      </c>
      <c r="C6242" t="s">
        <v>23490</v>
      </c>
      <c r="D6242" t="str">
        <f>HYPERLINK("https://rhld.insurance.arkansas.gov/NPILookup?Npi=1689879777","1689879777")</f>
        <v>1689879777</v>
      </c>
      <c r="E6242" t="s">
        <v>2417</v>
      </c>
    </row>
    <row r="6243" spans="1:5" x14ac:dyDescent="0.25">
      <c r="A6243" t="s">
        <v>1</v>
      </c>
      <c r="B6243" t="s">
        <v>19</v>
      </c>
      <c r="C6243" t="s">
        <v>23490</v>
      </c>
      <c r="D6243" t="str">
        <f>HYPERLINK("https://rhld.insurance.arkansas.gov/NPILookup?Npi=1689884298","1689884298")</f>
        <v>1689884298</v>
      </c>
      <c r="E6243" t="s">
        <v>2418</v>
      </c>
    </row>
    <row r="6244" spans="1:5" x14ac:dyDescent="0.25">
      <c r="A6244" t="s">
        <v>1</v>
      </c>
      <c r="B6244" t="s">
        <v>19</v>
      </c>
      <c r="C6244" t="s">
        <v>23490</v>
      </c>
      <c r="D6244" t="str">
        <f>HYPERLINK("https://rhld.insurance.arkansas.gov/NPILookup?Npi=1689884439","1689884439")</f>
        <v>1689884439</v>
      </c>
      <c r="E6244" t="s">
        <v>8806</v>
      </c>
    </row>
    <row r="6245" spans="1:5" x14ac:dyDescent="0.25">
      <c r="A6245" t="s">
        <v>1</v>
      </c>
      <c r="B6245" t="s">
        <v>19</v>
      </c>
      <c r="C6245" t="s">
        <v>23490</v>
      </c>
      <c r="D6245" t="str">
        <f>HYPERLINK("https://rhld.insurance.arkansas.gov/NPILookup?Npi=1689896755","1689896755")</f>
        <v>1689896755</v>
      </c>
      <c r="E6245" t="s">
        <v>2419</v>
      </c>
    </row>
    <row r="6246" spans="1:5" x14ac:dyDescent="0.25">
      <c r="A6246" t="s">
        <v>1</v>
      </c>
      <c r="B6246" t="s">
        <v>19</v>
      </c>
      <c r="C6246" t="s">
        <v>23490</v>
      </c>
      <c r="D6246" t="str">
        <f>HYPERLINK("https://rhld.insurance.arkansas.gov/NPILookup?Npi=1689917163","1689917163")</f>
        <v>1689917163</v>
      </c>
      <c r="E6246" t="s">
        <v>21010</v>
      </c>
    </row>
    <row r="6247" spans="1:5" x14ac:dyDescent="0.25">
      <c r="A6247" t="s">
        <v>1</v>
      </c>
      <c r="B6247" t="s">
        <v>19</v>
      </c>
      <c r="C6247" t="s">
        <v>23490</v>
      </c>
      <c r="D6247" t="str">
        <f>HYPERLINK("https://rhld.insurance.arkansas.gov/NPILookup?Npi=1689921017","1689921017")</f>
        <v>1689921017</v>
      </c>
      <c r="E6247" t="s">
        <v>11172</v>
      </c>
    </row>
    <row r="6248" spans="1:5" x14ac:dyDescent="0.25">
      <c r="A6248" t="s">
        <v>1</v>
      </c>
      <c r="B6248" t="s">
        <v>19</v>
      </c>
      <c r="C6248" t="s">
        <v>23490</v>
      </c>
      <c r="D6248" t="str">
        <f>HYPERLINK("https://rhld.insurance.arkansas.gov/NPILookup?Npi=1689923831","1689923831")</f>
        <v>1689923831</v>
      </c>
      <c r="E6248" t="s">
        <v>2420</v>
      </c>
    </row>
    <row r="6249" spans="1:5" x14ac:dyDescent="0.25">
      <c r="A6249" t="s">
        <v>1</v>
      </c>
      <c r="B6249" t="s">
        <v>19</v>
      </c>
      <c r="C6249" t="s">
        <v>23490</v>
      </c>
      <c r="D6249" t="str">
        <f>HYPERLINK("https://rhld.insurance.arkansas.gov/NPILookup?Npi=1689926727","1689926727")</f>
        <v>1689926727</v>
      </c>
      <c r="E6249" t="s">
        <v>11173</v>
      </c>
    </row>
    <row r="6250" spans="1:5" x14ac:dyDescent="0.25">
      <c r="A6250" t="s">
        <v>1</v>
      </c>
      <c r="B6250" t="s">
        <v>19</v>
      </c>
      <c r="C6250" t="s">
        <v>23490</v>
      </c>
      <c r="D6250" t="str">
        <f>HYPERLINK("https://rhld.insurance.arkansas.gov/NPILookup?Npi=1689936213","1689936213")</f>
        <v>1689936213</v>
      </c>
      <c r="E6250" t="s">
        <v>11174</v>
      </c>
    </row>
    <row r="6251" spans="1:5" x14ac:dyDescent="0.25">
      <c r="A6251" t="s">
        <v>1</v>
      </c>
      <c r="B6251" t="s">
        <v>19</v>
      </c>
      <c r="C6251" t="s">
        <v>23490</v>
      </c>
      <c r="D6251" t="str">
        <f>HYPERLINK("https://rhld.insurance.arkansas.gov/NPILookup?Npi=1689940132","1689940132")</f>
        <v>1689940132</v>
      </c>
      <c r="E6251" t="s">
        <v>2421</v>
      </c>
    </row>
    <row r="6252" spans="1:5" x14ac:dyDescent="0.25">
      <c r="A6252" t="s">
        <v>1</v>
      </c>
      <c r="B6252" t="s">
        <v>19</v>
      </c>
      <c r="C6252" t="s">
        <v>23490</v>
      </c>
      <c r="D6252" t="str">
        <f>HYPERLINK("https://rhld.insurance.arkansas.gov/NPILookup?Npi=1689954273","1689954273")</f>
        <v>1689954273</v>
      </c>
      <c r="E6252" t="s">
        <v>17004</v>
      </c>
    </row>
    <row r="6253" spans="1:5" x14ac:dyDescent="0.25">
      <c r="A6253" t="s">
        <v>1</v>
      </c>
      <c r="B6253" t="s">
        <v>19</v>
      </c>
      <c r="C6253" t="s">
        <v>23490</v>
      </c>
      <c r="D6253" t="str">
        <f>HYPERLINK("https://rhld.insurance.arkansas.gov/NPILookup?Npi=1689955189","1689955189")</f>
        <v>1689955189</v>
      </c>
      <c r="E6253" t="s">
        <v>2422</v>
      </c>
    </row>
    <row r="6254" spans="1:5" x14ac:dyDescent="0.25">
      <c r="A6254" t="s">
        <v>1</v>
      </c>
      <c r="B6254" t="s">
        <v>19</v>
      </c>
      <c r="C6254" t="s">
        <v>23490</v>
      </c>
      <c r="D6254" t="str">
        <f>HYPERLINK("https://rhld.insurance.arkansas.gov/NPILookup?Npi=1689958902","1689958902")</f>
        <v>1689958902</v>
      </c>
      <c r="E6254" t="s">
        <v>2423</v>
      </c>
    </row>
    <row r="6255" spans="1:5" x14ac:dyDescent="0.25">
      <c r="A6255" t="s">
        <v>1</v>
      </c>
      <c r="B6255" t="s">
        <v>19</v>
      </c>
      <c r="C6255" t="s">
        <v>23490</v>
      </c>
      <c r="D6255" t="str">
        <f>HYPERLINK("https://rhld.insurance.arkansas.gov/NPILookup?Npi=1689971749","1689971749")</f>
        <v>1689971749</v>
      </c>
      <c r="E6255" t="s">
        <v>2424</v>
      </c>
    </row>
    <row r="6256" spans="1:5" x14ac:dyDescent="0.25">
      <c r="A6256" t="s">
        <v>1</v>
      </c>
      <c r="B6256" t="s">
        <v>19</v>
      </c>
      <c r="C6256" t="s">
        <v>23490</v>
      </c>
      <c r="D6256" t="str">
        <f>HYPERLINK("https://rhld.insurance.arkansas.gov/NPILookup?Npi=1689986994","1689986994")</f>
        <v>1689986994</v>
      </c>
      <c r="E6256" t="s">
        <v>8807</v>
      </c>
    </row>
    <row r="6257" spans="1:5" x14ac:dyDescent="0.25">
      <c r="A6257" t="s">
        <v>1</v>
      </c>
      <c r="B6257" t="s">
        <v>19</v>
      </c>
      <c r="C6257" t="s">
        <v>23490</v>
      </c>
      <c r="D6257" t="str">
        <f>HYPERLINK("https://rhld.insurance.arkansas.gov/NPILookup?Npi=1689987620","1689987620")</f>
        <v>1689987620</v>
      </c>
      <c r="E6257" t="s">
        <v>17460</v>
      </c>
    </row>
    <row r="6258" spans="1:5" x14ac:dyDescent="0.25">
      <c r="A6258" t="s">
        <v>1</v>
      </c>
      <c r="B6258" t="s">
        <v>19</v>
      </c>
      <c r="C6258" t="s">
        <v>23490</v>
      </c>
      <c r="D6258" t="str">
        <f>HYPERLINK("https://rhld.insurance.arkansas.gov/NPILookup?Npi=1689993016","1689993016")</f>
        <v>1689993016</v>
      </c>
      <c r="E6258" t="s">
        <v>8808</v>
      </c>
    </row>
    <row r="6259" spans="1:5" x14ac:dyDescent="0.25">
      <c r="A6259" t="s">
        <v>1</v>
      </c>
      <c r="B6259" t="s">
        <v>19</v>
      </c>
      <c r="C6259" t="s">
        <v>23490</v>
      </c>
      <c r="D6259" t="str">
        <f>HYPERLINK("https://rhld.insurance.arkansas.gov/NPILookup?Npi=1699000562","1699000562")</f>
        <v>1699000562</v>
      </c>
      <c r="E6259" t="s">
        <v>2425</v>
      </c>
    </row>
    <row r="6260" spans="1:5" x14ac:dyDescent="0.25">
      <c r="A6260" t="s">
        <v>1</v>
      </c>
      <c r="B6260" t="s">
        <v>19</v>
      </c>
      <c r="C6260" t="s">
        <v>23490</v>
      </c>
      <c r="D6260" t="str">
        <f>HYPERLINK("https://rhld.insurance.arkansas.gov/NPILookup?Npi=1699010603","1699010603")</f>
        <v>1699010603</v>
      </c>
      <c r="E6260" t="s">
        <v>17005</v>
      </c>
    </row>
    <row r="6261" spans="1:5" x14ac:dyDescent="0.25">
      <c r="A6261" t="s">
        <v>1</v>
      </c>
      <c r="B6261" t="s">
        <v>19</v>
      </c>
      <c r="C6261" t="s">
        <v>23490</v>
      </c>
      <c r="D6261" t="str">
        <f>HYPERLINK("https://rhld.insurance.arkansas.gov/NPILookup?Npi=1699017962","1699017962")</f>
        <v>1699017962</v>
      </c>
      <c r="E6261" t="s">
        <v>2426</v>
      </c>
    </row>
    <row r="6262" spans="1:5" x14ac:dyDescent="0.25">
      <c r="A6262" t="s">
        <v>1</v>
      </c>
      <c r="B6262" t="s">
        <v>19</v>
      </c>
      <c r="C6262" t="s">
        <v>23490</v>
      </c>
      <c r="D6262" t="str">
        <f>HYPERLINK("https://rhld.insurance.arkansas.gov/NPILookup?Npi=1699039610","1699039610")</f>
        <v>1699039610</v>
      </c>
      <c r="E6262" t="s">
        <v>2427</v>
      </c>
    </row>
    <row r="6263" spans="1:5" x14ac:dyDescent="0.25">
      <c r="A6263" t="s">
        <v>1</v>
      </c>
      <c r="B6263" t="s">
        <v>19</v>
      </c>
      <c r="C6263" t="s">
        <v>23490</v>
      </c>
      <c r="D6263" t="str">
        <f>HYPERLINK("https://rhld.insurance.arkansas.gov/NPILookup?Npi=1699040618","1699040618")</f>
        <v>1699040618</v>
      </c>
      <c r="E6263" t="s">
        <v>2428</v>
      </c>
    </row>
    <row r="6264" spans="1:5" x14ac:dyDescent="0.25">
      <c r="A6264" t="s">
        <v>1</v>
      </c>
      <c r="B6264" t="s">
        <v>19</v>
      </c>
      <c r="C6264" t="s">
        <v>23490</v>
      </c>
      <c r="D6264" t="str">
        <f>HYPERLINK("https://rhld.insurance.arkansas.gov/NPILookup?Npi=1699043687","1699043687")</f>
        <v>1699043687</v>
      </c>
      <c r="E6264" t="s">
        <v>2429</v>
      </c>
    </row>
    <row r="6265" spans="1:5" x14ac:dyDescent="0.25">
      <c r="A6265" t="s">
        <v>1</v>
      </c>
      <c r="B6265" t="s">
        <v>19</v>
      </c>
      <c r="C6265" t="s">
        <v>23490</v>
      </c>
      <c r="D6265" t="str">
        <f>HYPERLINK("https://rhld.insurance.arkansas.gov/NPILookup?Npi=1699059667","1699059667")</f>
        <v>1699059667</v>
      </c>
      <c r="E6265" t="s">
        <v>2430</v>
      </c>
    </row>
    <row r="6266" spans="1:5" x14ac:dyDescent="0.25">
      <c r="A6266" t="s">
        <v>1</v>
      </c>
      <c r="B6266" t="s">
        <v>19</v>
      </c>
      <c r="C6266" t="s">
        <v>23490</v>
      </c>
      <c r="D6266" t="str">
        <f>HYPERLINK("https://rhld.insurance.arkansas.gov/NPILookup?Npi=1699066969","1699066969")</f>
        <v>1699066969</v>
      </c>
      <c r="E6266" t="s">
        <v>2431</v>
      </c>
    </row>
    <row r="6267" spans="1:5" x14ac:dyDescent="0.25">
      <c r="A6267" t="s">
        <v>1</v>
      </c>
      <c r="B6267" t="s">
        <v>19</v>
      </c>
      <c r="C6267" t="s">
        <v>23490</v>
      </c>
      <c r="D6267" t="str">
        <f>HYPERLINK("https://rhld.insurance.arkansas.gov/NPILookup?Npi=1699067850","1699067850")</f>
        <v>1699067850</v>
      </c>
      <c r="E6267" t="s">
        <v>2432</v>
      </c>
    </row>
    <row r="6268" spans="1:5" x14ac:dyDescent="0.25">
      <c r="A6268" t="s">
        <v>1</v>
      </c>
      <c r="B6268" t="s">
        <v>19</v>
      </c>
      <c r="C6268" t="s">
        <v>23490</v>
      </c>
      <c r="D6268" t="str">
        <f>HYPERLINK("https://rhld.insurance.arkansas.gov/NPILookup?Npi=1699091264","1699091264")</f>
        <v>1699091264</v>
      </c>
      <c r="E6268" t="s">
        <v>2434</v>
      </c>
    </row>
    <row r="6269" spans="1:5" x14ac:dyDescent="0.25">
      <c r="A6269" t="s">
        <v>1</v>
      </c>
      <c r="B6269" t="s">
        <v>19</v>
      </c>
      <c r="C6269" t="s">
        <v>23490</v>
      </c>
      <c r="D6269" t="str">
        <f>HYPERLINK("https://rhld.insurance.arkansas.gov/NPILookup?Npi=1699118141","1699118141")</f>
        <v>1699118141</v>
      </c>
      <c r="E6269" t="s">
        <v>11175</v>
      </c>
    </row>
    <row r="6270" spans="1:5" x14ac:dyDescent="0.25">
      <c r="A6270" t="s">
        <v>1</v>
      </c>
      <c r="B6270" t="s">
        <v>19</v>
      </c>
      <c r="C6270" t="s">
        <v>23490</v>
      </c>
      <c r="D6270" t="str">
        <f>HYPERLINK("https://rhld.insurance.arkansas.gov/NPILookup?Npi=1699123562","1699123562")</f>
        <v>1699123562</v>
      </c>
      <c r="E6270" t="s">
        <v>18839</v>
      </c>
    </row>
    <row r="6271" spans="1:5" x14ac:dyDescent="0.25">
      <c r="A6271" t="s">
        <v>1</v>
      </c>
      <c r="B6271" t="s">
        <v>19</v>
      </c>
      <c r="C6271" t="s">
        <v>23490</v>
      </c>
      <c r="D6271" t="str">
        <f>HYPERLINK("https://rhld.insurance.arkansas.gov/NPILookup?Npi=1699128611","1699128611")</f>
        <v>1699128611</v>
      </c>
      <c r="E6271" t="s">
        <v>11176</v>
      </c>
    </row>
    <row r="6272" spans="1:5" x14ac:dyDescent="0.25">
      <c r="A6272" t="s">
        <v>1</v>
      </c>
      <c r="B6272" t="s">
        <v>19</v>
      </c>
      <c r="C6272" t="s">
        <v>23490</v>
      </c>
      <c r="D6272" t="str">
        <f>HYPERLINK("https://rhld.insurance.arkansas.gov/NPILookup?Npi=1699135871","1699135871")</f>
        <v>1699135871</v>
      </c>
      <c r="E6272" t="s">
        <v>8809</v>
      </c>
    </row>
    <row r="6273" spans="1:5" x14ac:dyDescent="0.25">
      <c r="A6273" t="s">
        <v>1</v>
      </c>
      <c r="B6273" t="s">
        <v>19</v>
      </c>
      <c r="C6273" t="s">
        <v>23490</v>
      </c>
      <c r="D6273" t="str">
        <f>HYPERLINK("https://rhld.insurance.arkansas.gov/NPILookup?Npi=1699153338","1699153338")</f>
        <v>1699153338</v>
      </c>
      <c r="E6273" t="s">
        <v>19947</v>
      </c>
    </row>
    <row r="6274" spans="1:5" x14ac:dyDescent="0.25">
      <c r="A6274" t="s">
        <v>1</v>
      </c>
      <c r="B6274" t="s">
        <v>19</v>
      </c>
      <c r="C6274" t="s">
        <v>23490</v>
      </c>
      <c r="D6274" t="str">
        <f>HYPERLINK("https://rhld.insurance.arkansas.gov/NPILookup?Npi=1699154567","1699154567")</f>
        <v>1699154567</v>
      </c>
      <c r="E6274" t="s">
        <v>15431</v>
      </c>
    </row>
    <row r="6275" spans="1:5" x14ac:dyDescent="0.25">
      <c r="A6275" t="s">
        <v>1</v>
      </c>
      <c r="B6275" t="s">
        <v>19</v>
      </c>
      <c r="C6275" t="s">
        <v>23490</v>
      </c>
      <c r="D6275" t="str">
        <f>HYPERLINK("https://rhld.insurance.arkansas.gov/NPILookup?Npi=1699163964","1699163964")</f>
        <v>1699163964</v>
      </c>
      <c r="E6275" t="s">
        <v>2435</v>
      </c>
    </row>
    <row r="6276" spans="1:5" x14ac:dyDescent="0.25">
      <c r="A6276" t="s">
        <v>1</v>
      </c>
      <c r="B6276" t="s">
        <v>19</v>
      </c>
      <c r="C6276" t="s">
        <v>23490</v>
      </c>
      <c r="D6276" t="str">
        <f>HYPERLINK("https://rhld.insurance.arkansas.gov/NPILookup?Npi=1699170019","1699170019")</f>
        <v>1699170019</v>
      </c>
      <c r="E6276" t="s">
        <v>12883</v>
      </c>
    </row>
    <row r="6277" spans="1:5" x14ac:dyDescent="0.25">
      <c r="A6277" t="s">
        <v>1</v>
      </c>
      <c r="B6277" t="s">
        <v>19</v>
      </c>
      <c r="C6277" t="s">
        <v>23490</v>
      </c>
      <c r="D6277" t="str">
        <f>HYPERLINK("https://rhld.insurance.arkansas.gov/NPILookup?Npi=1699170340","1699170340")</f>
        <v>1699170340</v>
      </c>
      <c r="E6277" t="s">
        <v>17461</v>
      </c>
    </row>
    <row r="6278" spans="1:5" x14ac:dyDescent="0.25">
      <c r="A6278" t="s">
        <v>1</v>
      </c>
      <c r="B6278" t="s">
        <v>19</v>
      </c>
      <c r="C6278" t="s">
        <v>23490</v>
      </c>
      <c r="D6278" t="str">
        <f>HYPERLINK("https://rhld.insurance.arkansas.gov/NPILookup?Npi=1699187666","1699187666")</f>
        <v>1699187666</v>
      </c>
      <c r="E6278" t="s">
        <v>2437</v>
      </c>
    </row>
    <row r="6279" spans="1:5" x14ac:dyDescent="0.25">
      <c r="A6279" t="s">
        <v>1</v>
      </c>
      <c r="B6279" t="s">
        <v>19</v>
      </c>
      <c r="C6279" t="s">
        <v>23490</v>
      </c>
      <c r="D6279" t="str">
        <f>HYPERLINK("https://rhld.insurance.arkansas.gov/NPILookup?Npi=1699189407","1699189407")</f>
        <v>1699189407</v>
      </c>
      <c r="E6279" t="s">
        <v>11177</v>
      </c>
    </row>
    <row r="6280" spans="1:5" x14ac:dyDescent="0.25">
      <c r="A6280" t="s">
        <v>1</v>
      </c>
      <c r="B6280" t="s">
        <v>19</v>
      </c>
      <c r="C6280" t="s">
        <v>23490</v>
      </c>
      <c r="D6280" t="str">
        <f>HYPERLINK("https://rhld.insurance.arkansas.gov/NPILookup?Npi=1699190033","1699190033")</f>
        <v>1699190033</v>
      </c>
      <c r="E6280" t="s">
        <v>2438</v>
      </c>
    </row>
    <row r="6281" spans="1:5" x14ac:dyDescent="0.25">
      <c r="A6281" t="s">
        <v>1</v>
      </c>
      <c r="B6281" t="s">
        <v>19</v>
      </c>
      <c r="C6281" t="s">
        <v>23490</v>
      </c>
      <c r="D6281" t="str">
        <f>HYPERLINK("https://rhld.insurance.arkansas.gov/NPILookup?Npi=1699199570","1699199570")</f>
        <v>1699199570</v>
      </c>
      <c r="E6281" t="s">
        <v>2439</v>
      </c>
    </row>
    <row r="6282" spans="1:5" x14ac:dyDescent="0.25">
      <c r="A6282" t="s">
        <v>1</v>
      </c>
      <c r="B6282" t="s">
        <v>19</v>
      </c>
      <c r="C6282" t="s">
        <v>23490</v>
      </c>
      <c r="D6282" t="str">
        <f>HYPERLINK("https://rhld.insurance.arkansas.gov/NPILookup?Npi=1699200477","1699200477")</f>
        <v>1699200477</v>
      </c>
      <c r="E6282" t="s">
        <v>13657</v>
      </c>
    </row>
    <row r="6283" spans="1:5" x14ac:dyDescent="0.25">
      <c r="A6283" t="s">
        <v>1</v>
      </c>
      <c r="B6283" t="s">
        <v>19</v>
      </c>
      <c r="C6283" t="s">
        <v>23490</v>
      </c>
      <c r="D6283" t="str">
        <f>HYPERLINK("https://rhld.insurance.arkansas.gov/NPILookup?Npi=1699215079","1699215079")</f>
        <v>1699215079</v>
      </c>
      <c r="E6283" t="s">
        <v>19948</v>
      </c>
    </row>
    <row r="6284" spans="1:5" x14ac:dyDescent="0.25">
      <c r="A6284" t="s">
        <v>1</v>
      </c>
      <c r="B6284" t="s">
        <v>19</v>
      </c>
      <c r="C6284" t="s">
        <v>23490</v>
      </c>
      <c r="D6284" t="str">
        <f>HYPERLINK("https://rhld.insurance.arkansas.gov/NPILookup?Npi=1699215228","1699215228")</f>
        <v>1699215228</v>
      </c>
      <c r="E6284" t="s">
        <v>13658</v>
      </c>
    </row>
    <row r="6285" spans="1:5" x14ac:dyDescent="0.25">
      <c r="A6285" t="s">
        <v>1</v>
      </c>
      <c r="B6285" t="s">
        <v>19</v>
      </c>
      <c r="C6285" t="s">
        <v>23490</v>
      </c>
      <c r="D6285" t="str">
        <f>HYPERLINK("https://rhld.insurance.arkansas.gov/NPILookup?Npi=1699215731","1699215731")</f>
        <v>1699215731</v>
      </c>
      <c r="E6285" t="s">
        <v>11178</v>
      </c>
    </row>
    <row r="6286" spans="1:5" x14ac:dyDescent="0.25">
      <c r="A6286" t="s">
        <v>1</v>
      </c>
      <c r="B6286" t="s">
        <v>19</v>
      </c>
      <c r="C6286" t="s">
        <v>23490</v>
      </c>
      <c r="D6286" t="str">
        <f>HYPERLINK("https://rhld.insurance.arkansas.gov/NPILookup?Npi=1699221853","1699221853")</f>
        <v>1699221853</v>
      </c>
      <c r="E6286" t="s">
        <v>12884</v>
      </c>
    </row>
    <row r="6287" spans="1:5" x14ac:dyDescent="0.25">
      <c r="A6287" t="s">
        <v>1</v>
      </c>
      <c r="B6287" t="s">
        <v>19</v>
      </c>
      <c r="C6287" t="s">
        <v>23490</v>
      </c>
      <c r="D6287" t="str">
        <f>HYPERLINK("https://rhld.insurance.arkansas.gov/NPILookup?Npi=1699224766","1699224766")</f>
        <v>1699224766</v>
      </c>
      <c r="E6287" t="s">
        <v>11179</v>
      </c>
    </row>
    <row r="6288" spans="1:5" x14ac:dyDescent="0.25">
      <c r="A6288" t="s">
        <v>1</v>
      </c>
      <c r="B6288" t="s">
        <v>19</v>
      </c>
      <c r="C6288" t="s">
        <v>23490</v>
      </c>
      <c r="D6288" t="str">
        <f>HYPERLINK("https://rhld.insurance.arkansas.gov/NPILookup?Npi=1699226860","1699226860")</f>
        <v>1699226860</v>
      </c>
      <c r="E6288" t="s">
        <v>11180</v>
      </c>
    </row>
    <row r="6289" spans="1:5" x14ac:dyDescent="0.25">
      <c r="A6289" t="s">
        <v>1</v>
      </c>
      <c r="B6289" t="s">
        <v>19</v>
      </c>
      <c r="C6289" t="s">
        <v>23490</v>
      </c>
      <c r="D6289" t="str">
        <f>HYPERLINK("https://rhld.insurance.arkansas.gov/NPILookup?Npi=1699238147","1699238147")</f>
        <v>1699238147</v>
      </c>
      <c r="E6289" t="s">
        <v>21011</v>
      </c>
    </row>
    <row r="6290" spans="1:5" x14ac:dyDescent="0.25">
      <c r="A6290" t="s">
        <v>1</v>
      </c>
      <c r="B6290" t="s">
        <v>19</v>
      </c>
      <c r="C6290" t="s">
        <v>23490</v>
      </c>
      <c r="D6290" t="str">
        <f>HYPERLINK("https://rhld.insurance.arkansas.gov/NPILookup?Npi=1699238964","1699238964")</f>
        <v>1699238964</v>
      </c>
      <c r="E6290" t="s">
        <v>12350</v>
      </c>
    </row>
    <row r="6291" spans="1:5" x14ac:dyDescent="0.25">
      <c r="A6291" t="s">
        <v>1</v>
      </c>
      <c r="B6291" t="s">
        <v>19</v>
      </c>
      <c r="C6291" t="s">
        <v>23490</v>
      </c>
      <c r="D6291" t="str">
        <f>HYPERLINK("https://rhld.insurance.arkansas.gov/NPILookup?Npi=1699242347","1699242347")</f>
        <v>1699242347</v>
      </c>
      <c r="E6291" t="s">
        <v>13659</v>
      </c>
    </row>
    <row r="6292" spans="1:5" x14ac:dyDescent="0.25">
      <c r="A6292" t="s">
        <v>1</v>
      </c>
      <c r="B6292" t="s">
        <v>19</v>
      </c>
      <c r="C6292" t="s">
        <v>23490</v>
      </c>
      <c r="D6292" t="str">
        <f>HYPERLINK("https://rhld.insurance.arkansas.gov/NPILookup?Npi=1699260521","1699260521")</f>
        <v>1699260521</v>
      </c>
      <c r="E6292" t="s">
        <v>17006</v>
      </c>
    </row>
    <row r="6293" spans="1:5" x14ac:dyDescent="0.25">
      <c r="A6293" t="s">
        <v>1</v>
      </c>
      <c r="B6293" t="s">
        <v>19</v>
      </c>
      <c r="C6293" t="s">
        <v>23490</v>
      </c>
      <c r="D6293" t="str">
        <f>HYPERLINK("https://rhld.insurance.arkansas.gov/NPILookup?Npi=1699282087","1699282087")</f>
        <v>1699282087</v>
      </c>
      <c r="E6293" t="s">
        <v>12885</v>
      </c>
    </row>
    <row r="6294" spans="1:5" x14ac:dyDescent="0.25">
      <c r="A6294" t="s">
        <v>1</v>
      </c>
      <c r="B6294" t="s">
        <v>19</v>
      </c>
      <c r="C6294" t="s">
        <v>23490</v>
      </c>
      <c r="D6294" t="str">
        <f>HYPERLINK("https://rhld.insurance.arkansas.gov/NPILookup?Npi=1699283838","1699283838")</f>
        <v>1699283838</v>
      </c>
      <c r="E6294" t="s">
        <v>17007</v>
      </c>
    </row>
    <row r="6295" spans="1:5" x14ac:dyDescent="0.25">
      <c r="A6295" t="s">
        <v>1</v>
      </c>
      <c r="B6295" t="s">
        <v>19</v>
      </c>
      <c r="C6295" t="s">
        <v>23490</v>
      </c>
      <c r="D6295" t="str">
        <f>HYPERLINK("https://rhld.insurance.arkansas.gov/NPILookup?Npi=1699283879","1699283879")</f>
        <v>1699283879</v>
      </c>
      <c r="E6295" t="s">
        <v>13660</v>
      </c>
    </row>
    <row r="6296" spans="1:5" x14ac:dyDescent="0.25">
      <c r="A6296" t="s">
        <v>1</v>
      </c>
      <c r="B6296" t="s">
        <v>19</v>
      </c>
      <c r="C6296" t="s">
        <v>23490</v>
      </c>
      <c r="D6296" t="str">
        <f>HYPERLINK("https://rhld.insurance.arkansas.gov/NPILookup?Npi=1699290460","1699290460")</f>
        <v>1699290460</v>
      </c>
      <c r="E6296" t="s">
        <v>15432</v>
      </c>
    </row>
    <row r="6297" spans="1:5" x14ac:dyDescent="0.25">
      <c r="A6297" t="s">
        <v>1</v>
      </c>
      <c r="B6297" t="s">
        <v>19</v>
      </c>
      <c r="C6297" t="s">
        <v>23490</v>
      </c>
      <c r="D6297" t="str">
        <f>HYPERLINK("https://rhld.insurance.arkansas.gov/NPILookup?Npi=1699308544","1699308544")</f>
        <v>1699308544</v>
      </c>
      <c r="E6297" t="s">
        <v>21012</v>
      </c>
    </row>
    <row r="6298" spans="1:5" x14ac:dyDescent="0.25">
      <c r="A6298" t="s">
        <v>1</v>
      </c>
      <c r="B6298" t="s">
        <v>19</v>
      </c>
      <c r="C6298" t="s">
        <v>23490</v>
      </c>
      <c r="D6298" t="str">
        <f>HYPERLINK("https://rhld.insurance.arkansas.gov/NPILookup?Npi=1699334649","1699334649")</f>
        <v>1699334649</v>
      </c>
      <c r="E6298" t="s">
        <v>19949</v>
      </c>
    </row>
    <row r="6299" spans="1:5" x14ac:dyDescent="0.25">
      <c r="A6299" t="s">
        <v>1</v>
      </c>
      <c r="B6299" t="s">
        <v>19</v>
      </c>
      <c r="C6299" t="s">
        <v>23490</v>
      </c>
      <c r="D6299" t="str">
        <f>HYPERLINK("https://rhld.insurance.arkansas.gov/NPILookup?Npi=1699336586","1699336586")</f>
        <v>1699336586</v>
      </c>
      <c r="E6299" t="s">
        <v>15433</v>
      </c>
    </row>
    <row r="6300" spans="1:5" x14ac:dyDescent="0.25">
      <c r="A6300" t="s">
        <v>1</v>
      </c>
      <c r="B6300" t="s">
        <v>19</v>
      </c>
      <c r="C6300" t="s">
        <v>23490</v>
      </c>
      <c r="D6300" t="str">
        <f>HYPERLINK("https://rhld.insurance.arkansas.gov/NPILookup?Npi=1699360297","1699360297")</f>
        <v>1699360297</v>
      </c>
      <c r="E6300" t="s">
        <v>18840</v>
      </c>
    </row>
    <row r="6301" spans="1:5" x14ac:dyDescent="0.25">
      <c r="A6301" t="s">
        <v>1</v>
      </c>
      <c r="B6301" t="s">
        <v>19</v>
      </c>
      <c r="C6301" t="s">
        <v>23490</v>
      </c>
      <c r="D6301" t="str">
        <f>HYPERLINK("https://rhld.insurance.arkansas.gov/NPILookup?Npi=1699365106","1699365106")</f>
        <v>1699365106</v>
      </c>
      <c r="E6301" t="s">
        <v>22976</v>
      </c>
    </row>
    <row r="6302" spans="1:5" x14ac:dyDescent="0.25">
      <c r="A6302" t="s">
        <v>1</v>
      </c>
      <c r="B6302" t="s">
        <v>19</v>
      </c>
      <c r="C6302" t="s">
        <v>23490</v>
      </c>
      <c r="D6302" t="str">
        <f>HYPERLINK("https://rhld.insurance.arkansas.gov/NPILookup?Npi=1699382440","1699382440")</f>
        <v>1699382440</v>
      </c>
      <c r="E6302" t="s">
        <v>17462</v>
      </c>
    </row>
    <row r="6303" spans="1:5" x14ac:dyDescent="0.25">
      <c r="A6303" t="s">
        <v>1</v>
      </c>
      <c r="B6303" t="s">
        <v>19</v>
      </c>
      <c r="C6303" t="s">
        <v>23490</v>
      </c>
      <c r="D6303" t="str">
        <f>HYPERLINK("https://rhld.insurance.arkansas.gov/NPILookup?Npi=1699387274","1699387274")</f>
        <v>1699387274</v>
      </c>
      <c r="E6303" t="s">
        <v>18084</v>
      </c>
    </row>
    <row r="6304" spans="1:5" x14ac:dyDescent="0.25">
      <c r="A6304" t="s">
        <v>1</v>
      </c>
      <c r="B6304" t="s">
        <v>19</v>
      </c>
      <c r="C6304" t="s">
        <v>23490</v>
      </c>
      <c r="D6304" t="str">
        <f>HYPERLINK("https://rhld.insurance.arkansas.gov/NPILookup?Npi=1699445510","1699445510")</f>
        <v>1699445510</v>
      </c>
      <c r="E6304" t="s">
        <v>19950</v>
      </c>
    </row>
    <row r="6305" spans="1:5" x14ac:dyDescent="0.25">
      <c r="A6305" t="s">
        <v>1</v>
      </c>
      <c r="B6305" t="s">
        <v>19</v>
      </c>
      <c r="C6305" t="s">
        <v>23490</v>
      </c>
      <c r="D6305" t="str">
        <f>HYPERLINK("https://rhld.insurance.arkansas.gov/NPILookup?Npi=1699480095","1699480095")</f>
        <v>1699480095</v>
      </c>
      <c r="E6305" t="s">
        <v>21626</v>
      </c>
    </row>
    <row r="6306" spans="1:5" x14ac:dyDescent="0.25">
      <c r="A6306" t="s">
        <v>1</v>
      </c>
      <c r="B6306" t="s">
        <v>19</v>
      </c>
      <c r="C6306" t="s">
        <v>23490</v>
      </c>
      <c r="D6306" t="str">
        <f>HYPERLINK("https://rhld.insurance.arkansas.gov/NPILookup?Npi=1699485912","1699485912")</f>
        <v>1699485912</v>
      </c>
      <c r="E6306" t="s">
        <v>21627</v>
      </c>
    </row>
    <row r="6307" spans="1:5" x14ac:dyDescent="0.25">
      <c r="A6307" t="s">
        <v>1</v>
      </c>
      <c r="B6307" t="s">
        <v>19</v>
      </c>
      <c r="C6307" t="s">
        <v>23490</v>
      </c>
      <c r="D6307" t="str">
        <f>HYPERLINK("https://rhld.insurance.arkansas.gov/NPILookup?Npi=1699499384","1699499384")</f>
        <v>1699499384</v>
      </c>
      <c r="E6307" t="s">
        <v>21628</v>
      </c>
    </row>
    <row r="6308" spans="1:5" x14ac:dyDescent="0.25">
      <c r="A6308" t="s">
        <v>1</v>
      </c>
      <c r="B6308" t="s">
        <v>19</v>
      </c>
      <c r="C6308" t="s">
        <v>23490</v>
      </c>
      <c r="D6308" t="str">
        <f>HYPERLINK("https://rhld.insurance.arkansas.gov/NPILookup?Npi=1699723601","1699723601")</f>
        <v>1699723601</v>
      </c>
      <c r="E6308" t="s">
        <v>2440</v>
      </c>
    </row>
    <row r="6309" spans="1:5" x14ac:dyDescent="0.25">
      <c r="A6309" t="s">
        <v>1</v>
      </c>
      <c r="B6309" t="s">
        <v>19</v>
      </c>
      <c r="C6309" t="s">
        <v>23490</v>
      </c>
      <c r="D6309" t="str">
        <f>HYPERLINK("https://rhld.insurance.arkansas.gov/NPILookup?Npi=1699731091","1699731091")</f>
        <v>1699731091</v>
      </c>
      <c r="E6309" t="s">
        <v>2441</v>
      </c>
    </row>
    <row r="6310" spans="1:5" x14ac:dyDescent="0.25">
      <c r="A6310" t="s">
        <v>1</v>
      </c>
      <c r="B6310" t="s">
        <v>19</v>
      </c>
      <c r="C6310" t="s">
        <v>23490</v>
      </c>
      <c r="D6310" t="str">
        <f>HYPERLINK("https://rhld.insurance.arkansas.gov/NPILookup?Npi=1699733741","1699733741")</f>
        <v>1699733741</v>
      </c>
      <c r="E6310" t="s">
        <v>2442</v>
      </c>
    </row>
    <row r="6311" spans="1:5" x14ac:dyDescent="0.25">
      <c r="A6311" t="s">
        <v>1</v>
      </c>
      <c r="B6311" t="s">
        <v>19</v>
      </c>
      <c r="C6311" t="s">
        <v>23490</v>
      </c>
      <c r="D6311" t="str">
        <f>HYPERLINK("https://rhld.insurance.arkansas.gov/NPILookup?Npi=1699735159","1699735159")</f>
        <v>1699735159</v>
      </c>
      <c r="E6311" t="s">
        <v>15434</v>
      </c>
    </row>
    <row r="6312" spans="1:5" x14ac:dyDescent="0.25">
      <c r="A6312" t="s">
        <v>1</v>
      </c>
      <c r="B6312" t="s">
        <v>19</v>
      </c>
      <c r="C6312" t="s">
        <v>23490</v>
      </c>
      <c r="D6312" t="str">
        <f>HYPERLINK("https://rhld.insurance.arkansas.gov/NPILookup?Npi=1699737692","1699737692")</f>
        <v>1699737692</v>
      </c>
      <c r="E6312" t="s">
        <v>2443</v>
      </c>
    </row>
    <row r="6313" spans="1:5" x14ac:dyDescent="0.25">
      <c r="A6313" t="s">
        <v>1</v>
      </c>
      <c r="B6313" t="s">
        <v>19</v>
      </c>
      <c r="C6313" t="s">
        <v>23490</v>
      </c>
      <c r="D6313" t="str">
        <f>HYPERLINK("https://rhld.insurance.arkansas.gov/NPILookup?Npi=1699738195","1699738195")</f>
        <v>1699738195</v>
      </c>
      <c r="E6313" t="s">
        <v>2444</v>
      </c>
    </row>
    <row r="6314" spans="1:5" x14ac:dyDescent="0.25">
      <c r="A6314" t="s">
        <v>1</v>
      </c>
      <c r="B6314" t="s">
        <v>19</v>
      </c>
      <c r="C6314" t="s">
        <v>23490</v>
      </c>
      <c r="D6314" t="str">
        <f>HYPERLINK("https://rhld.insurance.arkansas.gov/NPILookup?Npi=1699741082","1699741082")</f>
        <v>1699741082</v>
      </c>
      <c r="E6314" t="s">
        <v>2176</v>
      </c>
    </row>
    <row r="6315" spans="1:5" x14ac:dyDescent="0.25">
      <c r="A6315" t="s">
        <v>1</v>
      </c>
      <c r="B6315" t="s">
        <v>19</v>
      </c>
      <c r="C6315" t="s">
        <v>23490</v>
      </c>
      <c r="D6315" t="str">
        <f>HYPERLINK("https://rhld.insurance.arkansas.gov/NPILookup?Npi=1699741298","1699741298")</f>
        <v>1699741298</v>
      </c>
      <c r="E6315" t="s">
        <v>2445</v>
      </c>
    </row>
    <row r="6316" spans="1:5" x14ac:dyDescent="0.25">
      <c r="A6316" t="s">
        <v>1</v>
      </c>
      <c r="B6316" t="s">
        <v>19</v>
      </c>
      <c r="C6316" t="s">
        <v>23490</v>
      </c>
      <c r="D6316" t="str">
        <f>HYPERLINK("https://rhld.insurance.arkansas.gov/NPILookup?Npi=1699742205","1699742205")</f>
        <v>1699742205</v>
      </c>
      <c r="E6316" t="s">
        <v>15435</v>
      </c>
    </row>
    <row r="6317" spans="1:5" x14ac:dyDescent="0.25">
      <c r="A6317" t="s">
        <v>1</v>
      </c>
      <c r="B6317" t="s">
        <v>19</v>
      </c>
      <c r="C6317" t="s">
        <v>23490</v>
      </c>
      <c r="D6317" t="str">
        <f>HYPERLINK("https://rhld.insurance.arkansas.gov/NPILookup?Npi=1699743922","1699743922")</f>
        <v>1699743922</v>
      </c>
      <c r="E6317" t="s">
        <v>2446</v>
      </c>
    </row>
    <row r="6318" spans="1:5" x14ac:dyDescent="0.25">
      <c r="A6318" t="s">
        <v>1</v>
      </c>
      <c r="B6318" t="s">
        <v>19</v>
      </c>
      <c r="C6318" t="s">
        <v>23490</v>
      </c>
      <c r="D6318" t="str">
        <f>HYPERLINK("https://rhld.insurance.arkansas.gov/NPILookup?Npi=1699755942","1699755942")</f>
        <v>1699755942</v>
      </c>
      <c r="E6318" t="s">
        <v>2447</v>
      </c>
    </row>
    <row r="6319" spans="1:5" x14ac:dyDescent="0.25">
      <c r="A6319" t="s">
        <v>1</v>
      </c>
      <c r="B6319" t="s">
        <v>19</v>
      </c>
      <c r="C6319" t="s">
        <v>23490</v>
      </c>
      <c r="D6319" t="str">
        <f>HYPERLINK("https://rhld.insurance.arkansas.gov/NPILookup?Npi=1699762948","1699762948")</f>
        <v>1699762948</v>
      </c>
      <c r="E6319" t="s">
        <v>2448</v>
      </c>
    </row>
    <row r="6320" spans="1:5" x14ac:dyDescent="0.25">
      <c r="A6320" t="s">
        <v>1</v>
      </c>
      <c r="B6320" t="s">
        <v>19</v>
      </c>
      <c r="C6320" t="s">
        <v>23490</v>
      </c>
      <c r="D6320" t="str">
        <f>HYPERLINK("https://rhld.insurance.arkansas.gov/NPILookup?Npi=1699763441","1699763441")</f>
        <v>1699763441</v>
      </c>
      <c r="E6320" t="s">
        <v>17463</v>
      </c>
    </row>
    <row r="6321" spans="1:5" x14ac:dyDescent="0.25">
      <c r="A6321" t="s">
        <v>1</v>
      </c>
      <c r="B6321" t="s">
        <v>19</v>
      </c>
      <c r="C6321" t="s">
        <v>23490</v>
      </c>
      <c r="D6321" t="str">
        <f>HYPERLINK("https://rhld.insurance.arkansas.gov/NPILookup?Npi=1699764589","1699764589")</f>
        <v>1699764589</v>
      </c>
      <c r="E6321" t="s">
        <v>2449</v>
      </c>
    </row>
    <row r="6322" spans="1:5" x14ac:dyDescent="0.25">
      <c r="A6322" t="s">
        <v>1</v>
      </c>
      <c r="B6322" t="s">
        <v>19</v>
      </c>
      <c r="C6322" t="s">
        <v>23490</v>
      </c>
      <c r="D6322" t="str">
        <f>HYPERLINK("https://rhld.insurance.arkansas.gov/NPILookup?Npi=1699767772","1699767772")</f>
        <v>1699767772</v>
      </c>
      <c r="E6322" t="s">
        <v>2450</v>
      </c>
    </row>
    <row r="6323" spans="1:5" x14ac:dyDescent="0.25">
      <c r="A6323" t="s">
        <v>1</v>
      </c>
      <c r="B6323" t="s">
        <v>19</v>
      </c>
      <c r="C6323" t="s">
        <v>23490</v>
      </c>
      <c r="D6323" t="str">
        <f>HYPERLINK("https://rhld.insurance.arkansas.gov/NPILookup?Npi=1699785899","1699785899")</f>
        <v>1699785899</v>
      </c>
      <c r="E6323" t="s">
        <v>11181</v>
      </c>
    </row>
    <row r="6324" spans="1:5" x14ac:dyDescent="0.25">
      <c r="A6324" t="s">
        <v>1</v>
      </c>
      <c r="B6324" t="s">
        <v>19</v>
      </c>
      <c r="C6324" t="s">
        <v>23490</v>
      </c>
      <c r="D6324" t="str">
        <f>HYPERLINK("https://rhld.insurance.arkansas.gov/NPILookup?Npi=1699796284","1699796284")</f>
        <v>1699796284</v>
      </c>
      <c r="E6324" t="s">
        <v>15436</v>
      </c>
    </row>
    <row r="6325" spans="1:5" x14ac:dyDescent="0.25">
      <c r="A6325" t="s">
        <v>1</v>
      </c>
      <c r="B6325" t="s">
        <v>19</v>
      </c>
      <c r="C6325" t="s">
        <v>23490</v>
      </c>
      <c r="D6325" t="str">
        <f>HYPERLINK("https://rhld.insurance.arkansas.gov/NPILookup?Npi=1699880534","1699880534")</f>
        <v>1699880534</v>
      </c>
      <c r="E6325" t="s">
        <v>1202</v>
      </c>
    </row>
    <row r="6326" spans="1:5" x14ac:dyDescent="0.25">
      <c r="A6326" t="s">
        <v>1</v>
      </c>
      <c r="B6326" t="s">
        <v>19</v>
      </c>
      <c r="C6326" t="s">
        <v>23490</v>
      </c>
      <c r="D6326" t="str">
        <f>HYPERLINK("https://rhld.insurance.arkansas.gov/NPILookup?Npi=1699881698","1699881698")</f>
        <v>1699881698</v>
      </c>
      <c r="E6326" t="s">
        <v>2451</v>
      </c>
    </row>
    <row r="6327" spans="1:5" x14ac:dyDescent="0.25">
      <c r="A6327" t="s">
        <v>1</v>
      </c>
      <c r="B6327" t="s">
        <v>19</v>
      </c>
      <c r="C6327" t="s">
        <v>23490</v>
      </c>
      <c r="D6327" t="str">
        <f>HYPERLINK("https://rhld.insurance.arkansas.gov/NPILookup?Npi=1699939223","1699939223")</f>
        <v>1699939223</v>
      </c>
      <c r="E6327" t="s">
        <v>17009</v>
      </c>
    </row>
    <row r="6328" spans="1:5" x14ac:dyDescent="0.25">
      <c r="A6328" t="s">
        <v>1</v>
      </c>
      <c r="B6328" t="s">
        <v>19</v>
      </c>
      <c r="C6328" t="s">
        <v>23490</v>
      </c>
      <c r="D6328" t="str">
        <f>HYPERLINK("https://rhld.insurance.arkansas.gov/NPILookup?Npi=1699949826","1699949826")</f>
        <v>1699949826</v>
      </c>
      <c r="E6328" t="s">
        <v>2452</v>
      </c>
    </row>
    <row r="6329" spans="1:5" x14ac:dyDescent="0.25">
      <c r="A6329" t="s">
        <v>1</v>
      </c>
      <c r="B6329" t="s">
        <v>19</v>
      </c>
      <c r="C6329" t="s">
        <v>23490</v>
      </c>
      <c r="D6329" t="str">
        <f>HYPERLINK("https://rhld.insurance.arkansas.gov/NPILookup?Npi=1699961458","1699961458")</f>
        <v>1699961458</v>
      </c>
      <c r="E6329" t="s">
        <v>2453</v>
      </c>
    </row>
    <row r="6330" spans="1:5" x14ac:dyDescent="0.25">
      <c r="A6330" t="s">
        <v>1</v>
      </c>
      <c r="B6330" t="s">
        <v>19</v>
      </c>
      <c r="C6330" t="s">
        <v>23490</v>
      </c>
      <c r="D6330" t="str">
        <f>HYPERLINK("https://rhld.insurance.arkansas.gov/NPILookup?Npi=1699972596","1699972596")</f>
        <v>1699972596</v>
      </c>
      <c r="E6330" t="s">
        <v>15437</v>
      </c>
    </row>
    <row r="6331" spans="1:5" x14ac:dyDescent="0.25">
      <c r="A6331" t="s">
        <v>1</v>
      </c>
      <c r="B6331" t="s">
        <v>19</v>
      </c>
      <c r="C6331" t="s">
        <v>23490</v>
      </c>
      <c r="D6331" t="str">
        <f>HYPERLINK("https://rhld.insurance.arkansas.gov/NPILookup?Npi=1699975425","1699975425")</f>
        <v>1699975425</v>
      </c>
      <c r="E6331" t="s">
        <v>2454</v>
      </c>
    </row>
    <row r="6332" spans="1:5" x14ac:dyDescent="0.25">
      <c r="A6332" t="s">
        <v>1</v>
      </c>
      <c r="B6332" t="s">
        <v>19</v>
      </c>
      <c r="C6332" t="s">
        <v>23490</v>
      </c>
      <c r="D6332" t="str">
        <f>HYPERLINK("https://rhld.insurance.arkansas.gov/NPILookup?Npi=1699981894","1699981894")</f>
        <v>1699981894</v>
      </c>
      <c r="E6332" t="s">
        <v>2455</v>
      </c>
    </row>
    <row r="6333" spans="1:5" x14ac:dyDescent="0.25">
      <c r="A6333" t="s">
        <v>1</v>
      </c>
      <c r="B6333" t="s">
        <v>19</v>
      </c>
      <c r="C6333" t="s">
        <v>23490</v>
      </c>
      <c r="D6333" t="str">
        <f>HYPERLINK("https://rhld.insurance.arkansas.gov/NPILookup?Npi=1699986596","1699986596")</f>
        <v>1699986596</v>
      </c>
      <c r="E6333" t="s">
        <v>2456</v>
      </c>
    </row>
    <row r="6334" spans="1:5" x14ac:dyDescent="0.25">
      <c r="A6334" t="s">
        <v>1</v>
      </c>
      <c r="B6334" t="s">
        <v>19</v>
      </c>
      <c r="C6334" t="s">
        <v>23490</v>
      </c>
      <c r="D6334" t="str">
        <f>HYPERLINK("https://rhld.insurance.arkansas.gov/NPILookup?Npi=1700010055","1700010055")</f>
        <v>1700010055</v>
      </c>
      <c r="E6334" t="s">
        <v>2457</v>
      </c>
    </row>
    <row r="6335" spans="1:5" x14ac:dyDescent="0.25">
      <c r="A6335" t="s">
        <v>1</v>
      </c>
      <c r="B6335" t="s">
        <v>19</v>
      </c>
      <c r="C6335" t="s">
        <v>23490</v>
      </c>
      <c r="D6335" t="str">
        <f>HYPERLINK("https://rhld.insurance.arkansas.gov/NPILookup?Npi=1700053444","1700053444")</f>
        <v>1700053444</v>
      </c>
      <c r="E6335" t="s">
        <v>11182</v>
      </c>
    </row>
    <row r="6336" spans="1:5" x14ac:dyDescent="0.25">
      <c r="A6336" t="s">
        <v>1</v>
      </c>
      <c r="B6336" t="s">
        <v>19</v>
      </c>
      <c r="C6336" t="s">
        <v>23490</v>
      </c>
      <c r="D6336" t="str">
        <f>HYPERLINK("https://rhld.insurance.arkansas.gov/NPILookup?Npi=1700064789","1700064789")</f>
        <v>1700064789</v>
      </c>
      <c r="E6336" t="s">
        <v>11183</v>
      </c>
    </row>
    <row r="6337" spans="1:5" x14ac:dyDescent="0.25">
      <c r="A6337" t="s">
        <v>1</v>
      </c>
      <c r="B6337" t="s">
        <v>19</v>
      </c>
      <c r="C6337" t="s">
        <v>23490</v>
      </c>
      <c r="D6337" t="str">
        <f>HYPERLINK("https://rhld.insurance.arkansas.gov/NPILookup?Npi=1700075157","1700075157")</f>
        <v>1700075157</v>
      </c>
      <c r="E6337" t="s">
        <v>2458</v>
      </c>
    </row>
    <row r="6338" spans="1:5" x14ac:dyDescent="0.25">
      <c r="A6338" t="s">
        <v>1</v>
      </c>
      <c r="B6338" t="s">
        <v>19</v>
      </c>
      <c r="C6338" t="s">
        <v>23490</v>
      </c>
      <c r="D6338" t="str">
        <f>HYPERLINK("https://rhld.insurance.arkansas.gov/NPILookup?Npi=1700080645","1700080645")</f>
        <v>1700080645</v>
      </c>
      <c r="E6338" t="s">
        <v>15439</v>
      </c>
    </row>
    <row r="6339" spans="1:5" x14ac:dyDescent="0.25">
      <c r="A6339" t="s">
        <v>1</v>
      </c>
      <c r="B6339" t="s">
        <v>19</v>
      </c>
      <c r="C6339" t="s">
        <v>23490</v>
      </c>
      <c r="D6339" t="str">
        <f>HYPERLINK("https://rhld.insurance.arkansas.gov/NPILookup?Npi=1700086857","1700086857")</f>
        <v>1700086857</v>
      </c>
      <c r="E6339" t="s">
        <v>2459</v>
      </c>
    </row>
    <row r="6340" spans="1:5" x14ac:dyDescent="0.25">
      <c r="A6340" t="s">
        <v>1</v>
      </c>
      <c r="B6340" t="s">
        <v>19</v>
      </c>
      <c r="C6340" t="s">
        <v>23490</v>
      </c>
      <c r="D6340" t="str">
        <f>HYPERLINK("https://rhld.insurance.arkansas.gov/NPILookup?Npi=1700104148","1700104148")</f>
        <v>1700104148</v>
      </c>
      <c r="E6340" t="s">
        <v>15440</v>
      </c>
    </row>
    <row r="6341" spans="1:5" x14ac:dyDescent="0.25">
      <c r="A6341" t="s">
        <v>1</v>
      </c>
      <c r="B6341" t="s">
        <v>19</v>
      </c>
      <c r="C6341" t="s">
        <v>23490</v>
      </c>
      <c r="D6341" t="str">
        <f>HYPERLINK("https://rhld.insurance.arkansas.gov/NPILookup?Npi=1700123502","1700123502")</f>
        <v>1700123502</v>
      </c>
      <c r="E6341" t="s">
        <v>15441</v>
      </c>
    </row>
    <row r="6342" spans="1:5" x14ac:dyDescent="0.25">
      <c r="A6342" t="s">
        <v>1</v>
      </c>
      <c r="B6342" t="s">
        <v>19</v>
      </c>
      <c r="C6342" t="s">
        <v>23490</v>
      </c>
      <c r="D6342" t="str">
        <f>HYPERLINK("https://rhld.insurance.arkansas.gov/NPILookup?Npi=1700125002","1700125002")</f>
        <v>1700125002</v>
      </c>
      <c r="E6342" t="s">
        <v>2461</v>
      </c>
    </row>
    <row r="6343" spans="1:5" x14ac:dyDescent="0.25">
      <c r="A6343" t="s">
        <v>1</v>
      </c>
      <c r="B6343" t="s">
        <v>19</v>
      </c>
      <c r="C6343" t="s">
        <v>23490</v>
      </c>
      <c r="D6343" t="str">
        <f>HYPERLINK("https://rhld.insurance.arkansas.gov/NPILookup?Npi=1700137031","1700137031")</f>
        <v>1700137031</v>
      </c>
      <c r="E6343" t="s">
        <v>11184</v>
      </c>
    </row>
    <row r="6344" spans="1:5" x14ac:dyDescent="0.25">
      <c r="A6344" t="s">
        <v>1</v>
      </c>
      <c r="B6344" t="s">
        <v>19</v>
      </c>
      <c r="C6344" t="s">
        <v>23490</v>
      </c>
      <c r="D6344" t="str">
        <f>HYPERLINK("https://rhld.insurance.arkansas.gov/NPILookup?Npi=1700141165","1700141165")</f>
        <v>1700141165</v>
      </c>
      <c r="E6344" t="s">
        <v>8810</v>
      </c>
    </row>
    <row r="6345" spans="1:5" x14ac:dyDescent="0.25">
      <c r="A6345" t="s">
        <v>1</v>
      </c>
      <c r="B6345" t="s">
        <v>19</v>
      </c>
      <c r="C6345" t="s">
        <v>23490</v>
      </c>
      <c r="D6345" t="str">
        <f>HYPERLINK("https://rhld.insurance.arkansas.gov/NPILookup?Npi=1700172145","1700172145")</f>
        <v>1700172145</v>
      </c>
      <c r="E6345" t="s">
        <v>2462</v>
      </c>
    </row>
    <row r="6346" spans="1:5" x14ac:dyDescent="0.25">
      <c r="A6346" t="s">
        <v>1</v>
      </c>
      <c r="B6346" t="s">
        <v>19</v>
      </c>
      <c r="C6346" t="s">
        <v>23490</v>
      </c>
      <c r="D6346" t="str">
        <f>HYPERLINK("https://rhld.insurance.arkansas.gov/NPILookup?Npi=1700174828","1700174828")</f>
        <v>1700174828</v>
      </c>
      <c r="E6346" t="s">
        <v>13661</v>
      </c>
    </row>
    <row r="6347" spans="1:5" x14ac:dyDescent="0.25">
      <c r="A6347" t="s">
        <v>1</v>
      </c>
      <c r="B6347" t="s">
        <v>19</v>
      </c>
      <c r="C6347" t="s">
        <v>23490</v>
      </c>
      <c r="D6347" t="str">
        <f>HYPERLINK("https://rhld.insurance.arkansas.gov/NPILookup?Npi=1700176286","1700176286")</f>
        <v>1700176286</v>
      </c>
      <c r="E6347" t="s">
        <v>2463</v>
      </c>
    </row>
    <row r="6348" spans="1:5" x14ac:dyDescent="0.25">
      <c r="A6348" t="s">
        <v>1</v>
      </c>
      <c r="B6348" t="s">
        <v>19</v>
      </c>
      <c r="C6348" t="s">
        <v>23490</v>
      </c>
      <c r="D6348" t="str">
        <f>HYPERLINK("https://rhld.insurance.arkansas.gov/NPILookup?Npi=1700192275","1700192275")</f>
        <v>1700192275</v>
      </c>
      <c r="E6348" t="s">
        <v>17464</v>
      </c>
    </row>
    <row r="6349" spans="1:5" x14ac:dyDescent="0.25">
      <c r="A6349" t="s">
        <v>1</v>
      </c>
      <c r="B6349" t="s">
        <v>19</v>
      </c>
      <c r="C6349" t="s">
        <v>23490</v>
      </c>
      <c r="D6349" t="str">
        <f>HYPERLINK("https://rhld.insurance.arkansas.gov/NPILookup?Npi=1700205572","1700205572")</f>
        <v>1700205572</v>
      </c>
      <c r="E6349" t="s">
        <v>18085</v>
      </c>
    </row>
    <row r="6350" spans="1:5" x14ac:dyDescent="0.25">
      <c r="A6350" t="s">
        <v>1</v>
      </c>
      <c r="B6350" t="s">
        <v>19</v>
      </c>
      <c r="C6350" t="s">
        <v>23490</v>
      </c>
      <c r="D6350" t="str">
        <f>HYPERLINK("https://rhld.insurance.arkansas.gov/NPILookup?Npi=1700207339","1700207339")</f>
        <v>1700207339</v>
      </c>
      <c r="E6350" t="s">
        <v>2464</v>
      </c>
    </row>
    <row r="6351" spans="1:5" x14ac:dyDescent="0.25">
      <c r="A6351" t="s">
        <v>1</v>
      </c>
      <c r="B6351" t="s">
        <v>19</v>
      </c>
      <c r="C6351" t="s">
        <v>23490</v>
      </c>
      <c r="D6351" t="str">
        <f>HYPERLINK("https://rhld.insurance.arkansas.gov/NPILookup?Npi=1700225794","1700225794")</f>
        <v>1700225794</v>
      </c>
      <c r="E6351" t="s">
        <v>19951</v>
      </c>
    </row>
    <row r="6352" spans="1:5" x14ac:dyDescent="0.25">
      <c r="A6352" t="s">
        <v>1</v>
      </c>
      <c r="B6352" t="s">
        <v>19</v>
      </c>
      <c r="C6352" t="s">
        <v>23490</v>
      </c>
      <c r="D6352" t="str">
        <f>HYPERLINK("https://rhld.insurance.arkansas.gov/NPILookup?Npi=1700226123","1700226123")</f>
        <v>1700226123</v>
      </c>
      <c r="E6352" t="s">
        <v>11185</v>
      </c>
    </row>
    <row r="6353" spans="1:5" x14ac:dyDescent="0.25">
      <c r="A6353" t="s">
        <v>1</v>
      </c>
      <c r="B6353" t="s">
        <v>19</v>
      </c>
      <c r="C6353" t="s">
        <v>23490</v>
      </c>
      <c r="D6353" t="str">
        <f>HYPERLINK("https://rhld.insurance.arkansas.gov/NPILookup?Npi=1700227196","1700227196")</f>
        <v>1700227196</v>
      </c>
      <c r="E6353" t="s">
        <v>2465</v>
      </c>
    </row>
    <row r="6354" spans="1:5" x14ac:dyDescent="0.25">
      <c r="A6354" t="s">
        <v>1</v>
      </c>
      <c r="B6354" t="s">
        <v>19</v>
      </c>
      <c r="C6354" t="s">
        <v>23490</v>
      </c>
      <c r="D6354" t="str">
        <f>HYPERLINK("https://rhld.insurance.arkansas.gov/NPILookup?Npi=1700230802","1700230802")</f>
        <v>1700230802</v>
      </c>
      <c r="E6354" t="s">
        <v>21013</v>
      </c>
    </row>
    <row r="6355" spans="1:5" x14ac:dyDescent="0.25">
      <c r="A6355" t="s">
        <v>1</v>
      </c>
      <c r="B6355" t="s">
        <v>19</v>
      </c>
      <c r="C6355" t="s">
        <v>23490</v>
      </c>
      <c r="D6355" t="str">
        <f>HYPERLINK("https://rhld.insurance.arkansas.gov/NPILookup?Npi=1700232527","1700232527")</f>
        <v>1700232527</v>
      </c>
      <c r="E6355" t="s">
        <v>16900</v>
      </c>
    </row>
    <row r="6356" spans="1:5" x14ac:dyDescent="0.25">
      <c r="A6356" t="s">
        <v>1</v>
      </c>
      <c r="B6356" t="s">
        <v>19</v>
      </c>
      <c r="C6356" t="s">
        <v>23490</v>
      </c>
      <c r="D6356" t="str">
        <f>HYPERLINK("https://rhld.insurance.arkansas.gov/NPILookup?Npi=1700244985","1700244985")</f>
        <v>1700244985</v>
      </c>
      <c r="E6356" t="s">
        <v>8811</v>
      </c>
    </row>
    <row r="6357" spans="1:5" x14ac:dyDescent="0.25">
      <c r="A6357" t="s">
        <v>1</v>
      </c>
      <c r="B6357" t="s">
        <v>19</v>
      </c>
      <c r="C6357" t="s">
        <v>23490</v>
      </c>
      <c r="D6357" t="str">
        <f>HYPERLINK("https://rhld.insurance.arkansas.gov/NPILookup?Npi=1700260189","1700260189")</f>
        <v>1700260189</v>
      </c>
      <c r="E6357" t="s">
        <v>21629</v>
      </c>
    </row>
    <row r="6358" spans="1:5" x14ac:dyDescent="0.25">
      <c r="A6358" t="s">
        <v>1</v>
      </c>
      <c r="B6358" t="s">
        <v>19</v>
      </c>
      <c r="C6358" t="s">
        <v>23490</v>
      </c>
      <c r="D6358" t="str">
        <f>HYPERLINK("https://rhld.insurance.arkansas.gov/NPILookup?Npi=1700267713","1700267713")</f>
        <v>1700267713</v>
      </c>
      <c r="E6358" t="s">
        <v>21630</v>
      </c>
    </row>
    <row r="6359" spans="1:5" x14ac:dyDescent="0.25">
      <c r="A6359" t="s">
        <v>1</v>
      </c>
      <c r="B6359" t="s">
        <v>19</v>
      </c>
      <c r="C6359" t="s">
        <v>23490</v>
      </c>
      <c r="D6359" t="str">
        <f>HYPERLINK("https://rhld.insurance.arkansas.gov/NPILookup?Npi=1700268042","1700268042")</f>
        <v>1700268042</v>
      </c>
      <c r="E6359" t="s">
        <v>2466</v>
      </c>
    </row>
    <row r="6360" spans="1:5" x14ac:dyDescent="0.25">
      <c r="A6360" t="s">
        <v>1</v>
      </c>
      <c r="B6360" t="s">
        <v>19</v>
      </c>
      <c r="C6360" t="s">
        <v>23490</v>
      </c>
      <c r="D6360" t="str">
        <f>HYPERLINK("https://rhld.insurance.arkansas.gov/NPILookup?Npi=1700269875","1700269875")</f>
        <v>1700269875</v>
      </c>
      <c r="E6360" t="s">
        <v>12886</v>
      </c>
    </row>
    <row r="6361" spans="1:5" x14ac:dyDescent="0.25">
      <c r="A6361" t="s">
        <v>1</v>
      </c>
      <c r="B6361" t="s">
        <v>19</v>
      </c>
      <c r="C6361" t="s">
        <v>23490</v>
      </c>
      <c r="D6361" t="str">
        <f>HYPERLINK("https://rhld.insurance.arkansas.gov/NPILookup?Npi=1700274016","1700274016")</f>
        <v>1700274016</v>
      </c>
      <c r="E6361" t="s">
        <v>15442</v>
      </c>
    </row>
    <row r="6362" spans="1:5" x14ac:dyDescent="0.25">
      <c r="A6362" t="s">
        <v>1</v>
      </c>
      <c r="B6362" t="s">
        <v>19</v>
      </c>
      <c r="C6362" t="s">
        <v>23490</v>
      </c>
      <c r="D6362" t="str">
        <f>HYPERLINK("https://rhld.insurance.arkansas.gov/NPILookup?Npi=1700274909","1700274909")</f>
        <v>1700274909</v>
      </c>
      <c r="E6362" t="s">
        <v>12887</v>
      </c>
    </row>
    <row r="6363" spans="1:5" x14ac:dyDescent="0.25">
      <c r="A6363" t="s">
        <v>1</v>
      </c>
      <c r="B6363" t="s">
        <v>19</v>
      </c>
      <c r="C6363" t="s">
        <v>23490</v>
      </c>
      <c r="D6363" t="str">
        <f>HYPERLINK("https://rhld.insurance.arkansas.gov/NPILookup?Npi=1700277233","1700277233")</f>
        <v>1700277233</v>
      </c>
      <c r="E6363" t="s">
        <v>2467</v>
      </c>
    </row>
    <row r="6364" spans="1:5" x14ac:dyDescent="0.25">
      <c r="A6364" t="s">
        <v>1</v>
      </c>
      <c r="B6364" t="s">
        <v>19</v>
      </c>
      <c r="C6364" t="s">
        <v>23490</v>
      </c>
      <c r="D6364" t="str">
        <f>HYPERLINK("https://rhld.insurance.arkansas.gov/NPILookup?Npi=1700281938","1700281938")</f>
        <v>1700281938</v>
      </c>
      <c r="E6364" t="s">
        <v>2468</v>
      </c>
    </row>
    <row r="6365" spans="1:5" x14ac:dyDescent="0.25">
      <c r="A6365" t="s">
        <v>1</v>
      </c>
      <c r="B6365" t="s">
        <v>19</v>
      </c>
      <c r="C6365" t="s">
        <v>23490</v>
      </c>
      <c r="D6365" t="str">
        <f>HYPERLINK("https://rhld.insurance.arkansas.gov/NPILookup?Npi=1700288149","1700288149")</f>
        <v>1700288149</v>
      </c>
      <c r="E6365" t="s">
        <v>15443</v>
      </c>
    </row>
    <row r="6366" spans="1:5" x14ac:dyDescent="0.25">
      <c r="A6366" t="s">
        <v>1</v>
      </c>
      <c r="B6366" t="s">
        <v>19</v>
      </c>
      <c r="C6366" t="s">
        <v>23490</v>
      </c>
      <c r="D6366" t="str">
        <f>HYPERLINK("https://rhld.insurance.arkansas.gov/NPILookup?Npi=1700299138","1700299138")</f>
        <v>1700299138</v>
      </c>
      <c r="E6366" t="s">
        <v>13662</v>
      </c>
    </row>
    <row r="6367" spans="1:5" x14ac:dyDescent="0.25">
      <c r="A6367" t="s">
        <v>1</v>
      </c>
      <c r="B6367" t="s">
        <v>19</v>
      </c>
      <c r="C6367" t="s">
        <v>23490</v>
      </c>
      <c r="D6367" t="str">
        <f>HYPERLINK("https://rhld.insurance.arkansas.gov/NPILookup?Npi=1700304813","1700304813")</f>
        <v>1700304813</v>
      </c>
      <c r="E6367" t="s">
        <v>11186</v>
      </c>
    </row>
    <row r="6368" spans="1:5" x14ac:dyDescent="0.25">
      <c r="A6368" t="s">
        <v>1</v>
      </c>
      <c r="B6368" t="s">
        <v>19</v>
      </c>
      <c r="C6368" t="s">
        <v>23490</v>
      </c>
      <c r="D6368" t="str">
        <f>HYPERLINK("https://rhld.insurance.arkansas.gov/NPILookup?Npi=1700327780","1700327780")</f>
        <v>1700327780</v>
      </c>
      <c r="E6368" t="s">
        <v>15444</v>
      </c>
    </row>
    <row r="6369" spans="1:5" x14ac:dyDescent="0.25">
      <c r="A6369" t="s">
        <v>1</v>
      </c>
      <c r="B6369" t="s">
        <v>19</v>
      </c>
      <c r="C6369" t="s">
        <v>23490</v>
      </c>
      <c r="D6369" t="str">
        <f>HYPERLINK("https://rhld.insurance.arkansas.gov/NPILookup?Npi=1700330065","1700330065")</f>
        <v>1700330065</v>
      </c>
      <c r="E6369" t="s">
        <v>11187</v>
      </c>
    </row>
    <row r="6370" spans="1:5" x14ac:dyDescent="0.25">
      <c r="A6370" t="s">
        <v>1</v>
      </c>
      <c r="B6370" t="s">
        <v>19</v>
      </c>
      <c r="C6370" t="s">
        <v>23490</v>
      </c>
      <c r="D6370" t="str">
        <f>HYPERLINK("https://rhld.insurance.arkansas.gov/NPILookup?Npi=1700339256","1700339256")</f>
        <v>1700339256</v>
      </c>
      <c r="E6370" t="s">
        <v>11188</v>
      </c>
    </row>
    <row r="6371" spans="1:5" x14ac:dyDescent="0.25">
      <c r="A6371" t="s">
        <v>1</v>
      </c>
      <c r="B6371" t="s">
        <v>19</v>
      </c>
      <c r="C6371" t="s">
        <v>23490</v>
      </c>
      <c r="D6371" t="str">
        <f>HYPERLINK("https://rhld.insurance.arkansas.gov/NPILookup?Npi=1700343209","1700343209")</f>
        <v>1700343209</v>
      </c>
      <c r="E6371" t="s">
        <v>19952</v>
      </c>
    </row>
    <row r="6372" spans="1:5" x14ac:dyDescent="0.25">
      <c r="A6372" t="s">
        <v>1</v>
      </c>
      <c r="B6372" t="s">
        <v>19</v>
      </c>
      <c r="C6372" t="s">
        <v>23490</v>
      </c>
      <c r="D6372" t="str">
        <f>HYPERLINK("https://rhld.insurance.arkansas.gov/NPILookup?Npi=1700343969","1700343969")</f>
        <v>1700343969</v>
      </c>
      <c r="E6372" t="s">
        <v>8338</v>
      </c>
    </row>
    <row r="6373" spans="1:5" x14ac:dyDescent="0.25">
      <c r="A6373" t="s">
        <v>1</v>
      </c>
      <c r="B6373" t="s">
        <v>19</v>
      </c>
      <c r="C6373" t="s">
        <v>23490</v>
      </c>
      <c r="D6373" t="str">
        <f>HYPERLINK("https://rhld.insurance.arkansas.gov/NPILookup?Npi=1700345378","1700345378")</f>
        <v>1700345378</v>
      </c>
      <c r="E6373" t="s">
        <v>13663</v>
      </c>
    </row>
    <row r="6374" spans="1:5" x14ac:dyDescent="0.25">
      <c r="A6374" t="s">
        <v>1</v>
      </c>
      <c r="B6374" t="s">
        <v>19</v>
      </c>
      <c r="C6374" t="s">
        <v>23490</v>
      </c>
      <c r="D6374" t="str">
        <f>HYPERLINK("https://rhld.insurance.arkansas.gov/NPILookup?Npi=1700347044","1700347044")</f>
        <v>1700347044</v>
      </c>
      <c r="E6374" t="s">
        <v>21014</v>
      </c>
    </row>
    <row r="6375" spans="1:5" x14ac:dyDescent="0.25">
      <c r="A6375" t="s">
        <v>1</v>
      </c>
      <c r="B6375" t="s">
        <v>19</v>
      </c>
      <c r="C6375" t="s">
        <v>23490</v>
      </c>
      <c r="D6375" t="str">
        <f>HYPERLINK("https://rhld.insurance.arkansas.gov/NPILookup?Npi=1700351376","1700351376")</f>
        <v>1700351376</v>
      </c>
      <c r="E6375" t="s">
        <v>13664</v>
      </c>
    </row>
    <row r="6376" spans="1:5" x14ac:dyDescent="0.25">
      <c r="A6376" t="s">
        <v>1</v>
      </c>
      <c r="B6376" t="s">
        <v>19</v>
      </c>
      <c r="C6376" t="s">
        <v>23490</v>
      </c>
      <c r="D6376" t="str">
        <f>HYPERLINK("https://rhld.insurance.arkansas.gov/NPILookup?Npi=1700354933","1700354933")</f>
        <v>1700354933</v>
      </c>
      <c r="E6376" t="s">
        <v>15445</v>
      </c>
    </row>
    <row r="6377" spans="1:5" x14ac:dyDescent="0.25">
      <c r="A6377" t="s">
        <v>1</v>
      </c>
      <c r="B6377" t="s">
        <v>19</v>
      </c>
      <c r="C6377" t="s">
        <v>23490</v>
      </c>
      <c r="D6377" t="str">
        <f>HYPERLINK("https://rhld.insurance.arkansas.gov/NPILookup?Npi=1700361490","1700361490")</f>
        <v>1700361490</v>
      </c>
      <c r="E6377" t="s">
        <v>19953</v>
      </c>
    </row>
    <row r="6378" spans="1:5" x14ac:dyDescent="0.25">
      <c r="A6378" t="s">
        <v>1</v>
      </c>
      <c r="B6378" t="s">
        <v>19</v>
      </c>
      <c r="C6378" t="s">
        <v>23490</v>
      </c>
      <c r="D6378" t="str">
        <f>HYPERLINK("https://rhld.insurance.arkansas.gov/NPILookup?Npi=1700384716","1700384716")</f>
        <v>1700384716</v>
      </c>
      <c r="E6378" t="s">
        <v>21631</v>
      </c>
    </row>
    <row r="6379" spans="1:5" x14ac:dyDescent="0.25">
      <c r="A6379" t="s">
        <v>1</v>
      </c>
      <c r="B6379" t="s">
        <v>19</v>
      </c>
      <c r="C6379" t="s">
        <v>23490</v>
      </c>
      <c r="D6379" t="str">
        <f>HYPERLINK("https://rhld.insurance.arkansas.gov/NPILookup?Npi=1700389426","1700389426")</f>
        <v>1700389426</v>
      </c>
      <c r="E6379" t="s">
        <v>22977</v>
      </c>
    </row>
    <row r="6380" spans="1:5" x14ac:dyDescent="0.25">
      <c r="A6380" t="s">
        <v>1</v>
      </c>
      <c r="B6380" t="s">
        <v>19</v>
      </c>
      <c r="C6380" t="s">
        <v>23490</v>
      </c>
      <c r="D6380" t="str">
        <f>HYPERLINK("https://rhld.insurance.arkansas.gov/NPILookup?Npi=1700395225","1700395225")</f>
        <v>1700395225</v>
      </c>
      <c r="E6380" t="s">
        <v>11189</v>
      </c>
    </row>
    <row r="6381" spans="1:5" x14ac:dyDescent="0.25">
      <c r="A6381" t="s">
        <v>1</v>
      </c>
      <c r="B6381" t="s">
        <v>19</v>
      </c>
      <c r="C6381" t="s">
        <v>23490</v>
      </c>
      <c r="D6381" t="str">
        <f>HYPERLINK("https://rhld.insurance.arkansas.gov/NPILookup?Npi=1700396777","1700396777")</f>
        <v>1700396777</v>
      </c>
      <c r="E6381" t="s">
        <v>21632</v>
      </c>
    </row>
    <row r="6382" spans="1:5" x14ac:dyDescent="0.25">
      <c r="A6382" t="s">
        <v>1</v>
      </c>
      <c r="B6382" t="s">
        <v>19</v>
      </c>
      <c r="C6382" t="s">
        <v>23490</v>
      </c>
      <c r="D6382" t="str">
        <f>HYPERLINK("https://rhld.insurance.arkansas.gov/NPILookup?Npi=1700398039","1700398039")</f>
        <v>1700398039</v>
      </c>
      <c r="E6382" t="s">
        <v>17010</v>
      </c>
    </row>
    <row r="6383" spans="1:5" x14ac:dyDescent="0.25">
      <c r="A6383" t="s">
        <v>1</v>
      </c>
      <c r="B6383" t="s">
        <v>19</v>
      </c>
      <c r="C6383" t="s">
        <v>23490</v>
      </c>
      <c r="D6383" t="str">
        <f>HYPERLINK("https://rhld.insurance.arkansas.gov/NPILookup?Npi=1700403128","1700403128")</f>
        <v>1700403128</v>
      </c>
      <c r="E6383" t="s">
        <v>18086</v>
      </c>
    </row>
    <row r="6384" spans="1:5" x14ac:dyDescent="0.25">
      <c r="A6384" t="s">
        <v>1</v>
      </c>
      <c r="B6384" t="s">
        <v>19</v>
      </c>
      <c r="C6384" t="s">
        <v>23490</v>
      </c>
      <c r="D6384" t="str">
        <f>HYPERLINK("https://rhld.insurance.arkansas.gov/NPILookup?Npi=1700403946","1700403946")</f>
        <v>1700403946</v>
      </c>
      <c r="E6384" t="s">
        <v>17465</v>
      </c>
    </row>
    <row r="6385" spans="1:5" x14ac:dyDescent="0.25">
      <c r="A6385" t="s">
        <v>1</v>
      </c>
      <c r="B6385" t="s">
        <v>19</v>
      </c>
      <c r="C6385" t="s">
        <v>23490</v>
      </c>
      <c r="D6385" t="str">
        <f>HYPERLINK("https://rhld.insurance.arkansas.gov/NPILookup?Npi=1700409182","1700409182")</f>
        <v>1700409182</v>
      </c>
      <c r="E6385" t="s">
        <v>18087</v>
      </c>
    </row>
    <row r="6386" spans="1:5" x14ac:dyDescent="0.25">
      <c r="A6386" t="s">
        <v>1</v>
      </c>
      <c r="B6386" t="s">
        <v>19</v>
      </c>
      <c r="C6386" t="s">
        <v>23490</v>
      </c>
      <c r="D6386" t="str">
        <f>HYPERLINK("https://rhld.insurance.arkansas.gov/NPILookup?Npi=1700411311","1700411311")</f>
        <v>1700411311</v>
      </c>
      <c r="E6386" t="s">
        <v>17466</v>
      </c>
    </row>
    <row r="6387" spans="1:5" x14ac:dyDescent="0.25">
      <c r="A6387" t="s">
        <v>1</v>
      </c>
      <c r="B6387" t="s">
        <v>19</v>
      </c>
      <c r="C6387" t="s">
        <v>23490</v>
      </c>
      <c r="D6387" t="str">
        <f>HYPERLINK("https://rhld.insurance.arkansas.gov/NPILookup?Npi=1700414703","1700414703")</f>
        <v>1700414703</v>
      </c>
      <c r="E6387" t="s">
        <v>17011</v>
      </c>
    </row>
    <row r="6388" spans="1:5" x14ac:dyDescent="0.25">
      <c r="A6388" t="s">
        <v>1</v>
      </c>
      <c r="B6388" t="s">
        <v>19</v>
      </c>
      <c r="C6388" t="s">
        <v>23490</v>
      </c>
      <c r="D6388" t="str">
        <f>HYPERLINK("https://rhld.insurance.arkansas.gov/NPILookup?Npi=1700420338","1700420338")</f>
        <v>1700420338</v>
      </c>
      <c r="E6388" t="s">
        <v>18841</v>
      </c>
    </row>
    <row r="6389" spans="1:5" x14ac:dyDescent="0.25">
      <c r="A6389" t="s">
        <v>1</v>
      </c>
      <c r="B6389" t="s">
        <v>19</v>
      </c>
      <c r="C6389" t="s">
        <v>23490</v>
      </c>
      <c r="D6389" t="str">
        <f>HYPERLINK("https://rhld.insurance.arkansas.gov/NPILookup?Npi=1700431723","1700431723")</f>
        <v>1700431723</v>
      </c>
      <c r="E6389" t="s">
        <v>17012</v>
      </c>
    </row>
    <row r="6390" spans="1:5" x14ac:dyDescent="0.25">
      <c r="A6390" t="s">
        <v>1</v>
      </c>
      <c r="B6390" t="s">
        <v>19</v>
      </c>
      <c r="C6390" t="s">
        <v>23490</v>
      </c>
      <c r="D6390" t="str">
        <f>HYPERLINK("https://rhld.insurance.arkansas.gov/NPILookup?Npi=1700431905","1700431905")</f>
        <v>1700431905</v>
      </c>
      <c r="E6390" t="s">
        <v>21015</v>
      </c>
    </row>
    <row r="6391" spans="1:5" x14ac:dyDescent="0.25">
      <c r="A6391" t="s">
        <v>1</v>
      </c>
      <c r="B6391" t="s">
        <v>19</v>
      </c>
      <c r="C6391" t="s">
        <v>23490</v>
      </c>
      <c r="D6391" t="str">
        <f>HYPERLINK("https://rhld.insurance.arkansas.gov/NPILookup?Npi=1700459591","1700459591")</f>
        <v>1700459591</v>
      </c>
      <c r="E6391" t="s">
        <v>18842</v>
      </c>
    </row>
    <row r="6392" spans="1:5" x14ac:dyDescent="0.25">
      <c r="A6392" t="s">
        <v>1</v>
      </c>
      <c r="B6392" t="s">
        <v>19</v>
      </c>
      <c r="C6392" t="s">
        <v>23490</v>
      </c>
      <c r="D6392" t="str">
        <f>HYPERLINK("https://rhld.insurance.arkansas.gov/NPILookup?Npi=1700482171","1700482171")</f>
        <v>1700482171</v>
      </c>
      <c r="E6392" t="s">
        <v>16343</v>
      </c>
    </row>
    <row r="6393" spans="1:5" x14ac:dyDescent="0.25">
      <c r="A6393" t="s">
        <v>1</v>
      </c>
      <c r="B6393" t="s">
        <v>19</v>
      </c>
      <c r="C6393" t="s">
        <v>23490</v>
      </c>
      <c r="D6393" t="str">
        <f>HYPERLINK("https://rhld.insurance.arkansas.gov/NPILookup?Npi=1700491040","1700491040")</f>
        <v>1700491040</v>
      </c>
      <c r="E6393" t="s">
        <v>18088</v>
      </c>
    </row>
    <row r="6394" spans="1:5" x14ac:dyDescent="0.25">
      <c r="A6394" t="s">
        <v>1</v>
      </c>
      <c r="B6394" t="s">
        <v>19</v>
      </c>
      <c r="C6394" t="s">
        <v>23490</v>
      </c>
      <c r="D6394" t="str">
        <f>HYPERLINK("https://rhld.insurance.arkansas.gov/NPILookup?Npi=1700498110","1700498110")</f>
        <v>1700498110</v>
      </c>
      <c r="E6394" t="s">
        <v>10882</v>
      </c>
    </row>
    <row r="6395" spans="1:5" x14ac:dyDescent="0.25">
      <c r="A6395" t="s">
        <v>1</v>
      </c>
      <c r="B6395" t="s">
        <v>19</v>
      </c>
      <c r="C6395" t="s">
        <v>23490</v>
      </c>
      <c r="D6395" t="str">
        <f>HYPERLINK("https://rhld.insurance.arkansas.gov/NPILookup?Npi=1700499506","1700499506")</f>
        <v>1700499506</v>
      </c>
      <c r="E6395" t="s">
        <v>18089</v>
      </c>
    </row>
    <row r="6396" spans="1:5" x14ac:dyDescent="0.25">
      <c r="A6396" t="s">
        <v>1</v>
      </c>
      <c r="B6396" t="s">
        <v>19</v>
      </c>
      <c r="C6396" t="s">
        <v>23490</v>
      </c>
      <c r="D6396" t="str">
        <f>HYPERLINK("https://rhld.insurance.arkansas.gov/NPILookup?Npi=1700534443","1700534443")</f>
        <v>1700534443</v>
      </c>
      <c r="E6396" t="s">
        <v>21016</v>
      </c>
    </row>
    <row r="6397" spans="1:5" x14ac:dyDescent="0.25">
      <c r="A6397" t="s">
        <v>1</v>
      </c>
      <c r="B6397" t="s">
        <v>19</v>
      </c>
      <c r="C6397" t="s">
        <v>23490</v>
      </c>
      <c r="D6397" t="str">
        <f>HYPERLINK("https://rhld.insurance.arkansas.gov/NPILookup?Npi=1700540317","1700540317")</f>
        <v>1700540317</v>
      </c>
      <c r="E6397" t="s">
        <v>19954</v>
      </c>
    </row>
    <row r="6398" spans="1:5" x14ac:dyDescent="0.25">
      <c r="A6398" t="s">
        <v>1</v>
      </c>
      <c r="B6398" t="s">
        <v>19</v>
      </c>
      <c r="C6398" t="s">
        <v>23490</v>
      </c>
      <c r="D6398" t="str">
        <f>HYPERLINK("https://rhld.insurance.arkansas.gov/NPILookup?Npi=1700545969","1700545969")</f>
        <v>1700545969</v>
      </c>
      <c r="E6398" t="s">
        <v>19955</v>
      </c>
    </row>
    <row r="6399" spans="1:5" x14ac:dyDescent="0.25">
      <c r="A6399" t="s">
        <v>1</v>
      </c>
      <c r="B6399" t="s">
        <v>19</v>
      </c>
      <c r="C6399" t="s">
        <v>23490</v>
      </c>
      <c r="D6399" t="str">
        <f>HYPERLINK("https://rhld.insurance.arkansas.gov/NPILookup?Npi=1700805330","1700805330")</f>
        <v>1700805330</v>
      </c>
      <c r="E6399" t="s">
        <v>2469</v>
      </c>
    </row>
    <row r="6400" spans="1:5" x14ac:dyDescent="0.25">
      <c r="A6400" t="s">
        <v>1</v>
      </c>
      <c r="B6400" t="s">
        <v>19</v>
      </c>
      <c r="C6400" t="s">
        <v>23490</v>
      </c>
      <c r="D6400" t="str">
        <f>HYPERLINK("https://rhld.insurance.arkansas.gov/NPILookup?Npi=1700811478","1700811478")</f>
        <v>1700811478</v>
      </c>
      <c r="E6400" t="s">
        <v>2470</v>
      </c>
    </row>
    <row r="6401" spans="1:5" x14ac:dyDescent="0.25">
      <c r="A6401" t="s">
        <v>1</v>
      </c>
      <c r="B6401" t="s">
        <v>19</v>
      </c>
      <c r="C6401" t="s">
        <v>23490</v>
      </c>
      <c r="D6401" t="str">
        <f>HYPERLINK("https://rhld.insurance.arkansas.gov/NPILookup?Npi=1700813151","1700813151")</f>
        <v>1700813151</v>
      </c>
      <c r="E6401" t="s">
        <v>15446</v>
      </c>
    </row>
    <row r="6402" spans="1:5" x14ac:dyDescent="0.25">
      <c r="A6402" t="s">
        <v>1</v>
      </c>
      <c r="B6402" t="s">
        <v>19</v>
      </c>
      <c r="C6402" t="s">
        <v>23490</v>
      </c>
      <c r="D6402" t="str">
        <f>HYPERLINK("https://rhld.insurance.arkansas.gov/NPILookup?Npi=1700813607","1700813607")</f>
        <v>1700813607</v>
      </c>
      <c r="E6402" t="s">
        <v>15447</v>
      </c>
    </row>
    <row r="6403" spans="1:5" x14ac:dyDescent="0.25">
      <c r="A6403" t="s">
        <v>1</v>
      </c>
      <c r="B6403" t="s">
        <v>19</v>
      </c>
      <c r="C6403" t="s">
        <v>23490</v>
      </c>
      <c r="D6403" t="str">
        <f>HYPERLINK("https://rhld.insurance.arkansas.gov/NPILookup?Npi=1700821824","1700821824")</f>
        <v>1700821824</v>
      </c>
      <c r="E6403" t="s">
        <v>15448</v>
      </c>
    </row>
    <row r="6404" spans="1:5" x14ac:dyDescent="0.25">
      <c r="A6404" t="s">
        <v>1</v>
      </c>
      <c r="B6404" t="s">
        <v>19</v>
      </c>
      <c r="C6404" t="s">
        <v>23490</v>
      </c>
      <c r="D6404" t="str">
        <f>HYPERLINK("https://rhld.insurance.arkansas.gov/NPILookup?Npi=1700822368","1700822368")</f>
        <v>1700822368</v>
      </c>
      <c r="E6404" t="s">
        <v>2471</v>
      </c>
    </row>
    <row r="6405" spans="1:5" x14ac:dyDescent="0.25">
      <c r="A6405" t="s">
        <v>1</v>
      </c>
      <c r="B6405" t="s">
        <v>19</v>
      </c>
      <c r="C6405" t="s">
        <v>23490</v>
      </c>
      <c r="D6405" t="str">
        <f>HYPERLINK("https://rhld.insurance.arkansas.gov/NPILookup?Npi=1700824307","1700824307")</f>
        <v>1700824307</v>
      </c>
      <c r="E6405" t="s">
        <v>2472</v>
      </c>
    </row>
    <row r="6406" spans="1:5" x14ac:dyDescent="0.25">
      <c r="A6406" t="s">
        <v>1</v>
      </c>
      <c r="B6406" t="s">
        <v>19</v>
      </c>
      <c r="C6406" t="s">
        <v>23490</v>
      </c>
      <c r="D6406" t="str">
        <f>HYPERLINK("https://rhld.insurance.arkansas.gov/NPILookup?Npi=1700826153","1700826153")</f>
        <v>1700826153</v>
      </c>
      <c r="E6406" t="s">
        <v>22898</v>
      </c>
    </row>
    <row r="6407" spans="1:5" x14ac:dyDescent="0.25">
      <c r="A6407" t="s">
        <v>1</v>
      </c>
      <c r="B6407" t="s">
        <v>19</v>
      </c>
      <c r="C6407" t="s">
        <v>23490</v>
      </c>
      <c r="D6407" t="str">
        <f>HYPERLINK("https://rhld.insurance.arkansas.gov/NPILookup?Npi=1700835139","1700835139")</f>
        <v>1700835139</v>
      </c>
      <c r="E6407" t="s">
        <v>2473</v>
      </c>
    </row>
    <row r="6408" spans="1:5" x14ac:dyDescent="0.25">
      <c r="A6408" t="s">
        <v>1</v>
      </c>
      <c r="B6408" t="s">
        <v>19</v>
      </c>
      <c r="C6408" t="s">
        <v>23490</v>
      </c>
      <c r="D6408" t="str">
        <f>HYPERLINK("https://rhld.insurance.arkansas.gov/NPILookup?Npi=1700835469","1700835469")</f>
        <v>1700835469</v>
      </c>
      <c r="E6408" t="s">
        <v>15449</v>
      </c>
    </row>
    <row r="6409" spans="1:5" x14ac:dyDescent="0.25">
      <c r="A6409" t="s">
        <v>1</v>
      </c>
      <c r="B6409" t="s">
        <v>19</v>
      </c>
      <c r="C6409" t="s">
        <v>23490</v>
      </c>
      <c r="D6409" t="str">
        <f>HYPERLINK("https://rhld.insurance.arkansas.gov/NPILookup?Npi=1700842218","1700842218")</f>
        <v>1700842218</v>
      </c>
      <c r="E6409" t="s">
        <v>2474</v>
      </c>
    </row>
    <row r="6410" spans="1:5" x14ac:dyDescent="0.25">
      <c r="A6410" t="s">
        <v>1</v>
      </c>
      <c r="B6410" t="s">
        <v>19</v>
      </c>
      <c r="C6410" t="s">
        <v>23490</v>
      </c>
      <c r="D6410" t="str">
        <f>HYPERLINK("https://rhld.insurance.arkansas.gov/NPILookup?Npi=1700843679","1700843679")</f>
        <v>1700843679</v>
      </c>
      <c r="E6410" t="s">
        <v>2475</v>
      </c>
    </row>
    <row r="6411" spans="1:5" x14ac:dyDescent="0.25">
      <c r="A6411" t="s">
        <v>1</v>
      </c>
      <c r="B6411" t="s">
        <v>19</v>
      </c>
      <c r="C6411" t="s">
        <v>23490</v>
      </c>
      <c r="D6411" t="str">
        <f>HYPERLINK("https://rhld.insurance.arkansas.gov/NPILookup?Npi=1700845740","1700845740")</f>
        <v>1700845740</v>
      </c>
      <c r="E6411" t="s">
        <v>2476</v>
      </c>
    </row>
    <row r="6412" spans="1:5" x14ac:dyDescent="0.25">
      <c r="A6412" t="s">
        <v>1</v>
      </c>
      <c r="B6412" t="s">
        <v>19</v>
      </c>
      <c r="C6412" t="s">
        <v>23490</v>
      </c>
      <c r="D6412" t="str">
        <f>HYPERLINK("https://rhld.insurance.arkansas.gov/NPILookup?Npi=1700845971","1700845971")</f>
        <v>1700845971</v>
      </c>
      <c r="E6412" t="s">
        <v>19956</v>
      </c>
    </row>
    <row r="6413" spans="1:5" x14ac:dyDescent="0.25">
      <c r="A6413" t="s">
        <v>1</v>
      </c>
      <c r="B6413" t="s">
        <v>19</v>
      </c>
      <c r="C6413" t="s">
        <v>23490</v>
      </c>
      <c r="D6413" t="str">
        <f>HYPERLINK("https://rhld.insurance.arkansas.gov/NPILookup?Npi=1700846870","1700846870")</f>
        <v>1700846870</v>
      </c>
      <c r="E6413" t="s">
        <v>2477</v>
      </c>
    </row>
    <row r="6414" spans="1:5" x14ac:dyDescent="0.25">
      <c r="A6414" t="s">
        <v>1</v>
      </c>
      <c r="B6414" t="s">
        <v>19</v>
      </c>
      <c r="C6414" t="s">
        <v>23490</v>
      </c>
      <c r="D6414" t="str">
        <f>HYPERLINK("https://rhld.insurance.arkansas.gov/NPILookup?Npi=1700849684","1700849684")</f>
        <v>1700849684</v>
      </c>
      <c r="E6414" t="s">
        <v>2478</v>
      </c>
    </row>
    <row r="6415" spans="1:5" x14ac:dyDescent="0.25">
      <c r="A6415" t="s">
        <v>1</v>
      </c>
      <c r="B6415" t="s">
        <v>19</v>
      </c>
      <c r="C6415" t="s">
        <v>23490</v>
      </c>
      <c r="D6415" t="str">
        <f>HYPERLINK("https://rhld.insurance.arkansas.gov/NPILookup?Npi=1700863891","1700863891")</f>
        <v>1700863891</v>
      </c>
      <c r="E6415" t="s">
        <v>2479</v>
      </c>
    </row>
    <row r="6416" spans="1:5" x14ac:dyDescent="0.25">
      <c r="A6416" t="s">
        <v>1</v>
      </c>
      <c r="B6416" t="s">
        <v>19</v>
      </c>
      <c r="C6416" t="s">
        <v>23490</v>
      </c>
      <c r="D6416" t="str">
        <f>HYPERLINK("https://rhld.insurance.arkansas.gov/NPILookup?Npi=1700871324","1700871324")</f>
        <v>1700871324</v>
      </c>
      <c r="E6416" t="s">
        <v>2480</v>
      </c>
    </row>
    <row r="6417" spans="1:5" x14ac:dyDescent="0.25">
      <c r="A6417" t="s">
        <v>1</v>
      </c>
      <c r="B6417" t="s">
        <v>19</v>
      </c>
      <c r="C6417" t="s">
        <v>23490</v>
      </c>
      <c r="D6417" t="str">
        <f>HYPERLINK("https://rhld.insurance.arkansas.gov/NPILookup?Npi=1700878634","1700878634")</f>
        <v>1700878634</v>
      </c>
      <c r="E6417" t="s">
        <v>2481</v>
      </c>
    </row>
    <row r="6418" spans="1:5" x14ac:dyDescent="0.25">
      <c r="A6418" t="s">
        <v>1</v>
      </c>
      <c r="B6418" t="s">
        <v>19</v>
      </c>
      <c r="C6418" t="s">
        <v>23490</v>
      </c>
      <c r="D6418" t="str">
        <f>HYPERLINK("https://rhld.insurance.arkansas.gov/NPILookup?Npi=1700879970","1700879970")</f>
        <v>1700879970</v>
      </c>
      <c r="E6418" t="s">
        <v>2482</v>
      </c>
    </row>
    <row r="6419" spans="1:5" x14ac:dyDescent="0.25">
      <c r="A6419" t="s">
        <v>1</v>
      </c>
      <c r="B6419" t="s">
        <v>19</v>
      </c>
      <c r="C6419" t="s">
        <v>23490</v>
      </c>
      <c r="D6419" t="str">
        <f>HYPERLINK("https://rhld.insurance.arkansas.gov/NPILookup?Npi=1700881299","1700881299")</f>
        <v>1700881299</v>
      </c>
      <c r="E6419" t="s">
        <v>2483</v>
      </c>
    </row>
    <row r="6420" spans="1:5" x14ac:dyDescent="0.25">
      <c r="A6420" t="s">
        <v>1</v>
      </c>
      <c r="B6420" t="s">
        <v>19</v>
      </c>
      <c r="C6420" t="s">
        <v>23490</v>
      </c>
      <c r="D6420" t="str">
        <f>HYPERLINK("https://rhld.insurance.arkansas.gov/NPILookup?Npi=1700883402","1700883402")</f>
        <v>1700883402</v>
      </c>
      <c r="E6420" t="s">
        <v>123</v>
      </c>
    </row>
    <row r="6421" spans="1:5" x14ac:dyDescent="0.25">
      <c r="A6421" t="s">
        <v>1</v>
      </c>
      <c r="B6421" t="s">
        <v>19</v>
      </c>
      <c r="C6421" t="s">
        <v>23490</v>
      </c>
      <c r="D6421" t="str">
        <f>HYPERLINK("https://rhld.insurance.arkansas.gov/NPILookup?Npi=1700889649","1700889649")</f>
        <v>1700889649</v>
      </c>
      <c r="E6421" t="s">
        <v>2484</v>
      </c>
    </row>
    <row r="6422" spans="1:5" x14ac:dyDescent="0.25">
      <c r="A6422" t="s">
        <v>1</v>
      </c>
      <c r="B6422" t="s">
        <v>19</v>
      </c>
      <c r="C6422" t="s">
        <v>23490</v>
      </c>
      <c r="D6422" t="str">
        <f>HYPERLINK("https://rhld.insurance.arkansas.gov/NPILookup?Npi=1700892734","1700892734")</f>
        <v>1700892734</v>
      </c>
      <c r="E6422" t="s">
        <v>2485</v>
      </c>
    </row>
    <row r="6423" spans="1:5" x14ac:dyDescent="0.25">
      <c r="A6423" t="s">
        <v>1</v>
      </c>
      <c r="B6423" t="s">
        <v>19</v>
      </c>
      <c r="C6423" t="s">
        <v>23490</v>
      </c>
      <c r="D6423" t="str">
        <f>HYPERLINK("https://rhld.insurance.arkansas.gov/NPILookup?Npi=1700893690","1700893690")</f>
        <v>1700893690</v>
      </c>
      <c r="E6423" t="s">
        <v>15450</v>
      </c>
    </row>
    <row r="6424" spans="1:5" x14ac:dyDescent="0.25">
      <c r="A6424" t="s">
        <v>1</v>
      </c>
      <c r="B6424" t="s">
        <v>19</v>
      </c>
      <c r="C6424" t="s">
        <v>23490</v>
      </c>
      <c r="D6424" t="str">
        <f>HYPERLINK("https://rhld.insurance.arkansas.gov/NPILookup?Npi=1700897600","1700897600")</f>
        <v>1700897600</v>
      </c>
      <c r="E6424" t="s">
        <v>2486</v>
      </c>
    </row>
    <row r="6425" spans="1:5" x14ac:dyDescent="0.25">
      <c r="A6425" t="s">
        <v>1</v>
      </c>
      <c r="B6425" t="s">
        <v>19</v>
      </c>
      <c r="C6425" t="s">
        <v>23490</v>
      </c>
      <c r="D6425" t="str">
        <f>HYPERLINK("https://rhld.insurance.arkansas.gov/NPILookup?Npi=1700897774","1700897774")</f>
        <v>1700897774</v>
      </c>
      <c r="E6425" t="s">
        <v>2487</v>
      </c>
    </row>
    <row r="6426" spans="1:5" x14ac:dyDescent="0.25">
      <c r="A6426" t="s">
        <v>1</v>
      </c>
      <c r="B6426" t="s">
        <v>19</v>
      </c>
      <c r="C6426" t="s">
        <v>23490</v>
      </c>
      <c r="D6426" t="str">
        <f>HYPERLINK("https://rhld.insurance.arkansas.gov/NPILookup?Npi=1700906286","1700906286")</f>
        <v>1700906286</v>
      </c>
      <c r="E6426" t="s">
        <v>18843</v>
      </c>
    </row>
    <row r="6427" spans="1:5" x14ac:dyDescent="0.25">
      <c r="A6427" t="s">
        <v>1</v>
      </c>
      <c r="B6427" t="s">
        <v>19</v>
      </c>
      <c r="C6427" t="s">
        <v>23490</v>
      </c>
      <c r="D6427" t="str">
        <f>HYPERLINK("https://rhld.insurance.arkansas.gov/NPILookup?Npi=1700935459","1700935459")</f>
        <v>1700935459</v>
      </c>
      <c r="E6427" t="s">
        <v>15451</v>
      </c>
    </row>
    <row r="6428" spans="1:5" x14ac:dyDescent="0.25">
      <c r="A6428" t="s">
        <v>1</v>
      </c>
      <c r="B6428" t="s">
        <v>19</v>
      </c>
      <c r="C6428" t="s">
        <v>23490</v>
      </c>
      <c r="D6428" t="str">
        <f>HYPERLINK("https://rhld.insurance.arkansas.gov/NPILookup?Npi=1700966033","1700966033")</f>
        <v>1700966033</v>
      </c>
      <c r="E6428" t="s">
        <v>18844</v>
      </c>
    </row>
    <row r="6429" spans="1:5" x14ac:dyDescent="0.25">
      <c r="A6429" t="s">
        <v>1</v>
      </c>
      <c r="B6429" t="s">
        <v>19</v>
      </c>
      <c r="C6429" t="s">
        <v>23490</v>
      </c>
      <c r="D6429" t="str">
        <f>HYPERLINK("https://rhld.insurance.arkansas.gov/NPILookup?Npi=1700973856","1700973856")</f>
        <v>1700973856</v>
      </c>
      <c r="E6429" t="s">
        <v>2488</v>
      </c>
    </row>
    <row r="6430" spans="1:5" x14ac:dyDescent="0.25">
      <c r="A6430" t="s">
        <v>1</v>
      </c>
      <c r="B6430" t="s">
        <v>19</v>
      </c>
      <c r="C6430" t="s">
        <v>23490</v>
      </c>
      <c r="D6430" t="str">
        <f>HYPERLINK("https://rhld.insurance.arkansas.gov/NPILookup?Npi=1700987773","1700987773")</f>
        <v>1700987773</v>
      </c>
      <c r="E6430" t="s">
        <v>11190</v>
      </c>
    </row>
    <row r="6431" spans="1:5" x14ac:dyDescent="0.25">
      <c r="A6431" t="s">
        <v>1</v>
      </c>
      <c r="B6431" t="s">
        <v>19</v>
      </c>
      <c r="C6431" t="s">
        <v>23490</v>
      </c>
      <c r="D6431" t="str">
        <f>HYPERLINK("https://rhld.insurance.arkansas.gov/NPILookup?Npi=1700987815","1700987815")</f>
        <v>1700987815</v>
      </c>
      <c r="E6431" t="s">
        <v>2489</v>
      </c>
    </row>
    <row r="6432" spans="1:5" x14ac:dyDescent="0.25">
      <c r="A6432" t="s">
        <v>1</v>
      </c>
      <c r="B6432" t="s">
        <v>19</v>
      </c>
      <c r="C6432" t="s">
        <v>23490</v>
      </c>
      <c r="D6432" t="str">
        <f>HYPERLINK("https://rhld.insurance.arkansas.gov/NPILookup?Npi=1700997160","1700997160")</f>
        <v>1700997160</v>
      </c>
      <c r="E6432" t="s">
        <v>2490</v>
      </c>
    </row>
    <row r="6433" spans="1:5" x14ac:dyDescent="0.25">
      <c r="A6433" t="s">
        <v>1</v>
      </c>
      <c r="B6433" t="s">
        <v>19</v>
      </c>
      <c r="C6433" t="s">
        <v>23490</v>
      </c>
      <c r="D6433" t="str">
        <f>HYPERLINK("https://rhld.insurance.arkansas.gov/NPILookup?Npi=1710060280","1710060280")</f>
        <v>1710060280</v>
      </c>
      <c r="E6433" t="s">
        <v>2492</v>
      </c>
    </row>
    <row r="6434" spans="1:5" x14ac:dyDescent="0.25">
      <c r="A6434" t="s">
        <v>1</v>
      </c>
      <c r="B6434" t="s">
        <v>19</v>
      </c>
      <c r="C6434" t="s">
        <v>23490</v>
      </c>
      <c r="D6434" t="str">
        <f>HYPERLINK("https://rhld.insurance.arkansas.gov/NPILookup?Npi=1710063078","1710063078")</f>
        <v>1710063078</v>
      </c>
      <c r="E6434" t="s">
        <v>15452</v>
      </c>
    </row>
    <row r="6435" spans="1:5" x14ac:dyDescent="0.25">
      <c r="A6435" t="s">
        <v>1</v>
      </c>
      <c r="B6435" t="s">
        <v>19</v>
      </c>
      <c r="C6435" t="s">
        <v>23490</v>
      </c>
      <c r="D6435" t="str">
        <f>HYPERLINK("https://rhld.insurance.arkansas.gov/NPILookup?Npi=1710080163","1710080163")</f>
        <v>1710080163</v>
      </c>
      <c r="E6435" t="s">
        <v>19957</v>
      </c>
    </row>
    <row r="6436" spans="1:5" x14ac:dyDescent="0.25">
      <c r="A6436" t="s">
        <v>1</v>
      </c>
      <c r="B6436" t="s">
        <v>19</v>
      </c>
      <c r="C6436" t="s">
        <v>23490</v>
      </c>
      <c r="D6436" t="str">
        <f>HYPERLINK("https://rhld.insurance.arkansas.gov/NPILookup?Npi=1710091988","1710091988")</f>
        <v>1710091988</v>
      </c>
      <c r="E6436" t="s">
        <v>2493</v>
      </c>
    </row>
    <row r="6437" spans="1:5" x14ac:dyDescent="0.25">
      <c r="A6437" t="s">
        <v>1</v>
      </c>
      <c r="B6437" t="s">
        <v>19</v>
      </c>
      <c r="C6437" t="s">
        <v>23490</v>
      </c>
      <c r="D6437" t="str">
        <f>HYPERLINK("https://rhld.insurance.arkansas.gov/NPILookup?Npi=1710110051","1710110051")</f>
        <v>1710110051</v>
      </c>
      <c r="E6437" t="s">
        <v>21633</v>
      </c>
    </row>
    <row r="6438" spans="1:5" x14ac:dyDescent="0.25">
      <c r="A6438" t="s">
        <v>1</v>
      </c>
      <c r="B6438" t="s">
        <v>19</v>
      </c>
      <c r="C6438" t="s">
        <v>23490</v>
      </c>
      <c r="D6438" t="str">
        <f>HYPERLINK("https://rhld.insurance.arkansas.gov/NPILookup?Npi=1710113535","1710113535")</f>
        <v>1710113535</v>
      </c>
      <c r="E6438" t="s">
        <v>2495</v>
      </c>
    </row>
    <row r="6439" spans="1:5" x14ac:dyDescent="0.25">
      <c r="A6439" t="s">
        <v>1</v>
      </c>
      <c r="B6439" t="s">
        <v>19</v>
      </c>
      <c r="C6439" t="s">
        <v>23490</v>
      </c>
      <c r="D6439" t="str">
        <f>HYPERLINK("https://rhld.insurance.arkansas.gov/NPILookup?Npi=1710116801","1710116801")</f>
        <v>1710116801</v>
      </c>
      <c r="E6439" t="s">
        <v>19958</v>
      </c>
    </row>
    <row r="6440" spans="1:5" x14ac:dyDescent="0.25">
      <c r="A6440" t="s">
        <v>1</v>
      </c>
      <c r="B6440" t="s">
        <v>19</v>
      </c>
      <c r="C6440" t="s">
        <v>23490</v>
      </c>
      <c r="D6440" t="str">
        <f>HYPERLINK("https://rhld.insurance.arkansas.gov/NPILookup?Npi=1710118278","1710118278")</f>
        <v>1710118278</v>
      </c>
      <c r="E6440" t="s">
        <v>13665</v>
      </c>
    </row>
    <row r="6441" spans="1:5" x14ac:dyDescent="0.25">
      <c r="A6441" t="s">
        <v>1</v>
      </c>
      <c r="B6441" t="s">
        <v>19</v>
      </c>
      <c r="C6441" t="s">
        <v>23490</v>
      </c>
      <c r="D6441" t="str">
        <f>HYPERLINK("https://rhld.insurance.arkansas.gov/NPILookup?Npi=1710152640","1710152640")</f>
        <v>1710152640</v>
      </c>
      <c r="E6441" t="s">
        <v>2497</v>
      </c>
    </row>
    <row r="6442" spans="1:5" x14ac:dyDescent="0.25">
      <c r="A6442" t="s">
        <v>1</v>
      </c>
      <c r="B6442" t="s">
        <v>19</v>
      </c>
      <c r="C6442" t="s">
        <v>23490</v>
      </c>
      <c r="D6442" t="str">
        <f>HYPERLINK("https://rhld.insurance.arkansas.gov/NPILookup?Npi=1710159694","1710159694")</f>
        <v>1710159694</v>
      </c>
      <c r="E6442" t="s">
        <v>11191</v>
      </c>
    </row>
    <row r="6443" spans="1:5" x14ac:dyDescent="0.25">
      <c r="A6443" t="s">
        <v>1</v>
      </c>
      <c r="B6443" t="s">
        <v>19</v>
      </c>
      <c r="C6443" t="s">
        <v>23490</v>
      </c>
      <c r="D6443" t="str">
        <f>HYPERLINK("https://rhld.insurance.arkansas.gov/NPILookup?Npi=1710176961","1710176961")</f>
        <v>1710176961</v>
      </c>
      <c r="E6443" t="s">
        <v>15453</v>
      </c>
    </row>
    <row r="6444" spans="1:5" x14ac:dyDescent="0.25">
      <c r="A6444" t="s">
        <v>1</v>
      </c>
      <c r="B6444" t="s">
        <v>19</v>
      </c>
      <c r="C6444" t="s">
        <v>23490</v>
      </c>
      <c r="D6444" t="str">
        <f>HYPERLINK("https://rhld.insurance.arkansas.gov/NPILookup?Npi=1710181078","1710181078")</f>
        <v>1710181078</v>
      </c>
      <c r="E6444" t="s">
        <v>15454</v>
      </c>
    </row>
    <row r="6445" spans="1:5" x14ac:dyDescent="0.25">
      <c r="A6445" t="s">
        <v>1</v>
      </c>
      <c r="B6445" t="s">
        <v>19</v>
      </c>
      <c r="C6445" t="s">
        <v>23490</v>
      </c>
      <c r="D6445" t="str">
        <f>HYPERLINK("https://rhld.insurance.arkansas.gov/NPILookup?Npi=1710203955","1710203955")</f>
        <v>1710203955</v>
      </c>
      <c r="E6445" t="s">
        <v>15455</v>
      </c>
    </row>
    <row r="6446" spans="1:5" x14ac:dyDescent="0.25">
      <c r="A6446" t="s">
        <v>1</v>
      </c>
      <c r="B6446" t="s">
        <v>19</v>
      </c>
      <c r="C6446" t="s">
        <v>23490</v>
      </c>
      <c r="D6446" t="str">
        <f>HYPERLINK("https://rhld.insurance.arkansas.gov/NPILookup?Npi=1710206313","1710206313")</f>
        <v>1710206313</v>
      </c>
      <c r="E6446" t="s">
        <v>8812</v>
      </c>
    </row>
    <row r="6447" spans="1:5" x14ac:dyDescent="0.25">
      <c r="A6447" t="s">
        <v>1</v>
      </c>
      <c r="B6447" t="s">
        <v>19</v>
      </c>
      <c r="C6447" t="s">
        <v>23490</v>
      </c>
      <c r="D6447" t="str">
        <f>HYPERLINK("https://rhld.insurance.arkansas.gov/NPILookup?Npi=1710207808","1710207808")</f>
        <v>1710207808</v>
      </c>
      <c r="E6447" t="s">
        <v>2498</v>
      </c>
    </row>
    <row r="6448" spans="1:5" x14ac:dyDescent="0.25">
      <c r="A6448" t="s">
        <v>1</v>
      </c>
      <c r="B6448" t="s">
        <v>19</v>
      </c>
      <c r="C6448" t="s">
        <v>23490</v>
      </c>
      <c r="D6448" t="str">
        <f>HYPERLINK("https://rhld.insurance.arkansas.gov/NPILookup?Npi=1710220959","1710220959")</f>
        <v>1710220959</v>
      </c>
      <c r="E6448" t="s">
        <v>11192</v>
      </c>
    </row>
    <row r="6449" spans="1:5" x14ac:dyDescent="0.25">
      <c r="A6449" t="s">
        <v>1</v>
      </c>
      <c r="B6449" t="s">
        <v>19</v>
      </c>
      <c r="C6449" t="s">
        <v>23490</v>
      </c>
      <c r="D6449" t="str">
        <f>HYPERLINK("https://rhld.insurance.arkansas.gov/NPILookup?Npi=1710229059","1710229059")</f>
        <v>1710229059</v>
      </c>
      <c r="E6449" t="s">
        <v>8813</v>
      </c>
    </row>
    <row r="6450" spans="1:5" x14ac:dyDescent="0.25">
      <c r="A6450" t="s">
        <v>1</v>
      </c>
      <c r="B6450" t="s">
        <v>19</v>
      </c>
      <c r="C6450" t="s">
        <v>23490</v>
      </c>
      <c r="D6450" t="str">
        <f>HYPERLINK("https://rhld.insurance.arkansas.gov/NPILookup?Npi=1710240064","1710240064")</f>
        <v>1710240064</v>
      </c>
      <c r="E6450" t="s">
        <v>12888</v>
      </c>
    </row>
    <row r="6451" spans="1:5" x14ac:dyDescent="0.25">
      <c r="A6451" t="s">
        <v>1</v>
      </c>
      <c r="B6451" t="s">
        <v>19</v>
      </c>
      <c r="C6451" t="s">
        <v>23490</v>
      </c>
      <c r="D6451" t="str">
        <f>HYPERLINK("https://rhld.insurance.arkansas.gov/NPILookup?Npi=1710253208","1710253208")</f>
        <v>1710253208</v>
      </c>
      <c r="E6451" t="s">
        <v>2499</v>
      </c>
    </row>
    <row r="6452" spans="1:5" x14ac:dyDescent="0.25">
      <c r="A6452" t="s">
        <v>1</v>
      </c>
      <c r="B6452" t="s">
        <v>19</v>
      </c>
      <c r="C6452" t="s">
        <v>23490</v>
      </c>
      <c r="D6452" t="str">
        <f>HYPERLINK("https://rhld.insurance.arkansas.gov/NPILookup?Npi=1710253612","1710253612")</f>
        <v>1710253612</v>
      </c>
      <c r="E6452" t="s">
        <v>2500</v>
      </c>
    </row>
    <row r="6453" spans="1:5" x14ac:dyDescent="0.25">
      <c r="A6453" t="s">
        <v>1</v>
      </c>
      <c r="B6453" t="s">
        <v>19</v>
      </c>
      <c r="C6453" t="s">
        <v>23490</v>
      </c>
      <c r="D6453" t="str">
        <f>HYPERLINK("https://rhld.insurance.arkansas.gov/NPILookup?Npi=1710259049","1710259049")</f>
        <v>1710259049</v>
      </c>
      <c r="E6453" t="s">
        <v>2501</v>
      </c>
    </row>
    <row r="6454" spans="1:5" x14ac:dyDescent="0.25">
      <c r="A6454" t="s">
        <v>1</v>
      </c>
      <c r="B6454" t="s">
        <v>19</v>
      </c>
      <c r="C6454" t="s">
        <v>23490</v>
      </c>
      <c r="D6454" t="str">
        <f>HYPERLINK("https://rhld.insurance.arkansas.gov/NPILookup?Npi=1710267828","1710267828")</f>
        <v>1710267828</v>
      </c>
      <c r="E6454" t="s">
        <v>8814</v>
      </c>
    </row>
    <row r="6455" spans="1:5" x14ac:dyDescent="0.25">
      <c r="A6455" t="s">
        <v>1</v>
      </c>
      <c r="B6455" t="s">
        <v>19</v>
      </c>
      <c r="C6455" t="s">
        <v>23490</v>
      </c>
      <c r="D6455" t="str">
        <f>HYPERLINK("https://rhld.insurance.arkansas.gov/NPILookup?Npi=1710296363","1710296363")</f>
        <v>1710296363</v>
      </c>
      <c r="E6455" t="s">
        <v>2502</v>
      </c>
    </row>
    <row r="6456" spans="1:5" x14ac:dyDescent="0.25">
      <c r="A6456" t="s">
        <v>1</v>
      </c>
      <c r="B6456" t="s">
        <v>19</v>
      </c>
      <c r="C6456" t="s">
        <v>23490</v>
      </c>
      <c r="D6456" t="str">
        <f>HYPERLINK("https://rhld.insurance.arkansas.gov/NPILookup?Npi=1710303250","1710303250")</f>
        <v>1710303250</v>
      </c>
      <c r="E6456" t="s">
        <v>2503</v>
      </c>
    </row>
    <row r="6457" spans="1:5" x14ac:dyDescent="0.25">
      <c r="A6457" t="s">
        <v>1</v>
      </c>
      <c r="B6457" t="s">
        <v>19</v>
      </c>
      <c r="C6457" t="s">
        <v>23490</v>
      </c>
      <c r="D6457" t="str">
        <f>HYPERLINK("https://rhld.insurance.arkansas.gov/NPILookup?Npi=1710303631","1710303631")</f>
        <v>1710303631</v>
      </c>
      <c r="E6457" t="s">
        <v>2504</v>
      </c>
    </row>
    <row r="6458" spans="1:5" x14ac:dyDescent="0.25">
      <c r="A6458" t="s">
        <v>1</v>
      </c>
      <c r="B6458" t="s">
        <v>19</v>
      </c>
      <c r="C6458" t="s">
        <v>23490</v>
      </c>
      <c r="D6458" t="str">
        <f>HYPERLINK("https://rhld.insurance.arkansas.gov/NPILookup?Npi=1710306089","1710306089")</f>
        <v>1710306089</v>
      </c>
      <c r="E6458" t="s">
        <v>11193</v>
      </c>
    </row>
    <row r="6459" spans="1:5" x14ac:dyDescent="0.25">
      <c r="A6459" t="s">
        <v>1</v>
      </c>
      <c r="B6459" t="s">
        <v>19</v>
      </c>
      <c r="C6459" t="s">
        <v>23490</v>
      </c>
      <c r="D6459" t="str">
        <f>HYPERLINK("https://rhld.insurance.arkansas.gov/NPILookup?Npi=1710306139","1710306139")</f>
        <v>1710306139</v>
      </c>
      <c r="E6459" t="s">
        <v>19959</v>
      </c>
    </row>
    <row r="6460" spans="1:5" x14ac:dyDescent="0.25">
      <c r="A6460" t="s">
        <v>1</v>
      </c>
      <c r="B6460" t="s">
        <v>19</v>
      </c>
      <c r="C6460" t="s">
        <v>23490</v>
      </c>
      <c r="D6460" t="str">
        <f>HYPERLINK("https://rhld.insurance.arkansas.gov/NPILookup?Npi=1710307848","1710307848")</f>
        <v>1710307848</v>
      </c>
      <c r="E6460" t="s">
        <v>2505</v>
      </c>
    </row>
    <row r="6461" spans="1:5" x14ac:dyDescent="0.25">
      <c r="A6461" t="s">
        <v>1</v>
      </c>
      <c r="B6461" t="s">
        <v>19</v>
      </c>
      <c r="C6461" t="s">
        <v>23490</v>
      </c>
      <c r="D6461" t="str">
        <f>HYPERLINK("https://rhld.insurance.arkansas.gov/NPILookup?Npi=1710309877","1710309877")</f>
        <v>1710309877</v>
      </c>
      <c r="E6461" t="s">
        <v>2506</v>
      </c>
    </row>
    <row r="6462" spans="1:5" x14ac:dyDescent="0.25">
      <c r="A6462" t="s">
        <v>1</v>
      </c>
      <c r="B6462" t="s">
        <v>19</v>
      </c>
      <c r="C6462" t="s">
        <v>23490</v>
      </c>
      <c r="D6462" t="str">
        <f>HYPERLINK("https://rhld.insurance.arkansas.gov/NPILookup?Npi=1710328844","1710328844")</f>
        <v>1710328844</v>
      </c>
      <c r="E6462" t="s">
        <v>2507</v>
      </c>
    </row>
    <row r="6463" spans="1:5" x14ac:dyDescent="0.25">
      <c r="A6463" t="s">
        <v>1</v>
      </c>
      <c r="B6463" t="s">
        <v>19</v>
      </c>
      <c r="C6463" t="s">
        <v>23490</v>
      </c>
      <c r="D6463" t="str">
        <f>HYPERLINK("https://rhld.insurance.arkansas.gov/NPILookup?Npi=1710340088","1710340088")</f>
        <v>1710340088</v>
      </c>
      <c r="E6463" t="s">
        <v>15456</v>
      </c>
    </row>
    <row r="6464" spans="1:5" x14ac:dyDescent="0.25">
      <c r="A6464" t="s">
        <v>1</v>
      </c>
      <c r="B6464" t="s">
        <v>19</v>
      </c>
      <c r="C6464" t="s">
        <v>23490</v>
      </c>
      <c r="D6464" t="str">
        <f>HYPERLINK("https://rhld.insurance.arkansas.gov/NPILookup?Npi=1710344981","1710344981")</f>
        <v>1710344981</v>
      </c>
      <c r="E6464" t="s">
        <v>8815</v>
      </c>
    </row>
    <row r="6465" spans="1:5" x14ac:dyDescent="0.25">
      <c r="A6465" t="s">
        <v>1</v>
      </c>
      <c r="B6465" t="s">
        <v>19</v>
      </c>
      <c r="C6465" t="s">
        <v>23490</v>
      </c>
      <c r="D6465" t="str">
        <f>HYPERLINK("https://rhld.insurance.arkansas.gov/NPILookup?Npi=1710345442","1710345442")</f>
        <v>1710345442</v>
      </c>
      <c r="E6465" t="s">
        <v>8816</v>
      </c>
    </row>
    <row r="6466" spans="1:5" x14ac:dyDescent="0.25">
      <c r="A6466" t="s">
        <v>1</v>
      </c>
      <c r="B6466" t="s">
        <v>19</v>
      </c>
      <c r="C6466" t="s">
        <v>23490</v>
      </c>
      <c r="D6466" t="str">
        <f>HYPERLINK("https://rhld.insurance.arkansas.gov/NPILookup?Npi=1710347026","1710347026")</f>
        <v>1710347026</v>
      </c>
      <c r="E6466" t="s">
        <v>11194</v>
      </c>
    </row>
    <row r="6467" spans="1:5" x14ac:dyDescent="0.25">
      <c r="A6467" t="s">
        <v>1</v>
      </c>
      <c r="B6467" t="s">
        <v>19</v>
      </c>
      <c r="C6467" t="s">
        <v>23490</v>
      </c>
      <c r="D6467" t="str">
        <f>HYPERLINK("https://rhld.insurance.arkansas.gov/NPILookup?Npi=1710355615","1710355615")</f>
        <v>1710355615</v>
      </c>
      <c r="E6467" t="s">
        <v>11195</v>
      </c>
    </row>
    <row r="6468" spans="1:5" x14ac:dyDescent="0.25">
      <c r="A6468" t="s">
        <v>1</v>
      </c>
      <c r="B6468" t="s">
        <v>19</v>
      </c>
      <c r="C6468" t="s">
        <v>23490</v>
      </c>
      <c r="D6468" t="str">
        <f>HYPERLINK("https://rhld.insurance.arkansas.gov/NPILookup?Npi=1710363775","1710363775")</f>
        <v>1710363775</v>
      </c>
      <c r="E6468" t="s">
        <v>8817</v>
      </c>
    </row>
    <row r="6469" spans="1:5" x14ac:dyDescent="0.25">
      <c r="A6469" t="s">
        <v>1</v>
      </c>
      <c r="B6469" t="s">
        <v>19</v>
      </c>
      <c r="C6469" t="s">
        <v>23490</v>
      </c>
      <c r="D6469" t="str">
        <f>HYPERLINK("https://rhld.insurance.arkansas.gov/NPILookup?Npi=1710369954","1710369954")</f>
        <v>1710369954</v>
      </c>
      <c r="E6469" t="s">
        <v>19960</v>
      </c>
    </row>
    <row r="6470" spans="1:5" x14ac:dyDescent="0.25">
      <c r="A6470" t="s">
        <v>1</v>
      </c>
      <c r="B6470" t="s">
        <v>19</v>
      </c>
      <c r="C6470" t="s">
        <v>23490</v>
      </c>
      <c r="D6470" t="str">
        <f>HYPERLINK("https://rhld.insurance.arkansas.gov/NPILookup?Npi=1710376165","1710376165")</f>
        <v>1710376165</v>
      </c>
      <c r="E6470" t="s">
        <v>2508</v>
      </c>
    </row>
    <row r="6471" spans="1:5" x14ac:dyDescent="0.25">
      <c r="A6471" t="s">
        <v>1</v>
      </c>
      <c r="B6471" t="s">
        <v>19</v>
      </c>
      <c r="C6471" t="s">
        <v>23490</v>
      </c>
      <c r="D6471" t="str">
        <f>HYPERLINK("https://rhld.insurance.arkansas.gov/NPILookup?Npi=1710376850","1710376850")</f>
        <v>1710376850</v>
      </c>
      <c r="E6471" t="s">
        <v>18845</v>
      </c>
    </row>
    <row r="6472" spans="1:5" x14ac:dyDescent="0.25">
      <c r="A6472" t="s">
        <v>1</v>
      </c>
      <c r="B6472" t="s">
        <v>19</v>
      </c>
      <c r="C6472" t="s">
        <v>23490</v>
      </c>
      <c r="D6472" t="str">
        <f>HYPERLINK("https://rhld.insurance.arkansas.gov/NPILookup?Npi=1710381082","1710381082")</f>
        <v>1710381082</v>
      </c>
      <c r="E6472" t="s">
        <v>2509</v>
      </c>
    </row>
    <row r="6473" spans="1:5" x14ac:dyDescent="0.25">
      <c r="A6473" t="s">
        <v>1</v>
      </c>
      <c r="B6473" t="s">
        <v>19</v>
      </c>
      <c r="C6473" t="s">
        <v>23490</v>
      </c>
      <c r="D6473" t="str">
        <f>HYPERLINK("https://rhld.insurance.arkansas.gov/NPILookup?Npi=1710390158","1710390158")</f>
        <v>1710390158</v>
      </c>
      <c r="E6473" t="s">
        <v>11196</v>
      </c>
    </row>
    <row r="6474" spans="1:5" x14ac:dyDescent="0.25">
      <c r="A6474" t="s">
        <v>1</v>
      </c>
      <c r="B6474" t="s">
        <v>19</v>
      </c>
      <c r="C6474" t="s">
        <v>23490</v>
      </c>
      <c r="D6474" t="str">
        <f>HYPERLINK("https://rhld.insurance.arkansas.gov/NPILookup?Npi=1710394093","1710394093")</f>
        <v>1710394093</v>
      </c>
      <c r="E6474" t="s">
        <v>11197</v>
      </c>
    </row>
    <row r="6475" spans="1:5" x14ac:dyDescent="0.25">
      <c r="A6475" t="s">
        <v>1</v>
      </c>
      <c r="B6475" t="s">
        <v>19</v>
      </c>
      <c r="C6475" t="s">
        <v>23490</v>
      </c>
      <c r="D6475" t="str">
        <f>HYPERLINK("https://rhld.insurance.arkansas.gov/NPILookup?Npi=1710397260","1710397260")</f>
        <v>1710397260</v>
      </c>
      <c r="E6475" t="s">
        <v>7244</v>
      </c>
    </row>
    <row r="6476" spans="1:5" x14ac:dyDescent="0.25">
      <c r="A6476" t="s">
        <v>1</v>
      </c>
      <c r="B6476" t="s">
        <v>19</v>
      </c>
      <c r="C6476" t="s">
        <v>23490</v>
      </c>
      <c r="D6476" t="str">
        <f>HYPERLINK("https://rhld.insurance.arkansas.gov/NPILookup?Npi=1710402870","1710402870")</f>
        <v>1710402870</v>
      </c>
      <c r="E6476" t="s">
        <v>11198</v>
      </c>
    </row>
    <row r="6477" spans="1:5" x14ac:dyDescent="0.25">
      <c r="A6477" t="s">
        <v>1</v>
      </c>
      <c r="B6477" t="s">
        <v>19</v>
      </c>
      <c r="C6477" t="s">
        <v>23490</v>
      </c>
      <c r="D6477" t="str">
        <f>HYPERLINK("https://rhld.insurance.arkansas.gov/NPILookup?Npi=1710409883","1710409883")</f>
        <v>1710409883</v>
      </c>
      <c r="E6477" t="s">
        <v>21634</v>
      </c>
    </row>
    <row r="6478" spans="1:5" x14ac:dyDescent="0.25">
      <c r="A6478" t="s">
        <v>1</v>
      </c>
      <c r="B6478" t="s">
        <v>19</v>
      </c>
      <c r="C6478" t="s">
        <v>23490</v>
      </c>
      <c r="D6478" t="str">
        <f>HYPERLINK("https://rhld.insurance.arkansas.gov/NPILookup?Npi=1710412630","1710412630")</f>
        <v>1710412630</v>
      </c>
      <c r="E6478" t="s">
        <v>11199</v>
      </c>
    </row>
    <row r="6479" spans="1:5" x14ac:dyDescent="0.25">
      <c r="A6479" t="s">
        <v>1</v>
      </c>
      <c r="B6479" t="s">
        <v>19</v>
      </c>
      <c r="C6479" t="s">
        <v>23490</v>
      </c>
      <c r="D6479" t="str">
        <f>HYPERLINK("https://rhld.insurance.arkansas.gov/NPILookup?Npi=1710422860","1710422860")</f>
        <v>1710422860</v>
      </c>
      <c r="E6479" t="s">
        <v>15457</v>
      </c>
    </row>
    <row r="6480" spans="1:5" x14ac:dyDescent="0.25">
      <c r="A6480" t="s">
        <v>1</v>
      </c>
      <c r="B6480" t="s">
        <v>19</v>
      </c>
      <c r="C6480" t="s">
        <v>23490</v>
      </c>
      <c r="D6480" t="str">
        <f>HYPERLINK("https://rhld.insurance.arkansas.gov/NPILookup?Npi=1710424197","1710424197")</f>
        <v>1710424197</v>
      </c>
      <c r="E6480" t="s">
        <v>11200</v>
      </c>
    </row>
    <row r="6481" spans="1:5" x14ac:dyDescent="0.25">
      <c r="A6481" t="s">
        <v>1</v>
      </c>
      <c r="B6481" t="s">
        <v>19</v>
      </c>
      <c r="C6481" t="s">
        <v>23490</v>
      </c>
      <c r="D6481" t="str">
        <f>HYPERLINK("https://rhld.insurance.arkansas.gov/NPILookup?Npi=1710443544","1710443544")</f>
        <v>1710443544</v>
      </c>
      <c r="E6481" t="s">
        <v>17467</v>
      </c>
    </row>
    <row r="6482" spans="1:5" x14ac:dyDescent="0.25">
      <c r="A6482" t="s">
        <v>1</v>
      </c>
      <c r="B6482" t="s">
        <v>19</v>
      </c>
      <c r="C6482" t="s">
        <v>23490</v>
      </c>
      <c r="D6482" t="str">
        <f>HYPERLINK("https://rhld.insurance.arkansas.gov/NPILookup?Npi=1710448535","1710448535")</f>
        <v>1710448535</v>
      </c>
      <c r="E6482" t="s">
        <v>15458</v>
      </c>
    </row>
    <row r="6483" spans="1:5" x14ac:dyDescent="0.25">
      <c r="A6483" t="s">
        <v>1</v>
      </c>
      <c r="B6483" t="s">
        <v>19</v>
      </c>
      <c r="C6483" t="s">
        <v>23490</v>
      </c>
      <c r="D6483" t="str">
        <f>HYPERLINK("https://rhld.insurance.arkansas.gov/NPILookup?Npi=1710462056","1710462056")</f>
        <v>1710462056</v>
      </c>
      <c r="E6483" t="s">
        <v>19961</v>
      </c>
    </row>
    <row r="6484" spans="1:5" x14ac:dyDescent="0.25">
      <c r="A6484" t="s">
        <v>1</v>
      </c>
      <c r="B6484" t="s">
        <v>19</v>
      </c>
      <c r="C6484" t="s">
        <v>23490</v>
      </c>
      <c r="D6484" t="str">
        <f>HYPERLINK("https://rhld.insurance.arkansas.gov/NPILookup?Npi=1710469259","1710469259")</f>
        <v>1710469259</v>
      </c>
      <c r="E6484" t="s">
        <v>19962</v>
      </c>
    </row>
    <row r="6485" spans="1:5" x14ac:dyDescent="0.25">
      <c r="A6485" t="s">
        <v>1</v>
      </c>
      <c r="B6485" t="s">
        <v>19</v>
      </c>
      <c r="C6485" t="s">
        <v>23490</v>
      </c>
      <c r="D6485" t="str">
        <f>HYPERLINK("https://rhld.insurance.arkansas.gov/NPILookup?Npi=1710472444","1710472444")</f>
        <v>1710472444</v>
      </c>
      <c r="E6485" t="s">
        <v>15459</v>
      </c>
    </row>
    <row r="6486" spans="1:5" x14ac:dyDescent="0.25">
      <c r="A6486" t="s">
        <v>1</v>
      </c>
      <c r="B6486" t="s">
        <v>19</v>
      </c>
      <c r="C6486" t="s">
        <v>23490</v>
      </c>
      <c r="D6486" t="str">
        <f>HYPERLINK("https://rhld.insurance.arkansas.gov/NPILookup?Npi=1710482187","1710482187")</f>
        <v>1710482187</v>
      </c>
      <c r="E6486" t="s">
        <v>15460</v>
      </c>
    </row>
    <row r="6487" spans="1:5" x14ac:dyDescent="0.25">
      <c r="A6487" t="s">
        <v>1</v>
      </c>
      <c r="B6487" t="s">
        <v>19</v>
      </c>
      <c r="C6487" t="s">
        <v>23490</v>
      </c>
      <c r="D6487" t="str">
        <f>HYPERLINK("https://rhld.insurance.arkansas.gov/NPILookup?Npi=1710491691","1710491691")</f>
        <v>1710491691</v>
      </c>
      <c r="E6487" t="s">
        <v>12889</v>
      </c>
    </row>
    <row r="6488" spans="1:5" x14ac:dyDescent="0.25">
      <c r="A6488" t="s">
        <v>1</v>
      </c>
      <c r="B6488" t="s">
        <v>19</v>
      </c>
      <c r="C6488" t="s">
        <v>23490</v>
      </c>
      <c r="D6488" t="str">
        <f>HYPERLINK("https://rhld.insurance.arkansas.gov/NPILookup?Npi=1710496559","1710496559")</f>
        <v>1710496559</v>
      </c>
      <c r="E6488" t="s">
        <v>15461</v>
      </c>
    </row>
    <row r="6489" spans="1:5" x14ac:dyDescent="0.25">
      <c r="A6489" t="s">
        <v>1</v>
      </c>
      <c r="B6489" t="s">
        <v>19</v>
      </c>
      <c r="C6489" t="s">
        <v>23490</v>
      </c>
      <c r="D6489" t="str">
        <f>HYPERLINK("https://rhld.insurance.arkansas.gov/NPILookup?Npi=1710498746","1710498746")</f>
        <v>1710498746</v>
      </c>
      <c r="E6489" t="s">
        <v>15462</v>
      </c>
    </row>
    <row r="6490" spans="1:5" x14ac:dyDescent="0.25">
      <c r="A6490" t="s">
        <v>1</v>
      </c>
      <c r="B6490" t="s">
        <v>19</v>
      </c>
      <c r="C6490" t="s">
        <v>23490</v>
      </c>
      <c r="D6490" t="str">
        <f>HYPERLINK("https://rhld.insurance.arkansas.gov/NPILookup?Npi=1710504931","1710504931")</f>
        <v>1710504931</v>
      </c>
      <c r="E6490" t="s">
        <v>18090</v>
      </c>
    </row>
    <row r="6491" spans="1:5" x14ac:dyDescent="0.25">
      <c r="A6491" t="s">
        <v>1</v>
      </c>
      <c r="B6491" t="s">
        <v>19</v>
      </c>
      <c r="C6491" t="s">
        <v>23490</v>
      </c>
      <c r="D6491" t="str">
        <f>HYPERLINK("https://rhld.insurance.arkansas.gov/NPILookup?Npi=1710505391","1710505391")</f>
        <v>1710505391</v>
      </c>
      <c r="E6491" t="s">
        <v>18846</v>
      </c>
    </row>
    <row r="6492" spans="1:5" x14ac:dyDescent="0.25">
      <c r="A6492" t="s">
        <v>1</v>
      </c>
      <c r="B6492" t="s">
        <v>19</v>
      </c>
      <c r="C6492" t="s">
        <v>23490</v>
      </c>
      <c r="D6492" t="str">
        <f>HYPERLINK("https://rhld.insurance.arkansas.gov/NPILookup?Npi=1710519673","1710519673")</f>
        <v>1710519673</v>
      </c>
      <c r="E6492" t="s">
        <v>17468</v>
      </c>
    </row>
    <row r="6493" spans="1:5" x14ac:dyDescent="0.25">
      <c r="A6493" t="s">
        <v>1</v>
      </c>
      <c r="B6493" t="s">
        <v>19</v>
      </c>
      <c r="C6493" t="s">
        <v>23490</v>
      </c>
      <c r="D6493" t="str">
        <f>HYPERLINK("https://rhld.insurance.arkansas.gov/NPILookup?Npi=1710525720","1710525720")</f>
        <v>1710525720</v>
      </c>
      <c r="E6493" t="s">
        <v>19963</v>
      </c>
    </row>
    <row r="6494" spans="1:5" x14ac:dyDescent="0.25">
      <c r="A6494" t="s">
        <v>1</v>
      </c>
      <c r="B6494" t="s">
        <v>19</v>
      </c>
      <c r="C6494" t="s">
        <v>23490</v>
      </c>
      <c r="D6494" t="str">
        <f>HYPERLINK("https://rhld.insurance.arkansas.gov/NPILookup?Npi=1710532916","1710532916")</f>
        <v>1710532916</v>
      </c>
      <c r="E6494" t="s">
        <v>18847</v>
      </c>
    </row>
    <row r="6495" spans="1:5" x14ac:dyDescent="0.25">
      <c r="A6495" t="s">
        <v>1</v>
      </c>
      <c r="B6495" t="s">
        <v>19</v>
      </c>
      <c r="C6495" t="s">
        <v>23490</v>
      </c>
      <c r="D6495" t="str">
        <f>HYPERLINK("https://rhld.insurance.arkansas.gov/NPILookup?Npi=1710548391","1710548391")</f>
        <v>1710548391</v>
      </c>
      <c r="E6495" t="s">
        <v>17013</v>
      </c>
    </row>
    <row r="6496" spans="1:5" x14ac:dyDescent="0.25">
      <c r="A6496" t="s">
        <v>1</v>
      </c>
      <c r="B6496" t="s">
        <v>19</v>
      </c>
      <c r="C6496" t="s">
        <v>23490</v>
      </c>
      <c r="D6496" t="str">
        <f>HYPERLINK("https://rhld.insurance.arkansas.gov/NPILookup?Npi=1710588462","1710588462")</f>
        <v>1710588462</v>
      </c>
      <c r="E6496" t="s">
        <v>18848</v>
      </c>
    </row>
    <row r="6497" spans="1:5" x14ac:dyDescent="0.25">
      <c r="A6497" t="s">
        <v>1</v>
      </c>
      <c r="B6497" t="s">
        <v>19</v>
      </c>
      <c r="C6497" t="s">
        <v>23490</v>
      </c>
      <c r="D6497" t="str">
        <f>HYPERLINK("https://rhld.insurance.arkansas.gov/NPILookup?Npi=1710591201","1710591201")</f>
        <v>1710591201</v>
      </c>
      <c r="E6497" t="s">
        <v>18091</v>
      </c>
    </row>
    <row r="6498" spans="1:5" x14ac:dyDescent="0.25">
      <c r="A6498" t="s">
        <v>1</v>
      </c>
      <c r="B6498" t="s">
        <v>19</v>
      </c>
      <c r="C6498" t="s">
        <v>23490</v>
      </c>
      <c r="D6498" t="str">
        <f>HYPERLINK("https://rhld.insurance.arkansas.gov/NPILookup?Npi=1710640800","1710640800")</f>
        <v>1710640800</v>
      </c>
      <c r="E6498" t="s">
        <v>19964</v>
      </c>
    </row>
    <row r="6499" spans="1:5" x14ac:dyDescent="0.25">
      <c r="A6499" t="s">
        <v>1</v>
      </c>
      <c r="B6499" t="s">
        <v>19</v>
      </c>
      <c r="C6499" t="s">
        <v>23490</v>
      </c>
      <c r="D6499" t="str">
        <f>HYPERLINK("https://rhld.insurance.arkansas.gov/NPILookup?Npi=1710647979","1710647979")</f>
        <v>1710647979</v>
      </c>
      <c r="E6499" t="s">
        <v>21017</v>
      </c>
    </row>
    <row r="6500" spans="1:5" x14ac:dyDescent="0.25">
      <c r="A6500" t="s">
        <v>1</v>
      </c>
      <c r="B6500" t="s">
        <v>19</v>
      </c>
      <c r="C6500" t="s">
        <v>23490</v>
      </c>
      <c r="D6500" t="str">
        <f>HYPERLINK("https://rhld.insurance.arkansas.gov/NPILookup?Npi=1710657952","1710657952")</f>
        <v>1710657952</v>
      </c>
      <c r="E6500" t="s">
        <v>19965</v>
      </c>
    </row>
    <row r="6501" spans="1:5" x14ac:dyDescent="0.25">
      <c r="A6501" t="s">
        <v>1</v>
      </c>
      <c r="B6501" t="s">
        <v>19</v>
      </c>
      <c r="C6501" t="s">
        <v>23490</v>
      </c>
      <c r="D6501" t="str">
        <f>HYPERLINK("https://rhld.insurance.arkansas.gov/NPILookup?Npi=1710699657","1710699657")</f>
        <v>1710699657</v>
      </c>
      <c r="E6501" t="s">
        <v>21635</v>
      </c>
    </row>
    <row r="6502" spans="1:5" x14ac:dyDescent="0.25">
      <c r="A6502" t="s">
        <v>1</v>
      </c>
      <c r="B6502" t="s">
        <v>19</v>
      </c>
      <c r="C6502" t="s">
        <v>23490</v>
      </c>
      <c r="D6502" t="str">
        <f>HYPERLINK("https://rhld.insurance.arkansas.gov/NPILookup?Npi=1710903174","1710903174")</f>
        <v>1710903174</v>
      </c>
      <c r="E6502" t="s">
        <v>15463</v>
      </c>
    </row>
    <row r="6503" spans="1:5" x14ac:dyDescent="0.25">
      <c r="A6503" t="s">
        <v>1</v>
      </c>
      <c r="B6503" t="s">
        <v>19</v>
      </c>
      <c r="C6503" t="s">
        <v>23490</v>
      </c>
      <c r="D6503" t="str">
        <f>HYPERLINK("https://rhld.insurance.arkansas.gov/NPILookup?Npi=1710931878","1710931878")</f>
        <v>1710931878</v>
      </c>
      <c r="E6503" t="s">
        <v>2511</v>
      </c>
    </row>
    <row r="6504" spans="1:5" x14ac:dyDescent="0.25">
      <c r="A6504" t="s">
        <v>1</v>
      </c>
      <c r="B6504" t="s">
        <v>19</v>
      </c>
      <c r="C6504" t="s">
        <v>23490</v>
      </c>
      <c r="D6504" t="str">
        <f>HYPERLINK("https://rhld.insurance.arkansas.gov/NPILookup?Npi=1710934526","1710934526")</f>
        <v>1710934526</v>
      </c>
      <c r="E6504" t="s">
        <v>2512</v>
      </c>
    </row>
    <row r="6505" spans="1:5" x14ac:dyDescent="0.25">
      <c r="A6505" t="s">
        <v>1</v>
      </c>
      <c r="B6505" t="s">
        <v>19</v>
      </c>
      <c r="C6505" t="s">
        <v>23490</v>
      </c>
      <c r="D6505" t="str">
        <f>HYPERLINK("https://rhld.insurance.arkansas.gov/NPILookup?Npi=1710935762","1710935762")</f>
        <v>1710935762</v>
      </c>
      <c r="E6505" t="s">
        <v>2513</v>
      </c>
    </row>
    <row r="6506" spans="1:5" x14ac:dyDescent="0.25">
      <c r="A6506" t="s">
        <v>1</v>
      </c>
      <c r="B6506" t="s">
        <v>19</v>
      </c>
      <c r="C6506" t="s">
        <v>23490</v>
      </c>
      <c r="D6506" t="str">
        <f>HYPERLINK("https://rhld.insurance.arkansas.gov/NPILookup?Npi=1710943659","1710943659")</f>
        <v>1710943659</v>
      </c>
      <c r="E6506" t="s">
        <v>2514</v>
      </c>
    </row>
    <row r="6507" spans="1:5" x14ac:dyDescent="0.25">
      <c r="A6507" t="s">
        <v>1</v>
      </c>
      <c r="B6507" t="s">
        <v>19</v>
      </c>
      <c r="C6507" t="s">
        <v>23490</v>
      </c>
      <c r="D6507" t="str">
        <f>HYPERLINK("https://rhld.insurance.arkansas.gov/NPILookup?Npi=1710946413","1710946413")</f>
        <v>1710946413</v>
      </c>
      <c r="E6507" t="s">
        <v>2515</v>
      </c>
    </row>
    <row r="6508" spans="1:5" x14ac:dyDescent="0.25">
      <c r="A6508" t="s">
        <v>1</v>
      </c>
      <c r="B6508" t="s">
        <v>19</v>
      </c>
      <c r="C6508" t="s">
        <v>23490</v>
      </c>
      <c r="D6508" t="str">
        <f>HYPERLINK("https://rhld.insurance.arkansas.gov/NPILookup?Npi=1710955984","1710955984")</f>
        <v>1710955984</v>
      </c>
      <c r="E6508" t="s">
        <v>15464</v>
      </c>
    </row>
    <row r="6509" spans="1:5" x14ac:dyDescent="0.25">
      <c r="A6509" t="s">
        <v>1</v>
      </c>
      <c r="B6509" t="s">
        <v>19</v>
      </c>
      <c r="C6509" t="s">
        <v>23490</v>
      </c>
      <c r="D6509" t="str">
        <f>HYPERLINK("https://rhld.insurance.arkansas.gov/NPILookup?Npi=1710960729","1710960729")</f>
        <v>1710960729</v>
      </c>
      <c r="E6509" t="s">
        <v>2516</v>
      </c>
    </row>
    <row r="6510" spans="1:5" x14ac:dyDescent="0.25">
      <c r="A6510" t="s">
        <v>1</v>
      </c>
      <c r="B6510" t="s">
        <v>19</v>
      </c>
      <c r="C6510" t="s">
        <v>23490</v>
      </c>
      <c r="D6510" t="str">
        <f>HYPERLINK("https://rhld.insurance.arkansas.gov/NPILookup?Npi=1710964226","1710964226")</f>
        <v>1710964226</v>
      </c>
      <c r="E6510" t="s">
        <v>13667</v>
      </c>
    </row>
    <row r="6511" spans="1:5" x14ac:dyDescent="0.25">
      <c r="A6511" t="s">
        <v>1</v>
      </c>
      <c r="B6511" t="s">
        <v>19</v>
      </c>
      <c r="C6511" t="s">
        <v>23490</v>
      </c>
      <c r="D6511" t="str">
        <f>HYPERLINK("https://rhld.insurance.arkansas.gov/NPILookup?Npi=1710973649","1710973649")</f>
        <v>1710973649</v>
      </c>
      <c r="E6511" t="s">
        <v>2517</v>
      </c>
    </row>
    <row r="6512" spans="1:5" x14ac:dyDescent="0.25">
      <c r="A6512" t="s">
        <v>1</v>
      </c>
      <c r="B6512" t="s">
        <v>19</v>
      </c>
      <c r="C6512" t="s">
        <v>23490</v>
      </c>
      <c r="D6512" t="str">
        <f>HYPERLINK("https://rhld.insurance.arkansas.gov/NPILookup?Npi=1710974944","1710974944")</f>
        <v>1710974944</v>
      </c>
      <c r="E6512" t="s">
        <v>2518</v>
      </c>
    </row>
    <row r="6513" spans="1:5" x14ac:dyDescent="0.25">
      <c r="A6513" t="s">
        <v>1</v>
      </c>
      <c r="B6513" t="s">
        <v>19</v>
      </c>
      <c r="C6513" t="s">
        <v>23490</v>
      </c>
      <c r="D6513" t="str">
        <f>HYPERLINK("https://rhld.insurance.arkansas.gov/NPILookup?Npi=1710976592","1710976592")</f>
        <v>1710976592</v>
      </c>
      <c r="E6513" t="s">
        <v>2519</v>
      </c>
    </row>
    <row r="6514" spans="1:5" x14ac:dyDescent="0.25">
      <c r="A6514" t="s">
        <v>1</v>
      </c>
      <c r="B6514" t="s">
        <v>19</v>
      </c>
      <c r="C6514" t="s">
        <v>23490</v>
      </c>
      <c r="D6514" t="str">
        <f>HYPERLINK("https://rhld.insurance.arkansas.gov/NPILookup?Npi=1710979596","1710979596")</f>
        <v>1710979596</v>
      </c>
      <c r="E6514" t="s">
        <v>2520</v>
      </c>
    </row>
    <row r="6515" spans="1:5" x14ac:dyDescent="0.25">
      <c r="A6515" t="s">
        <v>1</v>
      </c>
      <c r="B6515" t="s">
        <v>19</v>
      </c>
      <c r="C6515" t="s">
        <v>23490</v>
      </c>
      <c r="D6515" t="str">
        <f>HYPERLINK("https://rhld.insurance.arkansas.gov/NPILookup?Npi=1710982871","1710982871")</f>
        <v>1710982871</v>
      </c>
      <c r="E6515" t="s">
        <v>2521</v>
      </c>
    </row>
    <row r="6516" spans="1:5" x14ac:dyDescent="0.25">
      <c r="A6516" t="s">
        <v>1</v>
      </c>
      <c r="B6516" t="s">
        <v>19</v>
      </c>
      <c r="C6516" t="s">
        <v>23490</v>
      </c>
      <c r="D6516" t="str">
        <f>HYPERLINK("https://rhld.insurance.arkansas.gov/NPILookup?Npi=1710983465","1710983465")</f>
        <v>1710983465</v>
      </c>
      <c r="E6516" t="s">
        <v>2522</v>
      </c>
    </row>
    <row r="6517" spans="1:5" x14ac:dyDescent="0.25">
      <c r="A6517" t="s">
        <v>1</v>
      </c>
      <c r="B6517" t="s">
        <v>19</v>
      </c>
      <c r="C6517" t="s">
        <v>23490</v>
      </c>
      <c r="D6517" t="str">
        <f>HYPERLINK("https://rhld.insurance.arkansas.gov/NPILookup?Npi=1710985858","1710985858")</f>
        <v>1710985858</v>
      </c>
      <c r="E6517" t="s">
        <v>2523</v>
      </c>
    </row>
    <row r="6518" spans="1:5" x14ac:dyDescent="0.25">
      <c r="A6518" t="s">
        <v>1</v>
      </c>
      <c r="B6518" t="s">
        <v>19</v>
      </c>
      <c r="C6518" t="s">
        <v>23490</v>
      </c>
      <c r="D6518" t="str">
        <f>HYPERLINK("https://rhld.insurance.arkansas.gov/NPILookup?Npi=1710993654","1710993654")</f>
        <v>1710993654</v>
      </c>
      <c r="E6518" t="s">
        <v>2524</v>
      </c>
    </row>
    <row r="6519" spans="1:5" x14ac:dyDescent="0.25">
      <c r="A6519" t="s">
        <v>1</v>
      </c>
      <c r="B6519" t="s">
        <v>19</v>
      </c>
      <c r="C6519" t="s">
        <v>23490</v>
      </c>
      <c r="D6519" t="str">
        <f>HYPERLINK("https://rhld.insurance.arkansas.gov/NPILookup?Npi=1710996517","1710996517")</f>
        <v>1710996517</v>
      </c>
      <c r="E6519" t="s">
        <v>2525</v>
      </c>
    </row>
    <row r="6520" spans="1:5" x14ac:dyDescent="0.25">
      <c r="A6520" t="s">
        <v>1</v>
      </c>
      <c r="B6520" t="s">
        <v>19</v>
      </c>
      <c r="C6520" t="s">
        <v>23490</v>
      </c>
      <c r="D6520" t="str">
        <f>HYPERLINK("https://rhld.insurance.arkansas.gov/NPILookup?Npi=1710996863","1710996863")</f>
        <v>1710996863</v>
      </c>
      <c r="E6520" t="s">
        <v>19966</v>
      </c>
    </row>
    <row r="6521" spans="1:5" x14ac:dyDescent="0.25">
      <c r="A6521" t="s">
        <v>1</v>
      </c>
      <c r="B6521" t="s">
        <v>19</v>
      </c>
      <c r="C6521" t="s">
        <v>23490</v>
      </c>
      <c r="D6521" t="str">
        <f>HYPERLINK("https://rhld.insurance.arkansas.gov/NPILookup?Npi=1720003247","1720003247")</f>
        <v>1720003247</v>
      </c>
      <c r="E6521" t="s">
        <v>2526</v>
      </c>
    </row>
    <row r="6522" spans="1:5" x14ac:dyDescent="0.25">
      <c r="A6522" t="s">
        <v>1</v>
      </c>
      <c r="B6522" t="s">
        <v>19</v>
      </c>
      <c r="C6522" t="s">
        <v>23490</v>
      </c>
      <c r="D6522" t="str">
        <f>HYPERLINK("https://rhld.insurance.arkansas.gov/NPILookup?Npi=1720008709","1720008709")</f>
        <v>1720008709</v>
      </c>
      <c r="E6522" t="s">
        <v>2527</v>
      </c>
    </row>
    <row r="6523" spans="1:5" x14ac:dyDescent="0.25">
      <c r="A6523" t="s">
        <v>1</v>
      </c>
      <c r="B6523" t="s">
        <v>19</v>
      </c>
      <c r="C6523" t="s">
        <v>23490</v>
      </c>
      <c r="D6523" t="str">
        <f>HYPERLINK("https://rhld.insurance.arkansas.gov/NPILookup?Npi=1720014699","1720014699")</f>
        <v>1720014699</v>
      </c>
      <c r="E6523" t="s">
        <v>2528</v>
      </c>
    </row>
    <row r="6524" spans="1:5" x14ac:dyDescent="0.25">
      <c r="A6524" t="s">
        <v>1</v>
      </c>
      <c r="B6524" t="s">
        <v>19</v>
      </c>
      <c r="C6524" t="s">
        <v>23490</v>
      </c>
      <c r="D6524" t="str">
        <f>HYPERLINK("https://rhld.insurance.arkansas.gov/NPILookup?Npi=1720015613","1720015613")</f>
        <v>1720015613</v>
      </c>
      <c r="E6524" t="s">
        <v>15465</v>
      </c>
    </row>
    <row r="6525" spans="1:5" x14ac:dyDescent="0.25">
      <c r="A6525" t="s">
        <v>1</v>
      </c>
      <c r="B6525" t="s">
        <v>19</v>
      </c>
      <c r="C6525" t="s">
        <v>23490</v>
      </c>
      <c r="D6525" t="str">
        <f>HYPERLINK("https://rhld.insurance.arkansas.gov/NPILookup?Npi=1720016033","1720016033")</f>
        <v>1720016033</v>
      </c>
      <c r="E6525" t="s">
        <v>19967</v>
      </c>
    </row>
    <row r="6526" spans="1:5" x14ac:dyDescent="0.25">
      <c r="A6526" t="s">
        <v>1</v>
      </c>
      <c r="B6526" t="s">
        <v>19</v>
      </c>
      <c r="C6526" t="s">
        <v>23490</v>
      </c>
      <c r="D6526" t="str">
        <f>HYPERLINK("https://rhld.insurance.arkansas.gov/NPILookup?Npi=1720020027","1720020027")</f>
        <v>1720020027</v>
      </c>
      <c r="E6526" t="s">
        <v>2529</v>
      </c>
    </row>
    <row r="6527" spans="1:5" x14ac:dyDescent="0.25">
      <c r="A6527" t="s">
        <v>1</v>
      </c>
      <c r="B6527" t="s">
        <v>19</v>
      </c>
      <c r="C6527" t="s">
        <v>23490</v>
      </c>
      <c r="D6527" t="str">
        <f>HYPERLINK("https://rhld.insurance.arkansas.gov/NPILookup?Npi=1720020662","1720020662")</f>
        <v>1720020662</v>
      </c>
      <c r="E6527" t="s">
        <v>2530</v>
      </c>
    </row>
    <row r="6528" spans="1:5" x14ac:dyDescent="0.25">
      <c r="A6528" t="s">
        <v>1</v>
      </c>
      <c r="B6528" t="s">
        <v>19</v>
      </c>
      <c r="C6528" t="s">
        <v>23490</v>
      </c>
      <c r="D6528" t="str">
        <f>HYPERLINK("https://rhld.insurance.arkansas.gov/NPILookup?Npi=1720020738","1720020738")</f>
        <v>1720020738</v>
      </c>
      <c r="E6528" t="s">
        <v>2531</v>
      </c>
    </row>
    <row r="6529" spans="1:5" x14ac:dyDescent="0.25">
      <c r="A6529" t="s">
        <v>1</v>
      </c>
      <c r="B6529" t="s">
        <v>19</v>
      </c>
      <c r="C6529" t="s">
        <v>23490</v>
      </c>
      <c r="D6529" t="str">
        <f>HYPERLINK("https://rhld.insurance.arkansas.gov/NPILookup?Npi=1720025158","1720025158")</f>
        <v>1720025158</v>
      </c>
      <c r="E6529" t="s">
        <v>11201</v>
      </c>
    </row>
    <row r="6530" spans="1:5" x14ac:dyDescent="0.25">
      <c r="A6530" t="s">
        <v>1</v>
      </c>
      <c r="B6530" t="s">
        <v>19</v>
      </c>
      <c r="C6530" t="s">
        <v>23490</v>
      </c>
      <c r="D6530" t="str">
        <f>HYPERLINK("https://rhld.insurance.arkansas.gov/NPILookup?Npi=1720025513","1720025513")</f>
        <v>1720025513</v>
      </c>
      <c r="E6530" t="s">
        <v>2532</v>
      </c>
    </row>
    <row r="6531" spans="1:5" x14ac:dyDescent="0.25">
      <c r="A6531" t="s">
        <v>1</v>
      </c>
      <c r="B6531" t="s">
        <v>19</v>
      </c>
      <c r="C6531" t="s">
        <v>23490</v>
      </c>
      <c r="D6531" t="str">
        <f>HYPERLINK("https://rhld.insurance.arkansas.gov/NPILookup?Npi=1720029069","1720029069")</f>
        <v>1720029069</v>
      </c>
      <c r="E6531" t="s">
        <v>11202</v>
      </c>
    </row>
    <row r="6532" spans="1:5" x14ac:dyDescent="0.25">
      <c r="A6532" t="s">
        <v>1</v>
      </c>
      <c r="B6532" t="s">
        <v>19</v>
      </c>
      <c r="C6532" t="s">
        <v>23490</v>
      </c>
      <c r="D6532" t="str">
        <f>HYPERLINK("https://rhld.insurance.arkansas.gov/NPILookup?Npi=1720041577","1720041577")</f>
        <v>1720041577</v>
      </c>
      <c r="E6532" t="s">
        <v>2533</v>
      </c>
    </row>
    <row r="6533" spans="1:5" x14ac:dyDescent="0.25">
      <c r="A6533" t="s">
        <v>1</v>
      </c>
      <c r="B6533" t="s">
        <v>19</v>
      </c>
      <c r="C6533" t="s">
        <v>23490</v>
      </c>
      <c r="D6533" t="str">
        <f>HYPERLINK("https://rhld.insurance.arkansas.gov/NPILookup?Npi=1720044142","1720044142")</f>
        <v>1720044142</v>
      </c>
      <c r="E6533" t="s">
        <v>2534</v>
      </c>
    </row>
    <row r="6534" spans="1:5" x14ac:dyDescent="0.25">
      <c r="A6534" t="s">
        <v>1</v>
      </c>
      <c r="B6534" t="s">
        <v>19</v>
      </c>
      <c r="C6534" t="s">
        <v>23490</v>
      </c>
      <c r="D6534" t="str">
        <f>HYPERLINK("https://rhld.insurance.arkansas.gov/NPILookup?Npi=1720044456","1720044456")</f>
        <v>1720044456</v>
      </c>
      <c r="E6534" t="s">
        <v>15466</v>
      </c>
    </row>
    <row r="6535" spans="1:5" x14ac:dyDescent="0.25">
      <c r="A6535" t="s">
        <v>1</v>
      </c>
      <c r="B6535" t="s">
        <v>19</v>
      </c>
      <c r="C6535" t="s">
        <v>23490</v>
      </c>
      <c r="D6535" t="str">
        <f>HYPERLINK("https://rhld.insurance.arkansas.gov/NPILookup?Npi=1720044548","1720044548")</f>
        <v>1720044548</v>
      </c>
      <c r="E6535" t="s">
        <v>2535</v>
      </c>
    </row>
    <row r="6536" spans="1:5" x14ac:dyDescent="0.25">
      <c r="A6536" t="s">
        <v>1</v>
      </c>
      <c r="B6536" t="s">
        <v>19</v>
      </c>
      <c r="C6536" t="s">
        <v>23490</v>
      </c>
      <c r="D6536" t="str">
        <f>HYPERLINK("https://rhld.insurance.arkansas.gov/NPILookup?Npi=1720052616","1720052616")</f>
        <v>1720052616</v>
      </c>
      <c r="E6536" t="s">
        <v>2536</v>
      </c>
    </row>
    <row r="6537" spans="1:5" x14ac:dyDescent="0.25">
      <c r="A6537" t="s">
        <v>1</v>
      </c>
      <c r="B6537" t="s">
        <v>19</v>
      </c>
      <c r="C6537" t="s">
        <v>23490</v>
      </c>
      <c r="D6537" t="str">
        <f>HYPERLINK("https://rhld.insurance.arkansas.gov/NPILookup?Npi=1720054125","1720054125")</f>
        <v>1720054125</v>
      </c>
      <c r="E6537" t="s">
        <v>2537</v>
      </c>
    </row>
    <row r="6538" spans="1:5" x14ac:dyDescent="0.25">
      <c r="A6538" t="s">
        <v>1</v>
      </c>
      <c r="B6538" t="s">
        <v>19</v>
      </c>
      <c r="C6538" t="s">
        <v>23490</v>
      </c>
      <c r="D6538" t="str">
        <f>HYPERLINK("https://rhld.insurance.arkansas.gov/NPILookup?Npi=1720062235","1720062235")</f>
        <v>1720062235</v>
      </c>
      <c r="E6538" t="s">
        <v>2538</v>
      </c>
    </row>
    <row r="6539" spans="1:5" x14ac:dyDescent="0.25">
      <c r="A6539" t="s">
        <v>1</v>
      </c>
      <c r="B6539" t="s">
        <v>19</v>
      </c>
      <c r="C6539" t="s">
        <v>23490</v>
      </c>
      <c r="D6539" t="str">
        <f>HYPERLINK("https://rhld.insurance.arkansas.gov/NPILookup?Npi=1720066350","1720066350")</f>
        <v>1720066350</v>
      </c>
      <c r="E6539" t="s">
        <v>2540</v>
      </c>
    </row>
    <row r="6540" spans="1:5" x14ac:dyDescent="0.25">
      <c r="A6540" t="s">
        <v>1</v>
      </c>
      <c r="B6540" t="s">
        <v>19</v>
      </c>
      <c r="C6540" t="s">
        <v>23490</v>
      </c>
      <c r="D6540" t="str">
        <f>HYPERLINK("https://rhld.insurance.arkansas.gov/NPILookup?Npi=1720072994","1720072994")</f>
        <v>1720072994</v>
      </c>
      <c r="E6540" t="s">
        <v>2541</v>
      </c>
    </row>
    <row r="6541" spans="1:5" x14ac:dyDescent="0.25">
      <c r="A6541" t="s">
        <v>1</v>
      </c>
      <c r="B6541" t="s">
        <v>19</v>
      </c>
      <c r="C6541" t="s">
        <v>23490</v>
      </c>
      <c r="D6541" t="str">
        <f>HYPERLINK("https://rhld.insurance.arkansas.gov/NPILookup?Npi=1720082530","1720082530")</f>
        <v>1720082530</v>
      </c>
      <c r="E6541" t="s">
        <v>2542</v>
      </c>
    </row>
    <row r="6542" spans="1:5" x14ac:dyDescent="0.25">
      <c r="A6542" t="s">
        <v>1</v>
      </c>
      <c r="B6542" t="s">
        <v>19</v>
      </c>
      <c r="C6542" t="s">
        <v>23490</v>
      </c>
      <c r="D6542" t="str">
        <f>HYPERLINK("https://rhld.insurance.arkansas.gov/NPILookup?Npi=1720086952","1720086952")</f>
        <v>1720086952</v>
      </c>
      <c r="E6542" t="s">
        <v>2543</v>
      </c>
    </row>
    <row r="6543" spans="1:5" x14ac:dyDescent="0.25">
      <c r="A6543" t="s">
        <v>1</v>
      </c>
      <c r="B6543" t="s">
        <v>19</v>
      </c>
      <c r="C6543" t="s">
        <v>23490</v>
      </c>
      <c r="D6543" t="str">
        <f>HYPERLINK("https://rhld.insurance.arkansas.gov/NPILookup?Npi=1720087521","1720087521")</f>
        <v>1720087521</v>
      </c>
      <c r="E6543" t="s">
        <v>2544</v>
      </c>
    </row>
    <row r="6544" spans="1:5" x14ac:dyDescent="0.25">
      <c r="A6544" t="s">
        <v>1</v>
      </c>
      <c r="B6544" t="s">
        <v>19</v>
      </c>
      <c r="C6544" t="s">
        <v>23490</v>
      </c>
      <c r="D6544" t="str">
        <f>HYPERLINK("https://rhld.insurance.arkansas.gov/NPILookup?Npi=1720088347","1720088347")</f>
        <v>1720088347</v>
      </c>
      <c r="E6544" t="s">
        <v>2545</v>
      </c>
    </row>
    <row r="6545" spans="1:5" x14ac:dyDescent="0.25">
      <c r="A6545" t="s">
        <v>1</v>
      </c>
      <c r="B6545" t="s">
        <v>19</v>
      </c>
      <c r="C6545" t="s">
        <v>23490</v>
      </c>
      <c r="D6545" t="str">
        <f>HYPERLINK("https://rhld.insurance.arkansas.gov/NPILookup?Npi=1720088636","1720088636")</f>
        <v>1720088636</v>
      </c>
      <c r="E6545" t="s">
        <v>989</v>
      </c>
    </row>
    <row r="6546" spans="1:5" x14ac:dyDescent="0.25">
      <c r="A6546" t="s">
        <v>1</v>
      </c>
      <c r="B6546" t="s">
        <v>19</v>
      </c>
      <c r="C6546" t="s">
        <v>23490</v>
      </c>
      <c r="D6546" t="str">
        <f>HYPERLINK("https://rhld.insurance.arkansas.gov/NPILookup?Npi=1720095599","1720095599")</f>
        <v>1720095599</v>
      </c>
      <c r="E6546" t="s">
        <v>2546</v>
      </c>
    </row>
    <row r="6547" spans="1:5" x14ac:dyDescent="0.25">
      <c r="A6547" t="s">
        <v>1</v>
      </c>
      <c r="B6547" t="s">
        <v>19</v>
      </c>
      <c r="C6547" t="s">
        <v>23490</v>
      </c>
      <c r="D6547" t="str">
        <f>HYPERLINK("https://rhld.insurance.arkansas.gov/NPILookup?Npi=1720098296","1720098296")</f>
        <v>1720098296</v>
      </c>
      <c r="E6547" t="s">
        <v>2547</v>
      </c>
    </row>
    <row r="6548" spans="1:5" x14ac:dyDescent="0.25">
      <c r="A6548" t="s">
        <v>1</v>
      </c>
      <c r="B6548" t="s">
        <v>19</v>
      </c>
      <c r="C6548" t="s">
        <v>23490</v>
      </c>
      <c r="D6548" t="str">
        <f>HYPERLINK("https://rhld.insurance.arkansas.gov/NPILookup?Npi=1720111990","1720111990")</f>
        <v>1720111990</v>
      </c>
      <c r="E6548" t="s">
        <v>17014</v>
      </c>
    </row>
    <row r="6549" spans="1:5" x14ac:dyDescent="0.25">
      <c r="A6549" t="s">
        <v>1</v>
      </c>
      <c r="B6549" t="s">
        <v>19</v>
      </c>
      <c r="C6549" t="s">
        <v>23490</v>
      </c>
      <c r="D6549" t="str">
        <f>HYPERLINK("https://rhld.insurance.arkansas.gov/NPILookup?Npi=1720146509","1720146509")</f>
        <v>1720146509</v>
      </c>
      <c r="E6549" t="s">
        <v>56</v>
      </c>
    </row>
    <row r="6550" spans="1:5" x14ac:dyDescent="0.25">
      <c r="A6550" t="s">
        <v>1</v>
      </c>
      <c r="B6550" t="s">
        <v>19</v>
      </c>
      <c r="C6550" t="s">
        <v>23490</v>
      </c>
      <c r="D6550" t="str">
        <f>HYPERLINK("https://rhld.insurance.arkansas.gov/NPILookup?Npi=1720146947","1720146947")</f>
        <v>1720146947</v>
      </c>
      <c r="E6550" t="s">
        <v>2548</v>
      </c>
    </row>
    <row r="6551" spans="1:5" x14ac:dyDescent="0.25">
      <c r="A6551" t="s">
        <v>1</v>
      </c>
      <c r="B6551" t="s">
        <v>19</v>
      </c>
      <c r="C6551" t="s">
        <v>23490</v>
      </c>
      <c r="D6551" t="str">
        <f>HYPERLINK("https://rhld.insurance.arkansas.gov/NPILookup?Npi=1720202989","1720202989")</f>
        <v>1720202989</v>
      </c>
      <c r="E6551" t="s">
        <v>2549</v>
      </c>
    </row>
    <row r="6552" spans="1:5" x14ac:dyDescent="0.25">
      <c r="A6552" t="s">
        <v>1</v>
      </c>
      <c r="B6552" t="s">
        <v>19</v>
      </c>
      <c r="C6552" t="s">
        <v>23490</v>
      </c>
      <c r="D6552" t="str">
        <f>HYPERLINK("https://rhld.insurance.arkansas.gov/NPILookup?Npi=1720212350","1720212350")</f>
        <v>1720212350</v>
      </c>
      <c r="E6552" t="s">
        <v>13668</v>
      </c>
    </row>
    <row r="6553" spans="1:5" x14ac:dyDescent="0.25">
      <c r="A6553" t="s">
        <v>1</v>
      </c>
      <c r="B6553" t="s">
        <v>19</v>
      </c>
      <c r="C6553" t="s">
        <v>23490</v>
      </c>
      <c r="D6553" t="str">
        <f>HYPERLINK("https://rhld.insurance.arkansas.gov/NPILookup?Npi=1720215205","1720215205")</f>
        <v>1720215205</v>
      </c>
      <c r="E6553" t="s">
        <v>8818</v>
      </c>
    </row>
    <row r="6554" spans="1:5" x14ac:dyDescent="0.25">
      <c r="A6554" t="s">
        <v>1</v>
      </c>
      <c r="B6554" t="s">
        <v>19</v>
      </c>
      <c r="C6554" t="s">
        <v>23490</v>
      </c>
      <c r="D6554" t="str">
        <f>HYPERLINK("https://rhld.insurance.arkansas.gov/NPILookup?Npi=1720216955","1720216955")</f>
        <v>1720216955</v>
      </c>
      <c r="E6554" t="s">
        <v>8819</v>
      </c>
    </row>
    <row r="6555" spans="1:5" x14ac:dyDescent="0.25">
      <c r="A6555" t="s">
        <v>1</v>
      </c>
      <c r="B6555" t="s">
        <v>19</v>
      </c>
      <c r="C6555" t="s">
        <v>23490</v>
      </c>
      <c r="D6555" t="str">
        <f>HYPERLINK("https://rhld.insurance.arkansas.gov/NPILookup?Npi=1720218894","1720218894")</f>
        <v>1720218894</v>
      </c>
      <c r="E6555" t="s">
        <v>12890</v>
      </c>
    </row>
    <row r="6556" spans="1:5" x14ac:dyDescent="0.25">
      <c r="A6556" t="s">
        <v>1</v>
      </c>
      <c r="B6556" t="s">
        <v>19</v>
      </c>
      <c r="C6556" t="s">
        <v>23490</v>
      </c>
      <c r="D6556" t="str">
        <f>HYPERLINK("https://rhld.insurance.arkansas.gov/NPILookup?Npi=1720242274","1720242274")</f>
        <v>1720242274</v>
      </c>
      <c r="E6556" t="s">
        <v>2550</v>
      </c>
    </row>
    <row r="6557" spans="1:5" x14ac:dyDescent="0.25">
      <c r="A6557" t="s">
        <v>1</v>
      </c>
      <c r="B6557" t="s">
        <v>19</v>
      </c>
      <c r="C6557" t="s">
        <v>23490</v>
      </c>
      <c r="D6557" t="str">
        <f>HYPERLINK("https://rhld.insurance.arkansas.gov/NPILookup?Npi=1720251754","1720251754")</f>
        <v>1720251754</v>
      </c>
      <c r="E6557" t="s">
        <v>11203</v>
      </c>
    </row>
    <row r="6558" spans="1:5" x14ac:dyDescent="0.25">
      <c r="A6558" t="s">
        <v>1</v>
      </c>
      <c r="B6558" t="s">
        <v>19</v>
      </c>
      <c r="C6558" t="s">
        <v>23490</v>
      </c>
      <c r="D6558" t="str">
        <f>HYPERLINK("https://rhld.insurance.arkansas.gov/NPILookup?Npi=1720271711","1720271711")</f>
        <v>1720271711</v>
      </c>
      <c r="E6558" t="s">
        <v>2551</v>
      </c>
    </row>
    <row r="6559" spans="1:5" x14ac:dyDescent="0.25">
      <c r="A6559" t="s">
        <v>1</v>
      </c>
      <c r="B6559" t="s">
        <v>19</v>
      </c>
      <c r="C6559" t="s">
        <v>23490</v>
      </c>
      <c r="D6559" t="str">
        <f>HYPERLINK("https://rhld.insurance.arkansas.gov/NPILookup?Npi=1720273345","1720273345")</f>
        <v>1720273345</v>
      </c>
      <c r="E6559" t="s">
        <v>2552</v>
      </c>
    </row>
    <row r="6560" spans="1:5" x14ac:dyDescent="0.25">
      <c r="A6560" t="s">
        <v>1</v>
      </c>
      <c r="B6560" t="s">
        <v>19</v>
      </c>
      <c r="C6560" t="s">
        <v>23490</v>
      </c>
      <c r="D6560" t="str">
        <f>HYPERLINK("https://rhld.insurance.arkansas.gov/NPILookup?Npi=1720280753","1720280753")</f>
        <v>1720280753</v>
      </c>
      <c r="E6560" t="s">
        <v>8820</v>
      </c>
    </row>
    <row r="6561" spans="1:5" x14ac:dyDescent="0.25">
      <c r="A6561" t="s">
        <v>1</v>
      </c>
      <c r="B6561" t="s">
        <v>19</v>
      </c>
      <c r="C6561" t="s">
        <v>23490</v>
      </c>
      <c r="D6561" t="str">
        <f>HYPERLINK("https://rhld.insurance.arkansas.gov/NPILookup?Npi=1720284268","1720284268")</f>
        <v>1720284268</v>
      </c>
      <c r="E6561" t="s">
        <v>2553</v>
      </c>
    </row>
    <row r="6562" spans="1:5" x14ac:dyDescent="0.25">
      <c r="A6562" t="s">
        <v>1</v>
      </c>
      <c r="B6562" t="s">
        <v>19</v>
      </c>
      <c r="C6562" t="s">
        <v>23490</v>
      </c>
      <c r="D6562" t="str">
        <f>HYPERLINK("https://rhld.insurance.arkansas.gov/NPILookup?Npi=1720284318","1720284318")</f>
        <v>1720284318</v>
      </c>
      <c r="E6562" t="s">
        <v>13669</v>
      </c>
    </row>
    <row r="6563" spans="1:5" x14ac:dyDescent="0.25">
      <c r="A6563" t="s">
        <v>1</v>
      </c>
      <c r="B6563" t="s">
        <v>19</v>
      </c>
      <c r="C6563" t="s">
        <v>23490</v>
      </c>
      <c r="D6563" t="str">
        <f>HYPERLINK("https://rhld.insurance.arkansas.gov/NPILookup?Npi=1720295082","1720295082")</f>
        <v>1720295082</v>
      </c>
      <c r="E6563" t="s">
        <v>13670</v>
      </c>
    </row>
    <row r="6564" spans="1:5" x14ac:dyDescent="0.25">
      <c r="A6564" t="s">
        <v>1</v>
      </c>
      <c r="B6564" t="s">
        <v>19</v>
      </c>
      <c r="C6564" t="s">
        <v>23490</v>
      </c>
      <c r="D6564" t="str">
        <f>HYPERLINK("https://rhld.insurance.arkansas.gov/NPILookup?Npi=1720295660","1720295660")</f>
        <v>1720295660</v>
      </c>
      <c r="E6564" t="s">
        <v>2554</v>
      </c>
    </row>
    <row r="6565" spans="1:5" x14ac:dyDescent="0.25">
      <c r="A6565" t="s">
        <v>1</v>
      </c>
      <c r="B6565" t="s">
        <v>19</v>
      </c>
      <c r="C6565" t="s">
        <v>23490</v>
      </c>
      <c r="D6565" t="str">
        <f>HYPERLINK("https://rhld.insurance.arkansas.gov/NPILookup?Npi=1720306442","1720306442")</f>
        <v>1720306442</v>
      </c>
      <c r="E6565" t="s">
        <v>8821</v>
      </c>
    </row>
    <row r="6566" spans="1:5" x14ac:dyDescent="0.25">
      <c r="A6566" t="s">
        <v>1</v>
      </c>
      <c r="B6566" t="s">
        <v>19</v>
      </c>
      <c r="C6566" t="s">
        <v>23490</v>
      </c>
      <c r="D6566" t="str">
        <f>HYPERLINK("https://rhld.insurance.arkansas.gov/NPILookup?Npi=1720317191","1720317191")</f>
        <v>1720317191</v>
      </c>
      <c r="E6566" t="s">
        <v>2555</v>
      </c>
    </row>
    <row r="6567" spans="1:5" x14ac:dyDescent="0.25">
      <c r="A6567" t="s">
        <v>1</v>
      </c>
      <c r="B6567" t="s">
        <v>19</v>
      </c>
      <c r="C6567" t="s">
        <v>23490</v>
      </c>
      <c r="D6567" t="str">
        <f>HYPERLINK("https://rhld.insurance.arkansas.gov/NPILookup?Npi=1720321060","1720321060")</f>
        <v>1720321060</v>
      </c>
      <c r="E6567" t="s">
        <v>11204</v>
      </c>
    </row>
    <row r="6568" spans="1:5" x14ac:dyDescent="0.25">
      <c r="A6568" t="s">
        <v>1</v>
      </c>
      <c r="B6568" t="s">
        <v>19</v>
      </c>
      <c r="C6568" t="s">
        <v>23490</v>
      </c>
      <c r="D6568" t="str">
        <f>HYPERLINK("https://rhld.insurance.arkansas.gov/NPILookup?Npi=1720324874","1720324874")</f>
        <v>1720324874</v>
      </c>
      <c r="E6568" t="s">
        <v>12891</v>
      </c>
    </row>
    <row r="6569" spans="1:5" x14ac:dyDescent="0.25">
      <c r="A6569" t="s">
        <v>1</v>
      </c>
      <c r="B6569" t="s">
        <v>19</v>
      </c>
      <c r="C6569" t="s">
        <v>23490</v>
      </c>
      <c r="D6569" t="str">
        <f>HYPERLINK("https://rhld.insurance.arkansas.gov/NPILookup?Npi=1720327141","1720327141")</f>
        <v>1720327141</v>
      </c>
      <c r="E6569" t="s">
        <v>8822</v>
      </c>
    </row>
    <row r="6570" spans="1:5" x14ac:dyDescent="0.25">
      <c r="A6570" t="s">
        <v>1</v>
      </c>
      <c r="B6570" t="s">
        <v>19</v>
      </c>
      <c r="C6570" t="s">
        <v>23490</v>
      </c>
      <c r="D6570" t="str">
        <f>HYPERLINK("https://rhld.insurance.arkansas.gov/NPILookup?Npi=1720347867","1720347867")</f>
        <v>1720347867</v>
      </c>
      <c r="E6570" t="s">
        <v>15467</v>
      </c>
    </row>
    <row r="6571" spans="1:5" x14ac:dyDescent="0.25">
      <c r="A6571" t="s">
        <v>1</v>
      </c>
      <c r="B6571" t="s">
        <v>19</v>
      </c>
      <c r="C6571" t="s">
        <v>23490</v>
      </c>
      <c r="D6571" t="str">
        <f>HYPERLINK("https://rhld.insurance.arkansas.gov/NPILookup?Npi=1720349061","1720349061")</f>
        <v>1720349061</v>
      </c>
      <c r="E6571" t="s">
        <v>17015</v>
      </c>
    </row>
    <row r="6572" spans="1:5" x14ac:dyDescent="0.25">
      <c r="A6572" t="s">
        <v>1</v>
      </c>
      <c r="B6572" t="s">
        <v>19</v>
      </c>
      <c r="C6572" t="s">
        <v>23490</v>
      </c>
      <c r="D6572" t="str">
        <f>HYPERLINK("https://rhld.insurance.arkansas.gov/NPILookup?Npi=1720354228","1720354228")</f>
        <v>1720354228</v>
      </c>
      <c r="E6572" t="s">
        <v>2556</v>
      </c>
    </row>
    <row r="6573" spans="1:5" x14ac:dyDescent="0.25">
      <c r="A6573" t="s">
        <v>1</v>
      </c>
      <c r="B6573" t="s">
        <v>19</v>
      </c>
      <c r="C6573" t="s">
        <v>23490</v>
      </c>
      <c r="D6573" t="str">
        <f>HYPERLINK("https://rhld.insurance.arkansas.gov/NPILookup?Npi=1720364334","1720364334")</f>
        <v>1720364334</v>
      </c>
      <c r="E6573" t="s">
        <v>2557</v>
      </c>
    </row>
    <row r="6574" spans="1:5" x14ac:dyDescent="0.25">
      <c r="A6574" t="s">
        <v>1</v>
      </c>
      <c r="B6574" t="s">
        <v>19</v>
      </c>
      <c r="C6574" t="s">
        <v>23490</v>
      </c>
      <c r="D6574" t="str">
        <f>HYPERLINK("https://rhld.insurance.arkansas.gov/NPILookup?Npi=1720367642","1720367642")</f>
        <v>1720367642</v>
      </c>
      <c r="E6574" t="s">
        <v>18092</v>
      </c>
    </row>
    <row r="6575" spans="1:5" x14ac:dyDescent="0.25">
      <c r="A6575" t="s">
        <v>1</v>
      </c>
      <c r="B6575" t="s">
        <v>19</v>
      </c>
      <c r="C6575" t="s">
        <v>23490</v>
      </c>
      <c r="D6575" t="str">
        <f>HYPERLINK("https://rhld.insurance.arkansas.gov/NPILookup?Npi=1720373673","1720373673")</f>
        <v>1720373673</v>
      </c>
      <c r="E6575" t="s">
        <v>15468</v>
      </c>
    </row>
    <row r="6576" spans="1:5" x14ac:dyDescent="0.25">
      <c r="A6576" t="s">
        <v>1</v>
      </c>
      <c r="B6576" t="s">
        <v>19</v>
      </c>
      <c r="C6576" t="s">
        <v>23490</v>
      </c>
      <c r="D6576" t="str">
        <f>HYPERLINK("https://rhld.insurance.arkansas.gov/NPILookup?Npi=1720374804","1720374804")</f>
        <v>1720374804</v>
      </c>
      <c r="E6576" t="s">
        <v>2558</v>
      </c>
    </row>
    <row r="6577" spans="1:5" x14ac:dyDescent="0.25">
      <c r="A6577" t="s">
        <v>1</v>
      </c>
      <c r="B6577" t="s">
        <v>19</v>
      </c>
      <c r="C6577" t="s">
        <v>23490</v>
      </c>
      <c r="D6577" t="str">
        <f>HYPERLINK("https://rhld.insurance.arkansas.gov/NPILookup?Npi=1720378862","1720378862")</f>
        <v>1720378862</v>
      </c>
      <c r="E6577" t="s">
        <v>15469</v>
      </c>
    </row>
    <row r="6578" spans="1:5" x14ac:dyDescent="0.25">
      <c r="A6578" t="s">
        <v>1</v>
      </c>
      <c r="B6578" t="s">
        <v>19</v>
      </c>
      <c r="C6578" t="s">
        <v>23490</v>
      </c>
      <c r="D6578" t="str">
        <f>HYPERLINK("https://rhld.insurance.arkansas.gov/NPILookup?Npi=1720396674","1720396674")</f>
        <v>1720396674</v>
      </c>
      <c r="E6578" t="s">
        <v>21018</v>
      </c>
    </row>
    <row r="6579" spans="1:5" x14ac:dyDescent="0.25">
      <c r="A6579" t="s">
        <v>1</v>
      </c>
      <c r="B6579" t="s">
        <v>19</v>
      </c>
      <c r="C6579" t="s">
        <v>23490</v>
      </c>
      <c r="D6579" t="str">
        <f>HYPERLINK("https://rhld.insurance.arkansas.gov/NPILookup?Npi=1720402464","1720402464")</f>
        <v>1720402464</v>
      </c>
      <c r="E6579" t="s">
        <v>2559</v>
      </c>
    </row>
    <row r="6580" spans="1:5" x14ac:dyDescent="0.25">
      <c r="A6580" t="s">
        <v>1</v>
      </c>
      <c r="B6580" t="s">
        <v>19</v>
      </c>
      <c r="C6580" t="s">
        <v>23490</v>
      </c>
      <c r="D6580" t="str">
        <f>HYPERLINK("https://rhld.insurance.arkansas.gov/NPILookup?Npi=1720437841","1720437841")</f>
        <v>1720437841</v>
      </c>
      <c r="E6580" t="s">
        <v>15470</v>
      </c>
    </row>
    <row r="6581" spans="1:5" x14ac:dyDescent="0.25">
      <c r="A6581" t="s">
        <v>1</v>
      </c>
      <c r="B6581" t="s">
        <v>19</v>
      </c>
      <c r="C6581" t="s">
        <v>23490</v>
      </c>
      <c r="D6581" t="str">
        <f>HYPERLINK("https://rhld.insurance.arkansas.gov/NPILookup?Npi=1720445687","1720445687")</f>
        <v>1720445687</v>
      </c>
      <c r="E6581" t="s">
        <v>8823</v>
      </c>
    </row>
    <row r="6582" spans="1:5" x14ac:dyDescent="0.25">
      <c r="A6582" t="s">
        <v>1</v>
      </c>
      <c r="B6582" t="s">
        <v>19</v>
      </c>
      <c r="C6582" t="s">
        <v>23490</v>
      </c>
      <c r="D6582" t="str">
        <f>HYPERLINK("https://rhld.insurance.arkansas.gov/NPILookup?Npi=1720446230","1720446230")</f>
        <v>1720446230</v>
      </c>
      <c r="E6582" t="s">
        <v>11205</v>
      </c>
    </row>
    <row r="6583" spans="1:5" x14ac:dyDescent="0.25">
      <c r="A6583" t="s">
        <v>1</v>
      </c>
      <c r="B6583" t="s">
        <v>19</v>
      </c>
      <c r="C6583" t="s">
        <v>23490</v>
      </c>
      <c r="D6583" t="str">
        <f>HYPERLINK("https://rhld.insurance.arkansas.gov/NPILookup?Npi=1720454382","1720454382")</f>
        <v>1720454382</v>
      </c>
      <c r="E6583" t="s">
        <v>2560</v>
      </c>
    </row>
    <row r="6584" spans="1:5" x14ac:dyDescent="0.25">
      <c r="A6584" t="s">
        <v>1</v>
      </c>
      <c r="B6584" t="s">
        <v>19</v>
      </c>
      <c r="C6584" t="s">
        <v>23490</v>
      </c>
      <c r="D6584" t="str">
        <f>HYPERLINK("https://rhld.insurance.arkansas.gov/NPILookup?Npi=1720473465","1720473465")</f>
        <v>1720473465</v>
      </c>
      <c r="E6584" t="s">
        <v>8824</v>
      </c>
    </row>
    <row r="6585" spans="1:5" x14ac:dyDescent="0.25">
      <c r="A6585" t="s">
        <v>1</v>
      </c>
      <c r="B6585" t="s">
        <v>19</v>
      </c>
      <c r="C6585" t="s">
        <v>23490</v>
      </c>
      <c r="D6585" t="str">
        <f>HYPERLINK("https://rhld.insurance.arkansas.gov/NPILookup?Npi=1720473853","1720473853")</f>
        <v>1720473853</v>
      </c>
      <c r="E6585" t="s">
        <v>11206</v>
      </c>
    </row>
    <row r="6586" spans="1:5" x14ac:dyDescent="0.25">
      <c r="A6586" t="s">
        <v>1</v>
      </c>
      <c r="B6586" t="s">
        <v>19</v>
      </c>
      <c r="C6586" t="s">
        <v>23490</v>
      </c>
      <c r="D6586" t="str">
        <f>HYPERLINK("https://rhld.insurance.arkansas.gov/NPILookup?Npi=1720476062","1720476062")</f>
        <v>1720476062</v>
      </c>
      <c r="E6586" t="s">
        <v>15471</v>
      </c>
    </row>
    <row r="6587" spans="1:5" x14ac:dyDescent="0.25">
      <c r="A6587" t="s">
        <v>1</v>
      </c>
      <c r="B6587" t="s">
        <v>19</v>
      </c>
      <c r="C6587" t="s">
        <v>23490</v>
      </c>
      <c r="D6587" t="str">
        <f>HYPERLINK("https://rhld.insurance.arkansas.gov/NPILookup?Npi=1720477086","1720477086")</f>
        <v>1720477086</v>
      </c>
      <c r="E6587" t="s">
        <v>2561</v>
      </c>
    </row>
    <row r="6588" spans="1:5" x14ac:dyDescent="0.25">
      <c r="A6588" t="s">
        <v>1</v>
      </c>
      <c r="B6588" t="s">
        <v>19</v>
      </c>
      <c r="C6588" t="s">
        <v>23490</v>
      </c>
      <c r="D6588" t="str">
        <f>HYPERLINK("https://rhld.insurance.arkansas.gov/NPILookup?Npi=1720479223","1720479223")</f>
        <v>1720479223</v>
      </c>
      <c r="E6588" t="s">
        <v>19968</v>
      </c>
    </row>
    <row r="6589" spans="1:5" x14ac:dyDescent="0.25">
      <c r="A6589" t="s">
        <v>1</v>
      </c>
      <c r="B6589" t="s">
        <v>19</v>
      </c>
      <c r="C6589" t="s">
        <v>23490</v>
      </c>
      <c r="D6589" t="str">
        <f>HYPERLINK("https://rhld.insurance.arkansas.gov/NPILookup?Npi=1720489032","1720489032")</f>
        <v>1720489032</v>
      </c>
      <c r="E6589" t="s">
        <v>8825</v>
      </c>
    </row>
    <row r="6590" spans="1:5" x14ac:dyDescent="0.25">
      <c r="A6590" t="s">
        <v>1</v>
      </c>
      <c r="B6590" t="s">
        <v>19</v>
      </c>
      <c r="C6590" t="s">
        <v>23490</v>
      </c>
      <c r="D6590" t="str">
        <f>HYPERLINK("https://rhld.insurance.arkansas.gov/NPILookup?Npi=1720503360","1720503360")</f>
        <v>1720503360</v>
      </c>
      <c r="E6590" t="s">
        <v>13671</v>
      </c>
    </row>
    <row r="6591" spans="1:5" x14ac:dyDescent="0.25">
      <c r="A6591" t="s">
        <v>1</v>
      </c>
      <c r="B6591" t="s">
        <v>19</v>
      </c>
      <c r="C6591" t="s">
        <v>23490</v>
      </c>
      <c r="D6591" t="str">
        <f>HYPERLINK("https://rhld.insurance.arkansas.gov/NPILookup?Npi=1720508195","1720508195")</f>
        <v>1720508195</v>
      </c>
      <c r="E6591" t="s">
        <v>18093</v>
      </c>
    </row>
    <row r="6592" spans="1:5" x14ac:dyDescent="0.25">
      <c r="A6592" t="s">
        <v>1</v>
      </c>
      <c r="B6592" t="s">
        <v>19</v>
      </c>
      <c r="C6592" t="s">
        <v>23490</v>
      </c>
      <c r="D6592" t="str">
        <f>HYPERLINK("https://rhld.insurance.arkansas.gov/NPILookup?Npi=1720510738","1720510738")</f>
        <v>1720510738</v>
      </c>
      <c r="E6592" t="s">
        <v>13672</v>
      </c>
    </row>
    <row r="6593" spans="1:5" x14ac:dyDescent="0.25">
      <c r="A6593" t="s">
        <v>1</v>
      </c>
      <c r="B6593" t="s">
        <v>19</v>
      </c>
      <c r="C6593" t="s">
        <v>23490</v>
      </c>
      <c r="D6593" t="str">
        <f>HYPERLINK("https://rhld.insurance.arkansas.gov/NPILookup?Npi=1720512668","1720512668")</f>
        <v>1720512668</v>
      </c>
      <c r="E6593" t="s">
        <v>18849</v>
      </c>
    </row>
    <row r="6594" spans="1:5" x14ac:dyDescent="0.25">
      <c r="A6594" t="s">
        <v>1</v>
      </c>
      <c r="B6594" t="s">
        <v>19</v>
      </c>
      <c r="C6594" t="s">
        <v>23490</v>
      </c>
      <c r="D6594" t="str">
        <f>HYPERLINK("https://rhld.insurance.arkansas.gov/NPILookup?Npi=1720512858","1720512858")</f>
        <v>1720512858</v>
      </c>
      <c r="E6594" t="s">
        <v>15472</v>
      </c>
    </row>
    <row r="6595" spans="1:5" x14ac:dyDescent="0.25">
      <c r="A6595" t="s">
        <v>1</v>
      </c>
      <c r="B6595" t="s">
        <v>19</v>
      </c>
      <c r="C6595" t="s">
        <v>23490</v>
      </c>
      <c r="D6595" t="str">
        <f>HYPERLINK("https://rhld.insurance.arkansas.gov/NPILookup?Npi=1720513658","1720513658")</f>
        <v>1720513658</v>
      </c>
      <c r="E6595" t="s">
        <v>11207</v>
      </c>
    </row>
    <row r="6596" spans="1:5" x14ac:dyDescent="0.25">
      <c r="A6596" t="s">
        <v>1</v>
      </c>
      <c r="B6596" t="s">
        <v>19</v>
      </c>
      <c r="C6596" t="s">
        <v>23490</v>
      </c>
      <c r="D6596" t="str">
        <f>HYPERLINK("https://rhld.insurance.arkansas.gov/NPILookup?Npi=1720516719","1720516719")</f>
        <v>1720516719</v>
      </c>
      <c r="E6596" t="s">
        <v>18094</v>
      </c>
    </row>
    <row r="6597" spans="1:5" x14ac:dyDescent="0.25">
      <c r="A6597" t="s">
        <v>1</v>
      </c>
      <c r="B6597" t="s">
        <v>19</v>
      </c>
      <c r="C6597" t="s">
        <v>23490</v>
      </c>
      <c r="D6597" t="str">
        <f>HYPERLINK("https://rhld.insurance.arkansas.gov/NPILookup?Npi=1720519812","1720519812")</f>
        <v>1720519812</v>
      </c>
      <c r="E6597" t="s">
        <v>15473</v>
      </c>
    </row>
    <row r="6598" spans="1:5" x14ac:dyDescent="0.25">
      <c r="A6598" t="s">
        <v>1</v>
      </c>
      <c r="B6598" t="s">
        <v>19</v>
      </c>
      <c r="C6598" t="s">
        <v>23490</v>
      </c>
      <c r="D6598" t="str">
        <f>HYPERLINK("https://rhld.insurance.arkansas.gov/NPILookup?Npi=1720542145","1720542145")</f>
        <v>1720542145</v>
      </c>
      <c r="E6598" t="s">
        <v>13673</v>
      </c>
    </row>
    <row r="6599" spans="1:5" x14ac:dyDescent="0.25">
      <c r="A6599" t="s">
        <v>1</v>
      </c>
      <c r="B6599" t="s">
        <v>19</v>
      </c>
      <c r="C6599" t="s">
        <v>23490</v>
      </c>
      <c r="D6599" t="str">
        <f>HYPERLINK("https://rhld.insurance.arkansas.gov/NPILookup?Npi=1720546864","1720546864")</f>
        <v>1720546864</v>
      </c>
      <c r="E6599" t="s">
        <v>15474</v>
      </c>
    </row>
    <row r="6600" spans="1:5" x14ac:dyDescent="0.25">
      <c r="A6600" t="s">
        <v>1</v>
      </c>
      <c r="B6600" t="s">
        <v>19</v>
      </c>
      <c r="C6600" t="s">
        <v>23490</v>
      </c>
      <c r="D6600" t="str">
        <f>HYPERLINK("https://rhld.insurance.arkansas.gov/NPILookup?Npi=1720547011","1720547011")</f>
        <v>1720547011</v>
      </c>
      <c r="E6600" t="s">
        <v>19969</v>
      </c>
    </row>
    <row r="6601" spans="1:5" x14ac:dyDescent="0.25">
      <c r="A6601" t="s">
        <v>1</v>
      </c>
      <c r="B6601" t="s">
        <v>19</v>
      </c>
      <c r="C6601" t="s">
        <v>23490</v>
      </c>
      <c r="D6601" t="str">
        <f>HYPERLINK("https://rhld.insurance.arkansas.gov/NPILookup?Npi=1720555683","1720555683")</f>
        <v>1720555683</v>
      </c>
      <c r="E6601" t="s">
        <v>9325</v>
      </c>
    </row>
    <row r="6602" spans="1:5" x14ac:dyDescent="0.25">
      <c r="A6602" t="s">
        <v>1</v>
      </c>
      <c r="B6602" t="s">
        <v>19</v>
      </c>
      <c r="C6602" t="s">
        <v>23490</v>
      </c>
      <c r="D6602" t="str">
        <f>HYPERLINK("https://rhld.insurance.arkansas.gov/NPILookup?Npi=1720562226","1720562226")</f>
        <v>1720562226</v>
      </c>
      <c r="E6602" t="s">
        <v>15475</v>
      </c>
    </row>
    <row r="6603" spans="1:5" x14ac:dyDescent="0.25">
      <c r="A6603" t="s">
        <v>1</v>
      </c>
      <c r="B6603" t="s">
        <v>19</v>
      </c>
      <c r="C6603" t="s">
        <v>23490</v>
      </c>
      <c r="D6603" t="str">
        <f>HYPERLINK("https://rhld.insurance.arkansas.gov/NPILookup?Npi=1720562945","1720562945")</f>
        <v>1720562945</v>
      </c>
      <c r="E6603" t="s">
        <v>15476</v>
      </c>
    </row>
    <row r="6604" spans="1:5" x14ac:dyDescent="0.25">
      <c r="A6604" t="s">
        <v>1</v>
      </c>
      <c r="B6604" t="s">
        <v>19</v>
      </c>
      <c r="C6604" t="s">
        <v>23490</v>
      </c>
      <c r="D6604" t="str">
        <f>HYPERLINK("https://rhld.insurance.arkansas.gov/NPILookup?Npi=1720571102","1720571102")</f>
        <v>1720571102</v>
      </c>
      <c r="E6604" t="s">
        <v>21636</v>
      </c>
    </row>
    <row r="6605" spans="1:5" x14ac:dyDescent="0.25">
      <c r="A6605" t="s">
        <v>1</v>
      </c>
      <c r="B6605" t="s">
        <v>19</v>
      </c>
      <c r="C6605" t="s">
        <v>23490</v>
      </c>
      <c r="D6605" t="str">
        <f>HYPERLINK("https://rhld.insurance.arkansas.gov/NPILookup?Npi=1720575467","1720575467")</f>
        <v>1720575467</v>
      </c>
      <c r="E6605" t="s">
        <v>19970</v>
      </c>
    </row>
    <row r="6606" spans="1:5" x14ac:dyDescent="0.25">
      <c r="A6606" t="s">
        <v>1</v>
      </c>
      <c r="B6606" t="s">
        <v>19</v>
      </c>
      <c r="C6606" t="s">
        <v>23490</v>
      </c>
      <c r="D6606" t="str">
        <f>HYPERLINK("https://rhld.insurance.arkansas.gov/NPILookup?Npi=1720584378","1720584378")</f>
        <v>1720584378</v>
      </c>
      <c r="E6606" t="s">
        <v>19971</v>
      </c>
    </row>
    <row r="6607" spans="1:5" x14ac:dyDescent="0.25">
      <c r="A6607" t="s">
        <v>1</v>
      </c>
      <c r="B6607" t="s">
        <v>19</v>
      </c>
      <c r="C6607" t="s">
        <v>23490</v>
      </c>
      <c r="D6607" t="str">
        <f>HYPERLINK("https://rhld.insurance.arkansas.gov/NPILookup?Npi=1720584568","1720584568")</f>
        <v>1720584568</v>
      </c>
      <c r="E6607" t="s">
        <v>19972</v>
      </c>
    </row>
    <row r="6608" spans="1:5" x14ac:dyDescent="0.25">
      <c r="A6608" t="s">
        <v>1</v>
      </c>
      <c r="B6608" t="s">
        <v>19</v>
      </c>
      <c r="C6608" t="s">
        <v>23490</v>
      </c>
      <c r="D6608" t="str">
        <f>HYPERLINK("https://rhld.insurance.arkansas.gov/NPILookup?Npi=1720611361","1720611361")</f>
        <v>1720611361</v>
      </c>
      <c r="E6608" t="s">
        <v>18095</v>
      </c>
    </row>
    <row r="6609" spans="1:5" x14ac:dyDescent="0.25">
      <c r="A6609" t="s">
        <v>1</v>
      </c>
      <c r="B6609" t="s">
        <v>19</v>
      </c>
      <c r="C6609" t="s">
        <v>23490</v>
      </c>
      <c r="D6609" t="str">
        <f>HYPERLINK("https://rhld.insurance.arkansas.gov/NPILookup?Npi=1720612641","1720612641")</f>
        <v>1720612641</v>
      </c>
      <c r="E6609" t="s">
        <v>18850</v>
      </c>
    </row>
    <row r="6610" spans="1:5" x14ac:dyDescent="0.25">
      <c r="A6610" t="s">
        <v>1</v>
      </c>
      <c r="B6610" t="s">
        <v>19</v>
      </c>
      <c r="C6610" t="s">
        <v>23490</v>
      </c>
      <c r="D6610" t="str">
        <f>HYPERLINK("https://rhld.insurance.arkansas.gov/NPILookup?Npi=1720617954","1720617954")</f>
        <v>1720617954</v>
      </c>
      <c r="E6610" t="s">
        <v>17469</v>
      </c>
    </row>
    <row r="6611" spans="1:5" x14ac:dyDescent="0.25">
      <c r="A6611" t="s">
        <v>1</v>
      </c>
      <c r="B6611" t="s">
        <v>19</v>
      </c>
      <c r="C6611" t="s">
        <v>23490</v>
      </c>
      <c r="D6611" t="str">
        <f>HYPERLINK("https://rhld.insurance.arkansas.gov/NPILookup?Npi=1720618390","1720618390")</f>
        <v>1720618390</v>
      </c>
      <c r="E6611" t="s">
        <v>11759</v>
      </c>
    </row>
    <row r="6612" spans="1:5" x14ac:dyDescent="0.25">
      <c r="A6612" t="s">
        <v>1</v>
      </c>
      <c r="B6612" t="s">
        <v>19</v>
      </c>
      <c r="C6612" t="s">
        <v>23490</v>
      </c>
      <c r="D6612" t="str">
        <f>HYPERLINK("https://rhld.insurance.arkansas.gov/NPILookup?Npi=1720620818","1720620818")</f>
        <v>1720620818</v>
      </c>
      <c r="E6612" t="s">
        <v>19973</v>
      </c>
    </row>
    <row r="6613" spans="1:5" x14ac:dyDescent="0.25">
      <c r="A6613" t="s">
        <v>1</v>
      </c>
      <c r="B6613" t="s">
        <v>19</v>
      </c>
      <c r="C6613" t="s">
        <v>23490</v>
      </c>
      <c r="D6613" t="str">
        <f>HYPERLINK("https://rhld.insurance.arkansas.gov/NPILookup?Npi=1720627359","1720627359")</f>
        <v>1720627359</v>
      </c>
      <c r="E6613" t="s">
        <v>19974</v>
      </c>
    </row>
    <row r="6614" spans="1:5" x14ac:dyDescent="0.25">
      <c r="A6614" t="s">
        <v>1</v>
      </c>
      <c r="B6614" t="s">
        <v>19</v>
      </c>
      <c r="C6614" t="s">
        <v>23490</v>
      </c>
      <c r="D6614" t="str">
        <f>HYPERLINK("https://rhld.insurance.arkansas.gov/NPILookup?Npi=1720646490","1720646490")</f>
        <v>1720646490</v>
      </c>
      <c r="E6614" t="s">
        <v>19975</v>
      </c>
    </row>
    <row r="6615" spans="1:5" x14ac:dyDescent="0.25">
      <c r="A6615" t="s">
        <v>1</v>
      </c>
      <c r="B6615" t="s">
        <v>19</v>
      </c>
      <c r="C6615" t="s">
        <v>23490</v>
      </c>
      <c r="D6615" t="str">
        <f>HYPERLINK("https://rhld.insurance.arkansas.gov/NPILookup?Npi=1720648702","1720648702")</f>
        <v>1720648702</v>
      </c>
      <c r="E6615" t="s">
        <v>17016</v>
      </c>
    </row>
    <row r="6616" spans="1:5" x14ac:dyDescent="0.25">
      <c r="A6616" t="s">
        <v>1</v>
      </c>
      <c r="B6616" t="s">
        <v>19</v>
      </c>
      <c r="C6616" t="s">
        <v>23490</v>
      </c>
      <c r="D6616" t="str">
        <f>HYPERLINK("https://rhld.insurance.arkansas.gov/NPILookup?Npi=1720670474","1720670474")</f>
        <v>1720670474</v>
      </c>
      <c r="E6616" t="s">
        <v>18851</v>
      </c>
    </row>
    <row r="6617" spans="1:5" x14ac:dyDescent="0.25">
      <c r="A6617" t="s">
        <v>1</v>
      </c>
      <c r="B6617" t="s">
        <v>19</v>
      </c>
      <c r="C6617" t="s">
        <v>23490</v>
      </c>
      <c r="D6617" t="str">
        <f>HYPERLINK("https://rhld.insurance.arkansas.gov/NPILookup?Npi=1720685308","1720685308")</f>
        <v>1720685308</v>
      </c>
      <c r="E6617" t="s">
        <v>18096</v>
      </c>
    </row>
    <row r="6618" spans="1:5" x14ac:dyDescent="0.25">
      <c r="A6618" t="s">
        <v>1</v>
      </c>
      <c r="B6618" t="s">
        <v>19</v>
      </c>
      <c r="C6618" t="s">
        <v>23490</v>
      </c>
      <c r="D6618" t="str">
        <f>HYPERLINK("https://rhld.insurance.arkansas.gov/NPILookup?Npi=1720734403","1720734403")</f>
        <v>1720734403</v>
      </c>
      <c r="E6618" t="s">
        <v>21019</v>
      </c>
    </row>
    <row r="6619" spans="1:5" x14ac:dyDescent="0.25">
      <c r="A6619" t="s">
        <v>1</v>
      </c>
      <c r="B6619" t="s">
        <v>19</v>
      </c>
      <c r="C6619" t="s">
        <v>23490</v>
      </c>
      <c r="D6619" t="str">
        <f>HYPERLINK("https://rhld.insurance.arkansas.gov/NPILookup?Npi=1720747678","1720747678")</f>
        <v>1720747678</v>
      </c>
      <c r="E6619" t="s">
        <v>19976</v>
      </c>
    </row>
    <row r="6620" spans="1:5" x14ac:dyDescent="0.25">
      <c r="A6620" t="s">
        <v>1</v>
      </c>
      <c r="B6620" t="s">
        <v>19</v>
      </c>
      <c r="C6620" t="s">
        <v>23490</v>
      </c>
      <c r="D6620" t="str">
        <f>HYPERLINK("https://rhld.insurance.arkansas.gov/NPILookup?Npi=1720790371","1720790371")</f>
        <v>1720790371</v>
      </c>
      <c r="E6620" t="s">
        <v>21637</v>
      </c>
    </row>
    <row r="6621" spans="1:5" x14ac:dyDescent="0.25">
      <c r="A6621" t="s">
        <v>1</v>
      </c>
      <c r="B6621" t="s">
        <v>19</v>
      </c>
      <c r="C6621" t="s">
        <v>23490</v>
      </c>
      <c r="D6621" t="str">
        <f>HYPERLINK("https://rhld.insurance.arkansas.gov/NPILookup?Npi=1730102500","1730102500")</f>
        <v>1730102500</v>
      </c>
      <c r="E6621" t="s">
        <v>2562</v>
      </c>
    </row>
    <row r="6622" spans="1:5" x14ac:dyDescent="0.25">
      <c r="A6622" t="s">
        <v>1</v>
      </c>
      <c r="B6622" t="s">
        <v>19</v>
      </c>
      <c r="C6622" t="s">
        <v>23490</v>
      </c>
      <c r="D6622" t="str">
        <f>HYPERLINK("https://rhld.insurance.arkansas.gov/NPILookup?Npi=1730104340","1730104340")</f>
        <v>1730104340</v>
      </c>
      <c r="E6622" t="s">
        <v>8826</v>
      </c>
    </row>
    <row r="6623" spans="1:5" x14ac:dyDescent="0.25">
      <c r="A6623" t="s">
        <v>1</v>
      </c>
      <c r="B6623" t="s">
        <v>19</v>
      </c>
      <c r="C6623" t="s">
        <v>23490</v>
      </c>
      <c r="D6623" t="str">
        <f>HYPERLINK("https://rhld.insurance.arkansas.gov/NPILookup?Npi=1730109877","1730109877")</f>
        <v>1730109877</v>
      </c>
      <c r="E6623" t="s">
        <v>8827</v>
      </c>
    </row>
    <row r="6624" spans="1:5" x14ac:dyDescent="0.25">
      <c r="A6624" t="s">
        <v>1</v>
      </c>
      <c r="B6624" t="s">
        <v>19</v>
      </c>
      <c r="C6624" t="s">
        <v>23490</v>
      </c>
      <c r="D6624" t="str">
        <f>HYPERLINK("https://rhld.insurance.arkansas.gov/NPILookup?Npi=1730112574","1730112574")</f>
        <v>1730112574</v>
      </c>
      <c r="E6624" t="s">
        <v>15477</v>
      </c>
    </row>
    <row r="6625" spans="1:5" x14ac:dyDescent="0.25">
      <c r="A6625" t="s">
        <v>1</v>
      </c>
      <c r="B6625" t="s">
        <v>19</v>
      </c>
      <c r="C6625" t="s">
        <v>23490</v>
      </c>
      <c r="D6625" t="str">
        <f>HYPERLINK("https://rhld.insurance.arkansas.gov/NPILookup?Npi=1730118167","1730118167")</f>
        <v>1730118167</v>
      </c>
      <c r="E6625" t="s">
        <v>2563</v>
      </c>
    </row>
    <row r="6626" spans="1:5" x14ac:dyDescent="0.25">
      <c r="A6626" t="s">
        <v>1</v>
      </c>
      <c r="B6626" t="s">
        <v>19</v>
      </c>
      <c r="C6626" t="s">
        <v>23490</v>
      </c>
      <c r="D6626" t="str">
        <f>HYPERLINK("https://rhld.insurance.arkansas.gov/NPILookup?Npi=1730129404","1730129404")</f>
        <v>1730129404</v>
      </c>
      <c r="E6626" t="s">
        <v>15478</v>
      </c>
    </row>
    <row r="6627" spans="1:5" x14ac:dyDescent="0.25">
      <c r="A6627" t="s">
        <v>1</v>
      </c>
      <c r="B6627" t="s">
        <v>19</v>
      </c>
      <c r="C6627" t="s">
        <v>23490</v>
      </c>
      <c r="D6627" t="str">
        <f>HYPERLINK("https://rhld.insurance.arkansas.gov/NPILookup?Npi=1730135922","1730135922")</f>
        <v>1730135922</v>
      </c>
      <c r="E6627" t="s">
        <v>2564</v>
      </c>
    </row>
    <row r="6628" spans="1:5" x14ac:dyDescent="0.25">
      <c r="A6628" t="s">
        <v>1</v>
      </c>
      <c r="B6628" t="s">
        <v>19</v>
      </c>
      <c r="C6628" t="s">
        <v>23490</v>
      </c>
      <c r="D6628" t="str">
        <f>HYPERLINK("https://rhld.insurance.arkansas.gov/NPILookup?Npi=1730137811","1730137811")</f>
        <v>1730137811</v>
      </c>
      <c r="E6628" t="s">
        <v>2565</v>
      </c>
    </row>
    <row r="6629" spans="1:5" x14ac:dyDescent="0.25">
      <c r="A6629" t="s">
        <v>1</v>
      </c>
      <c r="B6629" t="s">
        <v>19</v>
      </c>
      <c r="C6629" t="s">
        <v>23490</v>
      </c>
      <c r="D6629" t="str">
        <f>HYPERLINK("https://rhld.insurance.arkansas.gov/NPILookup?Npi=1730139775","1730139775")</f>
        <v>1730139775</v>
      </c>
      <c r="E6629" t="s">
        <v>2566</v>
      </c>
    </row>
    <row r="6630" spans="1:5" x14ac:dyDescent="0.25">
      <c r="A6630" t="s">
        <v>1</v>
      </c>
      <c r="B6630" t="s">
        <v>19</v>
      </c>
      <c r="C6630" t="s">
        <v>23490</v>
      </c>
      <c r="D6630" t="str">
        <f>HYPERLINK("https://rhld.insurance.arkansas.gov/NPILookup?Npi=1730141995","1730141995")</f>
        <v>1730141995</v>
      </c>
      <c r="E6630" t="s">
        <v>15479</v>
      </c>
    </row>
    <row r="6631" spans="1:5" x14ac:dyDescent="0.25">
      <c r="A6631" t="s">
        <v>1</v>
      </c>
      <c r="B6631" t="s">
        <v>19</v>
      </c>
      <c r="C6631" t="s">
        <v>23490</v>
      </c>
      <c r="D6631" t="str">
        <f>HYPERLINK("https://rhld.insurance.arkansas.gov/NPILookup?Npi=1730145814","1730145814")</f>
        <v>1730145814</v>
      </c>
      <c r="E6631" t="s">
        <v>2568</v>
      </c>
    </row>
    <row r="6632" spans="1:5" x14ac:dyDescent="0.25">
      <c r="A6632" t="s">
        <v>1</v>
      </c>
      <c r="B6632" t="s">
        <v>19</v>
      </c>
      <c r="C6632" t="s">
        <v>23490</v>
      </c>
      <c r="D6632" t="str">
        <f>HYPERLINK("https://rhld.insurance.arkansas.gov/NPILookup?Npi=1730146507","1730146507")</f>
        <v>1730146507</v>
      </c>
      <c r="E6632" t="s">
        <v>2569</v>
      </c>
    </row>
    <row r="6633" spans="1:5" x14ac:dyDescent="0.25">
      <c r="A6633" t="s">
        <v>1</v>
      </c>
      <c r="B6633" t="s">
        <v>19</v>
      </c>
      <c r="C6633" t="s">
        <v>23490</v>
      </c>
      <c r="D6633" t="str">
        <f>HYPERLINK("https://rhld.insurance.arkansas.gov/NPILookup?Npi=1730151408","1730151408")</f>
        <v>1730151408</v>
      </c>
      <c r="E6633" t="s">
        <v>15480</v>
      </c>
    </row>
    <row r="6634" spans="1:5" x14ac:dyDescent="0.25">
      <c r="A6634" t="s">
        <v>1</v>
      </c>
      <c r="B6634" t="s">
        <v>19</v>
      </c>
      <c r="C6634" t="s">
        <v>23490</v>
      </c>
      <c r="D6634" t="str">
        <f>HYPERLINK("https://rhld.insurance.arkansas.gov/NPILookup?Npi=1730152000","1730152000")</f>
        <v>1730152000</v>
      </c>
      <c r="E6634" t="s">
        <v>2570</v>
      </c>
    </row>
    <row r="6635" spans="1:5" x14ac:dyDescent="0.25">
      <c r="A6635" t="s">
        <v>1</v>
      </c>
      <c r="B6635" t="s">
        <v>19</v>
      </c>
      <c r="C6635" t="s">
        <v>23490</v>
      </c>
      <c r="D6635" t="str">
        <f>HYPERLINK("https://rhld.insurance.arkansas.gov/NPILookup?Npi=1730153586","1730153586")</f>
        <v>1730153586</v>
      </c>
      <c r="E6635" t="s">
        <v>15481</v>
      </c>
    </row>
    <row r="6636" spans="1:5" x14ac:dyDescent="0.25">
      <c r="A6636" t="s">
        <v>1</v>
      </c>
      <c r="B6636" t="s">
        <v>19</v>
      </c>
      <c r="C6636" t="s">
        <v>23490</v>
      </c>
      <c r="D6636" t="str">
        <f>HYPERLINK("https://rhld.insurance.arkansas.gov/NPILookup?Npi=1730155102","1730155102")</f>
        <v>1730155102</v>
      </c>
      <c r="E6636" t="s">
        <v>11208</v>
      </c>
    </row>
    <row r="6637" spans="1:5" x14ac:dyDescent="0.25">
      <c r="A6637" t="s">
        <v>1</v>
      </c>
      <c r="B6637" t="s">
        <v>19</v>
      </c>
      <c r="C6637" t="s">
        <v>23490</v>
      </c>
      <c r="D6637" t="str">
        <f>HYPERLINK("https://rhld.insurance.arkansas.gov/NPILookup?Npi=1730155227","1730155227")</f>
        <v>1730155227</v>
      </c>
      <c r="E6637" t="s">
        <v>15482</v>
      </c>
    </row>
    <row r="6638" spans="1:5" x14ac:dyDescent="0.25">
      <c r="A6638" t="s">
        <v>1</v>
      </c>
      <c r="B6638" t="s">
        <v>19</v>
      </c>
      <c r="C6638" t="s">
        <v>23490</v>
      </c>
      <c r="D6638" t="str">
        <f>HYPERLINK("https://rhld.insurance.arkansas.gov/NPILookup?Npi=1730166844","1730166844")</f>
        <v>1730166844</v>
      </c>
      <c r="E6638" t="s">
        <v>2571</v>
      </c>
    </row>
    <row r="6639" spans="1:5" x14ac:dyDescent="0.25">
      <c r="A6639" t="s">
        <v>1</v>
      </c>
      <c r="B6639" t="s">
        <v>19</v>
      </c>
      <c r="C6639" t="s">
        <v>23490</v>
      </c>
      <c r="D6639" t="str">
        <f>HYPERLINK("https://rhld.insurance.arkansas.gov/NPILookup?Npi=1730168592","1730168592")</f>
        <v>1730168592</v>
      </c>
      <c r="E6639" t="s">
        <v>2572</v>
      </c>
    </row>
    <row r="6640" spans="1:5" x14ac:dyDescent="0.25">
      <c r="A6640" t="s">
        <v>1</v>
      </c>
      <c r="B6640" t="s">
        <v>19</v>
      </c>
      <c r="C6640" t="s">
        <v>23490</v>
      </c>
      <c r="D6640" t="str">
        <f>HYPERLINK("https://rhld.insurance.arkansas.gov/NPILookup?Npi=1730169863","1730169863")</f>
        <v>1730169863</v>
      </c>
      <c r="E6640" t="s">
        <v>19977</v>
      </c>
    </row>
    <row r="6641" spans="1:5" x14ac:dyDescent="0.25">
      <c r="A6641" t="s">
        <v>1</v>
      </c>
      <c r="B6641" t="s">
        <v>19</v>
      </c>
      <c r="C6641" t="s">
        <v>23490</v>
      </c>
      <c r="D6641" t="str">
        <f>HYPERLINK("https://rhld.insurance.arkansas.gov/NPILookup?Npi=1730172958","1730172958")</f>
        <v>1730172958</v>
      </c>
      <c r="E6641" t="s">
        <v>2573</v>
      </c>
    </row>
    <row r="6642" spans="1:5" x14ac:dyDescent="0.25">
      <c r="A6642" t="s">
        <v>1</v>
      </c>
      <c r="B6642" t="s">
        <v>19</v>
      </c>
      <c r="C6642" t="s">
        <v>23490</v>
      </c>
      <c r="D6642" t="str">
        <f>HYPERLINK("https://rhld.insurance.arkansas.gov/NPILookup?Npi=1730178161","1730178161")</f>
        <v>1730178161</v>
      </c>
      <c r="E6642" t="s">
        <v>22898</v>
      </c>
    </row>
    <row r="6643" spans="1:5" x14ac:dyDescent="0.25">
      <c r="A6643" t="s">
        <v>1</v>
      </c>
      <c r="B6643" t="s">
        <v>19</v>
      </c>
      <c r="C6643" t="s">
        <v>23490</v>
      </c>
      <c r="D6643" t="str">
        <f>HYPERLINK("https://rhld.insurance.arkansas.gov/NPILookup?Npi=1730181298","1730181298")</f>
        <v>1730181298</v>
      </c>
      <c r="E6643" t="s">
        <v>2574</v>
      </c>
    </row>
    <row r="6644" spans="1:5" x14ac:dyDescent="0.25">
      <c r="A6644" t="s">
        <v>1</v>
      </c>
      <c r="B6644" t="s">
        <v>19</v>
      </c>
      <c r="C6644" t="s">
        <v>23490</v>
      </c>
      <c r="D6644" t="str">
        <f>HYPERLINK("https://rhld.insurance.arkansas.gov/NPILookup?Npi=1730182882","1730182882")</f>
        <v>1730182882</v>
      </c>
      <c r="E6644" t="s">
        <v>2575</v>
      </c>
    </row>
    <row r="6645" spans="1:5" x14ac:dyDescent="0.25">
      <c r="A6645" t="s">
        <v>1</v>
      </c>
      <c r="B6645" t="s">
        <v>19</v>
      </c>
      <c r="C6645" t="s">
        <v>23490</v>
      </c>
      <c r="D6645" t="str">
        <f>HYPERLINK("https://rhld.insurance.arkansas.gov/NPILookup?Npi=1730185752","1730185752")</f>
        <v>1730185752</v>
      </c>
      <c r="E6645" t="s">
        <v>2576</v>
      </c>
    </row>
    <row r="6646" spans="1:5" x14ac:dyDescent="0.25">
      <c r="A6646" t="s">
        <v>1</v>
      </c>
      <c r="B6646" t="s">
        <v>19</v>
      </c>
      <c r="C6646" t="s">
        <v>23490</v>
      </c>
      <c r="D6646" t="str">
        <f>HYPERLINK("https://rhld.insurance.arkansas.gov/NPILookup?Npi=1730185927","1730185927")</f>
        <v>1730185927</v>
      </c>
      <c r="E6646" t="s">
        <v>2577</v>
      </c>
    </row>
    <row r="6647" spans="1:5" x14ac:dyDescent="0.25">
      <c r="A6647" t="s">
        <v>1</v>
      </c>
      <c r="B6647" t="s">
        <v>19</v>
      </c>
      <c r="C6647" t="s">
        <v>23490</v>
      </c>
      <c r="D6647" t="str">
        <f>HYPERLINK("https://rhld.insurance.arkansas.gov/NPILookup?Npi=1730188053","1730188053")</f>
        <v>1730188053</v>
      </c>
      <c r="E6647" t="s">
        <v>2579</v>
      </c>
    </row>
    <row r="6648" spans="1:5" x14ac:dyDescent="0.25">
      <c r="A6648" t="s">
        <v>1</v>
      </c>
      <c r="B6648" t="s">
        <v>19</v>
      </c>
      <c r="C6648" t="s">
        <v>23490</v>
      </c>
      <c r="D6648" t="str">
        <f>HYPERLINK("https://rhld.insurance.arkansas.gov/NPILookup?Npi=1730198243","1730198243")</f>
        <v>1730198243</v>
      </c>
      <c r="E6648" t="s">
        <v>2580</v>
      </c>
    </row>
    <row r="6649" spans="1:5" x14ac:dyDescent="0.25">
      <c r="A6649" t="s">
        <v>1</v>
      </c>
      <c r="B6649" t="s">
        <v>19</v>
      </c>
      <c r="C6649" t="s">
        <v>23490</v>
      </c>
      <c r="D6649" t="str">
        <f>HYPERLINK("https://rhld.insurance.arkansas.gov/NPILookup?Npi=1730198607","1730198607")</f>
        <v>1730198607</v>
      </c>
      <c r="E6649" t="s">
        <v>2581</v>
      </c>
    </row>
    <row r="6650" spans="1:5" x14ac:dyDescent="0.25">
      <c r="A6650" t="s">
        <v>1</v>
      </c>
      <c r="B6650" t="s">
        <v>19</v>
      </c>
      <c r="C6650" t="s">
        <v>23490</v>
      </c>
      <c r="D6650" t="str">
        <f>HYPERLINK("https://rhld.insurance.arkansas.gov/NPILookup?Npi=1730217381","1730217381")</f>
        <v>1730217381</v>
      </c>
      <c r="E6650" t="s">
        <v>2582</v>
      </c>
    </row>
    <row r="6651" spans="1:5" x14ac:dyDescent="0.25">
      <c r="A6651" t="s">
        <v>1</v>
      </c>
      <c r="B6651" t="s">
        <v>19</v>
      </c>
      <c r="C6651" t="s">
        <v>23490</v>
      </c>
      <c r="D6651" t="str">
        <f>HYPERLINK("https://rhld.insurance.arkansas.gov/NPILookup?Npi=1730226226","1730226226")</f>
        <v>1730226226</v>
      </c>
      <c r="E6651" t="s">
        <v>2583</v>
      </c>
    </row>
    <row r="6652" spans="1:5" x14ac:dyDescent="0.25">
      <c r="A6652" t="s">
        <v>1</v>
      </c>
      <c r="B6652" t="s">
        <v>19</v>
      </c>
      <c r="C6652" t="s">
        <v>23490</v>
      </c>
      <c r="D6652" t="str">
        <f>HYPERLINK("https://rhld.insurance.arkansas.gov/NPILookup?Npi=1730226804","1730226804")</f>
        <v>1730226804</v>
      </c>
      <c r="E6652" t="s">
        <v>8828</v>
      </c>
    </row>
    <row r="6653" spans="1:5" x14ac:dyDescent="0.25">
      <c r="A6653" t="s">
        <v>1</v>
      </c>
      <c r="B6653" t="s">
        <v>19</v>
      </c>
      <c r="C6653" t="s">
        <v>23490</v>
      </c>
      <c r="D6653" t="str">
        <f>HYPERLINK("https://rhld.insurance.arkansas.gov/NPILookup?Npi=1730231929","1730231929")</f>
        <v>1730231929</v>
      </c>
      <c r="E6653" t="s">
        <v>2584</v>
      </c>
    </row>
    <row r="6654" spans="1:5" x14ac:dyDescent="0.25">
      <c r="A6654" t="s">
        <v>1</v>
      </c>
      <c r="B6654" t="s">
        <v>19</v>
      </c>
      <c r="C6654" t="s">
        <v>23490</v>
      </c>
      <c r="D6654" t="str">
        <f>HYPERLINK("https://rhld.insurance.arkansas.gov/NPILookup?Npi=1730241159","1730241159")</f>
        <v>1730241159</v>
      </c>
      <c r="E6654" t="s">
        <v>15483</v>
      </c>
    </row>
    <row r="6655" spans="1:5" x14ac:dyDescent="0.25">
      <c r="A6655" t="s">
        <v>1</v>
      </c>
      <c r="B6655" t="s">
        <v>19</v>
      </c>
      <c r="C6655" t="s">
        <v>23490</v>
      </c>
      <c r="D6655" t="str">
        <f>HYPERLINK("https://rhld.insurance.arkansas.gov/NPILookup?Npi=1730256926","1730256926")</f>
        <v>1730256926</v>
      </c>
      <c r="E6655" t="s">
        <v>2585</v>
      </c>
    </row>
    <row r="6656" spans="1:5" x14ac:dyDescent="0.25">
      <c r="A6656" t="s">
        <v>1</v>
      </c>
      <c r="B6656" t="s">
        <v>19</v>
      </c>
      <c r="C6656" t="s">
        <v>23490</v>
      </c>
      <c r="D6656" t="str">
        <f>HYPERLINK("https://rhld.insurance.arkansas.gov/NPILookup?Npi=1730262114","1730262114")</f>
        <v>1730262114</v>
      </c>
      <c r="E6656" t="s">
        <v>2586</v>
      </c>
    </row>
    <row r="6657" spans="1:5" x14ac:dyDescent="0.25">
      <c r="A6657" t="s">
        <v>1</v>
      </c>
      <c r="B6657" t="s">
        <v>19</v>
      </c>
      <c r="C6657" t="s">
        <v>23490</v>
      </c>
      <c r="D6657" t="str">
        <f>HYPERLINK("https://rhld.insurance.arkansas.gov/NPILookup?Npi=1730279068","1730279068")</f>
        <v>1730279068</v>
      </c>
      <c r="E6657" t="s">
        <v>11209</v>
      </c>
    </row>
    <row r="6658" spans="1:5" x14ac:dyDescent="0.25">
      <c r="A6658" t="s">
        <v>1</v>
      </c>
      <c r="B6658" t="s">
        <v>19</v>
      </c>
      <c r="C6658" t="s">
        <v>23490</v>
      </c>
      <c r="D6658" t="str">
        <f>HYPERLINK("https://rhld.insurance.arkansas.gov/NPILookup?Npi=1730287004","1730287004")</f>
        <v>1730287004</v>
      </c>
      <c r="E6658" t="s">
        <v>15484</v>
      </c>
    </row>
    <row r="6659" spans="1:5" x14ac:dyDescent="0.25">
      <c r="A6659" t="s">
        <v>1</v>
      </c>
      <c r="B6659" t="s">
        <v>19</v>
      </c>
      <c r="C6659" t="s">
        <v>23490</v>
      </c>
      <c r="D6659" t="str">
        <f>HYPERLINK("https://rhld.insurance.arkansas.gov/NPILookup?Npi=1730296591","1730296591")</f>
        <v>1730296591</v>
      </c>
      <c r="E6659" t="s">
        <v>2587</v>
      </c>
    </row>
    <row r="6660" spans="1:5" x14ac:dyDescent="0.25">
      <c r="A6660" t="s">
        <v>1</v>
      </c>
      <c r="B6660" t="s">
        <v>19</v>
      </c>
      <c r="C6660" t="s">
        <v>23490</v>
      </c>
      <c r="D6660" t="str">
        <f>HYPERLINK("https://rhld.insurance.arkansas.gov/NPILookup?Npi=1730307729","1730307729")</f>
        <v>1730307729</v>
      </c>
      <c r="E6660" t="s">
        <v>2588</v>
      </c>
    </row>
    <row r="6661" spans="1:5" x14ac:dyDescent="0.25">
      <c r="A6661" t="s">
        <v>1</v>
      </c>
      <c r="B6661" t="s">
        <v>19</v>
      </c>
      <c r="C6661" t="s">
        <v>23490</v>
      </c>
      <c r="D6661" t="str">
        <f>HYPERLINK("https://rhld.insurance.arkansas.gov/NPILookup?Npi=1730313230","1730313230")</f>
        <v>1730313230</v>
      </c>
      <c r="E6661" t="s">
        <v>17017</v>
      </c>
    </row>
    <row r="6662" spans="1:5" x14ac:dyDescent="0.25">
      <c r="A6662" t="s">
        <v>1</v>
      </c>
      <c r="B6662" t="s">
        <v>19</v>
      </c>
      <c r="C6662" t="s">
        <v>23490</v>
      </c>
      <c r="D6662" t="str">
        <f>HYPERLINK("https://rhld.insurance.arkansas.gov/NPILookup?Npi=1730317579","1730317579")</f>
        <v>1730317579</v>
      </c>
      <c r="E6662" t="s">
        <v>17018</v>
      </c>
    </row>
    <row r="6663" spans="1:5" x14ac:dyDescent="0.25">
      <c r="A6663" t="s">
        <v>1</v>
      </c>
      <c r="B6663" t="s">
        <v>19</v>
      </c>
      <c r="C6663" t="s">
        <v>23490</v>
      </c>
      <c r="D6663" t="str">
        <f>HYPERLINK("https://rhld.insurance.arkansas.gov/NPILookup?Npi=1730332057","1730332057")</f>
        <v>1730332057</v>
      </c>
      <c r="E6663" t="s">
        <v>2589</v>
      </c>
    </row>
    <row r="6664" spans="1:5" x14ac:dyDescent="0.25">
      <c r="A6664" t="s">
        <v>1</v>
      </c>
      <c r="B6664" t="s">
        <v>19</v>
      </c>
      <c r="C6664" t="s">
        <v>23490</v>
      </c>
      <c r="D6664" t="str">
        <f>HYPERLINK("https://rhld.insurance.arkansas.gov/NPILookup?Npi=1730332511","1730332511")</f>
        <v>1730332511</v>
      </c>
      <c r="E6664" t="s">
        <v>2590</v>
      </c>
    </row>
    <row r="6665" spans="1:5" x14ac:dyDescent="0.25">
      <c r="A6665" t="s">
        <v>1</v>
      </c>
      <c r="B6665" t="s">
        <v>19</v>
      </c>
      <c r="C6665" t="s">
        <v>23490</v>
      </c>
      <c r="D6665" t="str">
        <f>HYPERLINK("https://rhld.insurance.arkansas.gov/NPILookup?Npi=1730334376","1730334376")</f>
        <v>1730334376</v>
      </c>
      <c r="E6665" t="s">
        <v>11210</v>
      </c>
    </row>
    <row r="6666" spans="1:5" x14ac:dyDescent="0.25">
      <c r="A6666" t="s">
        <v>1</v>
      </c>
      <c r="B6666" t="s">
        <v>19</v>
      </c>
      <c r="C6666" t="s">
        <v>23490</v>
      </c>
      <c r="D6666" t="str">
        <f>HYPERLINK("https://rhld.insurance.arkansas.gov/NPILookup?Npi=1730338187","1730338187")</f>
        <v>1730338187</v>
      </c>
      <c r="E6666" t="s">
        <v>2591</v>
      </c>
    </row>
    <row r="6667" spans="1:5" x14ac:dyDescent="0.25">
      <c r="A6667" t="s">
        <v>1</v>
      </c>
      <c r="B6667" t="s">
        <v>19</v>
      </c>
      <c r="C6667" t="s">
        <v>23490</v>
      </c>
      <c r="D6667" t="str">
        <f>HYPERLINK("https://rhld.insurance.arkansas.gov/NPILookup?Npi=1730349382","1730349382")</f>
        <v>1730349382</v>
      </c>
      <c r="E6667" t="s">
        <v>19978</v>
      </c>
    </row>
    <row r="6668" spans="1:5" x14ac:dyDescent="0.25">
      <c r="A6668" t="s">
        <v>1</v>
      </c>
      <c r="B6668" t="s">
        <v>19</v>
      </c>
      <c r="C6668" t="s">
        <v>23490</v>
      </c>
      <c r="D6668" t="str">
        <f>HYPERLINK("https://rhld.insurance.arkansas.gov/NPILookup?Npi=1730352782","1730352782")</f>
        <v>1730352782</v>
      </c>
      <c r="E6668" t="s">
        <v>2593</v>
      </c>
    </row>
    <row r="6669" spans="1:5" x14ac:dyDescent="0.25">
      <c r="A6669" t="s">
        <v>1</v>
      </c>
      <c r="B6669" t="s">
        <v>19</v>
      </c>
      <c r="C6669" t="s">
        <v>23490</v>
      </c>
      <c r="D6669" t="str">
        <f>HYPERLINK("https://rhld.insurance.arkansas.gov/NPILookup?Npi=1730354333","1730354333")</f>
        <v>1730354333</v>
      </c>
      <c r="E6669" t="s">
        <v>8470</v>
      </c>
    </row>
    <row r="6670" spans="1:5" x14ac:dyDescent="0.25">
      <c r="A6670" t="s">
        <v>1</v>
      </c>
      <c r="B6670" t="s">
        <v>19</v>
      </c>
      <c r="C6670" t="s">
        <v>23490</v>
      </c>
      <c r="D6670" t="str">
        <f>HYPERLINK("https://rhld.insurance.arkansas.gov/NPILookup?Npi=1730375007","1730375007")</f>
        <v>1730375007</v>
      </c>
      <c r="E6670" t="s">
        <v>2594</v>
      </c>
    </row>
    <row r="6671" spans="1:5" x14ac:dyDescent="0.25">
      <c r="A6671" t="s">
        <v>1</v>
      </c>
      <c r="B6671" t="s">
        <v>19</v>
      </c>
      <c r="C6671" t="s">
        <v>23490</v>
      </c>
      <c r="D6671" t="str">
        <f>HYPERLINK("https://rhld.insurance.arkansas.gov/NPILookup?Npi=1730389743","1730389743")</f>
        <v>1730389743</v>
      </c>
      <c r="E6671" t="s">
        <v>15485</v>
      </c>
    </row>
    <row r="6672" spans="1:5" x14ac:dyDescent="0.25">
      <c r="A6672" t="s">
        <v>1</v>
      </c>
      <c r="B6672" t="s">
        <v>19</v>
      </c>
      <c r="C6672" t="s">
        <v>23490</v>
      </c>
      <c r="D6672" t="str">
        <f>HYPERLINK("https://rhld.insurance.arkansas.gov/NPILookup?Npi=1730411059","1730411059")</f>
        <v>1730411059</v>
      </c>
      <c r="E6672" t="s">
        <v>11211</v>
      </c>
    </row>
    <row r="6673" spans="1:5" x14ac:dyDescent="0.25">
      <c r="A6673" t="s">
        <v>1</v>
      </c>
      <c r="B6673" t="s">
        <v>19</v>
      </c>
      <c r="C6673" t="s">
        <v>23490</v>
      </c>
      <c r="D6673" t="str">
        <f>HYPERLINK("https://rhld.insurance.arkansas.gov/NPILookup?Npi=1730428483","1730428483")</f>
        <v>1730428483</v>
      </c>
      <c r="E6673" t="s">
        <v>2596</v>
      </c>
    </row>
    <row r="6674" spans="1:5" x14ac:dyDescent="0.25">
      <c r="A6674" t="s">
        <v>1</v>
      </c>
      <c r="B6674" t="s">
        <v>19</v>
      </c>
      <c r="C6674" t="s">
        <v>23490</v>
      </c>
      <c r="D6674" t="str">
        <f>HYPERLINK("https://rhld.insurance.arkansas.gov/NPILookup?Npi=1730444001","1730444001")</f>
        <v>1730444001</v>
      </c>
      <c r="E6674" t="s">
        <v>2598</v>
      </c>
    </row>
    <row r="6675" spans="1:5" x14ac:dyDescent="0.25">
      <c r="A6675" t="s">
        <v>1</v>
      </c>
      <c r="B6675" t="s">
        <v>19</v>
      </c>
      <c r="C6675" t="s">
        <v>23490</v>
      </c>
      <c r="D6675" t="str">
        <f>HYPERLINK("https://rhld.insurance.arkansas.gov/NPILookup?Npi=1730453622","1730453622")</f>
        <v>1730453622</v>
      </c>
      <c r="E6675" t="s">
        <v>2599</v>
      </c>
    </row>
    <row r="6676" spans="1:5" x14ac:dyDescent="0.25">
      <c r="A6676" t="s">
        <v>1</v>
      </c>
      <c r="B6676" t="s">
        <v>19</v>
      </c>
      <c r="C6676" t="s">
        <v>23490</v>
      </c>
      <c r="D6676" t="str">
        <f>HYPERLINK("https://rhld.insurance.arkansas.gov/NPILookup?Npi=1730477043","1730477043")</f>
        <v>1730477043</v>
      </c>
      <c r="E6676" t="s">
        <v>12892</v>
      </c>
    </row>
    <row r="6677" spans="1:5" x14ac:dyDescent="0.25">
      <c r="A6677" t="s">
        <v>1</v>
      </c>
      <c r="B6677" t="s">
        <v>19</v>
      </c>
      <c r="C6677" t="s">
        <v>23490</v>
      </c>
      <c r="D6677" t="str">
        <f>HYPERLINK("https://rhld.insurance.arkansas.gov/NPILookup?Npi=1730523986","1730523986")</f>
        <v>1730523986</v>
      </c>
      <c r="E6677" t="s">
        <v>11212</v>
      </c>
    </row>
    <row r="6678" spans="1:5" x14ac:dyDescent="0.25">
      <c r="A6678" t="s">
        <v>1</v>
      </c>
      <c r="B6678" t="s">
        <v>19</v>
      </c>
      <c r="C6678" t="s">
        <v>23490</v>
      </c>
      <c r="D6678" t="str">
        <f>HYPERLINK("https://rhld.insurance.arkansas.gov/NPILookup?Npi=1730541798","1730541798")</f>
        <v>1730541798</v>
      </c>
      <c r="E6678" t="s">
        <v>17470</v>
      </c>
    </row>
    <row r="6679" spans="1:5" x14ac:dyDescent="0.25">
      <c r="A6679" t="s">
        <v>1</v>
      </c>
      <c r="B6679" t="s">
        <v>19</v>
      </c>
      <c r="C6679" t="s">
        <v>23490</v>
      </c>
      <c r="D6679" t="str">
        <f>HYPERLINK("https://rhld.insurance.arkansas.gov/NPILookup?Npi=1730546276","1730546276")</f>
        <v>1730546276</v>
      </c>
      <c r="E6679" t="s">
        <v>19979</v>
      </c>
    </row>
    <row r="6680" spans="1:5" x14ac:dyDescent="0.25">
      <c r="A6680" t="s">
        <v>1</v>
      </c>
      <c r="B6680" t="s">
        <v>19</v>
      </c>
      <c r="C6680" t="s">
        <v>23490</v>
      </c>
      <c r="D6680" t="str">
        <f>HYPERLINK("https://rhld.insurance.arkansas.gov/NPILookup?Npi=1730552787","1730552787")</f>
        <v>1730552787</v>
      </c>
      <c r="E6680" t="s">
        <v>22978</v>
      </c>
    </row>
    <row r="6681" spans="1:5" x14ac:dyDescent="0.25">
      <c r="A6681" t="s">
        <v>1</v>
      </c>
      <c r="B6681" t="s">
        <v>19</v>
      </c>
      <c r="C6681" t="s">
        <v>23490</v>
      </c>
      <c r="D6681" t="str">
        <f>HYPERLINK("https://rhld.insurance.arkansas.gov/NPILookup?Npi=1730552944","1730552944")</f>
        <v>1730552944</v>
      </c>
      <c r="E6681" t="s">
        <v>8829</v>
      </c>
    </row>
    <row r="6682" spans="1:5" x14ac:dyDescent="0.25">
      <c r="A6682" t="s">
        <v>1</v>
      </c>
      <c r="B6682" t="s">
        <v>19</v>
      </c>
      <c r="C6682" t="s">
        <v>23490</v>
      </c>
      <c r="D6682" t="str">
        <f>HYPERLINK("https://rhld.insurance.arkansas.gov/NPILookup?Npi=1730564360","1730564360")</f>
        <v>1730564360</v>
      </c>
      <c r="E6682" t="s">
        <v>11213</v>
      </c>
    </row>
    <row r="6683" spans="1:5" x14ac:dyDescent="0.25">
      <c r="A6683" t="s">
        <v>1</v>
      </c>
      <c r="B6683" t="s">
        <v>19</v>
      </c>
      <c r="C6683" t="s">
        <v>23490</v>
      </c>
      <c r="D6683" t="str">
        <f>HYPERLINK("https://rhld.insurance.arkansas.gov/NPILookup?Npi=1730569310","1730569310")</f>
        <v>1730569310</v>
      </c>
      <c r="E6683" t="s">
        <v>12893</v>
      </c>
    </row>
    <row r="6684" spans="1:5" x14ac:dyDescent="0.25">
      <c r="A6684" t="s">
        <v>1</v>
      </c>
      <c r="B6684" t="s">
        <v>19</v>
      </c>
      <c r="C6684" t="s">
        <v>23490</v>
      </c>
      <c r="D6684" t="str">
        <f>HYPERLINK("https://rhld.insurance.arkansas.gov/NPILookup?Npi=1730579152","1730579152")</f>
        <v>1730579152</v>
      </c>
      <c r="E6684" t="s">
        <v>8830</v>
      </c>
    </row>
    <row r="6685" spans="1:5" x14ac:dyDescent="0.25">
      <c r="A6685" t="s">
        <v>1</v>
      </c>
      <c r="B6685" t="s">
        <v>19</v>
      </c>
      <c r="C6685" t="s">
        <v>23490</v>
      </c>
      <c r="D6685" t="str">
        <f>HYPERLINK("https://rhld.insurance.arkansas.gov/NPILookup?Npi=1730579921","1730579921")</f>
        <v>1730579921</v>
      </c>
      <c r="E6685" t="s">
        <v>2600</v>
      </c>
    </row>
    <row r="6686" spans="1:5" x14ac:dyDescent="0.25">
      <c r="A6686" t="s">
        <v>1</v>
      </c>
      <c r="B6686" t="s">
        <v>19</v>
      </c>
      <c r="C6686" t="s">
        <v>23490</v>
      </c>
      <c r="D6686" t="str">
        <f>HYPERLINK("https://rhld.insurance.arkansas.gov/NPILookup?Npi=1730583840","1730583840")</f>
        <v>1730583840</v>
      </c>
      <c r="E6686" t="s">
        <v>2601</v>
      </c>
    </row>
    <row r="6687" spans="1:5" x14ac:dyDescent="0.25">
      <c r="A6687" t="s">
        <v>1</v>
      </c>
      <c r="B6687" t="s">
        <v>19</v>
      </c>
      <c r="C6687" t="s">
        <v>23490</v>
      </c>
      <c r="D6687" t="str">
        <f>HYPERLINK("https://rhld.insurance.arkansas.gov/NPILookup?Npi=1730585878","1730585878")</f>
        <v>1730585878</v>
      </c>
      <c r="E6687" t="s">
        <v>15486</v>
      </c>
    </row>
    <row r="6688" spans="1:5" x14ac:dyDescent="0.25">
      <c r="A6688" t="s">
        <v>1</v>
      </c>
      <c r="B6688" t="s">
        <v>19</v>
      </c>
      <c r="C6688" t="s">
        <v>23490</v>
      </c>
      <c r="D6688" t="str">
        <f>HYPERLINK("https://rhld.insurance.arkansas.gov/NPILookup?Npi=1730594342","1730594342")</f>
        <v>1730594342</v>
      </c>
      <c r="E6688" t="s">
        <v>2602</v>
      </c>
    </row>
    <row r="6689" spans="1:5" x14ac:dyDescent="0.25">
      <c r="A6689" t="s">
        <v>1</v>
      </c>
      <c r="B6689" t="s">
        <v>19</v>
      </c>
      <c r="C6689" t="s">
        <v>23490</v>
      </c>
      <c r="D6689" t="str">
        <f>HYPERLINK("https://rhld.insurance.arkansas.gov/NPILookup?Npi=1730600974","1730600974")</f>
        <v>1730600974</v>
      </c>
      <c r="E6689" t="s">
        <v>15487</v>
      </c>
    </row>
    <row r="6690" spans="1:5" x14ac:dyDescent="0.25">
      <c r="A6690" t="s">
        <v>1</v>
      </c>
      <c r="B6690" t="s">
        <v>19</v>
      </c>
      <c r="C6690" t="s">
        <v>23490</v>
      </c>
      <c r="D6690" t="str">
        <f>HYPERLINK("https://rhld.insurance.arkansas.gov/NPILookup?Npi=1730603192","1730603192")</f>
        <v>1730603192</v>
      </c>
      <c r="E6690" t="s">
        <v>11214</v>
      </c>
    </row>
    <row r="6691" spans="1:5" x14ac:dyDescent="0.25">
      <c r="A6691" t="s">
        <v>1</v>
      </c>
      <c r="B6691" t="s">
        <v>19</v>
      </c>
      <c r="C6691" t="s">
        <v>23490</v>
      </c>
      <c r="D6691" t="str">
        <f>HYPERLINK("https://rhld.insurance.arkansas.gov/NPILookup?Npi=1730605213","1730605213")</f>
        <v>1730605213</v>
      </c>
      <c r="E6691" t="s">
        <v>12894</v>
      </c>
    </row>
    <row r="6692" spans="1:5" x14ac:dyDescent="0.25">
      <c r="A6692" t="s">
        <v>1</v>
      </c>
      <c r="B6692" t="s">
        <v>19</v>
      </c>
      <c r="C6692" t="s">
        <v>23490</v>
      </c>
      <c r="D6692" t="str">
        <f>HYPERLINK("https://rhld.insurance.arkansas.gov/NPILookup?Npi=1730609439","1730609439")</f>
        <v>1730609439</v>
      </c>
      <c r="E6692" t="s">
        <v>11215</v>
      </c>
    </row>
    <row r="6693" spans="1:5" x14ac:dyDescent="0.25">
      <c r="A6693" t="s">
        <v>1</v>
      </c>
      <c r="B6693" t="s">
        <v>19</v>
      </c>
      <c r="C6693" t="s">
        <v>23490</v>
      </c>
      <c r="D6693" t="str">
        <f>HYPERLINK("https://rhld.insurance.arkansas.gov/NPILookup?Npi=1730622705","1730622705")</f>
        <v>1730622705</v>
      </c>
      <c r="E6693" t="s">
        <v>15488</v>
      </c>
    </row>
    <row r="6694" spans="1:5" x14ac:dyDescent="0.25">
      <c r="A6694" t="s">
        <v>1</v>
      </c>
      <c r="B6694" t="s">
        <v>19</v>
      </c>
      <c r="C6694" t="s">
        <v>23490</v>
      </c>
      <c r="D6694" t="str">
        <f>HYPERLINK("https://rhld.insurance.arkansas.gov/NPILookup?Npi=1730629163","1730629163")</f>
        <v>1730629163</v>
      </c>
      <c r="E6694" t="s">
        <v>19980</v>
      </c>
    </row>
    <row r="6695" spans="1:5" x14ac:dyDescent="0.25">
      <c r="A6695" t="s">
        <v>1</v>
      </c>
      <c r="B6695" t="s">
        <v>19</v>
      </c>
      <c r="C6695" t="s">
        <v>23490</v>
      </c>
      <c r="D6695" t="str">
        <f>HYPERLINK("https://rhld.insurance.arkansas.gov/NPILookup?Npi=1730630492","1730630492")</f>
        <v>1730630492</v>
      </c>
      <c r="E6695" t="s">
        <v>11216</v>
      </c>
    </row>
    <row r="6696" spans="1:5" x14ac:dyDescent="0.25">
      <c r="A6696" t="s">
        <v>1</v>
      </c>
      <c r="B6696" t="s">
        <v>19</v>
      </c>
      <c r="C6696" t="s">
        <v>23490</v>
      </c>
      <c r="D6696" t="str">
        <f>HYPERLINK("https://rhld.insurance.arkansas.gov/NPILookup?Npi=1730640913","1730640913")</f>
        <v>1730640913</v>
      </c>
      <c r="E6696" t="s">
        <v>21020</v>
      </c>
    </row>
    <row r="6697" spans="1:5" x14ac:dyDescent="0.25">
      <c r="A6697" t="s">
        <v>1</v>
      </c>
      <c r="B6697" t="s">
        <v>19</v>
      </c>
      <c r="C6697" t="s">
        <v>23490</v>
      </c>
      <c r="D6697" t="str">
        <f>HYPERLINK("https://rhld.insurance.arkansas.gov/NPILookup?Npi=1730643115","1730643115")</f>
        <v>1730643115</v>
      </c>
      <c r="E6697" t="s">
        <v>18852</v>
      </c>
    </row>
    <row r="6698" spans="1:5" x14ac:dyDescent="0.25">
      <c r="A6698" t="s">
        <v>1</v>
      </c>
      <c r="B6698" t="s">
        <v>19</v>
      </c>
      <c r="C6698" t="s">
        <v>23490</v>
      </c>
      <c r="D6698" t="str">
        <f>HYPERLINK("https://rhld.insurance.arkansas.gov/NPILookup?Npi=1730660010","1730660010")</f>
        <v>1730660010</v>
      </c>
      <c r="E6698" t="s">
        <v>15489</v>
      </c>
    </row>
    <row r="6699" spans="1:5" x14ac:dyDescent="0.25">
      <c r="A6699" t="s">
        <v>1</v>
      </c>
      <c r="B6699" t="s">
        <v>19</v>
      </c>
      <c r="C6699" t="s">
        <v>23490</v>
      </c>
      <c r="D6699" t="str">
        <f>HYPERLINK("https://rhld.insurance.arkansas.gov/NPILookup?Npi=1730677675","1730677675")</f>
        <v>1730677675</v>
      </c>
      <c r="E6699" t="s">
        <v>19981</v>
      </c>
    </row>
    <row r="6700" spans="1:5" x14ac:dyDescent="0.25">
      <c r="A6700" t="s">
        <v>1</v>
      </c>
      <c r="B6700" t="s">
        <v>19</v>
      </c>
      <c r="C6700" t="s">
        <v>23490</v>
      </c>
      <c r="D6700" t="str">
        <f>HYPERLINK("https://rhld.insurance.arkansas.gov/NPILookup?Npi=1730687450","1730687450")</f>
        <v>1730687450</v>
      </c>
      <c r="E6700" t="s">
        <v>18097</v>
      </c>
    </row>
    <row r="6701" spans="1:5" x14ac:dyDescent="0.25">
      <c r="A6701" t="s">
        <v>1</v>
      </c>
      <c r="B6701" t="s">
        <v>19</v>
      </c>
      <c r="C6701" t="s">
        <v>23490</v>
      </c>
      <c r="D6701" t="str">
        <f>HYPERLINK("https://rhld.insurance.arkansas.gov/NPILookup?Npi=1730732926","1730732926")</f>
        <v>1730732926</v>
      </c>
      <c r="E6701" t="s">
        <v>21021</v>
      </c>
    </row>
    <row r="6702" spans="1:5" x14ac:dyDescent="0.25">
      <c r="A6702" t="s">
        <v>1</v>
      </c>
      <c r="B6702" t="s">
        <v>19</v>
      </c>
      <c r="C6702" t="s">
        <v>23490</v>
      </c>
      <c r="D6702" t="str">
        <f>HYPERLINK("https://rhld.insurance.arkansas.gov/NPILookup?Npi=1730739715","1730739715")</f>
        <v>1730739715</v>
      </c>
      <c r="E6702" t="s">
        <v>19982</v>
      </c>
    </row>
    <row r="6703" spans="1:5" x14ac:dyDescent="0.25">
      <c r="A6703" t="s">
        <v>1</v>
      </c>
      <c r="B6703" t="s">
        <v>19</v>
      </c>
      <c r="C6703" t="s">
        <v>23490</v>
      </c>
      <c r="D6703" t="str">
        <f>HYPERLINK("https://rhld.insurance.arkansas.gov/NPILookup?Npi=1730744897","1730744897")</f>
        <v>1730744897</v>
      </c>
      <c r="E6703" t="s">
        <v>19983</v>
      </c>
    </row>
    <row r="6704" spans="1:5" x14ac:dyDescent="0.25">
      <c r="A6704" t="s">
        <v>1</v>
      </c>
      <c r="B6704" t="s">
        <v>19</v>
      </c>
      <c r="C6704" t="s">
        <v>23490</v>
      </c>
      <c r="D6704" t="str">
        <f>HYPERLINK("https://rhld.insurance.arkansas.gov/NPILookup?Npi=1730749052","1730749052")</f>
        <v>1730749052</v>
      </c>
      <c r="E6704" t="s">
        <v>21022</v>
      </c>
    </row>
    <row r="6705" spans="1:5" x14ac:dyDescent="0.25">
      <c r="A6705" t="s">
        <v>1</v>
      </c>
      <c r="B6705" t="s">
        <v>19</v>
      </c>
      <c r="C6705" t="s">
        <v>23490</v>
      </c>
      <c r="D6705" t="str">
        <f>HYPERLINK("https://rhld.insurance.arkansas.gov/NPILookup?Npi=1730771254","1730771254")</f>
        <v>1730771254</v>
      </c>
      <c r="E6705" t="s">
        <v>21023</v>
      </c>
    </row>
    <row r="6706" spans="1:5" x14ac:dyDescent="0.25">
      <c r="A6706" t="s">
        <v>1</v>
      </c>
      <c r="B6706" t="s">
        <v>19</v>
      </c>
      <c r="C6706" t="s">
        <v>23490</v>
      </c>
      <c r="D6706" t="str">
        <f>HYPERLINK("https://rhld.insurance.arkansas.gov/NPILookup?Npi=1730774308","1730774308")</f>
        <v>1730774308</v>
      </c>
      <c r="E6706" t="s">
        <v>18853</v>
      </c>
    </row>
    <row r="6707" spans="1:5" x14ac:dyDescent="0.25">
      <c r="A6707" t="s">
        <v>1</v>
      </c>
      <c r="B6707" t="s">
        <v>19</v>
      </c>
      <c r="C6707" t="s">
        <v>23490</v>
      </c>
      <c r="D6707" t="str">
        <f>HYPERLINK("https://rhld.insurance.arkansas.gov/NPILookup?Npi=1730795246","1730795246")</f>
        <v>1730795246</v>
      </c>
      <c r="E6707" t="s">
        <v>17471</v>
      </c>
    </row>
    <row r="6708" spans="1:5" x14ac:dyDescent="0.25">
      <c r="A6708" t="s">
        <v>1</v>
      </c>
      <c r="B6708" t="s">
        <v>19</v>
      </c>
      <c r="C6708" t="s">
        <v>23490</v>
      </c>
      <c r="D6708" t="str">
        <f>HYPERLINK("https://rhld.insurance.arkansas.gov/NPILookup?Npi=1730803164","1730803164")</f>
        <v>1730803164</v>
      </c>
      <c r="E6708" t="s">
        <v>21638</v>
      </c>
    </row>
    <row r="6709" spans="1:5" x14ac:dyDescent="0.25">
      <c r="A6709" t="s">
        <v>1</v>
      </c>
      <c r="B6709" t="s">
        <v>19</v>
      </c>
      <c r="C6709" t="s">
        <v>23490</v>
      </c>
      <c r="D6709" t="str">
        <f>HYPERLINK("https://rhld.insurance.arkansas.gov/NPILookup?Npi=1730816000","1730816000")</f>
        <v>1730816000</v>
      </c>
      <c r="E6709" t="s">
        <v>21639</v>
      </c>
    </row>
    <row r="6710" spans="1:5" x14ac:dyDescent="0.25">
      <c r="A6710" t="s">
        <v>1</v>
      </c>
      <c r="B6710" t="s">
        <v>19</v>
      </c>
      <c r="C6710" t="s">
        <v>23490</v>
      </c>
      <c r="D6710" t="str">
        <f>HYPERLINK("https://rhld.insurance.arkansas.gov/NPILookup?Npi=1730819707","1730819707")</f>
        <v>1730819707</v>
      </c>
      <c r="E6710" t="s">
        <v>21640</v>
      </c>
    </row>
    <row r="6711" spans="1:5" x14ac:dyDescent="0.25">
      <c r="A6711" t="s">
        <v>1</v>
      </c>
      <c r="B6711" t="s">
        <v>19</v>
      </c>
      <c r="C6711" t="s">
        <v>23490</v>
      </c>
      <c r="D6711" t="str">
        <f>HYPERLINK("https://rhld.insurance.arkansas.gov/NPILookup?Npi=1730825829","1730825829")</f>
        <v>1730825829</v>
      </c>
      <c r="E6711" t="s">
        <v>21024</v>
      </c>
    </row>
    <row r="6712" spans="1:5" x14ac:dyDescent="0.25">
      <c r="A6712" t="s">
        <v>1</v>
      </c>
      <c r="B6712" t="s">
        <v>19</v>
      </c>
      <c r="C6712" t="s">
        <v>23490</v>
      </c>
      <c r="D6712" t="str">
        <f>HYPERLINK("https://rhld.insurance.arkansas.gov/NPILookup?Npi=1730841883","1730841883")</f>
        <v>1730841883</v>
      </c>
      <c r="E6712" t="s">
        <v>19984</v>
      </c>
    </row>
    <row r="6713" spans="1:5" x14ac:dyDescent="0.25">
      <c r="A6713" t="s">
        <v>1</v>
      </c>
      <c r="B6713" t="s">
        <v>19</v>
      </c>
      <c r="C6713" t="s">
        <v>23490</v>
      </c>
      <c r="D6713" t="str">
        <f>HYPERLINK("https://rhld.insurance.arkansas.gov/NPILookup?Npi=1730851775","1730851775")</f>
        <v>1730851775</v>
      </c>
      <c r="E6713" t="s">
        <v>19985</v>
      </c>
    </row>
    <row r="6714" spans="1:5" x14ac:dyDescent="0.25">
      <c r="A6714" t="s">
        <v>1</v>
      </c>
      <c r="B6714" t="s">
        <v>19</v>
      </c>
      <c r="C6714" t="s">
        <v>23490</v>
      </c>
      <c r="D6714" t="str">
        <f>HYPERLINK("https://rhld.insurance.arkansas.gov/NPILookup?Npi=1730854241","1730854241")</f>
        <v>1730854241</v>
      </c>
      <c r="E6714" t="s">
        <v>18854</v>
      </c>
    </row>
    <row r="6715" spans="1:5" x14ac:dyDescent="0.25">
      <c r="A6715" t="s">
        <v>1</v>
      </c>
      <c r="B6715" t="s">
        <v>19</v>
      </c>
      <c r="C6715" t="s">
        <v>23490</v>
      </c>
      <c r="D6715" t="str">
        <f>HYPERLINK("https://rhld.insurance.arkansas.gov/NPILookup?Npi=1730895434","1730895434")</f>
        <v>1730895434</v>
      </c>
      <c r="E6715" t="s">
        <v>21641</v>
      </c>
    </row>
    <row r="6716" spans="1:5" x14ac:dyDescent="0.25">
      <c r="A6716" t="s">
        <v>1</v>
      </c>
      <c r="B6716" t="s">
        <v>19</v>
      </c>
      <c r="C6716" t="s">
        <v>23490</v>
      </c>
      <c r="D6716" t="str">
        <f>HYPERLINK("https://rhld.insurance.arkansas.gov/NPILookup?Npi=1740202282","1740202282")</f>
        <v>1740202282</v>
      </c>
      <c r="E6716" t="s">
        <v>2603</v>
      </c>
    </row>
    <row r="6717" spans="1:5" x14ac:dyDescent="0.25">
      <c r="A6717" t="s">
        <v>1</v>
      </c>
      <c r="B6717" t="s">
        <v>19</v>
      </c>
      <c r="C6717" t="s">
        <v>23490</v>
      </c>
      <c r="D6717" t="str">
        <f>HYPERLINK("https://rhld.insurance.arkansas.gov/NPILookup?Npi=1740217132","1740217132")</f>
        <v>1740217132</v>
      </c>
      <c r="E6717" t="s">
        <v>2604</v>
      </c>
    </row>
    <row r="6718" spans="1:5" x14ac:dyDescent="0.25">
      <c r="A6718" t="s">
        <v>1</v>
      </c>
      <c r="B6718" t="s">
        <v>19</v>
      </c>
      <c r="C6718" t="s">
        <v>23490</v>
      </c>
      <c r="D6718" t="str">
        <f>HYPERLINK("https://rhld.insurance.arkansas.gov/NPILookup?Npi=1740223460","1740223460")</f>
        <v>1740223460</v>
      </c>
      <c r="E6718" t="s">
        <v>15490</v>
      </c>
    </row>
    <row r="6719" spans="1:5" x14ac:dyDescent="0.25">
      <c r="A6719" t="s">
        <v>1</v>
      </c>
      <c r="B6719" t="s">
        <v>19</v>
      </c>
      <c r="C6719" t="s">
        <v>23490</v>
      </c>
      <c r="D6719" t="str">
        <f>HYPERLINK("https://rhld.insurance.arkansas.gov/NPILookup?Npi=1740225796","1740225796")</f>
        <v>1740225796</v>
      </c>
      <c r="E6719" t="s">
        <v>1904</v>
      </c>
    </row>
    <row r="6720" spans="1:5" x14ac:dyDescent="0.25">
      <c r="A6720" t="s">
        <v>1</v>
      </c>
      <c r="B6720" t="s">
        <v>19</v>
      </c>
      <c r="C6720" t="s">
        <v>23490</v>
      </c>
      <c r="D6720" t="str">
        <f>HYPERLINK("https://rhld.insurance.arkansas.gov/NPILookup?Npi=1740229723","1740229723")</f>
        <v>1740229723</v>
      </c>
      <c r="E6720" t="s">
        <v>2605</v>
      </c>
    </row>
    <row r="6721" spans="1:5" x14ac:dyDescent="0.25">
      <c r="A6721" t="s">
        <v>1</v>
      </c>
      <c r="B6721" t="s">
        <v>19</v>
      </c>
      <c r="C6721" t="s">
        <v>23490</v>
      </c>
      <c r="D6721" t="str">
        <f>HYPERLINK("https://rhld.insurance.arkansas.gov/NPILookup?Npi=1740232693","1740232693")</f>
        <v>1740232693</v>
      </c>
      <c r="E6721" t="s">
        <v>2606</v>
      </c>
    </row>
    <row r="6722" spans="1:5" x14ac:dyDescent="0.25">
      <c r="A6722" t="s">
        <v>1</v>
      </c>
      <c r="B6722" t="s">
        <v>19</v>
      </c>
      <c r="C6722" t="s">
        <v>23490</v>
      </c>
      <c r="D6722" t="str">
        <f>HYPERLINK("https://rhld.insurance.arkansas.gov/NPILookup?Npi=1740239169","1740239169")</f>
        <v>1740239169</v>
      </c>
      <c r="E6722" t="s">
        <v>2607</v>
      </c>
    </row>
    <row r="6723" spans="1:5" x14ac:dyDescent="0.25">
      <c r="A6723" t="s">
        <v>1</v>
      </c>
      <c r="B6723" t="s">
        <v>19</v>
      </c>
      <c r="C6723" t="s">
        <v>23490</v>
      </c>
      <c r="D6723" t="str">
        <f>HYPERLINK("https://rhld.insurance.arkansas.gov/NPILookup?Npi=1740249523","1740249523")</f>
        <v>1740249523</v>
      </c>
      <c r="E6723" t="s">
        <v>2608</v>
      </c>
    </row>
    <row r="6724" spans="1:5" x14ac:dyDescent="0.25">
      <c r="A6724" t="s">
        <v>1</v>
      </c>
      <c r="B6724" t="s">
        <v>19</v>
      </c>
      <c r="C6724" t="s">
        <v>23490</v>
      </c>
      <c r="D6724" t="str">
        <f>HYPERLINK("https://rhld.insurance.arkansas.gov/NPILookup?Npi=1740256528","1740256528")</f>
        <v>1740256528</v>
      </c>
      <c r="E6724" t="s">
        <v>2609</v>
      </c>
    </row>
    <row r="6725" spans="1:5" x14ac:dyDescent="0.25">
      <c r="A6725" t="s">
        <v>1</v>
      </c>
      <c r="B6725" t="s">
        <v>19</v>
      </c>
      <c r="C6725" t="s">
        <v>23490</v>
      </c>
      <c r="D6725" t="str">
        <f>HYPERLINK("https://rhld.insurance.arkansas.gov/NPILookup?Npi=1740258078","1740258078")</f>
        <v>1740258078</v>
      </c>
      <c r="E6725" t="s">
        <v>2610</v>
      </c>
    </row>
    <row r="6726" spans="1:5" x14ac:dyDescent="0.25">
      <c r="A6726" t="s">
        <v>1</v>
      </c>
      <c r="B6726" t="s">
        <v>19</v>
      </c>
      <c r="C6726" t="s">
        <v>23490</v>
      </c>
      <c r="D6726" t="str">
        <f>HYPERLINK("https://rhld.insurance.arkansas.gov/NPILookup?Npi=1740258102","1740258102")</f>
        <v>1740258102</v>
      </c>
      <c r="E6726" t="s">
        <v>2611</v>
      </c>
    </row>
    <row r="6727" spans="1:5" x14ac:dyDescent="0.25">
      <c r="A6727" t="s">
        <v>1</v>
      </c>
      <c r="B6727" t="s">
        <v>19</v>
      </c>
      <c r="C6727" t="s">
        <v>23490</v>
      </c>
      <c r="D6727" t="str">
        <f>HYPERLINK("https://rhld.insurance.arkansas.gov/NPILookup?Npi=1740266535","1740266535")</f>
        <v>1740266535</v>
      </c>
      <c r="E6727" t="s">
        <v>2612</v>
      </c>
    </row>
    <row r="6728" spans="1:5" x14ac:dyDescent="0.25">
      <c r="A6728" t="s">
        <v>1</v>
      </c>
      <c r="B6728" t="s">
        <v>19</v>
      </c>
      <c r="C6728" t="s">
        <v>23490</v>
      </c>
      <c r="D6728" t="str">
        <f>HYPERLINK("https://rhld.insurance.arkansas.gov/NPILookup?Npi=1740271014","1740271014")</f>
        <v>1740271014</v>
      </c>
      <c r="E6728" t="s">
        <v>2613</v>
      </c>
    </row>
    <row r="6729" spans="1:5" x14ac:dyDescent="0.25">
      <c r="A6729" t="s">
        <v>1</v>
      </c>
      <c r="B6729" t="s">
        <v>19</v>
      </c>
      <c r="C6729" t="s">
        <v>23490</v>
      </c>
      <c r="D6729" t="str">
        <f>HYPERLINK("https://rhld.insurance.arkansas.gov/NPILookup?Npi=1740274448","1740274448")</f>
        <v>1740274448</v>
      </c>
      <c r="E6729" t="s">
        <v>2614</v>
      </c>
    </row>
    <row r="6730" spans="1:5" x14ac:dyDescent="0.25">
      <c r="A6730" t="s">
        <v>1</v>
      </c>
      <c r="B6730" t="s">
        <v>19</v>
      </c>
      <c r="C6730" t="s">
        <v>23490</v>
      </c>
      <c r="D6730" t="str">
        <f>HYPERLINK("https://rhld.insurance.arkansas.gov/NPILookup?Npi=1740277375","1740277375")</f>
        <v>1740277375</v>
      </c>
      <c r="E6730" t="s">
        <v>2615</v>
      </c>
    </row>
    <row r="6731" spans="1:5" x14ac:dyDescent="0.25">
      <c r="A6731" t="s">
        <v>1</v>
      </c>
      <c r="B6731" t="s">
        <v>19</v>
      </c>
      <c r="C6731" t="s">
        <v>23490</v>
      </c>
      <c r="D6731" t="str">
        <f>HYPERLINK("https://rhld.insurance.arkansas.gov/NPILookup?Npi=1740277532","1740277532")</f>
        <v>1740277532</v>
      </c>
      <c r="E6731" t="s">
        <v>21642</v>
      </c>
    </row>
    <row r="6732" spans="1:5" x14ac:dyDescent="0.25">
      <c r="A6732" t="s">
        <v>1</v>
      </c>
      <c r="B6732" t="s">
        <v>19</v>
      </c>
      <c r="C6732" t="s">
        <v>23490</v>
      </c>
      <c r="D6732" t="str">
        <f>HYPERLINK("https://rhld.insurance.arkansas.gov/NPILookup?Npi=1740277557","1740277557")</f>
        <v>1740277557</v>
      </c>
      <c r="E6732" t="s">
        <v>2616</v>
      </c>
    </row>
    <row r="6733" spans="1:5" x14ac:dyDescent="0.25">
      <c r="A6733" t="s">
        <v>1</v>
      </c>
      <c r="B6733" t="s">
        <v>19</v>
      </c>
      <c r="C6733" t="s">
        <v>23490</v>
      </c>
      <c r="D6733" t="str">
        <f>HYPERLINK("https://rhld.insurance.arkansas.gov/NPILookup?Npi=1740279553","1740279553")</f>
        <v>1740279553</v>
      </c>
      <c r="E6733" t="s">
        <v>2617</v>
      </c>
    </row>
    <row r="6734" spans="1:5" x14ac:dyDescent="0.25">
      <c r="A6734" t="s">
        <v>1</v>
      </c>
      <c r="B6734" t="s">
        <v>19</v>
      </c>
      <c r="C6734" t="s">
        <v>23490</v>
      </c>
      <c r="D6734" t="str">
        <f>HYPERLINK("https://rhld.insurance.arkansas.gov/NPILookup?Npi=1740284728","1740284728")</f>
        <v>1740284728</v>
      </c>
      <c r="E6734" t="s">
        <v>15491</v>
      </c>
    </row>
    <row r="6735" spans="1:5" x14ac:dyDescent="0.25">
      <c r="A6735" t="s">
        <v>1</v>
      </c>
      <c r="B6735" t="s">
        <v>19</v>
      </c>
      <c r="C6735" t="s">
        <v>23490</v>
      </c>
      <c r="D6735" t="str">
        <f>HYPERLINK("https://rhld.insurance.arkansas.gov/NPILookup?Npi=1740289214","1740289214")</f>
        <v>1740289214</v>
      </c>
      <c r="E6735" t="s">
        <v>17472</v>
      </c>
    </row>
    <row r="6736" spans="1:5" x14ac:dyDescent="0.25">
      <c r="A6736" t="s">
        <v>1</v>
      </c>
      <c r="B6736" t="s">
        <v>19</v>
      </c>
      <c r="C6736" t="s">
        <v>23490</v>
      </c>
      <c r="D6736" t="str">
        <f>HYPERLINK("https://rhld.insurance.arkansas.gov/NPILookup?Npi=1740291525","1740291525")</f>
        <v>1740291525</v>
      </c>
      <c r="E6736" t="s">
        <v>12895</v>
      </c>
    </row>
    <row r="6737" spans="1:5" x14ac:dyDescent="0.25">
      <c r="A6737" t="s">
        <v>1</v>
      </c>
      <c r="B6737" t="s">
        <v>19</v>
      </c>
      <c r="C6737" t="s">
        <v>23490</v>
      </c>
      <c r="D6737" t="str">
        <f>HYPERLINK("https://rhld.insurance.arkansas.gov/NPILookup?Npi=1740294032","1740294032")</f>
        <v>1740294032</v>
      </c>
      <c r="E6737" t="s">
        <v>2618</v>
      </c>
    </row>
    <row r="6738" spans="1:5" x14ac:dyDescent="0.25">
      <c r="A6738" t="s">
        <v>1</v>
      </c>
      <c r="B6738" t="s">
        <v>19</v>
      </c>
      <c r="C6738" t="s">
        <v>23490</v>
      </c>
      <c r="D6738" t="str">
        <f>HYPERLINK("https://rhld.insurance.arkansas.gov/NPILookup?Npi=1740310911","1740310911")</f>
        <v>1740310911</v>
      </c>
      <c r="E6738" t="s">
        <v>2619</v>
      </c>
    </row>
    <row r="6739" spans="1:5" x14ac:dyDescent="0.25">
      <c r="A6739" t="s">
        <v>1</v>
      </c>
      <c r="B6739" t="s">
        <v>19</v>
      </c>
      <c r="C6739" t="s">
        <v>23490</v>
      </c>
      <c r="D6739" t="str">
        <f>HYPERLINK("https://rhld.insurance.arkansas.gov/NPILookup?Npi=1740326610","1740326610")</f>
        <v>1740326610</v>
      </c>
      <c r="E6739" t="s">
        <v>2620</v>
      </c>
    </row>
    <row r="6740" spans="1:5" x14ac:dyDescent="0.25">
      <c r="A6740" t="s">
        <v>1</v>
      </c>
      <c r="B6740" t="s">
        <v>19</v>
      </c>
      <c r="C6740" t="s">
        <v>23490</v>
      </c>
      <c r="D6740" t="str">
        <f>HYPERLINK("https://rhld.insurance.arkansas.gov/NPILookup?Npi=1740333756","1740333756")</f>
        <v>1740333756</v>
      </c>
      <c r="E6740" t="s">
        <v>2621</v>
      </c>
    </row>
    <row r="6741" spans="1:5" x14ac:dyDescent="0.25">
      <c r="A6741" t="s">
        <v>1</v>
      </c>
      <c r="B6741" t="s">
        <v>19</v>
      </c>
      <c r="C6741" t="s">
        <v>23490</v>
      </c>
      <c r="D6741" t="str">
        <f>HYPERLINK("https://rhld.insurance.arkansas.gov/NPILookup?Npi=1740348663","1740348663")</f>
        <v>1740348663</v>
      </c>
      <c r="E6741" t="s">
        <v>15492</v>
      </c>
    </row>
    <row r="6742" spans="1:5" x14ac:dyDescent="0.25">
      <c r="A6742" t="s">
        <v>1</v>
      </c>
      <c r="B6742" t="s">
        <v>19</v>
      </c>
      <c r="C6742" t="s">
        <v>23490</v>
      </c>
      <c r="D6742" t="str">
        <f>HYPERLINK("https://rhld.insurance.arkansas.gov/NPILookup?Npi=1740359892","1740359892")</f>
        <v>1740359892</v>
      </c>
      <c r="E6742" t="s">
        <v>2622</v>
      </c>
    </row>
    <row r="6743" spans="1:5" x14ac:dyDescent="0.25">
      <c r="A6743" t="s">
        <v>1</v>
      </c>
      <c r="B6743" t="s">
        <v>19</v>
      </c>
      <c r="C6743" t="s">
        <v>23490</v>
      </c>
      <c r="D6743" t="str">
        <f>HYPERLINK("https://rhld.insurance.arkansas.gov/NPILookup?Npi=1740365733","1740365733")</f>
        <v>1740365733</v>
      </c>
      <c r="E6743" t="s">
        <v>2623</v>
      </c>
    </row>
    <row r="6744" spans="1:5" x14ac:dyDescent="0.25">
      <c r="A6744" t="s">
        <v>1</v>
      </c>
      <c r="B6744" t="s">
        <v>19</v>
      </c>
      <c r="C6744" t="s">
        <v>23490</v>
      </c>
      <c r="D6744" t="str">
        <f>HYPERLINK("https://rhld.insurance.arkansas.gov/NPILookup?Npi=1740394261","1740394261")</f>
        <v>1740394261</v>
      </c>
      <c r="E6744" t="s">
        <v>2625</v>
      </c>
    </row>
    <row r="6745" spans="1:5" x14ac:dyDescent="0.25">
      <c r="A6745" t="s">
        <v>1</v>
      </c>
      <c r="B6745" t="s">
        <v>19</v>
      </c>
      <c r="C6745" t="s">
        <v>23490</v>
      </c>
      <c r="D6745" t="str">
        <f>HYPERLINK("https://rhld.insurance.arkansas.gov/NPILookup?Npi=1740410661","1740410661")</f>
        <v>1740410661</v>
      </c>
      <c r="E6745" t="s">
        <v>2626</v>
      </c>
    </row>
    <row r="6746" spans="1:5" x14ac:dyDescent="0.25">
      <c r="A6746" t="s">
        <v>1</v>
      </c>
      <c r="B6746" t="s">
        <v>19</v>
      </c>
      <c r="C6746" t="s">
        <v>23490</v>
      </c>
      <c r="D6746" t="str">
        <f>HYPERLINK("https://rhld.insurance.arkansas.gov/NPILookup?Npi=1740411511","1740411511")</f>
        <v>1740411511</v>
      </c>
      <c r="E6746" t="s">
        <v>13674</v>
      </c>
    </row>
    <row r="6747" spans="1:5" x14ac:dyDescent="0.25">
      <c r="A6747" t="s">
        <v>1</v>
      </c>
      <c r="B6747" t="s">
        <v>19</v>
      </c>
      <c r="C6747" t="s">
        <v>23490</v>
      </c>
      <c r="D6747" t="str">
        <f>HYPERLINK("https://rhld.insurance.arkansas.gov/NPILookup?Npi=1740415611","1740415611")</f>
        <v>1740415611</v>
      </c>
      <c r="E6747" t="s">
        <v>2627</v>
      </c>
    </row>
    <row r="6748" spans="1:5" x14ac:dyDescent="0.25">
      <c r="A6748" t="s">
        <v>1</v>
      </c>
      <c r="B6748" t="s">
        <v>19</v>
      </c>
      <c r="C6748" t="s">
        <v>23490</v>
      </c>
      <c r="D6748" t="str">
        <f>HYPERLINK("https://rhld.insurance.arkansas.gov/NPILookup?Npi=1740439975","1740439975")</f>
        <v>1740439975</v>
      </c>
      <c r="E6748" t="s">
        <v>11218</v>
      </c>
    </row>
    <row r="6749" spans="1:5" x14ac:dyDescent="0.25">
      <c r="A6749" t="s">
        <v>1</v>
      </c>
      <c r="B6749" t="s">
        <v>19</v>
      </c>
      <c r="C6749" t="s">
        <v>23490</v>
      </c>
      <c r="D6749" t="str">
        <f>HYPERLINK("https://rhld.insurance.arkansas.gov/NPILookup?Npi=1740442284","1740442284")</f>
        <v>1740442284</v>
      </c>
      <c r="E6749" t="s">
        <v>2628</v>
      </c>
    </row>
    <row r="6750" spans="1:5" x14ac:dyDescent="0.25">
      <c r="A6750" t="s">
        <v>1</v>
      </c>
      <c r="B6750" t="s">
        <v>19</v>
      </c>
      <c r="C6750" t="s">
        <v>23490</v>
      </c>
      <c r="D6750" t="str">
        <f>HYPERLINK("https://rhld.insurance.arkansas.gov/NPILookup?Npi=1740490895","1740490895")</f>
        <v>1740490895</v>
      </c>
      <c r="E6750" t="s">
        <v>2629</v>
      </c>
    </row>
    <row r="6751" spans="1:5" x14ac:dyDescent="0.25">
      <c r="A6751" t="s">
        <v>1</v>
      </c>
      <c r="B6751" t="s">
        <v>19</v>
      </c>
      <c r="C6751" t="s">
        <v>23490</v>
      </c>
      <c r="D6751" t="str">
        <f>HYPERLINK("https://rhld.insurance.arkansas.gov/NPILookup?Npi=1740500214","1740500214")</f>
        <v>1740500214</v>
      </c>
      <c r="E6751" t="s">
        <v>2630</v>
      </c>
    </row>
    <row r="6752" spans="1:5" x14ac:dyDescent="0.25">
      <c r="A6752" t="s">
        <v>1</v>
      </c>
      <c r="B6752" t="s">
        <v>19</v>
      </c>
      <c r="C6752" t="s">
        <v>23490</v>
      </c>
      <c r="D6752" t="str">
        <f>HYPERLINK("https://rhld.insurance.arkansas.gov/NPILookup?Npi=1740528546","1740528546")</f>
        <v>1740528546</v>
      </c>
      <c r="E6752" t="s">
        <v>2631</v>
      </c>
    </row>
    <row r="6753" spans="1:5" x14ac:dyDescent="0.25">
      <c r="A6753" t="s">
        <v>1</v>
      </c>
      <c r="B6753" t="s">
        <v>19</v>
      </c>
      <c r="C6753" t="s">
        <v>23490</v>
      </c>
      <c r="D6753" t="str">
        <f>HYPERLINK("https://rhld.insurance.arkansas.gov/NPILookup?Npi=1740529155","1740529155")</f>
        <v>1740529155</v>
      </c>
      <c r="E6753" t="s">
        <v>12896</v>
      </c>
    </row>
    <row r="6754" spans="1:5" x14ac:dyDescent="0.25">
      <c r="A6754" t="s">
        <v>1</v>
      </c>
      <c r="B6754" t="s">
        <v>19</v>
      </c>
      <c r="C6754" t="s">
        <v>23490</v>
      </c>
      <c r="D6754" t="str">
        <f>HYPERLINK("https://rhld.insurance.arkansas.gov/NPILookup?Npi=1740532993","1740532993")</f>
        <v>1740532993</v>
      </c>
      <c r="E6754" t="s">
        <v>15493</v>
      </c>
    </row>
    <row r="6755" spans="1:5" x14ac:dyDescent="0.25">
      <c r="A6755" t="s">
        <v>1</v>
      </c>
      <c r="B6755" t="s">
        <v>19</v>
      </c>
      <c r="C6755" t="s">
        <v>23490</v>
      </c>
      <c r="D6755" t="str">
        <f>HYPERLINK("https://rhld.insurance.arkansas.gov/NPILookup?Npi=1740544352","1740544352")</f>
        <v>1740544352</v>
      </c>
      <c r="E6755" t="s">
        <v>2632</v>
      </c>
    </row>
    <row r="6756" spans="1:5" x14ac:dyDescent="0.25">
      <c r="A6756" t="s">
        <v>1</v>
      </c>
      <c r="B6756" t="s">
        <v>19</v>
      </c>
      <c r="C6756" t="s">
        <v>23490</v>
      </c>
      <c r="D6756" t="str">
        <f>HYPERLINK("https://rhld.insurance.arkansas.gov/NPILookup?Npi=1740546191","1740546191")</f>
        <v>1740546191</v>
      </c>
      <c r="E6756" t="s">
        <v>11219</v>
      </c>
    </row>
    <row r="6757" spans="1:5" x14ac:dyDescent="0.25">
      <c r="A6757" t="s">
        <v>1</v>
      </c>
      <c r="B6757" t="s">
        <v>19</v>
      </c>
      <c r="C6757" t="s">
        <v>23490</v>
      </c>
      <c r="D6757" t="str">
        <f>HYPERLINK("https://rhld.insurance.arkansas.gov/NPILookup?Npi=1740547702","1740547702")</f>
        <v>1740547702</v>
      </c>
      <c r="E6757" t="s">
        <v>2633</v>
      </c>
    </row>
    <row r="6758" spans="1:5" x14ac:dyDescent="0.25">
      <c r="A6758" t="s">
        <v>1</v>
      </c>
      <c r="B6758" t="s">
        <v>19</v>
      </c>
      <c r="C6758" t="s">
        <v>23490</v>
      </c>
      <c r="D6758" t="str">
        <f>HYPERLINK("https://rhld.insurance.arkansas.gov/NPILookup?Npi=1740557172","1740557172")</f>
        <v>1740557172</v>
      </c>
      <c r="E6758" t="s">
        <v>11220</v>
      </c>
    </row>
    <row r="6759" spans="1:5" x14ac:dyDescent="0.25">
      <c r="A6759" t="s">
        <v>1</v>
      </c>
      <c r="B6759" t="s">
        <v>19</v>
      </c>
      <c r="C6759" t="s">
        <v>23490</v>
      </c>
      <c r="D6759" t="str">
        <f>HYPERLINK("https://rhld.insurance.arkansas.gov/NPILookup?Npi=1740565324","1740565324")</f>
        <v>1740565324</v>
      </c>
      <c r="E6759" t="s">
        <v>19986</v>
      </c>
    </row>
    <row r="6760" spans="1:5" x14ac:dyDescent="0.25">
      <c r="A6760" t="s">
        <v>1</v>
      </c>
      <c r="B6760" t="s">
        <v>19</v>
      </c>
      <c r="C6760" t="s">
        <v>23490</v>
      </c>
      <c r="D6760" t="str">
        <f>HYPERLINK("https://rhld.insurance.arkansas.gov/NPILookup?Npi=1740572387","1740572387")</f>
        <v>1740572387</v>
      </c>
      <c r="E6760" t="s">
        <v>2634</v>
      </c>
    </row>
    <row r="6761" spans="1:5" x14ac:dyDescent="0.25">
      <c r="A6761" t="s">
        <v>1</v>
      </c>
      <c r="B6761" t="s">
        <v>19</v>
      </c>
      <c r="C6761" t="s">
        <v>23490</v>
      </c>
      <c r="D6761" t="str">
        <f>HYPERLINK("https://rhld.insurance.arkansas.gov/NPILookup?Npi=1740575075","1740575075")</f>
        <v>1740575075</v>
      </c>
      <c r="E6761" t="s">
        <v>2635</v>
      </c>
    </row>
    <row r="6762" spans="1:5" x14ac:dyDescent="0.25">
      <c r="A6762" t="s">
        <v>1</v>
      </c>
      <c r="B6762" t="s">
        <v>19</v>
      </c>
      <c r="C6762" t="s">
        <v>23490</v>
      </c>
      <c r="D6762" t="str">
        <f>HYPERLINK("https://rhld.insurance.arkansas.gov/NPILookup?Npi=1740591437","1740591437")</f>
        <v>1740591437</v>
      </c>
      <c r="E6762" t="s">
        <v>2636</v>
      </c>
    </row>
    <row r="6763" spans="1:5" x14ac:dyDescent="0.25">
      <c r="A6763" t="s">
        <v>1</v>
      </c>
      <c r="B6763" t="s">
        <v>19</v>
      </c>
      <c r="C6763" t="s">
        <v>23490</v>
      </c>
      <c r="D6763" t="str">
        <f>HYPERLINK("https://rhld.insurance.arkansas.gov/NPILookup?Npi=1740610609","1740610609")</f>
        <v>1740610609</v>
      </c>
      <c r="E6763" t="s">
        <v>2637</v>
      </c>
    </row>
    <row r="6764" spans="1:5" x14ac:dyDescent="0.25">
      <c r="A6764" t="s">
        <v>1</v>
      </c>
      <c r="B6764" t="s">
        <v>19</v>
      </c>
      <c r="C6764" t="s">
        <v>23490</v>
      </c>
      <c r="D6764" t="str">
        <f>HYPERLINK("https://rhld.insurance.arkansas.gov/NPILookup?Npi=1740614627","1740614627")</f>
        <v>1740614627</v>
      </c>
      <c r="E6764" t="s">
        <v>19987</v>
      </c>
    </row>
    <row r="6765" spans="1:5" x14ac:dyDescent="0.25">
      <c r="A6765" t="s">
        <v>1</v>
      </c>
      <c r="B6765" t="s">
        <v>19</v>
      </c>
      <c r="C6765" t="s">
        <v>23490</v>
      </c>
      <c r="D6765" t="str">
        <f>HYPERLINK("https://rhld.insurance.arkansas.gov/NPILookup?Npi=1740622497","1740622497")</f>
        <v>1740622497</v>
      </c>
      <c r="E6765" t="s">
        <v>15494</v>
      </c>
    </row>
    <row r="6766" spans="1:5" x14ac:dyDescent="0.25">
      <c r="A6766" t="s">
        <v>1</v>
      </c>
      <c r="B6766" t="s">
        <v>19</v>
      </c>
      <c r="C6766" t="s">
        <v>23490</v>
      </c>
      <c r="D6766" t="str">
        <f>HYPERLINK("https://rhld.insurance.arkansas.gov/NPILookup?Npi=1740624345","1740624345")</f>
        <v>1740624345</v>
      </c>
      <c r="E6766" t="s">
        <v>11221</v>
      </c>
    </row>
    <row r="6767" spans="1:5" x14ac:dyDescent="0.25">
      <c r="A6767" t="s">
        <v>1</v>
      </c>
      <c r="B6767" t="s">
        <v>19</v>
      </c>
      <c r="C6767" t="s">
        <v>23490</v>
      </c>
      <c r="D6767" t="str">
        <f>HYPERLINK("https://rhld.insurance.arkansas.gov/NPILookup?Npi=1740629625","1740629625")</f>
        <v>1740629625</v>
      </c>
      <c r="E6767" t="s">
        <v>8831</v>
      </c>
    </row>
    <row r="6768" spans="1:5" x14ac:dyDescent="0.25">
      <c r="A6768" t="s">
        <v>1</v>
      </c>
      <c r="B6768" t="s">
        <v>19</v>
      </c>
      <c r="C6768" t="s">
        <v>23490</v>
      </c>
      <c r="D6768" t="str">
        <f>HYPERLINK("https://rhld.insurance.arkansas.gov/NPILookup?Npi=1740649920","1740649920")</f>
        <v>1740649920</v>
      </c>
      <c r="E6768" t="s">
        <v>13675</v>
      </c>
    </row>
    <row r="6769" spans="1:5" x14ac:dyDescent="0.25">
      <c r="A6769" t="s">
        <v>1</v>
      </c>
      <c r="B6769" t="s">
        <v>19</v>
      </c>
      <c r="C6769" t="s">
        <v>23490</v>
      </c>
      <c r="D6769" t="str">
        <f>HYPERLINK("https://rhld.insurance.arkansas.gov/NPILookup?Npi=1740656818","1740656818")</f>
        <v>1740656818</v>
      </c>
      <c r="E6769" t="s">
        <v>11222</v>
      </c>
    </row>
    <row r="6770" spans="1:5" x14ac:dyDescent="0.25">
      <c r="A6770" t="s">
        <v>1</v>
      </c>
      <c r="B6770" t="s">
        <v>19</v>
      </c>
      <c r="C6770" t="s">
        <v>23490</v>
      </c>
      <c r="D6770" t="str">
        <f>HYPERLINK("https://rhld.insurance.arkansas.gov/NPILookup?Npi=1740657162","1740657162")</f>
        <v>1740657162</v>
      </c>
      <c r="E6770" t="s">
        <v>8832</v>
      </c>
    </row>
    <row r="6771" spans="1:5" x14ac:dyDescent="0.25">
      <c r="A6771" t="s">
        <v>1</v>
      </c>
      <c r="B6771" t="s">
        <v>19</v>
      </c>
      <c r="C6771" t="s">
        <v>23490</v>
      </c>
      <c r="D6771" t="str">
        <f>HYPERLINK("https://rhld.insurance.arkansas.gov/NPILookup?Npi=1740659960","1740659960")</f>
        <v>1740659960</v>
      </c>
      <c r="E6771" t="s">
        <v>15495</v>
      </c>
    </row>
    <row r="6772" spans="1:5" x14ac:dyDescent="0.25">
      <c r="A6772" t="s">
        <v>1</v>
      </c>
      <c r="B6772" t="s">
        <v>19</v>
      </c>
      <c r="C6772" t="s">
        <v>23490</v>
      </c>
      <c r="D6772" t="str">
        <f>HYPERLINK("https://rhld.insurance.arkansas.gov/NPILookup?Npi=1740664226","1740664226")</f>
        <v>1740664226</v>
      </c>
      <c r="E6772" t="s">
        <v>2638</v>
      </c>
    </row>
    <row r="6773" spans="1:5" x14ac:dyDescent="0.25">
      <c r="A6773" t="s">
        <v>1</v>
      </c>
      <c r="B6773" t="s">
        <v>19</v>
      </c>
      <c r="C6773" t="s">
        <v>23490</v>
      </c>
      <c r="D6773" t="str">
        <f>HYPERLINK("https://rhld.insurance.arkansas.gov/NPILookup?Npi=1740678226","1740678226")</f>
        <v>1740678226</v>
      </c>
      <c r="E6773" t="s">
        <v>18098</v>
      </c>
    </row>
    <row r="6774" spans="1:5" x14ac:dyDescent="0.25">
      <c r="A6774" t="s">
        <v>1</v>
      </c>
      <c r="B6774" t="s">
        <v>19</v>
      </c>
      <c r="C6774" t="s">
        <v>23490</v>
      </c>
      <c r="D6774" t="str">
        <f>HYPERLINK("https://rhld.insurance.arkansas.gov/NPILookup?Npi=1740684646","1740684646")</f>
        <v>1740684646</v>
      </c>
      <c r="E6774" t="s">
        <v>13676</v>
      </c>
    </row>
    <row r="6775" spans="1:5" x14ac:dyDescent="0.25">
      <c r="A6775" t="s">
        <v>1</v>
      </c>
      <c r="B6775" t="s">
        <v>19</v>
      </c>
      <c r="C6775" t="s">
        <v>23490</v>
      </c>
      <c r="D6775" t="str">
        <f>HYPERLINK("https://rhld.insurance.arkansas.gov/NPILookup?Npi=1740686302","1740686302")</f>
        <v>1740686302</v>
      </c>
      <c r="E6775" t="s">
        <v>13677</v>
      </c>
    </row>
    <row r="6776" spans="1:5" x14ac:dyDescent="0.25">
      <c r="A6776" t="s">
        <v>1</v>
      </c>
      <c r="B6776" t="s">
        <v>19</v>
      </c>
      <c r="C6776" t="s">
        <v>23490</v>
      </c>
      <c r="D6776" t="str">
        <f>HYPERLINK("https://rhld.insurance.arkansas.gov/NPILookup?Npi=1740693183","1740693183")</f>
        <v>1740693183</v>
      </c>
      <c r="E6776" t="s">
        <v>11223</v>
      </c>
    </row>
    <row r="6777" spans="1:5" x14ac:dyDescent="0.25">
      <c r="A6777" t="s">
        <v>1</v>
      </c>
      <c r="B6777" t="s">
        <v>19</v>
      </c>
      <c r="C6777" t="s">
        <v>23490</v>
      </c>
      <c r="D6777" t="str">
        <f>HYPERLINK("https://rhld.insurance.arkansas.gov/NPILookup?Npi=1740695410","1740695410")</f>
        <v>1740695410</v>
      </c>
      <c r="E6777" t="s">
        <v>11224</v>
      </c>
    </row>
    <row r="6778" spans="1:5" x14ac:dyDescent="0.25">
      <c r="A6778" t="s">
        <v>1</v>
      </c>
      <c r="B6778" t="s">
        <v>19</v>
      </c>
      <c r="C6778" t="s">
        <v>23490</v>
      </c>
      <c r="D6778" t="str">
        <f>HYPERLINK("https://rhld.insurance.arkansas.gov/NPILookup?Npi=1740700574","1740700574")</f>
        <v>1740700574</v>
      </c>
      <c r="E6778" t="s">
        <v>18099</v>
      </c>
    </row>
    <row r="6779" spans="1:5" x14ac:dyDescent="0.25">
      <c r="A6779" t="s">
        <v>1</v>
      </c>
      <c r="B6779" t="s">
        <v>19</v>
      </c>
      <c r="C6779" t="s">
        <v>23490</v>
      </c>
      <c r="D6779" t="str">
        <f>HYPERLINK("https://rhld.insurance.arkansas.gov/NPILookup?Npi=1740704774","1740704774")</f>
        <v>1740704774</v>
      </c>
      <c r="E6779" t="s">
        <v>11225</v>
      </c>
    </row>
    <row r="6780" spans="1:5" x14ac:dyDescent="0.25">
      <c r="A6780" t="s">
        <v>1</v>
      </c>
      <c r="B6780" t="s">
        <v>19</v>
      </c>
      <c r="C6780" t="s">
        <v>23490</v>
      </c>
      <c r="D6780" t="str">
        <f>HYPERLINK("https://rhld.insurance.arkansas.gov/NPILookup?Npi=1740719590","1740719590")</f>
        <v>1740719590</v>
      </c>
      <c r="E6780" t="s">
        <v>11226</v>
      </c>
    </row>
    <row r="6781" spans="1:5" x14ac:dyDescent="0.25">
      <c r="A6781" t="s">
        <v>1</v>
      </c>
      <c r="B6781" t="s">
        <v>19</v>
      </c>
      <c r="C6781" t="s">
        <v>23490</v>
      </c>
      <c r="D6781" t="str">
        <f>HYPERLINK("https://rhld.insurance.arkansas.gov/NPILookup?Npi=1740727478","1740727478")</f>
        <v>1740727478</v>
      </c>
      <c r="E6781" t="s">
        <v>11227</v>
      </c>
    </row>
    <row r="6782" spans="1:5" x14ac:dyDescent="0.25">
      <c r="A6782" t="s">
        <v>1</v>
      </c>
      <c r="B6782" t="s">
        <v>19</v>
      </c>
      <c r="C6782" t="s">
        <v>23490</v>
      </c>
      <c r="D6782" t="str">
        <f>HYPERLINK("https://rhld.insurance.arkansas.gov/NPILookup?Npi=1740728104","1740728104")</f>
        <v>1740728104</v>
      </c>
      <c r="E6782" t="s">
        <v>15496</v>
      </c>
    </row>
    <row r="6783" spans="1:5" x14ac:dyDescent="0.25">
      <c r="A6783" t="s">
        <v>1</v>
      </c>
      <c r="B6783" t="s">
        <v>19</v>
      </c>
      <c r="C6783" t="s">
        <v>23490</v>
      </c>
      <c r="D6783" t="str">
        <f>HYPERLINK("https://rhld.insurance.arkansas.gov/NPILookup?Npi=1740730290","1740730290")</f>
        <v>1740730290</v>
      </c>
      <c r="E6783" t="s">
        <v>12897</v>
      </c>
    </row>
    <row r="6784" spans="1:5" x14ac:dyDescent="0.25">
      <c r="A6784" t="s">
        <v>1</v>
      </c>
      <c r="B6784" t="s">
        <v>19</v>
      </c>
      <c r="C6784" t="s">
        <v>23490</v>
      </c>
      <c r="D6784" t="str">
        <f>HYPERLINK("https://rhld.insurance.arkansas.gov/NPILookup?Npi=1740731306","1740731306")</f>
        <v>1740731306</v>
      </c>
      <c r="E6784" t="s">
        <v>11228</v>
      </c>
    </row>
    <row r="6785" spans="1:5" x14ac:dyDescent="0.25">
      <c r="A6785" t="s">
        <v>1</v>
      </c>
      <c r="B6785" t="s">
        <v>19</v>
      </c>
      <c r="C6785" t="s">
        <v>23490</v>
      </c>
      <c r="D6785" t="str">
        <f>HYPERLINK("https://rhld.insurance.arkansas.gov/NPILookup?Npi=1740731660","1740731660")</f>
        <v>1740731660</v>
      </c>
      <c r="E6785" t="s">
        <v>13678</v>
      </c>
    </row>
    <row r="6786" spans="1:5" x14ac:dyDescent="0.25">
      <c r="A6786" t="s">
        <v>1</v>
      </c>
      <c r="B6786" t="s">
        <v>19</v>
      </c>
      <c r="C6786" t="s">
        <v>23490</v>
      </c>
      <c r="D6786" t="str">
        <f>HYPERLINK("https://rhld.insurance.arkansas.gov/NPILookup?Npi=1740732130","1740732130")</f>
        <v>1740732130</v>
      </c>
      <c r="E6786" t="s">
        <v>15497</v>
      </c>
    </row>
    <row r="6787" spans="1:5" x14ac:dyDescent="0.25">
      <c r="A6787" t="s">
        <v>1</v>
      </c>
      <c r="B6787" t="s">
        <v>19</v>
      </c>
      <c r="C6787" t="s">
        <v>23490</v>
      </c>
      <c r="D6787" t="str">
        <f>HYPERLINK("https://rhld.insurance.arkansas.gov/NPILookup?Npi=1740736180","1740736180")</f>
        <v>1740736180</v>
      </c>
      <c r="E6787" t="s">
        <v>11229</v>
      </c>
    </row>
    <row r="6788" spans="1:5" x14ac:dyDescent="0.25">
      <c r="A6788" t="s">
        <v>1</v>
      </c>
      <c r="B6788" t="s">
        <v>19</v>
      </c>
      <c r="C6788" t="s">
        <v>23490</v>
      </c>
      <c r="D6788" t="str">
        <f>HYPERLINK("https://rhld.insurance.arkansas.gov/NPILookup?Npi=1740742998","1740742998")</f>
        <v>1740742998</v>
      </c>
      <c r="E6788" t="s">
        <v>21025</v>
      </c>
    </row>
    <row r="6789" spans="1:5" x14ac:dyDescent="0.25">
      <c r="A6789" t="s">
        <v>1</v>
      </c>
      <c r="B6789" t="s">
        <v>19</v>
      </c>
      <c r="C6789" t="s">
        <v>23490</v>
      </c>
      <c r="D6789" t="str">
        <f>HYPERLINK("https://rhld.insurance.arkansas.gov/NPILookup?Npi=1740756659","1740756659")</f>
        <v>1740756659</v>
      </c>
      <c r="E6789" t="s">
        <v>17473</v>
      </c>
    </row>
    <row r="6790" spans="1:5" x14ac:dyDescent="0.25">
      <c r="A6790" t="s">
        <v>1</v>
      </c>
      <c r="B6790" t="s">
        <v>19</v>
      </c>
      <c r="C6790" t="s">
        <v>23490</v>
      </c>
      <c r="D6790" t="str">
        <f>HYPERLINK("https://rhld.insurance.arkansas.gov/NPILookup?Npi=1740765023","1740765023")</f>
        <v>1740765023</v>
      </c>
      <c r="E6790" t="s">
        <v>13679</v>
      </c>
    </row>
    <row r="6791" spans="1:5" x14ac:dyDescent="0.25">
      <c r="A6791" t="s">
        <v>1</v>
      </c>
      <c r="B6791" t="s">
        <v>19</v>
      </c>
      <c r="C6791" t="s">
        <v>23490</v>
      </c>
      <c r="D6791" t="str">
        <f>HYPERLINK("https://rhld.insurance.arkansas.gov/NPILookup?Npi=1740765205","1740765205")</f>
        <v>1740765205</v>
      </c>
      <c r="E6791" t="s">
        <v>13680</v>
      </c>
    </row>
    <row r="6792" spans="1:5" x14ac:dyDescent="0.25">
      <c r="A6792" t="s">
        <v>1</v>
      </c>
      <c r="B6792" t="s">
        <v>19</v>
      </c>
      <c r="C6792" t="s">
        <v>23490</v>
      </c>
      <c r="D6792" t="str">
        <f>HYPERLINK("https://rhld.insurance.arkansas.gov/NPILookup?Npi=1740767375","1740767375")</f>
        <v>1740767375</v>
      </c>
      <c r="E6792" t="s">
        <v>13681</v>
      </c>
    </row>
    <row r="6793" spans="1:5" x14ac:dyDescent="0.25">
      <c r="A6793" t="s">
        <v>1</v>
      </c>
      <c r="B6793" t="s">
        <v>19</v>
      </c>
      <c r="C6793" t="s">
        <v>23490</v>
      </c>
      <c r="D6793" t="str">
        <f>HYPERLINK("https://rhld.insurance.arkansas.gov/NPILookup?Npi=1740774579","1740774579")</f>
        <v>1740774579</v>
      </c>
      <c r="E6793" t="s">
        <v>5430</v>
      </c>
    </row>
    <row r="6794" spans="1:5" x14ac:dyDescent="0.25">
      <c r="A6794" t="s">
        <v>1</v>
      </c>
      <c r="B6794" t="s">
        <v>19</v>
      </c>
      <c r="C6794" t="s">
        <v>23490</v>
      </c>
      <c r="D6794" t="str">
        <f>HYPERLINK("https://rhld.insurance.arkansas.gov/NPILookup?Npi=1740787902","1740787902")</f>
        <v>1740787902</v>
      </c>
      <c r="E6794" t="s">
        <v>19988</v>
      </c>
    </row>
    <row r="6795" spans="1:5" x14ac:dyDescent="0.25">
      <c r="A6795" t="s">
        <v>1</v>
      </c>
      <c r="B6795" t="s">
        <v>19</v>
      </c>
      <c r="C6795" t="s">
        <v>23490</v>
      </c>
      <c r="D6795" t="str">
        <f>HYPERLINK("https://rhld.insurance.arkansas.gov/NPILookup?Npi=1740805977","1740805977")</f>
        <v>1740805977</v>
      </c>
      <c r="E6795" t="s">
        <v>18100</v>
      </c>
    </row>
    <row r="6796" spans="1:5" x14ac:dyDescent="0.25">
      <c r="A6796" t="s">
        <v>1</v>
      </c>
      <c r="B6796" t="s">
        <v>19</v>
      </c>
      <c r="C6796" t="s">
        <v>23490</v>
      </c>
      <c r="D6796" t="str">
        <f>HYPERLINK("https://rhld.insurance.arkansas.gov/NPILookup?Npi=1740811793","1740811793")</f>
        <v>1740811793</v>
      </c>
      <c r="E6796" t="s">
        <v>17019</v>
      </c>
    </row>
    <row r="6797" spans="1:5" x14ac:dyDescent="0.25">
      <c r="A6797" t="s">
        <v>1</v>
      </c>
      <c r="B6797" t="s">
        <v>19</v>
      </c>
      <c r="C6797" t="s">
        <v>23490</v>
      </c>
      <c r="D6797" t="str">
        <f>HYPERLINK("https://rhld.insurance.arkansas.gov/NPILookup?Npi=1740818137","1740818137")</f>
        <v>1740818137</v>
      </c>
      <c r="E6797" t="s">
        <v>18101</v>
      </c>
    </row>
    <row r="6798" spans="1:5" x14ac:dyDescent="0.25">
      <c r="A6798" t="s">
        <v>1</v>
      </c>
      <c r="B6798" t="s">
        <v>19</v>
      </c>
      <c r="C6798" t="s">
        <v>23490</v>
      </c>
      <c r="D6798" t="str">
        <f>HYPERLINK("https://rhld.insurance.arkansas.gov/NPILookup?Npi=1740819135","1740819135")</f>
        <v>1740819135</v>
      </c>
      <c r="E6798" t="s">
        <v>18102</v>
      </c>
    </row>
    <row r="6799" spans="1:5" x14ac:dyDescent="0.25">
      <c r="A6799" t="s">
        <v>1</v>
      </c>
      <c r="B6799" t="s">
        <v>19</v>
      </c>
      <c r="C6799" t="s">
        <v>23490</v>
      </c>
      <c r="D6799" t="str">
        <f>HYPERLINK("https://rhld.insurance.arkansas.gov/NPILookup?Npi=1740820950","1740820950")</f>
        <v>1740820950</v>
      </c>
      <c r="E6799" t="s">
        <v>18855</v>
      </c>
    </row>
    <row r="6800" spans="1:5" x14ac:dyDescent="0.25">
      <c r="A6800" t="s">
        <v>1</v>
      </c>
      <c r="B6800" t="s">
        <v>19</v>
      </c>
      <c r="C6800" t="s">
        <v>23490</v>
      </c>
      <c r="D6800" t="str">
        <f>HYPERLINK("https://rhld.insurance.arkansas.gov/NPILookup?Npi=1740842509","1740842509")</f>
        <v>1740842509</v>
      </c>
      <c r="E6800" t="s">
        <v>15498</v>
      </c>
    </row>
    <row r="6801" spans="1:5" x14ac:dyDescent="0.25">
      <c r="A6801" t="s">
        <v>1</v>
      </c>
      <c r="B6801" t="s">
        <v>19</v>
      </c>
      <c r="C6801" t="s">
        <v>23490</v>
      </c>
      <c r="D6801" t="str">
        <f>HYPERLINK("https://rhld.insurance.arkansas.gov/NPILookup?Npi=1740844927","1740844927")</f>
        <v>1740844927</v>
      </c>
      <c r="E6801" t="s">
        <v>18103</v>
      </c>
    </row>
    <row r="6802" spans="1:5" x14ac:dyDescent="0.25">
      <c r="A6802" t="s">
        <v>1</v>
      </c>
      <c r="B6802" t="s">
        <v>19</v>
      </c>
      <c r="C6802" t="s">
        <v>23490</v>
      </c>
      <c r="D6802" t="str">
        <f>HYPERLINK("https://rhld.insurance.arkansas.gov/NPILookup?Npi=1740850387","1740850387")</f>
        <v>1740850387</v>
      </c>
      <c r="E6802" t="s">
        <v>18856</v>
      </c>
    </row>
    <row r="6803" spans="1:5" x14ac:dyDescent="0.25">
      <c r="A6803" t="s">
        <v>1</v>
      </c>
      <c r="B6803" t="s">
        <v>19</v>
      </c>
      <c r="C6803" t="s">
        <v>23490</v>
      </c>
      <c r="D6803" t="str">
        <f>HYPERLINK("https://rhld.insurance.arkansas.gov/NPILookup?Npi=1740855980","1740855980")</f>
        <v>1740855980</v>
      </c>
      <c r="E6803" t="s">
        <v>18857</v>
      </c>
    </row>
    <row r="6804" spans="1:5" x14ac:dyDescent="0.25">
      <c r="A6804" t="s">
        <v>1</v>
      </c>
      <c r="B6804" t="s">
        <v>19</v>
      </c>
      <c r="C6804" t="s">
        <v>23490</v>
      </c>
      <c r="D6804" t="str">
        <f>HYPERLINK("https://rhld.insurance.arkansas.gov/NPILookup?Npi=1740869007","1740869007")</f>
        <v>1740869007</v>
      </c>
      <c r="E6804" t="s">
        <v>18858</v>
      </c>
    </row>
    <row r="6805" spans="1:5" x14ac:dyDescent="0.25">
      <c r="A6805" t="s">
        <v>1</v>
      </c>
      <c r="B6805" t="s">
        <v>19</v>
      </c>
      <c r="C6805" t="s">
        <v>23490</v>
      </c>
      <c r="D6805" t="str">
        <f>HYPERLINK("https://rhld.insurance.arkansas.gov/NPILookup?Npi=1740870583","1740870583")</f>
        <v>1740870583</v>
      </c>
      <c r="E6805" t="s">
        <v>19989</v>
      </c>
    </row>
    <row r="6806" spans="1:5" x14ac:dyDescent="0.25">
      <c r="A6806" t="s">
        <v>1</v>
      </c>
      <c r="B6806" t="s">
        <v>19</v>
      </c>
      <c r="C6806" t="s">
        <v>23490</v>
      </c>
      <c r="D6806" t="str">
        <f>HYPERLINK("https://rhld.insurance.arkansas.gov/NPILookup?Npi=1740922962","1740922962")</f>
        <v>1740922962</v>
      </c>
      <c r="E6806" t="s">
        <v>21643</v>
      </c>
    </row>
    <row r="6807" spans="1:5" x14ac:dyDescent="0.25">
      <c r="A6807" t="s">
        <v>1</v>
      </c>
      <c r="B6807" t="s">
        <v>19</v>
      </c>
      <c r="C6807" t="s">
        <v>23490</v>
      </c>
      <c r="D6807" t="str">
        <f>HYPERLINK("https://rhld.insurance.arkansas.gov/NPILookup?Npi=1740924455","1740924455")</f>
        <v>1740924455</v>
      </c>
      <c r="E6807" t="s">
        <v>21026</v>
      </c>
    </row>
    <row r="6808" spans="1:5" x14ac:dyDescent="0.25">
      <c r="A6808" t="s">
        <v>1</v>
      </c>
      <c r="B6808" t="s">
        <v>19</v>
      </c>
      <c r="C6808" t="s">
        <v>23490</v>
      </c>
      <c r="D6808" t="str">
        <f>HYPERLINK("https://rhld.insurance.arkansas.gov/NPILookup?Npi=1740932722","1740932722")</f>
        <v>1740932722</v>
      </c>
      <c r="E6808" t="s">
        <v>21027</v>
      </c>
    </row>
    <row r="6809" spans="1:5" x14ac:dyDescent="0.25">
      <c r="A6809" t="s">
        <v>1</v>
      </c>
      <c r="B6809" t="s">
        <v>19</v>
      </c>
      <c r="C6809" t="s">
        <v>23490</v>
      </c>
      <c r="D6809" t="str">
        <f>HYPERLINK("https://rhld.insurance.arkansas.gov/NPILookup?Npi=1740956721","1740956721")</f>
        <v>1740956721</v>
      </c>
      <c r="E6809" t="s">
        <v>5528</v>
      </c>
    </row>
    <row r="6810" spans="1:5" x14ac:dyDescent="0.25">
      <c r="A6810" t="s">
        <v>1</v>
      </c>
      <c r="B6810" t="s">
        <v>19</v>
      </c>
      <c r="C6810" t="s">
        <v>23490</v>
      </c>
      <c r="D6810" t="str">
        <f>HYPERLINK("https://rhld.insurance.arkansas.gov/NPILookup?Npi=1750013439","1750013439")</f>
        <v>1750013439</v>
      </c>
      <c r="E6810" t="s">
        <v>21644</v>
      </c>
    </row>
    <row r="6811" spans="1:5" x14ac:dyDescent="0.25">
      <c r="A6811" t="s">
        <v>1</v>
      </c>
      <c r="B6811" t="s">
        <v>19</v>
      </c>
      <c r="C6811" t="s">
        <v>23490</v>
      </c>
      <c r="D6811" t="str">
        <f>HYPERLINK("https://rhld.insurance.arkansas.gov/NPILookup?Npi=1750035598","1750035598")</f>
        <v>1750035598</v>
      </c>
      <c r="E6811" t="s">
        <v>19990</v>
      </c>
    </row>
    <row r="6812" spans="1:5" x14ac:dyDescent="0.25">
      <c r="A6812" t="s">
        <v>1</v>
      </c>
      <c r="B6812" t="s">
        <v>19</v>
      </c>
      <c r="C6812" t="s">
        <v>23490</v>
      </c>
      <c r="D6812" t="str">
        <f>HYPERLINK("https://rhld.insurance.arkansas.gov/NPILookup?Npi=1750039152","1750039152")</f>
        <v>1750039152</v>
      </c>
      <c r="E6812" t="s">
        <v>21028</v>
      </c>
    </row>
    <row r="6813" spans="1:5" x14ac:dyDescent="0.25">
      <c r="A6813" t="s">
        <v>1</v>
      </c>
      <c r="B6813" t="s">
        <v>19</v>
      </c>
      <c r="C6813" t="s">
        <v>23490</v>
      </c>
      <c r="D6813" t="str">
        <f>HYPERLINK("https://rhld.insurance.arkansas.gov/NPILookup?Npi=1750300273","1750300273")</f>
        <v>1750300273</v>
      </c>
      <c r="E6813" t="s">
        <v>11230</v>
      </c>
    </row>
    <row r="6814" spans="1:5" x14ac:dyDescent="0.25">
      <c r="A6814" t="s">
        <v>1</v>
      </c>
      <c r="B6814" t="s">
        <v>19</v>
      </c>
      <c r="C6814" t="s">
        <v>23490</v>
      </c>
      <c r="D6814" t="str">
        <f>HYPERLINK("https://rhld.insurance.arkansas.gov/NPILookup?Npi=1750305702","1750305702")</f>
        <v>1750305702</v>
      </c>
      <c r="E6814" t="s">
        <v>19991</v>
      </c>
    </row>
    <row r="6815" spans="1:5" x14ac:dyDescent="0.25">
      <c r="A6815" t="s">
        <v>1</v>
      </c>
      <c r="B6815" t="s">
        <v>19</v>
      </c>
      <c r="C6815" t="s">
        <v>23490</v>
      </c>
      <c r="D6815" t="str">
        <f>HYPERLINK("https://rhld.insurance.arkansas.gov/NPILookup?Npi=1750309142","1750309142")</f>
        <v>1750309142</v>
      </c>
      <c r="E6815" t="s">
        <v>17020</v>
      </c>
    </row>
    <row r="6816" spans="1:5" x14ac:dyDescent="0.25">
      <c r="A6816" t="s">
        <v>1</v>
      </c>
      <c r="B6816" t="s">
        <v>19</v>
      </c>
      <c r="C6816" t="s">
        <v>23490</v>
      </c>
      <c r="D6816" t="str">
        <f>HYPERLINK("https://rhld.insurance.arkansas.gov/NPILookup?Npi=1750316634","1750316634")</f>
        <v>1750316634</v>
      </c>
      <c r="E6816" t="s">
        <v>2640</v>
      </c>
    </row>
    <row r="6817" spans="1:5" x14ac:dyDescent="0.25">
      <c r="A6817" t="s">
        <v>1</v>
      </c>
      <c r="B6817" t="s">
        <v>19</v>
      </c>
      <c r="C6817" t="s">
        <v>23490</v>
      </c>
      <c r="D6817" t="str">
        <f>HYPERLINK("https://rhld.insurance.arkansas.gov/NPILookup?Npi=1750318796","1750318796")</f>
        <v>1750318796</v>
      </c>
      <c r="E6817" t="s">
        <v>2641</v>
      </c>
    </row>
    <row r="6818" spans="1:5" x14ac:dyDescent="0.25">
      <c r="A6818" t="s">
        <v>1</v>
      </c>
      <c r="B6818" t="s">
        <v>19</v>
      </c>
      <c r="C6818" t="s">
        <v>23490</v>
      </c>
      <c r="D6818" t="str">
        <f>HYPERLINK("https://rhld.insurance.arkansas.gov/NPILookup?Npi=1750327391","1750327391")</f>
        <v>1750327391</v>
      </c>
      <c r="E6818" t="s">
        <v>11231</v>
      </c>
    </row>
    <row r="6819" spans="1:5" x14ac:dyDescent="0.25">
      <c r="A6819" t="s">
        <v>1</v>
      </c>
      <c r="B6819" t="s">
        <v>19</v>
      </c>
      <c r="C6819" t="s">
        <v>23490</v>
      </c>
      <c r="D6819" t="str">
        <f>HYPERLINK("https://rhld.insurance.arkansas.gov/NPILookup?Npi=1750328233","1750328233")</f>
        <v>1750328233</v>
      </c>
      <c r="E6819" t="s">
        <v>12898</v>
      </c>
    </row>
    <row r="6820" spans="1:5" x14ac:dyDescent="0.25">
      <c r="A6820" t="s">
        <v>1</v>
      </c>
      <c r="B6820" t="s">
        <v>19</v>
      </c>
      <c r="C6820" t="s">
        <v>23490</v>
      </c>
      <c r="D6820" t="str">
        <f>HYPERLINK("https://rhld.insurance.arkansas.gov/NPILookup?Npi=1750340063","1750340063")</f>
        <v>1750340063</v>
      </c>
      <c r="E6820" t="s">
        <v>2642</v>
      </c>
    </row>
    <row r="6821" spans="1:5" x14ac:dyDescent="0.25">
      <c r="A6821" t="s">
        <v>1</v>
      </c>
      <c r="B6821" t="s">
        <v>19</v>
      </c>
      <c r="C6821" t="s">
        <v>23490</v>
      </c>
      <c r="D6821" t="str">
        <f>HYPERLINK("https://rhld.insurance.arkansas.gov/NPILookup?Npi=1750342531","1750342531")</f>
        <v>1750342531</v>
      </c>
      <c r="E6821" t="s">
        <v>2643</v>
      </c>
    </row>
    <row r="6822" spans="1:5" x14ac:dyDescent="0.25">
      <c r="A6822" t="s">
        <v>1</v>
      </c>
      <c r="B6822" t="s">
        <v>19</v>
      </c>
      <c r="C6822" t="s">
        <v>23490</v>
      </c>
      <c r="D6822" t="str">
        <f>HYPERLINK("https://rhld.insurance.arkansas.gov/NPILookup?Npi=1750342804","1750342804")</f>
        <v>1750342804</v>
      </c>
      <c r="E6822" t="s">
        <v>2644</v>
      </c>
    </row>
    <row r="6823" spans="1:5" x14ac:dyDescent="0.25">
      <c r="A6823" t="s">
        <v>1</v>
      </c>
      <c r="B6823" t="s">
        <v>19</v>
      </c>
      <c r="C6823" t="s">
        <v>23490</v>
      </c>
      <c r="D6823" t="str">
        <f>HYPERLINK("https://rhld.insurance.arkansas.gov/NPILookup?Npi=1750343190","1750343190")</f>
        <v>1750343190</v>
      </c>
      <c r="E6823" t="s">
        <v>2645</v>
      </c>
    </row>
    <row r="6824" spans="1:5" x14ac:dyDescent="0.25">
      <c r="A6824" t="s">
        <v>1</v>
      </c>
      <c r="B6824" t="s">
        <v>19</v>
      </c>
      <c r="C6824" t="s">
        <v>23490</v>
      </c>
      <c r="D6824" t="str">
        <f>HYPERLINK("https://rhld.insurance.arkansas.gov/NPILookup?Npi=1750344073","1750344073")</f>
        <v>1750344073</v>
      </c>
      <c r="E6824" t="s">
        <v>2384</v>
      </c>
    </row>
    <row r="6825" spans="1:5" x14ac:dyDescent="0.25">
      <c r="A6825" t="s">
        <v>1</v>
      </c>
      <c r="B6825" t="s">
        <v>19</v>
      </c>
      <c r="C6825" t="s">
        <v>23490</v>
      </c>
      <c r="D6825" t="str">
        <f>HYPERLINK("https://rhld.insurance.arkansas.gov/NPILookup?Npi=1750347258","1750347258")</f>
        <v>1750347258</v>
      </c>
      <c r="E6825" t="s">
        <v>2646</v>
      </c>
    </row>
    <row r="6826" spans="1:5" x14ac:dyDescent="0.25">
      <c r="A6826" t="s">
        <v>1</v>
      </c>
      <c r="B6826" t="s">
        <v>19</v>
      </c>
      <c r="C6826" t="s">
        <v>23490</v>
      </c>
      <c r="D6826" t="str">
        <f>HYPERLINK("https://rhld.insurance.arkansas.gov/NPILookup?Npi=1750349858","1750349858")</f>
        <v>1750349858</v>
      </c>
      <c r="E6826" t="s">
        <v>2647</v>
      </c>
    </row>
    <row r="6827" spans="1:5" x14ac:dyDescent="0.25">
      <c r="A6827" t="s">
        <v>1</v>
      </c>
      <c r="B6827" t="s">
        <v>19</v>
      </c>
      <c r="C6827" t="s">
        <v>23490</v>
      </c>
      <c r="D6827" t="str">
        <f>HYPERLINK("https://rhld.insurance.arkansas.gov/NPILookup?Npi=1750351540","1750351540")</f>
        <v>1750351540</v>
      </c>
      <c r="E6827" t="s">
        <v>15499</v>
      </c>
    </row>
    <row r="6828" spans="1:5" x14ac:dyDescent="0.25">
      <c r="A6828" t="s">
        <v>1</v>
      </c>
      <c r="B6828" t="s">
        <v>19</v>
      </c>
      <c r="C6828" t="s">
        <v>23490</v>
      </c>
      <c r="D6828" t="str">
        <f>HYPERLINK("https://rhld.insurance.arkansas.gov/NPILookup?Npi=1750352597","1750352597")</f>
        <v>1750352597</v>
      </c>
      <c r="E6828" t="s">
        <v>15500</v>
      </c>
    </row>
    <row r="6829" spans="1:5" x14ac:dyDescent="0.25">
      <c r="A6829" t="s">
        <v>1</v>
      </c>
      <c r="B6829" t="s">
        <v>19</v>
      </c>
      <c r="C6829" t="s">
        <v>23490</v>
      </c>
      <c r="D6829" t="str">
        <f>HYPERLINK("https://rhld.insurance.arkansas.gov/NPILookup?Npi=1750354007","1750354007")</f>
        <v>1750354007</v>
      </c>
      <c r="E6829" t="s">
        <v>2648</v>
      </c>
    </row>
    <row r="6830" spans="1:5" x14ac:dyDescent="0.25">
      <c r="A6830" t="s">
        <v>1</v>
      </c>
      <c r="B6830" t="s">
        <v>19</v>
      </c>
      <c r="C6830" t="s">
        <v>23490</v>
      </c>
      <c r="D6830" t="str">
        <f>HYPERLINK("https://rhld.insurance.arkansas.gov/NPILookup?Npi=1750357836","1750357836")</f>
        <v>1750357836</v>
      </c>
      <c r="E6830" t="s">
        <v>15501</v>
      </c>
    </row>
    <row r="6831" spans="1:5" x14ac:dyDescent="0.25">
      <c r="A6831" t="s">
        <v>1</v>
      </c>
      <c r="B6831" t="s">
        <v>19</v>
      </c>
      <c r="C6831" t="s">
        <v>23490</v>
      </c>
      <c r="D6831" t="str">
        <f>HYPERLINK("https://rhld.insurance.arkansas.gov/NPILookup?Npi=1750368759","1750368759")</f>
        <v>1750368759</v>
      </c>
      <c r="E6831" t="s">
        <v>18104</v>
      </c>
    </row>
    <row r="6832" spans="1:5" x14ac:dyDescent="0.25">
      <c r="A6832" t="s">
        <v>1</v>
      </c>
      <c r="B6832" t="s">
        <v>19</v>
      </c>
      <c r="C6832" t="s">
        <v>23490</v>
      </c>
      <c r="D6832" t="str">
        <f>HYPERLINK("https://rhld.insurance.arkansas.gov/NPILookup?Npi=1750373957","1750373957")</f>
        <v>1750373957</v>
      </c>
      <c r="E6832" t="s">
        <v>2649</v>
      </c>
    </row>
    <row r="6833" spans="1:5" x14ac:dyDescent="0.25">
      <c r="A6833" t="s">
        <v>1</v>
      </c>
      <c r="B6833" t="s">
        <v>19</v>
      </c>
      <c r="C6833" t="s">
        <v>23490</v>
      </c>
      <c r="D6833" t="str">
        <f>HYPERLINK("https://rhld.insurance.arkansas.gov/NPILookup?Npi=1750375291","1750375291")</f>
        <v>1750375291</v>
      </c>
      <c r="E6833" t="s">
        <v>2650</v>
      </c>
    </row>
    <row r="6834" spans="1:5" x14ac:dyDescent="0.25">
      <c r="A6834" t="s">
        <v>1</v>
      </c>
      <c r="B6834" t="s">
        <v>19</v>
      </c>
      <c r="C6834" t="s">
        <v>23490</v>
      </c>
      <c r="D6834" t="str">
        <f>HYPERLINK("https://rhld.insurance.arkansas.gov/NPILookup?Npi=1750379608","1750379608")</f>
        <v>1750379608</v>
      </c>
      <c r="E6834" t="s">
        <v>2651</v>
      </c>
    </row>
    <row r="6835" spans="1:5" x14ac:dyDescent="0.25">
      <c r="A6835" t="s">
        <v>1</v>
      </c>
      <c r="B6835" t="s">
        <v>19</v>
      </c>
      <c r="C6835" t="s">
        <v>23490</v>
      </c>
      <c r="D6835" t="str">
        <f>HYPERLINK("https://rhld.insurance.arkansas.gov/NPILookup?Npi=1750381489","1750381489")</f>
        <v>1750381489</v>
      </c>
      <c r="E6835" t="s">
        <v>17021</v>
      </c>
    </row>
    <row r="6836" spans="1:5" x14ac:dyDescent="0.25">
      <c r="A6836" t="s">
        <v>1</v>
      </c>
      <c r="B6836" t="s">
        <v>19</v>
      </c>
      <c r="C6836" t="s">
        <v>23490</v>
      </c>
      <c r="D6836" t="str">
        <f>HYPERLINK("https://rhld.insurance.arkansas.gov/NPILookup?Npi=1750383543","1750383543")</f>
        <v>1750383543</v>
      </c>
      <c r="E6836" t="s">
        <v>15502</v>
      </c>
    </row>
    <row r="6837" spans="1:5" x14ac:dyDescent="0.25">
      <c r="A6837" t="s">
        <v>1</v>
      </c>
      <c r="B6837" t="s">
        <v>19</v>
      </c>
      <c r="C6837" t="s">
        <v>23490</v>
      </c>
      <c r="D6837" t="str">
        <f>HYPERLINK("https://rhld.insurance.arkansas.gov/NPILookup?Npi=1750386488","1750386488")</f>
        <v>1750386488</v>
      </c>
      <c r="E6837" t="s">
        <v>15503</v>
      </c>
    </row>
    <row r="6838" spans="1:5" x14ac:dyDescent="0.25">
      <c r="A6838" t="s">
        <v>1</v>
      </c>
      <c r="B6838" t="s">
        <v>19</v>
      </c>
      <c r="C6838" t="s">
        <v>23490</v>
      </c>
      <c r="D6838" t="str">
        <f>HYPERLINK("https://rhld.insurance.arkansas.gov/NPILookup?Npi=1750386553","1750386553")</f>
        <v>1750386553</v>
      </c>
      <c r="E6838" t="s">
        <v>2652</v>
      </c>
    </row>
    <row r="6839" spans="1:5" x14ac:dyDescent="0.25">
      <c r="A6839" t="s">
        <v>1</v>
      </c>
      <c r="B6839" t="s">
        <v>19</v>
      </c>
      <c r="C6839" t="s">
        <v>23490</v>
      </c>
      <c r="D6839" t="str">
        <f>HYPERLINK("https://rhld.insurance.arkansas.gov/NPILookup?Npi=1750386876","1750386876")</f>
        <v>1750386876</v>
      </c>
      <c r="E6839" t="s">
        <v>2653</v>
      </c>
    </row>
    <row r="6840" spans="1:5" x14ac:dyDescent="0.25">
      <c r="A6840" t="s">
        <v>1</v>
      </c>
      <c r="B6840" t="s">
        <v>19</v>
      </c>
      <c r="C6840" t="s">
        <v>23490</v>
      </c>
      <c r="D6840" t="str">
        <f>HYPERLINK("https://rhld.insurance.arkansas.gov/NPILookup?Npi=1750388401","1750388401")</f>
        <v>1750388401</v>
      </c>
      <c r="E6840" t="s">
        <v>2654</v>
      </c>
    </row>
    <row r="6841" spans="1:5" x14ac:dyDescent="0.25">
      <c r="A6841" t="s">
        <v>1</v>
      </c>
      <c r="B6841" t="s">
        <v>19</v>
      </c>
      <c r="C6841" t="s">
        <v>23490</v>
      </c>
      <c r="D6841" t="str">
        <f>HYPERLINK("https://rhld.insurance.arkansas.gov/NPILookup?Npi=1750390068","1750390068")</f>
        <v>1750390068</v>
      </c>
      <c r="E6841" t="s">
        <v>22898</v>
      </c>
    </row>
    <row r="6842" spans="1:5" x14ac:dyDescent="0.25">
      <c r="A6842" t="s">
        <v>1</v>
      </c>
      <c r="B6842" t="s">
        <v>19</v>
      </c>
      <c r="C6842" t="s">
        <v>23490</v>
      </c>
      <c r="D6842" t="str">
        <f>HYPERLINK("https://rhld.insurance.arkansas.gov/NPILookup?Npi=1750391082","1750391082")</f>
        <v>1750391082</v>
      </c>
      <c r="E6842" t="s">
        <v>2656</v>
      </c>
    </row>
    <row r="6843" spans="1:5" x14ac:dyDescent="0.25">
      <c r="A6843" t="s">
        <v>1</v>
      </c>
      <c r="B6843" t="s">
        <v>19</v>
      </c>
      <c r="C6843" t="s">
        <v>23490</v>
      </c>
      <c r="D6843" t="str">
        <f>HYPERLINK("https://rhld.insurance.arkansas.gov/NPILookup?Npi=1750391116","1750391116")</f>
        <v>1750391116</v>
      </c>
      <c r="E6843" t="s">
        <v>2657</v>
      </c>
    </row>
    <row r="6844" spans="1:5" x14ac:dyDescent="0.25">
      <c r="A6844" t="s">
        <v>1</v>
      </c>
      <c r="B6844" t="s">
        <v>19</v>
      </c>
      <c r="C6844" t="s">
        <v>23490</v>
      </c>
      <c r="D6844" t="str">
        <f>HYPERLINK("https://rhld.insurance.arkansas.gov/NPILookup?Npi=1750406658","1750406658")</f>
        <v>1750406658</v>
      </c>
      <c r="E6844" t="s">
        <v>2658</v>
      </c>
    </row>
    <row r="6845" spans="1:5" x14ac:dyDescent="0.25">
      <c r="A6845" t="s">
        <v>1</v>
      </c>
      <c r="B6845" t="s">
        <v>19</v>
      </c>
      <c r="C6845" t="s">
        <v>23490</v>
      </c>
      <c r="D6845" t="str">
        <f>HYPERLINK("https://rhld.insurance.arkansas.gov/NPILookup?Npi=1750442711","1750442711")</f>
        <v>1750442711</v>
      </c>
      <c r="E6845" t="s">
        <v>18105</v>
      </c>
    </row>
    <row r="6846" spans="1:5" x14ac:dyDescent="0.25">
      <c r="A6846" t="s">
        <v>1</v>
      </c>
      <c r="B6846" t="s">
        <v>19</v>
      </c>
      <c r="C6846" t="s">
        <v>23490</v>
      </c>
      <c r="D6846" t="str">
        <f>HYPERLINK("https://rhld.insurance.arkansas.gov/NPILookup?Npi=1750464442","1750464442")</f>
        <v>1750464442</v>
      </c>
      <c r="E6846" t="s">
        <v>2659</v>
      </c>
    </row>
    <row r="6847" spans="1:5" x14ac:dyDescent="0.25">
      <c r="A6847" t="s">
        <v>1</v>
      </c>
      <c r="B6847" t="s">
        <v>19</v>
      </c>
      <c r="C6847" t="s">
        <v>23490</v>
      </c>
      <c r="D6847" t="str">
        <f>HYPERLINK("https://rhld.insurance.arkansas.gov/NPILookup?Npi=1750469706","1750469706")</f>
        <v>1750469706</v>
      </c>
      <c r="E6847" t="s">
        <v>2660</v>
      </c>
    </row>
    <row r="6848" spans="1:5" x14ac:dyDescent="0.25">
      <c r="A6848" t="s">
        <v>1</v>
      </c>
      <c r="B6848" t="s">
        <v>19</v>
      </c>
      <c r="C6848" t="s">
        <v>23490</v>
      </c>
      <c r="D6848" t="str">
        <f>HYPERLINK("https://rhld.insurance.arkansas.gov/NPILookup?Npi=1750472643","1750472643")</f>
        <v>1750472643</v>
      </c>
      <c r="E6848" t="s">
        <v>18106</v>
      </c>
    </row>
    <row r="6849" spans="1:5" x14ac:dyDescent="0.25">
      <c r="A6849" t="s">
        <v>1</v>
      </c>
      <c r="B6849" t="s">
        <v>19</v>
      </c>
      <c r="C6849" t="s">
        <v>23490</v>
      </c>
      <c r="D6849" t="str">
        <f>HYPERLINK("https://rhld.insurance.arkansas.gov/NPILookup?Npi=1750485900","1750485900")</f>
        <v>1750485900</v>
      </c>
      <c r="E6849" t="s">
        <v>2662</v>
      </c>
    </row>
    <row r="6850" spans="1:5" x14ac:dyDescent="0.25">
      <c r="A6850" t="s">
        <v>1</v>
      </c>
      <c r="B6850" t="s">
        <v>19</v>
      </c>
      <c r="C6850" t="s">
        <v>23490</v>
      </c>
      <c r="D6850" t="str">
        <f>HYPERLINK("https://rhld.insurance.arkansas.gov/NPILookup?Npi=1750492203","1750492203")</f>
        <v>1750492203</v>
      </c>
      <c r="E6850" t="s">
        <v>15504</v>
      </c>
    </row>
    <row r="6851" spans="1:5" x14ac:dyDescent="0.25">
      <c r="A6851" t="s">
        <v>1</v>
      </c>
      <c r="B6851" t="s">
        <v>19</v>
      </c>
      <c r="C6851" t="s">
        <v>23490</v>
      </c>
      <c r="D6851" t="str">
        <f>HYPERLINK("https://rhld.insurance.arkansas.gov/NPILookup?Npi=1750493474","1750493474")</f>
        <v>1750493474</v>
      </c>
      <c r="E6851" t="s">
        <v>13682</v>
      </c>
    </row>
    <row r="6852" spans="1:5" x14ac:dyDescent="0.25">
      <c r="A6852" t="s">
        <v>1</v>
      </c>
      <c r="B6852" t="s">
        <v>19</v>
      </c>
      <c r="C6852" t="s">
        <v>23490</v>
      </c>
      <c r="D6852" t="str">
        <f>HYPERLINK("https://rhld.insurance.arkansas.gov/NPILookup?Npi=1750496253","1750496253")</f>
        <v>1750496253</v>
      </c>
      <c r="E6852" t="s">
        <v>21645</v>
      </c>
    </row>
    <row r="6853" spans="1:5" x14ac:dyDescent="0.25">
      <c r="A6853" t="s">
        <v>1</v>
      </c>
      <c r="B6853" t="s">
        <v>19</v>
      </c>
      <c r="C6853" t="s">
        <v>23490</v>
      </c>
      <c r="D6853" t="str">
        <f>HYPERLINK("https://rhld.insurance.arkansas.gov/NPILookup?Npi=1750499984","1750499984")</f>
        <v>1750499984</v>
      </c>
      <c r="E6853" t="s">
        <v>13683</v>
      </c>
    </row>
    <row r="6854" spans="1:5" x14ac:dyDescent="0.25">
      <c r="A6854" t="s">
        <v>1</v>
      </c>
      <c r="B6854" t="s">
        <v>19</v>
      </c>
      <c r="C6854" t="s">
        <v>23490</v>
      </c>
      <c r="D6854" t="str">
        <f>HYPERLINK("https://rhld.insurance.arkansas.gov/NPILookup?Npi=1750504312","1750504312")</f>
        <v>1750504312</v>
      </c>
      <c r="E6854" t="s">
        <v>5644</v>
      </c>
    </row>
    <row r="6855" spans="1:5" x14ac:dyDescent="0.25">
      <c r="A6855" t="s">
        <v>1</v>
      </c>
      <c r="B6855" t="s">
        <v>19</v>
      </c>
      <c r="C6855" t="s">
        <v>23490</v>
      </c>
      <c r="D6855" t="str">
        <f>HYPERLINK("https://rhld.insurance.arkansas.gov/NPILookup?Npi=1750506861","1750506861")</f>
        <v>1750506861</v>
      </c>
      <c r="E6855" t="s">
        <v>2663</v>
      </c>
    </row>
    <row r="6856" spans="1:5" x14ac:dyDescent="0.25">
      <c r="A6856" t="s">
        <v>1</v>
      </c>
      <c r="B6856" t="s">
        <v>19</v>
      </c>
      <c r="C6856" t="s">
        <v>23490</v>
      </c>
      <c r="D6856" t="str">
        <f>HYPERLINK("https://rhld.insurance.arkansas.gov/NPILookup?Npi=1750518072","1750518072")</f>
        <v>1750518072</v>
      </c>
      <c r="E6856" t="s">
        <v>2664</v>
      </c>
    </row>
    <row r="6857" spans="1:5" x14ac:dyDescent="0.25">
      <c r="A6857" t="s">
        <v>1</v>
      </c>
      <c r="B6857" t="s">
        <v>19</v>
      </c>
      <c r="C6857" t="s">
        <v>23490</v>
      </c>
      <c r="D6857" t="str">
        <f>HYPERLINK("https://rhld.insurance.arkansas.gov/NPILookup?Npi=1750531505","1750531505")</f>
        <v>1750531505</v>
      </c>
      <c r="E6857" t="s">
        <v>2665</v>
      </c>
    </row>
    <row r="6858" spans="1:5" x14ac:dyDescent="0.25">
      <c r="A6858" t="s">
        <v>1</v>
      </c>
      <c r="B6858" t="s">
        <v>19</v>
      </c>
      <c r="C6858" t="s">
        <v>23490</v>
      </c>
      <c r="D6858" t="str">
        <f>HYPERLINK("https://rhld.insurance.arkansas.gov/NPILookup?Npi=1750536967","1750536967")</f>
        <v>1750536967</v>
      </c>
      <c r="E6858" t="s">
        <v>2666</v>
      </c>
    </row>
    <row r="6859" spans="1:5" x14ac:dyDescent="0.25">
      <c r="A6859" t="s">
        <v>1</v>
      </c>
      <c r="B6859" t="s">
        <v>19</v>
      </c>
      <c r="C6859" t="s">
        <v>23490</v>
      </c>
      <c r="D6859" t="str">
        <f>HYPERLINK("https://rhld.insurance.arkansas.gov/NPILookup?Npi=1750570677","1750570677")</f>
        <v>1750570677</v>
      </c>
      <c r="E6859" t="s">
        <v>15505</v>
      </c>
    </row>
    <row r="6860" spans="1:5" x14ac:dyDescent="0.25">
      <c r="A6860" t="s">
        <v>1</v>
      </c>
      <c r="B6860" t="s">
        <v>19</v>
      </c>
      <c r="C6860" t="s">
        <v>23490</v>
      </c>
      <c r="D6860" t="str">
        <f>HYPERLINK("https://rhld.insurance.arkansas.gov/NPILookup?Npi=1750571592","1750571592")</f>
        <v>1750571592</v>
      </c>
      <c r="E6860" t="s">
        <v>15506</v>
      </c>
    </row>
    <row r="6861" spans="1:5" x14ac:dyDescent="0.25">
      <c r="A6861" t="s">
        <v>1</v>
      </c>
      <c r="B6861" t="s">
        <v>19</v>
      </c>
      <c r="C6861" t="s">
        <v>23490</v>
      </c>
      <c r="D6861" t="str">
        <f>HYPERLINK("https://rhld.insurance.arkansas.gov/NPILookup?Npi=1750585063","1750585063")</f>
        <v>1750585063</v>
      </c>
      <c r="E6861" t="s">
        <v>2667</v>
      </c>
    </row>
    <row r="6862" spans="1:5" x14ac:dyDescent="0.25">
      <c r="A6862" t="s">
        <v>1</v>
      </c>
      <c r="B6862" t="s">
        <v>19</v>
      </c>
      <c r="C6862" t="s">
        <v>23490</v>
      </c>
      <c r="D6862" t="str">
        <f>HYPERLINK("https://rhld.insurance.arkansas.gov/NPILookup?Npi=1750586996","1750586996")</f>
        <v>1750586996</v>
      </c>
      <c r="E6862" t="s">
        <v>15507</v>
      </c>
    </row>
    <row r="6863" spans="1:5" x14ac:dyDescent="0.25">
      <c r="A6863" t="s">
        <v>1</v>
      </c>
      <c r="B6863" t="s">
        <v>19</v>
      </c>
      <c r="C6863" t="s">
        <v>23490</v>
      </c>
      <c r="D6863" t="str">
        <f>HYPERLINK("https://rhld.insurance.arkansas.gov/NPILookup?Npi=1750589347","1750589347")</f>
        <v>1750589347</v>
      </c>
      <c r="E6863" t="s">
        <v>2668</v>
      </c>
    </row>
    <row r="6864" spans="1:5" x14ac:dyDescent="0.25">
      <c r="A6864" t="s">
        <v>1</v>
      </c>
      <c r="B6864" t="s">
        <v>19</v>
      </c>
      <c r="C6864" t="s">
        <v>23490</v>
      </c>
      <c r="D6864" t="str">
        <f>HYPERLINK("https://rhld.insurance.arkansas.gov/NPILookup?Npi=1750591053","1750591053")</f>
        <v>1750591053</v>
      </c>
      <c r="E6864" t="s">
        <v>11233</v>
      </c>
    </row>
    <row r="6865" spans="1:5" x14ac:dyDescent="0.25">
      <c r="A6865" t="s">
        <v>1</v>
      </c>
      <c r="B6865" t="s">
        <v>19</v>
      </c>
      <c r="C6865" t="s">
        <v>23490</v>
      </c>
      <c r="D6865" t="str">
        <f>HYPERLINK("https://rhld.insurance.arkansas.gov/NPILookup?Npi=1750592440","1750592440")</f>
        <v>1750592440</v>
      </c>
      <c r="E6865" t="s">
        <v>2669</v>
      </c>
    </row>
    <row r="6866" spans="1:5" x14ac:dyDescent="0.25">
      <c r="A6866" t="s">
        <v>1</v>
      </c>
      <c r="B6866" t="s">
        <v>19</v>
      </c>
      <c r="C6866" t="s">
        <v>23490</v>
      </c>
      <c r="D6866" t="str">
        <f>HYPERLINK("https://rhld.insurance.arkansas.gov/NPILookup?Npi=1750596078","1750596078")</f>
        <v>1750596078</v>
      </c>
      <c r="E6866" t="s">
        <v>8834</v>
      </c>
    </row>
    <row r="6867" spans="1:5" x14ac:dyDescent="0.25">
      <c r="A6867" t="s">
        <v>1</v>
      </c>
      <c r="B6867" t="s">
        <v>19</v>
      </c>
      <c r="C6867" t="s">
        <v>23490</v>
      </c>
      <c r="D6867" t="str">
        <f>HYPERLINK("https://rhld.insurance.arkansas.gov/NPILookup?Npi=1750603270","1750603270")</f>
        <v>1750603270</v>
      </c>
      <c r="E6867" t="s">
        <v>19992</v>
      </c>
    </row>
    <row r="6868" spans="1:5" x14ac:dyDescent="0.25">
      <c r="A6868" t="s">
        <v>1</v>
      </c>
      <c r="B6868" t="s">
        <v>19</v>
      </c>
      <c r="C6868" t="s">
        <v>23490</v>
      </c>
      <c r="D6868" t="str">
        <f>HYPERLINK("https://rhld.insurance.arkansas.gov/NPILookup?Npi=1750612065","1750612065")</f>
        <v>1750612065</v>
      </c>
      <c r="E6868" t="s">
        <v>19993</v>
      </c>
    </row>
    <row r="6869" spans="1:5" x14ac:dyDescent="0.25">
      <c r="A6869" t="s">
        <v>1</v>
      </c>
      <c r="B6869" t="s">
        <v>19</v>
      </c>
      <c r="C6869" t="s">
        <v>23490</v>
      </c>
      <c r="D6869" t="str">
        <f>HYPERLINK("https://rhld.insurance.arkansas.gov/NPILookup?Npi=1750619292","1750619292")</f>
        <v>1750619292</v>
      </c>
      <c r="E6869" t="s">
        <v>15508</v>
      </c>
    </row>
    <row r="6870" spans="1:5" x14ac:dyDescent="0.25">
      <c r="A6870" t="s">
        <v>1</v>
      </c>
      <c r="B6870" t="s">
        <v>19</v>
      </c>
      <c r="C6870" t="s">
        <v>23490</v>
      </c>
      <c r="D6870" t="str">
        <f>HYPERLINK("https://rhld.insurance.arkansas.gov/NPILookup?Npi=1750635249","1750635249")</f>
        <v>1750635249</v>
      </c>
      <c r="E6870" t="s">
        <v>19994</v>
      </c>
    </row>
    <row r="6871" spans="1:5" x14ac:dyDescent="0.25">
      <c r="A6871" t="s">
        <v>1</v>
      </c>
      <c r="B6871" t="s">
        <v>19</v>
      </c>
      <c r="C6871" t="s">
        <v>23490</v>
      </c>
      <c r="D6871" t="str">
        <f>HYPERLINK("https://rhld.insurance.arkansas.gov/NPILookup?Npi=1750645388","1750645388")</f>
        <v>1750645388</v>
      </c>
      <c r="E6871" t="s">
        <v>18107</v>
      </c>
    </row>
    <row r="6872" spans="1:5" x14ac:dyDescent="0.25">
      <c r="A6872" t="s">
        <v>1</v>
      </c>
      <c r="B6872" t="s">
        <v>19</v>
      </c>
      <c r="C6872" t="s">
        <v>23490</v>
      </c>
      <c r="D6872" t="str">
        <f>HYPERLINK("https://rhld.insurance.arkansas.gov/NPILookup?Npi=1750660528","1750660528")</f>
        <v>1750660528</v>
      </c>
      <c r="E6872" t="s">
        <v>11234</v>
      </c>
    </row>
    <row r="6873" spans="1:5" x14ac:dyDescent="0.25">
      <c r="A6873" t="s">
        <v>1</v>
      </c>
      <c r="B6873" t="s">
        <v>19</v>
      </c>
      <c r="C6873" t="s">
        <v>23490</v>
      </c>
      <c r="D6873" t="str">
        <f>HYPERLINK("https://rhld.insurance.arkansas.gov/NPILookup?Npi=1750678991","1750678991")</f>
        <v>1750678991</v>
      </c>
      <c r="E6873" t="s">
        <v>12899</v>
      </c>
    </row>
    <row r="6874" spans="1:5" x14ac:dyDescent="0.25">
      <c r="A6874" t="s">
        <v>1</v>
      </c>
      <c r="B6874" t="s">
        <v>19</v>
      </c>
      <c r="C6874" t="s">
        <v>23490</v>
      </c>
      <c r="D6874" t="str">
        <f>HYPERLINK("https://rhld.insurance.arkansas.gov/NPILookup?Npi=1750689105","1750689105")</f>
        <v>1750689105</v>
      </c>
      <c r="E6874" t="s">
        <v>2670</v>
      </c>
    </row>
    <row r="6875" spans="1:5" x14ac:dyDescent="0.25">
      <c r="A6875" t="s">
        <v>1</v>
      </c>
      <c r="B6875" t="s">
        <v>19</v>
      </c>
      <c r="C6875" t="s">
        <v>23490</v>
      </c>
      <c r="D6875" t="str">
        <f>HYPERLINK("https://rhld.insurance.arkansas.gov/NPILookup?Npi=1750713335","1750713335")</f>
        <v>1750713335</v>
      </c>
      <c r="E6875" t="s">
        <v>2671</v>
      </c>
    </row>
    <row r="6876" spans="1:5" x14ac:dyDescent="0.25">
      <c r="A6876" t="s">
        <v>1</v>
      </c>
      <c r="B6876" t="s">
        <v>19</v>
      </c>
      <c r="C6876" t="s">
        <v>23490</v>
      </c>
      <c r="D6876" t="str">
        <f>HYPERLINK("https://rhld.insurance.arkansas.gov/NPILookup?Npi=1750727111","1750727111")</f>
        <v>1750727111</v>
      </c>
      <c r="E6876" t="s">
        <v>2672</v>
      </c>
    </row>
    <row r="6877" spans="1:5" x14ac:dyDescent="0.25">
      <c r="A6877" t="s">
        <v>1</v>
      </c>
      <c r="B6877" t="s">
        <v>19</v>
      </c>
      <c r="C6877" t="s">
        <v>23490</v>
      </c>
      <c r="D6877" t="str">
        <f>HYPERLINK("https://rhld.insurance.arkansas.gov/NPILookup?Npi=1750732699","1750732699")</f>
        <v>1750732699</v>
      </c>
      <c r="E6877" t="s">
        <v>11235</v>
      </c>
    </row>
    <row r="6878" spans="1:5" x14ac:dyDescent="0.25">
      <c r="A6878" t="s">
        <v>1</v>
      </c>
      <c r="B6878" t="s">
        <v>19</v>
      </c>
      <c r="C6878" t="s">
        <v>23490</v>
      </c>
      <c r="D6878" t="str">
        <f>HYPERLINK("https://rhld.insurance.arkansas.gov/NPILookup?Npi=1750740635","1750740635")</f>
        <v>1750740635</v>
      </c>
      <c r="E6878" t="s">
        <v>38</v>
      </c>
    </row>
    <row r="6879" spans="1:5" x14ac:dyDescent="0.25">
      <c r="A6879" t="s">
        <v>1</v>
      </c>
      <c r="B6879" t="s">
        <v>19</v>
      </c>
      <c r="C6879" t="s">
        <v>23490</v>
      </c>
      <c r="D6879" t="str">
        <f>HYPERLINK("https://rhld.insurance.arkansas.gov/NPILookup?Npi=1750741112","1750741112")</f>
        <v>1750741112</v>
      </c>
      <c r="E6879" t="s">
        <v>8835</v>
      </c>
    </row>
    <row r="6880" spans="1:5" x14ac:dyDescent="0.25">
      <c r="A6880" t="s">
        <v>1</v>
      </c>
      <c r="B6880" t="s">
        <v>19</v>
      </c>
      <c r="C6880" t="s">
        <v>23490</v>
      </c>
      <c r="D6880" t="str">
        <f>HYPERLINK("https://rhld.insurance.arkansas.gov/NPILookup?Npi=1750742722","1750742722")</f>
        <v>1750742722</v>
      </c>
      <c r="E6880" t="s">
        <v>19995</v>
      </c>
    </row>
    <row r="6881" spans="1:5" x14ac:dyDescent="0.25">
      <c r="A6881" t="s">
        <v>1</v>
      </c>
      <c r="B6881" t="s">
        <v>19</v>
      </c>
      <c r="C6881" t="s">
        <v>23490</v>
      </c>
      <c r="D6881" t="str">
        <f>HYPERLINK("https://rhld.insurance.arkansas.gov/NPILookup?Npi=1750744660","1750744660")</f>
        <v>1750744660</v>
      </c>
      <c r="E6881" t="s">
        <v>13684</v>
      </c>
    </row>
    <row r="6882" spans="1:5" x14ac:dyDescent="0.25">
      <c r="A6882" t="s">
        <v>1</v>
      </c>
      <c r="B6882" t="s">
        <v>19</v>
      </c>
      <c r="C6882" t="s">
        <v>23490</v>
      </c>
      <c r="D6882" t="str">
        <f>HYPERLINK("https://rhld.insurance.arkansas.gov/NPILookup?Npi=1750765673","1750765673")</f>
        <v>1750765673</v>
      </c>
      <c r="E6882" t="s">
        <v>22979</v>
      </c>
    </row>
    <row r="6883" spans="1:5" x14ac:dyDescent="0.25">
      <c r="A6883" t="s">
        <v>1</v>
      </c>
      <c r="B6883" t="s">
        <v>19</v>
      </c>
      <c r="C6883" t="s">
        <v>23490</v>
      </c>
      <c r="D6883" t="str">
        <f>HYPERLINK("https://rhld.insurance.arkansas.gov/NPILookup?Npi=1750766754","1750766754")</f>
        <v>1750766754</v>
      </c>
      <c r="E6883" t="s">
        <v>15509</v>
      </c>
    </row>
    <row r="6884" spans="1:5" x14ac:dyDescent="0.25">
      <c r="A6884" t="s">
        <v>1</v>
      </c>
      <c r="B6884" t="s">
        <v>19</v>
      </c>
      <c r="C6884" t="s">
        <v>23490</v>
      </c>
      <c r="D6884" t="str">
        <f>HYPERLINK("https://rhld.insurance.arkansas.gov/NPILookup?Npi=1750772190","1750772190")</f>
        <v>1750772190</v>
      </c>
      <c r="E6884" t="s">
        <v>2674</v>
      </c>
    </row>
    <row r="6885" spans="1:5" x14ac:dyDescent="0.25">
      <c r="A6885" t="s">
        <v>1</v>
      </c>
      <c r="B6885" t="s">
        <v>19</v>
      </c>
      <c r="C6885" t="s">
        <v>23490</v>
      </c>
      <c r="D6885" t="str">
        <f>HYPERLINK("https://rhld.insurance.arkansas.gov/NPILookup?Npi=1750793055","1750793055")</f>
        <v>1750793055</v>
      </c>
      <c r="E6885" t="s">
        <v>15510</v>
      </c>
    </row>
    <row r="6886" spans="1:5" x14ac:dyDescent="0.25">
      <c r="A6886" t="s">
        <v>1</v>
      </c>
      <c r="B6886" t="s">
        <v>19</v>
      </c>
      <c r="C6886" t="s">
        <v>23490</v>
      </c>
      <c r="D6886" t="str">
        <f>HYPERLINK("https://rhld.insurance.arkansas.gov/NPILookup?Npi=1750797700","1750797700")</f>
        <v>1750797700</v>
      </c>
      <c r="E6886" t="s">
        <v>2675</v>
      </c>
    </row>
    <row r="6887" spans="1:5" x14ac:dyDescent="0.25">
      <c r="A6887" t="s">
        <v>1</v>
      </c>
      <c r="B6887" t="s">
        <v>19</v>
      </c>
      <c r="C6887" t="s">
        <v>23490</v>
      </c>
      <c r="D6887" t="str">
        <f>HYPERLINK("https://rhld.insurance.arkansas.gov/NPILookup?Npi=1750802732","1750802732")</f>
        <v>1750802732</v>
      </c>
      <c r="E6887" t="s">
        <v>11236</v>
      </c>
    </row>
    <row r="6888" spans="1:5" x14ac:dyDescent="0.25">
      <c r="A6888" t="s">
        <v>1</v>
      </c>
      <c r="B6888" t="s">
        <v>19</v>
      </c>
      <c r="C6888" t="s">
        <v>23490</v>
      </c>
      <c r="D6888" t="str">
        <f>HYPERLINK("https://rhld.insurance.arkansas.gov/NPILookup?Npi=1750802823","1750802823")</f>
        <v>1750802823</v>
      </c>
      <c r="E6888" t="s">
        <v>19996</v>
      </c>
    </row>
    <row r="6889" spans="1:5" x14ac:dyDescent="0.25">
      <c r="A6889" t="s">
        <v>1</v>
      </c>
      <c r="B6889" t="s">
        <v>19</v>
      </c>
      <c r="C6889" t="s">
        <v>23490</v>
      </c>
      <c r="D6889" t="str">
        <f>HYPERLINK("https://rhld.insurance.arkansas.gov/NPILookup?Npi=1750804001","1750804001")</f>
        <v>1750804001</v>
      </c>
      <c r="E6889" t="s">
        <v>19997</v>
      </c>
    </row>
    <row r="6890" spans="1:5" x14ac:dyDescent="0.25">
      <c r="A6890" t="s">
        <v>1</v>
      </c>
      <c r="B6890" t="s">
        <v>19</v>
      </c>
      <c r="C6890" t="s">
        <v>23490</v>
      </c>
      <c r="D6890" t="str">
        <f>HYPERLINK("https://rhld.insurance.arkansas.gov/NPILookup?Npi=1750804530","1750804530")</f>
        <v>1750804530</v>
      </c>
      <c r="E6890" t="s">
        <v>11237</v>
      </c>
    </row>
    <row r="6891" spans="1:5" x14ac:dyDescent="0.25">
      <c r="A6891" t="s">
        <v>1</v>
      </c>
      <c r="B6891" t="s">
        <v>19</v>
      </c>
      <c r="C6891" t="s">
        <v>23490</v>
      </c>
      <c r="D6891" t="str">
        <f>HYPERLINK("https://rhld.insurance.arkansas.gov/NPILookup?Npi=1750808069","1750808069")</f>
        <v>1750808069</v>
      </c>
      <c r="E6891" t="s">
        <v>19998</v>
      </c>
    </row>
    <row r="6892" spans="1:5" x14ac:dyDescent="0.25">
      <c r="A6892" t="s">
        <v>1</v>
      </c>
      <c r="B6892" t="s">
        <v>19</v>
      </c>
      <c r="C6892" t="s">
        <v>23490</v>
      </c>
      <c r="D6892" t="str">
        <f>HYPERLINK("https://rhld.insurance.arkansas.gov/NPILookup?Npi=1750811758","1750811758")</f>
        <v>1750811758</v>
      </c>
      <c r="E6892" t="s">
        <v>21029</v>
      </c>
    </row>
    <row r="6893" spans="1:5" x14ac:dyDescent="0.25">
      <c r="A6893" t="s">
        <v>1</v>
      </c>
      <c r="B6893" t="s">
        <v>19</v>
      </c>
      <c r="C6893" t="s">
        <v>23490</v>
      </c>
      <c r="D6893" t="str">
        <f>HYPERLINK("https://rhld.insurance.arkansas.gov/NPILookup?Npi=1750813119","1750813119")</f>
        <v>1750813119</v>
      </c>
      <c r="E6893" t="s">
        <v>18859</v>
      </c>
    </row>
    <row r="6894" spans="1:5" x14ac:dyDescent="0.25">
      <c r="A6894" t="s">
        <v>1</v>
      </c>
      <c r="B6894" t="s">
        <v>19</v>
      </c>
      <c r="C6894" t="s">
        <v>23490</v>
      </c>
      <c r="D6894" t="str">
        <f>HYPERLINK("https://rhld.insurance.arkansas.gov/NPILookup?Npi=1750818894","1750818894")</f>
        <v>1750818894</v>
      </c>
      <c r="E6894" t="s">
        <v>11238</v>
      </c>
    </row>
    <row r="6895" spans="1:5" x14ac:dyDescent="0.25">
      <c r="A6895" t="s">
        <v>1</v>
      </c>
      <c r="B6895" t="s">
        <v>19</v>
      </c>
      <c r="C6895" t="s">
        <v>23490</v>
      </c>
      <c r="D6895" t="str">
        <f>HYPERLINK("https://rhld.insurance.arkansas.gov/NPILookup?Npi=1750819504","1750819504")</f>
        <v>1750819504</v>
      </c>
      <c r="E6895" t="s">
        <v>1821</v>
      </c>
    </row>
    <row r="6896" spans="1:5" x14ac:dyDescent="0.25">
      <c r="A6896" t="s">
        <v>1</v>
      </c>
      <c r="B6896" t="s">
        <v>19</v>
      </c>
      <c r="C6896" t="s">
        <v>23490</v>
      </c>
      <c r="D6896" t="str">
        <f>HYPERLINK("https://rhld.insurance.arkansas.gov/NPILookup?Npi=1750821674","1750821674")</f>
        <v>1750821674</v>
      </c>
      <c r="E6896" t="s">
        <v>11239</v>
      </c>
    </row>
    <row r="6897" spans="1:5" x14ac:dyDescent="0.25">
      <c r="A6897" t="s">
        <v>1</v>
      </c>
      <c r="B6897" t="s">
        <v>19</v>
      </c>
      <c r="C6897" t="s">
        <v>23490</v>
      </c>
      <c r="D6897" t="str">
        <f>HYPERLINK("https://rhld.insurance.arkansas.gov/NPILookup?Npi=1750821740","1750821740")</f>
        <v>1750821740</v>
      </c>
      <c r="E6897" t="s">
        <v>19999</v>
      </c>
    </row>
    <row r="6898" spans="1:5" x14ac:dyDescent="0.25">
      <c r="A6898" t="s">
        <v>1</v>
      </c>
      <c r="B6898" t="s">
        <v>19</v>
      </c>
      <c r="C6898" t="s">
        <v>23490</v>
      </c>
      <c r="D6898" t="str">
        <f>HYPERLINK("https://rhld.insurance.arkansas.gov/NPILookup?Npi=1750827036","1750827036")</f>
        <v>1750827036</v>
      </c>
      <c r="E6898" t="s">
        <v>15511</v>
      </c>
    </row>
    <row r="6899" spans="1:5" x14ac:dyDescent="0.25">
      <c r="A6899" t="s">
        <v>1</v>
      </c>
      <c r="B6899" t="s">
        <v>19</v>
      </c>
      <c r="C6899" t="s">
        <v>23490</v>
      </c>
      <c r="D6899" t="str">
        <f>HYPERLINK("https://rhld.insurance.arkansas.gov/NPILookup?Npi=1750839122","1750839122")</f>
        <v>1750839122</v>
      </c>
      <c r="E6899" t="s">
        <v>11241</v>
      </c>
    </row>
    <row r="6900" spans="1:5" x14ac:dyDescent="0.25">
      <c r="A6900" t="s">
        <v>1</v>
      </c>
      <c r="B6900" t="s">
        <v>19</v>
      </c>
      <c r="C6900" t="s">
        <v>23490</v>
      </c>
      <c r="D6900" t="str">
        <f>HYPERLINK("https://rhld.insurance.arkansas.gov/NPILookup?Npi=1750846739","1750846739")</f>
        <v>1750846739</v>
      </c>
      <c r="E6900" t="s">
        <v>19232</v>
      </c>
    </row>
    <row r="6901" spans="1:5" x14ac:dyDescent="0.25">
      <c r="A6901" t="s">
        <v>1</v>
      </c>
      <c r="B6901" t="s">
        <v>19</v>
      </c>
      <c r="C6901" t="s">
        <v>23490</v>
      </c>
      <c r="D6901" t="str">
        <f>HYPERLINK("https://rhld.insurance.arkansas.gov/NPILookup?Npi=1750852067","1750852067")</f>
        <v>1750852067</v>
      </c>
      <c r="E6901" t="s">
        <v>13685</v>
      </c>
    </row>
    <row r="6902" spans="1:5" x14ac:dyDescent="0.25">
      <c r="A6902" t="s">
        <v>1</v>
      </c>
      <c r="B6902" t="s">
        <v>19</v>
      </c>
      <c r="C6902" t="s">
        <v>23490</v>
      </c>
      <c r="D6902" t="str">
        <f>HYPERLINK("https://rhld.insurance.arkansas.gov/NPILookup?Npi=1750865929","1750865929")</f>
        <v>1750865929</v>
      </c>
      <c r="E6902" t="s">
        <v>15512</v>
      </c>
    </row>
    <row r="6903" spans="1:5" x14ac:dyDescent="0.25">
      <c r="A6903" t="s">
        <v>1</v>
      </c>
      <c r="B6903" t="s">
        <v>19</v>
      </c>
      <c r="C6903" t="s">
        <v>23490</v>
      </c>
      <c r="D6903" t="str">
        <f>HYPERLINK("https://rhld.insurance.arkansas.gov/NPILookup?Npi=1750869517","1750869517")</f>
        <v>1750869517</v>
      </c>
      <c r="E6903" t="s">
        <v>15513</v>
      </c>
    </row>
    <row r="6904" spans="1:5" x14ac:dyDescent="0.25">
      <c r="A6904" t="s">
        <v>1</v>
      </c>
      <c r="B6904" t="s">
        <v>19</v>
      </c>
      <c r="C6904" t="s">
        <v>23490</v>
      </c>
      <c r="D6904" t="str">
        <f>HYPERLINK("https://rhld.insurance.arkansas.gov/NPILookup?Npi=1750871570","1750871570")</f>
        <v>1750871570</v>
      </c>
      <c r="E6904" t="s">
        <v>15514</v>
      </c>
    </row>
    <row r="6905" spans="1:5" x14ac:dyDescent="0.25">
      <c r="A6905" t="s">
        <v>1</v>
      </c>
      <c r="B6905" t="s">
        <v>19</v>
      </c>
      <c r="C6905" t="s">
        <v>23490</v>
      </c>
      <c r="D6905" t="str">
        <f>HYPERLINK("https://rhld.insurance.arkansas.gov/NPILookup?Npi=1750877528","1750877528")</f>
        <v>1750877528</v>
      </c>
      <c r="E6905" t="s">
        <v>13686</v>
      </c>
    </row>
    <row r="6906" spans="1:5" x14ac:dyDescent="0.25">
      <c r="A6906" t="s">
        <v>1</v>
      </c>
      <c r="B6906" t="s">
        <v>19</v>
      </c>
      <c r="C6906" t="s">
        <v>23490</v>
      </c>
      <c r="D6906" t="str">
        <f>HYPERLINK("https://rhld.insurance.arkansas.gov/NPILookup?Npi=1750887352","1750887352")</f>
        <v>1750887352</v>
      </c>
      <c r="E6906" t="s">
        <v>18860</v>
      </c>
    </row>
    <row r="6907" spans="1:5" x14ac:dyDescent="0.25">
      <c r="A6907" t="s">
        <v>1</v>
      </c>
      <c r="B6907" t="s">
        <v>19</v>
      </c>
      <c r="C6907" t="s">
        <v>23490</v>
      </c>
      <c r="D6907" t="str">
        <f>HYPERLINK("https://rhld.insurance.arkansas.gov/NPILookup?Npi=1750899266","1750899266")</f>
        <v>1750899266</v>
      </c>
      <c r="E6907" t="s">
        <v>20000</v>
      </c>
    </row>
    <row r="6908" spans="1:5" x14ac:dyDescent="0.25">
      <c r="A6908" t="s">
        <v>1</v>
      </c>
      <c r="B6908" t="s">
        <v>19</v>
      </c>
      <c r="C6908" t="s">
        <v>23490</v>
      </c>
      <c r="D6908" t="str">
        <f>HYPERLINK("https://rhld.insurance.arkansas.gov/NPILookup?Npi=1750904199","1750904199")</f>
        <v>1750904199</v>
      </c>
      <c r="E6908" t="s">
        <v>17474</v>
      </c>
    </row>
    <row r="6909" spans="1:5" x14ac:dyDescent="0.25">
      <c r="A6909" t="s">
        <v>1</v>
      </c>
      <c r="B6909" t="s">
        <v>19</v>
      </c>
      <c r="C6909" t="s">
        <v>23490</v>
      </c>
      <c r="D6909" t="str">
        <f>HYPERLINK("https://rhld.insurance.arkansas.gov/NPILookup?Npi=1750918660","1750918660")</f>
        <v>1750918660</v>
      </c>
      <c r="E6909" t="s">
        <v>18108</v>
      </c>
    </row>
    <row r="6910" spans="1:5" x14ac:dyDescent="0.25">
      <c r="A6910" t="s">
        <v>1</v>
      </c>
      <c r="B6910" t="s">
        <v>19</v>
      </c>
      <c r="C6910" t="s">
        <v>23490</v>
      </c>
      <c r="D6910" t="str">
        <f>HYPERLINK("https://rhld.insurance.arkansas.gov/NPILookup?Npi=1750928784","1750928784")</f>
        <v>1750928784</v>
      </c>
      <c r="E6910" t="s">
        <v>20001</v>
      </c>
    </row>
    <row r="6911" spans="1:5" x14ac:dyDescent="0.25">
      <c r="A6911" t="s">
        <v>1</v>
      </c>
      <c r="B6911" t="s">
        <v>19</v>
      </c>
      <c r="C6911" t="s">
        <v>23490</v>
      </c>
      <c r="D6911" t="str">
        <f>HYPERLINK("https://rhld.insurance.arkansas.gov/NPILookup?Npi=1750961413","1750961413")</f>
        <v>1750961413</v>
      </c>
      <c r="E6911" t="s">
        <v>18109</v>
      </c>
    </row>
    <row r="6912" spans="1:5" x14ac:dyDescent="0.25">
      <c r="A6912" t="s">
        <v>1</v>
      </c>
      <c r="B6912" t="s">
        <v>19</v>
      </c>
      <c r="C6912" t="s">
        <v>23490</v>
      </c>
      <c r="D6912" t="str">
        <f>HYPERLINK("https://rhld.insurance.arkansas.gov/NPILookup?Npi=1750961785","1750961785")</f>
        <v>1750961785</v>
      </c>
      <c r="E6912" t="s">
        <v>18861</v>
      </c>
    </row>
    <row r="6913" spans="1:5" x14ac:dyDescent="0.25">
      <c r="A6913" t="s">
        <v>1</v>
      </c>
      <c r="B6913" t="s">
        <v>19</v>
      </c>
      <c r="C6913" t="s">
        <v>23490</v>
      </c>
      <c r="D6913" t="str">
        <f>HYPERLINK("https://rhld.insurance.arkansas.gov/NPILookup?Npi=1750966644","1750966644")</f>
        <v>1750966644</v>
      </c>
      <c r="E6913" t="s">
        <v>18110</v>
      </c>
    </row>
    <row r="6914" spans="1:5" x14ac:dyDescent="0.25">
      <c r="A6914" t="s">
        <v>1</v>
      </c>
      <c r="B6914" t="s">
        <v>19</v>
      </c>
      <c r="C6914" t="s">
        <v>23490</v>
      </c>
      <c r="D6914" t="str">
        <f>HYPERLINK("https://rhld.insurance.arkansas.gov/NPILookup?Npi=1750976619","1750976619")</f>
        <v>1750976619</v>
      </c>
      <c r="E6914" t="s">
        <v>20002</v>
      </c>
    </row>
    <row r="6915" spans="1:5" x14ac:dyDescent="0.25">
      <c r="A6915" t="s">
        <v>1</v>
      </c>
      <c r="B6915" t="s">
        <v>19</v>
      </c>
      <c r="C6915" t="s">
        <v>23490</v>
      </c>
      <c r="D6915" t="str">
        <f>HYPERLINK("https://rhld.insurance.arkansas.gov/NPILookup?Npi=1750994802","1750994802")</f>
        <v>1750994802</v>
      </c>
      <c r="E6915" t="s">
        <v>17475</v>
      </c>
    </row>
    <row r="6916" spans="1:5" x14ac:dyDescent="0.25">
      <c r="A6916" t="s">
        <v>1</v>
      </c>
      <c r="B6916" t="s">
        <v>19</v>
      </c>
      <c r="C6916" t="s">
        <v>8427</v>
      </c>
      <c r="D6916" t="str">
        <f>HYPERLINK("https://rhld.insurance.arkansas.gov/NPILookup?Npi=1760006001","1760006001")</f>
        <v>1760006001</v>
      </c>
      <c r="E6916" t="s">
        <v>22980</v>
      </c>
    </row>
    <row r="6917" spans="1:5" x14ac:dyDescent="0.25">
      <c r="A6917" t="s">
        <v>1</v>
      </c>
      <c r="B6917" t="s">
        <v>19</v>
      </c>
      <c r="C6917" t="s">
        <v>23490</v>
      </c>
      <c r="D6917" t="str">
        <f>HYPERLINK("https://rhld.insurance.arkansas.gov/NPILookup?Npi=1760016703","1760016703")</f>
        <v>1760016703</v>
      </c>
      <c r="E6917" t="s">
        <v>17476</v>
      </c>
    </row>
    <row r="6918" spans="1:5" x14ac:dyDescent="0.25">
      <c r="A6918" t="s">
        <v>1</v>
      </c>
      <c r="B6918" t="s">
        <v>19</v>
      </c>
      <c r="C6918" t="s">
        <v>23490</v>
      </c>
      <c r="D6918" t="str">
        <f>HYPERLINK("https://rhld.insurance.arkansas.gov/NPILookup?Npi=1760024269","1760024269")</f>
        <v>1760024269</v>
      </c>
      <c r="E6918" t="s">
        <v>20003</v>
      </c>
    </row>
    <row r="6919" spans="1:5" x14ac:dyDescent="0.25">
      <c r="A6919" t="s">
        <v>1</v>
      </c>
      <c r="B6919" t="s">
        <v>19</v>
      </c>
      <c r="C6919" t="s">
        <v>23490</v>
      </c>
      <c r="D6919" t="str">
        <f>HYPERLINK("https://rhld.insurance.arkansas.gov/NPILookup?Npi=1760027130","1760027130")</f>
        <v>1760027130</v>
      </c>
      <c r="E6919" t="s">
        <v>17477</v>
      </c>
    </row>
    <row r="6920" spans="1:5" x14ac:dyDescent="0.25">
      <c r="A6920" t="s">
        <v>1</v>
      </c>
      <c r="B6920" t="s">
        <v>19</v>
      </c>
      <c r="C6920" t="s">
        <v>23490</v>
      </c>
      <c r="D6920" t="str">
        <f>HYPERLINK("https://rhld.insurance.arkansas.gov/NPILookup?Npi=1760041180","1760041180")</f>
        <v>1760041180</v>
      </c>
      <c r="E6920" t="s">
        <v>21646</v>
      </c>
    </row>
    <row r="6921" spans="1:5" x14ac:dyDescent="0.25">
      <c r="A6921" t="s">
        <v>1</v>
      </c>
      <c r="B6921" t="s">
        <v>19</v>
      </c>
      <c r="C6921" t="s">
        <v>23490</v>
      </c>
      <c r="D6921" t="str">
        <f>HYPERLINK("https://rhld.insurance.arkansas.gov/NPILookup?Npi=1760047906","1760047906")</f>
        <v>1760047906</v>
      </c>
      <c r="E6921" t="s">
        <v>21030</v>
      </c>
    </row>
    <row r="6922" spans="1:5" x14ac:dyDescent="0.25">
      <c r="A6922" t="s">
        <v>1</v>
      </c>
      <c r="B6922" t="s">
        <v>19</v>
      </c>
      <c r="C6922" t="s">
        <v>23490</v>
      </c>
      <c r="D6922" t="str">
        <f>HYPERLINK("https://rhld.insurance.arkansas.gov/NPILookup?Npi=1760050132","1760050132")</f>
        <v>1760050132</v>
      </c>
      <c r="E6922" t="s">
        <v>18862</v>
      </c>
    </row>
    <row r="6923" spans="1:5" x14ac:dyDescent="0.25">
      <c r="A6923" t="s">
        <v>1</v>
      </c>
      <c r="B6923" t="s">
        <v>19</v>
      </c>
      <c r="C6923" t="s">
        <v>23490</v>
      </c>
      <c r="D6923" t="str">
        <f>HYPERLINK("https://rhld.insurance.arkansas.gov/NPILookup?Npi=1760062921","1760062921")</f>
        <v>1760062921</v>
      </c>
      <c r="E6923" t="s">
        <v>21647</v>
      </c>
    </row>
    <row r="6924" spans="1:5" x14ac:dyDescent="0.25">
      <c r="A6924" t="s">
        <v>1</v>
      </c>
      <c r="B6924" t="s">
        <v>19</v>
      </c>
      <c r="C6924" t="s">
        <v>23490</v>
      </c>
      <c r="D6924" t="str">
        <f>HYPERLINK("https://rhld.insurance.arkansas.gov/NPILookup?Npi=1760062947","1760062947")</f>
        <v>1760062947</v>
      </c>
      <c r="E6924" t="s">
        <v>20004</v>
      </c>
    </row>
    <row r="6925" spans="1:5" x14ac:dyDescent="0.25">
      <c r="A6925" t="s">
        <v>1</v>
      </c>
      <c r="B6925" t="s">
        <v>19</v>
      </c>
      <c r="C6925" t="s">
        <v>23490</v>
      </c>
      <c r="D6925" t="str">
        <f>HYPERLINK("https://rhld.insurance.arkansas.gov/NPILookup?Npi=1760065361","1760065361")</f>
        <v>1760065361</v>
      </c>
      <c r="E6925" t="s">
        <v>20005</v>
      </c>
    </row>
    <row r="6926" spans="1:5" x14ac:dyDescent="0.25">
      <c r="A6926" t="s">
        <v>1</v>
      </c>
      <c r="B6926" t="s">
        <v>19</v>
      </c>
      <c r="C6926" t="s">
        <v>23490</v>
      </c>
      <c r="D6926" t="str">
        <f>HYPERLINK("https://rhld.insurance.arkansas.gov/NPILookup?Npi=1760077069","1760077069")</f>
        <v>1760077069</v>
      </c>
      <c r="E6926" t="s">
        <v>18111</v>
      </c>
    </row>
    <row r="6927" spans="1:5" x14ac:dyDescent="0.25">
      <c r="A6927" t="s">
        <v>1</v>
      </c>
      <c r="B6927" t="s">
        <v>19</v>
      </c>
      <c r="C6927" t="s">
        <v>23490</v>
      </c>
      <c r="D6927" t="str">
        <f>HYPERLINK("https://rhld.insurance.arkansas.gov/NPILookup?Npi=1760116305","1760116305")</f>
        <v>1760116305</v>
      </c>
      <c r="E6927" t="s">
        <v>18956</v>
      </c>
    </row>
    <row r="6928" spans="1:5" x14ac:dyDescent="0.25">
      <c r="A6928" t="s">
        <v>1</v>
      </c>
      <c r="B6928" t="s">
        <v>19</v>
      </c>
      <c r="C6928" t="s">
        <v>23490</v>
      </c>
      <c r="D6928" t="str">
        <f>HYPERLINK("https://rhld.insurance.arkansas.gov/NPILookup?Npi=1760155121","1760155121")</f>
        <v>1760155121</v>
      </c>
      <c r="E6928" t="s">
        <v>20006</v>
      </c>
    </row>
    <row r="6929" spans="1:5" x14ac:dyDescent="0.25">
      <c r="A6929" t="s">
        <v>1</v>
      </c>
      <c r="B6929" t="s">
        <v>19</v>
      </c>
      <c r="C6929" t="s">
        <v>23490</v>
      </c>
      <c r="D6929" t="str">
        <f>HYPERLINK("https://rhld.insurance.arkansas.gov/NPILookup?Npi=1760405831","1760405831")</f>
        <v>1760405831</v>
      </c>
      <c r="E6929" t="s">
        <v>2676</v>
      </c>
    </row>
    <row r="6930" spans="1:5" x14ac:dyDescent="0.25">
      <c r="A6930" t="s">
        <v>1</v>
      </c>
      <c r="B6930" t="s">
        <v>19</v>
      </c>
      <c r="C6930" t="s">
        <v>23490</v>
      </c>
      <c r="D6930" t="str">
        <f>HYPERLINK("https://rhld.insurance.arkansas.gov/NPILookup?Npi=1760411813","1760411813")</f>
        <v>1760411813</v>
      </c>
      <c r="E6930" t="s">
        <v>8836</v>
      </c>
    </row>
    <row r="6931" spans="1:5" x14ac:dyDescent="0.25">
      <c r="A6931" t="s">
        <v>1</v>
      </c>
      <c r="B6931" t="s">
        <v>19</v>
      </c>
      <c r="C6931" t="s">
        <v>23490</v>
      </c>
      <c r="D6931" t="str">
        <f>HYPERLINK("https://rhld.insurance.arkansas.gov/NPILookup?Npi=1760419550","1760419550")</f>
        <v>1760419550</v>
      </c>
      <c r="E6931" t="s">
        <v>2677</v>
      </c>
    </row>
    <row r="6932" spans="1:5" x14ac:dyDescent="0.25">
      <c r="A6932" t="s">
        <v>1</v>
      </c>
      <c r="B6932" t="s">
        <v>19</v>
      </c>
      <c r="C6932" t="s">
        <v>23490</v>
      </c>
      <c r="D6932" t="str">
        <f>HYPERLINK("https://rhld.insurance.arkansas.gov/NPILookup?Npi=1760426043","1760426043")</f>
        <v>1760426043</v>
      </c>
      <c r="E6932" t="s">
        <v>2678</v>
      </c>
    </row>
    <row r="6933" spans="1:5" x14ac:dyDescent="0.25">
      <c r="A6933" t="s">
        <v>1</v>
      </c>
      <c r="B6933" t="s">
        <v>19</v>
      </c>
      <c r="C6933" t="s">
        <v>23490</v>
      </c>
      <c r="D6933" t="str">
        <f>HYPERLINK("https://rhld.insurance.arkansas.gov/NPILookup?Npi=1760426746","1760426746")</f>
        <v>1760426746</v>
      </c>
      <c r="E6933" t="s">
        <v>2679</v>
      </c>
    </row>
    <row r="6934" spans="1:5" x14ac:dyDescent="0.25">
      <c r="A6934" t="s">
        <v>1</v>
      </c>
      <c r="B6934" t="s">
        <v>19</v>
      </c>
      <c r="C6934" t="s">
        <v>23490</v>
      </c>
      <c r="D6934" t="str">
        <f>HYPERLINK("https://rhld.insurance.arkansas.gov/NPILookup?Npi=1760428528","1760428528")</f>
        <v>1760428528</v>
      </c>
      <c r="E6934" t="s">
        <v>2680</v>
      </c>
    </row>
    <row r="6935" spans="1:5" x14ac:dyDescent="0.25">
      <c r="A6935" t="s">
        <v>1</v>
      </c>
      <c r="B6935" t="s">
        <v>19</v>
      </c>
      <c r="C6935" t="s">
        <v>23490</v>
      </c>
      <c r="D6935" t="str">
        <f>HYPERLINK("https://rhld.insurance.arkansas.gov/NPILookup?Npi=1760428973","1760428973")</f>
        <v>1760428973</v>
      </c>
      <c r="E6935" t="s">
        <v>15515</v>
      </c>
    </row>
    <row r="6936" spans="1:5" x14ac:dyDescent="0.25">
      <c r="A6936" t="s">
        <v>1</v>
      </c>
      <c r="B6936" t="s">
        <v>19</v>
      </c>
      <c r="C6936" t="s">
        <v>23490</v>
      </c>
      <c r="D6936" t="str">
        <f>HYPERLINK("https://rhld.insurance.arkansas.gov/NPILookup?Npi=1760437404","1760437404")</f>
        <v>1760437404</v>
      </c>
      <c r="E6936" t="s">
        <v>15516</v>
      </c>
    </row>
    <row r="6937" spans="1:5" x14ac:dyDescent="0.25">
      <c r="A6937" t="s">
        <v>1</v>
      </c>
      <c r="B6937" t="s">
        <v>19</v>
      </c>
      <c r="C6937" t="s">
        <v>23490</v>
      </c>
      <c r="D6937" t="str">
        <f>HYPERLINK("https://rhld.insurance.arkansas.gov/NPILookup?Npi=1760442370","1760442370")</f>
        <v>1760442370</v>
      </c>
      <c r="E6937" t="s">
        <v>2682</v>
      </c>
    </row>
    <row r="6938" spans="1:5" x14ac:dyDescent="0.25">
      <c r="A6938" t="s">
        <v>1</v>
      </c>
      <c r="B6938" t="s">
        <v>19</v>
      </c>
      <c r="C6938" t="s">
        <v>23490</v>
      </c>
      <c r="D6938" t="str">
        <f>HYPERLINK("https://rhld.insurance.arkansas.gov/NPILookup?Npi=1760444368","1760444368")</f>
        <v>1760444368</v>
      </c>
      <c r="E6938" t="s">
        <v>2683</v>
      </c>
    </row>
    <row r="6939" spans="1:5" x14ac:dyDescent="0.25">
      <c r="A6939" t="s">
        <v>1</v>
      </c>
      <c r="B6939" t="s">
        <v>19</v>
      </c>
      <c r="C6939" t="s">
        <v>23490</v>
      </c>
      <c r="D6939" t="str">
        <f>HYPERLINK("https://rhld.insurance.arkansas.gov/NPILookup?Npi=1760445894","1760445894")</f>
        <v>1760445894</v>
      </c>
      <c r="E6939" t="s">
        <v>2684</v>
      </c>
    </row>
    <row r="6940" spans="1:5" x14ac:dyDescent="0.25">
      <c r="A6940" t="s">
        <v>1</v>
      </c>
      <c r="B6940" t="s">
        <v>19</v>
      </c>
      <c r="C6940" t="s">
        <v>23490</v>
      </c>
      <c r="D6940" t="str">
        <f>HYPERLINK("https://rhld.insurance.arkansas.gov/NPILookup?Npi=1760447171","1760447171")</f>
        <v>1760447171</v>
      </c>
      <c r="E6940" t="s">
        <v>2685</v>
      </c>
    </row>
    <row r="6941" spans="1:5" x14ac:dyDescent="0.25">
      <c r="A6941" t="s">
        <v>1</v>
      </c>
      <c r="B6941" t="s">
        <v>19</v>
      </c>
      <c r="C6941" t="s">
        <v>23490</v>
      </c>
      <c r="D6941" t="str">
        <f>HYPERLINK("https://rhld.insurance.arkansas.gov/NPILookup?Npi=1760447353","1760447353")</f>
        <v>1760447353</v>
      </c>
      <c r="E6941" t="s">
        <v>2686</v>
      </c>
    </row>
    <row r="6942" spans="1:5" x14ac:dyDescent="0.25">
      <c r="A6942" t="s">
        <v>1</v>
      </c>
      <c r="B6942" t="s">
        <v>19</v>
      </c>
      <c r="C6942" t="s">
        <v>23490</v>
      </c>
      <c r="D6942" t="str">
        <f>HYPERLINK("https://rhld.insurance.arkansas.gov/NPILookup?Npi=1760448534","1760448534")</f>
        <v>1760448534</v>
      </c>
      <c r="E6942" t="s">
        <v>2687</v>
      </c>
    </row>
    <row r="6943" spans="1:5" x14ac:dyDescent="0.25">
      <c r="A6943" t="s">
        <v>1</v>
      </c>
      <c r="B6943" t="s">
        <v>19</v>
      </c>
      <c r="C6943" t="s">
        <v>23490</v>
      </c>
      <c r="D6943" t="str">
        <f>HYPERLINK("https://rhld.insurance.arkansas.gov/NPILookup?Npi=1760451876","1760451876")</f>
        <v>1760451876</v>
      </c>
      <c r="E6943" t="s">
        <v>2688</v>
      </c>
    </row>
    <row r="6944" spans="1:5" x14ac:dyDescent="0.25">
      <c r="A6944" t="s">
        <v>1</v>
      </c>
      <c r="B6944" t="s">
        <v>19</v>
      </c>
      <c r="C6944" t="s">
        <v>23490</v>
      </c>
      <c r="D6944" t="str">
        <f>HYPERLINK("https://rhld.insurance.arkansas.gov/NPILookup?Npi=1760459648","1760459648")</f>
        <v>1760459648</v>
      </c>
      <c r="E6944" t="s">
        <v>2689</v>
      </c>
    </row>
    <row r="6945" spans="1:5" x14ac:dyDescent="0.25">
      <c r="A6945" t="s">
        <v>1</v>
      </c>
      <c r="B6945" t="s">
        <v>19</v>
      </c>
      <c r="C6945" t="s">
        <v>23490</v>
      </c>
      <c r="D6945" t="str">
        <f>HYPERLINK("https://rhld.insurance.arkansas.gov/NPILookup?Npi=1760465090","1760465090")</f>
        <v>1760465090</v>
      </c>
      <c r="E6945" t="s">
        <v>2690</v>
      </c>
    </row>
    <row r="6946" spans="1:5" x14ac:dyDescent="0.25">
      <c r="A6946" t="s">
        <v>1</v>
      </c>
      <c r="B6946" t="s">
        <v>19</v>
      </c>
      <c r="C6946" t="s">
        <v>23490</v>
      </c>
      <c r="D6946" t="str">
        <f>HYPERLINK("https://rhld.insurance.arkansas.gov/NPILookup?Npi=1760466262","1760466262")</f>
        <v>1760466262</v>
      </c>
      <c r="E6946" t="s">
        <v>15517</v>
      </c>
    </row>
    <row r="6947" spans="1:5" x14ac:dyDescent="0.25">
      <c r="A6947" t="s">
        <v>1</v>
      </c>
      <c r="B6947" t="s">
        <v>19</v>
      </c>
      <c r="C6947" t="s">
        <v>23490</v>
      </c>
      <c r="D6947" t="str">
        <f>HYPERLINK("https://rhld.insurance.arkansas.gov/NPILookup?Npi=1760469449","1760469449")</f>
        <v>1760469449</v>
      </c>
      <c r="E6947" t="s">
        <v>2691</v>
      </c>
    </row>
    <row r="6948" spans="1:5" x14ac:dyDescent="0.25">
      <c r="A6948" t="s">
        <v>1</v>
      </c>
      <c r="B6948" t="s">
        <v>19</v>
      </c>
      <c r="C6948" t="s">
        <v>23490</v>
      </c>
      <c r="D6948" t="str">
        <f>HYPERLINK("https://rhld.insurance.arkansas.gov/NPILookup?Npi=1760472021","1760472021")</f>
        <v>1760472021</v>
      </c>
      <c r="E6948" t="s">
        <v>2692</v>
      </c>
    </row>
    <row r="6949" spans="1:5" x14ac:dyDescent="0.25">
      <c r="A6949" t="s">
        <v>1</v>
      </c>
      <c r="B6949" t="s">
        <v>19</v>
      </c>
      <c r="C6949" t="s">
        <v>23490</v>
      </c>
      <c r="D6949" t="str">
        <f>HYPERLINK("https://rhld.insurance.arkansas.gov/NPILookup?Npi=1760476824","1760476824")</f>
        <v>1760476824</v>
      </c>
      <c r="E6949" t="s">
        <v>2693</v>
      </c>
    </row>
    <row r="6950" spans="1:5" x14ac:dyDescent="0.25">
      <c r="A6950" t="s">
        <v>1</v>
      </c>
      <c r="B6950" t="s">
        <v>19</v>
      </c>
      <c r="C6950" t="s">
        <v>23490</v>
      </c>
      <c r="D6950" t="str">
        <f>HYPERLINK("https://rhld.insurance.arkansas.gov/NPILookup?Npi=1760478903","1760478903")</f>
        <v>1760478903</v>
      </c>
      <c r="E6950" t="s">
        <v>2694</v>
      </c>
    </row>
    <row r="6951" spans="1:5" x14ac:dyDescent="0.25">
      <c r="A6951" t="s">
        <v>1</v>
      </c>
      <c r="B6951" t="s">
        <v>19</v>
      </c>
      <c r="C6951" t="s">
        <v>23490</v>
      </c>
      <c r="D6951" t="str">
        <f>HYPERLINK("https://rhld.insurance.arkansas.gov/NPILookup?Npi=1760506604","1760506604")</f>
        <v>1760506604</v>
      </c>
      <c r="E6951" t="s">
        <v>8837</v>
      </c>
    </row>
    <row r="6952" spans="1:5" x14ac:dyDescent="0.25">
      <c r="A6952" t="s">
        <v>1</v>
      </c>
      <c r="B6952" t="s">
        <v>19</v>
      </c>
      <c r="C6952" t="s">
        <v>23490</v>
      </c>
      <c r="D6952" t="str">
        <f>HYPERLINK("https://rhld.insurance.arkansas.gov/NPILookup?Npi=1760521199","1760521199")</f>
        <v>1760521199</v>
      </c>
      <c r="E6952" t="s">
        <v>2695</v>
      </c>
    </row>
    <row r="6953" spans="1:5" x14ac:dyDescent="0.25">
      <c r="A6953" t="s">
        <v>1</v>
      </c>
      <c r="B6953" t="s">
        <v>19</v>
      </c>
      <c r="C6953" t="s">
        <v>23490</v>
      </c>
      <c r="D6953" t="str">
        <f>HYPERLINK("https://rhld.insurance.arkansas.gov/NPILookup?Npi=1760521777","1760521777")</f>
        <v>1760521777</v>
      </c>
      <c r="E6953" t="s">
        <v>2696</v>
      </c>
    </row>
    <row r="6954" spans="1:5" x14ac:dyDescent="0.25">
      <c r="A6954" t="s">
        <v>1</v>
      </c>
      <c r="B6954" t="s">
        <v>19</v>
      </c>
      <c r="C6954" t="s">
        <v>23490</v>
      </c>
      <c r="D6954" t="str">
        <f>HYPERLINK("https://rhld.insurance.arkansas.gov/NPILookup?Npi=1760528392","1760528392")</f>
        <v>1760528392</v>
      </c>
      <c r="E6954" t="s">
        <v>2697</v>
      </c>
    </row>
    <row r="6955" spans="1:5" x14ac:dyDescent="0.25">
      <c r="A6955" t="s">
        <v>1</v>
      </c>
      <c r="B6955" t="s">
        <v>19</v>
      </c>
      <c r="C6955" t="s">
        <v>23490</v>
      </c>
      <c r="D6955" t="str">
        <f>HYPERLINK("https://rhld.insurance.arkansas.gov/NPILookup?Npi=1760536783","1760536783")</f>
        <v>1760536783</v>
      </c>
      <c r="E6955" t="s">
        <v>15518</v>
      </c>
    </row>
    <row r="6956" spans="1:5" x14ac:dyDescent="0.25">
      <c r="A6956" t="s">
        <v>1</v>
      </c>
      <c r="B6956" t="s">
        <v>19</v>
      </c>
      <c r="C6956" t="s">
        <v>23490</v>
      </c>
      <c r="D6956" t="str">
        <f>HYPERLINK("https://rhld.insurance.arkansas.gov/NPILookup?Npi=1760562078","1760562078")</f>
        <v>1760562078</v>
      </c>
      <c r="E6956" t="s">
        <v>2698</v>
      </c>
    </row>
    <row r="6957" spans="1:5" x14ac:dyDescent="0.25">
      <c r="A6957" t="s">
        <v>1</v>
      </c>
      <c r="B6957" t="s">
        <v>19</v>
      </c>
      <c r="C6957" t="s">
        <v>23490</v>
      </c>
      <c r="D6957" t="str">
        <f>HYPERLINK("https://rhld.insurance.arkansas.gov/NPILookup?Npi=1760572259","1760572259")</f>
        <v>1760572259</v>
      </c>
      <c r="E6957" t="s">
        <v>8838</v>
      </c>
    </row>
    <row r="6958" spans="1:5" x14ac:dyDescent="0.25">
      <c r="A6958" t="s">
        <v>1</v>
      </c>
      <c r="B6958" t="s">
        <v>19</v>
      </c>
      <c r="C6958" t="s">
        <v>23490</v>
      </c>
      <c r="D6958" t="str">
        <f>HYPERLINK("https://rhld.insurance.arkansas.gov/NPILookup?Npi=1760595136","1760595136")</f>
        <v>1760595136</v>
      </c>
      <c r="E6958" t="s">
        <v>15519</v>
      </c>
    </row>
    <row r="6959" spans="1:5" x14ac:dyDescent="0.25">
      <c r="A6959" t="s">
        <v>1</v>
      </c>
      <c r="B6959" t="s">
        <v>19</v>
      </c>
      <c r="C6959" t="s">
        <v>23490</v>
      </c>
      <c r="D6959" t="str">
        <f>HYPERLINK("https://rhld.insurance.arkansas.gov/NPILookup?Npi=1760596563","1760596563")</f>
        <v>1760596563</v>
      </c>
      <c r="E6959" t="s">
        <v>2699</v>
      </c>
    </row>
    <row r="6960" spans="1:5" x14ac:dyDescent="0.25">
      <c r="A6960" t="s">
        <v>1</v>
      </c>
      <c r="B6960" t="s">
        <v>19</v>
      </c>
      <c r="C6960" t="s">
        <v>23490</v>
      </c>
      <c r="D6960" t="str">
        <f>HYPERLINK("https://rhld.insurance.arkansas.gov/NPILookup?Npi=1760603575","1760603575")</f>
        <v>1760603575</v>
      </c>
      <c r="E6960" t="s">
        <v>2700</v>
      </c>
    </row>
    <row r="6961" spans="1:5" x14ac:dyDescent="0.25">
      <c r="A6961" t="s">
        <v>1</v>
      </c>
      <c r="B6961" t="s">
        <v>19</v>
      </c>
      <c r="C6961" t="s">
        <v>23490</v>
      </c>
      <c r="D6961" t="str">
        <f>HYPERLINK("https://rhld.insurance.arkansas.gov/NPILookup?Npi=1760615033","1760615033")</f>
        <v>1760615033</v>
      </c>
      <c r="E6961" t="s">
        <v>2701</v>
      </c>
    </row>
    <row r="6962" spans="1:5" x14ac:dyDescent="0.25">
      <c r="A6962" t="s">
        <v>1</v>
      </c>
      <c r="B6962" t="s">
        <v>19</v>
      </c>
      <c r="C6962" t="s">
        <v>23490</v>
      </c>
      <c r="D6962" t="str">
        <f>HYPERLINK("https://rhld.insurance.arkansas.gov/NPILookup?Npi=1760639579","1760639579")</f>
        <v>1760639579</v>
      </c>
      <c r="E6962" t="s">
        <v>19233</v>
      </c>
    </row>
    <row r="6963" spans="1:5" x14ac:dyDescent="0.25">
      <c r="A6963" t="s">
        <v>1</v>
      </c>
      <c r="B6963" t="s">
        <v>19</v>
      </c>
      <c r="C6963" t="s">
        <v>23490</v>
      </c>
      <c r="D6963" t="str">
        <f>HYPERLINK("https://rhld.insurance.arkansas.gov/NPILookup?Npi=1760646020","1760646020")</f>
        <v>1760646020</v>
      </c>
      <c r="E6963" t="s">
        <v>2702</v>
      </c>
    </row>
    <row r="6964" spans="1:5" x14ac:dyDescent="0.25">
      <c r="A6964" t="s">
        <v>1</v>
      </c>
      <c r="B6964" t="s">
        <v>19</v>
      </c>
      <c r="C6964" t="s">
        <v>23490</v>
      </c>
      <c r="D6964" t="str">
        <f>HYPERLINK("https://rhld.insurance.arkansas.gov/NPILookup?Npi=1760658744","1760658744")</f>
        <v>1760658744</v>
      </c>
      <c r="E6964" t="s">
        <v>11242</v>
      </c>
    </row>
    <row r="6965" spans="1:5" x14ac:dyDescent="0.25">
      <c r="A6965" t="s">
        <v>1</v>
      </c>
      <c r="B6965" t="s">
        <v>19</v>
      </c>
      <c r="C6965" t="s">
        <v>23490</v>
      </c>
      <c r="D6965" t="str">
        <f>HYPERLINK("https://rhld.insurance.arkansas.gov/NPILookup?Npi=1760672497","1760672497")</f>
        <v>1760672497</v>
      </c>
      <c r="E6965" t="s">
        <v>13687</v>
      </c>
    </row>
    <row r="6966" spans="1:5" x14ac:dyDescent="0.25">
      <c r="A6966" t="s">
        <v>1</v>
      </c>
      <c r="B6966" t="s">
        <v>19</v>
      </c>
      <c r="C6966" t="s">
        <v>23490</v>
      </c>
      <c r="D6966" t="str">
        <f>HYPERLINK("https://rhld.insurance.arkansas.gov/NPILookup?Npi=1760679500","1760679500")</f>
        <v>1760679500</v>
      </c>
      <c r="E6966" t="s">
        <v>2703</v>
      </c>
    </row>
    <row r="6967" spans="1:5" x14ac:dyDescent="0.25">
      <c r="A6967" t="s">
        <v>1</v>
      </c>
      <c r="B6967" t="s">
        <v>19</v>
      </c>
      <c r="C6967" t="s">
        <v>23490</v>
      </c>
      <c r="D6967" t="str">
        <f>HYPERLINK("https://rhld.insurance.arkansas.gov/NPILookup?Npi=1760690010","1760690010")</f>
        <v>1760690010</v>
      </c>
      <c r="E6967" t="s">
        <v>21031</v>
      </c>
    </row>
    <row r="6968" spans="1:5" x14ac:dyDescent="0.25">
      <c r="A6968" t="s">
        <v>1</v>
      </c>
      <c r="B6968" t="s">
        <v>19</v>
      </c>
      <c r="C6968" t="s">
        <v>23490</v>
      </c>
      <c r="D6968" t="str">
        <f>HYPERLINK("https://rhld.insurance.arkansas.gov/NPILookup?Npi=1760699938","1760699938")</f>
        <v>1760699938</v>
      </c>
      <c r="E6968" t="s">
        <v>17022</v>
      </c>
    </row>
    <row r="6969" spans="1:5" x14ac:dyDescent="0.25">
      <c r="A6969" t="s">
        <v>1</v>
      </c>
      <c r="B6969" t="s">
        <v>19</v>
      </c>
      <c r="C6969" t="s">
        <v>23490</v>
      </c>
      <c r="D6969" t="str">
        <f>HYPERLINK("https://rhld.insurance.arkansas.gov/NPILookup?Npi=1760707251","1760707251")</f>
        <v>1760707251</v>
      </c>
      <c r="E6969" t="s">
        <v>2704</v>
      </c>
    </row>
    <row r="6970" spans="1:5" x14ac:dyDescent="0.25">
      <c r="A6970" t="s">
        <v>1</v>
      </c>
      <c r="B6970" t="s">
        <v>19</v>
      </c>
      <c r="C6970" t="s">
        <v>23490</v>
      </c>
      <c r="D6970" t="str">
        <f>HYPERLINK("https://rhld.insurance.arkansas.gov/NPILookup?Npi=1760720155","1760720155")</f>
        <v>1760720155</v>
      </c>
      <c r="E6970" t="s">
        <v>11243</v>
      </c>
    </row>
    <row r="6971" spans="1:5" x14ac:dyDescent="0.25">
      <c r="A6971" t="s">
        <v>1</v>
      </c>
      <c r="B6971" t="s">
        <v>19</v>
      </c>
      <c r="C6971" t="s">
        <v>23490</v>
      </c>
      <c r="D6971" t="str">
        <f>HYPERLINK("https://rhld.insurance.arkansas.gov/NPILookup?Npi=1760722284","1760722284")</f>
        <v>1760722284</v>
      </c>
      <c r="E6971" t="s">
        <v>13688</v>
      </c>
    </row>
    <row r="6972" spans="1:5" x14ac:dyDescent="0.25">
      <c r="A6972" t="s">
        <v>1</v>
      </c>
      <c r="B6972" t="s">
        <v>19</v>
      </c>
      <c r="C6972" t="s">
        <v>8427</v>
      </c>
      <c r="D6972" t="str">
        <f>HYPERLINK("https://rhld.insurance.arkansas.gov/NPILookup?Npi=1760731608","1760731608")</f>
        <v>1760731608</v>
      </c>
      <c r="E6972" t="s">
        <v>22981</v>
      </c>
    </row>
    <row r="6973" spans="1:5" x14ac:dyDescent="0.25">
      <c r="A6973" t="s">
        <v>1</v>
      </c>
      <c r="B6973" t="s">
        <v>19</v>
      </c>
      <c r="C6973" t="s">
        <v>23490</v>
      </c>
      <c r="D6973" t="str">
        <f>HYPERLINK("https://rhld.insurance.arkansas.gov/NPILookup?Npi=1760744080","1760744080")</f>
        <v>1760744080</v>
      </c>
      <c r="E6973" t="s">
        <v>20007</v>
      </c>
    </row>
    <row r="6974" spans="1:5" x14ac:dyDescent="0.25">
      <c r="A6974" t="s">
        <v>1</v>
      </c>
      <c r="B6974" t="s">
        <v>19</v>
      </c>
      <c r="C6974" t="s">
        <v>23490</v>
      </c>
      <c r="D6974" t="str">
        <f>HYPERLINK("https://rhld.insurance.arkansas.gov/NPILookup?Npi=1760746457","1760746457")</f>
        <v>1760746457</v>
      </c>
      <c r="E6974" t="s">
        <v>11244</v>
      </c>
    </row>
    <row r="6975" spans="1:5" x14ac:dyDescent="0.25">
      <c r="A6975" t="s">
        <v>1</v>
      </c>
      <c r="B6975" t="s">
        <v>19</v>
      </c>
      <c r="C6975" t="s">
        <v>23490</v>
      </c>
      <c r="D6975" t="str">
        <f>HYPERLINK("https://rhld.insurance.arkansas.gov/NPILookup?Npi=1760755144","1760755144")</f>
        <v>1760755144</v>
      </c>
      <c r="E6975" t="s">
        <v>2705</v>
      </c>
    </row>
    <row r="6976" spans="1:5" x14ac:dyDescent="0.25">
      <c r="A6976" t="s">
        <v>1</v>
      </c>
      <c r="B6976" t="s">
        <v>19</v>
      </c>
      <c r="C6976" t="s">
        <v>23490</v>
      </c>
      <c r="D6976" t="str">
        <f>HYPERLINK("https://rhld.insurance.arkansas.gov/NPILookup?Npi=1760758445","1760758445")</f>
        <v>1760758445</v>
      </c>
      <c r="E6976" t="s">
        <v>18112</v>
      </c>
    </row>
    <row r="6977" spans="1:5" x14ac:dyDescent="0.25">
      <c r="A6977" t="s">
        <v>1</v>
      </c>
      <c r="B6977" t="s">
        <v>19</v>
      </c>
      <c r="C6977" t="s">
        <v>23490</v>
      </c>
      <c r="D6977" t="str">
        <f>HYPERLINK("https://rhld.insurance.arkansas.gov/NPILookup?Npi=1760767016","1760767016")</f>
        <v>1760767016</v>
      </c>
      <c r="E6977" t="s">
        <v>2706</v>
      </c>
    </row>
    <row r="6978" spans="1:5" x14ac:dyDescent="0.25">
      <c r="A6978" t="s">
        <v>1</v>
      </c>
      <c r="B6978" t="s">
        <v>19</v>
      </c>
      <c r="C6978" t="s">
        <v>23490</v>
      </c>
      <c r="D6978" t="str">
        <f>HYPERLINK("https://rhld.insurance.arkansas.gov/NPILookup?Npi=1760780449","1760780449")</f>
        <v>1760780449</v>
      </c>
      <c r="E6978" t="s">
        <v>11245</v>
      </c>
    </row>
    <row r="6979" spans="1:5" x14ac:dyDescent="0.25">
      <c r="A6979" t="s">
        <v>1</v>
      </c>
      <c r="B6979" t="s">
        <v>19</v>
      </c>
      <c r="C6979" t="s">
        <v>23490</v>
      </c>
      <c r="D6979" t="str">
        <f>HYPERLINK("https://rhld.insurance.arkansas.gov/NPILookup?Npi=1760784771","1760784771")</f>
        <v>1760784771</v>
      </c>
      <c r="E6979" t="s">
        <v>2707</v>
      </c>
    </row>
    <row r="6980" spans="1:5" x14ac:dyDescent="0.25">
      <c r="A6980" t="s">
        <v>1</v>
      </c>
      <c r="B6980" t="s">
        <v>19</v>
      </c>
      <c r="C6980" t="s">
        <v>23490</v>
      </c>
      <c r="D6980" t="str">
        <f>HYPERLINK("https://rhld.insurance.arkansas.gov/NPILookup?Npi=1760790034","1760790034")</f>
        <v>1760790034</v>
      </c>
      <c r="E6980" t="s">
        <v>15520</v>
      </c>
    </row>
    <row r="6981" spans="1:5" x14ac:dyDescent="0.25">
      <c r="A6981" t="s">
        <v>1</v>
      </c>
      <c r="B6981" t="s">
        <v>19</v>
      </c>
      <c r="C6981" t="s">
        <v>23490</v>
      </c>
      <c r="D6981" t="str">
        <f>HYPERLINK("https://rhld.insurance.arkansas.gov/NPILookup?Npi=1760796775","1760796775")</f>
        <v>1760796775</v>
      </c>
      <c r="E6981" t="s">
        <v>2708</v>
      </c>
    </row>
    <row r="6982" spans="1:5" x14ac:dyDescent="0.25">
      <c r="A6982" t="s">
        <v>1</v>
      </c>
      <c r="B6982" t="s">
        <v>19</v>
      </c>
      <c r="C6982" t="s">
        <v>23490</v>
      </c>
      <c r="D6982" t="str">
        <f>HYPERLINK("https://rhld.insurance.arkansas.gov/NPILookup?Npi=1760800247","1760800247")</f>
        <v>1760800247</v>
      </c>
      <c r="E6982" t="s">
        <v>11246</v>
      </c>
    </row>
    <row r="6983" spans="1:5" x14ac:dyDescent="0.25">
      <c r="A6983" t="s">
        <v>1</v>
      </c>
      <c r="B6983" t="s">
        <v>19</v>
      </c>
      <c r="C6983" t="s">
        <v>23490</v>
      </c>
      <c r="D6983" t="str">
        <f>HYPERLINK("https://rhld.insurance.arkansas.gov/NPILookup?Npi=1760815179","1760815179")</f>
        <v>1760815179</v>
      </c>
      <c r="E6983" t="s">
        <v>8839</v>
      </c>
    </row>
    <row r="6984" spans="1:5" x14ac:dyDescent="0.25">
      <c r="A6984" t="s">
        <v>1</v>
      </c>
      <c r="B6984" t="s">
        <v>19</v>
      </c>
      <c r="C6984" t="s">
        <v>23490</v>
      </c>
      <c r="D6984" t="str">
        <f>HYPERLINK("https://rhld.insurance.arkansas.gov/NPILookup?Npi=1760822084","1760822084")</f>
        <v>1760822084</v>
      </c>
      <c r="E6984" t="s">
        <v>20008</v>
      </c>
    </row>
    <row r="6985" spans="1:5" x14ac:dyDescent="0.25">
      <c r="A6985" t="s">
        <v>1</v>
      </c>
      <c r="B6985" t="s">
        <v>19</v>
      </c>
      <c r="C6985" t="s">
        <v>23490</v>
      </c>
      <c r="D6985" t="str">
        <f>HYPERLINK("https://rhld.insurance.arkansas.gov/NPILookup?Npi=1760830897","1760830897")</f>
        <v>1760830897</v>
      </c>
      <c r="E6985" t="s">
        <v>18113</v>
      </c>
    </row>
    <row r="6986" spans="1:5" x14ac:dyDescent="0.25">
      <c r="A6986" t="s">
        <v>1</v>
      </c>
      <c r="B6986" t="s">
        <v>19</v>
      </c>
      <c r="C6986" t="s">
        <v>23490</v>
      </c>
      <c r="D6986" t="str">
        <f>HYPERLINK("https://rhld.insurance.arkansas.gov/NPILookup?Npi=1760834857","1760834857")</f>
        <v>1760834857</v>
      </c>
      <c r="E6986" t="s">
        <v>11247</v>
      </c>
    </row>
    <row r="6987" spans="1:5" x14ac:dyDescent="0.25">
      <c r="A6987" t="s">
        <v>1</v>
      </c>
      <c r="B6987" t="s">
        <v>19</v>
      </c>
      <c r="C6987" t="s">
        <v>23490</v>
      </c>
      <c r="D6987" t="str">
        <f>HYPERLINK("https://rhld.insurance.arkansas.gov/NPILookup?Npi=1760838833","1760838833")</f>
        <v>1760838833</v>
      </c>
      <c r="E6987" t="s">
        <v>15521</v>
      </c>
    </row>
    <row r="6988" spans="1:5" x14ac:dyDescent="0.25">
      <c r="A6988" t="s">
        <v>1</v>
      </c>
      <c r="B6988" t="s">
        <v>19</v>
      </c>
      <c r="C6988" t="s">
        <v>23490</v>
      </c>
      <c r="D6988" t="str">
        <f>HYPERLINK("https://rhld.insurance.arkansas.gov/NPILookup?Npi=1760839120","1760839120")</f>
        <v>1760839120</v>
      </c>
      <c r="E6988" t="s">
        <v>20009</v>
      </c>
    </row>
    <row r="6989" spans="1:5" x14ac:dyDescent="0.25">
      <c r="A6989" t="s">
        <v>1</v>
      </c>
      <c r="B6989" t="s">
        <v>19</v>
      </c>
      <c r="C6989" t="s">
        <v>23490</v>
      </c>
      <c r="D6989" t="str">
        <f>HYPERLINK("https://rhld.insurance.arkansas.gov/NPILookup?Npi=1760848253","1760848253")</f>
        <v>1760848253</v>
      </c>
      <c r="E6989" t="s">
        <v>8840</v>
      </c>
    </row>
    <row r="6990" spans="1:5" x14ac:dyDescent="0.25">
      <c r="A6990" t="s">
        <v>1</v>
      </c>
      <c r="B6990" t="s">
        <v>19</v>
      </c>
      <c r="C6990" t="s">
        <v>23490</v>
      </c>
      <c r="D6990" t="str">
        <f>HYPERLINK("https://rhld.insurance.arkansas.gov/NPILookup?Npi=1760855639","1760855639")</f>
        <v>1760855639</v>
      </c>
      <c r="E6990" t="s">
        <v>8841</v>
      </c>
    </row>
    <row r="6991" spans="1:5" x14ac:dyDescent="0.25">
      <c r="A6991" t="s">
        <v>1</v>
      </c>
      <c r="B6991" t="s">
        <v>19</v>
      </c>
      <c r="C6991" t="s">
        <v>23490</v>
      </c>
      <c r="D6991" t="str">
        <f>HYPERLINK("https://rhld.insurance.arkansas.gov/NPILookup?Npi=1760873319","1760873319")</f>
        <v>1760873319</v>
      </c>
      <c r="E6991" t="s">
        <v>2709</v>
      </c>
    </row>
    <row r="6992" spans="1:5" x14ac:dyDescent="0.25">
      <c r="A6992" t="s">
        <v>1</v>
      </c>
      <c r="B6992" t="s">
        <v>19</v>
      </c>
      <c r="C6992" t="s">
        <v>23490</v>
      </c>
      <c r="D6992" t="str">
        <f>HYPERLINK("https://rhld.insurance.arkansas.gov/NPILookup?Npi=1760878508","1760878508")</f>
        <v>1760878508</v>
      </c>
      <c r="E6992" t="s">
        <v>22982</v>
      </c>
    </row>
    <row r="6993" spans="1:5" x14ac:dyDescent="0.25">
      <c r="A6993" t="s">
        <v>1</v>
      </c>
      <c r="B6993" t="s">
        <v>19</v>
      </c>
      <c r="C6993" t="s">
        <v>23490</v>
      </c>
      <c r="D6993" t="str">
        <f>HYPERLINK("https://rhld.insurance.arkansas.gov/NPILookup?Npi=1760881049","1760881049")</f>
        <v>1760881049</v>
      </c>
      <c r="E6993" t="s">
        <v>15522</v>
      </c>
    </row>
    <row r="6994" spans="1:5" x14ac:dyDescent="0.25">
      <c r="A6994" t="s">
        <v>1</v>
      </c>
      <c r="B6994" t="s">
        <v>19</v>
      </c>
      <c r="C6994" t="s">
        <v>23490</v>
      </c>
      <c r="D6994" t="str">
        <f>HYPERLINK("https://rhld.insurance.arkansas.gov/NPILookup?Npi=1760892095","1760892095")</f>
        <v>1760892095</v>
      </c>
      <c r="E6994" t="s">
        <v>15523</v>
      </c>
    </row>
    <row r="6995" spans="1:5" x14ac:dyDescent="0.25">
      <c r="A6995" t="s">
        <v>1</v>
      </c>
      <c r="B6995" t="s">
        <v>19</v>
      </c>
      <c r="C6995" t="s">
        <v>23490</v>
      </c>
      <c r="D6995" t="str">
        <f>HYPERLINK("https://rhld.insurance.arkansas.gov/NPILookup?Npi=1760892756","1760892756")</f>
        <v>1760892756</v>
      </c>
      <c r="E6995" t="s">
        <v>18114</v>
      </c>
    </row>
    <row r="6996" spans="1:5" x14ac:dyDescent="0.25">
      <c r="A6996" t="s">
        <v>1</v>
      </c>
      <c r="B6996" t="s">
        <v>19</v>
      </c>
      <c r="C6996" t="s">
        <v>23490</v>
      </c>
      <c r="D6996" t="str">
        <f>HYPERLINK("https://rhld.insurance.arkansas.gov/NPILookup?Npi=1760894976","1760894976")</f>
        <v>1760894976</v>
      </c>
      <c r="E6996" t="s">
        <v>11248</v>
      </c>
    </row>
    <row r="6997" spans="1:5" x14ac:dyDescent="0.25">
      <c r="A6997" t="s">
        <v>1</v>
      </c>
      <c r="B6997" t="s">
        <v>19</v>
      </c>
      <c r="C6997" t="s">
        <v>23490</v>
      </c>
      <c r="D6997" t="str">
        <f>HYPERLINK("https://rhld.insurance.arkansas.gov/NPILookup?Npi=1760897144","1760897144")</f>
        <v>1760897144</v>
      </c>
      <c r="E6997" t="s">
        <v>2710</v>
      </c>
    </row>
    <row r="6998" spans="1:5" x14ac:dyDescent="0.25">
      <c r="A6998" t="s">
        <v>1</v>
      </c>
      <c r="B6998" t="s">
        <v>19</v>
      </c>
      <c r="C6998" t="s">
        <v>23490</v>
      </c>
      <c r="D6998" t="str">
        <f>HYPERLINK("https://rhld.insurance.arkansas.gov/NPILookup?Npi=1760902605","1760902605")</f>
        <v>1760902605</v>
      </c>
      <c r="E6998" t="s">
        <v>21032</v>
      </c>
    </row>
    <row r="6999" spans="1:5" x14ac:dyDescent="0.25">
      <c r="A6999" t="s">
        <v>1</v>
      </c>
      <c r="B6999" t="s">
        <v>19</v>
      </c>
      <c r="C6999" t="s">
        <v>23490</v>
      </c>
      <c r="D6999" t="str">
        <f>HYPERLINK("https://rhld.insurance.arkansas.gov/NPILookup?Npi=1760908982","1760908982")</f>
        <v>1760908982</v>
      </c>
      <c r="E6999" t="s">
        <v>11249</v>
      </c>
    </row>
    <row r="7000" spans="1:5" x14ac:dyDescent="0.25">
      <c r="A7000" t="s">
        <v>1</v>
      </c>
      <c r="B7000" t="s">
        <v>19</v>
      </c>
      <c r="C7000" t="s">
        <v>23490</v>
      </c>
      <c r="D7000" t="str">
        <f>HYPERLINK("https://rhld.insurance.arkansas.gov/NPILookup?Npi=1760915813","1760915813")</f>
        <v>1760915813</v>
      </c>
      <c r="E7000" t="s">
        <v>12901</v>
      </c>
    </row>
    <row r="7001" spans="1:5" x14ac:dyDescent="0.25">
      <c r="A7001" t="s">
        <v>1</v>
      </c>
      <c r="B7001" t="s">
        <v>19</v>
      </c>
      <c r="C7001" t="s">
        <v>23490</v>
      </c>
      <c r="D7001" t="str">
        <f>HYPERLINK("https://rhld.insurance.arkansas.gov/NPILookup?Npi=1760916365","1760916365")</f>
        <v>1760916365</v>
      </c>
      <c r="E7001" t="s">
        <v>13689</v>
      </c>
    </row>
    <row r="7002" spans="1:5" x14ac:dyDescent="0.25">
      <c r="A7002" t="s">
        <v>1</v>
      </c>
      <c r="B7002" t="s">
        <v>19</v>
      </c>
      <c r="C7002" t="s">
        <v>23490</v>
      </c>
      <c r="D7002" t="str">
        <f>HYPERLINK("https://rhld.insurance.arkansas.gov/NPILookup?Npi=1760919872","1760919872")</f>
        <v>1760919872</v>
      </c>
      <c r="E7002" t="s">
        <v>18115</v>
      </c>
    </row>
    <row r="7003" spans="1:5" x14ac:dyDescent="0.25">
      <c r="A7003" t="s">
        <v>1</v>
      </c>
      <c r="B7003" t="s">
        <v>19</v>
      </c>
      <c r="C7003" t="s">
        <v>23490</v>
      </c>
      <c r="D7003" t="str">
        <f>HYPERLINK("https://rhld.insurance.arkansas.gov/NPILookup?Npi=1760921696","1760921696")</f>
        <v>1760921696</v>
      </c>
      <c r="E7003" t="s">
        <v>15524</v>
      </c>
    </row>
    <row r="7004" spans="1:5" x14ac:dyDescent="0.25">
      <c r="A7004" t="s">
        <v>1</v>
      </c>
      <c r="B7004" t="s">
        <v>19</v>
      </c>
      <c r="C7004" t="s">
        <v>23490</v>
      </c>
      <c r="D7004" t="str">
        <f>HYPERLINK("https://rhld.insurance.arkansas.gov/NPILookup?Npi=1760922058","1760922058")</f>
        <v>1760922058</v>
      </c>
      <c r="E7004" t="s">
        <v>11250</v>
      </c>
    </row>
    <row r="7005" spans="1:5" x14ac:dyDescent="0.25">
      <c r="A7005" t="s">
        <v>1</v>
      </c>
      <c r="B7005" t="s">
        <v>19</v>
      </c>
      <c r="C7005" t="s">
        <v>23490</v>
      </c>
      <c r="D7005" t="str">
        <f>HYPERLINK("https://rhld.insurance.arkansas.gov/NPILookup?Npi=1760922462","1760922462")</f>
        <v>1760922462</v>
      </c>
      <c r="E7005" t="s">
        <v>15525</v>
      </c>
    </row>
    <row r="7006" spans="1:5" x14ac:dyDescent="0.25">
      <c r="A7006" t="s">
        <v>1</v>
      </c>
      <c r="B7006" t="s">
        <v>19</v>
      </c>
      <c r="C7006" t="s">
        <v>23490</v>
      </c>
      <c r="D7006" t="str">
        <f>HYPERLINK("https://rhld.insurance.arkansas.gov/NPILookup?Npi=1760924054","1760924054")</f>
        <v>1760924054</v>
      </c>
      <c r="E7006" t="s">
        <v>11251</v>
      </c>
    </row>
    <row r="7007" spans="1:5" x14ac:dyDescent="0.25">
      <c r="A7007" t="s">
        <v>1</v>
      </c>
      <c r="B7007" t="s">
        <v>19</v>
      </c>
      <c r="C7007" t="s">
        <v>23490</v>
      </c>
      <c r="D7007" t="str">
        <f>HYPERLINK("https://rhld.insurance.arkansas.gov/NPILookup?Npi=1760925598","1760925598")</f>
        <v>1760925598</v>
      </c>
      <c r="E7007" t="s">
        <v>11252</v>
      </c>
    </row>
    <row r="7008" spans="1:5" x14ac:dyDescent="0.25">
      <c r="A7008" t="s">
        <v>1</v>
      </c>
      <c r="B7008" t="s">
        <v>19</v>
      </c>
      <c r="C7008" t="s">
        <v>23490</v>
      </c>
      <c r="D7008" t="str">
        <f>HYPERLINK("https://rhld.insurance.arkansas.gov/NPILookup?Npi=1760928097","1760928097")</f>
        <v>1760928097</v>
      </c>
      <c r="E7008" t="s">
        <v>10710</v>
      </c>
    </row>
    <row r="7009" spans="1:5" x14ac:dyDescent="0.25">
      <c r="A7009" t="s">
        <v>1</v>
      </c>
      <c r="B7009" t="s">
        <v>19</v>
      </c>
      <c r="C7009" t="s">
        <v>23490</v>
      </c>
      <c r="D7009" t="str">
        <f>HYPERLINK("https://rhld.insurance.arkansas.gov/NPILookup?Npi=1760949713","1760949713")</f>
        <v>1760949713</v>
      </c>
      <c r="E7009" t="s">
        <v>12949</v>
      </c>
    </row>
    <row r="7010" spans="1:5" x14ac:dyDescent="0.25">
      <c r="A7010" t="s">
        <v>1</v>
      </c>
      <c r="B7010" t="s">
        <v>19</v>
      </c>
      <c r="C7010" t="s">
        <v>23490</v>
      </c>
      <c r="D7010" t="str">
        <f>HYPERLINK("https://rhld.insurance.arkansas.gov/NPILookup?Npi=1760949887","1760949887")</f>
        <v>1760949887</v>
      </c>
      <c r="E7010" t="s">
        <v>15526</v>
      </c>
    </row>
    <row r="7011" spans="1:5" x14ac:dyDescent="0.25">
      <c r="A7011" t="s">
        <v>1</v>
      </c>
      <c r="B7011" t="s">
        <v>19</v>
      </c>
      <c r="C7011" t="s">
        <v>23490</v>
      </c>
      <c r="D7011" t="str">
        <f>HYPERLINK("https://rhld.insurance.arkansas.gov/NPILookup?Npi=1760957351","1760957351")</f>
        <v>1760957351</v>
      </c>
      <c r="E7011" t="s">
        <v>13690</v>
      </c>
    </row>
    <row r="7012" spans="1:5" x14ac:dyDescent="0.25">
      <c r="A7012" t="s">
        <v>1</v>
      </c>
      <c r="B7012" t="s">
        <v>19</v>
      </c>
      <c r="C7012" t="s">
        <v>23490</v>
      </c>
      <c r="D7012" t="str">
        <f>HYPERLINK("https://rhld.insurance.arkansas.gov/NPILookup?Npi=1760991640","1760991640")</f>
        <v>1760991640</v>
      </c>
      <c r="E7012" t="s">
        <v>13691</v>
      </c>
    </row>
    <row r="7013" spans="1:5" x14ac:dyDescent="0.25">
      <c r="A7013" t="s">
        <v>1</v>
      </c>
      <c r="B7013" t="s">
        <v>19</v>
      </c>
      <c r="C7013" t="s">
        <v>23490</v>
      </c>
      <c r="D7013" t="str">
        <f>HYPERLINK("https://rhld.insurance.arkansas.gov/NPILookup?Npi=1760996276","1760996276")</f>
        <v>1760996276</v>
      </c>
      <c r="E7013" t="s">
        <v>12902</v>
      </c>
    </row>
    <row r="7014" spans="1:5" x14ac:dyDescent="0.25">
      <c r="A7014" t="s">
        <v>1</v>
      </c>
      <c r="B7014" t="s">
        <v>19</v>
      </c>
      <c r="C7014" t="s">
        <v>23490</v>
      </c>
      <c r="D7014" t="str">
        <f>HYPERLINK("https://rhld.insurance.arkansas.gov/NPILookup?Npi=1770003337","1770003337")</f>
        <v>1770003337</v>
      </c>
      <c r="E7014" t="s">
        <v>11253</v>
      </c>
    </row>
    <row r="7015" spans="1:5" x14ac:dyDescent="0.25">
      <c r="A7015" t="s">
        <v>1</v>
      </c>
      <c r="B7015" t="s">
        <v>19</v>
      </c>
      <c r="C7015" t="s">
        <v>23490</v>
      </c>
      <c r="D7015" t="str">
        <f>HYPERLINK("https://rhld.insurance.arkansas.gov/NPILookup?Npi=1770007700","1770007700")</f>
        <v>1770007700</v>
      </c>
      <c r="E7015" t="s">
        <v>13692</v>
      </c>
    </row>
    <row r="7016" spans="1:5" x14ac:dyDescent="0.25">
      <c r="A7016" t="s">
        <v>1</v>
      </c>
      <c r="B7016" t="s">
        <v>19</v>
      </c>
      <c r="C7016" t="s">
        <v>23490</v>
      </c>
      <c r="D7016" t="str">
        <f>HYPERLINK("https://rhld.insurance.arkansas.gov/NPILookup?Npi=1770014490","1770014490")</f>
        <v>1770014490</v>
      </c>
      <c r="E7016" t="s">
        <v>18116</v>
      </c>
    </row>
    <row r="7017" spans="1:5" x14ac:dyDescent="0.25">
      <c r="A7017" t="s">
        <v>1</v>
      </c>
      <c r="B7017" t="s">
        <v>19</v>
      </c>
      <c r="C7017" t="s">
        <v>23490</v>
      </c>
      <c r="D7017" t="str">
        <f>HYPERLINK("https://rhld.insurance.arkansas.gov/NPILookup?Npi=1770015042","1770015042")</f>
        <v>1770015042</v>
      </c>
      <c r="E7017" t="s">
        <v>18117</v>
      </c>
    </row>
    <row r="7018" spans="1:5" x14ac:dyDescent="0.25">
      <c r="A7018" t="s">
        <v>1</v>
      </c>
      <c r="B7018" t="s">
        <v>19</v>
      </c>
      <c r="C7018" t="s">
        <v>23490</v>
      </c>
      <c r="D7018" t="str">
        <f>HYPERLINK("https://rhld.insurance.arkansas.gov/NPILookup?Npi=1770020521","1770020521")</f>
        <v>1770020521</v>
      </c>
      <c r="E7018" t="s">
        <v>11254</v>
      </c>
    </row>
    <row r="7019" spans="1:5" x14ac:dyDescent="0.25">
      <c r="A7019" t="s">
        <v>1</v>
      </c>
      <c r="B7019" t="s">
        <v>19</v>
      </c>
      <c r="C7019" t="s">
        <v>23490</v>
      </c>
      <c r="D7019" t="str">
        <f>HYPERLINK("https://rhld.insurance.arkansas.gov/NPILookup?Npi=1770020901","1770020901")</f>
        <v>1770020901</v>
      </c>
      <c r="E7019" t="s">
        <v>20010</v>
      </c>
    </row>
    <row r="7020" spans="1:5" x14ac:dyDescent="0.25">
      <c r="A7020" t="s">
        <v>1</v>
      </c>
      <c r="B7020" t="s">
        <v>19</v>
      </c>
      <c r="C7020" t="s">
        <v>23490</v>
      </c>
      <c r="D7020" t="str">
        <f>HYPERLINK("https://rhld.insurance.arkansas.gov/NPILookup?Npi=1770039752","1770039752")</f>
        <v>1770039752</v>
      </c>
      <c r="E7020" t="s">
        <v>11255</v>
      </c>
    </row>
    <row r="7021" spans="1:5" x14ac:dyDescent="0.25">
      <c r="A7021" t="s">
        <v>1</v>
      </c>
      <c r="B7021" t="s">
        <v>19</v>
      </c>
      <c r="C7021" t="s">
        <v>23490</v>
      </c>
      <c r="D7021" t="str">
        <f>HYPERLINK("https://rhld.insurance.arkansas.gov/NPILookup?Npi=1770040222","1770040222")</f>
        <v>1770040222</v>
      </c>
      <c r="E7021" t="s">
        <v>13693</v>
      </c>
    </row>
    <row r="7022" spans="1:5" x14ac:dyDescent="0.25">
      <c r="A7022" t="s">
        <v>1</v>
      </c>
      <c r="B7022" t="s">
        <v>19</v>
      </c>
      <c r="C7022" t="s">
        <v>23490</v>
      </c>
      <c r="D7022" t="str">
        <f>HYPERLINK("https://rhld.insurance.arkansas.gov/NPILookup?Npi=1770046310","1770046310")</f>
        <v>1770046310</v>
      </c>
      <c r="E7022" t="s">
        <v>5261</v>
      </c>
    </row>
    <row r="7023" spans="1:5" x14ac:dyDescent="0.25">
      <c r="A7023" t="s">
        <v>1</v>
      </c>
      <c r="B7023" t="s">
        <v>19</v>
      </c>
      <c r="C7023" t="s">
        <v>23490</v>
      </c>
      <c r="D7023" t="str">
        <f>HYPERLINK("https://rhld.insurance.arkansas.gov/NPILookup?Npi=1770048084","1770048084")</f>
        <v>1770048084</v>
      </c>
      <c r="E7023" t="s">
        <v>13694</v>
      </c>
    </row>
    <row r="7024" spans="1:5" x14ac:dyDescent="0.25">
      <c r="A7024" t="s">
        <v>1</v>
      </c>
      <c r="B7024" t="s">
        <v>19</v>
      </c>
      <c r="C7024" t="s">
        <v>23490</v>
      </c>
      <c r="D7024" t="str">
        <f>HYPERLINK("https://rhld.insurance.arkansas.gov/NPILookup?Npi=1770051666","1770051666")</f>
        <v>1770051666</v>
      </c>
      <c r="E7024" t="s">
        <v>20011</v>
      </c>
    </row>
    <row r="7025" spans="1:5" x14ac:dyDescent="0.25">
      <c r="A7025" t="s">
        <v>1</v>
      </c>
      <c r="B7025" t="s">
        <v>19</v>
      </c>
      <c r="C7025" t="s">
        <v>23490</v>
      </c>
      <c r="D7025" t="str">
        <f>HYPERLINK("https://rhld.insurance.arkansas.gov/NPILookup?Npi=1770068850","1770068850")</f>
        <v>1770068850</v>
      </c>
      <c r="E7025" t="s">
        <v>15527</v>
      </c>
    </row>
    <row r="7026" spans="1:5" x14ac:dyDescent="0.25">
      <c r="A7026" t="s">
        <v>1</v>
      </c>
      <c r="B7026" t="s">
        <v>19</v>
      </c>
      <c r="C7026" t="s">
        <v>23490</v>
      </c>
      <c r="D7026" t="str">
        <f>HYPERLINK("https://rhld.insurance.arkansas.gov/NPILookup?Npi=1770069411","1770069411")</f>
        <v>1770069411</v>
      </c>
      <c r="E7026" t="s">
        <v>15528</v>
      </c>
    </row>
    <row r="7027" spans="1:5" x14ac:dyDescent="0.25">
      <c r="A7027" t="s">
        <v>1</v>
      </c>
      <c r="B7027" t="s">
        <v>19</v>
      </c>
      <c r="C7027" t="s">
        <v>23490</v>
      </c>
      <c r="D7027" t="str">
        <f>HYPERLINK("https://rhld.insurance.arkansas.gov/NPILookup?Npi=1770071573","1770071573")</f>
        <v>1770071573</v>
      </c>
      <c r="E7027" t="s">
        <v>13695</v>
      </c>
    </row>
    <row r="7028" spans="1:5" x14ac:dyDescent="0.25">
      <c r="A7028" t="s">
        <v>1</v>
      </c>
      <c r="B7028" t="s">
        <v>19</v>
      </c>
      <c r="C7028" t="s">
        <v>23490</v>
      </c>
      <c r="D7028" t="str">
        <f>HYPERLINK("https://rhld.insurance.arkansas.gov/NPILookup?Npi=1770075558","1770075558")</f>
        <v>1770075558</v>
      </c>
      <c r="E7028" t="s">
        <v>13696</v>
      </c>
    </row>
    <row r="7029" spans="1:5" x14ac:dyDescent="0.25">
      <c r="A7029" t="s">
        <v>1</v>
      </c>
      <c r="B7029" t="s">
        <v>19</v>
      </c>
      <c r="C7029" t="s">
        <v>23490</v>
      </c>
      <c r="D7029" t="str">
        <f>HYPERLINK("https://rhld.insurance.arkansas.gov/NPILookup?Npi=1770075574","1770075574")</f>
        <v>1770075574</v>
      </c>
      <c r="E7029" t="s">
        <v>20012</v>
      </c>
    </row>
    <row r="7030" spans="1:5" x14ac:dyDescent="0.25">
      <c r="A7030" t="s">
        <v>1</v>
      </c>
      <c r="B7030" t="s">
        <v>19</v>
      </c>
      <c r="C7030" t="s">
        <v>23490</v>
      </c>
      <c r="D7030" t="str">
        <f>HYPERLINK("https://rhld.insurance.arkansas.gov/NPILookup?Npi=1770075673","1770075673")</f>
        <v>1770075673</v>
      </c>
      <c r="E7030" t="s">
        <v>15529</v>
      </c>
    </row>
    <row r="7031" spans="1:5" x14ac:dyDescent="0.25">
      <c r="A7031" t="s">
        <v>1</v>
      </c>
      <c r="B7031" t="s">
        <v>19</v>
      </c>
      <c r="C7031" t="s">
        <v>23490</v>
      </c>
      <c r="D7031" t="str">
        <f>HYPERLINK("https://rhld.insurance.arkansas.gov/NPILookup?Npi=1770078073","1770078073")</f>
        <v>1770078073</v>
      </c>
      <c r="E7031" t="s">
        <v>20013</v>
      </c>
    </row>
    <row r="7032" spans="1:5" x14ac:dyDescent="0.25">
      <c r="A7032" t="s">
        <v>1</v>
      </c>
      <c r="B7032" t="s">
        <v>19</v>
      </c>
      <c r="C7032" t="s">
        <v>23490</v>
      </c>
      <c r="D7032" t="str">
        <f>HYPERLINK("https://rhld.insurance.arkansas.gov/NPILookup?Npi=1770088296","1770088296")</f>
        <v>1770088296</v>
      </c>
      <c r="E7032" t="s">
        <v>18863</v>
      </c>
    </row>
    <row r="7033" spans="1:5" x14ac:dyDescent="0.25">
      <c r="A7033" t="s">
        <v>1</v>
      </c>
      <c r="B7033" t="s">
        <v>19</v>
      </c>
      <c r="C7033" t="s">
        <v>23490</v>
      </c>
      <c r="D7033" t="str">
        <f>HYPERLINK("https://rhld.insurance.arkansas.gov/NPILookup?Npi=1770088445","1770088445")</f>
        <v>1770088445</v>
      </c>
      <c r="E7033" t="s">
        <v>17023</v>
      </c>
    </row>
    <row r="7034" spans="1:5" x14ac:dyDescent="0.25">
      <c r="A7034" t="s">
        <v>1</v>
      </c>
      <c r="B7034" t="s">
        <v>19</v>
      </c>
      <c r="C7034" t="s">
        <v>23490</v>
      </c>
      <c r="D7034" t="str">
        <f>HYPERLINK("https://rhld.insurance.arkansas.gov/NPILookup?Npi=1770098964","1770098964")</f>
        <v>1770098964</v>
      </c>
      <c r="E7034" t="s">
        <v>12903</v>
      </c>
    </row>
    <row r="7035" spans="1:5" x14ac:dyDescent="0.25">
      <c r="A7035" t="s">
        <v>1</v>
      </c>
      <c r="B7035" t="s">
        <v>19</v>
      </c>
      <c r="C7035" t="s">
        <v>23490</v>
      </c>
      <c r="D7035" t="str">
        <f>HYPERLINK("https://rhld.insurance.arkansas.gov/NPILookup?Npi=1770105967","1770105967")</f>
        <v>1770105967</v>
      </c>
      <c r="E7035" t="s">
        <v>5927</v>
      </c>
    </row>
    <row r="7036" spans="1:5" x14ac:dyDescent="0.25">
      <c r="A7036" t="s">
        <v>1</v>
      </c>
      <c r="B7036" t="s">
        <v>19</v>
      </c>
      <c r="C7036" t="s">
        <v>23490</v>
      </c>
      <c r="D7036" t="str">
        <f>HYPERLINK("https://rhld.insurance.arkansas.gov/NPILookup?Npi=1770143604","1770143604")</f>
        <v>1770143604</v>
      </c>
      <c r="E7036" t="s">
        <v>17024</v>
      </c>
    </row>
    <row r="7037" spans="1:5" x14ac:dyDescent="0.25">
      <c r="A7037" t="s">
        <v>1</v>
      </c>
      <c r="B7037" t="s">
        <v>19</v>
      </c>
      <c r="C7037" t="s">
        <v>23490</v>
      </c>
      <c r="D7037" t="str">
        <f>HYPERLINK("https://rhld.insurance.arkansas.gov/NPILookup?Npi=1770156762","1770156762")</f>
        <v>1770156762</v>
      </c>
      <c r="E7037" t="s">
        <v>21648</v>
      </c>
    </row>
    <row r="7038" spans="1:5" x14ac:dyDescent="0.25">
      <c r="A7038" t="s">
        <v>1</v>
      </c>
      <c r="B7038" t="s">
        <v>19</v>
      </c>
      <c r="C7038" t="s">
        <v>23490</v>
      </c>
      <c r="D7038" t="str">
        <f>HYPERLINK("https://rhld.insurance.arkansas.gov/NPILookup?Npi=1770173536","1770173536")</f>
        <v>1770173536</v>
      </c>
      <c r="E7038" t="s">
        <v>18118</v>
      </c>
    </row>
    <row r="7039" spans="1:5" x14ac:dyDescent="0.25">
      <c r="A7039" t="s">
        <v>1</v>
      </c>
      <c r="B7039" t="s">
        <v>19</v>
      </c>
      <c r="C7039" t="s">
        <v>23490</v>
      </c>
      <c r="D7039" t="str">
        <f>HYPERLINK("https://rhld.insurance.arkansas.gov/NPILookup?Npi=1770192791","1770192791")</f>
        <v>1770192791</v>
      </c>
      <c r="E7039" t="s">
        <v>17478</v>
      </c>
    </row>
    <row r="7040" spans="1:5" x14ac:dyDescent="0.25">
      <c r="A7040" t="s">
        <v>1</v>
      </c>
      <c r="B7040" t="s">
        <v>19</v>
      </c>
      <c r="C7040" t="s">
        <v>23490</v>
      </c>
      <c r="D7040" t="str">
        <f>HYPERLINK("https://rhld.insurance.arkansas.gov/NPILookup?Npi=1770198848","1770198848")</f>
        <v>1770198848</v>
      </c>
      <c r="E7040" t="s">
        <v>18119</v>
      </c>
    </row>
    <row r="7041" spans="1:5" x14ac:dyDescent="0.25">
      <c r="A7041" t="s">
        <v>1</v>
      </c>
      <c r="B7041" t="s">
        <v>19</v>
      </c>
      <c r="C7041" t="s">
        <v>23490</v>
      </c>
      <c r="D7041" t="str">
        <f>HYPERLINK("https://rhld.insurance.arkansas.gov/NPILookup?Npi=1770216202","1770216202")</f>
        <v>1770216202</v>
      </c>
      <c r="E7041" t="s">
        <v>21033</v>
      </c>
    </row>
    <row r="7042" spans="1:5" x14ac:dyDescent="0.25">
      <c r="A7042" t="s">
        <v>1</v>
      </c>
      <c r="B7042" t="s">
        <v>19</v>
      </c>
      <c r="C7042" t="s">
        <v>23490</v>
      </c>
      <c r="D7042" t="str">
        <f>HYPERLINK("https://rhld.insurance.arkansas.gov/NPILookup?Npi=1770217887","1770217887")</f>
        <v>1770217887</v>
      </c>
      <c r="E7042" t="s">
        <v>21034</v>
      </c>
    </row>
    <row r="7043" spans="1:5" x14ac:dyDescent="0.25">
      <c r="A7043" t="s">
        <v>1</v>
      </c>
      <c r="B7043" t="s">
        <v>19</v>
      </c>
      <c r="C7043" t="s">
        <v>23490</v>
      </c>
      <c r="D7043" t="str">
        <f>HYPERLINK("https://rhld.insurance.arkansas.gov/NPILookup?Npi=1770510331","1770510331")</f>
        <v>1770510331</v>
      </c>
      <c r="E7043" t="s">
        <v>2711</v>
      </c>
    </row>
    <row r="7044" spans="1:5" x14ac:dyDescent="0.25">
      <c r="A7044" t="s">
        <v>1</v>
      </c>
      <c r="B7044" t="s">
        <v>19</v>
      </c>
      <c r="C7044" t="s">
        <v>23490</v>
      </c>
      <c r="D7044" t="str">
        <f>HYPERLINK("https://rhld.insurance.arkansas.gov/NPILookup?Npi=1770520819","1770520819")</f>
        <v>1770520819</v>
      </c>
      <c r="E7044" t="s">
        <v>8842</v>
      </c>
    </row>
    <row r="7045" spans="1:5" x14ac:dyDescent="0.25">
      <c r="A7045" t="s">
        <v>1</v>
      </c>
      <c r="B7045" t="s">
        <v>19</v>
      </c>
      <c r="C7045" t="s">
        <v>8427</v>
      </c>
      <c r="D7045" t="str">
        <f>HYPERLINK("https://rhld.insurance.arkansas.gov/NPILookup?Npi=1770520900","1770520900")</f>
        <v>1770520900</v>
      </c>
      <c r="E7045" t="s">
        <v>22983</v>
      </c>
    </row>
    <row r="7046" spans="1:5" x14ac:dyDescent="0.25">
      <c r="A7046" t="s">
        <v>1</v>
      </c>
      <c r="B7046" t="s">
        <v>19</v>
      </c>
      <c r="C7046" t="s">
        <v>23490</v>
      </c>
      <c r="D7046" t="str">
        <f>HYPERLINK("https://rhld.insurance.arkansas.gov/NPILookup?Npi=1770530586","1770530586")</f>
        <v>1770530586</v>
      </c>
      <c r="E7046" t="s">
        <v>15530</v>
      </c>
    </row>
    <row r="7047" spans="1:5" x14ac:dyDescent="0.25">
      <c r="A7047" t="s">
        <v>1</v>
      </c>
      <c r="B7047" t="s">
        <v>19</v>
      </c>
      <c r="C7047" t="s">
        <v>23490</v>
      </c>
      <c r="D7047" t="str">
        <f>HYPERLINK("https://rhld.insurance.arkansas.gov/NPILookup?Npi=1770531766","1770531766")</f>
        <v>1770531766</v>
      </c>
      <c r="E7047" t="s">
        <v>2712</v>
      </c>
    </row>
    <row r="7048" spans="1:5" x14ac:dyDescent="0.25">
      <c r="A7048" t="s">
        <v>1</v>
      </c>
      <c r="B7048" t="s">
        <v>19</v>
      </c>
      <c r="C7048" t="s">
        <v>23490</v>
      </c>
      <c r="D7048" t="str">
        <f>HYPERLINK("https://rhld.insurance.arkansas.gov/NPILookup?Npi=1770538308","1770538308")</f>
        <v>1770538308</v>
      </c>
      <c r="E7048" t="s">
        <v>2713</v>
      </c>
    </row>
    <row r="7049" spans="1:5" x14ac:dyDescent="0.25">
      <c r="A7049" t="s">
        <v>1</v>
      </c>
      <c r="B7049" t="s">
        <v>19</v>
      </c>
      <c r="C7049" t="s">
        <v>23490</v>
      </c>
      <c r="D7049" t="str">
        <f>HYPERLINK("https://rhld.insurance.arkansas.gov/NPILookup?Npi=1770540023","1770540023")</f>
        <v>1770540023</v>
      </c>
      <c r="E7049" t="s">
        <v>2714</v>
      </c>
    </row>
    <row r="7050" spans="1:5" x14ac:dyDescent="0.25">
      <c r="A7050" t="s">
        <v>1</v>
      </c>
      <c r="B7050" t="s">
        <v>19</v>
      </c>
      <c r="C7050" t="s">
        <v>23490</v>
      </c>
      <c r="D7050" t="str">
        <f>HYPERLINK("https://rhld.insurance.arkansas.gov/NPILookup?Npi=1770544124","1770544124")</f>
        <v>1770544124</v>
      </c>
      <c r="E7050" t="s">
        <v>2715</v>
      </c>
    </row>
    <row r="7051" spans="1:5" x14ac:dyDescent="0.25">
      <c r="A7051" t="s">
        <v>1</v>
      </c>
      <c r="B7051" t="s">
        <v>19</v>
      </c>
      <c r="C7051" t="s">
        <v>23490</v>
      </c>
      <c r="D7051" t="str">
        <f>HYPERLINK("https://rhld.insurance.arkansas.gov/NPILookup?Npi=1770551665","1770551665")</f>
        <v>1770551665</v>
      </c>
      <c r="E7051" t="s">
        <v>20014</v>
      </c>
    </row>
    <row r="7052" spans="1:5" x14ac:dyDescent="0.25">
      <c r="A7052" t="s">
        <v>1</v>
      </c>
      <c r="B7052" t="s">
        <v>19</v>
      </c>
      <c r="C7052" t="s">
        <v>23490</v>
      </c>
      <c r="D7052" t="str">
        <f>HYPERLINK("https://rhld.insurance.arkansas.gov/NPILookup?Npi=1770554446","1770554446")</f>
        <v>1770554446</v>
      </c>
      <c r="E7052" t="s">
        <v>8843</v>
      </c>
    </row>
    <row r="7053" spans="1:5" x14ac:dyDescent="0.25">
      <c r="A7053" t="s">
        <v>1</v>
      </c>
      <c r="B7053" t="s">
        <v>19</v>
      </c>
      <c r="C7053" t="s">
        <v>23490</v>
      </c>
      <c r="D7053" t="str">
        <f>HYPERLINK("https://rhld.insurance.arkansas.gov/NPILookup?Npi=1770559635","1770559635")</f>
        <v>1770559635</v>
      </c>
      <c r="E7053" t="s">
        <v>2716</v>
      </c>
    </row>
    <row r="7054" spans="1:5" x14ac:dyDescent="0.25">
      <c r="A7054" t="s">
        <v>1</v>
      </c>
      <c r="B7054" t="s">
        <v>19</v>
      </c>
      <c r="C7054" t="s">
        <v>23490</v>
      </c>
      <c r="D7054" t="str">
        <f>HYPERLINK("https://rhld.insurance.arkansas.gov/NPILookup?Npi=1770568164","1770568164")</f>
        <v>1770568164</v>
      </c>
      <c r="E7054" t="s">
        <v>15531</v>
      </c>
    </row>
    <row r="7055" spans="1:5" x14ac:dyDescent="0.25">
      <c r="A7055" t="s">
        <v>1</v>
      </c>
      <c r="B7055" t="s">
        <v>19</v>
      </c>
      <c r="C7055" t="s">
        <v>23490</v>
      </c>
      <c r="D7055" t="str">
        <f>HYPERLINK("https://rhld.insurance.arkansas.gov/NPILookup?Npi=1770568230","1770568230")</f>
        <v>1770568230</v>
      </c>
      <c r="E7055" t="s">
        <v>15532</v>
      </c>
    </row>
    <row r="7056" spans="1:5" x14ac:dyDescent="0.25">
      <c r="A7056" t="s">
        <v>1</v>
      </c>
      <c r="B7056" t="s">
        <v>19</v>
      </c>
      <c r="C7056" t="s">
        <v>23490</v>
      </c>
      <c r="D7056" t="str">
        <f>HYPERLINK("https://rhld.insurance.arkansas.gov/NPILookup?Npi=1770569931","1770569931")</f>
        <v>1770569931</v>
      </c>
      <c r="E7056" t="s">
        <v>15533</v>
      </c>
    </row>
    <row r="7057" spans="1:5" x14ac:dyDescent="0.25">
      <c r="A7057" t="s">
        <v>1</v>
      </c>
      <c r="B7057" t="s">
        <v>19</v>
      </c>
      <c r="C7057" t="s">
        <v>23490</v>
      </c>
      <c r="D7057" t="str">
        <f>HYPERLINK("https://rhld.insurance.arkansas.gov/NPILookup?Npi=1770575557","1770575557")</f>
        <v>1770575557</v>
      </c>
      <c r="E7057" t="s">
        <v>8377</v>
      </c>
    </row>
    <row r="7058" spans="1:5" x14ac:dyDescent="0.25">
      <c r="A7058" t="s">
        <v>1</v>
      </c>
      <c r="B7058" t="s">
        <v>19</v>
      </c>
      <c r="C7058" t="s">
        <v>23490</v>
      </c>
      <c r="D7058" t="str">
        <f>HYPERLINK("https://rhld.insurance.arkansas.gov/NPILookup?Npi=1770576035","1770576035")</f>
        <v>1770576035</v>
      </c>
      <c r="E7058" t="s">
        <v>2717</v>
      </c>
    </row>
    <row r="7059" spans="1:5" x14ac:dyDescent="0.25">
      <c r="A7059" t="s">
        <v>1</v>
      </c>
      <c r="B7059" t="s">
        <v>19</v>
      </c>
      <c r="C7059" t="s">
        <v>23490</v>
      </c>
      <c r="D7059" t="str">
        <f>HYPERLINK("https://rhld.insurance.arkansas.gov/NPILookup?Npi=1770578072","1770578072")</f>
        <v>1770578072</v>
      </c>
      <c r="E7059" t="s">
        <v>2718</v>
      </c>
    </row>
    <row r="7060" spans="1:5" x14ac:dyDescent="0.25">
      <c r="A7060" t="s">
        <v>1</v>
      </c>
      <c r="B7060" t="s">
        <v>19</v>
      </c>
      <c r="C7060" t="s">
        <v>23490</v>
      </c>
      <c r="D7060" t="str">
        <f>HYPERLINK("https://rhld.insurance.arkansas.gov/NPILookup?Npi=1770578718","1770578718")</f>
        <v>1770578718</v>
      </c>
      <c r="E7060" t="s">
        <v>2719</v>
      </c>
    </row>
    <row r="7061" spans="1:5" x14ac:dyDescent="0.25">
      <c r="A7061" t="s">
        <v>1</v>
      </c>
      <c r="B7061" t="s">
        <v>19</v>
      </c>
      <c r="C7061" t="s">
        <v>23490</v>
      </c>
      <c r="D7061" t="str">
        <f>HYPERLINK("https://rhld.insurance.arkansas.gov/NPILookup?Npi=1770580169","1770580169")</f>
        <v>1770580169</v>
      </c>
      <c r="E7061" t="s">
        <v>2720</v>
      </c>
    </row>
    <row r="7062" spans="1:5" x14ac:dyDescent="0.25">
      <c r="A7062" t="s">
        <v>1</v>
      </c>
      <c r="B7062" t="s">
        <v>19</v>
      </c>
      <c r="C7062" t="s">
        <v>23490</v>
      </c>
      <c r="D7062" t="str">
        <f>HYPERLINK("https://rhld.insurance.arkansas.gov/NPILookup?Npi=1770581225","1770581225")</f>
        <v>1770581225</v>
      </c>
      <c r="E7062" t="s">
        <v>2721</v>
      </c>
    </row>
    <row r="7063" spans="1:5" x14ac:dyDescent="0.25">
      <c r="A7063" t="s">
        <v>1</v>
      </c>
      <c r="B7063" t="s">
        <v>19</v>
      </c>
      <c r="C7063" t="s">
        <v>23490</v>
      </c>
      <c r="D7063" t="str">
        <f>HYPERLINK("https://rhld.insurance.arkansas.gov/NPILookup?Npi=1770581845","1770581845")</f>
        <v>1770581845</v>
      </c>
      <c r="E7063" t="s">
        <v>2722</v>
      </c>
    </row>
    <row r="7064" spans="1:5" x14ac:dyDescent="0.25">
      <c r="A7064" t="s">
        <v>1</v>
      </c>
      <c r="B7064" t="s">
        <v>19</v>
      </c>
      <c r="C7064" t="s">
        <v>23490</v>
      </c>
      <c r="D7064" t="str">
        <f>HYPERLINK("https://rhld.insurance.arkansas.gov/NPILookup?Npi=1770583189","1770583189")</f>
        <v>1770583189</v>
      </c>
      <c r="E7064" t="s">
        <v>2723</v>
      </c>
    </row>
    <row r="7065" spans="1:5" x14ac:dyDescent="0.25">
      <c r="A7065" t="s">
        <v>1</v>
      </c>
      <c r="B7065" t="s">
        <v>19</v>
      </c>
      <c r="C7065" t="s">
        <v>23490</v>
      </c>
      <c r="D7065" t="str">
        <f>HYPERLINK("https://rhld.insurance.arkansas.gov/NPILookup?Npi=1770596314","1770596314")</f>
        <v>1770596314</v>
      </c>
      <c r="E7065" t="s">
        <v>2724</v>
      </c>
    </row>
    <row r="7066" spans="1:5" x14ac:dyDescent="0.25">
      <c r="A7066" t="s">
        <v>1</v>
      </c>
      <c r="B7066" t="s">
        <v>19</v>
      </c>
      <c r="C7066" t="s">
        <v>23490</v>
      </c>
      <c r="D7066" t="str">
        <f>HYPERLINK("https://rhld.insurance.arkansas.gov/NPILookup?Npi=1770596538","1770596538")</f>
        <v>1770596538</v>
      </c>
      <c r="E7066" t="s">
        <v>11256</v>
      </c>
    </row>
    <row r="7067" spans="1:5" x14ac:dyDescent="0.25">
      <c r="A7067" t="s">
        <v>1</v>
      </c>
      <c r="B7067" t="s">
        <v>19</v>
      </c>
      <c r="C7067" t="s">
        <v>23490</v>
      </c>
      <c r="D7067" t="str">
        <f>HYPERLINK("https://rhld.insurance.arkansas.gov/NPILookup?Npi=1770628471","1770628471")</f>
        <v>1770628471</v>
      </c>
      <c r="E7067" t="s">
        <v>2725</v>
      </c>
    </row>
    <row r="7068" spans="1:5" x14ac:dyDescent="0.25">
      <c r="A7068" t="s">
        <v>1</v>
      </c>
      <c r="B7068" t="s">
        <v>19</v>
      </c>
      <c r="C7068" t="s">
        <v>23490</v>
      </c>
      <c r="D7068" t="str">
        <f>HYPERLINK("https://rhld.insurance.arkansas.gov/NPILookup?Npi=1770658262","1770658262")</f>
        <v>1770658262</v>
      </c>
      <c r="E7068" t="s">
        <v>8844</v>
      </c>
    </row>
    <row r="7069" spans="1:5" x14ac:dyDescent="0.25">
      <c r="A7069" t="s">
        <v>1</v>
      </c>
      <c r="B7069" t="s">
        <v>19</v>
      </c>
      <c r="C7069" t="s">
        <v>23490</v>
      </c>
      <c r="D7069" t="str">
        <f>HYPERLINK("https://rhld.insurance.arkansas.gov/NPILookup?Npi=1770660045","1770660045")</f>
        <v>1770660045</v>
      </c>
      <c r="E7069" t="s">
        <v>8845</v>
      </c>
    </row>
    <row r="7070" spans="1:5" x14ac:dyDescent="0.25">
      <c r="A7070" t="s">
        <v>1</v>
      </c>
      <c r="B7070" t="s">
        <v>19</v>
      </c>
      <c r="C7070" t="s">
        <v>23490</v>
      </c>
      <c r="D7070" t="str">
        <f>HYPERLINK("https://rhld.insurance.arkansas.gov/NPILookup?Npi=1770661704","1770661704")</f>
        <v>1770661704</v>
      </c>
      <c r="E7070" t="s">
        <v>2726</v>
      </c>
    </row>
    <row r="7071" spans="1:5" x14ac:dyDescent="0.25">
      <c r="A7071" t="s">
        <v>1</v>
      </c>
      <c r="B7071" t="s">
        <v>19</v>
      </c>
      <c r="C7071" t="s">
        <v>23490</v>
      </c>
      <c r="D7071" t="str">
        <f>HYPERLINK("https://rhld.insurance.arkansas.gov/NPILookup?Npi=1770670879","1770670879")</f>
        <v>1770670879</v>
      </c>
      <c r="E7071" t="s">
        <v>2727</v>
      </c>
    </row>
    <row r="7072" spans="1:5" x14ac:dyDescent="0.25">
      <c r="A7072" t="s">
        <v>1</v>
      </c>
      <c r="B7072" t="s">
        <v>19</v>
      </c>
      <c r="C7072" t="s">
        <v>23490</v>
      </c>
      <c r="D7072" t="str">
        <f>HYPERLINK("https://rhld.insurance.arkansas.gov/NPILookup?Npi=1770683641","1770683641")</f>
        <v>1770683641</v>
      </c>
      <c r="E7072" t="s">
        <v>2728</v>
      </c>
    </row>
    <row r="7073" spans="1:5" x14ac:dyDescent="0.25">
      <c r="A7073" t="s">
        <v>1</v>
      </c>
      <c r="B7073" t="s">
        <v>19</v>
      </c>
      <c r="C7073" t="s">
        <v>23490</v>
      </c>
      <c r="D7073" t="str">
        <f>HYPERLINK("https://rhld.insurance.arkansas.gov/NPILookup?Npi=1770685869","1770685869")</f>
        <v>1770685869</v>
      </c>
      <c r="E7073" t="s">
        <v>22984</v>
      </c>
    </row>
    <row r="7074" spans="1:5" x14ac:dyDescent="0.25">
      <c r="A7074" t="s">
        <v>1</v>
      </c>
      <c r="B7074" t="s">
        <v>19</v>
      </c>
      <c r="C7074" t="s">
        <v>23490</v>
      </c>
      <c r="D7074" t="str">
        <f>HYPERLINK("https://rhld.insurance.arkansas.gov/NPILookup?Npi=1770695223","1770695223")</f>
        <v>1770695223</v>
      </c>
      <c r="E7074" t="s">
        <v>15534</v>
      </c>
    </row>
    <row r="7075" spans="1:5" x14ac:dyDescent="0.25">
      <c r="A7075" t="s">
        <v>1</v>
      </c>
      <c r="B7075" t="s">
        <v>19</v>
      </c>
      <c r="C7075" t="s">
        <v>23490</v>
      </c>
      <c r="D7075" t="str">
        <f>HYPERLINK("https://rhld.insurance.arkansas.gov/NPILookup?Npi=1770699670","1770699670")</f>
        <v>1770699670</v>
      </c>
      <c r="E7075" t="s">
        <v>15535</v>
      </c>
    </row>
    <row r="7076" spans="1:5" x14ac:dyDescent="0.25">
      <c r="A7076" t="s">
        <v>1</v>
      </c>
      <c r="B7076" t="s">
        <v>19</v>
      </c>
      <c r="C7076" t="s">
        <v>23490</v>
      </c>
      <c r="D7076" t="str">
        <f>HYPERLINK("https://rhld.insurance.arkansas.gov/NPILookup?Npi=1770712275","1770712275")</f>
        <v>1770712275</v>
      </c>
      <c r="E7076" t="s">
        <v>20015</v>
      </c>
    </row>
    <row r="7077" spans="1:5" x14ac:dyDescent="0.25">
      <c r="A7077" t="s">
        <v>1</v>
      </c>
      <c r="B7077" t="s">
        <v>19</v>
      </c>
      <c r="C7077" t="s">
        <v>23490</v>
      </c>
      <c r="D7077" t="str">
        <f>HYPERLINK("https://rhld.insurance.arkansas.gov/NPILookup?Npi=1770713737","1770713737")</f>
        <v>1770713737</v>
      </c>
      <c r="E7077" t="s">
        <v>15536</v>
      </c>
    </row>
    <row r="7078" spans="1:5" x14ac:dyDescent="0.25">
      <c r="A7078" t="s">
        <v>1</v>
      </c>
      <c r="B7078" t="s">
        <v>19</v>
      </c>
      <c r="C7078" t="s">
        <v>23490</v>
      </c>
      <c r="D7078" t="str">
        <f>HYPERLINK("https://rhld.insurance.arkansas.gov/NPILookup?Npi=1770715591","1770715591")</f>
        <v>1770715591</v>
      </c>
      <c r="E7078" t="s">
        <v>18120</v>
      </c>
    </row>
    <row r="7079" spans="1:5" x14ac:dyDescent="0.25">
      <c r="A7079" t="s">
        <v>1</v>
      </c>
      <c r="B7079" t="s">
        <v>19</v>
      </c>
      <c r="C7079" t="s">
        <v>23490</v>
      </c>
      <c r="D7079" t="str">
        <f>HYPERLINK("https://rhld.insurance.arkansas.gov/NPILookup?Npi=1770735532","1770735532")</f>
        <v>1770735532</v>
      </c>
      <c r="E7079" t="s">
        <v>20016</v>
      </c>
    </row>
    <row r="7080" spans="1:5" x14ac:dyDescent="0.25">
      <c r="A7080" t="s">
        <v>1</v>
      </c>
      <c r="B7080" t="s">
        <v>19</v>
      </c>
      <c r="C7080" t="s">
        <v>23490</v>
      </c>
      <c r="D7080" t="str">
        <f>HYPERLINK("https://rhld.insurance.arkansas.gov/NPILookup?Npi=1770742066","1770742066")</f>
        <v>1770742066</v>
      </c>
      <c r="E7080" t="s">
        <v>11257</v>
      </c>
    </row>
    <row r="7081" spans="1:5" x14ac:dyDescent="0.25">
      <c r="A7081" t="s">
        <v>1</v>
      </c>
      <c r="B7081" t="s">
        <v>19</v>
      </c>
      <c r="C7081" t="s">
        <v>23490</v>
      </c>
      <c r="D7081" t="str">
        <f>HYPERLINK("https://rhld.insurance.arkansas.gov/NPILookup?Npi=1770747149","1770747149")</f>
        <v>1770747149</v>
      </c>
      <c r="E7081" t="s">
        <v>12904</v>
      </c>
    </row>
    <row r="7082" spans="1:5" x14ac:dyDescent="0.25">
      <c r="A7082" t="s">
        <v>1</v>
      </c>
      <c r="B7082" t="s">
        <v>19</v>
      </c>
      <c r="C7082" t="s">
        <v>23490</v>
      </c>
      <c r="D7082" t="str">
        <f>HYPERLINK("https://rhld.insurance.arkansas.gov/NPILookup?Npi=1770748352","1770748352")</f>
        <v>1770748352</v>
      </c>
      <c r="E7082" t="s">
        <v>11258</v>
      </c>
    </row>
    <row r="7083" spans="1:5" x14ac:dyDescent="0.25">
      <c r="A7083" t="s">
        <v>1</v>
      </c>
      <c r="B7083" t="s">
        <v>19</v>
      </c>
      <c r="C7083" t="s">
        <v>23490</v>
      </c>
      <c r="D7083" t="str">
        <f>HYPERLINK("https://rhld.insurance.arkansas.gov/NPILookup?Npi=1770763674","1770763674")</f>
        <v>1770763674</v>
      </c>
      <c r="E7083" t="s">
        <v>22985</v>
      </c>
    </row>
    <row r="7084" spans="1:5" x14ac:dyDescent="0.25">
      <c r="A7084" t="s">
        <v>1</v>
      </c>
      <c r="B7084" t="s">
        <v>19</v>
      </c>
      <c r="C7084" t="s">
        <v>23490</v>
      </c>
      <c r="D7084" t="str">
        <f>HYPERLINK("https://rhld.insurance.arkansas.gov/NPILookup?Npi=1770769903","1770769903")</f>
        <v>1770769903</v>
      </c>
      <c r="E7084" t="s">
        <v>15537</v>
      </c>
    </row>
    <row r="7085" spans="1:5" x14ac:dyDescent="0.25">
      <c r="A7085" t="s">
        <v>1</v>
      </c>
      <c r="B7085" t="s">
        <v>19</v>
      </c>
      <c r="C7085" t="s">
        <v>23490</v>
      </c>
      <c r="D7085" t="str">
        <f>HYPERLINK("https://rhld.insurance.arkansas.gov/NPILookup?Npi=1770771297","1770771297")</f>
        <v>1770771297</v>
      </c>
      <c r="E7085" t="s">
        <v>2729</v>
      </c>
    </row>
    <row r="7086" spans="1:5" x14ac:dyDescent="0.25">
      <c r="A7086" t="s">
        <v>1</v>
      </c>
      <c r="B7086" t="s">
        <v>19</v>
      </c>
      <c r="C7086" t="s">
        <v>23490</v>
      </c>
      <c r="D7086" t="str">
        <f>HYPERLINK("https://rhld.insurance.arkansas.gov/NPILookup?Npi=1770771586","1770771586")</f>
        <v>1770771586</v>
      </c>
      <c r="E7086" t="s">
        <v>15538</v>
      </c>
    </row>
    <row r="7087" spans="1:5" x14ac:dyDescent="0.25">
      <c r="A7087" t="s">
        <v>1</v>
      </c>
      <c r="B7087" t="s">
        <v>19</v>
      </c>
      <c r="C7087" t="s">
        <v>23490</v>
      </c>
      <c r="D7087" t="str">
        <f>HYPERLINK("https://rhld.insurance.arkansas.gov/NPILookup?Npi=1770771636","1770771636")</f>
        <v>1770771636</v>
      </c>
      <c r="E7087" t="s">
        <v>2730</v>
      </c>
    </row>
    <row r="7088" spans="1:5" x14ac:dyDescent="0.25">
      <c r="A7088" t="s">
        <v>1</v>
      </c>
      <c r="B7088" t="s">
        <v>19</v>
      </c>
      <c r="C7088" t="s">
        <v>23490</v>
      </c>
      <c r="D7088" t="str">
        <f>HYPERLINK("https://rhld.insurance.arkansas.gov/NPILookup?Npi=1770785420","1770785420")</f>
        <v>1770785420</v>
      </c>
      <c r="E7088" t="s">
        <v>2731</v>
      </c>
    </row>
    <row r="7089" spans="1:5" x14ac:dyDescent="0.25">
      <c r="A7089" t="s">
        <v>1</v>
      </c>
      <c r="B7089" t="s">
        <v>19</v>
      </c>
      <c r="C7089" t="s">
        <v>23490</v>
      </c>
      <c r="D7089" t="str">
        <f>HYPERLINK("https://rhld.insurance.arkansas.gov/NPILookup?Npi=1770798878","1770798878")</f>
        <v>1770798878</v>
      </c>
      <c r="E7089" t="s">
        <v>2732</v>
      </c>
    </row>
    <row r="7090" spans="1:5" x14ac:dyDescent="0.25">
      <c r="A7090" t="s">
        <v>1</v>
      </c>
      <c r="B7090" t="s">
        <v>19</v>
      </c>
      <c r="C7090" t="s">
        <v>23490</v>
      </c>
      <c r="D7090" t="str">
        <f>HYPERLINK("https://rhld.insurance.arkansas.gov/NPILookup?Npi=1770814576","1770814576")</f>
        <v>1770814576</v>
      </c>
      <c r="E7090" t="s">
        <v>2733</v>
      </c>
    </row>
    <row r="7091" spans="1:5" x14ac:dyDescent="0.25">
      <c r="A7091" t="s">
        <v>1</v>
      </c>
      <c r="B7091" t="s">
        <v>19</v>
      </c>
      <c r="C7091" t="s">
        <v>23490</v>
      </c>
      <c r="D7091" t="str">
        <f>HYPERLINK("https://rhld.insurance.arkansas.gov/NPILookup?Npi=1770817421","1770817421")</f>
        <v>1770817421</v>
      </c>
      <c r="E7091" t="s">
        <v>2734</v>
      </c>
    </row>
    <row r="7092" spans="1:5" x14ac:dyDescent="0.25">
      <c r="A7092" t="s">
        <v>1</v>
      </c>
      <c r="B7092" t="s">
        <v>19</v>
      </c>
      <c r="C7092" t="s">
        <v>23490</v>
      </c>
      <c r="D7092" t="str">
        <f>HYPERLINK("https://rhld.insurance.arkansas.gov/NPILookup?Npi=1770842148","1770842148")</f>
        <v>1770842148</v>
      </c>
      <c r="E7092" t="s">
        <v>2735</v>
      </c>
    </row>
    <row r="7093" spans="1:5" x14ac:dyDescent="0.25">
      <c r="A7093" t="s">
        <v>1</v>
      </c>
      <c r="B7093" t="s">
        <v>19</v>
      </c>
      <c r="C7093" t="s">
        <v>23490</v>
      </c>
      <c r="D7093" t="str">
        <f>HYPERLINK("https://rhld.insurance.arkansas.gov/NPILookup?Npi=1770846966","1770846966")</f>
        <v>1770846966</v>
      </c>
      <c r="E7093" t="s">
        <v>15539</v>
      </c>
    </row>
    <row r="7094" spans="1:5" x14ac:dyDescent="0.25">
      <c r="A7094" t="s">
        <v>1</v>
      </c>
      <c r="B7094" t="s">
        <v>19</v>
      </c>
      <c r="C7094" t="s">
        <v>23490</v>
      </c>
      <c r="D7094" t="str">
        <f>HYPERLINK("https://rhld.insurance.arkansas.gov/NPILookup?Npi=1770848434","1770848434")</f>
        <v>1770848434</v>
      </c>
      <c r="E7094" t="s">
        <v>15540</v>
      </c>
    </row>
    <row r="7095" spans="1:5" x14ac:dyDescent="0.25">
      <c r="A7095" t="s">
        <v>1</v>
      </c>
      <c r="B7095" t="s">
        <v>19</v>
      </c>
      <c r="C7095" t="s">
        <v>23490</v>
      </c>
      <c r="D7095" t="str">
        <f>HYPERLINK("https://rhld.insurance.arkansas.gov/NPILookup?Npi=1770855173","1770855173")</f>
        <v>1770855173</v>
      </c>
      <c r="E7095" t="s">
        <v>15541</v>
      </c>
    </row>
    <row r="7096" spans="1:5" x14ac:dyDescent="0.25">
      <c r="A7096" t="s">
        <v>1</v>
      </c>
      <c r="B7096" t="s">
        <v>19</v>
      </c>
      <c r="C7096" t="s">
        <v>23490</v>
      </c>
      <c r="D7096" t="str">
        <f>HYPERLINK("https://rhld.insurance.arkansas.gov/NPILookup?Npi=1770859209","1770859209")</f>
        <v>1770859209</v>
      </c>
      <c r="E7096" t="s">
        <v>20017</v>
      </c>
    </row>
    <row r="7097" spans="1:5" x14ac:dyDescent="0.25">
      <c r="A7097" t="s">
        <v>1</v>
      </c>
      <c r="B7097" t="s">
        <v>19</v>
      </c>
      <c r="C7097" t="s">
        <v>23490</v>
      </c>
      <c r="D7097" t="str">
        <f>HYPERLINK("https://rhld.insurance.arkansas.gov/NPILookup?Npi=1770866360","1770866360")</f>
        <v>1770866360</v>
      </c>
      <c r="E7097" t="s">
        <v>2736</v>
      </c>
    </row>
    <row r="7098" spans="1:5" x14ac:dyDescent="0.25">
      <c r="A7098" t="s">
        <v>1</v>
      </c>
      <c r="B7098" t="s">
        <v>19</v>
      </c>
      <c r="C7098" t="s">
        <v>23490</v>
      </c>
      <c r="D7098" t="str">
        <f>HYPERLINK("https://rhld.insurance.arkansas.gov/NPILookup?Npi=1770876328","1770876328")</f>
        <v>1770876328</v>
      </c>
      <c r="E7098" t="s">
        <v>2737</v>
      </c>
    </row>
    <row r="7099" spans="1:5" x14ac:dyDescent="0.25">
      <c r="A7099" t="s">
        <v>1</v>
      </c>
      <c r="B7099" t="s">
        <v>19</v>
      </c>
      <c r="C7099" t="s">
        <v>23490</v>
      </c>
      <c r="D7099" t="str">
        <f>HYPERLINK("https://rhld.insurance.arkansas.gov/NPILookup?Npi=1770877821","1770877821")</f>
        <v>1770877821</v>
      </c>
      <c r="E7099" t="s">
        <v>2738</v>
      </c>
    </row>
    <row r="7100" spans="1:5" x14ac:dyDescent="0.25">
      <c r="A7100" t="s">
        <v>1</v>
      </c>
      <c r="B7100" t="s">
        <v>19</v>
      </c>
      <c r="C7100" t="s">
        <v>23490</v>
      </c>
      <c r="D7100" t="str">
        <f>HYPERLINK("https://rhld.insurance.arkansas.gov/NPILookup?Npi=1770885121","1770885121")</f>
        <v>1770885121</v>
      </c>
      <c r="E7100" t="s">
        <v>15542</v>
      </c>
    </row>
    <row r="7101" spans="1:5" x14ac:dyDescent="0.25">
      <c r="A7101" t="s">
        <v>1</v>
      </c>
      <c r="B7101" t="s">
        <v>19</v>
      </c>
      <c r="C7101" t="s">
        <v>23490</v>
      </c>
      <c r="D7101" t="str">
        <f>HYPERLINK("https://rhld.insurance.arkansas.gov/NPILookup?Npi=1770902793","1770902793")</f>
        <v>1770902793</v>
      </c>
      <c r="E7101" t="s">
        <v>12905</v>
      </c>
    </row>
    <row r="7102" spans="1:5" x14ac:dyDescent="0.25">
      <c r="A7102" t="s">
        <v>1</v>
      </c>
      <c r="B7102" t="s">
        <v>19</v>
      </c>
      <c r="C7102" t="s">
        <v>23490</v>
      </c>
      <c r="D7102" t="str">
        <f>HYPERLINK("https://rhld.insurance.arkansas.gov/NPILookup?Npi=1770907339","1770907339")</f>
        <v>1770907339</v>
      </c>
      <c r="E7102" t="s">
        <v>2739</v>
      </c>
    </row>
    <row r="7103" spans="1:5" x14ac:dyDescent="0.25">
      <c r="A7103" t="s">
        <v>1</v>
      </c>
      <c r="B7103" t="s">
        <v>19</v>
      </c>
      <c r="C7103" t="s">
        <v>23490</v>
      </c>
      <c r="D7103" t="str">
        <f>HYPERLINK("https://rhld.insurance.arkansas.gov/NPILookup?Npi=1770908998","1770908998")</f>
        <v>1770908998</v>
      </c>
      <c r="E7103" t="s">
        <v>2740</v>
      </c>
    </row>
    <row r="7104" spans="1:5" x14ac:dyDescent="0.25">
      <c r="A7104" t="s">
        <v>1</v>
      </c>
      <c r="B7104" t="s">
        <v>19</v>
      </c>
      <c r="C7104" t="s">
        <v>23490</v>
      </c>
      <c r="D7104" t="str">
        <f>HYPERLINK("https://rhld.insurance.arkansas.gov/NPILookup?Npi=1770923724","1770923724")</f>
        <v>1770923724</v>
      </c>
      <c r="E7104" t="s">
        <v>13697</v>
      </c>
    </row>
    <row r="7105" spans="1:5" x14ac:dyDescent="0.25">
      <c r="A7105" t="s">
        <v>1</v>
      </c>
      <c r="B7105" t="s">
        <v>19</v>
      </c>
      <c r="C7105" t="s">
        <v>23490</v>
      </c>
      <c r="D7105" t="str">
        <f>HYPERLINK("https://rhld.insurance.arkansas.gov/NPILookup?Npi=1770925265","1770925265")</f>
        <v>1770925265</v>
      </c>
      <c r="E7105" t="s">
        <v>21035</v>
      </c>
    </row>
    <row r="7106" spans="1:5" x14ac:dyDescent="0.25">
      <c r="A7106" t="s">
        <v>1</v>
      </c>
      <c r="B7106" t="s">
        <v>19</v>
      </c>
      <c r="C7106" t="s">
        <v>23490</v>
      </c>
      <c r="D7106" t="str">
        <f>HYPERLINK("https://rhld.insurance.arkansas.gov/NPILookup?Npi=1770927121","1770927121")</f>
        <v>1770927121</v>
      </c>
      <c r="E7106" t="s">
        <v>11260</v>
      </c>
    </row>
    <row r="7107" spans="1:5" x14ac:dyDescent="0.25">
      <c r="A7107" t="s">
        <v>1</v>
      </c>
      <c r="B7107" t="s">
        <v>19</v>
      </c>
      <c r="C7107" t="s">
        <v>23490</v>
      </c>
      <c r="D7107" t="str">
        <f>HYPERLINK("https://rhld.insurance.arkansas.gov/NPILookup?Npi=1770930927","1770930927")</f>
        <v>1770930927</v>
      </c>
      <c r="E7107" t="s">
        <v>15543</v>
      </c>
    </row>
    <row r="7108" spans="1:5" x14ac:dyDescent="0.25">
      <c r="A7108" t="s">
        <v>1</v>
      </c>
      <c r="B7108" t="s">
        <v>19</v>
      </c>
      <c r="C7108" t="s">
        <v>23490</v>
      </c>
      <c r="D7108" t="str">
        <f>HYPERLINK("https://rhld.insurance.arkansas.gov/NPILookup?Npi=1770948218","1770948218")</f>
        <v>1770948218</v>
      </c>
      <c r="E7108" t="s">
        <v>8846</v>
      </c>
    </row>
    <row r="7109" spans="1:5" x14ac:dyDescent="0.25">
      <c r="A7109" t="s">
        <v>1</v>
      </c>
      <c r="B7109" t="s">
        <v>19</v>
      </c>
      <c r="C7109" t="s">
        <v>23490</v>
      </c>
      <c r="D7109" t="str">
        <f>HYPERLINK("https://rhld.insurance.arkansas.gov/NPILookup?Npi=1770954927","1770954927")</f>
        <v>1770954927</v>
      </c>
      <c r="E7109" t="s">
        <v>13698</v>
      </c>
    </row>
    <row r="7110" spans="1:5" x14ac:dyDescent="0.25">
      <c r="A7110" t="s">
        <v>1</v>
      </c>
      <c r="B7110" t="s">
        <v>19</v>
      </c>
      <c r="C7110" t="s">
        <v>23490</v>
      </c>
      <c r="D7110" t="str">
        <f>HYPERLINK("https://rhld.insurance.arkansas.gov/NPILookup?Npi=1770978199","1770978199")</f>
        <v>1770978199</v>
      </c>
      <c r="E7110" t="s">
        <v>11261</v>
      </c>
    </row>
    <row r="7111" spans="1:5" x14ac:dyDescent="0.25">
      <c r="A7111" t="s">
        <v>1</v>
      </c>
      <c r="B7111" t="s">
        <v>19</v>
      </c>
      <c r="C7111" t="s">
        <v>23490</v>
      </c>
      <c r="D7111" t="str">
        <f>HYPERLINK("https://rhld.insurance.arkansas.gov/NPILookup?Npi=1770988149","1770988149")</f>
        <v>1770988149</v>
      </c>
      <c r="E7111" t="s">
        <v>19234</v>
      </c>
    </row>
    <row r="7112" spans="1:5" x14ac:dyDescent="0.25">
      <c r="A7112" t="s">
        <v>1</v>
      </c>
      <c r="B7112" t="s">
        <v>19</v>
      </c>
      <c r="C7112" t="s">
        <v>23490</v>
      </c>
      <c r="D7112" t="str">
        <f>HYPERLINK("https://rhld.insurance.arkansas.gov/NPILookup?Npi=1770991754","1770991754")</f>
        <v>1770991754</v>
      </c>
      <c r="E7112" t="s">
        <v>11262</v>
      </c>
    </row>
    <row r="7113" spans="1:5" x14ac:dyDescent="0.25">
      <c r="A7113" t="s">
        <v>1</v>
      </c>
      <c r="B7113" t="s">
        <v>19</v>
      </c>
      <c r="C7113" t="s">
        <v>23490</v>
      </c>
      <c r="D7113" t="str">
        <f>HYPERLINK("https://rhld.insurance.arkansas.gov/NPILookup?Npi=1770993461","1770993461")</f>
        <v>1770993461</v>
      </c>
      <c r="E7113" t="s">
        <v>8847</v>
      </c>
    </row>
    <row r="7114" spans="1:5" x14ac:dyDescent="0.25">
      <c r="A7114" t="s">
        <v>1</v>
      </c>
      <c r="B7114" t="s">
        <v>19</v>
      </c>
      <c r="C7114" t="s">
        <v>23490</v>
      </c>
      <c r="D7114" t="str">
        <f>HYPERLINK("https://rhld.insurance.arkansas.gov/NPILookup?Npi=1770996753","1770996753")</f>
        <v>1770996753</v>
      </c>
      <c r="E7114" t="s">
        <v>12906</v>
      </c>
    </row>
    <row r="7115" spans="1:5" x14ac:dyDescent="0.25">
      <c r="A7115" t="s">
        <v>1</v>
      </c>
      <c r="B7115" t="s">
        <v>19</v>
      </c>
      <c r="C7115" t="s">
        <v>23490</v>
      </c>
      <c r="D7115" t="str">
        <f>HYPERLINK("https://rhld.insurance.arkansas.gov/NPILookup?Npi=1780010546","1780010546")</f>
        <v>1780010546</v>
      </c>
      <c r="E7115" t="s">
        <v>2741</v>
      </c>
    </row>
    <row r="7116" spans="1:5" x14ac:dyDescent="0.25">
      <c r="A7116" t="s">
        <v>1</v>
      </c>
      <c r="B7116" t="s">
        <v>19</v>
      </c>
      <c r="C7116" t="s">
        <v>23490</v>
      </c>
      <c r="D7116" t="str">
        <f>HYPERLINK("https://rhld.insurance.arkansas.gov/NPILookup?Npi=1780018143","1780018143")</f>
        <v>1780018143</v>
      </c>
      <c r="E7116" t="s">
        <v>2742</v>
      </c>
    </row>
    <row r="7117" spans="1:5" x14ac:dyDescent="0.25">
      <c r="A7117" t="s">
        <v>1</v>
      </c>
      <c r="B7117" t="s">
        <v>19</v>
      </c>
      <c r="C7117" t="s">
        <v>23490</v>
      </c>
      <c r="D7117" t="str">
        <f>HYPERLINK("https://rhld.insurance.arkansas.gov/NPILookup?Npi=1780035998","1780035998")</f>
        <v>1780035998</v>
      </c>
      <c r="E7117" t="s">
        <v>11263</v>
      </c>
    </row>
    <row r="7118" spans="1:5" x14ac:dyDescent="0.25">
      <c r="A7118" t="s">
        <v>1</v>
      </c>
      <c r="B7118" t="s">
        <v>19</v>
      </c>
      <c r="C7118" t="s">
        <v>23490</v>
      </c>
      <c r="D7118" t="str">
        <f>HYPERLINK("https://rhld.insurance.arkansas.gov/NPILookup?Npi=1780038604","1780038604")</f>
        <v>1780038604</v>
      </c>
      <c r="E7118" t="s">
        <v>1397</v>
      </c>
    </row>
    <row r="7119" spans="1:5" x14ac:dyDescent="0.25">
      <c r="A7119" t="s">
        <v>1</v>
      </c>
      <c r="B7119" t="s">
        <v>19</v>
      </c>
      <c r="C7119" t="s">
        <v>23490</v>
      </c>
      <c r="D7119" t="str">
        <f>HYPERLINK("https://rhld.insurance.arkansas.gov/NPILookup?Npi=1780041319","1780041319")</f>
        <v>1780041319</v>
      </c>
      <c r="E7119" t="s">
        <v>11264</v>
      </c>
    </row>
    <row r="7120" spans="1:5" x14ac:dyDescent="0.25">
      <c r="A7120" t="s">
        <v>1</v>
      </c>
      <c r="B7120" t="s">
        <v>19</v>
      </c>
      <c r="C7120" t="s">
        <v>23490</v>
      </c>
      <c r="D7120" t="str">
        <f>HYPERLINK("https://rhld.insurance.arkansas.gov/NPILookup?Npi=1780041939","1780041939")</f>
        <v>1780041939</v>
      </c>
      <c r="E7120" t="s">
        <v>8848</v>
      </c>
    </row>
    <row r="7121" spans="1:5" x14ac:dyDescent="0.25">
      <c r="A7121" t="s">
        <v>1</v>
      </c>
      <c r="B7121" t="s">
        <v>19</v>
      </c>
      <c r="C7121" t="s">
        <v>23490</v>
      </c>
      <c r="D7121" t="str">
        <f>HYPERLINK("https://rhld.insurance.arkansas.gov/NPILookup?Npi=1780044594","1780044594")</f>
        <v>1780044594</v>
      </c>
      <c r="E7121" t="s">
        <v>11265</v>
      </c>
    </row>
    <row r="7122" spans="1:5" x14ac:dyDescent="0.25">
      <c r="A7122" t="s">
        <v>1</v>
      </c>
      <c r="B7122" t="s">
        <v>19</v>
      </c>
      <c r="C7122" t="s">
        <v>23490</v>
      </c>
      <c r="D7122" t="str">
        <f>HYPERLINK("https://rhld.insurance.arkansas.gov/NPILookup?Npi=1780046664","1780046664")</f>
        <v>1780046664</v>
      </c>
      <c r="E7122" t="s">
        <v>8849</v>
      </c>
    </row>
    <row r="7123" spans="1:5" x14ac:dyDescent="0.25">
      <c r="A7123" t="s">
        <v>1</v>
      </c>
      <c r="B7123" t="s">
        <v>19</v>
      </c>
      <c r="C7123" t="s">
        <v>23490</v>
      </c>
      <c r="D7123" t="str">
        <f>HYPERLINK("https://rhld.insurance.arkansas.gov/NPILookup?Npi=1780055178","1780055178")</f>
        <v>1780055178</v>
      </c>
      <c r="E7123" t="s">
        <v>8850</v>
      </c>
    </row>
    <row r="7124" spans="1:5" x14ac:dyDescent="0.25">
      <c r="A7124" t="s">
        <v>1</v>
      </c>
      <c r="B7124" t="s">
        <v>19</v>
      </c>
      <c r="C7124" t="s">
        <v>23490</v>
      </c>
      <c r="D7124" t="str">
        <f>HYPERLINK("https://rhld.insurance.arkansas.gov/NPILookup?Npi=1780060319","1780060319")</f>
        <v>1780060319</v>
      </c>
      <c r="E7124" t="s">
        <v>15544</v>
      </c>
    </row>
    <row r="7125" spans="1:5" x14ac:dyDescent="0.25">
      <c r="A7125" t="s">
        <v>1</v>
      </c>
      <c r="B7125" t="s">
        <v>19</v>
      </c>
      <c r="C7125" t="s">
        <v>23490</v>
      </c>
      <c r="D7125" t="str">
        <f>HYPERLINK("https://rhld.insurance.arkansas.gov/NPILookup?Npi=1780065599","1780065599")</f>
        <v>1780065599</v>
      </c>
      <c r="E7125" t="s">
        <v>13699</v>
      </c>
    </row>
    <row r="7126" spans="1:5" x14ac:dyDescent="0.25">
      <c r="A7126" t="s">
        <v>1</v>
      </c>
      <c r="B7126" t="s">
        <v>19</v>
      </c>
      <c r="C7126" t="s">
        <v>23490</v>
      </c>
      <c r="D7126" t="str">
        <f>HYPERLINK("https://rhld.insurance.arkansas.gov/NPILookup?Npi=1780075473","1780075473")</f>
        <v>1780075473</v>
      </c>
      <c r="E7126" t="s">
        <v>8851</v>
      </c>
    </row>
    <row r="7127" spans="1:5" x14ac:dyDescent="0.25">
      <c r="A7127" t="s">
        <v>1</v>
      </c>
      <c r="B7127" t="s">
        <v>19</v>
      </c>
      <c r="C7127" t="s">
        <v>23490</v>
      </c>
      <c r="D7127" t="str">
        <f>HYPERLINK("https://rhld.insurance.arkansas.gov/NPILookup?Npi=1780079475","1780079475")</f>
        <v>1780079475</v>
      </c>
      <c r="E7127" t="s">
        <v>13700</v>
      </c>
    </row>
    <row r="7128" spans="1:5" x14ac:dyDescent="0.25">
      <c r="A7128" t="s">
        <v>1</v>
      </c>
      <c r="B7128" t="s">
        <v>19</v>
      </c>
      <c r="C7128" t="s">
        <v>23490</v>
      </c>
      <c r="D7128" t="str">
        <f>HYPERLINK("https://rhld.insurance.arkansas.gov/NPILookup?Npi=1780095323","1780095323")</f>
        <v>1780095323</v>
      </c>
      <c r="E7128" t="s">
        <v>12907</v>
      </c>
    </row>
    <row r="7129" spans="1:5" x14ac:dyDescent="0.25">
      <c r="A7129" t="s">
        <v>1</v>
      </c>
      <c r="B7129" t="s">
        <v>19</v>
      </c>
      <c r="C7129" t="s">
        <v>23490</v>
      </c>
      <c r="D7129" t="str">
        <f>HYPERLINK("https://rhld.insurance.arkansas.gov/NPILookup?Npi=1780095901","1780095901")</f>
        <v>1780095901</v>
      </c>
      <c r="E7129" t="s">
        <v>15545</v>
      </c>
    </row>
    <row r="7130" spans="1:5" x14ac:dyDescent="0.25">
      <c r="A7130" t="s">
        <v>1</v>
      </c>
      <c r="B7130" t="s">
        <v>19</v>
      </c>
      <c r="C7130" t="s">
        <v>23490</v>
      </c>
      <c r="D7130" t="str">
        <f>HYPERLINK("https://rhld.insurance.arkansas.gov/NPILookup?Npi=1780099614","1780099614")</f>
        <v>1780099614</v>
      </c>
      <c r="E7130" t="s">
        <v>8852</v>
      </c>
    </row>
    <row r="7131" spans="1:5" x14ac:dyDescent="0.25">
      <c r="A7131" t="s">
        <v>1</v>
      </c>
      <c r="B7131" t="s">
        <v>19</v>
      </c>
      <c r="C7131" t="s">
        <v>23490</v>
      </c>
      <c r="D7131" t="str">
        <f>HYPERLINK("https://rhld.insurance.arkansas.gov/NPILookup?Npi=1780101139","1780101139")</f>
        <v>1780101139</v>
      </c>
      <c r="E7131" t="s">
        <v>15546</v>
      </c>
    </row>
    <row r="7132" spans="1:5" x14ac:dyDescent="0.25">
      <c r="A7132" t="s">
        <v>1</v>
      </c>
      <c r="B7132" t="s">
        <v>19</v>
      </c>
      <c r="C7132" t="s">
        <v>23490</v>
      </c>
      <c r="D7132" t="str">
        <f>HYPERLINK("https://rhld.insurance.arkansas.gov/NPILookup?Npi=1780107219","1780107219")</f>
        <v>1780107219</v>
      </c>
      <c r="E7132" t="s">
        <v>11266</v>
      </c>
    </row>
    <row r="7133" spans="1:5" x14ac:dyDescent="0.25">
      <c r="A7133" t="s">
        <v>1</v>
      </c>
      <c r="B7133" t="s">
        <v>19</v>
      </c>
      <c r="C7133" t="s">
        <v>23490</v>
      </c>
      <c r="D7133" t="str">
        <f>HYPERLINK("https://rhld.insurance.arkansas.gov/NPILookup?Npi=1780120097","1780120097")</f>
        <v>1780120097</v>
      </c>
      <c r="E7133" t="s">
        <v>12908</v>
      </c>
    </row>
    <row r="7134" spans="1:5" x14ac:dyDescent="0.25">
      <c r="A7134" t="s">
        <v>1</v>
      </c>
      <c r="B7134" t="s">
        <v>19</v>
      </c>
      <c r="C7134" t="s">
        <v>23490</v>
      </c>
      <c r="D7134" t="str">
        <f>HYPERLINK("https://rhld.insurance.arkansas.gov/NPILookup?Npi=1780137349","1780137349")</f>
        <v>1780137349</v>
      </c>
      <c r="E7134" t="s">
        <v>11267</v>
      </c>
    </row>
    <row r="7135" spans="1:5" x14ac:dyDescent="0.25">
      <c r="A7135" t="s">
        <v>1</v>
      </c>
      <c r="B7135" t="s">
        <v>19</v>
      </c>
      <c r="C7135" t="s">
        <v>23490</v>
      </c>
      <c r="D7135" t="str">
        <f>HYPERLINK("https://rhld.insurance.arkansas.gov/NPILookup?Npi=1780141531","1780141531")</f>
        <v>1780141531</v>
      </c>
      <c r="E7135" t="s">
        <v>15547</v>
      </c>
    </row>
    <row r="7136" spans="1:5" x14ac:dyDescent="0.25">
      <c r="A7136" t="s">
        <v>1</v>
      </c>
      <c r="B7136" t="s">
        <v>19</v>
      </c>
      <c r="C7136" t="s">
        <v>23490</v>
      </c>
      <c r="D7136" t="str">
        <f>HYPERLINK("https://rhld.insurance.arkansas.gov/NPILookup?Npi=1780148262","1780148262")</f>
        <v>1780148262</v>
      </c>
      <c r="E7136" t="s">
        <v>15548</v>
      </c>
    </row>
    <row r="7137" spans="1:5" x14ac:dyDescent="0.25">
      <c r="A7137" t="s">
        <v>1</v>
      </c>
      <c r="B7137" t="s">
        <v>19</v>
      </c>
      <c r="C7137" t="s">
        <v>23490</v>
      </c>
      <c r="D7137" t="str">
        <f>HYPERLINK("https://rhld.insurance.arkansas.gov/NPILookup?Npi=1780160085","1780160085")</f>
        <v>1780160085</v>
      </c>
      <c r="E7137" t="s">
        <v>13701</v>
      </c>
    </row>
    <row r="7138" spans="1:5" x14ac:dyDescent="0.25">
      <c r="A7138" t="s">
        <v>1</v>
      </c>
      <c r="B7138" t="s">
        <v>19</v>
      </c>
      <c r="C7138" t="s">
        <v>23490</v>
      </c>
      <c r="D7138" t="str">
        <f>HYPERLINK("https://rhld.insurance.arkansas.gov/NPILookup?Npi=1780175257","1780175257")</f>
        <v>1780175257</v>
      </c>
      <c r="E7138" t="s">
        <v>20018</v>
      </c>
    </row>
    <row r="7139" spans="1:5" x14ac:dyDescent="0.25">
      <c r="A7139" t="s">
        <v>1</v>
      </c>
      <c r="B7139" t="s">
        <v>19</v>
      </c>
      <c r="C7139" t="s">
        <v>23490</v>
      </c>
      <c r="D7139" t="str">
        <f>HYPERLINK("https://rhld.insurance.arkansas.gov/NPILookup?Npi=1780191015","1780191015")</f>
        <v>1780191015</v>
      </c>
      <c r="E7139" t="s">
        <v>20019</v>
      </c>
    </row>
    <row r="7140" spans="1:5" x14ac:dyDescent="0.25">
      <c r="A7140" t="s">
        <v>1</v>
      </c>
      <c r="B7140" t="s">
        <v>19</v>
      </c>
      <c r="C7140" t="s">
        <v>23490</v>
      </c>
      <c r="D7140" t="str">
        <f>HYPERLINK("https://rhld.insurance.arkansas.gov/NPILookup?Npi=1780218206","1780218206")</f>
        <v>1780218206</v>
      </c>
      <c r="E7140" t="s">
        <v>18121</v>
      </c>
    </row>
    <row r="7141" spans="1:5" x14ac:dyDescent="0.25">
      <c r="A7141" t="s">
        <v>1</v>
      </c>
      <c r="B7141" t="s">
        <v>19</v>
      </c>
      <c r="C7141" t="s">
        <v>23490</v>
      </c>
      <c r="D7141" t="str">
        <f>HYPERLINK("https://rhld.insurance.arkansas.gov/NPILookup?Npi=1780230375","1780230375")</f>
        <v>1780230375</v>
      </c>
      <c r="E7141" t="s">
        <v>20020</v>
      </c>
    </row>
    <row r="7142" spans="1:5" x14ac:dyDescent="0.25">
      <c r="A7142" t="s">
        <v>1</v>
      </c>
      <c r="B7142" t="s">
        <v>19</v>
      </c>
      <c r="C7142" t="s">
        <v>23490</v>
      </c>
      <c r="D7142" t="str">
        <f>HYPERLINK("https://rhld.insurance.arkansas.gov/NPILookup?Npi=1780238782","1780238782")</f>
        <v>1780238782</v>
      </c>
      <c r="E7142" t="s">
        <v>18122</v>
      </c>
    </row>
    <row r="7143" spans="1:5" x14ac:dyDescent="0.25">
      <c r="A7143" t="s">
        <v>1</v>
      </c>
      <c r="B7143" t="s">
        <v>19</v>
      </c>
      <c r="C7143" t="s">
        <v>23490</v>
      </c>
      <c r="D7143" t="str">
        <f>HYPERLINK("https://rhld.insurance.arkansas.gov/NPILookup?Npi=1780244517","1780244517")</f>
        <v>1780244517</v>
      </c>
      <c r="E7143" t="s">
        <v>15549</v>
      </c>
    </row>
    <row r="7144" spans="1:5" x14ac:dyDescent="0.25">
      <c r="A7144" t="s">
        <v>1</v>
      </c>
      <c r="B7144" t="s">
        <v>19</v>
      </c>
      <c r="C7144" t="s">
        <v>23490</v>
      </c>
      <c r="D7144" t="str">
        <f>HYPERLINK("https://rhld.insurance.arkansas.gov/NPILookup?Npi=1780249896","1780249896")</f>
        <v>1780249896</v>
      </c>
      <c r="E7144" t="s">
        <v>21036</v>
      </c>
    </row>
    <row r="7145" spans="1:5" x14ac:dyDescent="0.25">
      <c r="A7145" t="s">
        <v>1</v>
      </c>
      <c r="B7145" t="s">
        <v>19</v>
      </c>
      <c r="C7145" t="s">
        <v>23490</v>
      </c>
      <c r="D7145" t="str">
        <f>HYPERLINK("https://rhld.insurance.arkansas.gov/NPILookup?Npi=1780256727","1780256727")</f>
        <v>1780256727</v>
      </c>
      <c r="E7145" t="s">
        <v>20021</v>
      </c>
    </row>
    <row r="7146" spans="1:5" x14ac:dyDescent="0.25">
      <c r="A7146" t="s">
        <v>1</v>
      </c>
      <c r="B7146" t="s">
        <v>19</v>
      </c>
      <c r="C7146" t="s">
        <v>23490</v>
      </c>
      <c r="D7146" t="str">
        <f>HYPERLINK("https://rhld.insurance.arkansas.gov/NPILookup?Npi=1780273250","1780273250")</f>
        <v>1780273250</v>
      </c>
      <c r="E7146" t="s">
        <v>18123</v>
      </c>
    </row>
    <row r="7147" spans="1:5" x14ac:dyDescent="0.25">
      <c r="A7147" t="s">
        <v>1</v>
      </c>
      <c r="B7147" t="s">
        <v>19</v>
      </c>
      <c r="C7147" t="s">
        <v>8427</v>
      </c>
      <c r="D7147" t="str">
        <f>HYPERLINK("https://rhld.insurance.arkansas.gov/NPILookup?Npi=1780274043","1780274043")</f>
        <v>1780274043</v>
      </c>
      <c r="E7147" t="s">
        <v>22986</v>
      </c>
    </row>
    <row r="7148" spans="1:5" x14ac:dyDescent="0.25">
      <c r="A7148" t="s">
        <v>1</v>
      </c>
      <c r="B7148" t="s">
        <v>19</v>
      </c>
      <c r="C7148" t="s">
        <v>23490</v>
      </c>
      <c r="D7148" t="str">
        <f>HYPERLINK("https://rhld.insurance.arkansas.gov/NPILookup?Npi=1780295048","1780295048")</f>
        <v>1780295048</v>
      </c>
      <c r="E7148" t="s">
        <v>21649</v>
      </c>
    </row>
    <row r="7149" spans="1:5" x14ac:dyDescent="0.25">
      <c r="A7149" t="s">
        <v>1</v>
      </c>
      <c r="B7149" t="s">
        <v>19</v>
      </c>
      <c r="C7149" t="s">
        <v>23490</v>
      </c>
      <c r="D7149" t="str">
        <f>HYPERLINK("https://rhld.insurance.arkansas.gov/NPILookup?Npi=1780297739","1780297739")</f>
        <v>1780297739</v>
      </c>
      <c r="E7149" t="s">
        <v>17479</v>
      </c>
    </row>
    <row r="7150" spans="1:5" x14ac:dyDescent="0.25">
      <c r="A7150" t="s">
        <v>1</v>
      </c>
      <c r="B7150" t="s">
        <v>19</v>
      </c>
      <c r="C7150" t="s">
        <v>23490</v>
      </c>
      <c r="D7150" t="str">
        <f>HYPERLINK("https://rhld.insurance.arkansas.gov/NPILookup?Npi=1780331975","1780331975")</f>
        <v>1780331975</v>
      </c>
      <c r="E7150" t="s">
        <v>20022</v>
      </c>
    </row>
    <row r="7151" spans="1:5" x14ac:dyDescent="0.25">
      <c r="A7151" t="s">
        <v>1</v>
      </c>
      <c r="B7151" t="s">
        <v>19</v>
      </c>
      <c r="C7151" t="s">
        <v>23490</v>
      </c>
      <c r="D7151" t="str">
        <f>HYPERLINK("https://rhld.insurance.arkansas.gov/NPILookup?Npi=1780332890","1780332890")</f>
        <v>1780332890</v>
      </c>
      <c r="E7151" t="s">
        <v>20023</v>
      </c>
    </row>
    <row r="7152" spans="1:5" x14ac:dyDescent="0.25">
      <c r="A7152" t="s">
        <v>1</v>
      </c>
      <c r="B7152" t="s">
        <v>19</v>
      </c>
      <c r="C7152" t="s">
        <v>23490</v>
      </c>
      <c r="D7152" t="str">
        <f>HYPERLINK("https://rhld.insurance.arkansas.gov/NPILookup?Npi=1780356642","1780356642")</f>
        <v>1780356642</v>
      </c>
      <c r="E7152" t="s">
        <v>20024</v>
      </c>
    </row>
    <row r="7153" spans="1:5" x14ac:dyDescent="0.25">
      <c r="A7153" t="s">
        <v>1</v>
      </c>
      <c r="B7153" t="s">
        <v>19</v>
      </c>
      <c r="C7153" t="s">
        <v>23490</v>
      </c>
      <c r="D7153" t="str">
        <f>HYPERLINK("https://rhld.insurance.arkansas.gov/NPILookup?Npi=1780604066","1780604066")</f>
        <v>1780604066</v>
      </c>
      <c r="E7153" t="s">
        <v>2743</v>
      </c>
    </row>
    <row r="7154" spans="1:5" x14ac:dyDescent="0.25">
      <c r="A7154" t="s">
        <v>1</v>
      </c>
      <c r="B7154" t="s">
        <v>19</v>
      </c>
      <c r="C7154" t="s">
        <v>23490</v>
      </c>
      <c r="D7154" t="str">
        <f>HYPERLINK("https://rhld.insurance.arkansas.gov/NPILookup?Npi=1780609032","1780609032")</f>
        <v>1780609032</v>
      </c>
      <c r="E7154" t="s">
        <v>2744</v>
      </c>
    </row>
    <row r="7155" spans="1:5" x14ac:dyDescent="0.25">
      <c r="A7155" t="s">
        <v>1</v>
      </c>
      <c r="B7155" t="s">
        <v>19</v>
      </c>
      <c r="C7155" t="s">
        <v>23490</v>
      </c>
      <c r="D7155" t="str">
        <f>HYPERLINK("https://rhld.insurance.arkansas.gov/NPILookup?Npi=1780611681","1780611681")</f>
        <v>1780611681</v>
      </c>
      <c r="E7155" t="s">
        <v>15550</v>
      </c>
    </row>
    <row r="7156" spans="1:5" x14ac:dyDescent="0.25">
      <c r="A7156" t="s">
        <v>1</v>
      </c>
      <c r="B7156" t="s">
        <v>19</v>
      </c>
      <c r="C7156" t="s">
        <v>23490</v>
      </c>
      <c r="D7156" t="str">
        <f>HYPERLINK("https://rhld.insurance.arkansas.gov/NPILookup?Npi=1780613489","1780613489")</f>
        <v>1780613489</v>
      </c>
      <c r="E7156" t="s">
        <v>2745</v>
      </c>
    </row>
    <row r="7157" spans="1:5" x14ac:dyDescent="0.25">
      <c r="A7157" t="s">
        <v>1</v>
      </c>
      <c r="B7157" t="s">
        <v>19</v>
      </c>
      <c r="C7157" t="s">
        <v>23490</v>
      </c>
      <c r="D7157" t="str">
        <f>HYPERLINK("https://rhld.insurance.arkansas.gov/NPILookup?Npi=1780619957","1780619957")</f>
        <v>1780619957</v>
      </c>
      <c r="E7157" t="s">
        <v>15551</v>
      </c>
    </row>
    <row r="7158" spans="1:5" x14ac:dyDescent="0.25">
      <c r="A7158" t="s">
        <v>1</v>
      </c>
      <c r="B7158" t="s">
        <v>19</v>
      </c>
      <c r="C7158" t="s">
        <v>23490</v>
      </c>
      <c r="D7158" t="str">
        <f>HYPERLINK("https://rhld.insurance.arkansas.gov/NPILookup?Npi=1780625749","1780625749")</f>
        <v>1780625749</v>
      </c>
      <c r="E7158" t="s">
        <v>11268</v>
      </c>
    </row>
    <row r="7159" spans="1:5" x14ac:dyDescent="0.25">
      <c r="A7159" t="s">
        <v>1</v>
      </c>
      <c r="B7159" t="s">
        <v>19</v>
      </c>
      <c r="C7159" t="s">
        <v>23490</v>
      </c>
      <c r="D7159" t="str">
        <f>HYPERLINK("https://rhld.insurance.arkansas.gov/NPILookup?Npi=1780631168","1780631168")</f>
        <v>1780631168</v>
      </c>
      <c r="E7159" t="s">
        <v>2746</v>
      </c>
    </row>
    <row r="7160" spans="1:5" x14ac:dyDescent="0.25">
      <c r="A7160" t="s">
        <v>1</v>
      </c>
      <c r="B7160" t="s">
        <v>19</v>
      </c>
      <c r="C7160" t="s">
        <v>23490</v>
      </c>
      <c r="D7160" t="str">
        <f>HYPERLINK("https://rhld.insurance.arkansas.gov/NPILookup?Npi=1780633966","1780633966")</f>
        <v>1780633966</v>
      </c>
      <c r="E7160" t="s">
        <v>2747</v>
      </c>
    </row>
    <row r="7161" spans="1:5" x14ac:dyDescent="0.25">
      <c r="A7161" t="s">
        <v>1</v>
      </c>
      <c r="B7161" t="s">
        <v>19</v>
      </c>
      <c r="C7161" t="s">
        <v>23490</v>
      </c>
      <c r="D7161" t="str">
        <f>HYPERLINK("https://rhld.insurance.arkansas.gov/NPILookup?Npi=1780647479","1780647479")</f>
        <v>1780647479</v>
      </c>
      <c r="E7161" t="s">
        <v>11319</v>
      </c>
    </row>
    <row r="7162" spans="1:5" x14ac:dyDescent="0.25">
      <c r="A7162" t="s">
        <v>1</v>
      </c>
      <c r="B7162" t="s">
        <v>19</v>
      </c>
      <c r="C7162" t="s">
        <v>23490</v>
      </c>
      <c r="D7162" t="str">
        <f>HYPERLINK("https://rhld.insurance.arkansas.gov/NPILookup?Npi=1780651505","1780651505")</f>
        <v>1780651505</v>
      </c>
      <c r="E7162" t="s">
        <v>2344</v>
      </c>
    </row>
    <row r="7163" spans="1:5" x14ac:dyDescent="0.25">
      <c r="A7163" t="s">
        <v>1</v>
      </c>
      <c r="B7163" t="s">
        <v>19</v>
      </c>
      <c r="C7163" t="s">
        <v>23490</v>
      </c>
      <c r="D7163" t="str">
        <f>HYPERLINK("https://rhld.insurance.arkansas.gov/NPILookup?Npi=1780654053","1780654053")</f>
        <v>1780654053</v>
      </c>
      <c r="E7163" t="s">
        <v>2748</v>
      </c>
    </row>
    <row r="7164" spans="1:5" x14ac:dyDescent="0.25">
      <c r="A7164" t="s">
        <v>1</v>
      </c>
      <c r="B7164" t="s">
        <v>19</v>
      </c>
      <c r="C7164" t="s">
        <v>23490</v>
      </c>
      <c r="D7164" t="str">
        <f>HYPERLINK("https://rhld.insurance.arkansas.gov/NPILookup?Npi=1780670257","1780670257")</f>
        <v>1780670257</v>
      </c>
      <c r="E7164" t="s">
        <v>2749</v>
      </c>
    </row>
    <row r="7165" spans="1:5" x14ac:dyDescent="0.25">
      <c r="A7165" t="s">
        <v>1</v>
      </c>
      <c r="B7165" t="s">
        <v>19</v>
      </c>
      <c r="C7165" t="s">
        <v>23490</v>
      </c>
      <c r="D7165" t="str">
        <f>HYPERLINK("https://rhld.insurance.arkansas.gov/NPILookup?Npi=1780670604","1780670604")</f>
        <v>1780670604</v>
      </c>
      <c r="E7165" t="s">
        <v>2750</v>
      </c>
    </row>
    <row r="7166" spans="1:5" x14ac:dyDescent="0.25">
      <c r="A7166" t="s">
        <v>1</v>
      </c>
      <c r="B7166" t="s">
        <v>19</v>
      </c>
      <c r="C7166" t="s">
        <v>23490</v>
      </c>
      <c r="D7166" t="str">
        <f>HYPERLINK("https://rhld.insurance.arkansas.gov/NPILookup?Npi=1780673368","1780673368")</f>
        <v>1780673368</v>
      </c>
      <c r="E7166" t="s">
        <v>2751</v>
      </c>
    </row>
    <row r="7167" spans="1:5" x14ac:dyDescent="0.25">
      <c r="A7167" t="s">
        <v>1</v>
      </c>
      <c r="B7167" t="s">
        <v>19</v>
      </c>
      <c r="C7167" t="s">
        <v>23490</v>
      </c>
      <c r="D7167" t="str">
        <f>HYPERLINK("https://rhld.insurance.arkansas.gov/NPILookup?Npi=1780674143","1780674143")</f>
        <v>1780674143</v>
      </c>
      <c r="E7167" t="s">
        <v>2752</v>
      </c>
    </row>
    <row r="7168" spans="1:5" x14ac:dyDescent="0.25">
      <c r="A7168" t="s">
        <v>1</v>
      </c>
      <c r="B7168" t="s">
        <v>19</v>
      </c>
      <c r="C7168" t="s">
        <v>23490</v>
      </c>
      <c r="D7168" t="str">
        <f>HYPERLINK("https://rhld.insurance.arkansas.gov/NPILookup?Npi=1780677666","1780677666")</f>
        <v>1780677666</v>
      </c>
      <c r="E7168" t="s">
        <v>2753</v>
      </c>
    </row>
    <row r="7169" spans="1:5" x14ac:dyDescent="0.25">
      <c r="A7169" t="s">
        <v>1</v>
      </c>
      <c r="B7169" t="s">
        <v>19</v>
      </c>
      <c r="C7169" t="s">
        <v>23490</v>
      </c>
      <c r="D7169" t="str">
        <f>HYPERLINK("https://rhld.insurance.arkansas.gov/NPILookup?Npi=1780680538","1780680538")</f>
        <v>1780680538</v>
      </c>
      <c r="E7169" t="s">
        <v>2754</v>
      </c>
    </row>
    <row r="7170" spans="1:5" x14ac:dyDescent="0.25">
      <c r="A7170" t="s">
        <v>1</v>
      </c>
      <c r="B7170" t="s">
        <v>19</v>
      </c>
      <c r="C7170" t="s">
        <v>23490</v>
      </c>
      <c r="D7170" t="str">
        <f>HYPERLINK("https://rhld.insurance.arkansas.gov/NPILookup?Npi=1780684696","1780684696")</f>
        <v>1780684696</v>
      </c>
      <c r="E7170" t="s">
        <v>2755</v>
      </c>
    </row>
    <row r="7171" spans="1:5" x14ac:dyDescent="0.25">
      <c r="A7171" t="s">
        <v>1</v>
      </c>
      <c r="B7171" t="s">
        <v>19</v>
      </c>
      <c r="C7171" t="s">
        <v>23490</v>
      </c>
      <c r="D7171" t="str">
        <f>HYPERLINK("https://rhld.insurance.arkansas.gov/NPILookup?Npi=1780685123","1780685123")</f>
        <v>1780685123</v>
      </c>
      <c r="E7171" t="s">
        <v>2756</v>
      </c>
    </row>
    <row r="7172" spans="1:5" x14ac:dyDescent="0.25">
      <c r="A7172" t="s">
        <v>1</v>
      </c>
      <c r="B7172" t="s">
        <v>19</v>
      </c>
      <c r="C7172" t="s">
        <v>23490</v>
      </c>
      <c r="D7172" t="str">
        <f>HYPERLINK("https://rhld.insurance.arkansas.gov/NPILookup?Npi=1780706663","1780706663")</f>
        <v>1780706663</v>
      </c>
      <c r="E7172" t="s">
        <v>17025</v>
      </c>
    </row>
    <row r="7173" spans="1:5" x14ac:dyDescent="0.25">
      <c r="A7173" t="s">
        <v>1</v>
      </c>
      <c r="B7173" t="s">
        <v>19</v>
      </c>
      <c r="C7173" t="s">
        <v>23490</v>
      </c>
      <c r="D7173" t="str">
        <f>HYPERLINK("https://rhld.insurance.arkansas.gov/NPILookup?Npi=1780713214","1780713214")</f>
        <v>1780713214</v>
      </c>
      <c r="E7173" t="s">
        <v>2757</v>
      </c>
    </row>
    <row r="7174" spans="1:5" x14ac:dyDescent="0.25">
      <c r="A7174" t="s">
        <v>1</v>
      </c>
      <c r="B7174" t="s">
        <v>19</v>
      </c>
      <c r="C7174" t="s">
        <v>23490</v>
      </c>
      <c r="D7174" t="str">
        <f>HYPERLINK("https://rhld.insurance.arkansas.gov/NPILookup?Npi=1780721431","1780721431")</f>
        <v>1780721431</v>
      </c>
      <c r="E7174" t="s">
        <v>15552</v>
      </c>
    </row>
    <row r="7175" spans="1:5" x14ac:dyDescent="0.25">
      <c r="A7175" t="s">
        <v>1</v>
      </c>
      <c r="B7175" t="s">
        <v>19</v>
      </c>
      <c r="C7175" t="s">
        <v>23490</v>
      </c>
      <c r="D7175" t="str">
        <f>HYPERLINK("https://rhld.insurance.arkansas.gov/NPILookup?Npi=1780734830","1780734830")</f>
        <v>1780734830</v>
      </c>
      <c r="E7175" t="s">
        <v>2758</v>
      </c>
    </row>
    <row r="7176" spans="1:5" x14ac:dyDescent="0.25">
      <c r="A7176" t="s">
        <v>1</v>
      </c>
      <c r="B7176" t="s">
        <v>19</v>
      </c>
      <c r="C7176" t="s">
        <v>23490</v>
      </c>
      <c r="D7176" t="str">
        <f>HYPERLINK("https://rhld.insurance.arkansas.gov/NPILookup?Npi=1780744870","1780744870")</f>
        <v>1780744870</v>
      </c>
      <c r="E7176" t="s">
        <v>2759</v>
      </c>
    </row>
    <row r="7177" spans="1:5" x14ac:dyDescent="0.25">
      <c r="A7177" t="s">
        <v>1</v>
      </c>
      <c r="B7177" t="s">
        <v>19</v>
      </c>
      <c r="C7177" t="s">
        <v>23490</v>
      </c>
      <c r="D7177" t="str">
        <f>HYPERLINK("https://rhld.insurance.arkansas.gov/NPILookup?Npi=1780774257","1780774257")</f>
        <v>1780774257</v>
      </c>
      <c r="E7177" t="s">
        <v>2760</v>
      </c>
    </row>
    <row r="7178" spans="1:5" x14ac:dyDescent="0.25">
      <c r="A7178" t="s">
        <v>1</v>
      </c>
      <c r="B7178" t="s">
        <v>19</v>
      </c>
      <c r="C7178" t="s">
        <v>23490</v>
      </c>
      <c r="D7178" t="str">
        <f>HYPERLINK("https://rhld.insurance.arkansas.gov/NPILookup?Npi=1780776435","1780776435")</f>
        <v>1780776435</v>
      </c>
      <c r="E7178" t="s">
        <v>2761</v>
      </c>
    </row>
    <row r="7179" spans="1:5" x14ac:dyDescent="0.25">
      <c r="A7179" t="s">
        <v>1</v>
      </c>
      <c r="B7179" t="s">
        <v>19</v>
      </c>
      <c r="C7179" t="s">
        <v>23490</v>
      </c>
      <c r="D7179" t="str">
        <f>HYPERLINK("https://rhld.insurance.arkansas.gov/NPILookup?Npi=1780791004","1780791004")</f>
        <v>1780791004</v>
      </c>
      <c r="E7179" t="s">
        <v>15553</v>
      </c>
    </row>
    <row r="7180" spans="1:5" x14ac:dyDescent="0.25">
      <c r="A7180" t="s">
        <v>1</v>
      </c>
      <c r="B7180" t="s">
        <v>19</v>
      </c>
      <c r="C7180" t="s">
        <v>23490</v>
      </c>
      <c r="D7180" t="str">
        <f>HYPERLINK("https://rhld.insurance.arkansas.gov/NPILookup?Npi=1780798058","1780798058")</f>
        <v>1780798058</v>
      </c>
      <c r="E7180" t="s">
        <v>15554</v>
      </c>
    </row>
    <row r="7181" spans="1:5" x14ac:dyDescent="0.25">
      <c r="A7181" t="s">
        <v>1</v>
      </c>
      <c r="B7181" t="s">
        <v>19</v>
      </c>
      <c r="C7181" t="s">
        <v>23490</v>
      </c>
      <c r="D7181" t="str">
        <f>HYPERLINK("https://rhld.insurance.arkansas.gov/NPILookup?Npi=1780798819","1780798819")</f>
        <v>1780798819</v>
      </c>
      <c r="E7181" t="s">
        <v>20025</v>
      </c>
    </row>
    <row r="7182" spans="1:5" x14ac:dyDescent="0.25">
      <c r="A7182" t="s">
        <v>1</v>
      </c>
      <c r="B7182" t="s">
        <v>19</v>
      </c>
      <c r="C7182" t="s">
        <v>23490</v>
      </c>
      <c r="D7182" t="str">
        <f>HYPERLINK("https://rhld.insurance.arkansas.gov/NPILookup?Npi=1780833707","1780833707")</f>
        <v>1780833707</v>
      </c>
      <c r="E7182" t="s">
        <v>2762</v>
      </c>
    </row>
    <row r="7183" spans="1:5" x14ac:dyDescent="0.25">
      <c r="A7183" t="s">
        <v>1</v>
      </c>
      <c r="B7183" t="s">
        <v>19</v>
      </c>
      <c r="C7183" t="s">
        <v>23490</v>
      </c>
      <c r="D7183" t="str">
        <f>HYPERLINK("https://rhld.insurance.arkansas.gov/NPILookup?Npi=1780843854","1780843854")</f>
        <v>1780843854</v>
      </c>
      <c r="E7183" t="s">
        <v>2763</v>
      </c>
    </row>
    <row r="7184" spans="1:5" x14ac:dyDescent="0.25">
      <c r="A7184" t="s">
        <v>1</v>
      </c>
      <c r="B7184" t="s">
        <v>19</v>
      </c>
      <c r="C7184" t="s">
        <v>23490</v>
      </c>
      <c r="D7184" t="str">
        <f>HYPERLINK("https://rhld.insurance.arkansas.gov/NPILookup?Npi=1780866830","1780866830")</f>
        <v>1780866830</v>
      </c>
      <c r="E7184" t="s">
        <v>21650</v>
      </c>
    </row>
    <row r="7185" spans="1:5" x14ac:dyDescent="0.25">
      <c r="A7185" t="s">
        <v>1</v>
      </c>
      <c r="B7185" t="s">
        <v>19</v>
      </c>
      <c r="C7185" t="s">
        <v>23490</v>
      </c>
      <c r="D7185" t="str">
        <f>HYPERLINK("https://rhld.insurance.arkansas.gov/NPILookup?Npi=1780877969","1780877969")</f>
        <v>1780877969</v>
      </c>
      <c r="E7185" t="s">
        <v>2764</v>
      </c>
    </row>
    <row r="7186" spans="1:5" x14ac:dyDescent="0.25">
      <c r="A7186" t="s">
        <v>1</v>
      </c>
      <c r="B7186" t="s">
        <v>19</v>
      </c>
      <c r="C7186" t="s">
        <v>23490</v>
      </c>
      <c r="D7186" t="str">
        <f>HYPERLINK("https://rhld.insurance.arkansas.gov/NPILookup?Npi=1780908319","1780908319")</f>
        <v>1780908319</v>
      </c>
      <c r="E7186" t="s">
        <v>2765</v>
      </c>
    </row>
    <row r="7187" spans="1:5" x14ac:dyDescent="0.25">
      <c r="A7187" t="s">
        <v>1</v>
      </c>
      <c r="B7187" t="s">
        <v>19</v>
      </c>
      <c r="C7187" t="s">
        <v>23490</v>
      </c>
      <c r="D7187" t="str">
        <f>HYPERLINK("https://rhld.insurance.arkansas.gov/NPILookup?Npi=1780910653","1780910653")</f>
        <v>1780910653</v>
      </c>
      <c r="E7187" t="s">
        <v>20026</v>
      </c>
    </row>
    <row r="7188" spans="1:5" x14ac:dyDescent="0.25">
      <c r="A7188" t="s">
        <v>1</v>
      </c>
      <c r="B7188" t="s">
        <v>19</v>
      </c>
      <c r="C7188" t="s">
        <v>23490</v>
      </c>
      <c r="D7188" t="str">
        <f>HYPERLINK("https://rhld.insurance.arkansas.gov/NPILookup?Npi=1780917443","1780917443")</f>
        <v>1780917443</v>
      </c>
      <c r="E7188" t="s">
        <v>8853</v>
      </c>
    </row>
    <row r="7189" spans="1:5" x14ac:dyDescent="0.25">
      <c r="A7189" t="s">
        <v>1</v>
      </c>
      <c r="B7189" t="s">
        <v>19</v>
      </c>
      <c r="C7189" t="s">
        <v>23490</v>
      </c>
      <c r="D7189" t="str">
        <f>HYPERLINK("https://rhld.insurance.arkansas.gov/NPILookup?Npi=1780925248","1780925248")</f>
        <v>1780925248</v>
      </c>
      <c r="E7189" t="s">
        <v>20027</v>
      </c>
    </row>
    <row r="7190" spans="1:5" x14ac:dyDescent="0.25">
      <c r="A7190" t="s">
        <v>1</v>
      </c>
      <c r="B7190" t="s">
        <v>19</v>
      </c>
      <c r="C7190" t="s">
        <v>23490</v>
      </c>
      <c r="D7190" t="str">
        <f>HYPERLINK("https://rhld.insurance.arkansas.gov/NPILookup?Npi=1780938951","1780938951")</f>
        <v>1780938951</v>
      </c>
      <c r="E7190" t="s">
        <v>2767</v>
      </c>
    </row>
    <row r="7191" spans="1:5" x14ac:dyDescent="0.25">
      <c r="A7191" t="s">
        <v>1</v>
      </c>
      <c r="B7191" t="s">
        <v>19</v>
      </c>
      <c r="C7191" t="s">
        <v>23490</v>
      </c>
      <c r="D7191" t="str">
        <f>HYPERLINK("https://rhld.insurance.arkansas.gov/NPILookup?Npi=1780961227","1780961227")</f>
        <v>1780961227</v>
      </c>
      <c r="E7191" t="s">
        <v>15555</v>
      </c>
    </row>
    <row r="7192" spans="1:5" x14ac:dyDescent="0.25">
      <c r="A7192" t="s">
        <v>1</v>
      </c>
      <c r="B7192" t="s">
        <v>19</v>
      </c>
      <c r="C7192" t="s">
        <v>23490</v>
      </c>
      <c r="D7192" t="str">
        <f>HYPERLINK("https://rhld.insurance.arkansas.gov/NPILookup?Npi=1780977009","1780977009")</f>
        <v>1780977009</v>
      </c>
      <c r="E7192" t="s">
        <v>11271</v>
      </c>
    </row>
    <row r="7193" spans="1:5" x14ac:dyDescent="0.25">
      <c r="A7193" t="s">
        <v>1</v>
      </c>
      <c r="B7193" t="s">
        <v>19</v>
      </c>
      <c r="C7193" t="s">
        <v>23490</v>
      </c>
      <c r="D7193" t="str">
        <f>HYPERLINK("https://rhld.insurance.arkansas.gov/NPILookup?Npi=1780980847","1780980847")</f>
        <v>1780980847</v>
      </c>
      <c r="E7193" t="s">
        <v>2401</v>
      </c>
    </row>
    <row r="7194" spans="1:5" x14ac:dyDescent="0.25">
      <c r="A7194" t="s">
        <v>1</v>
      </c>
      <c r="B7194" t="s">
        <v>19</v>
      </c>
      <c r="C7194" t="s">
        <v>23490</v>
      </c>
      <c r="D7194" t="str">
        <f>HYPERLINK("https://rhld.insurance.arkansas.gov/NPILookup?Npi=1780986372","1780986372")</f>
        <v>1780986372</v>
      </c>
      <c r="E7194" t="s">
        <v>2768</v>
      </c>
    </row>
    <row r="7195" spans="1:5" x14ac:dyDescent="0.25">
      <c r="A7195" t="s">
        <v>1</v>
      </c>
      <c r="B7195" t="s">
        <v>19</v>
      </c>
      <c r="C7195" t="s">
        <v>23490</v>
      </c>
      <c r="D7195" t="str">
        <f>HYPERLINK("https://rhld.insurance.arkansas.gov/NPILookup?Npi=1780990408","1780990408")</f>
        <v>1780990408</v>
      </c>
      <c r="E7195" t="s">
        <v>2769</v>
      </c>
    </row>
    <row r="7196" spans="1:5" x14ac:dyDescent="0.25">
      <c r="A7196" t="s">
        <v>1</v>
      </c>
      <c r="B7196" t="s">
        <v>19</v>
      </c>
      <c r="C7196" t="s">
        <v>23490</v>
      </c>
      <c r="D7196" t="str">
        <f>HYPERLINK("https://rhld.insurance.arkansas.gov/NPILookup?Npi=1780996793","1780996793")</f>
        <v>1780996793</v>
      </c>
      <c r="E7196" t="s">
        <v>13702</v>
      </c>
    </row>
    <row r="7197" spans="1:5" x14ac:dyDescent="0.25">
      <c r="A7197" t="s">
        <v>1</v>
      </c>
      <c r="B7197" t="s">
        <v>19</v>
      </c>
      <c r="C7197" t="s">
        <v>23490</v>
      </c>
      <c r="D7197" t="str">
        <f>HYPERLINK("https://rhld.insurance.arkansas.gov/NPILookup?Npi=1790011005","1790011005")</f>
        <v>1790011005</v>
      </c>
      <c r="E7197" t="s">
        <v>2770</v>
      </c>
    </row>
    <row r="7198" spans="1:5" x14ac:dyDescent="0.25">
      <c r="A7198" t="s">
        <v>1</v>
      </c>
      <c r="B7198" t="s">
        <v>19</v>
      </c>
      <c r="C7198" t="s">
        <v>23490</v>
      </c>
      <c r="D7198" t="str">
        <f>HYPERLINK("https://rhld.insurance.arkansas.gov/NPILookup?Npi=1790014447","1790014447")</f>
        <v>1790014447</v>
      </c>
      <c r="E7198" t="s">
        <v>13703</v>
      </c>
    </row>
    <row r="7199" spans="1:5" x14ac:dyDescent="0.25">
      <c r="A7199" t="s">
        <v>1</v>
      </c>
      <c r="B7199" t="s">
        <v>19</v>
      </c>
      <c r="C7199" t="s">
        <v>23490</v>
      </c>
      <c r="D7199" t="str">
        <f>HYPERLINK("https://rhld.insurance.arkansas.gov/NPILookup?Npi=1790035731","1790035731")</f>
        <v>1790035731</v>
      </c>
      <c r="E7199" t="s">
        <v>15556</v>
      </c>
    </row>
    <row r="7200" spans="1:5" x14ac:dyDescent="0.25">
      <c r="A7200" t="s">
        <v>1</v>
      </c>
      <c r="B7200" t="s">
        <v>19</v>
      </c>
      <c r="C7200" t="s">
        <v>23490</v>
      </c>
      <c r="D7200" t="str">
        <f>HYPERLINK("https://rhld.insurance.arkansas.gov/NPILookup?Npi=1790035814","1790035814")</f>
        <v>1790035814</v>
      </c>
      <c r="E7200" t="s">
        <v>2771</v>
      </c>
    </row>
    <row r="7201" spans="1:5" x14ac:dyDescent="0.25">
      <c r="A7201" t="s">
        <v>1</v>
      </c>
      <c r="B7201" t="s">
        <v>19</v>
      </c>
      <c r="C7201" t="s">
        <v>23490</v>
      </c>
      <c r="D7201" t="str">
        <f>HYPERLINK("https://rhld.insurance.arkansas.gov/NPILookup?Npi=1790043131","1790043131")</f>
        <v>1790043131</v>
      </c>
      <c r="E7201" t="s">
        <v>5530</v>
      </c>
    </row>
    <row r="7202" spans="1:5" x14ac:dyDescent="0.25">
      <c r="A7202" t="s">
        <v>1</v>
      </c>
      <c r="B7202" t="s">
        <v>19</v>
      </c>
      <c r="C7202" t="s">
        <v>23490</v>
      </c>
      <c r="D7202" t="str">
        <f>HYPERLINK("https://rhld.insurance.arkansas.gov/NPILookup?Npi=1790057016","1790057016")</f>
        <v>1790057016</v>
      </c>
      <c r="E7202" t="s">
        <v>15557</v>
      </c>
    </row>
    <row r="7203" spans="1:5" x14ac:dyDescent="0.25">
      <c r="A7203" t="s">
        <v>1</v>
      </c>
      <c r="B7203" t="s">
        <v>19</v>
      </c>
      <c r="C7203" t="s">
        <v>23490</v>
      </c>
      <c r="D7203" t="str">
        <f>HYPERLINK("https://rhld.insurance.arkansas.gov/NPILookup?Npi=1790058709","1790058709")</f>
        <v>1790058709</v>
      </c>
      <c r="E7203" t="s">
        <v>11273</v>
      </c>
    </row>
    <row r="7204" spans="1:5" x14ac:dyDescent="0.25">
      <c r="A7204" t="s">
        <v>1</v>
      </c>
      <c r="B7204" t="s">
        <v>19</v>
      </c>
      <c r="C7204" t="s">
        <v>23490</v>
      </c>
      <c r="D7204" t="str">
        <f>HYPERLINK("https://rhld.insurance.arkansas.gov/NPILookup?Npi=1790063212","1790063212")</f>
        <v>1790063212</v>
      </c>
      <c r="E7204" t="s">
        <v>15558</v>
      </c>
    </row>
    <row r="7205" spans="1:5" x14ac:dyDescent="0.25">
      <c r="A7205" t="s">
        <v>1</v>
      </c>
      <c r="B7205" t="s">
        <v>19</v>
      </c>
      <c r="C7205" t="s">
        <v>23490</v>
      </c>
      <c r="D7205" t="str">
        <f>HYPERLINK("https://rhld.insurance.arkansas.gov/NPILookup?Npi=1790065068","1790065068")</f>
        <v>1790065068</v>
      </c>
      <c r="E7205" t="s">
        <v>20028</v>
      </c>
    </row>
    <row r="7206" spans="1:5" x14ac:dyDescent="0.25">
      <c r="A7206" t="s">
        <v>1</v>
      </c>
      <c r="B7206" t="s">
        <v>19</v>
      </c>
      <c r="C7206" t="s">
        <v>23490</v>
      </c>
      <c r="D7206" t="str">
        <f>HYPERLINK("https://rhld.insurance.arkansas.gov/NPILookup?Npi=1790067486","1790067486")</f>
        <v>1790067486</v>
      </c>
      <c r="E7206" t="s">
        <v>15559</v>
      </c>
    </row>
    <row r="7207" spans="1:5" x14ac:dyDescent="0.25">
      <c r="A7207" t="s">
        <v>1</v>
      </c>
      <c r="B7207" t="s">
        <v>19</v>
      </c>
      <c r="C7207" t="s">
        <v>23490</v>
      </c>
      <c r="D7207" t="str">
        <f>HYPERLINK("https://rhld.insurance.arkansas.gov/NPILookup?Npi=1790068773","1790068773")</f>
        <v>1790068773</v>
      </c>
      <c r="E7207" t="s">
        <v>8854</v>
      </c>
    </row>
    <row r="7208" spans="1:5" x14ac:dyDescent="0.25">
      <c r="A7208" t="s">
        <v>1</v>
      </c>
      <c r="B7208" t="s">
        <v>19</v>
      </c>
      <c r="C7208" t="s">
        <v>23490</v>
      </c>
      <c r="D7208" t="str">
        <f>HYPERLINK("https://rhld.insurance.arkansas.gov/NPILookup?Npi=1790071165","1790071165")</f>
        <v>1790071165</v>
      </c>
      <c r="E7208" t="s">
        <v>11274</v>
      </c>
    </row>
    <row r="7209" spans="1:5" x14ac:dyDescent="0.25">
      <c r="A7209" t="s">
        <v>1</v>
      </c>
      <c r="B7209" t="s">
        <v>19</v>
      </c>
      <c r="C7209" t="s">
        <v>23490</v>
      </c>
      <c r="D7209" t="str">
        <f>HYPERLINK("https://rhld.insurance.arkansas.gov/NPILookup?Npi=1790077600","1790077600")</f>
        <v>1790077600</v>
      </c>
      <c r="E7209" t="s">
        <v>15560</v>
      </c>
    </row>
    <row r="7210" spans="1:5" x14ac:dyDescent="0.25">
      <c r="A7210" t="s">
        <v>1</v>
      </c>
      <c r="B7210" t="s">
        <v>19</v>
      </c>
      <c r="C7210" t="s">
        <v>23490</v>
      </c>
      <c r="D7210" t="str">
        <f>HYPERLINK("https://rhld.insurance.arkansas.gov/NPILookup?Npi=1790077691","1790077691")</f>
        <v>1790077691</v>
      </c>
      <c r="E7210" t="s">
        <v>8855</v>
      </c>
    </row>
    <row r="7211" spans="1:5" x14ac:dyDescent="0.25">
      <c r="A7211" t="s">
        <v>1</v>
      </c>
      <c r="B7211" t="s">
        <v>19</v>
      </c>
      <c r="C7211" t="s">
        <v>23490</v>
      </c>
      <c r="D7211" t="str">
        <f>HYPERLINK("https://rhld.insurance.arkansas.gov/NPILookup?Npi=1790093284","1790093284")</f>
        <v>1790093284</v>
      </c>
      <c r="E7211" t="s">
        <v>2773</v>
      </c>
    </row>
    <row r="7212" spans="1:5" x14ac:dyDescent="0.25">
      <c r="A7212" t="s">
        <v>1</v>
      </c>
      <c r="B7212" t="s">
        <v>19</v>
      </c>
      <c r="C7212" t="s">
        <v>23490</v>
      </c>
      <c r="D7212" t="str">
        <f>HYPERLINK("https://rhld.insurance.arkansas.gov/NPILookup?Npi=1790100121","1790100121")</f>
        <v>1790100121</v>
      </c>
      <c r="E7212" t="s">
        <v>19235</v>
      </c>
    </row>
    <row r="7213" spans="1:5" x14ac:dyDescent="0.25">
      <c r="A7213" t="s">
        <v>1</v>
      </c>
      <c r="B7213" t="s">
        <v>19</v>
      </c>
      <c r="C7213" t="s">
        <v>23490</v>
      </c>
      <c r="D7213" t="str">
        <f>HYPERLINK("https://rhld.insurance.arkansas.gov/NPILookup?Npi=1790100329","1790100329")</f>
        <v>1790100329</v>
      </c>
      <c r="E7213" t="s">
        <v>2774</v>
      </c>
    </row>
    <row r="7214" spans="1:5" x14ac:dyDescent="0.25">
      <c r="A7214" t="s">
        <v>1</v>
      </c>
      <c r="B7214" t="s">
        <v>19</v>
      </c>
      <c r="C7214" t="s">
        <v>23490</v>
      </c>
      <c r="D7214" t="str">
        <f>HYPERLINK("https://rhld.insurance.arkansas.gov/NPILookup?Npi=1790103190","1790103190")</f>
        <v>1790103190</v>
      </c>
      <c r="E7214" t="s">
        <v>11275</v>
      </c>
    </row>
    <row r="7215" spans="1:5" x14ac:dyDescent="0.25">
      <c r="A7215" t="s">
        <v>1</v>
      </c>
      <c r="B7215" t="s">
        <v>19</v>
      </c>
      <c r="C7215" t="s">
        <v>23490</v>
      </c>
      <c r="D7215" t="str">
        <f>HYPERLINK("https://rhld.insurance.arkansas.gov/NPILookup?Npi=1790104297","1790104297")</f>
        <v>1790104297</v>
      </c>
      <c r="E7215" t="s">
        <v>15561</v>
      </c>
    </row>
    <row r="7216" spans="1:5" x14ac:dyDescent="0.25">
      <c r="A7216" t="s">
        <v>1</v>
      </c>
      <c r="B7216" t="s">
        <v>19</v>
      </c>
      <c r="C7216" t="s">
        <v>23490</v>
      </c>
      <c r="D7216" t="str">
        <f>HYPERLINK("https://rhld.insurance.arkansas.gov/NPILookup?Npi=1790136190","1790136190")</f>
        <v>1790136190</v>
      </c>
      <c r="E7216" t="s">
        <v>13704</v>
      </c>
    </row>
    <row r="7217" spans="1:5" x14ac:dyDescent="0.25">
      <c r="A7217" t="s">
        <v>1</v>
      </c>
      <c r="B7217" t="s">
        <v>19</v>
      </c>
      <c r="C7217" t="s">
        <v>23490</v>
      </c>
      <c r="D7217" t="str">
        <f>HYPERLINK("https://rhld.insurance.arkansas.gov/NPILookup?Npi=1790136547","1790136547")</f>
        <v>1790136547</v>
      </c>
      <c r="E7217" t="s">
        <v>8856</v>
      </c>
    </row>
    <row r="7218" spans="1:5" x14ac:dyDescent="0.25">
      <c r="A7218" t="s">
        <v>1</v>
      </c>
      <c r="B7218" t="s">
        <v>19</v>
      </c>
      <c r="C7218" t="s">
        <v>23490</v>
      </c>
      <c r="D7218" t="str">
        <f>HYPERLINK("https://rhld.insurance.arkansas.gov/NPILookup?Npi=1790137867","1790137867")</f>
        <v>1790137867</v>
      </c>
      <c r="E7218" t="s">
        <v>13705</v>
      </c>
    </row>
    <row r="7219" spans="1:5" x14ac:dyDescent="0.25">
      <c r="A7219" t="s">
        <v>1</v>
      </c>
      <c r="B7219" t="s">
        <v>19</v>
      </c>
      <c r="C7219" t="s">
        <v>23490</v>
      </c>
      <c r="D7219" t="str">
        <f>HYPERLINK("https://rhld.insurance.arkansas.gov/NPILookup?Npi=1790142974","1790142974")</f>
        <v>1790142974</v>
      </c>
      <c r="E7219" t="s">
        <v>11276</v>
      </c>
    </row>
    <row r="7220" spans="1:5" x14ac:dyDescent="0.25">
      <c r="A7220" t="s">
        <v>1</v>
      </c>
      <c r="B7220" t="s">
        <v>19</v>
      </c>
      <c r="C7220" t="s">
        <v>23490</v>
      </c>
      <c r="D7220" t="str">
        <f>HYPERLINK("https://rhld.insurance.arkansas.gov/NPILookup?Npi=1790146280","1790146280")</f>
        <v>1790146280</v>
      </c>
      <c r="E7220" t="s">
        <v>18124</v>
      </c>
    </row>
    <row r="7221" spans="1:5" x14ac:dyDescent="0.25">
      <c r="A7221" t="s">
        <v>1</v>
      </c>
      <c r="B7221" t="s">
        <v>19</v>
      </c>
      <c r="C7221" t="s">
        <v>23490</v>
      </c>
      <c r="D7221" t="str">
        <f>HYPERLINK("https://rhld.insurance.arkansas.gov/NPILookup?Npi=1790150498","1790150498")</f>
        <v>1790150498</v>
      </c>
      <c r="E7221" t="s">
        <v>8857</v>
      </c>
    </row>
    <row r="7222" spans="1:5" x14ac:dyDescent="0.25">
      <c r="A7222" t="s">
        <v>1</v>
      </c>
      <c r="B7222" t="s">
        <v>19</v>
      </c>
      <c r="C7222" t="s">
        <v>23490</v>
      </c>
      <c r="D7222" t="str">
        <f>HYPERLINK("https://rhld.insurance.arkansas.gov/NPILookup?Npi=1790159135","1790159135")</f>
        <v>1790159135</v>
      </c>
      <c r="E7222" t="s">
        <v>8858</v>
      </c>
    </row>
    <row r="7223" spans="1:5" x14ac:dyDescent="0.25">
      <c r="A7223" t="s">
        <v>1</v>
      </c>
      <c r="B7223" t="s">
        <v>19</v>
      </c>
      <c r="C7223" t="s">
        <v>23490</v>
      </c>
      <c r="D7223" t="str">
        <f>HYPERLINK("https://rhld.insurance.arkansas.gov/NPILookup?Npi=1790161719","1790161719")</f>
        <v>1790161719</v>
      </c>
      <c r="E7223" t="s">
        <v>8859</v>
      </c>
    </row>
    <row r="7224" spans="1:5" x14ac:dyDescent="0.25">
      <c r="A7224" t="s">
        <v>1</v>
      </c>
      <c r="B7224" t="s">
        <v>19</v>
      </c>
      <c r="C7224" t="s">
        <v>23490</v>
      </c>
      <c r="D7224" t="str">
        <f>HYPERLINK("https://rhld.insurance.arkansas.gov/NPILookup?Npi=1790166445","1790166445")</f>
        <v>1790166445</v>
      </c>
      <c r="E7224" t="s">
        <v>13706</v>
      </c>
    </row>
    <row r="7225" spans="1:5" x14ac:dyDescent="0.25">
      <c r="A7225" t="s">
        <v>1</v>
      </c>
      <c r="B7225" t="s">
        <v>19</v>
      </c>
      <c r="C7225" t="s">
        <v>23490</v>
      </c>
      <c r="D7225" t="str">
        <f>HYPERLINK("https://rhld.insurance.arkansas.gov/NPILookup?Npi=1790175867","1790175867")</f>
        <v>1790175867</v>
      </c>
      <c r="E7225" t="s">
        <v>15562</v>
      </c>
    </row>
    <row r="7226" spans="1:5" x14ac:dyDescent="0.25">
      <c r="A7226" t="s">
        <v>1</v>
      </c>
      <c r="B7226" t="s">
        <v>19</v>
      </c>
      <c r="C7226" t="s">
        <v>23490</v>
      </c>
      <c r="D7226" t="str">
        <f>HYPERLINK("https://rhld.insurance.arkansas.gov/NPILookup?Npi=1790179711","1790179711")</f>
        <v>1790179711</v>
      </c>
      <c r="E7226" t="s">
        <v>11277</v>
      </c>
    </row>
    <row r="7227" spans="1:5" x14ac:dyDescent="0.25">
      <c r="A7227" t="s">
        <v>1</v>
      </c>
      <c r="B7227" t="s">
        <v>19</v>
      </c>
      <c r="C7227" t="s">
        <v>23490</v>
      </c>
      <c r="D7227" t="str">
        <f>HYPERLINK("https://rhld.insurance.arkansas.gov/NPILookup?Npi=1790180248","1790180248")</f>
        <v>1790180248</v>
      </c>
      <c r="E7227" t="s">
        <v>20029</v>
      </c>
    </row>
    <row r="7228" spans="1:5" x14ac:dyDescent="0.25">
      <c r="A7228" t="s">
        <v>1</v>
      </c>
      <c r="B7228" t="s">
        <v>19</v>
      </c>
      <c r="C7228" t="s">
        <v>23490</v>
      </c>
      <c r="D7228" t="str">
        <f>HYPERLINK("https://rhld.insurance.arkansas.gov/NPILookup?Npi=1790191914","1790191914")</f>
        <v>1790191914</v>
      </c>
      <c r="E7228" t="s">
        <v>2775</v>
      </c>
    </row>
    <row r="7229" spans="1:5" x14ac:dyDescent="0.25">
      <c r="A7229" t="s">
        <v>1</v>
      </c>
      <c r="B7229" t="s">
        <v>19</v>
      </c>
      <c r="C7229" t="s">
        <v>23490</v>
      </c>
      <c r="D7229" t="str">
        <f>HYPERLINK("https://rhld.insurance.arkansas.gov/NPILookup?Npi=1790196616","1790196616")</f>
        <v>1790196616</v>
      </c>
      <c r="E7229" t="s">
        <v>13707</v>
      </c>
    </row>
    <row r="7230" spans="1:5" x14ac:dyDescent="0.25">
      <c r="A7230" t="s">
        <v>1</v>
      </c>
      <c r="B7230" t="s">
        <v>19</v>
      </c>
      <c r="C7230" t="s">
        <v>23490</v>
      </c>
      <c r="D7230" t="str">
        <f>HYPERLINK("https://rhld.insurance.arkansas.gov/NPILookup?Npi=1790197416","1790197416")</f>
        <v>1790197416</v>
      </c>
      <c r="E7230" t="s">
        <v>13708</v>
      </c>
    </row>
    <row r="7231" spans="1:5" x14ac:dyDescent="0.25">
      <c r="A7231" t="s">
        <v>1</v>
      </c>
      <c r="B7231" t="s">
        <v>19</v>
      </c>
      <c r="C7231" t="s">
        <v>23490</v>
      </c>
      <c r="D7231" t="str">
        <f>HYPERLINK("https://rhld.insurance.arkansas.gov/NPILookup?Npi=1790198133","1790198133")</f>
        <v>1790198133</v>
      </c>
      <c r="E7231" t="s">
        <v>2776</v>
      </c>
    </row>
    <row r="7232" spans="1:5" x14ac:dyDescent="0.25">
      <c r="A7232" t="s">
        <v>1</v>
      </c>
      <c r="B7232" t="s">
        <v>19</v>
      </c>
      <c r="C7232" t="s">
        <v>23490</v>
      </c>
      <c r="D7232" t="str">
        <f>HYPERLINK("https://rhld.insurance.arkansas.gov/NPILookup?Npi=1790220143","1790220143")</f>
        <v>1790220143</v>
      </c>
      <c r="E7232" t="s">
        <v>13078</v>
      </c>
    </row>
    <row r="7233" spans="1:5" x14ac:dyDescent="0.25">
      <c r="A7233" t="s">
        <v>1</v>
      </c>
      <c r="B7233" t="s">
        <v>19</v>
      </c>
      <c r="C7233" t="s">
        <v>23490</v>
      </c>
      <c r="D7233" t="str">
        <f>HYPERLINK("https://rhld.insurance.arkansas.gov/NPILookup?Npi=1790225233","1790225233")</f>
        <v>1790225233</v>
      </c>
      <c r="E7233" t="s">
        <v>11279</v>
      </c>
    </row>
    <row r="7234" spans="1:5" x14ac:dyDescent="0.25">
      <c r="A7234" t="s">
        <v>1</v>
      </c>
      <c r="B7234" t="s">
        <v>19</v>
      </c>
      <c r="C7234" t="s">
        <v>23490</v>
      </c>
      <c r="D7234" t="str">
        <f>HYPERLINK("https://rhld.insurance.arkansas.gov/NPILookup?Npi=1790225894","1790225894")</f>
        <v>1790225894</v>
      </c>
      <c r="E7234" t="s">
        <v>17026</v>
      </c>
    </row>
    <row r="7235" spans="1:5" x14ac:dyDescent="0.25">
      <c r="A7235" t="s">
        <v>1</v>
      </c>
      <c r="B7235" t="s">
        <v>19</v>
      </c>
      <c r="C7235" t="s">
        <v>23490</v>
      </c>
      <c r="D7235" t="str">
        <f>HYPERLINK("https://rhld.insurance.arkansas.gov/NPILookup?Npi=1790233187","1790233187")</f>
        <v>1790233187</v>
      </c>
      <c r="E7235" t="s">
        <v>11280</v>
      </c>
    </row>
    <row r="7236" spans="1:5" x14ac:dyDescent="0.25">
      <c r="A7236" t="s">
        <v>1</v>
      </c>
      <c r="B7236" t="s">
        <v>19</v>
      </c>
      <c r="C7236" t="s">
        <v>23490</v>
      </c>
      <c r="D7236" t="str">
        <f>HYPERLINK("https://rhld.insurance.arkansas.gov/NPILookup?Npi=1790239101","1790239101")</f>
        <v>1790239101</v>
      </c>
      <c r="E7236" t="s">
        <v>20030</v>
      </c>
    </row>
    <row r="7237" spans="1:5" x14ac:dyDescent="0.25">
      <c r="A7237" t="s">
        <v>1</v>
      </c>
      <c r="B7237" t="s">
        <v>19</v>
      </c>
      <c r="C7237" t="s">
        <v>23490</v>
      </c>
      <c r="D7237" t="str">
        <f>HYPERLINK("https://rhld.insurance.arkansas.gov/NPILookup?Npi=1790251577","1790251577")</f>
        <v>1790251577</v>
      </c>
      <c r="E7237" t="s">
        <v>15563</v>
      </c>
    </row>
    <row r="7238" spans="1:5" x14ac:dyDescent="0.25">
      <c r="A7238" t="s">
        <v>1</v>
      </c>
      <c r="B7238" t="s">
        <v>19</v>
      </c>
      <c r="C7238" t="s">
        <v>23490</v>
      </c>
      <c r="D7238" t="str">
        <f>HYPERLINK("https://rhld.insurance.arkansas.gov/NPILookup?Npi=1790253326","1790253326")</f>
        <v>1790253326</v>
      </c>
      <c r="E7238" t="s">
        <v>13709</v>
      </c>
    </row>
    <row r="7239" spans="1:5" x14ac:dyDescent="0.25">
      <c r="A7239" t="s">
        <v>1</v>
      </c>
      <c r="B7239" t="s">
        <v>19</v>
      </c>
      <c r="C7239" t="s">
        <v>23490</v>
      </c>
      <c r="D7239" t="str">
        <f>HYPERLINK("https://rhld.insurance.arkansas.gov/NPILookup?Npi=1790262228","1790262228")</f>
        <v>1790262228</v>
      </c>
      <c r="E7239" t="s">
        <v>13710</v>
      </c>
    </row>
    <row r="7240" spans="1:5" x14ac:dyDescent="0.25">
      <c r="A7240" t="s">
        <v>1</v>
      </c>
      <c r="B7240" t="s">
        <v>19</v>
      </c>
      <c r="C7240" t="s">
        <v>23490</v>
      </c>
      <c r="D7240" t="str">
        <f>HYPERLINK("https://rhld.insurance.arkansas.gov/NPILookup?Npi=1790274355","1790274355")</f>
        <v>1790274355</v>
      </c>
      <c r="E7240" t="s">
        <v>13711</v>
      </c>
    </row>
    <row r="7241" spans="1:5" x14ac:dyDescent="0.25">
      <c r="A7241" t="s">
        <v>1</v>
      </c>
      <c r="B7241" t="s">
        <v>19</v>
      </c>
      <c r="C7241" t="s">
        <v>23490</v>
      </c>
      <c r="D7241" t="str">
        <f>HYPERLINK("https://rhld.insurance.arkansas.gov/NPILookup?Npi=1790284180","1790284180")</f>
        <v>1790284180</v>
      </c>
      <c r="E7241" t="s">
        <v>12909</v>
      </c>
    </row>
    <row r="7242" spans="1:5" x14ac:dyDescent="0.25">
      <c r="A7242" t="s">
        <v>1</v>
      </c>
      <c r="B7242" t="s">
        <v>19</v>
      </c>
      <c r="C7242" t="s">
        <v>23490</v>
      </c>
      <c r="D7242" t="str">
        <f>HYPERLINK("https://rhld.insurance.arkansas.gov/NPILookup?Npi=1790286904","1790286904")</f>
        <v>1790286904</v>
      </c>
      <c r="E7242" t="s">
        <v>12910</v>
      </c>
    </row>
    <row r="7243" spans="1:5" x14ac:dyDescent="0.25">
      <c r="A7243" t="s">
        <v>1</v>
      </c>
      <c r="B7243" t="s">
        <v>19</v>
      </c>
      <c r="C7243" t="s">
        <v>23490</v>
      </c>
      <c r="D7243" t="str">
        <f>HYPERLINK("https://rhld.insurance.arkansas.gov/NPILookup?Npi=1790316115","1790316115")</f>
        <v>1790316115</v>
      </c>
      <c r="E7243" t="s">
        <v>21651</v>
      </c>
    </row>
    <row r="7244" spans="1:5" x14ac:dyDescent="0.25">
      <c r="A7244" t="s">
        <v>1</v>
      </c>
      <c r="B7244" t="s">
        <v>19</v>
      </c>
      <c r="C7244" t="s">
        <v>23490</v>
      </c>
      <c r="D7244" t="str">
        <f>HYPERLINK("https://rhld.insurance.arkansas.gov/NPILookup?Npi=1790317220","1790317220")</f>
        <v>1790317220</v>
      </c>
      <c r="E7244" t="s">
        <v>18864</v>
      </c>
    </row>
    <row r="7245" spans="1:5" x14ac:dyDescent="0.25">
      <c r="A7245" t="s">
        <v>1</v>
      </c>
      <c r="B7245" t="s">
        <v>19</v>
      </c>
      <c r="C7245" t="s">
        <v>23490</v>
      </c>
      <c r="D7245" t="str">
        <f>HYPERLINK("https://rhld.insurance.arkansas.gov/NPILookup?Npi=1790327526","1790327526")</f>
        <v>1790327526</v>
      </c>
      <c r="E7245" t="s">
        <v>17027</v>
      </c>
    </row>
    <row r="7246" spans="1:5" x14ac:dyDescent="0.25">
      <c r="A7246" t="s">
        <v>1</v>
      </c>
      <c r="B7246" t="s">
        <v>19</v>
      </c>
      <c r="C7246" t="s">
        <v>23490</v>
      </c>
      <c r="D7246" t="str">
        <f>HYPERLINK("https://rhld.insurance.arkansas.gov/NPILookup?Npi=1790340529","1790340529")</f>
        <v>1790340529</v>
      </c>
      <c r="E7246" t="s">
        <v>13712</v>
      </c>
    </row>
    <row r="7247" spans="1:5" x14ac:dyDescent="0.25">
      <c r="A7247" t="s">
        <v>1</v>
      </c>
      <c r="B7247" t="s">
        <v>19</v>
      </c>
      <c r="C7247" t="s">
        <v>23490</v>
      </c>
      <c r="D7247" t="str">
        <f>HYPERLINK("https://rhld.insurance.arkansas.gov/NPILookup?Npi=1790344109","1790344109")</f>
        <v>1790344109</v>
      </c>
      <c r="E7247" t="s">
        <v>20031</v>
      </c>
    </row>
    <row r="7248" spans="1:5" x14ac:dyDescent="0.25">
      <c r="A7248" t="s">
        <v>1</v>
      </c>
      <c r="B7248" t="s">
        <v>19</v>
      </c>
      <c r="C7248" t="s">
        <v>23490</v>
      </c>
      <c r="D7248" t="str">
        <f>HYPERLINK("https://rhld.insurance.arkansas.gov/NPILookup?Npi=1790344166","1790344166")</f>
        <v>1790344166</v>
      </c>
      <c r="E7248" t="s">
        <v>15564</v>
      </c>
    </row>
    <row r="7249" spans="1:5" x14ac:dyDescent="0.25">
      <c r="A7249" t="s">
        <v>1</v>
      </c>
      <c r="B7249" t="s">
        <v>19</v>
      </c>
      <c r="C7249" t="s">
        <v>23490</v>
      </c>
      <c r="D7249" t="str">
        <f>HYPERLINK("https://rhld.insurance.arkansas.gov/NPILookup?Npi=1790344562","1790344562")</f>
        <v>1790344562</v>
      </c>
      <c r="E7249" t="s">
        <v>15565</v>
      </c>
    </row>
    <row r="7250" spans="1:5" x14ac:dyDescent="0.25">
      <c r="A7250" t="s">
        <v>1</v>
      </c>
      <c r="B7250" t="s">
        <v>19</v>
      </c>
      <c r="C7250" t="s">
        <v>23490</v>
      </c>
      <c r="D7250" t="str">
        <f>HYPERLINK("https://rhld.insurance.arkansas.gov/NPILookup?Npi=1790349462","1790349462")</f>
        <v>1790349462</v>
      </c>
      <c r="E7250" t="s">
        <v>18125</v>
      </c>
    </row>
    <row r="7251" spans="1:5" x14ac:dyDescent="0.25">
      <c r="A7251" t="s">
        <v>1</v>
      </c>
      <c r="B7251" t="s">
        <v>19</v>
      </c>
      <c r="C7251" t="s">
        <v>23490</v>
      </c>
      <c r="D7251" t="str">
        <f>HYPERLINK("https://rhld.insurance.arkansas.gov/NPILookup?Npi=1790380574","1790380574")</f>
        <v>1790380574</v>
      </c>
      <c r="E7251" t="s">
        <v>18865</v>
      </c>
    </row>
    <row r="7252" spans="1:5" x14ac:dyDescent="0.25">
      <c r="A7252" t="s">
        <v>1</v>
      </c>
      <c r="B7252" t="s">
        <v>19</v>
      </c>
      <c r="C7252" t="s">
        <v>23490</v>
      </c>
      <c r="D7252" t="str">
        <f>HYPERLINK("https://rhld.insurance.arkansas.gov/NPILookup?Npi=1790404499","1790404499")</f>
        <v>1790404499</v>
      </c>
      <c r="E7252" t="s">
        <v>21037</v>
      </c>
    </row>
    <row r="7253" spans="1:5" x14ac:dyDescent="0.25">
      <c r="A7253" t="s">
        <v>1</v>
      </c>
      <c r="B7253" t="s">
        <v>19</v>
      </c>
      <c r="C7253" t="s">
        <v>23490</v>
      </c>
      <c r="D7253" t="str">
        <f>HYPERLINK("https://rhld.insurance.arkansas.gov/NPILookup?Npi=1790459923","1790459923")</f>
        <v>1790459923</v>
      </c>
      <c r="E7253" t="s">
        <v>18866</v>
      </c>
    </row>
    <row r="7254" spans="1:5" x14ac:dyDescent="0.25">
      <c r="A7254" t="s">
        <v>1</v>
      </c>
      <c r="B7254" t="s">
        <v>19</v>
      </c>
      <c r="C7254" t="s">
        <v>23490</v>
      </c>
      <c r="D7254" t="str">
        <f>HYPERLINK("https://rhld.insurance.arkansas.gov/NPILookup?Npi=1790709038","1790709038")</f>
        <v>1790709038</v>
      </c>
      <c r="E7254" t="s">
        <v>2777</v>
      </c>
    </row>
    <row r="7255" spans="1:5" x14ac:dyDescent="0.25">
      <c r="A7255" t="s">
        <v>1</v>
      </c>
      <c r="B7255" t="s">
        <v>19</v>
      </c>
      <c r="C7255" t="s">
        <v>23490</v>
      </c>
      <c r="D7255" t="str">
        <f>HYPERLINK("https://rhld.insurance.arkansas.gov/NPILookup?Npi=1790709079","1790709079")</f>
        <v>1790709079</v>
      </c>
      <c r="E7255" t="s">
        <v>15566</v>
      </c>
    </row>
    <row r="7256" spans="1:5" x14ac:dyDescent="0.25">
      <c r="A7256" t="s">
        <v>1</v>
      </c>
      <c r="B7256" t="s">
        <v>19</v>
      </c>
      <c r="C7256" t="s">
        <v>23490</v>
      </c>
      <c r="D7256" t="str">
        <f>HYPERLINK("https://rhld.insurance.arkansas.gov/NPILookup?Npi=1790714269","1790714269")</f>
        <v>1790714269</v>
      </c>
      <c r="E7256" t="s">
        <v>2778</v>
      </c>
    </row>
    <row r="7257" spans="1:5" x14ac:dyDescent="0.25">
      <c r="A7257" t="s">
        <v>1</v>
      </c>
      <c r="B7257" t="s">
        <v>19</v>
      </c>
      <c r="C7257" t="s">
        <v>23490</v>
      </c>
      <c r="D7257" t="str">
        <f>HYPERLINK("https://rhld.insurance.arkansas.gov/NPILookup?Npi=1790716314","1790716314")</f>
        <v>1790716314</v>
      </c>
      <c r="E7257" t="s">
        <v>12911</v>
      </c>
    </row>
    <row r="7258" spans="1:5" x14ac:dyDescent="0.25">
      <c r="A7258" t="s">
        <v>1</v>
      </c>
      <c r="B7258" t="s">
        <v>19</v>
      </c>
      <c r="C7258" t="s">
        <v>23490</v>
      </c>
      <c r="D7258" t="str">
        <f>HYPERLINK("https://rhld.insurance.arkansas.gov/NPILookup?Npi=1790732493","1790732493")</f>
        <v>1790732493</v>
      </c>
      <c r="E7258" t="s">
        <v>2779</v>
      </c>
    </row>
    <row r="7259" spans="1:5" x14ac:dyDescent="0.25">
      <c r="A7259" t="s">
        <v>1</v>
      </c>
      <c r="B7259" t="s">
        <v>19</v>
      </c>
      <c r="C7259" t="s">
        <v>23490</v>
      </c>
      <c r="D7259" t="str">
        <f>HYPERLINK("https://rhld.insurance.arkansas.gov/NPILookup?Npi=1790733301","1790733301")</f>
        <v>1790733301</v>
      </c>
      <c r="E7259" t="s">
        <v>2780</v>
      </c>
    </row>
    <row r="7260" spans="1:5" x14ac:dyDescent="0.25">
      <c r="A7260" t="s">
        <v>1</v>
      </c>
      <c r="B7260" t="s">
        <v>19</v>
      </c>
      <c r="C7260" t="s">
        <v>23490</v>
      </c>
      <c r="D7260" t="str">
        <f>HYPERLINK("https://rhld.insurance.arkansas.gov/NPILookup?Npi=1790735736","1790735736")</f>
        <v>1790735736</v>
      </c>
      <c r="E7260" t="s">
        <v>15567</v>
      </c>
    </row>
    <row r="7261" spans="1:5" x14ac:dyDescent="0.25">
      <c r="A7261" t="s">
        <v>1</v>
      </c>
      <c r="B7261" t="s">
        <v>19</v>
      </c>
      <c r="C7261" t="s">
        <v>23490</v>
      </c>
      <c r="D7261" t="str">
        <f>HYPERLINK("https://rhld.insurance.arkansas.gov/NPILookup?Npi=1790749182","1790749182")</f>
        <v>1790749182</v>
      </c>
      <c r="E7261" t="s">
        <v>2781</v>
      </c>
    </row>
    <row r="7262" spans="1:5" x14ac:dyDescent="0.25">
      <c r="A7262" t="s">
        <v>1</v>
      </c>
      <c r="B7262" t="s">
        <v>19</v>
      </c>
      <c r="C7262" t="s">
        <v>23490</v>
      </c>
      <c r="D7262" t="str">
        <f>HYPERLINK("https://rhld.insurance.arkansas.gov/NPILookup?Npi=1790749943","1790749943")</f>
        <v>1790749943</v>
      </c>
      <c r="E7262" t="s">
        <v>2782</v>
      </c>
    </row>
    <row r="7263" spans="1:5" x14ac:dyDescent="0.25">
      <c r="A7263" t="s">
        <v>1</v>
      </c>
      <c r="B7263" t="s">
        <v>19</v>
      </c>
      <c r="C7263" t="s">
        <v>23490</v>
      </c>
      <c r="D7263" t="str">
        <f>HYPERLINK("https://rhld.insurance.arkansas.gov/NPILookup?Npi=1790751329","1790751329")</f>
        <v>1790751329</v>
      </c>
      <c r="E7263" t="s">
        <v>2783</v>
      </c>
    </row>
    <row r="7264" spans="1:5" x14ac:dyDescent="0.25">
      <c r="A7264" t="s">
        <v>1</v>
      </c>
      <c r="B7264" t="s">
        <v>19</v>
      </c>
      <c r="C7264" t="s">
        <v>23490</v>
      </c>
      <c r="D7264" t="str">
        <f>HYPERLINK("https://rhld.insurance.arkansas.gov/NPILookup?Npi=1790753929","1790753929")</f>
        <v>1790753929</v>
      </c>
      <c r="E7264" t="s">
        <v>2784</v>
      </c>
    </row>
    <row r="7265" spans="1:5" x14ac:dyDescent="0.25">
      <c r="A7265" t="s">
        <v>1</v>
      </c>
      <c r="B7265" t="s">
        <v>19</v>
      </c>
      <c r="C7265" t="s">
        <v>23490</v>
      </c>
      <c r="D7265" t="str">
        <f>HYPERLINK("https://rhld.insurance.arkansas.gov/NPILookup?Npi=1790754281","1790754281")</f>
        <v>1790754281</v>
      </c>
      <c r="E7265" t="s">
        <v>2785</v>
      </c>
    </row>
    <row r="7266" spans="1:5" x14ac:dyDescent="0.25">
      <c r="A7266" t="s">
        <v>1</v>
      </c>
      <c r="B7266" t="s">
        <v>19</v>
      </c>
      <c r="C7266" t="s">
        <v>23490</v>
      </c>
      <c r="D7266" t="str">
        <f>HYPERLINK("https://rhld.insurance.arkansas.gov/NPILookup?Npi=1790773521","1790773521")</f>
        <v>1790773521</v>
      </c>
      <c r="E7266" t="s">
        <v>2786</v>
      </c>
    </row>
    <row r="7267" spans="1:5" x14ac:dyDescent="0.25">
      <c r="A7267" t="s">
        <v>1</v>
      </c>
      <c r="B7267" t="s">
        <v>19</v>
      </c>
      <c r="C7267" t="s">
        <v>23490</v>
      </c>
      <c r="D7267" t="str">
        <f>HYPERLINK("https://rhld.insurance.arkansas.gov/NPILookup?Npi=1790775518","1790775518")</f>
        <v>1790775518</v>
      </c>
      <c r="E7267" t="s">
        <v>2787</v>
      </c>
    </row>
    <row r="7268" spans="1:5" x14ac:dyDescent="0.25">
      <c r="A7268" t="s">
        <v>1</v>
      </c>
      <c r="B7268" t="s">
        <v>19</v>
      </c>
      <c r="C7268" t="s">
        <v>23490</v>
      </c>
      <c r="D7268" t="str">
        <f>HYPERLINK("https://rhld.insurance.arkansas.gov/NPILookup?Npi=1790784106","1790784106")</f>
        <v>1790784106</v>
      </c>
      <c r="E7268" t="s">
        <v>15568</v>
      </c>
    </row>
    <row r="7269" spans="1:5" x14ac:dyDescent="0.25">
      <c r="A7269" t="s">
        <v>1</v>
      </c>
      <c r="B7269" t="s">
        <v>19</v>
      </c>
      <c r="C7269" t="s">
        <v>23490</v>
      </c>
      <c r="D7269" t="str">
        <f>HYPERLINK("https://rhld.insurance.arkansas.gov/NPILookup?Npi=1790792711","1790792711")</f>
        <v>1790792711</v>
      </c>
      <c r="E7269" t="s">
        <v>2788</v>
      </c>
    </row>
    <row r="7270" spans="1:5" x14ac:dyDescent="0.25">
      <c r="A7270" t="s">
        <v>1</v>
      </c>
      <c r="B7270" t="s">
        <v>19</v>
      </c>
      <c r="C7270" t="s">
        <v>23490</v>
      </c>
      <c r="D7270" t="str">
        <f>HYPERLINK("https://rhld.insurance.arkansas.gov/NPILookup?Npi=1790802809","1790802809")</f>
        <v>1790802809</v>
      </c>
      <c r="E7270" t="s">
        <v>2789</v>
      </c>
    </row>
    <row r="7271" spans="1:5" x14ac:dyDescent="0.25">
      <c r="A7271" t="s">
        <v>1</v>
      </c>
      <c r="B7271" t="s">
        <v>19</v>
      </c>
      <c r="C7271" t="s">
        <v>23490</v>
      </c>
      <c r="D7271" t="str">
        <f>HYPERLINK("https://rhld.insurance.arkansas.gov/NPILookup?Npi=1790817427","1790817427")</f>
        <v>1790817427</v>
      </c>
      <c r="E7271" t="s">
        <v>8860</v>
      </c>
    </row>
    <row r="7272" spans="1:5" x14ac:dyDescent="0.25">
      <c r="A7272" t="s">
        <v>1</v>
      </c>
      <c r="B7272" t="s">
        <v>19</v>
      </c>
      <c r="C7272" t="s">
        <v>23490</v>
      </c>
      <c r="D7272" t="str">
        <f>HYPERLINK("https://rhld.insurance.arkansas.gov/NPILookup?Npi=1790841054","1790841054")</f>
        <v>1790841054</v>
      </c>
      <c r="E7272" t="s">
        <v>13713</v>
      </c>
    </row>
    <row r="7273" spans="1:5" x14ac:dyDescent="0.25">
      <c r="A7273" t="s">
        <v>1</v>
      </c>
      <c r="B7273" t="s">
        <v>19</v>
      </c>
      <c r="C7273" t="s">
        <v>23490</v>
      </c>
      <c r="D7273" t="str">
        <f>HYPERLINK("https://rhld.insurance.arkansas.gov/NPILookup?Npi=1790853638","1790853638")</f>
        <v>1790853638</v>
      </c>
      <c r="E7273" t="s">
        <v>13714</v>
      </c>
    </row>
    <row r="7274" spans="1:5" x14ac:dyDescent="0.25">
      <c r="A7274" t="s">
        <v>1</v>
      </c>
      <c r="B7274" t="s">
        <v>19</v>
      </c>
      <c r="C7274" t="s">
        <v>23490</v>
      </c>
      <c r="D7274" t="str">
        <f>HYPERLINK("https://rhld.insurance.arkansas.gov/NPILookup?Npi=1790859858","1790859858")</f>
        <v>1790859858</v>
      </c>
      <c r="E7274" t="s">
        <v>15569</v>
      </c>
    </row>
    <row r="7275" spans="1:5" x14ac:dyDescent="0.25">
      <c r="A7275" t="s">
        <v>1</v>
      </c>
      <c r="B7275" t="s">
        <v>19</v>
      </c>
      <c r="C7275" t="s">
        <v>23490</v>
      </c>
      <c r="D7275" t="str">
        <f>HYPERLINK("https://rhld.insurance.arkansas.gov/NPILookup?Npi=1790870897","1790870897")</f>
        <v>1790870897</v>
      </c>
      <c r="E7275" t="s">
        <v>8861</v>
      </c>
    </row>
    <row r="7276" spans="1:5" x14ac:dyDescent="0.25">
      <c r="A7276" t="s">
        <v>1</v>
      </c>
      <c r="B7276" t="s">
        <v>19</v>
      </c>
      <c r="C7276" t="s">
        <v>23490</v>
      </c>
      <c r="D7276" t="str">
        <f>HYPERLINK("https://rhld.insurance.arkansas.gov/NPILookup?Npi=1790876753","1790876753")</f>
        <v>1790876753</v>
      </c>
      <c r="E7276" t="s">
        <v>20032</v>
      </c>
    </row>
    <row r="7277" spans="1:5" x14ac:dyDescent="0.25">
      <c r="A7277" t="s">
        <v>1</v>
      </c>
      <c r="B7277" t="s">
        <v>19</v>
      </c>
      <c r="C7277" t="s">
        <v>23490</v>
      </c>
      <c r="D7277" t="str">
        <f>HYPERLINK("https://rhld.insurance.arkansas.gov/NPILookup?Npi=1790882595","1790882595")</f>
        <v>1790882595</v>
      </c>
      <c r="E7277" t="s">
        <v>2790</v>
      </c>
    </row>
    <row r="7278" spans="1:5" x14ac:dyDescent="0.25">
      <c r="A7278" t="s">
        <v>1</v>
      </c>
      <c r="B7278" t="s">
        <v>19</v>
      </c>
      <c r="C7278" t="s">
        <v>23490</v>
      </c>
      <c r="D7278" t="str">
        <f>HYPERLINK("https://rhld.insurance.arkansas.gov/NPILookup?Npi=1790891448","1790891448")</f>
        <v>1790891448</v>
      </c>
      <c r="E7278" t="s">
        <v>2791</v>
      </c>
    </row>
    <row r="7279" spans="1:5" x14ac:dyDescent="0.25">
      <c r="A7279" t="s">
        <v>1</v>
      </c>
      <c r="B7279" t="s">
        <v>19</v>
      </c>
      <c r="C7279" t="s">
        <v>23490</v>
      </c>
      <c r="D7279" t="str">
        <f>HYPERLINK("https://rhld.insurance.arkansas.gov/NPILookup?Npi=1790891851","1790891851")</f>
        <v>1790891851</v>
      </c>
      <c r="E7279" t="s">
        <v>15570</v>
      </c>
    </row>
    <row r="7280" spans="1:5" x14ac:dyDescent="0.25">
      <c r="A7280" t="s">
        <v>1</v>
      </c>
      <c r="B7280" t="s">
        <v>19</v>
      </c>
      <c r="C7280" t="s">
        <v>23490</v>
      </c>
      <c r="D7280" t="str">
        <f>HYPERLINK("https://rhld.insurance.arkansas.gov/NPILookup?Npi=1790897395","1790897395")</f>
        <v>1790897395</v>
      </c>
      <c r="E7280" t="s">
        <v>2792</v>
      </c>
    </row>
    <row r="7281" spans="1:5" x14ac:dyDescent="0.25">
      <c r="A7281" t="s">
        <v>1</v>
      </c>
      <c r="B7281" t="s">
        <v>19</v>
      </c>
      <c r="C7281" t="s">
        <v>23490</v>
      </c>
      <c r="D7281" t="str">
        <f>HYPERLINK("https://rhld.insurance.arkansas.gov/NPILookup?Npi=1790911139","1790911139")</f>
        <v>1790911139</v>
      </c>
      <c r="E7281" t="s">
        <v>20033</v>
      </c>
    </row>
    <row r="7282" spans="1:5" x14ac:dyDescent="0.25">
      <c r="A7282" t="s">
        <v>1</v>
      </c>
      <c r="B7282" t="s">
        <v>19</v>
      </c>
      <c r="C7282" t="s">
        <v>23490</v>
      </c>
      <c r="D7282" t="str">
        <f>HYPERLINK("https://rhld.insurance.arkansas.gov/NPILookup?Npi=1790914927","1790914927")</f>
        <v>1790914927</v>
      </c>
      <c r="E7282" t="s">
        <v>2793</v>
      </c>
    </row>
    <row r="7283" spans="1:5" x14ac:dyDescent="0.25">
      <c r="A7283" t="s">
        <v>1</v>
      </c>
      <c r="B7283" t="s">
        <v>19</v>
      </c>
      <c r="C7283" t="s">
        <v>23490</v>
      </c>
      <c r="D7283" t="str">
        <f>HYPERLINK("https://rhld.insurance.arkansas.gov/NPILookup?Npi=1790915544","1790915544")</f>
        <v>1790915544</v>
      </c>
      <c r="E7283" t="s">
        <v>8862</v>
      </c>
    </row>
    <row r="7284" spans="1:5" x14ac:dyDescent="0.25">
      <c r="A7284" t="s">
        <v>1</v>
      </c>
      <c r="B7284" t="s">
        <v>19</v>
      </c>
      <c r="C7284" t="s">
        <v>23490</v>
      </c>
      <c r="D7284" t="str">
        <f>HYPERLINK("https://rhld.insurance.arkansas.gov/NPILookup?Npi=1790926475","1790926475")</f>
        <v>1790926475</v>
      </c>
      <c r="E7284" t="s">
        <v>2794</v>
      </c>
    </row>
    <row r="7285" spans="1:5" x14ac:dyDescent="0.25">
      <c r="A7285" t="s">
        <v>1</v>
      </c>
      <c r="B7285" t="s">
        <v>19</v>
      </c>
      <c r="C7285" t="s">
        <v>23490</v>
      </c>
      <c r="D7285" t="str">
        <f>HYPERLINK("https://rhld.insurance.arkansas.gov/NPILookup?Npi=1790926798","1790926798")</f>
        <v>1790926798</v>
      </c>
      <c r="E7285" t="s">
        <v>2795</v>
      </c>
    </row>
    <row r="7286" spans="1:5" x14ac:dyDescent="0.25">
      <c r="A7286" t="s">
        <v>1</v>
      </c>
      <c r="B7286" t="s">
        <v>19</v>
      </c>
      <c r="C7286" t="s">
        <v>23490</v>
      </c>
      <c r="D7286" t="str">
        <f>HYPERLINK("https://rhld.insurance.arkansas.gov/NPILookup?Npi=1790952067","1790952067")</f>
        <v>1790952067</v>
      </c>
      <c r="E7286" t="s">
        <v>11281</v>
      </c>
    </row>
    <row r="7287" spans="1:5" x14ac:dyDescent="0.25">
      <c r="A7287" t="s">
        <v>1</v>
      </c>
      <c r="B7287" t="s">
        <v>19</v>
      </c>
      <c r="C7287" t="s">
        <v>23490</v>
      </c>
      <c r="D7287" t="str">
        <f>HYPERLINK("https://rhld.insurance.arkansas.gov/NPILookup?Npi=1790965366","1790965366")</f>
        <v>1790965366</v>
      </c>
      <c r="E7287" t="s">
        <v>2797</v>
      </c>
    </row>
    <row r="7288" spans="1:5" x14ac:dyDescent="0.25">
      <c r="A7288" t="s">
        <v>1</v>
      </c>
      <c r="B7288" t="s">
        <v>19</v>
      </c>
      <c r="C7288" t="s">
        <v>23490</v>
      </c>
      <c r="D7288" t="str">
        <f>HYPERLINK("https://rhld.insurance.arkansas.gov/NPILookup?Npi=1790988319","1790988319")</f>
        <v>1790988319</v>
      </c>
      <c r="E7288" t="s">
        <v>11282</v>
      </c>
    </row>
    <row r="7289" spans="1:5" x14ac:dyDescent="0.25">
      <c r="A7289" t="s">
        <v>1</v>
      </c>
      <c r="B7289" t="s">
        <v>19</v>
      </c>
      <c r="C7289" t="s">
        <v>23490</v>
      </c>
      <c r="D7289" t="str">
        <f>HYPERLINK("https://rhld.insurance.arkansas.gov/NPILookup?Npi=1790989408","1790989408")</f>
        <v>1790989408</v>
      </c>
      <c r="E7289" t="s">
        <v>2798</v>
      </c>
    </row>
    <row r="7290" spans="1:5" x14ac:dyDescent="0.25">
      <c r="A7290" t="s">
        <v>1</v>
      </c>
      <c r="B7290" t="s">
        <v>19</v>
      </c>
      <c r="C7290" t="s">
        <v>23490</v>
      </c>
      <c r="D7290" t="str">
        <f>HYPERLINK("https://rhld.insurance.arkansas.gov/NPILookup?Npi=1790989531","1790989531")</f>
        <v>1790989531</v>
      </c>
      <c r="E7290" t="s">
        <v>2799</v>
      </c>
    </row>
    <row r="7291" spans="1:5" x14ac:dyDescent="0.25">
      <c r="A7291" t="s">
        <v>1</v>
      </c>
      <c r="B7291" t="s">
        <v>19</v>
      </c>
      <c r="C7291" t="s">
        <v>23490</v>
      </c>
      <c r="D7291" t="str">
        <f>HYPERLINK("https://rhld.insurance.arkansas.gov/NPILookup?Npi=1801010061","1801010061")</f>
        <v>1801010061</v>
      </c>
      <c r="E7291" t="s">
        <v>2800</v>
      </c>
    </row>
    <row r="7292" spans="1:5" x14ac:dyDescent="0.25">
      <c r="A7292" t="s">
        <v>1</v>
      </c>
      <c r="B7292" t="s">
        <v>19</v>
      </c>
      <c r="C7292" t="s">
        <v>23490</v>
      </c>
      <c r="D7292" t="str">
        <f>HYPERLINK("https://rhld.insurance.arkansas.gov/NPILookup?Npi=1801035662","1801035662")</f>
        <v>1801035662</v>
      </c>
      <c r="E7292" t="s">
        <v>13715</v>
      </c>
    </row>
    <row r="7293" spans="1:5" x14ac:dyDescent="0.25">
      <c r="A7293" t="s">
        <v>1</v>
      </c>
      <c r="B7293" t="s">
        <v>19</v>
      </c>
      <c r="C7293" t="s">
        <v>23490</v>
      </c>
      <c r="D7293" t="str">
        <f>HYPERLINK("https://rhld.insurance.arkansas.gov/NPILookup?Npi=1801035969","1801035969")</f>
        <v>1801035969</v>
      </c>
      <c r="E7293" t="s">
        <v>17028</v>
      </c>
    </row>
    <row r="7294" spans="1:5" x14ac:dyDescent="0.25">
      <c r="A7294" t="s">
        <v>1</v>
      </c>
      <c r="B7294" t="s">
        <v>19</v>
      </c>
      <c r="C7294" t="s">
        <v>23490</v>
      </c>
      <c r="D7294" t="str">
        <f>HYPERLINK("https://rhld.insurance.arkansas.gov/NPILookup?Npi=1801044300","1801044300")</f>
        <v>1801044300</v>
      </c>
      <c r="E7294" t="s">
        <v>2802</v>
      </c>
    </row>
    <row r="7295" spans="1:5" x14ac:dyDescent="0.25">
      <c r="A7295" t="s">
        <v>1</v>
      </c>
      <c r="B7295" t="s">
        <v>19</v>
      </c>
      <c r="C7295" t="s">
        <v>23490</v>
      </c>
      <c r="D7295" t="str">
        <f>HYPERLINK("https://rhld.insurance.arkansas.gov/NPILookup?Npi=1801048558","1801048558")</f>
        <v>1801048558</v>
      </c>
      <c r="E7295" t="s">
        <v>2803</v>
      </c>
    </row>
    <row r="7296" spans="1:5" x14ac:dyDescent="0.25">
      <c r="A7296" t="s">
        <v>1</v>
      </c>
      <c r="B7296" t="s">
        <v>19</v>
      </c>
      <c r="C7296" t="s">
        <v>23490</v>
      </c>
      <c r="D7296" t="str">
        <f>HYPERLINK("https://rhld.insurance.arkansas.gov/NPILookup?Npi=1801057583","1801057583")</f>
        <v>1801057583</v>
      </c>
      <c r="E7296" t="s">
        <v>2804</v>
      </c>
    </row>
    <row r="7297" spans="1:5" x14ac:dyDescent="0.25">
      <c r="A7297" t="s">
        <v>1</v>
      </c>
      <c r="B7297" t="s">
        <v>19</v>
      </c>
      <c r="C7297" t="s">
        <v>23490</v>
      </c>
      <c r="D7297" t="str">
        <f>HYPERLINK("https://rhld.insurance.arkansas.gov/NPILookup?Npi=1801066808","1801066808")</f>
        <v>1801066808</v>
      </c>
      <c r="E7297" t="s">
        <v>17029</v>
      </c>
    </row>
    <row r="7298" spans="1:5" x14ac:dyDescent="0.25">
      <c r="A7298" t="s">
        <v>1</v>
      </c>
      <c r="B7298" t="s">
        <v>19</v>
      </c>
      <c r="C7298" t="s">
        <v>23490</v>
      </c>
      <c r="D7298" t="str">
        <f>HYPERLINK("https://rhld.insurance.arkansas.gov/NPILookup?Npi=1801073531","1801073531")</f>
        <v>1801073531</v>
      </c>
      <c r="E7298" t="s">
        <v>2805</v>
      </c>
    </row>
    <row r="7299" spans="1:5" x14ac:dyDescent="0.25">
      <c r="A7299" t="s">
        <v>1</v>
      </c>
      <c r="B7299" t="s">
        <v>19</v>
      </c>
      <c r="C7299" t="s">
        <v>23490</v>
      </c>
      <c r="D7299" t="str">
        <f>HYPERLINK("https://rhld.insurance.arkansas.gov/NPILookup?Npi=1801077797","1801077797")</f>
        <v>1801077797</v>
      </c>
      <c r="E7299" t="s">
        <v>15571</v>
      </c>
    </row>
    <row r="7300" spans="1:5" x14ac:dyDescent="0.25">
      <c r="A7300" t="s">
        <v>1</v>
      </c>
      <c r="B7300" t="s">
        <v>19</v>
      </c>
      <c r="C7300" t="s">
        <v>23490</v>
      </c>
      <c r="D7300" t="str">
        <f>HYPERLINK("https://rhld.insurance.arkansas.gov/NPILookup?Npi=1801086194","1801086194")</f>
        <v>1801086194</v>
      </c>
      <c r="E7300" t="s">
        <v>17030</v>
      </c>
    </row>
    <row r="7301" spans="1:5" x14ac:dyDescent="0.25">
      <c r="A7301" t="s">
        <v>1</v>
      </c>
      <c r="B7301" t="s">
        <v>19</v>
      </c>
      <c r="C7301" t="s">
        <v>23490</v>
      </c>
      <c r="D7301" t="str">
        <f>HYPERLINK("https://rhld.insurance.arkansas.gov/NPILookup?Npi=1801101431","1801101431")</f>
        <v>1801101431</v>
      </c>
      <c r="E7301" t="s">
        <v>21038</v>
      </c>
    </row>
    <row r="7302" spans="1:5" x14ac:dyDescent="0.25">
      <c r="A7302" t="s">
        <v>1</v>
      </c>
      <c r="B7302" t="s">
        <v>19</v>
      </c>
      <c r="C7302" t="s">
        <v>23490</v>
      </c>
      <c r="D7302" t="str">
        <f>HYPERLINK("https://rhld.insurance.arkansas.gov/NPILookup?Npi=1801104682","1801104682")</f>
        <v>1801104682</v>
      </c>
      <c r="E7302" t="s">
        <v>2806</v>
      </c>
    </row>
    <row r="7303" spans="1:5" x14ac:dyDescent="0.25">
      <c r="A7303" t="s">
        <v>1</v>
      </c>
      <c r="B7303" t="s">
        <v>19</v>
      </c>
      <c r="C7303" t="s">
        <v>23490</v>
      </c>
      <c r="D7303" t="str">
        <f>HYPERLINK("https://rhld.insurance.arkansas.gov/NPILookup?Npi=1801133343","1801133343")</f>
        <v>1801133343</v>
      </c>
      <c r="E7303" t="s">
        <v>15572</v>
      </c>
    </row>
    <row r="7304" spans="1:5" x14ac:dyDescent="0.25">
      <c r="A7304" t="s">
        <v>1</v>
      </c>
      <c r="B7304" t="s">
        <v>19</v>
      </c>
      <c r="C7304" t="s">
        <v>23490</v>
      </c>
      <c r="D7304" t="str">
        <f>HYPERLINK("https://rhld.insurance.arkansas.gov/NPILookup?Npi=1801140652","1801140652")</f>
        <v>1801140652</v>
      </c>
      <c r="E7304" t="s">
        <v>2807</v>
      </c>
    </row>
    <row r="7305" spans="1:5" x14ac:dyDescent="0.25">
      <c r="A7305" t="s">
        <v>1</v>
      </c>
      <c r="B7305" t="s">
        <v>19</v>
      </c>
      <c r="C7305" t="s">
        <v>23490</v>
      </c>
      <c r="D7305" t="str">
        <f>HYPERLINK("https://rhld.insurance.arkansas.gov/NPILookup?Npi=1801153705","1801153705")</f>
        <v>1801153705</v>
      </c>
      <c r="E7305" t="s">
        <v>15573</v>
      </c>
    </row>
    <row r="7306" spans="1:5" x14ac:dyDescent="0.25">
      <c r="A7306" t="s">
        <v>1</v>
      </c>
      <c r="B7306" t="s">
        <v>19</v>
      </c>
      <c r="C7306" t="s">
        <v>23490</v>
      </c>
      <c r="D7306" t="str">
        <f>HYPERLINK("https://rhld.insurance.arkansas.gov/NPILookup?Npi=1801163563","1801163563")</f>
        <v>1801163563</v>
      </c>
      <c r="E7306" t="s">
        <v>20034</v>
      </c>
    </row>
    <row r="7307" spans="1:5" x14ac:dyDescent="0.25">
      <c r="A7307" t="s">
        <v>1</v>
      </c>
      <c r="B7307" t="s">
        <v>19</v>
      </c>
      <c r="C7307" t="s">
        <v>23490</v>
      </c>
      <c r="D7307" t="str">
        <f>HYPERLINK("https://rhld.insurance.arkansas.gov/NPILookup?Npi=1801177720","1801177720")</f>
        <v>1801177720</v>
      </c>
      <c r="E7307" t="s">
        <v>2808</v>
      </c>
    </row>
    <row r="7308" spans="1:5" x14ac:dyDescent="0.25">
      <c r="A7308" t="s">
        <v>1</v>
      </c>
      <c r="B7308" t="s">
        <v>19</v>
      </c>
      <c r="C7308" t="s">
        <v>23490</v>
      </c>
      <c r="D7308" t="str">
        <f>HYPERLINK("https://rhld.insurance.arkansas.gov/NPILookup?Npi=1801182647","1801182647")</f>
        <v>1801182647</v>
      </c>
      <c r="E7308" t="s">
        <v>20035</v>
      </c>
    </row>
    <row r="7309" spans="1:5" x14ac:dyDescent="0.25">
      <c r="A7309" t="s">
        <v>1</v>
      </c>
      <c r="B7309" t="s">
        <v>19</v>
      </c>
      <c r="C7309" t="s">
        <v>23490</v>
      </c>
      <c r="D7309" t="str">
        <f>HYPERLINK("https://rhld.insurance.arkansas.gov/NPILookup?Npi=1801187687","1801187687")</f>
        <v>1801187687</v>
      </c>
      <c r="E7309" t="s">
        <v>2809</v>
      </c>
    </row>
    <row r="7310" spans="1:5" x14ac:dyDescent="0.25">
      <c r="A7310" t="s">
        <v>1</v>
      </c>
      <c r="B7310" t="s">
        <v>19</v>
      </c>
      <c r="C7310" t="s">
        <v>23490</v>
      </c>
      <c r="D7310" t="str">
        <f>HYPERLINK("https://rhld.insurance.arkansas.gov/NPILookup?Npi=1801193438","1801193438")</f>
        <v>1801193438</v>
      </c>
      <c r="E7310" t="s">
        <v>15574</v>
      </c>
    </row>
    <row r="7311" spans="1:5" x14ac:dyDescent="0.25">
      <c r="A7311" t="s">
        <v>1</v>
      </c>
      <c r="B7311" t="s">
        <v>19</v>
      </c>
      <c r="C7311" t="s">
        <v>23490</v>
      </c>
      <c r="D7311" t="str">
        <f>HYPERLINK("https://rhld.insurance.arkansas.gov/NPILookup?Npi=1801195557","1801195557")</f>
        <v>1801195557</v>
      </c>
      <c r="E7311" t="s">
        <v>8863</v>
      </c>
    </row>
    <row r="7312" spans="1:5" x14ac:dyDescent="0.25">
      <c r="A7312" t="s">
        <v>1</v>
      </c>
      <c r="B7312" t="s">
        <v>19</v>
      </c>
      <c r="C7312" t="s">
        <v>23490</v>
      </c>
      <c r="D7312" t="str">
        <f>HYPERLINK("https://rhld.insurance.arkansas.gov/NPILookup?Npi=1801211966","1801211966")</f>
        <v>1801211966</v>
      </c>
      <c r="E7312" t="s">
        <v>11283</v>
      </c>
    </row>
    <row r="7313" spans="1:5" x14ac:dyDescent="0.25">
      <c r="A7313" t="s">
        <v>1</v>
      </c>
      <c r="B7313" t="s">
        <v>19</v>
      </c>
      <c r="C7313" t="s">
        <v>23490</v>
      </c>
      <c r="D7313" t="str">
        <f>HYPERLINK("https://rhld.insurance.arkansas.gov/NPILookup?Npi=1801228564","1801228564")</f>
        <v>1801228564</v>
      </c>
      <c r="E7313" t="s">
        <v>2810</v>
      </c>
    </row>
    <row r="7314" spans="1:5" x14ac:dyDescent="0.25">
      <c r="A7314" t="s">
        <v>1</v>
      </c>
      <c r="B7314" t="s">
        <v>19</v>
      </c>
      <c r="C7314" t="s">
        <v>23490</v>
      </c>
      <c r="D7314" t="str">
        <f>HYPERLINK("https://rhld.insurance.arkansas.gov/NPILookup?Npi=1801228663","1801228663")</f>
        <v>1801228663</v>
      </c>
      <c r="E7314" t="s">
        <v>2811</v>
      </c>
    </row>
    <row r="7315" spans="1:5" x14ac:dyDescent="0.25">
      <c r="A7315" t="s">
        <v>1</v>
      </c>
      <c r="B7315" t="s">
        <v>19</v>
      </c>
      <c r="C7315" t="s">
        <v>23490</v>
      </c>
      <c r="D7315" t="str">
        <f>HYPERLINK("https://rhld.insurance.arkansas.gov/NPILookup?Npi=1801232400","1801232400")</f>
        <v>1801232400</v>
      </c>
      <c r="E7315" t="s">
        <v>21039</v>
      </c>
    </row>
    <row r="7316" spans="1:5" x14ac:dyDescent="0.25">
      <c r="A7316" t="s">
        <v>1</v>
      </c>
      <c r="B7316" t="s">
        <v>19</v>
      </c>
      <c r="C7316" t="s">
        <v>23490</v>
      </c>
      <c r="D7316" t="str">
        <f>HYPERLINK("https://rhld.insurance.arkansas.gov/NPILookup?Npi=1801235783","1801235783")</f>
        <v>1801235783</v>
      </c>
      <c r="E7316" t="s">
        <v>8864</v>
      </c>
    </row>
    <row r="7317" spans="1:5" x14ac:dyDescent="0.25">
      <c r="A7317" t="s">
        <v>1</v>
      </c>
      <c r="B7317" t="s">
        <v>19</v>
      </c>
      <c r="C7317" t="s">
        <v>23490</v>
      </c>
      <c r="D7317" t="str">
        <f>HYPERLINK("https://rhld.insurance.arkansas.gov/NPILookup?Npi=1801236195","1801236195")</f>
        <v>1801236195</v>
      </c>
      <c r="E7317" t="s">
        <v>2812</v>
      </c>
    </row>
    <row r="7318" spans="1:5" x14ac:dyDescent="0.25">
      <c r="A7318" t="s">
        <v>1</v>
      </c>
      <c r="B7318" t="s">
        <v>19</v>
      </c>
      <c r="C7318" t="s">
        <v>23490</v>
      </c>
      <c r="D7318" t="str">
        <f>HYPERLINK("https://rhld.insurance.arkansas.gov/NPILookup?Npi=1801236377","1801236377")</f>
        <v>1801236377</v>
      </c>
      <c r="E7318" t="s">
        <v>20036</v>
      </c>
    </row>
    <row r="7319" spans="1:5" x14ac:dyDescent="0.25">
      <c r="A7319" t="s">
        <v>1</v>
      </c>
      <c r="B7319" t="s">
        <v>19</v>
      </c>
      <c r="C7319" t="s">
        <v>23490</v>
      </c>
      <c r="D7319" t="str">
        <f>HYPERLINK("https://rhld.insurance.arkansas.gov/NPILookup?Npi=1801240395","1801240395")</f>
        <v>1801240395</v>
      </c>
      <c r="E7319" t="s">
        <v>18126</v>
      </c>
    </row>
    <row r="7320" spans="1:5" x14ac:dyDescent="0.25">
      <c r="A7320" t="s">
        <v>1</v>
      </c>
      <c r="B7320" t="s">
        <v>19</v>
      </c>
      <c r="C7320" t="s">
        <v>23490</v>
      </c>
      <c r="D7320" t="str">
        <f>HYPERLINK("https://rhld.insurance.arkansas.gov/NPILookup?Npi=1801246129","1801246129")</f>
        <v>1801246129</v>
      </c>
      <c r="E7320" t="s">
        <v>13716</v>
      </c>
    </row>
    <row r="7321" spans="1:5" x14ac:dyDescent="0.25">
      <c r="A7321" t="s">
        <v>1</v>
      </c>
      <c r="B7321" t="s">
        <v>19</v>
      </c>
      <c r="C7321" t="s">
        <v>23490</v>
      </c>
      <c r="D7321" t="str">
        <f>HYPERLINK("https://rhld.insurance.arkansas.gov/NPILookup?Npi=1801247945","1801247945")</f>
        <v>1801247945</v>
      </c>
      <c r="E7321" t="s">
        <v>15575</v>
      </c>
    </row>
    <row r="7322" spans="1:5" x14ac:dyDescent="0.25">
      <c r="A7322" t="s">
        <v>1</v>
      </c>
      <c r="B7322" t="s">
        <v>19</v>
      </c>
      <c r="C7322" t="s">
        <v>23490</v>
      </c>
      <c r="D7322" t="str">
        <f>HYPERLINK("https://rhld.insurance.arkansas.gov/NPILookup?Npi=1801268479","1801268479")</f>
        <v>1801268479</v>
      </c>
      <c r="E7322" t="s">
        <v>2813</v>
      </c>
    </row>
    <row r="7323" spans="1:5" x14ac:dyDescent="0.25">
      <c r="A7323" t="s">
        <v>1</v>
      </c>
      <c r="B7323" t="s">
        <v>19</v>
      </c>
      <c r="C7323" t="s">
        <v>23490</v>
      </c>
      <c r="D7323" t="str">
        <f>HYPERLINK("https://rhld.insurance.arkansas.gov/NPILookup?Npi=1801277959","1801277959")</f>
        <v>1801277959</v>
      </c>
      <c r="E7323" t="s">
        <v>13717</v>
      </c>
    </row>
    <row r="7324" spans="1:5" x14ac:dyDescent="0.25">
      <c r="A7324" t="s">
        <v>1</v>
      </c>
      <c r="B7324" t="s">
        <v>19</v>
      </c>
      <c r="C7324" t="s">
        <v>23490</v>
      </c>
      <c r="D7324" t="str">
        <f>HYPERLINK("https://rhld.insurance.arkansas.gov/NPILookup?Npi=1801279575","1801279575")</f>
        <v>1801279575</v>
      </c>
      <c r="E7324" t="s">
        <v>20037</v>
      </c>
    </row>
    <row r="7325" spans="1:5" x14ac:dyDescent="0.25">
      <c r="A7325" t="s">
        <v>1</v>
      </c>
      <c r="B7325" t="s">
        <v>19</v>
      </c>
      <c r="C7325" t="s">
        <v>23490</v>
      </c>
      <c r="D7325" t="str">
        <f>HYPERLINK("https://rhld.insurance.arkansas.gov/NPILookup?Npi=1801287883","1801287883")</f>
        <v>1801287883</v>
      </c>
      <c r="E7325" t="s">
        <v>15576</v>
      </c>
    </row>
    <row r="7326" spans="1:5" x14ac:dyDescent="0.25">
      <c r="A7326" t="s">
        <v>1</v>
      </c>
      <c r="B7326" t="s">
        <v>19</v>
      </c>
      <c r="C7326" t="s">
        <v>23490</v>
      </c>
      <c r="D7326" t="str">
        <f>HYPERLINK("https://rhld.insurance.arkansas.gov/NPILookup?Npi=1801291901","1801291901")</f>
        <v>1801291901</v>
      </c>
      <c r="E7326" t="s">
        <v>8865</v>
      </c>
    </row>
    <row r="7327" spans="1:5" x14ac:dyDescent="0.25">
      <c r="A7327" t="s">
        <v>1</v>
      </c>
      <c r="B7327" t="s">
        <v>19</v>
      </c>
      <c r="C7327" t="s">
        <v>23490</v>
      </c>
      <c r="D7327" t="str">
        <f>HYPERLINK("https://rhld.insurance.arkansas.gov/NPILookup?Npi=1801332002","1801332002")</f>
        <v>1801332002</v>
      </c>
      <c r="E7327" t="s">
        <v>11285</v>
      </c>
    </row>
    <row r="7328" spans="1:5" x14ac:dyDescent="0.25">
      <c r="A7328" t="s">
        <v>1</v>
      </c>
      <c r="B7328" t="s">
        <v>19</v>
      </c>
      <c r="C7328" t="s">
        <v>23490</v>
      </c>
      <c r="D7328" t="str">
        <f>HYPERLINK("https://rhld.insurance.arkansas.gov/NPILookup?Npi=1801333174","1801333174")</f>
        <v>1801333174</v>
      </c>
      <c r="E7328" t="s">
        <v>11286</v>
      </c>
    </row>
    <row r="7329" spans="1:5" x14ac:dyDescent="0.25">
      <c r="A7329" t="s">
        <v>1</v>
      </c>
      <c r="B7329" t="s">
        <v>19</v>
      </c>
      <c r="C7329" t="s">
        <v>23490</v>
      </c>
      <c r="D7329" t="str">
        <f>HYPERLINK("https://rhld.insurance.arkansas.gov/NPILookup?Npi=1801335187","1801335187")</f>
        <v>1801335187</v>
      </c>
      <c r="E7329" t="s">
        <v>20038</v>
      </c>
    </row>
    <row r="7330" spans="1:5" x14ac:dyDescent="0.25">
      <c r="A7330" t="s">
        <v>1</v>
      </c>
      <c r="B7330" t="s">
        <v>19</v>
      </c>
      <c r="C7330" t="s">
        <v>23490</v>
      </c>
      <c r="D7330" t="str">
        <f>HYPERLINK("https://rhld.insurance.arkansas.gov/NPILookup?Npi=1801340344","1801340344")</f>
        <v>1801340344</v>
      </c>
      <c r="E7330" t="s">
        <v>12912</v>
      </c>
    </row>
    <row r="7331" spans="1:5" x14ac:dyDescent="0.25">
      <c r="A7331" t="s">
        <v>1</v>
      </c>
      <c r="B7331" t="s">
        <v>19</v>
      </c>
      <c r="C7331" t="s">
        <v>23490</v>
      </c>
      <c r="D7331" t="str">
        <f>HYPERLINK("https://rhld.insurance.arkansas.gov/NPILookup?Npi=1801346192","1801346192")</f>
        <v>1801346192</v>
      </c>
      <c r="E7331" t="s">
        <v>11287</v>
      </c>
    </row>
    <row r="7332" spans="1:5" x14ac:dyDescent="0.25">
      <c r="A7332" t="s">
        <v>1</v>
      </c>
      <c r="B7332" t="s">
        <v>19</v>
      </c>
      <c r="C7332" t="s">
        <v>23490</v>
      </c>
      <c r="D7332" t="str">
        <f>HYPERLINK("https://rhld.insurance.arkansas.gov/NPILookup?Npi=1801348875","1801348875")</f>
        <v>1801348875</v>
      </c>
      <c r="E7332" t="s">
        <v>20039</v>
      </c>
    </row>
    <row r="7333" spans="1:5" x14ac:dyDescent="0.25">
      <c r="A7333" t="s">
        <v>1</v>
      </c>
      <c r="B7333" t="s">
        <v>19</v>
      </c>
      <c r="C7333" t="s">
        <v>23490</v>
      </c>
      <c r="D7333" t="str">
        <f>HYPERLINK("https://rhld.insurance.arkansas.gov/NPILookup?Npi=1801350137","1801350137")</f>
        <v>1801350137</v>
      </c>
      <c r="E7333" t="s">
        <v>13718</v>
      </c>
    </row>
    <row r="7334" spans="1:5" x14ac:dyDescent="0.25">
      <c r="A7334" t="s">
        <v>1</v>
      </c>
      <c r="B7334" t="s">
        <v>19</v>
      </c>
      <c r="C7334" t="s">
        <v>23490</v>
      </c>
      <c r="D7334" t="str">
        <f>HYPERLINK("https://rhld.insurance.arkansas.gov/NPILookup?Npi=1801371810","1801371810")</f>
        <v>1801371810</v>
      </c>
      <c r="E7334" t="s">
        <v>21652</v>
      </c>
    </row>
    <row r="7335" spans="1:5" x14ac:dyDescent="0.25">
      <c r="A7335" t="s">
        <v>1</v>
      </c>
      <c r="B7335" t="s">
        <v>19</v>
      </c>
      <c r="C7335" t="s">
        <v>23490</v>
      </c>
      <c r="D7335" t="str">
        <f>HYPERLINK("https://rhld.insurance.arkansas.gov/NPILookup?Npi=1801373824","1801373824")</f>
        <v>1801373824</v>
      </c>
      <c r="E7335" t="s">
        <v>13719</v>
      </c>
    </row>
    <row r="7336" spans="1:5" x14ac:dyDescent="0.25">
      <c r="A7336" t="s">
        <v>1</v>
      </c>
      <c r="B7336" t="s">
        <v>19</v>
      </c>
      <c r="C7336" t="s">
        <v>23490</v>
      </c>
      <c r="D7336" t="str">
        <f>HYPERLINK("https://rhld.insurance.arkansas.gov/NPILookup?Npi=1801381579","1801381579")</f>
        <v>1801381579</v>
      </c>
      <c r="E7336" t="s">
        <v>19091</v>
      </c>
    </row>
    <row r="7337" spans="1:5" x14ac:dyDescent="0.25">
      <c r="A7337" t="s">
        <v>1</v>
      </c>
      <c r="B7337" t="s">
        <v>19</v>
      </c>
      <c r="C7337" t="s">
        <v>23490</v>
      </c>
      <c r="D7337" t="str">
        <f>HYPERLINK("https://rhld.insurance.arkansas.gov/NPILookup?Npi=1801381645","1801381645")</f>
        <v>1801381645</v>
      </c>
      <c r="E7337" t="s">
        <v>15577</v>
      </c>
    </row>
    <row r="7338" spans="1:5" x14ac:dyDescent="0.25">
      <c r="A7338" t="s">
        <v>1</v>
      </c>
      <c r="B7338" t="s">
        <v>19</v>
      </c>
      <c r="C7338" t="s">
        <v>23490</v>
      </c>
      <c r="D7338" t="str">
        <f>HYPERLINK("https://rhld.insurance.arkansas.gov/NPILookup?Npi=1801385976","1801385976")</f>
        <v>1801385976</v>
      </c>
      <c r="E7338" t="s">
        <v>13720</v>
      </c>
    </row>
    <row r="7339" spans="1:5" x14ac:dyDescent="0.25">
      <c r="A7339" t="s">
        <v>1</v>
      </c>
      <c r="B7339" t="s">
        <v>19</v>
      </c>
      <c r="C7339" t="s">
        <v>23490</v>
      </c>
      <c r="D7339" t="str">
        <f>HYPERLINK("https://rhld.insurance.arkansas.gov/NPILookup?Npi=1801388160","1801388160")</f>
        <v>1801388160</v>
      </c>
      <c r="E7339" t="s">
        <v>15578</v>
      </c>
    </row>
    <row r="7340" spans="1:5" x14ac:dyDescent="0.25">
      <c r="A7340" t="s">
        <v>1</v>
      </c>
      <c r="B7340" t="s">
        <v>19</v>
      </c>
      <c r="C7340" t="s">
        <v>23490</v>
      </c>
      <c r="D7340" t="str">
        <f>HYPERLINK("https://rhld.insurance.arkansas.gov/NPILookup?Npi=1801397096","1801397096")</f>
        <v>1801397096</v>
      </c>
      <c r="E7340" t="s">
        <v>17031</v>
      </c>
    </row>
    <row r="7341" spans="1:5" x14ac:dyDescent="0.25">
      <c r="A7341" t="s">
        <v>1</v>
      </c>
      <c r="B7341" t="s">
        <v>19</v>
      </c>
      <c r="C7341" t="s">
        <v>23490</v>
      </c>
      <c r="D7341" t="str">
        <f>HYPERLINK("https://rhld.insurance.arkansas.gov/NPILookup?Npi=1801407440","1801407440")</f>
        <v>1801407440</v>
      </c>
      <c r="E7341" t="s">
        <v>18867</v>
      </c>
    </row>
    <row r="7342" spans="1:5" x14ac:dyDescent="0.25">
      <c r="A7342" t="s">
        <v>1</v>
      </c>
      <c r="B7342" t="s">
        <v>19</v>
      </c>
      <c r="C7342" t="s">
        <v>23490</v>
      </c>
      <c r="D7342" t="str">
        <f>HYPERLINK("https://rhld.insurance.arkansas.gov/NPILookup?Npi=1801407747","1801407747")</f>
        <v>1801407747</v>
      </c>
      <c r="E7342" t="s">
        <v>18127</v>
      </c>
    </row>
    <row r="7343" spans="1:5" x14ac:dyDescent="0.25">
      <c r="A7343" t="s">
        <v>1</v>
      </c>
      <c r="B7343" t="s">
        <v>19</v>
      </c>
      <c r="C7343" t="s">
        <v>8427</v>
      </c>
      <c r="D7343" t="str">
        <f>HYPERLINK("https://rhld.insurance.arkansas.gov/NPILookup?Npi=1801410527","1801410527")</f>
        <v>1801410527</v>
      </c>
      <c r="E7343" t="s">
        <v>22987</v>
      </c>
    </row>
    <row r="7344" spans="1:5" x14ac:dyDescent="0.25">
      <c r="A7344" t="s">
        <v>1</v>
      </c>
      <c r="B7344" t="s">
        <v>19</v>
      </c>
      <c r="C7344" t="s">
        <v>23490</v>
      </c>
      <c r="D7344" t="str">
        <f>HYPERLINK("https://rhld.insurance.arkansas.gov/NPILookup?Npi=1801438403","1801438403")</f>
        <v>1801438403</v>
      </c>
      <c r="E7344" t="s">
        <v>21653</v>
      </c>
    </row>
    <row r="7345" spans="1:5" x14ac:dyDescent="0.25">
      <c r="A7345" t="s">
        <v>1</v>
      </c>
      <c r="B7345" t="s">
        <v>19</v>
      </c>
      <c r="C7345" t="s">
        <v>23490</v>
      </c>
      <c r="D7345" t="str">
        <f>HYPERLINK("https://rhld.insurance.arkansas.gov/NPILookup?Npi=1801445671","1801445671")</f>
        <v>1801445671</v>
      </c>
      <c r="E7345" t="s">
        <v>20040</v>
      </c>
    </row>
    <row r="7346" spans="1:5" x14ac:dyDescent="0.25">
      <c r="A7346" t="s">
        <v>1</v>
      </c>
      <c r="B7346" t="s">
        <v>19</v>
      </c>
      <c r="C7346" t="s">
        <v>23490</v>
      </c>
      <c r="D7346" t="str">
        <f>HYPERLINK("https://rhld.insurance.arkansas.gov/NPILookup?Npi=1801447834","1801447834")</f>
        <v>1801447834</v>
      </c>
      <c r="E7346" t="s">
        <v>15579</v>
      </c>
    </row>
    <row r="7347" spans="1:5" x14ac:dyDescent="0.25">
      <c r="A7347" t="s">
        <v>1</v>
      </c>
      <c r="B7347" t="s">
        <v>19</v>
      </c>
      <c r="C7347" t="s">
        <v>23490</v>
      </c>
      <c r="D7347" t="str">
        <f>HYPERLINK("https://rhld.insurance.arkansas.gov/NPILookup?Npi=1801448592","1801448592")</f>
        <v>1801448592</v>
      </c>
      <c r="E7347" t="s">
        <v>15580</v>
      </c>
    </row>
    <row r="7348" spans="1:5" x14ac:dyDescent="0.25">
      <c r="A7348" t="s">
        <v>1</v>
      </c>
      <c r="B7348" t="s">
        <v>19</v>
      </c>
      <c r="C7348" t="s">
        <v>23490</v>
      </c>
      <c r="D7348" t="str">
        <f>HYPERLINK("https://rhld.insurance.arkansas.gov/NPILookup?Npi=1801449384","1801449384")</f>
        <v>1801449384</v>
      </c>
      <c r="E7348" t="s">
        <v>20041</v>
      </c>
    </row>
    <row r="7349" spans="1:5" x14ac:dyDescent="0.25">
      <c r="A7349" t="s">
        <v>1</v>
      </c>
      <c r="B7349" t="s">
        <v>19</v>
      </c>
      <c r="C7349" t="s">
        <v>23490</v>
      </c>
      <c r="D7349" t="str">
        <f>HYPERLINK("https://rhld.insurance.arkansas.gov/NPILookup?Npi=1801483037","1801483037")</f>
        <v>1801483037</v>
      </c>
      <c r="E7349" t="s">
        <v>18868</v>
      </c>
    </row>
    <row r="7350" spans="1:5" x14ac:dyDescent="0.25">
      <c r="A7350" t="s">
        <v>1</v>
      </c>
      <c r="B7350" t="s">
        <v>19</v>
      </c>
      <c r="C7350" t="s">
        <v>8427</v>
      </c>
      <c r="D7350" t="str">
        <f>HYPERLINK("https://rhld.insurance.arkansas.gov/NPILookup?Npi=1801483946","1801483946")</f>
        <v>1801483946</v>
      </c>
      <c r="E7350" t="s">
        <v>22988</v>
      </c>
    </row>
    <row r="7351" spans="1:5" x14ac:dyDescent="0.25">
      <c r="A7351" t="s">
        <v>1</v>
      </c>
      <c r="B7351" t="s">
        <v>19</v>
      </c>
      <c r="C7351" t="s">
        <v>23490</v>
      </c>
      <c r="D7351" t="str">
        <f>HYPERLINK("https://rhld.insurance.arkansas.gov/NPILookup?Npi=1801526751","1801526751")</f>
        <v>1801526751</v>
      </c>
      <c r="E7351" t="s">
        <v>21040</v>
      </c>
    </row>
    <row r="7352" spans="1:5" x14ac:dyDescent="0.25">
      <c r="A7352" t="s">
        <v>1</v>
      </c>
      <c r="B7352" t="s">
        <v>19</v>
      </c>
      <c r="C7352" t="s">
        <v>23490</v>
      </c>
      <c r="D7352" t="str">
        <f>HYPERLINK("https://rhld.insurance.arkansas.gov/NPILookup?Npi=1801540646","1801540646")</f>
        <v>1801540646</v>
      </c>
      <c r="E7352" t="s">
        <v>20042</v>
      </c>
    </row>
    <row r="7353" spans="1:5" x14ac:dyDescent="0.25">
      <c r="A7353" t="s">
        <v>1</v>
      </c>
      <c r="B7353" t="s">
        <v>19</v>
      </c>
      <c r="C7353" t="s">
        <v>23490</v>
      </c>
      <c r="D7353" t="str">
        <f>HYPERLINK("https://rhld.insurance.arkansas.gov/NPILookup?Npi=1801824651","1801824651")</f>
        <v>1801824651</v>
      </c>
      <c r="E7353" t="s">
        <v>2815</v>
      </c>
    </row>
    <row r="7354" spans="1:5" x14ac:dyDescent="0.25">
      <c r="A7354" t="s">
        <v>1</v>
      </c>
      <c r="B7354" t="s">
        <v>19</v>
      </c>
      <c r="C7354" t="s">
        <v>23490</v>
      </c>
      <c r="D7354" t="str">
        <f>HYPERLINK("https://rhld.insurance.arkansas.gov/NPILookup?Npi=1801825211","1801825211")</f>
        <v>1801825211</v>
      </c>
      <c r="E7354" t="s">
        <v>2816</v>
      </c>
    </row>
    <row r="7355" spans="1:5" x14ac:dyDescent="0.25">
      <c r="A7355" t="s">
        <v>1</v>
      </c>
      <c r="B7355" t="s">
        <v>19</v>
      </c>
      <c r="C7355" t="s">
        <v>23490</v>
      </c>
      <c r="D7355" t="str">
        <f>HYPERLINK("https://rhld.insurance.arkansas.gov/NPILookup?Npi=1801826375","1801826375")</f>
        <v>1801826375</v>
      </c>
      <c r="E7355" t="s">
        <v>2817</v>
      </c>
    </row>
    <row r="7356" spans="1:5" x14ac:dyDescent="0.25">
      <c r="A7356" t="s">
        <v>1</v>
      </c>
      <c r="B7356" t="s">
        <v>19</v>
      </c>
      <c r="C7356" t="s">
        <v>23490</v>
      </c>
      <c r="D7356" t="str">
        <f>HYPERLINK("https://rhld.insurance.arkansas.gov/NPILookup?Npi=1801826961","1801826961")</f>
        <v>1801826961</v>
      </c>
      <c r="E7356" t="s">
        <v>2818</v>
      </c>
    </row>
    <row r="7357" spans="1:5" x14ac:dyDescent="0.25">
      <c r="A7357" t="s">
        <v>1</v>
      </c>
      <c r="B7357" t="s">
        <v>19</v>
      </c>
      <c r="C7357" t="s">
        <v>23490</v>
      </c>
      <c r="D7357" t="str">
        <f>HYPERLINK("https://rhld.insurance.arkansas.gov/NPILookup?Npi=1801835038","1801835038")</f>
        <v>1801835038</v>
      </c>
      <c r="E7357" t="s">
        <v>2819</v>
      </c>
    </row>
    <row r="7358" spans="1:5" x14ac:dyDescent="0.25">
      <c r="A7358" t="s">
        <v>1</v>
      </c>
      <c r="B7358" t="s">
        <v>19</v>
      </c>
      <c r="C7358" t="s">
        <v>23490</v>
      </c>
      <c r="D7358" t="str">
        <f>HYPERLINK("https://rhld.insurance.arkansas.gov/NPILookup?Npi=1801835343","1801835343")</f>
        <v>1801835343</v>
      </c>
      <c r="E7358" t="s">
        <v>15581</v>
      </c>
    </row>
    <row r="7359" spans="1:5" x14ac:dyDescent="0.25">
      <c r="A7359" t="s">
        <v>1</v>
      </c>
      <c r="B7359" t="s">
        <v>19</v>
      </c>
      <c r="C7359" t="s">
        <v>23490</v>
      </c>
      <c r="D7359" t="str">
        <f>HYPERLINK("https://rhld.insurance.arkansas.gov/NPILookup?Npi=1801840202","1801840202")</f>
        <v>1801840202</v>
      </c>
      <c r="E7359" t="s">
        <v>20043</v>
      </c>
    </row>
    <row r="7360" spans="1:5" x14ac:dyDescent="0.25">
      <c r="A7360" t="s">
        <v>1</v>
      </c>
      <c r="B7360" t="s">
        <v>19</v>
      </c>
      <c r="C7360" t="s">
        <v>23490</v>
      </c>
      <c r="D7360" t="str">
        <f>HYPERLINK("https://rhld.insurance.arkansas.gov/NPILookup?Npi=1801858188","1801858188")</f>
        <v>1801858188</v>
      </c>
      <c r="E7360" t="s">
        <v>2820</v>
      </c>
    </row>
    <row r="7361" spans="1:5" x14ac:dyDescent="0.25">
      <c r="A7361" t="s">
        <v>1</v>
      </c>
      <c r="B7361" t="s">
        <v>19</v>
      </c>
      <c r="C7361" t="s">
        <v>23490</v>
      </c>
      <c r="D7361" t="str">
        <f>HYPERLINK("https://rhld.insurance.arkansas.gov/NPILookup?Npi=1801868666","1801868666")</f>
        <v>1801868666</v>
      </c>
      <c r="E7361" t="s">
        <v>8359</v>
      </c>
    </row>
    <row r="7362" spans="1:5" x14ac:dyDescent="0.25">
      <c r="A7362" t="s">
        <v>1</v>
      </c>
      <c r="B7362" t="s">
        <v>19</v>
      </c>
      <c r="C7362" t="s">
        <v>23490</v>
      </c>
      <c r="D7362" t="str">
        <f>HYPERLINK("https://rhld.insurance.arkansas.gov/NPILookup?Npi=1801869185","1801869185")</f>
        <v>1801869185</v>
      </c>
      <c r="E7362" t="s">
        <v>2821</v>
      </c>
    </row>
    <row r="7363" spans="1:5" x14ac:dyDescent="0.25">
      <c r="A7363" t="s">
        <v>1</v>
      </c>
      <c r="B7363" t="s">
        <v>19</v>
      </c>
      <c r="C7363" t="s">
        <v>23490</v>
      </c>
      <c r="D7363" t="str">
        <f>HYPERLINK("https://rhld.insurance.arkansas.gov/NPILookup?Npi=1801880059","1801880059")</f>
        <v>1801880059</v>
      </c>
      <c r="E7363" t="s">
        <v>2822</v>
      </c>
    </row>
    <row r="7364" spans="1:5" x14ac:dyDescent="0.25">
      <c r="A7364" t="s">
        <v>1</v>
      </c>
      <c r="B7364" t="s">
        <v>19</v>
      </c>
      <c r="C7364" t="s">
        <v>23490</v>
      </c>
      <c r="D7364" t="str">
        <f>HYPERLINK("https://rhld.insurance.arkansas.gov/NPILookup?Npi=1801889258","1801889258")</f>
        <v>1801889258</v>
      </c>
      <c r="E7364" t="s">
        <v>2823</v>
      </c>
    </row>
    <row r="7365" spans="1:5" x14ac:dyDescent="0.25">
      <c r="A7365" t="s">
        <v>1</v>
      </c>
      <c r="B7365" t="s">
        <v>19</v>
      </c>
      <c r="C7365" t="s">
        <v>23490</v>
      </c>
      <c r="D7365" t="str">
        <f>HYPERLINK("https://rhld.insurance.arkansas.gov/NPILookup?Npi=1801891387","1801891387")</f>
        <v>1801891387</v>
      </c>
      <c r="E7365" t="s">
        <v>18869</v>
      </c>
    </row>
    <row r="7366" spans="1:5" x14ac:dyDescent="0.25">
      <c r="A7366" t="s">
        <v>1</v>
      </c>
      <c r="B7366" t="s">
        <v>19</v>
      </c>
      <c r="C7366" t="s">
        <v>23490</v>
      </c>
      <c r="D7366" t="str">
        <f>HYPERLINK("https://rhld.insurance.arkansas.gov/NPILookup?Npi=1801895206","1801895206")</f>
        <v>1801895206</v>
      </c>
      <c r="E7366" t="s">
        <v>2824</v>
      </c>
    </row>
    <row r="7367" spans="1:5" x14ac:dyDescent="0.25">
      <c r="A7367" t="s">
        <v>1</v>
      </c>
      <c r="B7367" t="s">
        <v>19</v>
      </c>
      <c r="C7367" t="s">
        <v>23490</v>
      </c>
      <c r="D7367" t="str">
        <f>HYPERLINK("https://rhld.insurance.arkansas.gov/NPILookup?Npi=1801897053","1801897053")</f>
        <v>1801897053</v>
      </c>
      <c r="E7367" t="s">
        <v>2825</v>
      </c>
    </row>
    <row r="7368" spans="1:5" x14ac:dyDescent="0.25">
      <c r="A7368" t="s">
        <v>1</v>
      </c>
      <c r="B7368" t="s">
        <v>19</v>
      </c>
      <c r="C7368" t="s">
        <v>23490</v>
      </c>
      <c r="D7368" t="str">
        <f>HYPERLINK("https://rhld.insurance.arkansas.gov/NPILookup?Npi=1801902309","1801902309")</f>
        <v>1801902309</v>
      </c>
      <c r="E7368" t="s">
        <v>15582</v>
      </c>
    </row>
    <row r="7369" spans="1:5" x14ac:dyDescent="0.25">
      <c r="A7369" t="s">
        <v>1</v>
      </c>
      <c r="B7369" t="s">
        <v>19</v>
      </c>
      <c r="C7369" t="s">
        <v>23490</v>
      </c>
      <c r="D7369" t="str">
        <f>HYPERLINK("https://rhld.insurance.arkansas.gov/NPILookup?Npi=1801908108","1801908108")</f>
        <v>1801908108</v>
      </c>
      <c r="E7369" t="s">
        <v>2827</v>
      </c>
    </row>
    <row r="7370" spans="1:5" x14ac:dyDescent="0.25">
      <c r="A7370" t="s">
        <v>1</v>
      </c>
      <c r="B7370" t="s">
        <v>19</v>
      </c>
      <c r="C7370" t="s">
        <v>23490</v>
      </c>
      <c r="D7370" t="str">
        <f>HYPERLINK("https://rhld.insurance.arkansas.gov/NPILookup?Npi=1801939558","1801939558")</f>
        <v>1801939558</v>
      </c>
      <c r="E7370" t="s">
        <v>2829</v>
      </c>
    </row>
    <row r="7371" spans="1:5" x14ac:dyDescent="0.25">
      <c r="A7371" t="s">
        <v>1</v>
      </c>
      <c r="B7371" t="s">
        <v>19</v>
      </c>
      <c r="C7371" t="s">
        <v>23490</v>
      </c>
      <c r="D7371" t="str">
        <f>HYPERLINK("https://rhld.insurance.arkansas.gov/NPILookup?Npi=1801947759","1801947759")</f>
        <v>1801947759</v>
      </c>
      <c r="E7371" t="s">
        <v>2830</v>
      </c>
    </row>
    <row r="7372" spans="1:5" x14ac:dyDescent="0.25">
      <c r="A7372" t="s">
        <v>1</v>
      </c>
      <c r="B7372" t="s">
        <v>19</v>
      </c>
      <c r="C7372" t="s">
        <v>23490</v>
      </c>
      <c r="D7372" t="str">
        <f>HYPERLINK("https://rhld.insurance.arkansas.gov/NPILookup?Npi=1801958145","1801958145")</f>
        <v>1801958145</v>
      </c>
      <c r="E7372" t="s">
        <v>2831</v>
      </c>
    </row>
    <row r="7373" spans="1:5" x14ac:dyDescent="0.25">
      <c r="A7373" t="s">
        <v>1</v>
      </c>
      <c r="B7373" t="s">
        <v>19</v>
      </c>
      <c r="C7373" t="s">
        <v>23490</v>
      </c>
      <c r="D7373" t="str">
        <f>HYPERLINK("https://rhld.insurance.arkansas.gov/NPILookup?Npi=1801996392","1801996392")</f>
        <v>1801996392</v>
      </c>
      <c r="E7373" t="s">
        <v>2832</v>
      </c>
    </row>
    <row r="7374" spans="1:5" x14ac:dyDescent="0.25">
      <c r="A7374" t="s">
        <v>1</v>
      </c>
      <c r="B7374" t="s">
        <v>19</v>
      </c>
      <c r="C7374" t="s">
        <v>23490</v>
      </c>
      <c r="D7374" t="str">
        <f>HYPERLINK("https://rhld.insurance.arkansas.gov/NPILookup?Npi=1811001282","1811001282")</f>
        <v>1811001282</v>
      </c>
      <c r="E7374" t="s">
        <v>2833</v>
      </c>
    </row>
    <row r="7375" spans="1:5" x14ac:dyDescent="0.25">
      <c r="A7375" t="s">
        <v>1</v>
      </c>
      <c r="B7375" t="s">
        <v>19</v>
      </c>
      <c r="C7375" t="s">
        <v>23490</v>
      </c>
      <c r="D7375" t="str">
        <f>HYPERLINK("https://rhld.insurance.arkansas.gov/NPILookup?Npi=1811006760","1811006760")</f>
        <v>1811006760</v>
      </c>
      <c r="E7375" t="s">
        <v>2834</v>
      </c>
    </row>
    <row r="7376" spans="1:5" x14ac:dyDescent="0.25">
      <c r="A7376" t="s">
        <v>1</v>
      </c>
      <c r="B7376" t="s">
        <v>19</v>
      </c>
      <c r="C7376" t="s">
        <v>23490</v>
      </c>
      <c r="D7376" t="str">
        <f>HYPERLINK("https://rhld.insurance.arkansas.gov/NPILookup?Npi=1811019854","1811019854")</f>
        <v>1811019854</v>
      </c>
      <c r="E7376" t="s">
        <v>2835</v>
      </c>
    </row>
    <row r="7377" spans="1:5" x14ac:dyDescent="0.25">
      <c r="A7377" t="s">
        <v>1</v>
      </c>
      <c r="B7377" t="s">
        <v>19</v>
      </c>
      <c r="C7377" t="s">
        <v>23490</v>
      </c>
      <c r="D7377" t="str">
        <f>HYPERLINK("https://rhld.insurance.arkansas.gov/NPILookup?Npi=1811040553","1811040553")</f>
        <v>1811040553</v>
      </c>
      <c r="E7377" t="s">
        <v>2836</v>
      </c>
    </row>
    <row r="7378" spans="1:5" x14ac:dyDescent="0.25">
      <c r="A7378" t="s">
        <v>1</v>
      </c>
      <c r="B7378" t="s">
        <v>19</v>
      </c>
      <c r="C7378" t="s">
        <v>23490</v>
      </c>
      <c r="D7378" t="str">
        <f>HYPERLINK("https://rhld.insurance.arkansas.gov/NPILookup?Npi=1811040884","1811040884")</f>
        <v>1811040884</v>
      </c>
      <c r="E7378" t="s">
        <v>2837</v>
      </c>
    </row>
    <row r="7379" spans="1:5" x14ac:dyDescent="0.25">
      <c r="A7379" t="s">
        <v>1</v>
      </c>
      <c r="B7379" t="s">
        <v>19</v>
      </c>
      <c r="C7379" t="s">
        <v>23490</v>
      </c>
      <c r="D7379" t="str">
        <f>HYPERLINK("https://rhld.insurance.arkansas.gov/NPILookup?Npi=1811059363","1811059363")</f>
        <v>1811059363</v>
      </c>
      <c r="E7379" t="s">
        <v>2838</v>
      </c>
    </row>
    <row r="7380" spans="1:5" x14ac:dyDescent="0.25">
      <c r="A7380" t="s">
        <v>1</v>
      </c>
      <c r="B7380" t="s">
        <v>19</v>
      </c>
      <c r="C7380" t="s">
        <v>23490</v>
      </c>
      <c r="D7380" t="str">
        <f>HYPERLINK("https://rhld.insurance.arkansas.gov/NPILookup?Npi=1811074461","1811074461")</f>
        <v>1811074461</v>
      </c>
      <c r="E7380" t="s">
        <v>15583</v>
      </c>
    </row>
    <row r="7381" spans="1:5" x14ac:dyDescent="0.25">
      <c r="A7381" t="s">
        <v>1</v>
      </c>
      <c r="B7381" t="s">
        <v>19</v>
      </c>
      <c r="C7381" t="s">
        <v>23490</v>
      </c>
      <c r="D7381" t="str">
        <f>HYPERLINK("https://rhld.insurance.arkansas.gov/NPILookup?Npi=1811084296","1811084296")</f>
        <v>1811084296</v>
      </c>
      <c r="E7381" t="s">
        <v>18128</v>
      </c>
    </row>
    <row r="7382" spans="1:5" x14ac:dyDescent="0.25">
      <c r="A7382" t="s">
        <v>1</v>
      </c>
      <c r="B7382" t="s">
        <v>19</v>
      </c>
      <c r="C7382" t="s">
        <v>23490</v>
      </c>
      <c r="D7382" t="str">
        <f>HYPERLINK("https://rhld.insurance.arkansas.gov/NPILookup?Npi=1811090848","1811090848")</f>
        <v>1811090848</v>
      </c>
      <c r="E7382" t="s">
        <v>8311</v>
      </c>
    </row>
    <row r="7383" spans="1:5" x14ac:dyDescent="0.25">
      <c r="A7383" t="s">
        <v>1</v>
      </c>
      <c r="B7383" t="s">
        <v>19</v>
      </c>
      <c r="C7383" t="s">
        <v>23490</v>
      </c>
      <c r="D7383" t="str">
        <f>HYPERLINK("https://rhld.insurance.arkansas.gov/NPILookup?Npi=1811098403","1811098403")</f>
        <v>1811098403</v>
      </c>
      <c r="E7383" t="s">
        <v>2840</v>
      </c>
    </row>
    <row r="7384" spans="1:5" x14ac:dyDescent="0.25">
      <c r="A7384" t="s">
        <v>1</v>
      </c>
      <c r="B7384" t="s">
        <v>19</v>
      </c>
      <c r="C7384" t="s">
        <v>23490</v>
      </c>
      <c r="D7384" t="str">
        <f>HYPERLINK("https://rhld.insurance.arkansas.gov/NPILookup?Npi=1811130867","1811130867")</f>
        <v>1811130867</v>
      </c>
      <c r="E7384" t="s">
        <v>2841</v>
      </c>
    </row>
    <row r="7385" spans="1:5" x14ac:dyDescent="0.25">
      <c r="A7385" t="s">
        <v>1</v>
      </c>
      <c r="B7385" t="s">
        <v>19</v>
      </c>
      <c r="C7385" t="s">
        <v>23490</v>
      </c>
      <c r="D7385" t="str">
        <f>HYPERLINK("https://rhld.insurance.arkansas.gov/NPILookup?Npi=1811153729","1811153729")</f>
        <v>1811153729</v>
      </c>
      <c r="E7385" t="s">
        <v>2842</v>
      </c>
    </row>
    <row r="7386" spans="1:5" x14ac:dyDescent="0.25">
      <c r="A7386" t="s">
        <v>1</v>
      </c>
      <c r="B7386" t="s">
        <v>19</v>
      </c>
      <c r="C7386" t="s">
        <v>23490</v>
      </c>
      <c r="D7386" t="str">
        <f>HYPERLINK("https://rhld.insurance.arkansas.gov/NPILookup?Npi=1811168537","1811168537")</f>
        <v>1811168537</v>
      </c>
      <c r="E7386" t="s">
        <v>17032</v>
      </c>
    </row>
    <row r="7387" spans="1:5" x14ac:dyDescent="0.25">
      <c r="A7387" t="s">
        <v>1</v>
      </c>
      <c r="B7387" t="s">
        <v>19</v>
      </c>
      <c r="C7387" t="s">
        <v>23490</v>
      </c>
      <c r="D7387" t="str">
        <f>HYPERLINK("https://rhld.insurance.arkansas.gov/NPILookup?Npi=1811198039","1811198039")</f>
        <v>1811198039</v>
      </c>
      <c r="E7387" t="s">
        <v>20044</v>
      </c>
    </row>
    <row r="7388" spans="1:5" x14ac:dyDescent="0.25">
      <c r="A7388" t="s">
        <v>1</v>
      </c>
      <c r="B7388" t="s">
        <v>19</v>
      </c>
      <c r="C7388" t="s">
        <v>23490</v>
      </c>
      <c r="D7388" t="str">
        <f>HYPERLINK("https://rhld.insurance.arkansas.gov/NPILookup?Npi=1811200959","1811200959")</f>
        <v>1811200959</v>
      </c>
      <c r="E7388" t="s">
        <v>2843</v>
      </c>
    </row>
    <row r="7389" spans="1:5" x14ac:dyDescent="0.25">
      <c r="A7389" t="s">
        <v>1</v>
      </c>
      <c r="B7389" t="s">
        <v>19</v>
      </c>
      <c r="C7389" t="s">
        <v>23490</v>
      </c>
      <c r="D7389" t="str">
        <f>HYPERLINK("https://rhld.insurance.arkansas.gov/NPILookup?Npi=1811214653","1811214653")</f>
        <v>1811214653</v>
      </c>
      <c r="E7389" t="s">
        <v>13721</v>
      </c>
    </row>
    <row r="7390" spans="1:5" x14ac:dyDescent="0.25">
      <c r="A7390" t="s">
        <v>1</v>
      </c>
      <c r="B7390" t="s">
        <v>19</v>
      </c>
      <c r="C7390" t="s">
        <v>23490</v>
      </c>
      <c r="D7390" t="str">
        <f>HYPERLINK("https://rhld.insurance.arkansas.gov/NPILookup?Npi=1811221401","1811221401")</f>
        <v>1811221401</v>
      </c>
      <c r="E7390" t="s">
        <v>8866</v>
      </c>
    </row>
    <row r="7391" spans="1:5" x14ac:dyDescent="0.25">
      <c r="A7391" t="s">
        <v>1</v>
      </c>
      <c r="B7391" t="s">
        <v>19</v>
      </c>
      <c r="C7391" t="s">
        <v>23490</v>
      </c>
      <c r="D7391" t="str">
        <f>HYPERLINK("https://rhld.insurance.arkansas.gov/NPILookup?Npi=1811230691","1811230691")</f>
        <v>1811230691</v>
      </c>
      <c r="E7391" t="s">
        <v>2845</v>
      </c>
    </row>
    <row r="7392" spans="1:5" x14ac:dyDescent="0.25">
      <c r="A7392" t="s">
        <v>1</v>
      </c>
      <c r="B7392" t="s">
        <v>19</v>
      </c>
      <c r="C7392" t="s">
        <v>23490</v>
      </c>
      <c r="D7392" t="str">
        <f>HYPERLINK("https://rhld.insurance.arkansas.gov/NPILookup?Npi=1811234594","1811234594")</f>
        <v>1811234594</v>
      </c>
      <c r="E7392" t="s">
        <v>11288</v>
      </c>
    </row>
    <row r="7393" spans="1:5" x14ac:dyDescent="0.25">
      <c r="A7393" t="s">
        <v>1</v>
      </c>
      <c r="B7393" t="s">
        <v>19</v>
      </c>
      <c r="C7393" t="s">
        <v>23490</v>
      </c>
      <c r="D7393" t="str">
        <f>HYPERLINK("https://rhld.insurance.arkansas.gov/NPILookup?Npi=1811236334","1811236334")</f>
        <v>1811236334</v>
      </c>
      <c r="E7393" t="s">
        <v>13722</v>
      </c>
    </row>
    <row r="7394" spans="1:5" x14ac:dyDescent="0.25">
      <c r="A7394" t="s">
        <v>1</v>
      </c>
      <c r="B7394" t="s">
        <v>19</v>
      </c>
      <c r="C7394" t="s">
        <v>23490</v>
      </c>
      <c r="D7394" t="str">
        <f>HYPERLINK("https://rhld.insurance.arkansas.gov/NPILookup?Npi=1811236789","1811236789")</f>
        <v>1811236789</v>
      </c>
      <c r="E7394" t="s">
        <v>2846</v>
      </c>
    </row>
    <row r="7395" spans="1:5" x14ac:dyDescent="0.25">
      <c r="A7395" t="s">
        <v>1</v>
      </c>
      <c r="B7395" t="s">
        <v>19</v>
      </c>
      <c r="C7395" t="s">
        <v>23490</v>
      </c>
      <c r="D7395" t="str">
        <f>HYPERLINK("https://rhld.insurance.arkansas.gov/NPILookup?Npi=1811246127","1811246127")</f>
        <v>1811246127</v>
      </c>
      <c r="E7395" t="s">
        <v>2847</v>
      </c>
    </row>
    <row r="7396" spans="1:5" x14ac:dyDescent="0.25">
      <c r="A7396" t="s">
        <v>1</v>
      </c>
      <c r="B7396" t="s">
        <v>19</v>
      </c>
      <c r="C7396" t="s">
        <v>23490</v>
      </c>
      <c r="D7396" t="str">
        <f>HYPERLINK("https://rhld.insurance.arkansas.gov/NPILookup?Npi=1811259989","1811259989")</f>
        <v>1811259989</v>
      </c>
      <c r="E7396" t="s">
        <v>2848</v>
      </c>
    </row>
    <row r="7397" spans="1:5" x14ac:dyDescent="0.25">
      <c r="A7397" t="s">
        <v>1</v>
      </c>
      <c r="B7397" t="s">
        <v>19</v>
      </c>
      <c r="C7397" t="s">
        <v>23490</v>
      </c>
      <c r="D7397" t="str">
        <f>HYPERLINK("https://rhld.insurance.arkansas.gov/NPILookup?Npi=1811263353","1811263353")</f>
        <v>1811263353</v>
      </c>
      <c r="E7397" t="s">
        <v>13723</v>
      </c>
    </row>
    <row r="7398" spans="1:5" x14ac:dyDescent="0.25">
      <c r="A7398" t="s">
        <v>1</v>
      </c>
      <c r="B7398" t="s">
        <v>19</v>
      </c>
      <c r="C7398" t="s">
        <v>23490</v>
      </c>
      <c r="D7398" t="str">
        <f>HYPERLINK("https://rhld.insurance.arkansas.gov/NPILookup?Npi=1811283906","1811283906")</f>
        <v>1811283906</v>
      </c>
      <c r="E7398" t="s">
        <v>2849</v>
      </c>
    </row>
    <row r="7399" spans="1:5" x14ac:dyDescent="0.25">
      <c r="A7399" t="s">
        <v>1</v>
      </c>
      <c r="B7399" t="s">
        <v>19</v>
      </c>
      <c r="C7399" t="s">
        <v>23490</v>
      </c>
      <c r="D7399" t="str">
        <f>HYPERLINK("https://rhld.insurance.arkansas.gov/NPILookup?Npi=1811286750","1811286750")</f>
        <v>1811286750</v>
      </c>
      <c r="E7399" t="s">
        <v>2850</v>
      </c>
    </row>
    <row r="7400" spans="1:5" x14ac:dyDescent="0.25">
      <c r="A7400" t="s">
        <v>1</v>
      </c>
      <c r="B7400" t="s">
        <v>19</v>
      </c>
      <c r="C7400" t="s">
        <v>23490</v>
      </c>
      <c r="D7400" t="str">
        <f>HYPERLINK("https://rhld.insurance.arkansas.gov/NPILookup?Npi=1811293756","1811293756")</f>
        <v>1811293756</v>
      </c>
      <c r="E7400" t="s">
        <v>8867</v>
      </c>
    </row>
    <row r="7401" spans="1:5" x14ac:dyDescent="0.25">
      <c r="A7401" t="s">
        <v>1</v>
      </c>
      <c r="B7401" t="s">
        <v>19</v>
      </c>
      <c r="C7401" t="s">
        <v>23490</v>
      </c>
      <c r="D7401" t="str">
        <f>HYPERLINK("https://rhld.insurance.arkansas.gov/NPILookup?Npi=1811312960","1811312960")</f>
        <v>1811312960</v>
      </c>
      <c r="E7401" t="s">
        <v>8868</v>
      </c>
    </row>
    <row r="7402" spans="1:5" x14ac:dyDescent="0.25">
      <c r="A7402" t="s">
        <v>1</v>
      </c>
      <c r="B7402" t="s">
        <v>19</v>
      </c>
      <c r="C7402" t="s">
        <v>23490</v>
      </c>
      <c r="D7402" t="str">
        <f>HYPERLINK("https://rhld.insurance.arkansas.gov/NPILookup?Npi=1811313554","1811313554")</f>
        <v>1811313554</v>
      </c>
      <c r="E7402" t="s">
        <v>12913</v>
      </c>
    </row>
    <row r="7403" spans="1:5" x14ac:dyDescent="0.25">
      <c r="A7403" t="s">
        <v>1</v>
      </c>
      <c r="B7403" t="s">
        <v>19</v>
      </c>
      <c r="C7403" t="s">
        <v>23490</v>
      </c>
      <c r="D7403" t="str">
        <f>HYPERLINK("https://rhld.insurance.arkansas.gov/NPILookup?Npi=1811319783","1811319783")</f>
        <v>1811319783</v>
      </c>
      <c r="E7403" t="s">
        <v>2851</v>
      </c>
    </row>
    <row r="7404" spans="1:5" x14ac:dyDescent="0.25">
      <c r="A7404" t="s">
        <v>1</v>
      </c>
      <c r="B7404" t="s">
        <v>19</v>
      </c>
      <c r="C7404" t="s">
        <v>23490</v>
      </c>
      <c r="D7404" t="str">
        <f>HYPERLINK("https://rhld.insurance.arkansas.gov/NPILookup?Npi=1811326861","1811326861")</f>
        <v>1811326861</v>
      </c>
      <c r="E7404" t="s">
        <v>2852</v>
      </c>
    </row>
    <row r="7405" spans="1:5" x14ac:dyDescent="0.25">
      <c r="A7405" t="s">
        <v>1</v>
      </c>
      <c r="B7405" t="s">
        <v>19</v>
      </c>
      <c r="C7405" t="s">
        <v>23490</v>
      </c>
      <c r="D7405" t="str">
        <f>HYPERLINK("https://rhld.insurance.arkansas.gov/NPILookup?Npi=1811327521","1811327521")</f>
        <v>1811327521</v>
      </c>
      <c r="E7405" t="s">
        <v>21654</v>
      </c>
    </row>
    <row r="7406" spans="1:5" x14ac:dyDescent="0.25">
      <c r="A7406" t="s">
        <v>1</v>
      </c>
      <c r="B7406" t="s">
        <v>19</v>
      </c>
      <c r="C7406" t="s">
        <v>23490</v>
      </c>
      <c r="D7406" t="str">
        <f>HYPERLINK("https://rhld.insurance.arkansas.gov/NPILookup?Npi=1811331754","1811331754")</f>
        <v>1811331754</v>
      </c>
      <c r="E7406" t="s">
        <v>8870</v>
      </c>
    </row>
    <row r="7407" spans="1:5" x14ac:dyDescent="0.25">
      <c r="A7407" t="s">
        <v>1</v>
      </c>
      <c r="B7407" t="s">
        <v>19</v>
      </c>
      <c r="C7407" t="s">
        <v>23490</v>
      </c>
      <c r="D7407" t="str">
        <f>HYPERLINK("https://rhld.insurance.arkansas.gov/NPILookup?Npi=1811336423","1811336423")</f>
        <v>1811336423</v>
      </c>
      <c r="E7407" t="s">
        <v>17480</v>
      </c>
    </row>
    <row r="7408" spans="1:5" x14ac:dyDescent="0.25">
      <c r="A7408" t="s">
        <v>1</v>
      </c>
      <c r="B7408" t="s">
        <v>19</v>
      </c>
      <c r="C7408" t="s">
        <v>23490</v>
      </c>
      <c r="D7408" t="str">
        <f>HYPERLINK("https://rhld.insurance.arkansas.gov/NPILookup?Npi=1811339054","1811339054")</f>
        <v>1811339054</v>
      </c>
      <c r="E7408" t="s">
        <v>11289</v>
      </c>
    </row>
    <row r="7409" spans="1:5" x14ac:dyDescent="0.25">
      <c r="A7409" t="s">
        <v>1</v>
      </c>
      <c r="B7409" t="s">
        <v>19</v>
      </c>
      <c r="C7409" t="s">
        <v>23490</v>
      </c>
      <c r="D7409" t="str">
        <f>HYPERLINK("https://rhld.insurance.arkansas.gov/NPILookup?Npi=1811348519","1811348519")</f>
        <v>1811348519</v>
      </c>
      <c r="E7409" t="s">
        <v>11290</v>
      </c>
    </row>
    <row r="7410" spans="1:5" x14ac:dyDescent="0.25">
      <c r="A7410" t="s">
        <v>1</v>
      </c>
      <c r="B7410" t="s">
        <v>19</v>
      </c>
      <c r="C7410" t="s">
        <v>23490</v>
      </c>
      <c r="D7410" t="str">
        <f>HYPERLINK("https://rhld.insurance.arkansas.gov/NPILookup?Npi=1811356645","1811356645")</f>
        <v>1811356645</v>
      </c>
      <c r="E7410" t="s">
        <v>8871</v>
      </c>
    </row>
    <row r="7411" spans="1:5" x14ac:dyDescent="0.25">
      <c r="A7411" t="s">
        <v>1</v>
      </c>
      <c r="B7411" t="s">
        <v>19</v>
      </c>
      <c r="C7411" t="s">
        <v>23490</v>
      </c>
      <c r="D7411" t="str">
        <f>HYPERLINK("https://rhld.insurance.arkansas.gov/NPILookup?Npi=1811356751","1811356751")</f>
        <v>1811356751</v>
      </c>
      <c r="E7411" t="s">
        <v>13724</v>
      </c>
    </row>
    <row r="7412" spans="1:5" x14ac:dyDescent="0.25">
      <c r="A7412" t="s">
        <v>1</v>
      </c>
      <c r="B7412" t="s">
        <v>19</v>
      </c>
      <c r="C7412" t="s">
        <v>23490</v>
      </c>
      <c r="D7412" t="str">
        <f>HYPERLINK("https://rhld.insurance.arkansas.gov/NPILookup?Npi=1811363070","1811363070")</f>
        <v>1811363070</v>
      </c>
      <c r="E7412" t="s">
        <v>2853</v>
      </c>
    </row>
    <row r="7413" spans="1:5" x14ac:dyDescent="0.25">
      <c r="A7413" t="s">
        <v>1</v>
      </c>
      <c r="B7413" t="s">
        <v>19</v>
      </c>
      <c r="C7413" t="s">
        <v>23490</v>
      </c>
      <c r="D7413" t="str">
        <f>HYPERLINK("https://rhld.insurance.arkansas.gov/NPILookup?Npi=1811364995","1811364995")</f>
        <v>1811364995</v>
      </c>
      <c r="E7413" t="s">
        <v>11291</v>
      </c>
    </row>
    <row r="7414" spans="1:5" x14ac:dyDescent="0.25">
      <c r="A7414" t="s">
        <v>1</v>
      </c>
      <c r="B7414" t="s">
        <v>19</v>
      </c>
      <c r="C7414" t="s">
        <v>23490</v>
      </c>
      <c r="D7414" t="str">
        <f>HYPERLINK("https://rhld.insurance.arkansas.gov/NPILookup?Npi=1811372204","1811372204")</f>
        <v>1811372204</v>
      </c>
      <c r="E7414" t="s">
        <v>8872</v>
      </c>
    </row>
    <row r="7415" spans="1:5" x14ac:dyDescent="0.25">
      <c r="A7415" t="s">
        <v>1</v>
      </c>
      <c r="B7415" t="s">
        <v>19</v>
      </c>
      <c r="C7415" t="s">
        <v>23490</v>
      </c>
      <c r="D7415" t="str">
        <f>HYPERLINK("https://rhld.insurance.arkansas.gov/NPILookup?Npi=1811375579","1811375579")</f>
        <v>1811375579</v>
      </c>
      <c r="E7415" t="s">
        <v>18129</v>
      </c>
    </row>
    <row r="7416" spans="1:5" x14ac:dyDescent="0.25">
      <c r="A7416" t="s">
        <v>1</v>
      </c>
      <c r="B7416" t="s">
        <v>19</v>
      </c>
      <c r="C7416" t="s">
        <v>23490</v>
      </c>
      <c r="D7416" t="str">
        <f>HYPERLINK("https://rhld.insurance.arkansas.gov/NPILookup?Npi=1811385206","1811385206")</f>
        <v>1811385206</v>
      </c>
      <c r="E7416" t="s">
        <v>11292</v>
      </c>
    </row>
    <row r="7417" spans="1:5" x14ac:dyDescent="0.25">
      <c r="A7417" t="s">
        <v>1</v>
      </c>
      <c r="B7417" t="s">
        <v>19</v>
      </c>
      <c r="C7417" t="s">
        <v>23490</v>
      </c>
      <c r="D7417" t="str">
        <f>HYPERLINK("https://rhld.insurance.arkansas.gov/NPILookup?Npi=1811388739","1811388739")</f>
        <v>1811388739</v>
      </c>
      <c r="E7417" t="s">
        <v>8873</v>
      </c>
    </row>
    <row r="7418" spans="1:5" x14ac:dyDescent="0.25">
      <c r="A7418" t="s">
        <v>1</v>
      </c>
      <c r="B7418" t="s">
        <v>19</v>
      </c>
      <c r="C7418" t="s">
        <v>23490</v>
      </c>
      <c r="D7418" t="str">
        <f>HYPERLINK("https://rhld.insurance.arkansas.gov/NPILookup?Npi=1811388945","1811388945")</f>
        <v>1811388945</v>
      </c>
      <c r="E7418" t="s">
        <v>17033</v>
      </c>
    </row>
    <row r="7419" spans="1:5" x14ac:dyDescent="0.25">
      <c r="A7419" t="s">
        <v>1</v>
      </c>
      <c r="B7419" t="s">
        <v>19</v>
      </c>
      <c r="C7419" t="s">
        <v>23490</v>
      </c>
      <c r="D7419" t="str">
        <f>HYPERLINK("https://rhld.insurance.arkansas.gov/NPILookup?Npi=1811401193","1811401193")</f>
        <v>1811401193</v>
      </c>
      <c r="E7419" t="s">
        <v>12914</v>
      </c>
    </row>
    <row r="7420" spans="1:5" x14ac:dyDescent="0.25">
      <c r="A7420" t="s">
        <v>1</v>
      </c>
      <c r="B7420" t="s">
        <v>19</v>
      </c>
      <c r="C7420" t="s">
        <v>23490</v>
      </c>
      <c r="D7420" t="str">
        <f>HYPERLINK("https://rhld.insurance.arkansas.gov/NPILookup?Npi=1811401318","1811401318")</f>
        <v>1811401318</v>
      </c>
      <c r="E7420" t="s">
        <v>12915</v>
      </c>
    </row>
    <row r="7421" spans="1:5" x14ac:dyDescent="0.25">
      <c r="A7421" t="s">
        <v>1</v>
      </c>
      <c r="B7421" t="s">
        <v>19</v>
      </c>
      <c r="C7421" t="s">
        <v>23490</v>
      </c>
      <c r="D7421" t="str">
        <f>HYPERLINK("https://rhld.insurance.arkansas.gov/NPILookup?Npi=1811404551","1811404551")</f>
        <v>1811404551</v>
      </c>
      <c r="E7421" t="s">
        <v>12916</v>
      </c>
    </row>
    <row r="7422" spans="1:5" x14ac:dyDescent="0.25">
      <c r="A7422" t="s">
        <v>1</v>
      </c>
      <c r="B7422" t="s">
        <v>19</v>
      </c>
      <c r="C7422" t="s">
        <v>23490</v>
      </c>
      <c r="D7422" t="str">
        <f>HYPERLINK("https://rhld.insurance.arkansas.gov/NPILookup?Npi=1811415540","1811415540")</f>
        <v>1811415540</v>
      </c>
      <c r="E7422" t="s">
        <v>15584</v>
      </c>
    </row>
    <row r="7423" spans="1:5" x14ac:dyDescent="0.25">
      <c r="A7423" t="s">
        <v>1</v>
      </c>
      <c r="B7423" t="s">
        <v>19</v>
      </c>
      <c r="C7423" t="s">
        <v>23490</v>
      </c>
      <c r="D7423" t="str">
        <f>HYPERLINK("https://rhld.insurance.arkansas.gov/NPILookup?Npi=1811416910","1811416910")</f>
        <v>1811416910</v>
      </c>
      <c r="E7423" t="s">
        <v>11293</v>
      </c>
    </row>
    <row r="7424" spans="1:5" x14ac:dyDescent="0.25">
      <c r="A7424" t="s">
        <v>1</v>
      </c>
      <c r="B7424" t="s">
        <v>19</v>
      </c>
      <c r="C7424" t="s">
        <v>23490</v>
      </c>
      <c r="D7424" t="str">
        <f>HYPERLINK("https://rhld.insurance.arkansas.gov/NPILookup?Npi=1811420730","1811420730")</f>
        <v>1811420730</v>
      </c>
      <c r="E7424" t="s">
        <v>18870</v>
      </c>
    </row>
    <row r="7425" spans="1:5" x14ac:dyDescent="0.25">
      <c r="A7425" t="s">
        <v>1</v>
      </c>
      <c r="B7425" t="s">
        <v>19</v>
      </c>
      <c r="C7425" t="s">
        <v>23490</v>
      </c>
      <c r="D7425" t="str">
        <f>HYPERLINK("https://rhld.insurance.arkansas.gov/NPILookup?Npi=1811421431","1811421431")</f>
        <v>1811421431</v>
      </c>
      <c r="E7425" t="s">
        <v>17481</v>
      </c>
    </row>
    <row r="7426" spans="1:5" x14ac:dyDescent="0.25">
      <c r="A7426" t="s">
        <v>1</v>
      </c>
      <c r="B7426" t="s">
        <v>19</v>
      </c>
      <c r="C7426" t="s">
        <v>23490</v>
      </c>
      <c r="D7426" t="str">
        <f>HYPERLINK("https://rhld.insurance.arkansas.gov/NPILookup?Npi=1811442247","1811442247")</f>
        <v>1811442247</v>
      </c>
      <c r="E7426" t="s">
        <v>21655</v>
      </c>
    </row>
    <row r="7427" spans="1:5" x14ac:dyDescent="0.25">
      <c r="A7427" t="s">
        <v>1</v>
      </c>
      <c r="B7427" t="s">
        <v>19</v>
      </c>
      <c r="C7427" t="s">
        <v>23490</v>
      </c>
      <c r="D7427" t="str">
        <f>HYPERLINK("https://rhld.insurance.arkansas.gov/NPILookup?Npi=1811443526","1811443526")</f>
        <v>1811443526</v>
      </c>
      <c r="E7427" t="s">
        <v>8874</v>
      </c>
    </row>
    <row r="7428" spans="1:5" x14ac:dyDescent="0.25">
      <c r="A7428" t="s">
        <v>1</v>
      </c>
      <c r="B7428" t="s">
        <v>19</v>
      </c>
      <c r="C7428" t="s">
        <v>23490</v>
      </c>
      <c r="D7428" t="str">
        <f>HYPERLINK("https://rhld.insurance.arkansas.gov/NPILookup?Npi=1811462138","1811462138")</f>
        <v>1811462138</v>
      </c>
      <c r="E7428" t="s">
        <v>15585</v>
      </c>
    </row>
    <row r="7429" spans="1:5" x14ac:dyDescent="0.25">
      <c r="A7429" t="s">
        <v>1</v>
      </c>
      <c r="B7429" t="s">
        <v>19</v>
      </c>
      <c r="C7429" t="s">
        <v>23490</v>
      </c>
      <c r="D7429" t="str">
        <f>HYPERLINK("https://rhld.insurance.arkansas.gov/NPILookup?Npi=1811472822","1811472822")</f>
        <v>1811472822</v>
      </c>
      <c r="E7429" t="s">
        <v>15586</v>
      </c>
    </row>
    <row r="7430" spans="1:5" x14ac:dyDescent="0.25">
      <c r="A7430" t="s">
        <v>1</v>
      </c>
      <c r="B7430" t="s">
        <v>19</v>
      </c>
      <c r="C7430" t="s">
        <v>23490</v>
      </c>
      <c r="D7430" t="str">
        <f>HYPERLINK("https://rhld.insurance.arkansas.gov/NPILookup?Npi=1811484322","1811484322")</f>
        <v>1811484322</v>
      </c>
      <c r="E7430" t="s">
        <v>13725</v>
      </c>
    </row>
    <row r="7431" spans="1:5" x14ac:dyDescent="0.25">
      <c r="A7431" t="s">
        <v>1</v>
      </c>
      <c r="B7431" t="s">
        <v>19</v>
      </c>
      <c r="C7431" t="s">
        <v>23490</v>
      </c>
      <c r="D7431" t="str">
        <f>HYPERLINK("https://rhld.insurance.arkansas.gov/NPILookup?Npi=1811487945","1811487945")</f>
        <v>1811487945</v>
      </c>
      <c r="E7431" t="s">
        <v>17034</v>
      </c>
    </row>
    <row r="7432" spans="1:5" x14ac:dyDescent="0.25">
      <c r="A7432" t="s">
        <v>1</v>
      </c>
      <c r="B7432" t="s">
        <v>19</v>
      </c>
      <c r="C7432" t="s">
        <v>23490</v>
      </c>
      <c r="D7432" t="str">
        <f>HYPERLINK("https://rhld.insurance.arkansas.gov/NPILookup?Npi=1811492242","1811492242")</f>
        <v>1811492242</v>
      </c>
      <c r="E7432" t="s">
        <v>13726</v>
      </c>
    </row>
    <row r="7433" spans="1:5" x14ac:dyDescent="0.25">
      <c r="A7433" t="s">
        <v>1</v>
      </c>
      <c r="B7433" t="s">
        <v>19</v>
      </c>
      <c r="C7433" t="s">
        <v>23490</v>
      </c>
      <c r="D7433" t="str">
        <f>HYPERLINK("https://rhld.insurance.arkansas.gov/NPILookup?Npi=1811494974","1811494974")</f>
        <v>1811494974</v>
      </c>
      <c r="E7433" t="s">
        <v>18130</v>
      </c>
    </row>
    <row r="7434" spans="1:5" x14ac:dyDescent="0.25">
      <c r="A7434" t="s">
        <v>1</v>
      </c>
      <c r="B7434" t="s">
        <v>19</v>
      </c>
      <c r="C7434" t="s">
        <v>23490</v>
      </c>
      <c r="D7434" t="str">
        <f>HYPERLINK("https://rhld.insurance.arkansas.gov/NPILookup?Npi=1811496052","1811496052")</f>
        <v>1811496052</v>
      </c>
      <c r="E7434" t="s">
        <v>13727</v>
      </c>
    </row>
    <row r="7435" spans="1:5" x14ac:dyDescent="0.25">
      <c r="A7435" t="s">
        <v>1</v>
      </c>
      <c r="B7435" t="s">
        <v>19</v>
      </c>
      <c r="C7435" t="s">
        <v>23490</v>
      </c>
      <c r="D7435" t="str">
        <f>HYPERLINK("https://rhld.insurance.arkansas.gov/NPILookup?Npi=1811504038","1811504038")</f>
        <v>1811504038</v>
      </c>
      <c r="E7435" t="s">
        <v>20045</v>
      </c>
    </row>
    <row r="7436" spans="1:5" x14ac:dyDescent="0.25">
      <c r="A7436" t="s">
        <v>1</v>
      </c>
      <c r="B7436" t="s">
        <v>19</v>
      </c>
      <c r="C7436" t="s">
        <v>23490</v>
      </c>
      <c r="D7436" t="str">
        <f>HYPERLINK("https://rhld.insurance.arkansas.gov/NPILookup?Npi=1811505803","1811505803")</f>
        <v>1811505803</v>
      </c>
      <c r="E7436" t="s">
        <v>18131</v>
      </c>
    </row>
    <row r="7437" spans="1:5" x14ac:dyDescent="0.25">
      <c r="A7437" t="s">
        <v>1</v>
      </c>
      <c r="B7437" t="s">
        <v>19</v>
      </c>
      <c r="C7437" t="s">
        <v>23490</v>
      </c>
      <c r="D7437" t="str">
        <f>HYPERLINK("https://rhld.insurance.arkansas.gov/NPILookup?Npi=1811517972","1811517972")</f>
        <v>1811517972</v>
      </c>
      <c r="E7437" t="s">
        <v>18132</v>
      </c>
    </row>
    <row r="7438" spans="1:5" x14ac:dyDescent="0.25">
      <c r="A7438" t="s">
        <v>1</v>
      </c>
      <c r="B7438" t="s">
        <v>19</v>
      </c>
      <c r="C7438" t="s">
        <v>23490</v>
      </c>
      <c r="D7438" t="str">
        <f>HYPERLINK("https://rhld.insurance.arkansas.gov/NPILookup?Npi=1811523285","1811523285")</f>
        <v>1811523285</v>
      </c>
      <c r="E7438" t="s">
        <v>18133</v>
      </c>
    </row>
    <row r="7439" spans="1:5" x14ac:dyDescent="0.25">
      <c r="A7439" t="s">
        <v>1</v>
      </c>
      <c r="B7439" t="s">
        <v>19</v>
      </c>
      <c r="C7439" t="s">
        <v>8427</v>
      </c>
      <c r="D7439" t="str">
        <f>HYPERLINK("https://rhld.insurance.arkansas.gov/NPILookup?Npi=1811525017","1811525017")</f>
        <v>1811525017</v>
      </c>
      <c r="E7439" t="s">
        <v>22989</v>
      </c>
    </row>
    <row r="7440" spans="1:5" x14ac:dyDescent="0.25">
      <c r="A7440" t="s">
        <v>1</v>
      </c>
      <c r="B7440" t="s">
        <v>19</v>
      </c>
      <c r="C7440" t="s">
        <v>23490</v>
      </c>
      <c r="D7440" t="str">
        <f>HYPERLINK("https://rhld.insurance.arkansas.gov/NPILookup?Npi=1811527492","1811527492")</f>
        <v>1811527492</v>
      </c>
      <c r="E7440" t="s">
        <v>20046</v>
      </c>
    </row>
    <row r="7441" spans="1:5" x14ac:dyDescent="0.25">
      <c r="A7441" t="s">
        <v>1</v>
      </c>
      <c r="B7441" t="s">
        <v>19</v>
      </c>
      <c r="C7441" t="s">
        <v>23490</v>
      </c>
      <c r="D7441" t="str">
        <f>HYPERLINK("https://rhld.insurance.arkansas.gov/NPILookup?Npi=1811536931","1811536931")</f>
        <v>1811536931</v>
      </c>
      <c r="E7441" t="s">
        <v>18134</v>
      </c>
    </row>
    <row r="7442" spans="1:5" x14ac:dyDescent="0.25">
      <c r="A7442" t="s">
        <v>1</v>
      </c>
      <c r="B7442" t="s">
        <v>19</v>
      </c>
      <c r="C7442" t="s">
        <v>23490</v>
      </c>
      <c r="D7442" t="str">
        <f>HYPERLINK("https://rhld.insurance.arkansas.gov/NPILookup?Npi=1811538424","1811538424")</f>
        <v>1811538424</v>
      </c>
      <c r="E7442" t="s">
        <v>17035</v>
      </c>
    </row>
    <row r="7443" spans="1:5" x14ac:dyDescent="0.25">
      <c r="A7443" t="s">
        <v>1</v>
      </c>
      <c r="B7443" t="s">
        <v>19</v>
      </c>
      <c r="C7443" t="s">
        <v>23490</v>
      </c>
      <c r="D7443" t="str">
        <f>HYPERLINK("https://rhld.insurance.arkansas.gov/NPILookup?Npi=1811541964","1811541964")</f>
        <v>1811541964</v>
      </c>
      <c r="E7443" t="s">
        <v>15587</v>
      </c>
    </row>
    <row r="7444" spans="1:5" x14ac:dyDescent="0.25">
      <c r="A7444" t="s">
        <v>1</v>
      </c>
      <c r="B7444" t="s">
        <v>19</v>
      </c>
      <c r="C7444" t="s">
        <v>23490</v>
      </c>
      <c r="D7444" t="str">
        <f>HYPERLINK("https://rhld.insurance.arkansas.gov/NPILookup?Npi=1811544968","1811544968")</f>
        <v>1811544968</v>
      </c>
      <c r="E7444" t="s">
        <v>15588</v>
      </c>
    </row>
    <row r="7445" spans="1:5" x14ac:dyDescent="0.25">
      <c r="A7445" t="s">
        <v>1</v>
      </c>
      <c r="B7445" t="s">
        <v>19</v>
      </c>
      <c r="C7445" t="s">
        <v>23490</v>
      </c>
      <c r="D7445" t="str">
        <f>HYPERLINK("https://rhld.insurance.arkansas.gov/NPILookup?Npi=1811550031","1811550031")</f>
        <v>1811550031</v>
      </c>
      <c r="E7445" t="s">
        <v>17036</v>
      </c>
    </row>
    <row r="7446" spans="1:5" x14ac:dyDescent="0.25">
      <c r="A7446" t="s">
        <v>1</v>
      </c>
      <c r="B7446" t="s">
        <v>19</v>
      </c>
      <c r="C7446" t="s">
        <v>23490</v>
      </c>
      <c r="D7446" t="str">
        <f>HYPERLINK("https://rhld.insurance.arkansas.gov/NPILookup?Npi=1811551039","1811551039")</f>
        <v>1811551039</v>
      </c>
      <c r="E7446" t="s">
        <v>21041</v>
      </c>
    </row>
    <row r="7447" spans="1:5" x14ac:dyDescent="0.25">
      <c r="A7447" t="s">
        <v>1</v>
      </c>
      <c r="B7447" t="s">
        <v>19</v>
      </c>
      <c r="C7447" t="s">
        <v>23490</v>
      </c>
      <c r="D7447" t="str">
        <f>HYPERLINK("https://rhld.insurance.arkansas.gov/NPILookup?Npi=1811551989","1811551989")</f>
        <v>1811551989</v>
      </c>
      <c r="E7447" t="s">
        <v>18135</v>
      </c>
    </row>
    <row r="7448" spans="1:5" x14ac:dyDescent="0.25">
      <c r="A7448" t="s">
        <v>1</v>
      </c>
      <c r="B7448" t="s">
        <v>19</v>
      </c>
      <c r="C7448" t="s">
        <v>23490</v>
      </c>
      <c r="D7448" t="str">
        <f>HYPERLINK("https://rhld.insurance.arkansas.gov/NPILookup?Npi=1811556715","1811556715")</f>
        <v>1811556715</v>
      </c>
      <c r="E7448" t="s">
        <v>15589</v>
      </c>
    </row>
    <row r="7449" spans="1:5" x14ac:dyDescent="0.25">
      <c r="A7449" t="s">
        <v>1</v>
      </c>
      <c r="B7449" t="s">
        <v>19</v>
      </c>
      <c r="C7449" t="s">
        <v>23490</v>
      </c>
      <c r="D7449" t="str">
        <f>HYPERLINK("https://rhld.insurance.arkansas.gov/NPILookup?Npi=1811561921","1811561921")</f>
        <v>1811561921</v>
      </c>
      <c r="E7449" t="s">
        <v>20047</v>
      </c>
    </row>
    <row r="7450" spans="1:5" x14ac:dyDescent="0.25">
      <c r="A7450" t="s">
        <v>1</v>
      </c>
      <c r="B7450" t="s">
        <v>19</v>
      </c>
      <c r="C7450" t="s">
        <v>23490</v>
      </c>
      <c r="D7450" t="str">
        <f>HYPERLINK("https://rhld.insurance.arkansas.gov/NPILookup?Npi=1811579386","1811579386")</f>
        <v>1811579386</v>
      </c>
      <c r="E7450" t="s">
        <v>21042</v>
      </c>
    </row>
    <row r="7451" spans="1:5" x14ac:dyDescent="0.25">
      <c r="A7451" t="s">
        <v>1</v>
      </c>
      <c r="B7451" t="s">
        <v>19</v>
      </c>
      <c r="C7451" t="s">
        <v>23490</v>
      </c>
      <c r="D7451" t="str">
        <f>HYPERLINK("https://rhld.insurance.arkansas.gov/NPILookup?Npi=1811608029","1811608029")</f>
        <v>1811608029</v>
      </c>
      <c r="E7451" t="s">
        <v>21656</v>
      </c>
    </row>
    <row r="7452" spans="1:5" x14ac:dyDescent="0.25">
      <c r="A7452" t="s">
        <v>1</v>
      </c>
      <c r="B7452" t="s">
        <v>19</v>
      </c>
      <c r="C7452" t="s">
        <v>23490</v>
      </c>
      <c r="D7452" t="str">
        <f>HYPERLINK("https://rhld.insurance.arkansas.gov/NPILookup?Npi=1811630304","1811630304")</f>
        <v>1811630304</v>
      </c>
      <c r="E7452" t="s">
        <v>20048</v>
      </c>
    </row>
    <row r="7453" spans="1:5" x14ac:dyDescent="0.25">
      <c r="A7453" t="s">
        <v>1</v>
      </c>
      <c r="B7453" t="s">
        <v>19</v>
      </c>
      <c r="C7453" t="s">
        <v>23490</v>
      </c>
      <c r="D7453" t="str">
        <f>HYPERLINK("https://rhld.insurance.arkansas.gov/NPILookup?Npi=1811633845","1811633845")</f>
        <v>1811633845</v>
      </c>
      <c r="E7453" t="s">
        <v>20596</v>
      </c>
    </row>
    <row r="7454" spans="1:5" x14ac:dyDescent="0.25">
      <c r="A7454" t="s">
        <v>1</v>
      </c>
      <c r="B7454" t="s">
        <v>19</v>
      </c>
      <c r="C7454" t="s">
        <v>23490</v>
      </c>
      <c r="D7454" t="str">
        <f>HYPERLINK("https://rhld.insurance.arkansas.gov/NPILookup?Npi=1811635634","1811635634")</f>
        <v>1811635634</v>
      </c>
      <c r="E7454" t="s">
        <v>21043</v>
      </c>
    </row>
    <row r="7455" spans="1:5" x14ac:dyDescent="0.25">
      <c r="A7455" t="s">
        <v>1</v>
      </c>
      <c r="B7455" t="s">
        <v>19</v>
      </c>
      <c r="C7455" t="s">
        <v>23490</v>
      </c>
      <c r="D7455" t="str">
        <f>HYPERLINK("https://rhld.insurance.arkansas.gov/NPILookup?Npi=1811638919","1811638919")</f>
        <v>1811638919</v>
      </c>
      <c r="E7455" t="s">
        <v>20049</v>
      </c>
    </row>
    <row r="7456" spans="1:5" x14ac:dyDescent="0.25">
      <c r="A7456" t="s">
        <v>1</v>
      </c>
      <c r="B7456" t="s">
        <v>19</v>
      </c>
      <c r="C7456" t="s">
        <v>23490</v>
      </c>
      <c r="D7456" t="str">
        <f>HYPERLINK("https://rhld.insurance.arkansas.gov/NPILookup?Npi=1811639008","1811639008")</f>
        <v>1811639008</v>
      </c>
      <c r="E7456" t="s">
        <v>21044</v>
      </c>
    </row>
    <row r="7457" spans="1:5" x14ac:dyDescent="0.25">
      <c r="A7457" t="s">
        <v>1</v>
      </c>
      <c r="B7457" t="s">
        <v>19</v>
      </c>
      <c r="C7457" t="s">
        <v>23490</v>
      </c>
      <c r="D7457" t="str">
        <f>HYPERLINK("https://rhld.insurance.arkansas.gov/NPILookup?Npi=1811916448","1811916448")</f>
        <v>1811916448</v>
      </c>
      <c r="E7457" t="s">
        <v>2854</v>
      </c>
    </row>
    <row r="7458" spans="1:5" x14ac:dyDescent="0.25">
      <c r="A7458" t="s">
        <v>1</v>
      </c>
      <c r="B7458" t="s">
        <v>19</v>
      </c>
      <c r="C7458" t="s">
        <v>23490</v>
      </c>
      <c r="D7458" t="str">
        <f>HYPERLINK("https://rhld.insurance.arkansas.gov/NPILookup?Npi=1811916612","1811916612")</f>
        <v>1811916612</v>
      </c>
      <c r="E7458" t="s">
        <v>21657</v>
      </c>
    </row>
    <row r="7459" spans="1:5" x14ac:dyDescent="0.25">
      <c r="A7459" t="s">
        <v>1</v>
      </c>
      <c r="B7459" t="s">
        <v>19</v>
      </c>
      <c r="C7459" t="s">
        <v>23490</v>
      </c>
      <c r="D7459" t="str">
        <f>HYPERLINK("https://rhld.insurance.arkansas.gov/NPILookup?Npi=1811918246","1811918246")</f>
        <v>1811918246</v>
      </c>
      <c r="E7459" t="s">
        <v>15590</v>
      </c>
    </row>
    <row r="7460" spans="1:5" x14ac:dyDescent="0.25">
      <c r="A7460" t="s">
        <v>1</v>
      </c>
      <c r="B7460" t="s">
        <v>19</v>
      </c>
      <c r="C7460" t="s">
        <v>23490</v>
      </c>
      <c r="D7460" t="str">
        <f>HYPERLINK("https://rhld.insurance.arkansas.gov/NPILookup?Npi=1811921455","1811921455")</f>
        <v>1811921455</v>
      </c>
      <c r="E7460" t="s">
        <v>2855</v>
      </c>
    </row>
    <row r="7461" spans="1:5" x14ac:dyDescent="0.25">
      <c r="A7461" t="s">
        <v>1</v>
      </c>
      <c r="B7461" t="s">
        <v>19</v>
      </c>
      <c r="C7461" t="s">
        <v>23490</v>
      </c>
      <c r="D7461" t="str">
        <f>HYPERLINK("https://rhld.insurance.arkansas.gov/NPILookup?Npi=1811925910","1811925910")</f>
        <v>1811925910</v>
      </c>
      <c r="E7461" t="s">
        <v>2856</v>
      </c>
    </row>
    <row r="7462" spans="1:5" x14ac:dyDescent="0.25">
      <c r="A7462" t="s">
        <v>1</v>
      </c>
      <c r="B7462" t="s">
        <v>19</v>
      </c>
      <c r="C7462" t="s">
        <v>23490</v>
      </c>
      <c r="D7462" t="str">
        <f>HYPERLINK("https://rhld.insurance.arkansas.gov/NPILookup?Npi=1811931397","1811931397")</f>
        <v>1811931397</v>
      </c>
      <c r="E7462" t="s">
        <v>8875</v>
      </c>
    </row>
    <row r="7463" spans="1:5" x14ac:dyDescent="0.25">
      <c r="A7463" t="s">
        <v>1</v>
      </c>
      <c r="B7463" t="s">
        <v>19</v>
      </c>
      <c r="C7463" t="s">
        <v>23490</v>
      </c>
      <c r="D7463" t="str">
        <f>HYPERLINK("https://rhld.insurance.arkansas.gov/NPILookup?Npi=1811932601","1811932601")</f>
        <v>1811932601</v>
      </c>
      <c r="E7463" t="s">
        <v>13728</v>
      </c>
    </row>
    <row r="7464" spans="1:5" x14ac:dyDescent="0.25">
      <c r="A7464" t="s">
        <v>1</v>
      </c>
      <c r="B7464" t="s">
        <v>19</v>
      </c>
      <c r="C7464" t="s">
        <v>23490</v>
      </c>
      <c r="D7464" t="str">
        <f>HYPERLINK("https://rhld.insurance.arkansas.gov/NPILookup?Npi=1811938905","1811938905")</f>
        <v>1811938905</v>
      </c>
      <c r="E7464" t="s">
        <v>21658</v>
      </c>
    </row>
    <row r="7465" spans="1:5" x14ac:dyDescent="0.25">
      <c r="A7465" t="s">
        <v>1</v>
      </c>
      <c r="B7465" t="s">
        <v>19</v>
      </c>
      <c r="C7465" t="s">
        <v>23490</v>
      </c>
      <c r="D7465" t="str">
        <f>HYPERLINK("https://rhld.insurance.arkansas.gov/NPILookup?Npi=1811942352","1811942352")</f>
        <v>1811942352</v>
      </c>
      <c r="E7465" t="s">
        <v>2857</v>
      </c>
    </row>
    <row r="7466" spans="1:5" x14ac:dyDescent="0.25">
      <c r="A7466" t="s">
        <v>1</v>
      </c>
      <c r="B7466" t="s">
        <v>19</v>
      </c>
      <c r="C7466" t="s">
        <v>23490</v>
      </c>
      <c r="D7466" t="str">
        <f>HYPERLINK("https://rhld.insurance.arkansas.gov/NPILookup?Npi=1811953177","1811953177")</f>
        <v>1811953177</v>
      </c>
      <c r="E7466" t="s">
        <v>2858</v>
      </c>
    </row>
    <row r="7467" spans="1:5" x14ac:dyDescent="0.25">
      <c r="A7467" t="s">
        <v>1</v>
      </c>
      <c r="B7467" t="s">
        <v>19</v>
      </c>
      <c r="C7467" t="s">
        <v>23490</v>
      </c>
      <c r="D7467" t="str">
        <f>HYPERLINK("https://rhld.insurance.arkansas.gov/NPILookup?Npi=1811953888","1811953888")</f>
        <v>1811953888</v>
      </c>
      <c r="E7467" t="s">
        <v>15591</v>
      </c>
    </row>
    <row r="7468" spans="1:5" x14ac:dyDescent="0.25">
      <c r="A7468" t="s">
        <v>1</v>
      </c>
      <c r="B7468" t="s">
        <v>19</v>
      </c>
      <c r="C7468" t="s">
        <v>23490</v>
      </c>
      <c r="D7468" t="str">
        <f>HYPERLINK("https://rhld.insurance.arkansas.gov/NPILookup?Npi=1811960255","1811960255")</f>
        <v>1811960255</v>
      </c>
      <c r="E7468" t="s">
        <v>13729</v>
      </c>
    </row>
    <row r="7469" spans="1:5" x14ac:dyDescent="0.25">
      <c r="A7469" t="s">
        <v>1</v>
      </c>
      <c r="B7469" t="s">
        <v>19</v>
      </c>
      <c r="C7469" t="s">
        <v>23490</v>
      </c>
      <c r="D7469" t="str">
        <f>HYPERLINK("https://rhld.insurance.arkansas.gov/NPILookup?Npi=1811963325","1811963325")</f>
        <v>1811963325</v>
      </c>
      <c r="E7469" t="s">
        <v>2859</v>
      </c>
    </row>
    <row r="7470" spans="1:5" x14ac:dyDescent="0.25">
      <c r="A7470" t="s">
        <v>1</v>
      </c>
      <c r="B7470" t="s">
        <v>19</v>
      </c>
      <c r="C7470" t="s">
        <v>23490</v>
      </c>
      <c r="D7470" t="str">
        <f>HYPERLINK("https://rhld.insurance.arkansas.gov/NPILookup?Npi=1811965619","1811965619")</f>
        <v>1811965619</v>
      </c>
      <c r="E7470" t="s">
        <v>15592</v>
      </c>
    </row>
    <row r="7471" spans="1:5" x14ac:dyDescent="0.25">
      <c r="A7471" t="s">
        <v>1</v>
      </c>
      <c r="B7471" t="s">
        <v>19</v>
      </c>
      <c r="C7471" t="s">
        <v>23490</v>
      </c>
      <c r="D7471" t="str">
        <f>HYPERLINK("https://rhld.insurance.arkansas.gov/NPILookup?Npi=1811968092","1811968092")</f>
        <v>1811968092</v>
      </c>
      <c r="E7471" t="s">
        <v>2860</v>
      </c>
    </row>
    <row r="7472" spans="1:5" x14ac:dyDescent="0.25">
      <c r="A7472" t="s">
        <v>1</v>
      </c>
      <c r="B7472" t="s">
        <v>19</v>
      </c>
      <c r="C7472" t="s">
        <v>23490</v>
      </c>
      <c r="D7472" t="str">
        <f>HYPERLINK("https://rhld.insurance.arkansas.gov/NPILookup?Npi=1811969157","1811969157")</f>
        <v>1811969157</v>
      </c>
      <c r="E7472" t="s">
        <v>2861</v>
      </c>
    </row>
    <row r="7473" spans="1:5" x14ac:dyDescent="0.25">
      <c r="A7473" t="s">
        <v>1</v>
      </c>
      <c r="B7473" t="s">
        <v>19</v>
      </c>
      <c r="C7473" t="s">
        <v>23490</v>
      </c>
      <c r="D7473" t="str">
        <f>HYPERLINK("https://rhld.insurance.arkansas.gov/NPILookup?Npi=1811970817","1811970817")</f>
        <v>1811970817</v>
      </c>
      <c r="E7473" t="s">
        <v>15593</v>
      </c>
    </row>
    <row r="7474" spans="1:5" x14ac:dyDescent="0.25">
      <c r="A7474" t="s">
        <v>1</v>
      </c>
      <c r="B7474" t="s">
        <v>19</v>
      </c>
      <c r="C7474" t="s">
        <v>23490</v>
      </c>
      <c r="D7474" t="str">
        <f>HYPERLINK("https://rhld.insurance.arkansas.gov/NPILookup?Npi=1811976509","1811976509")</f>
        <v>1811976509</v>
      </c>
      <c r="E7474" t="s">
        <v>2862</v>
      </c>
    </row>
    <row r="7475" spans="1:5" x14ac:dyDescent="0.25">
      <c r="A7475" t="s">
        <v>1</v>
      </c>
      <c r="B7475" t="s">
        <v>19</v>
      </c>
      <c r="C7475" t="s">
        <v>23490</v>
      </c>
      <c r="D7475" t="str">
        <f>HYPERLINK("https://rhld.insurance.arkansas.gov/NPILookup?Npi=1811983398","1811983398")</f>
        <v>1811983398</v>
      </c>
      <c r="E7475" t="s">
        <v>2863</v>
      </c>
    </row>
    <row r="7476" spans="1:5" x14ac:dyDescent="0.25">
      <c r="A7476" t="s">
        <v>1</v>
      </c>
      <c r="B7476" t="s">
        <v>19</v>
      </c>
      <c r="C7476" t="s">
        <v>23490</v>
      </c>
      <c r="D7476" t="str">
        <f>HYPERLINK("https://rhld.insurance.arkansas.gov/NPILookup?Npi=1811985187","1811985187")</f>
        <v>1811985187</v>
      </c>
      <c r="E7476" t="s">
        <v>2864</v>
      </c>
    </row>
    <row r="7477" spans="1:5" x14ac:dyDescent="0.25">
      <c r="A7477" t="s">
        <v>1</v>
      </c>
      <c r="B7477" t="s">
        <v>19</v>
      </c>
      <c r="C7477" t="s">
        <v>23490</v>
      </c>
      <c r="D7477" t="str">
        <f>HYPERLINK("https://rhld.insurance.arkansas.gov/NPILookup?Npi=1811985245","1811985245")</f>
        <v>1811985245</v>
      </c>
      <c r="E7477" t="s">
        <v>2865</v>
      </c>
    </row>
    <row r="7478" spans="1:5" x14ac:dyDescent="0.25">
      <c r="A7478" t="s">
        <v>1</v>
      </c>
      <c r="B7478" t="s">
        <v>19</v>
      </c>
      <c r="C7478" t="s">
        <v>23490</v>
      </c>
      <c r="D7478" t="str">
        <f>HYPERLINK("https://rhld.insurance.arkansas.gov/NPILookup?Npi=1811985831","1811985831")</f>
        <v>1811985831</v>
      </c>
      <c r="E7478" t="s">
        <v>2866</v>
      </c>
    </row>
    <row r="7479" spans="1:5" x14ac:dyDescent="0.25">
      <c r="A7479" t="s">
        <v>1</v>
      </c>
      <c r="B7479" t="s">
        <v>19</v>
      </c>
      <c r="C7479" t="s">
        <v>23490</v>
      </c>
      <c r="D7479" t="str">
        <f>HYPERLINK("https://rhld.insurance.arkansas.gov/NPILookup?Npi=1821001041","1821001041")</f>
        <v>1821001041</v>
      </c>
      <c r="E7479" t="s">
        <v>15594</v>
      </c>
    </row>
    <row r="7480" spans="1:5" x14ac:dyDescent="0.25">
      <c r="A7480" t="s">
        <v>1</v>
      </c>
      <c r="B7480" t="s">
        <v>19</v>
      </c>
      <c r="C7480" t="s">
        <v>23490</v>
      </c>
      <c r="D7480" t="str">
        <f>HYPERLINK("https://rhld.insurance.arkansas.gov/NPILookup?Npi=1821020587","1821020587")</f>
        <v>1821020587</v>
      </c>
      <c r="E7480" t="s">
        <v>2868</v>
      </c>
    </row>
    <row r="7481" spans="1:5" x14ac:dyDescent="0.25">
      <c r="A7481" t="s">
        <v>1</v>
      </c>
      <c r="B7481" t="s">
        <v>19</v>
      </c>
      <c r="C7481" t="s">
        <v>23490</v>
      </c>
      <c r="D7481" t="str">
        <f>HYPERLINK("https://rhld.insurance.arkansas.gov/NPILookup?Npi=1821024803","1821024803")</f>
        <v>1821024803</v>
      </c>
      <c r="E7481" t="s">
        <v>17037</v>
      </c>
    </row>
    <row r="7482" spans="1:5" x14ac:dyDescent="0.25">
      <c r="A7482" t="s">
        <v>1</v>
      </c>
      <c r="B7482" t="s">
        <v>19</v>
      </c>
      <c r="C7482" t="s">
        <v>23490</v>
      </c>
      <c r="D7482" t="str">
        <f>HYPERLINK("https://rhld.insurance.arkansas.gov/NPILookup?Npi=1821025867","1821025867")</f>
        <v>1821025867</v>
      </c>
      <c r="E7482" t="s">
        <v>15595</v>
      </c>
    </row>
    <row r="7483" spans="1:5" x14ac:dyDescent="0.25">
      <c r="A7483" t="s">
        <v>1</v>
      </c>
      <c r="B7483" t="s">
        <v>19</v>
      </c>
      <c r="C7483" t="s">
        <v>23490</v>
      </c>
      <c r="D7483" t="str">
        <f>HYPERLINK("https://rhld.insurance.arkansas.gov/NPILookup?Npi=1821027160","1821027160")</f>
        <v>1821027160</v>
      </c>
      <c r="E7483" t="s">
        <v>2870</v>
      </c>
    </row>
    <row r="7484" spans="1:5" x14ac:dyDescent="0.25">
      <c r="A7484" t="s">
        <v>1</v>
      </c>
      <c r="B7484" t="s">
        <v>19</v>
      </c>
      <c r="C7484" t="s">
        <v>23490</v>
      </c>
      <c r="D7484" t="str">
        <f>HYPERLINK("https://rhld.insurance.arkansas.gov/NPILookup?Npi=1821036336","1821036336")</f>
        <v>1821036336</v>
      </c>
      <c r="E7484" t="s">
        <v>20050</v>
      </c>
    </row>
    <row r="7485" spans="1:5" x14ac:dyDescent="0.25">
      <c r="A7485" t="s">
        <v>1</v>
      </c>
      <c r="B7485" t="s">
        <v>19</v>
      </c>
      <c r="C7485" t="s">
        <v>23490</v>
      </c>
      <c r="D7485" t="str">
        <f>HYPERLINK("https://rhld.insurance.arkansas.gov/NPILookup?Npi=1821037060","1821037060")</f>
        <v>1821037060</v>
      </c>
      <c r="E7485" t="s">
        <v>18136</v>
      </c>
    </row>
    <row r="7486" spans="1:5" x14ac:dyDescent="0.25">
      <c r="A7486" t="s">
        <v>1</v>
      </c>
      <c r="B7486" t="s">
        <v>19</v>
      </c>
      <c r="C7486" t="s">
        <v>23490</v>
      </c>
      <c r="D7486" t="str">
        <f>HYPERLINK("https://rhld.insurance.arkansas.gov/NPILookup?Npi=1821042300","1821042300")</f>
        <v>1821042300</v>
      </c>
      <c r="E7486" t="s">
        <v>2871</v>
      </c>
    </row>
    <row r="7487" spans="1:5" x14ac:dyDescent="0.25">
      <c r="A7487" t="s">
        <v>1</v>
      </c>
      <c r="B7487" t="s">
        <v>19</v>
      </c>
      <c r="C7487" t="s">
        <v>23490</v>
      </c>
      <c r="D7487" t="str">
        <f>HYPERLINK("https://rhld.insurance.arkansas.gov/NPILookup?Npi=1821044470","1821044470")</f>
        <v>1821044470</v>
      </c>
      <c r="E7487" t="s">
        <v>8876</v>
      </c>
    </row>
    <row r="7488" spans="1:5" x14ac:dyDescent="0.25">
      <c r="A7488" t="s">
        <v>1</v>
      </c>
      <c r="B7488" t="s">
        <v>19</v>
      </c>
      <c r="C7488" t="s">
        <v>23490</v>
      </c>
      <c r="D7488" t="str">
        <f>HYPERLINK("https://rhld.insurance.arkansas.gov/NPILookup?Npi=1821046558","1821046558")</f>
        <v>1821046558</v>
      </c>
      <c r="E7488" t="s">
        <v>2872</v>
      </c>
    </row>
    <row r="7489" spans="1:5" x14ac:dyDescent="0.25">
      <c r="A7489" t="s">
        <v>1</v>
      </c>
      <c r="B7489" t="s">
        <v>19</v>
      </c>
      <c r="C7489" t="s">
        <v>23490</v>
      </c>
      <c r="D7489" t="str">
        <f>HYPERLINK("https://rhld.insurance.arkansas.gov/NPILookup?Npi=1821047028","1821047028")</f>
        <v>1821047028</v>
      </c>
      <c r="E7489" t="s">
        <v>2873</v>
      </c>
    </row>
    <row r="7490" spans="1:5" x14ac:dyDescent="0.25">
      <c r="A7490" t="s">
        <v>1</v>
      </c>
      <c r="B7490" t="s">
        <v>19</v>
      </c>
      <c r="C7490" t="s">
        <v>23490</v>
      </c>
      <c r="D7490" t="str">
        <f>HYPERLINK("https://rhld.insurance.arkansas.gov/NPILookup?Npi=1821049453","1821049453")</f>
        <v>1821049453</v>
      </c>
      <c r="E7490" t="s">
        <v>2874</v>
      </c>
    </row>
    <row r="7491" spans="1:5" x14ac:dyDescent="0.25">
      <c r="A7491" t="s">
        <v>1</v>
      </c>
      <c r="B7491" t="s">
        <v>19</v>
      </c>
      <c r="C7491" t="s">
        <v>23490</v>
      </c>
      <c r="D7491" t="str">
        <f>HYPERLINK("https://rhld.insurance.arkansas.gov/NPILookup?Npi=1821050022","1821050022")</f>
        <v>1821050022</v>
      </c>
      <c r="E7491" t="s">
        <v>2875</v>
      </c>
    </row>
    <row r="7492" spans="1:5" x14ac:dyDescent="0.25">
      <c r="A7492" t="s">
        <v>1</v>
      </c>
      <c r="B7492" t="s">
        <v>19</v>
      </c>
      <c r="C7492" t="s">
        <v>23490</v>
      </c>
      <c r="D7492" t="str">
        <f>HYPERLINK("https://rhld.insurance.arkansas.gov/NPILookup?Npi=1821054669","1821054669")</f>
        <v>1821054669</v>
      </c>
      <c r="E7492" t="s">
        <v>15596</v>
      </c>
    </row>
    <row r="7493" spans="1:5" x14ac:dyDescent="0.25">
      <c r="A7493" t="s">
        <v>1</v>
      </c>
      <c r="B7493" t="s">
        <v>19</v>
      </c>
      <c r="C7493" t="s">
        <v>23490</v>
      </c>
      <c r="D7493" t="str">
        <f>HYPERLINK("https://rhld.insurance.arkansas.gov/NPILookup?Npi=1821056441","1821056441")</f>
        <v>1821056441</v>
      </c>
      <c r="E7493" t="s">
        <v>2876</v>
      </c>
    </row>
    <row r="7494" spans="1:5" x14ac:dyDescent="0.25">
      <c r="A7494" t="s">
        <v>1</v>
      </c>
      <c r="B7494" t="s">
        <v>19</v>
      </c>
      <c r="C7494" t="s">
        <v>23490</v>
      </c>
      <c r="D7494" t="str">
        <f>HYPERLINK("https://rhld.insurance.arkansas.gov/NPILookup?Npi=1821065715","1821065715")</f>
        <v>1821065715</v>
      </c>
      <c r="E7494" t="s">
        <v>2877</v>
      </c>
    </row>
    <row r="7495" spans="1:5" x14ac:dyDescent="0.25">
      <c r="A7495" t="s">
        <v>1</v>
      </c>
      <c r="B7495" t="s">
        <v>19</v>
      </c>
      <c r="C7495" t="s">
        <v>23490</v>
      </c>
      <c r="D7495" t="str">
        <f>HYPERLINK("https://rhld.insurance.arkansas.gov/NPILookup?Npi=1821072570","1821072570")</f>
        <v>1821072570</v>
      </c>
      <c r="E7495" t="s">
        <v>2878</v>
      </c>
    </row>
    <row r="7496" spans="1:5" x14ac:dyDescent="0.25">
      <c r="A7496" t="s">
        <v>1</v>
      </c>
      <c r="B7496" t="s">
        <v>19</v>
      </c>
      <c r="C7496" t="s">
        <v>23490</v>
      </c>
      <c r="D7496" t="str">
        <f>HYPERLINK("https://rhld.insurance.arkansas.gov/NPILookup?Npi=1821074592","1821074592")</f>
        <v>1821074592</v>
      </c>
      <c r="E7496" t="s">
        <v>2879</v>
      </c>
    </row>
    <row r="7497" spans="1:5" x14ac:dyDescent="0.25">
      <c r="A7497" t="s">
        <v>1</v>
      </c>
      <c r="B7497" t="s">
        <v>19</v>
      </c>
      <c r="C7497" t="s">
        <v>23490</v>
      </c>
      <c r="D7497" t="str">
        <f>HYPERLINK("https://rhld.insurance.arkansas.gov/NPILookup?Npi=1821075938","1821075938")</f>
        <v>1821075938</v>
      </c>
      <c r="E7497" t="s">
        <v>2880</v>
      </c>
    </row>
    <row r="7498" spans="1:5" x14ac:dyDescent="0.25">
      <c r="A7498" t="s">
        <v>1</v>
      </c>
      <c r="B7498" t="s">
        <v>19</v>
      </c>
      <c r="C7498" t="s">
        <v>23490</v>
      </c>
      <c r="D7498" t="str">
        <f>HYPERLINK("https://rhld.insurance.arkansas.gov/NPILookup?Npi=1821077975","1821077975")</f>
        <v>1821077975</v>
      </c>
      <c r="E7498" t="s">
        <v>2881</v>
      </c>
    </row>
    <row r="7499" spans="1:5" x14ac:dyDescent="0.25">
      <c r="A7499" t="s">
        <v>1</v>
      </c>
      <c r="B7499" t="s">
        <v>19</v>
      </c>
      <c r="C7499" t="s">
        <v>23490</v>
      </c>
      <c r="D7499" t="str">
        <f>HYPERLINK("https://rhld.insurance.arkansas.gov/NPILookup?Npi=1821082835","1821082835")</f>
        <v>1821082835</v>
      </c>
      <c r="E7499" t="s">
        <v>2882</v>
      </c>
    </row>
    <row r="7500" spans="1:5" x14ac:dyDescent="0.25">
      <c r="A7500" t="s">
        <v>1</v>
      </c>
      <c r="B7500" t="s">
        <v>19</v>
      </c>
      <c r="C7500" t="s">
        <v>23490</v>
      </c>
      <c r="D7500" t="str">
        <f>HYPERLINK("https://rhld.insurance.arkansas.gov/NPILookup?Npi=1821084377","1821084377")</f>
        <v>1821084377</v>
      </c>
      <c r="E7500" t="s">
        <v>2883</v>
      </c>
    </row>
    <row r="7501" spans="1:5" x14ac:dyDescent="0.25">
      <c r="A7501" t="s">
        <v>1</v>
      </c>
      <c r="B7501" t="s">
        <v>19</v>
      </c>
      <c r="C7501" t="s">
        <v>23490</v>
      </c>
      <c r="D7501" t="str">
        <f>HYPERLINK("https://rhld.insurance.arkansas.gov/NPILookup?Npi=1821085226","1821085226")</f>
        <v>1821085226</v>
      </c>
      <c r="E7501" t="s">
        <v>2884</v>
      </c>
    </row>
    <row r="7502" spans="1:5" x14ac:dyDescent="0.25">
      <c r="A7502" t="s">
        <v>1</v>
      </c>
      <c r="B7502" t="s">
        <v>19</v>
      </c>
      <c r="C7502" t="s">
        <v>23490</v>
      </c>
      <c r="D7502" t="str">
        <f>HYPERLINK("https://rhld.insurance.arkansas.gov/NPILookup?Npi=1821085648","1821085648")</f>
        <v>1821085648</v>
      </c>
      <c r="E7502" t="s">
        <v>11295</v>
      </c>
    </row>
    <row r="7503" spans="1:5" x14ac:dyDescent="0.25">
      <c r="A7503" t="s">
        <v>1</v>
      </c>
      <c r="B7503" t="s">
        <v>19</v>
      </c>
      <c r="C7503" t="s">
        <v>23490</v>
      </c>
      <c r="D7503" t="str">
        <f>HYPERLINK("https://rhld.insurance.arkansas.gov/NPILookup?Npi=1821085770","1821085770")</f>
        <v>1821085770</v>
      </c>
      <c r="E7503" t="s">
        <v>2885</v>
      </c>
    </row>
    <row r="7504" spans="1:5" x14ac:dyDescent="0.25">
      <c r="A7504" t="s">
        <v>1</v>
      </c>
      <c r="B7504" t="s">
        <v>19</v>
      </c>
      <c r="C7504" t="s">
        <v>23490</v>
      </c>
      <c r="D7504" t="str">
        <f>HYPERLINK("https://rhld.insurance.arkansas.gov/NPILookup?Npi=1821086703","1821086703")</f>
        <v>1821086703</v>
      </c>
      <c r="E7504" t="s">
        <v>11296</v>
      </c>
    </row>
    <row r="7505" spans="1:5" x14ac:dyDescent="0.25">
      <c r="A7505" t="s">
        <v>1</v>
      </c>
      <c r="B7505" t="s">
        <v>19</v>
      </c>
      <c r="C7505" t="s">
        <v>23490</v>
      </c>
      <c r="D7505" t="str">
        <f>HYPERLINK("https://rhld.insurance.arkansas.gov/NPILookup?Npi=1821092537","1821092537")</f>
        <v>1821092537</v>
      </c>
      <c r="E7505" t="s">
        <v>2886</v>
      </c>
    </row>
    <row r="7506" spans="1:5" x14ac:dyDescent="0.25">
      <c r="A7506" t="s">
        <v>1</v>
      </c>
      <c r="B7506" t="s">
        <v>19</v>
      </c>
      <c r="C7506" t="s">
        <v>23490</v>
      </c>
      <c r="D7506" t="str">
        <f>HYPERLINK("https://rhld.insurance.arkansas.gov/NPILookup?Npi=1821093063","1821093063")</f>
        <v>1821093063</v>
      </c>
      <c r="E7506" t="s">
        <v>2887</v>
      </c>
    </row>
    <row r="7507" spans="1:5" x14ac:dyDescent="0.25">
      <c r="A7507" t="s">
        <v>1</v>
      </c>
      <c r="B7507" t="s">
        <v>19</v>
      </c>
      <c r="C7507" t="s">
        <v>23490</v>
      </c>
      <c r="D7507" t="str">
        <f>HYPERLINK("https://rhld.insurance.arkansas.gov/NPILookup?Npi=1821093287","1821093287")</f>
        <v>1821093287</v>
      </c>
      <c r="E7507" t="s">
        <v>15597</v>
      </c>
    </row>
    <row r="7508" spans="1:5" x14ac:dyDescent="0.25">
      <c r="A7508" t="s">
        <v>1</v>
      </c>
      <c r="B7508" t="s">
        <v>19</v>
      </c>
      <c r="C7508" t="s">
        <v>23490</v>
      </c>
      <c r="D7508" t="str">
        <f>HYPERLINK("https://rhld.insurance.arkansas.gov/NPILookup?Npi=1821098369","1821098369")</f>
        <v>1821098369</v>
      </c>
      <c r="E7508" t="s">
        <v>11297</v>
      </c>
    </row>
    <row r="7509" spans="1:5" x14ac:dyDescent="0.25">
      <c r="A7509" t="s">
        <v>1</v>
      </c>
      <c r="B7509" t="s">
        <v>19</v>
      </c>
      <c r="C7509" t="s">
        <v>23490</v>
      </c>
      <c r="D7509" t="str">
        <f>HYPERLINK("https://rhld.insurance.arkansas.gov/NPILookup?Npi=1821135690","1821135690")</f>
        <v>1821135690</v>
      </c>
      <c r="E7509" t="s">
        <v>2888</v>
      </c>
    </row>
    <row r="7510" spans="1:5" x14ac:dyDescent="0.25">
      <c r="A7510" t="s">
        <v>1</v>
      </c>
      <c r="B7510" t="s">
        <v>19</v>
      </c>
      <c r="C7510" t="s">
        <v>23490</v>
      </c>
      <c r="D7510" t="str">
        <f>HYPERLINK("https://rhld.insurance.arkansas.gov/NPILookup?Npi=1821153388","1821153388")</f>
        <v>1821153388</v>
      </c>
      <c r="E7510" t="s">
        <v>2889</v>
      </c>
    </row>
    <row r="7511" spans="1:5" x14ac:dyDescent="0.25">
      <c r="A7511" t="s">
        <v>1</v>
      </c>
      <c r="B7511" t="s">
        <v>19</v>
      </c>
      <c r="C7511" t="s">
        <v>23490</v>
      </c>
      <c r="D7511" t="str">
        <f>HYPERLINK("https://rhld.insurance.arkansas.gov/NPILookup?Npi=1821167263","1821167263")</f>
        <v>1821167263</v>
      </c>
      <c r="E7511" t="s">
        <v>2890</v>
      </c>
    </row>
    <row r="7512" spans="1:5" x14ac:dyDescent="0.25">
      <c r="A7512" t="s">
        <v>1</v>
      </c>
      <c r="B7512" t="s">
        <v>19</v>
      </c>
      <c r="C7512" t="s">
        <v>23490</v>
      </c>
      <c r="D7512" t="str">
        <f>HYPERLINK("https://rhld.insurance.arkansas.gov/NPILookup?Npi=1821173535","1821173535")</f>
        <v>1821173535</v>
      </c>
      <c r="E7512" t="s">
        <v>2891</v>
      </c>
    </row>
    <row r="7513" spans="1:5" x14ac:dyDescent="0.25">
      <c r="A7513" t="s">
        <v>1</v>
      </c>
      <c r="B7513" t="s">
        <v>19</v>
      </c>
      <c r="C7513" t="s">
        <v>23490</v>
      </c>
      <c r="D7513" t="str">
        <f>HYPERLINK("https://rhld.insurance.arkansas.gov/NPILookup?Npi=1821173832","1821173832")</f>
        <v>1821173832</v>
      </c>
      <c r="E7513" t="s">
        <v>21045</v>
      </c>
    </row>
    <row r="7514" spans="1:5" x14ac:dyDescent="0.25">
      <c r="A7514" t="s">
        <v>1</v>
      </c>
      <c r="B7514" t="s">
        <v>19</v>
      </c>
      <c r="C7514" t="s">
        <v>23490</v>
      </c>
      <c r="D7514" t="str">
        <f>HYPERLINK("https://rhld.insurance.arkansas.gov/NPILookup?Npi=1821189879","1821189879")</f>
        <v>1821189879</v>
      </c>
      <c r="E7514" t="s">
        <v>2892</v>
      </c>
    </row>
    <row r="7515" spans="1:5" x14ac:dyDescent="0.25">
      <c r="A7515" t="s">
        <v>1</v>
      </c>
      <c r="B7515" t="s">
        <v>19</v>
      </c>
      <c r="C7515" t="s">
        <v>23490</v>
      </c>
      <c r="D7515" t="str">
        <f>HYPERLINK("https://rhld.insurance.arkansas.gov/NPILookup?Npi=1821190802","1821190802")</f>
        <v>1821190802</v>
      </c>
      <c r="E7515" t="s">
        <v>12917</v>
      </c>
    </row>
    <row r="7516" spans="1:5" x14ac:dyDescent="0.25">
      <c r="A7516" t="s">
        <v>1</v>
      </c>
      <c r="B7516" t="s">
        <v>19</v>
      </c>
      <c r="C7516" t="s">
        <v>23490</v>
      </c>
      <c r="D7516" t="str">
        <f>HYPERLINK("https://rhld.insurance.arkansas.gov/NPILookup?Npi=1821196445","1821196445")</f>
        <v>1821196445</v>
      </c>
      <c r="E7516" t="s">
        <v>2893</v>
      </c>
    </row>
    <row r="7517" spans="1:5" x14ac:dyDescent="0.25">
      <c r="A7517" t="s">
        <v>1</v>
      </c>
      <c r="B7517" t="s">
        <v>19</v>
      </c>
      <c r="C7517" t="s">
        <v>23490</v>
      </c>
      <c r="D7517" t="str">
        <f>HYPERLINK("https://rhld.insurance.arkansas.gov/NPILookup?Npi=1821223447","1821223447")</f>
        <v>1821223447</v>
      </c>
      <c r="E7517" t="s">
        <v>15598</v>
      </c>
    </row>
    <row r="7518" spans="1:5" x14ac:dyDescent="0.25">
      <c r="A7518" t="s">
        <v>1</v>
      </c>
      <c r="B7518" t="s">
        <v>19</v>
      </c>
      <c r="C7518" t="s">
        <v>23490</v>
      </c>
      <c r="D7518" t="str">
        <f>HYPERLINK("https://rhld.insurance.arkansas.gov/NPILookup?Npi=1821228909","1821228909")</f>
        <v>1821228909</v>
      </c>
      <c r="E7518" t="s">
        <v>2894</v>
      </c>
    </row>
    <row r="7519" spans="1:5" x14ac:dyDescent="0.25">
      <c r="A7519" t="s">
        <v>1</v>
      </c>
      <c r="B7519" t="s">
        <v>19</v>
      </c>
      <c r="C7519" t="s">
        <v>23490</v>
      </c>
      <c r="D7519" t="str">
        <f>HYPERLINK("https://rhld.insurance.arkansas.gov/NPILookup?Npi=1821230707","1821230707")</f>
        <v>1821230707</v>
      </c>
      <c r="E7519" t="s">
        <v>2895</v>
      </c>
    </row>
    <row r="7520" spans="1:5" x14ac:dyDescent="0.25">
      <c r="A7520" t="s">
        <v>1</v>
      </c>
      <c r="B7520" t="s">
        <v>19</v>
      </c>
      <c r="C7520" t="s">
        <v>23490</v>
      </c>
      <c r="D7520" t="str">
        <f>HYPERLINK("https://rhld.insurance.arkansas.gov/NPILookup?Npi=1821235474","1821235474")</f>
        <v>1821235474</v>
      </c>
      <c r="E7520" t="s">
        <v>2896</v>
      </c>
    </row>
    <row r="7521" spans="1:5" x14ac:dyDescent="0.25">
      <c r="A7521" t="s">
        <v>1</v>
      </c>
      <c r="B7521" t="s">
        <v>19</v>
      </c>
      <c r="C7521" t="s">
        <v>23490</v>
      </c>
      <c r="D7521" t="str">
        <f>HYPERLINK("https://rhld.insurance.arkansas.gov/NPILookup?Npi=1821265356","1821265356")</f>
        <v>1821265356</v>
      </c>
      <c r="E7521" t="s">
        <v>2897</v>
      </c>
    </row>
    <row r="7522" spans="1:5" x14ac:dyDescent="0.25">
      <c r="A7522" t="s">
        <v>1</v>
      </c>
      <c r="B7522" t="s">
        <v>19</v>
      </c>
      <c r="C7522" t="s">
        <v>23490</v>
      </c>
      <c r="D7522" t="str">
        <f>HYPERLINK("https://rhld.insurance.arkansas.gov/NPILookup?Npi=1821295148","1821295148")</f>
        <v>1821295148</v>
      </c>
      <c r="E7522" t="s">
        <v>2898</v>
      </c>
    </row>
    <row r="7523" spans="1:5" x14ac:dyDescent="0.25">
      <c r="A7523" t="s">
        <v>1</v>
      </c>
      <c r="B7523" t="s">
        <v>19</v>
      </c>
      <c r="C7523" t="s">
        <v>23490</v>
      </c>
      <c r="D7523" t="str">
        <f>HYPERLINK("https://rhld.insurance.arkansas.gov/NPILookup?Npi=1821297961","1821297961")</f>
        <v>1821297961</v>
      </c>
      <c r="E7523" t="s">
        <v>18871</v>
      </c>
    </row>
    <row r="7524" spans="1:5" x14ac:dyDescent="0.25">
      <c r="A7524" t="s">
        <v>1</v>
      </c>
      <c r="B7524" t="s">
        <v>19</v>
      </c>
      <c r="C7524" t="s">
        <v>23490</v>
      </c>
      <c r="D7524" t="str">
        <f>HYPERLINK("https://rhld.insurance.arkansas.gov/NPILookup?Npi=1821301466","1821301466")</f>
        <v>1821301466</v>
      </c>
      <c r="E7524" t="s">
        <v>2899</v>
      </c>
    </row>
    <row r="7525" spans="1:5" x14ac:dyDescent="0.25">
      <c r="A7525" t="s">
        <v>1</v>
      </c>
      <c r="B7525" t="s">
        <v>19</v>
      </c>
      <c r="C7525" t="s">
        <v>23490</v>
      </c>
      <c r="D7525" t="str">
        <f>HYPERLINK("https://rhld.insurance.arkansas.gov/NPILookup?Npi=1821338476","1821338476")</f>
        <v>1821338476</v>
      </c>
      <c r="E7525" t="s">
        <v>15599</v>
      </c>
    </row>
    <row r="7526" spans="1:5" x14ac:dyDescent="0.25">
      <c r="A7526" t="s">
        <v>1</v>
      </c>
      <c r="B7526" t="s">
        <v>19</v>
      </c>
      <c r="C7526" t="s">
        <v>23490</v>
      </c>
      <c r="D7526" t="str">
        <f>HYPERLINK("https://rhld.insurance.arkansas.gov/NPILookup?Npi=1821350232","1821350232")</f>
        <v>1821350232</v>
      </c>
      <c r="E7526" t="s">
        <v>13730</v>
      </c>
    </row>
    <row r="7527" spans="1:5" x14ac:dyDescent="0.25">
      <c r="A7527" t="s">
        <v>1</v>
      </c>
      <c r="B7527" t="s">
        <v>19</v>
      </c>
      <c r="C7527" t="s">
        <v>23490</v>
      </c>
      <c r="D7527" t="str">
        <f>HYPERLINK("https://rhld.insurance.arkansas.gov/NPILookup?Npi=1821357864","1821357864")</f>
        <v>1821357864</v>
      </c>
      <c r="E7527" t="s">
        <v>15600</v>
      </c>
    </row>
    <row r="7528" spans="1:5" x14ac:dyDescent="0.25">
      <c r="A7528" t="s">
        <v>1</v>
      </c>
      <c r="B7528" t="s">
        <v>19</v>
      </c>
      <c r="C7528" t="s">
        <v>23490</v>
      </c>
      <c r="D7528" t="str">
        <f>HYPERLINK("https://rhld.insurance.arkansas.gov/NPILookup?Npi=1821368721","1821368721")</f>
        <v>1821368721</v>
      </c>
      <c r="E7528" t="s">
        <v>2900</v>
      </c>
    </row>
    <row r="7529" spans="1:5" x14ac:dyDescent="0.25">
      <c r="A7529" t="s">
        <v>1</v>
      </c>
      <c r="B7529" t="s">
        <v>19</v>
      </c>
      <c r="C7529" t="s">
        <v>23490</v>
      </c>
      <c r="D7529" t="str">
        <f>HYPERLINK("https://rhld.insurance.arkansas.gov/NPILookup?Npi=1821384587","1821384587")</f>
        <v>1821384587</v>
      </c>
      <c r="E7529" t="s">
        <v>20051</v>
      </c>
    </row>
    <row r="7530" spans="1:5" x14ac:dyDescent="0.25">
      <c r="A7530" t="s">
        <v>1</v>
      </c>
      <c r="B7530" t="s">
        <v>19</v>
      </c>
      <c r="C7530" t="s">
        <v>23490</v>
      </c>
      <c r="D7530" t="str">
        <f>HYPERLINK("https://rhld.insurance.arkansas.gov/NPILookup?Npi=1821404682","1821404682")</f>
        <v>1821404682</v>
      </c>
      <c r="E7530" t="s">
        <v>11298</v>
      </c>
    </row>
    <row r="7531" spans="1:5" x14ac:dyDescent="0.25">
      <c r="A7531" t="s">
        <v>1</v>
      </c>
      <c r="B7531" t="s">
        <v>19</v>
      </c>
      <c r="C7531" t="s">
        <v>23490</v>
      </c>
      <c r="D7531" t="str">
        <f>HYPERLINK("https://rhld.insurance.arkansas.gov/NPILookup?Npi=1821419094","1821419094")</f>
        <v>1821419094</v>
      </c>
      <c r="E7531" t="s">
        <v>15601</v>
      </c>
    </row>
    <row r="7532" spans="1:5" x14ac:dyDescent="0.25">
      <c r="A7532" t="s">
        <v>1</v>
      </c>
      <c r="B7532" t="s">
        <v>19</v>
      </c>
      <c r="C7532" t="s">
        <v>23490</v>
      </c>
      <c r="D7532" t="str">
        <f>HYPERLINK("https://rhld.insurance.arkansas.gov/NPILookup?Npi=1821437302","1821437302")</f>
        <v>1821437302</v>
      </c>
      <c r="E7532" t="s">
        <v>2901</v>
      </c>
    </row>
    <row r="7533" spans="1:5" x14ac:dyDescent="0.25">
      <c r="A7533" t="s">
        <v>1</v>
      </c>
      <c r="B7533" t="s">
        <v>19</v>
      </c>
      <c r="C7533" t="s">
        <v>23490</v>
      </c>
      <c r="D7533" t="str">
        <f>HYPERLINK("https://rhld.insurance.arkansas.gov/NPILookup?Npi=1821437328","1821437328")</f>
        <v>1821437328</v>
      </c>
      <c r="E7533" t="s">
        <v>12918</v>
      </c>
    </row>
    <row r="7534" spans="1:5" x14ac:dyDescent="0.25">
      <c r="A7534" t="s">
        <v>1</v>
      </c>
      <c r="B7534" t="s">
        <v>19</v>
      </c>
      <c r="C7534" t="s">
        <v>23490</v>
      </c>
      <c r="D7534" t="str">
        <f>HYPERLINK("https://rhld.insurance.arkansas.gov/NPILookup?Npi=1821440116","1821440116")</f>
        <v>1821440116</v>
      </c>
      <c r="E7534" t="s">
        <v>20052</v>
      </c>
    </row>
    <row r="7535" spans="1:5" x14ac:dyDescent="0.25">
      <c r="A7535" t="s">
        <v>1</v>
      </c>
      <c r="B7535" t="s">
        <v>19</v>
      </c>
      <c r="C7535" t="s">
        <v>23490</v>
      </c>
      <c r="D7535" t="str">
        <f>HYPERLINK("https://rhld.insurance.arkansas.gov/NPILookup?Npi=1821449372","1821449372")</f>
        <v>1821449372</v>
      </c>
      <c r="E7535" t="s">
        <v>11299</v>
      </c>
    </row>
    <row r="7536" spans="1:5" x14ac:dyDescent="0.25">
      <c r="A7536" t="s">
        <v>1</v>
      </c>
      <c r="B7536" t="s">
        <v>19</v>
      </c>
      <c r="C7536" t="s">
        <v>23490</v>
      </c>
      <c r="D7536" t="str">
        <f>HYPERLINK("https://rhld.insurance.arkansas.gov/NPILookup?Npi=1821450479","1821450479")</f>
        <v>1821450479</v>
      </c>
      <c r="E7536" t="s">
        <v>20053</v>
      </c>
    </row>
    <row r="7537" spans="1:5" x14ac:dyDescent="0.25">
      <c r="A7537" t="s">
        <v>1</v>
      </c>
      <c r="B7537" t="s">
        <v>19</v>
      </c>
      <c r="C7537" t="s">
        <v>23490</v>
      </c>
      <c r="D7537" t="str">
        <f>HYPERLINK("https://rhld.insurance.arkansas.gov/NPILookup?Npi=1821455734","1821455734")</f>
        <v>1821455734</v>
      </c>
      <c r="E7537" t="s">
        <v>15602</v>
      </c>
    </row>
    <row r="7538" spans="1:5" x14ac:dyDescent="0.25">
      <c r="A7538" t="s">
        <v>1</v>
      </c>
      <c r="B7538" t="s">
        <v>19</v>
      </c>
      <c r="C7538" t="s">
        <v>23490</v>
      </c>
      <c r="D7538" t="str">
        <f>HYPERLINK("https://rhld.insurance.arkansas.gov/NPILookup?Npi=1821458605","1821458605")</f>
        <v>1821458605</v>
      </c>
      <c r="E7538" t="s">
        <v>11300</v>
      </c>
    </row>
    <row r="7539" spans="1:5" x14ac:dyDescent="0.25">
      <c r="A7539" t="s">
        <v>1</v>
      </c>
      <c r="B7539" t="s">
        <v>19</v>
      </c>
      <c r="C7539" t="s">
        <v>23490</v>
      </c>
      <c r="D7539" t="str">
        <f>HYPERLINK("https://rhld.insurance.arkansas.gov/NPILookup?Npi=1821469065","1821469065")</f>
        <v>1821469065</v>
      </c>
      <c r="E7539" t="s">
        <v>17038</v>
      </c>
    </row>
    <row r="7540" spans="1:5" x14ac:dyDescent="0.25">
      <c r="A7540" t="s">
        <v>1</v>
      </c>
      <c r="B7540" t="s">
        <v>19</v>
      </c>
      <c r="C7540" t="s">
        <v>23490</v>
      </c>
      <c r="D7540" t="str">
        <f>HYPERLINK("https://rhld.insurance.arkansas.gov/NPILookup?Npi=1821470733","1821470733")</f>
        <v>1821470733</v>
      </c>
      <c r="E7540" t="s">
        <v>15603</v>
      </c>
    </row>
    <row r="7541" spans="1:5" x14ac:dyDescent="0.25">
      <c r="A7541" t="s">
        <v>1</v>
      </c>
      <c r="B7541" t="s">
        <v>19</v>
      </c>
      <c r="C7541" t="s">
        <v>23490</v>
      </c>
      <c r="D7541" t="str">
        <f>HYPERLINK("https://rhld.insurance.arkansas.gov/NPILookup?Npi=1821471855","1821471855")</f>
        <v>1821471855</v>
      </c>
      <c r="E7541" t="s">
        <v>12919</v>
      </c>
    </row>
    <row r="7542" spans="1:5" x14ac:dyDescent="0.25">
      <c r="A7542" t="s">
        <v>1</v>
      </c>
      <c r="B7542" t="s">
        <v>19</v>
      </c>
      <c r="C7542" t="s">
        <v>23490</v>
      </c>
      <c r="D7542" t="str">
        <f>HYPERLINK("https://rhld.insurance.arkansas.gov/NPILookup?Npi=1821479767","1821479767")</f>
        <v>1821479767</v>
      </c>
      <c r="E7542" t="s">
        <v>2902</v>
      </c>
    </row>
    <row r="7543" spans="1:5" x14ac:dyDescent="0.25">
      <c r="A7543" t="s">
        <v>1</v>
      </c>
      <c r="B7543" t="s">
        <v>19</v>
      </c>
      <c r="C7543" t="s">
        <v>23490</v>
      </c>
      <c r="D7543" t="str">
        <f>HYPERLINK("https://rhld.insurance.arkansas.gov/NPILookup?Npi=1821487844","1821487844")</f>
        <v>1821487844</v>
      </c>
      <c r="E7543" t="s">
        <v>13035</v>
      </c>
    </row>
    <row r="7544" spans="1:5" x14ac:dyDescent="0.25">
      <c r="A7544" t="s">
        <v>1</v>
      </c>
      <c r="B7544" t="s">
        <v>19</v>
      </c>
      <c r="C7544" t="s">
        <v>23490</v>
      </c>
      <c r="D7544" t="str">
        <f>HYPERLINK("https://rhld.insurance.arkansas.gov/NPILookup?Npi=1821494857","1821494857")</f>
        <v>1821494857</v>
      </c>
      <c r="E7544" t="s">
        <v>20054</v>
      </c>
    </row>
    <row r="7545" spans="1:5" x14ac:dyDescent="0.25">
      <c r="A7545" t="s">
        <v>1</v>
      </c>
      <c r="B7545" t="s">
        <v>19</v>
      </c>
      <c r="C7545" t="s">
        <v>23490</v>
      </c>
      <c r="D7545" t="str">
        <f>HYPERLINK("https://rhld.insurance.arkansas.gov/NPILookup?Npi=1821504226","1821504226")</f>
        <v>1821504226</v>
      </c>
      <c r="E7545" t="s">
        <v>13731</v>
      </c>
    </row>
    <row r="7546" spans="1:5" x14ac:dyDescent="0.25">
      <c r="A7546" t="s">
        <v>1</v>
      </c>
      <c r="B7546" t="s">
        <v>19</v>
      </c>
      <c r="C7546" t="s">
        <v>23490</v>
      </c>
      <c r="D7546" t="str">
        <f>HYPERLINK("https://rhld.insurance.arkansas.gov/NPILookup?Npi=1821506817","1821506817")</f>
        <v>1821506817</v>
      </c>
      <c r="E7546" t="s">
        <v>20055</v>
      </c>
    </row>
    <row r="7547" spans="1:5" x14ac:dyDescent="0.25">
      <c r="A7547" t="s">
        <v>1</v>
      </c>
      <c r="B7547" t="s">
        <v>19</v>
      </c>
      <c r="C7547" t="s">
        <v>23490</v>
      </c>
      <c r="D7547" t="str">
        <f>HYPERLINK("https://rhld.insurance.arkansas.gov/NPILookup?Npi=1821507419","1821507419")</f>
        <v>1821507419</v>
      </c>
      <c r="E7547" t="s">
        <v>21046</v>
      </c>
    </row>
    <row r="7548" spans="1:5" x14ac:dyDescent="0.25">
      <c r="A7548" t="s">
        <v>1</v>
      </c>
      <c r="B7548" t="s">
        <v>19</v>
      </c>
      <c r="C7548" t="s">
        <v>23490</v>
      </c>
      <c r="D7548" t="str">
        <f>HYPERLINK("https://rhld.insurance.arkansas.gov/NPILookup?Npi=1821514506","1821514506")</f>
        <v>1821514506</v>
      </c>
      <c r="E7548" t="s">
        <v>15604</v>
      </c>
    </row>
    <row r="7549" spans="1:5" x14ac:dyDescent="0.25">
      <c r="A7549" t="s">
        <v>1</v>
      </c>
      <c r="B7549" t="s">
        <v>19</v>
      </c>
      <c r="C7549" t="s">
        <v>23490</v>
      </c>
      <c r="D7549" t="str">
        <f>HYPERLINK("https://rhld.insurance.arkansas.gov/NPILookup?Npi=1821515792","1821515792")</f>
        <v>1821515792</v>
      </c>
      <c r="E7549" t="s">
        <v>11301</v>
      </c>
    </row>
    <row r="7550" spans="1:5" x14ac:dyDescent="0.25">
      <c r="A7550" t="s">
        <v>1</v>
      </c>
      <c r="B7550" t="s">
        <v>19</v>
      </c>
      <c r="C7550" t="s">
        <v>23490</v>
      </c>
      <c r="D7550" t="str">
        <f>HYPERLINK("https://rhld.insurance.arkansas.gov/NPILookup?Npi=1821523994","1821523994")</f>
        <v>1821523994</v>
      </c>
      <c r="E7550" t="s">
        <v>17482</v>
      </c>
    </row>
    <row r="7551" spans="1:5" x14ac:dyDescent="0.25">
      <c r="A7551" t="s">
        <v>1</v>
      </c>
      <c r="B7551" t="s">
        <v>19</v>
      </c>
      <c r="C7551" t="s">
        <v>23490</v>
      </c>
      <c r="D7551" t="str">
        <f>HYPERLINK("https://rhld.insurance.arkansas.gov/NPILookup?Npi=1821525916","1821525916")</f>
        <v>1821525916</v>
      </c>
      <c r="E7551" t="s">
        <v>11302</v>
      </c>
    </row>
    <row r="7552" spans="1:5" x14ac:dyDescent="0.25">
      <c r="A7552" t="s">
        <v>1</v>
      </c>
      <c r="B7552" t="s">
        <v>19</v>
      </c>
      <c r="C7552" t="s">
        <v>23490</v>
      </c>
      <c r="D7552" t="str">
        <f>HYPERLINK("https://rhld.insurance.arkansas.gov/NPILookup?Npi=1821526146","1821526146")</f>
        <v>1821526146</v>
      </c>
      <c r="E7552" t="s">
        <v>13732</v>
      </c>
    </row>
    <row r="7553" spans="1:5" x14ac:dyDescent="0.25">
      <c r="A7553" t="s">
        <v>1</v>
      </c>
      <c r="B7553" t="s">
        <v>19</v>
      </c>
      <c r="C7553" t="s">
        <v>23490</v>
      </c>
      <c r="D7553" t="str">
        <f>HYPERLINK("https://rhld.insurance.arkansas.gov/NPILookup?Npi=1821534835","1821534835")</f>
        <v>1821534835</v>
      </c>
      <c r="E7553" t="s">
        <v>11303</v>
      </c>
    </row>
    <row r="7554" spans="1:5" x14ac:dyDescent="0.25">
      <c r="A7554" t="s">
        <v>1</v>
      </c>
      <c r="B7554" t="s">
        <v>19</v>
      </c>
      <c r="C7554" t="s">
        <v>23490</v>
      </c>
      <c r="D7554" t="str">
        <f>HYPERLINK("https://rhld.insurance.arkansas.gov/NPILookup?Npi=1821537168","1821537168")</f>
        <v>1821537168</v>
      </c>
      <c r="E7554" t="s">
        <v>11304</v>
      </c>
    </row>
    <row r="7555" spans="1:5" x14ac:dyDescent="0.25">
      <c r="A7555" t="s">
        <v>1</v>
      </c>
      <c r="B7555" t="s">
        <v>19</v>
      </c>
      <c r="C7555" t="s">
        <v>23490</v>
      </c>
      <c r="D7555" t="str">
        <f>HYPERLINK("https://rhld.insurance.arkansas.gov/NPILookup?Npi=1821538125","1821538125")</f>
        <v>1821538125</v>
      </c>
      <c r="E7555" t="s">
        <v>11305</v>
      </c>
    </row>
    <row r="7556" spans="1:5" x14ac:dyDescent="0.25">
      <c r="A7556" t="s">
        <v>1</v>
      </c>
      <c r="B7556" t="s">
        <v>19</v>
      </c>
      <c r="C7556" t="s">
        <v>23490</v>
      </c>
      <c r="D7556" t="str">
        <f>HYPERLINK("https://rhld.insurance.arkansas.gov/NPILookup?Npi=1821539248","1821539248")</f>
        <v>1821539248</v>
      </c>
      <c r="E7556" t="s">
        <v>20056</v>
      </c>
    </row>
    <row r="7557" spans="1:5" x14ac:dyDescent="0.25">
      <c r="A7557" t="s">
        <v>1</v>
      </c>
      <c r="B7557" t="s">
        <v>19</v>
      </c>
      <c r="C7557" t="s">
        <v>23490</v>
      </c>
      <c r="D7557" t="str">
        <f>HYPERLINK("https://rhld.insurance.arkansas.gov/NPILookup?Npi=1821541673","1821541673")</f>
        <v>1821541673</v>
      </c>
      <c r="E7557" t="s">
        <v>11306</v>
      </c>
    </row>
    <row r="7558" spans="1:5" x14ac:dyDescent="0.25">
      <c r="A7558" t="s">
        <v>1</v>
      </c>
      <c r="B7558" t="s">
        <v>19</v>
      </c>
      <c r="C7558" t="s">
        <v>23490</v>
      </c>
      <c r="D7558" t="str">
        <f>HYPERLINK("https://rhld.insurance.arkansas.gov/NPILookup?Npi=1821554296","1821554296")</f>
        <v>1821554296</v>
      </c>
      <c r="E7558" t="s">
        <v>17039</v>
      </c>
    </row>
    <row r="7559" spans="1:5" x14ac:dyDescent="0.25">
      <c r="A7559" t="s">
        <v>1</v>
      </c>
      <c r="B7559" t="s">
        <v>19</v>
      </c>
      <c r="C7559" t="s">
        <v>23490</v>
      </c>
      <c r="D7559" t="str">
        <f>HYPERLINK("https://rhld.insurance.arkansas.gov/NPILookup?Npi=1821559626","1821559626")</f>
        <v>1821559626</v>
      </c>
      <c r="E7559" t="s">
        <v>21047</v>
      </c>
    </row>
    <row r="7560" spans="1:5" x14ac:dyDescent="0.25">
      <c r="A7560" t="s">
        <v>1</v>
      </c>
      <c r="B7560" t="s">
        <v>19</v>
      </c>
      <c r="C7560" t="s">
        <v>23490</v>
      </c>
      <c r="D7560" t="str">
        <f>HYPERLINK("https://rhld.insurance.arkansas.gov/NPILookup?Npi=1821564204","1821564204")</f>
        <v>1821564204</v>
      </c>
      <c r="E7560" t="s">
        <v>15605</v>
      </c>
    </row>
    <row r="7561" spans="1:5" x14ac:dyDescent="0.25">
      <c r="A7561" t="s">
        <v>1</v>
      </c>
      <c r="B7561" t="s">
        <v>19</v>
      </c>
      <c r="C7561" t="s">
        <v>23490</v>
      </c>
      <c r="D7561" t="str">
        <f>HYPERLINK("https://rhld.insurance.arkansas.gov/NPILookup?Npi=1821574013","1821574013")</f>
        <v>1821574013</v>
      </c>
      <c r="E7561" t="s">
        <v>13733</v>
      </c>
    </row>
    <row r="7562" spans="1:5" x14ac:dyDescent="0.25">
      <c r="A7562" t="s">
        <v>1</v>
      </c>
      <c r="B7562" t="s">
        <v>19</v>
      </c>
      <c r="C7562" t="s">
        <v>23490</v>
      </c>
      <c r="D7562" t="str">
        <f>HYPERLINK("https://rhld.insurance.arkansas.gov/NPILookup?Npi=1821574641","1821574641")</f>
        <v>1821574641</v>
      </c>
      <c r="E7562" t="s">
        <v>13734</v>
      </c>
    </row>
    <row r="7563" spans="1:5" x14ac:dyDescent="0.25">
      <c r="A7563" t="s">
        <v>1</v>
      </c>
      <c r="B7563" t="s">
        <v>19</v>
      </c>
      <c r="C7563" t="s">
        <v>23490</v>
      </c>
      <c r="D7563" t="str">
        <f>HYPERLINK("https://rhld.insurance.arkansas.gov/NPILookup?Npi=1821574815","1821574815")</f>
        <v>1821574815</v>
      </c>
      <c r="E7563" t="s">
        <v>13735</v>
      </c>
    </row>
    <row r="7564" spans="1:5" x14ac:dyDescent="0.25">
      <c r="A7564" t="s">
        <v>1</v>
      </c>
      <c r="B7564" t="s">
        <v>19</v>
      </c>
      <c r="C7564" t="s">
        <v>8427</v>
      </c>
      <c r="D7564" t="str">
        <f>HYPERLINK("https://rhld.insurance.arkansas.gov/NPILookup?Npi=1821589250","1821589250")</f>
        <v>1821589250</v>
      </c>
      <c r="E7564" t="s">
        <v>22990</v>
      </c>
    </row>
    <row r="7565" spans="1:5" x14ac:dyDescent="0.25">
      <c r="A7565" t="s">
        <v>1</v>
      </c>
      <c r="B7565" t="s">
        <v>19</v>
      </c>
      <c r="C7565" t="s">
        <v>23490</v>
      </c>
      <c r="D7565" t="str">
        <f>HYPERLINK("https://rhld.insurance.arkansas.gov/NPILookup?Npi=1821589870","1821589870")</f>
        <v>1821589870</v>
      </c>
      <c r="E7565" t="s">
        <v>18872</v>
      </c>
    </row>
    <row r="7566" spans="1:5" x14ac:dyDescent="0.25">
      <c r="A7566" t="s">
        <v>1</v>
      </c>
      <c r="B7566" t="s">
        <v>19</v>
      </c>
      <c r="C7566" t="s">
        <v>23490</v>
      </c>
      <c r="D7566" t="str">
        <f>HYPERLINK("https://rhld.insurance.arkansas.gov/NPILookup?Npi=1821605916","1821605916")</f>
        <v>1821605916</v>
      </c>
      <c r="E7566" t="s">
        <v>18873</v>
      </c>
    </row>
    <row r="7567" spans="1:5" x14ac:dyDescent="0.25">
      <c r="A7567" t="s">
        <v>1</v>
      </c>
      <c r="B7567" t="s">
        <v>19</v>
      </c>
      <c r="C7567" t="s">
        <v>23490</v>
      </c>
      <c r="D7567" t="str">
        <f>HYPERLINK("https://rhld.insurance.arkansas.gov/NPILookup?Npi=1821619370","1821619370")</f>
        <v>1821619370</v>
      </c>
      <c r="E7567" t="s">
        <v>21048</v>
      </c>
    </row>
    <row r="7568" spans="1:5" x14ac:dyDescent="0.25">
      <c r="A7568" t="s">
        <v>1</v>
      </c>
      <c r="B7568" t="s">
        <v>19</v>
      </c>
      <c r="C7568" t="s">
        <v>23490</v>
      </c>
      <c r="D7568" t="str">
        <f>HYPERLINK("https://rhld.insurance.arkansas.gov/NPILookup?Npi=1821641051","1821641051")</f>
        <v>1821641051</v>
      </c>
      <c r="E7568" t="s">
        <v>21049</v>
      </c>
    </row>
    <row r="7569" spans="1:5" x14ac:dyDescent="0.25">
      <c r="A7569" t="s">
        <v>1</v>
      </c>
      <c r="B7569" t="s">
        <v>19</v>
      </c>
      <c r="C7569" t="s">
        <v>23490</v>
      </c>
      <c r="D7569" t="str">
        <f>HYPERLINK("https://rhld.insurance.arkansas.gov/NPILookup?Npi=1821643024","1821643024")</f>
        <v>1821643024</v>
      </c>
      <c r="E7569" t="s">
        <v>18137</v>
      </c>
    </row>
    <row r="7570" spans="1:5" x14ac:dyDescent="0.25">
      <c r="A7570" t="s">
        <v>1</v>
      </c>
      <c r="B7570" t="s">
        <v>19</v>
      </c>
      <c r="C7570" t="s">
        <v>23490</v>
      </c>
      <c r="D7570" t="str">
        <f>HYPERLINK("https://rhld.insurance.arkansas.gov/NPILookup?Npi=1821654880","1821654880")</f>
        <v>1821654880</v>
      </c>
      <c r="E7570" t="s">
        <v>20057</v>
      </c>
    </row>
    <row r="7571" spans="1:5" x14ac:dyDescent="0.25">
      <c r="A7571" t="s">
        <v>1</v>
      </c>
      <c r="B7571" t="s">
        <v>19</v>
      </c>
      <c r="C7571" t="s">
        <v>23490</v>
      </c>
      <c r="D7571" t="str">
        <f>HYPERLINK("https://rhld.insurance.arkansas.gov/NPILookup?Npi=1821661802","1821661802")</f>
        <v>1821661802</v>
      </c>
      <c r="E7571" t="s">
        <v>18874</v>
      </c>
    </row>
    <row r="7572" spans="1:5" x14ac:dyDescent="0.25">
      <c r="A7572" t="s">
        <v>1</v>
      </c>
      <c r="B7572" t="s">
        <v>19</v>
      </c>
      <c r="C7572" t="s">
        <v>23490</v>
      </c>
      <c r="D7572" t="str">
        <f>HYPERLINK("https://rhld.insurance.arkansas.gov/NPILookup?Npi=1821674193","1821674193")</f>
        <v>1821674193</v>
      </c>
      <c r="E7572" t="s">
        <v>18138</v>
      </c>
    </row>
    <row r="7573" spans="1:5" x14ac:dyDescent="0.25">
      <c r="A7573" t="s">
        <v>1</v>
      </c>
      <c r="B7573" t="s">
        <v>19</v>
      </c>
      <c r="C7573" t="s">
        <v>23490</v>
      </c>
      <c r="D7573" t="str">
        <f>HYPERLINK("https://rhld.insurance.arkansas.gov/NPILookup?Npi=1821678269","1821678269")</f>
        <v>1821678269</v>
      </c>
      <c r="E7573" t="s">
        <v>18876</v>
      </c>
    </row>
    <row r="7574" spans="1:5" x14ac:dyDescent="0.25">
      <c r="A7574" t="s">
        <v>1</v>
      </c>
      <c r="B7574" t="s">
        <v>19</v>
      </c>
      <c r="C7574" t="s">
        <v>23490</v>
      </c>
      <c r="D7574" t="str">
        <f>HYPERLINK("https://rhld.insurance.arkansas.gov/NPILookup?Npi=1821682238","1821682238")</f>
        <v>1821682238</v>
      </c>
      <c r="E7574" t="s">
        <v>18139</v>
      </c>
    </row>
    <row r="7575" spans="1:5" x14ac:dyDescent="0.25">
      <c r="A7575" t="s">
        <v>1</v>
      </c>
      <c r="B7575" t="s">
        <v>19</v>
      </c>
      <c r="C7575" t="s">
        <v>23490</v>
      </c>
      <c r="D7575" t="str">
        <f>HYPERLINK("https://rhld.insurance.arkansas.gov/NPILookup?Npi=1821690884","1821690884")</f>
        <v>1821690884</v>
      </c>
      <c r="E7575" t="s">
        <v>18140</v>
      </c>
    </row>
    <row r="7576" spans="1:5" x14ac:dyDescent="0.25">
      <c r="A7576" t="s">
        <v>1</v>
      </c>
      <c r="B7576" t="s">
        <v>19</v>
      </c>
      <c r="C7576" t="s">
        <v>23490</v>
      </c>
      <c r="D7576" t="str">
        <f>HYPERLINK("https://rhld.insurance.arkansas.gov/NPILookup?Npi=1821720160","1821720160")</f>
        <v>1821720160</v>
      </c>
      <c r="E7576" t="s">
        <v>21050</v>
      </c>
    </row>
    <row r="7577" spans="1:5" x14ac:dyDescent="0.25">
      <c r="A7577" t="s">
        <v>1</v>
      </c>
      <c r="B7577" t="s">
        <v>19</v>
      </c>
      <c r="C7577" t="s">
        <v>23490</v>
      </c>
      <c r="D7577" t="str">
        <f>HYPERLINK("https://rhld.insurance.arkansas.gov/NPILookup?Npi=1821730946","1821730946")</f>
        <v>1821730946</v>
      </c>
      <c r="E7577" t="s">
        <v>21051</v>
      </c>
    </row>
    <row r="7578" spans="1:5" x14ac:dyDescent="0.25">
      <c r="A7578" t="s">
        <v>1</v>
      </c>
      <c r="B7578" t="s">
        <v>19</v>
      </c>
      <c r="C7578" t="s">
        <v>23490</v>
      </c>
      <c r="D7578" t="str">
        <f>HYPERLINK("https://rhld.insurance.arkansas.gov/NPILookup?Npi=1821731498","1821731498")</f>
        <v>1821731498</v>
      </c>
      <c r="E7578" t="s">
        <v>21659</v>
      </c>
    </row>
    <row r="7579" spans="1:5" x14ac:dyDescent="0.25">
      <c r="A7579" t="s">
        <v>1</v>
      </c>
      <c r="B7579" t="s">
        <v>19</v>
      </c>
      <c r="C7579" t="s">
        <v>23490</v>
      </c>
      <c r="D7579" t="str">
        <f>HYPERLINK("https://rhld.insurance.arkansas.gov/NPILookup?Npi=1821752825","1821752825")</f>
        <v>1821752825</v>
      </c>
      <c r="E7579" t="s">
        <v>20058</v>
      </c>
    </row>
    <row r="7580" spans="1:5" x14ac:dyDescent="0.25">
      <c r="A7580" t="s">
        <v>1</v>
      </c>
      <c r="B7580" t="s">
        <v>19</v>
      </c>
      <c r="C7580" t="s">
        <v>23490</v>
      </c>
      <c r="D7580" t="str">
        <f>HYPERLINK("https://rhld.insurance.arkansas.gov/NPILookup?Npi=1821767260","1821767260")</f>
        <v>1821767260</v>
      </c>
      <c r="E7580" t="s">
        <v>20059</v>
      </c>
    </row>
    <row r="7581" spans="1:5" x14ac:dyDescent="0.25">
      <c r="A7581" t="s">
        <v>1</v>
      </c>
      <c r="B7581" t="s">
        <v>19</v>
      </c>
      <c r="C7581" t="s">
        <v>23490</v>
      </c>
      <c r="D7581" t="str">
        <f>HYPERLINK("https://rhld.insurance.arkansas.gov/NPILookup?Npi=1831103050","1831103050")</f>
        <v>1831103050</v>
      </c>
      <c r="E7581" t="s">
        <v>2903</v>
      </c>
    </row>
    <row r="7582" spans="1:5" x14ac:dyDescent="0.25">
      <c r="A7582" t="s">
        <v>1</v>
      </c>
      <c r="B7582" t="s">
        <v>19</v>
      </c>
      <c r="C7582" t="s">
        <v>23490</v>
      </c>
      <c r="D7582" t="str">
        <f>HYPERLINK("https://rhld.insurance.arkansas.gov/NPILookup?Npi=1831105683","1831105683")</f>
        <v>1831105683</v>
      </c>
      <c r="E7582" t="s">
        <v>2904</v>
      </c>
    </row>
    <row r="7583" spans="1:5" x14ac:dyDescent="0.25">
      <c r="A7583" t="s">
        <v>1</v>
      </c>
      <c r="B7583" t="s">
        <v>19</v>
      </c>
      <c r="C7583" t="s">
        <v>23490</v>
      </c>
      <c r="D7583" t="str">
        <f>HYPERLINK("https://rhld.insurance.arkansas.gov/NPILookup?Npi=1831105980","1831105980")</f>
        <v>1831105980</v>
      </c>
      <c r="E7583" t="s">
        <v>15606</v>
      </c>
    </row>
    <row r="7584" spans="1:5" x14ac:dyDescent="0.25">
      <c r="A7584" t="s">
        <v>1</v>
      </c>
      <c r="B7584" t="s">
        <v>19</v>
      </c>
      <c r="C7584" t="s">
        <v>23490</v>
      </c>
      <c r="D7584" t="str">
        <f>HYPERLINK("https://rhld.insurance.arkansas.gov/NPILookup?Npi=1831108430","1831108430")</f>
        <v>1831108430</v>
      </c>
      <c r="E7584" t="s">
        <v>2905</v>
      </c>
    </row>
    <row r="7585" spans="1:5" x14ac:dyDescent="0.25">
      <c r="A7585" t="s">
        <v>1</v>
      </c>
      <c r="B7585" t="s">
        <v>19</v>
      </c>
      <c r="C7585" t="s">
        <v>23490</v>
      </c>
      <c r="D7585" t="str">
        <f>HYPERLINK("https://rhld.insurance.arkansas.gov/NPILookup?Npi=1831110758","1831110758")</f>
        <v>1831110758</v>
      </c>
      <c r="E7585" t="s">
        <v>2906</v>
      </c>
    </row>
    <row r="7586" spans="1:5" x14ac:dyDescent="0.25">
      <c r="A7586" t="s">
        <v>1</v>
      </c>
      <c r="B7586" t="s">
        <v>19</v>
      </c>
      <c r="C7586" t="s">
        <v>23490</v>
      </c>
      <c r="D7586" t="str">
        <f>HYPERLINK("https://rhld.insurance.arkansas.gov/NPILookup?Npi=1831115047","1831115047")</f>
        <v>1831115047</v>
      </c>
      <c r="E7586" t="s">
        <v>13736</v>
      </c>
    </row>
    <row r="7587" spans="1:5" x14ac:dyDescent="0.25">
      <c r="A7587" t="s">
        <v>1</v>
      </c>
      <c r="B7587" t="s">
        <v>19</v>
      </c>
      <c r="C7587" t="s">
        <v>23490</v>
      </c>
      <c r="D7587" t="str">
        <f>HYPERLINK("https://rhld.insurance.arkansas.gov/NPILookup?Npi=1831134436","1831134436")</f>
        <v>1831134436</v>
      </c>
      <c r="E7587" t="s">
        <v>2907</v>
      </c>
    </row>
    <row r="7588" spans="1:5" x14ac:dyDescent="0.25">
      <c r="A7588" t="s">
        <v>1</v>
      </c>
      <c r="B7588" t="s">
        <v>19</v>
      </c>
      <c r="C7588" t="s">
        <v>23490</v>
      </c>
      <c r="D7588" t="str">
        <f>HYPERLINK("https://rhld.insurance.arkansas.gov/NPILookup?Npi=1831136787","1831136787")</f>
        <v>1831136787</v>
      </c>
      <c r="E7588" t="s">
        <v>15607</v>
      </c>
    </row>
    <row r="7589" spans="1:5" x14ac:dyDescent="0.25">
      <c r="A7589" t="s">
        <v>1</v>
      </c>
      <c r="B7589" t="s">
        <v>19</v>
      </c>
      <c r="C7589" t="s">
        <v>23490</v>
      </c>
      <c r="D7589" t="str">
        <f>HYPERLINK("https://rhld.insurance.arkansas.gov/NPILookup?Npi=1831139054","1831139054")</f>
        <v>1831139054</v>
      </c>
      <c r="E7589" t="s">
        <v>15608</v>
      </c>
    </row>
    <row r="7590" spans="1:5" x14ac:dyDescent="0.25">
      <c r="A7590" t="s">
        <v>1</v>
      </c>
      <c r="B7590" t="s">
        <v>19</v>
      </c>
      <c r="C7590" t="s">
        <v>23490</v>
      </c>
      <c r="D7590" t="str">
        <f>HYPERLINK("https://rhld.insurance.arkansas.gov/NPILookup?Npi=1831140508","1831140508")</f>
        <v>1831140508</v>
      </c>
      <c r="E7590" t="s">
        <v>2908</v>
      </c>
    </row>
    <row r="7591" spans="1:5" x14ac:dyDescent="0.25">
      <c r="A7591" t="s">
        <v>1</v>
      </c>
      <c r="B7591" t="s">
        <v>19</v>
      </c>
      <c r="C7591" t="s">
        <v>23490</v>
      </c>
      <c r="D7591" t="str">
        <f>HYPERLINK("https://rhld.insurance.arkansas.gov/NPILookup?Npi=1831141399","1831141399")</f>
        <v>1831141399</v>
      </c>
      <c r="E7591" t="s">
        <v>15609</v>
      </c>
    </row>
    <row r="7592" spans="1:5" x14ac:dyDescent="0.25">
      <c r="A7592" t="s">
        <v>1</v>
      </c>
      <c r="B7592" t="s">
        <v>19</v>
      </c>
      <c r="C7592" t="s">
        <v>23490</v>
      </c>
      <c r="D7592" t="str">
        <f>HYPERLINK("https://rhld.insurance.arkansas.gov/NPILookup?Npi=1831145911","1831145911")</f>
        <v>1831145911</v>
      </c>
      <c r="E7592" t="s">
        <v>2909</v>
      </c>
    </row>
    <row r="7593" spans="1:5" x14ac:dyDescent="0.25">
      <c r="A7593" t="s">
        <v>1</v>
      </c>
      <c r="B7593" t="s">
        <v>19</v>
      </c>
      <c r="C7593" t="s">
        <v>23490</v>
      </c>
      <c r="D7593" t="str">
        <f>HYPERLINK("https://rhld.insurance.arkansas.gov/NPILookup?Npi=1831149764","1831149764")</f>
        <v>1831149764</v>
      </c>
      <c r="E7593" t="s">
        <v>2910</v>
      </c>
    </row>
    <row r="7594" spans="1:5" x14ac:dyDescent="0.25">
      <c r="A7594" t="s">
        <v>1</v>
      </c>
      <c r="B7594" t="s">
        <v>19</v>
      </c>
      <c r="C7594" t="s">
        <v>23490</v>
      </c>
      <c r="D7594" t="str">
        <f>HYPERLINK("https://rhld.insurance.arkansas.gov/NPILookup?Npi=1831152081","1831152081")</f>
        <v>1831152081</v>
      </c>
      <c r="E7594" t="s">
        <v>15610</v>
      </c>
    </row>
    <row r="7595" spans="1:5" x14ac:dyDescent="0.25">
      <c r="A7595" t="s">
        <v>1</v>
      </c>
      <c r="B7595" t="s">
        <v>19</v>
      </c>
      <c r="C7595" t="s">
        <v>23490</v>
      </c>
      <c r="D7595" t="str">
        <f>HYPERLINK("https://rhld.insurance.arkansas.gov/NPILookup?Npi=1831154343","1831154343")</f>
        <v>1831154343</v>
      </c>
      <c r="E7595" t="s">
        <v>2911</v>
      </c>
    </row>
    <row r="7596" spans="1:5" x14ac:dyDescent="0.25">
      <c r="A7596" t="s">
        <v>1</v>
      </c>
      <c r="B7596" t="s">
        <v>19</v>
      </c>
      <c r="C7596" t="s">
        <v>23490</v>
      </c>
      <c r="D7596" t="str">
        <f>HYPERLINK("https://rhld.insurance.arkansas.gov/NPILookup?Npi=1831157858","1831157858")</f>
        <v>1831157858</v>
      </c>
      <c r="E7596" t="s">
        <v>2912</v>
      </c>
    </row>
    <row r="7597" spans="1:5" x14ac:dyDescent="0.25">
      <c r="A7597" t="s">
        <v>1</v>
      </c>
      <c r="B7597" t="s">
        <v>19</v>
      </c>
      <c r="C7597" t="s">
        <v>23490</v>
      </c>
      <c r="D7597" t="str">
        <f>HYPERLINK("https://rhld.insurance.arkansas.gov/NPILookup?Npi=1831158302","1831158302")</f>
        <v>1831158302</v>
      </c>
      <c r="E7597" t="s">
        <v>2913</v>
      </c>
    </row>
    <row r="7598" spans="1:5" x14ac:dyDescent="0.25">
      <c r="A7598" t="s">
        <v>1</v>
      </c>
      <c r="B7598" t="s">
        <v>19</v>
      </c>
      <c r="C7598" t="s">
        <v>23490</v>
      </c>
      <c r="D7598" t="str">
        <f>HYPERLINK("https://rhld.insurance.arkansas.gov/NPILookup?Npi=1831159185","1831159185")</f>
        <v>1831159185</v>
      </c>
      <c r="E7598" t="s">
        <v>2914</v>
      </c>
    </row>
    <row r="7599" spans="1:5" x14ac:dyDescent="0.25">
      <c r="A7599" t="s">
        <v>1</v>
      </c>
      <c r="B7599" t="s">
        <v>19</v>
      </c>
      <c r="C7599" t="s">
        <v>23490</v>
      </c>
      <c r="D7599" t="str">
        <f>HYPERLINK("https://rhld.insurance.arkansas.gov/NPILookup?Npi=1831166677","1831166677")</f>
        <v>1831166677</v>
      </c>
      <c r="E7599" t="s">
        <v>2915</v>
      </c>
    </row>
    <row r="7600" spans="1:5" x14ac:dyDescent="0.25">
      <c r="A7600" t="s">
        <v>1</v>
      </c>
      <c r="B7600" t="s">
        <v>19</v>
      </c>
      <c r="C7600" t="s">
        <v>23490</v>
      </c>
      <c r="D7600" t="str">
        <f>HYPERLINK("https://rhld.insurance.arkansas.gov/NPILookup?Npi=1831168350","1831168350")</f>
        <v>1831168350</v>
      </c>
      <c r="E7600" t="s">
        <v>2916</v>
      </c>
    </row>
    <row r="7601" spans="1:5" x14ac:dyDescent="0.25">
      <c r="A7601" t="s">
        <v>1</v>
      </c>
      <c r="B7601" t="s">
        <v>19</v>
      </c>
      <c r="C7601" t="s">
        <v>23490</v>
      </c>
      <c r="D7601" t="str">
        <f>HYPERLINK("https://rhld.insurance.arkansas.gov/NPILookup?Npi=1831170984","1831170984")</f>
        <v>1831170984</v>
      </c>
      <c r="E7601" t="s">
        <v>2917</v>
      </c>
    </row>
    <row r="7602" spans="1:5" x14ac:dyDescent="0.25">
      <c r="A7602" t="s">
        <v>1</v>
      </c>
      <c r="B7602" t="s">
        <v>19</v>
      </c>
      <c r="C7602" t="s">
        <v>23490</v>
      </c>
      <c r="D7602" t="str">
        <f>HYPERLINK("https://rhld.insurance.arkansas.gov/NPILookup?Npi=1831172444","1831172444")</f>
        <v>1831172444</v>
      </c>
      <c r="E7602" t="s">
        <v>2918</v>
      </c>
    </row>
    <row r="7603" spans="1:5" x14ac:dyDescent="0.25">
      <c r="A7603" t="s">
        <v>1</v>
      </c>
      <c r="B7603" t="s">
        <v>19</v>
      </c>
      <c r="C7603" t="s">
        <v>23490</v>
      </c>
      <c r="D7603" t="str">
        <f>HYPERLINK("https://rhld.insurance.arkansas.gov/NPILookup?Npi=1831178524","1831178524")</f>
        <v>1831178524</v>
      </c>
      <c r="E7603" t="s">
        <v>2919</v>
      </c>
    </row>
    <row r="7604" spans="1:5" x14ac:dyDescent="0.25">
      <c r="A7604" t="s">
        <v>1</v>
      </c>
      <c r="B7604" t="s">
        <v>19</v>
      </c>
      <c r="C7604" t="s">
        <v>23490</v>
      </c>
      <c r="D7604" t="str">
        <f>HYPERLINK("https://rhld.insurance.arkansas.gov/NPILookup?Npi=1831179779","1831179779")</f>
        <v>1831179779</v>
      </c>
      <c r="E7604" t="s">
        <v>2920</v>
      </c>
    </row>
    <row r="7605" spans="1:5" x14ac:dyDescent="0.25">
      <c r="A7605" t="s">
        <v>1</v>
      </c>
      <c r="B7605" t="s">
        <v>19</v>
      </c>
      <c r="C7605" t="s">
        <v>23490</v>
      </c>
      <c r="D7605" t="str">
        <f>HYPERLINK("https://rhld.insurance.arkansas.gov/NPILookup?Npi=1831182526","1831182526")</f>
        <v>1831182526</v>
      </c>
      <c r="E7605" t="s">
        <v>2921</v>
      </c>
    </row>
    <row r="7606" spans="1:5" x14ac:dyDescent="0.25">
      <c r="A7606" t="s">
        <v>1</v>
      </c>
      <c r="B7606" t="s">
        <v>19</v>
      </c>
      <c r="C7606" t="s">
        <v>23490</v>
      </c>
      <c r="D7606" t="str">
        <f>HYPERLINK("https://rhld.insurance.arkansas.gov/NPILookup?Npi=1831184068","1831184068")</f>
        <v>1831184068</v>
      </c>
      <c r="E7606" t="s">
        <v>2922</v>
      </c>
    </row>
    <row r="7607" spans="1:5" x14ac:dyDescent="0.25">
      <c r="A7607" t="s">
        <v>1</v>
      </c>
      <c r="B7607" t="s">
        <v>19</v>
      </c>
      <c r="C7607" t="s">
        <v>23490</v>
      </c>
      <c r="D7607" t="str">
        <f>HYPERLINK("https://rhld.insurance.arkansas.gov/NPILookup?Npi=1831184837","1831184837")</f>
        <v>1831184837</v>
      </c>
      <c r="E7607" t="s">
        <v>2923</v>
      </c>
    </row>
    <row r="7608" spans="1:5" x14ac:dyDescent="0.25">
      <c r="A7608" t="s">
        <v>1</v>
      </c>
      <c r="B7608" t="s">
        <v>19</v>
      </c>
      <c r="C7608" t="s">
        <v>23490</v>
      </c>
      <c r="D7608" t="str">
        <f>HYPERLINK("https://rhld.insurance.arkansas.gov/NPILookup?Npi=1831187384","1831187384")</f>
        <v>1831187384</v>
      </c>
      <c r="E7608" t="s">
        <v>2924</v>
      </c>
    </row>
    <row r="7609" spans="1:5" x14ac:dyDescent="0.25">
      <c r="A7609" t="s">
        <v>1</v>
      </c>
      <c r="B7609" t="s">
        <v>19</v>
      </c>
      <c r="C7609" t="s">
        <v>23490</v>
      </c>
      <c r="D7609" t="str">
        <f>HYPERLINK("https://rhld.insurance.arkansas.gov/NPILookup?Npi=1831187699","1831187699")</f>
        <v>1831187699</v>
      </c>
      <c r="E7609" t="s">
        <v>2925</v>
      </c>
    </row>
    <row r="7610" spans="1:5" x14ac:dyDescent="0.25">
      <c r="A7610" t="s">
        <v>1</v>
      </c>
      <c r="B7610" t="s">
        <v>19</v>
      </c>
      <c r="C7610" t="s">
        <v>23490</v>
      </c>
      <c r="D7610" t="str">
        <f>HYPERLINK("https://rhld.insurance.arkansas.gov/NPILookup?Npi=1831190339","1831190339")</f>
        <v>1831190339</v>
      </c>
      <c r="E7610" t="s">
        <v>2574</v>
      </c>
    </row>
    <row r="7611" spans="1:5" x14ac:dyDescent="0.25">
      <c r="A7611" t="s">
        <v>1</v>
      </c>
      <c r="B7611" t="s">
        <v>19</v>
      </c>
      <c r="C7611" t="s">
        <v>23490</v>
      </c>
      <c r="D7611" t="str">
        <f>HYPERLINK("https://rhld.insurance.arkansas.gov/NPILookup?Npi=1831195866","1831195866")</f>
        <v>1831195866</v>
      </c>
      <c r="E7611" t="s">
        <v>2926</v>
      </c>
    </row>
    <row r="7612" spans="1:5" x14ac:dyDescent="0.25">
      <c r="A7612" t="s">
        <v>1</v>
      </c>
      <c r="B7612" t="s">
        <v>19</v>
      </c>
      <c r="C7612" t="s">
        <v>23490</v>
      </c>
      <c r="D7612" t="str">
        <f>HYPERLINK("https://rhld.insurance.arkansas.gov/NPILookup?Npi=1831201292","1831201292")</f>
        <v>1831201292</v>
      </c>
      <c r="E7612" t="s">
        <v>15611</v>
      </c>
    </row>
    <row r="7613" spans="1:5" x14ac:dyDescent="0.25">
      <c r="A7613" t="s">
        <v>1</v>
      </c>
      <c r="B7613" t="s">
        <v>19</v>
      </c>
      <c r="C7613" t="s">
        <v>23490</v>
      </c>
      <c r="D7613" t="str">
        <f>HYPERLINK("https://rhld.insurance.arkansas.gov/NPILookup?Npi=1831203157","1831203157")</f>
        <v>1831203157</v>
      </c>
      <c r="E7613" t="s">
        <v>2927</v>
      </c>
    </row>
    <row r="7614" spans="1:5" x14ac:dyDescent="0.25">
      <c r="A7614" t="s">
        <v>1</v>
      </c>
      <c r="B7614" t="s">
        <v>19</v>
      </c>
      <c r="C7614" t="s">
        <v>23490</v>
      </c>
      <c r="D7614" t="str">
        <f>HYPERLINK("https://rhld.insurance.arkansas.gov/NPILookup?Npi=1831271493","1831271493")</f>
        <v>1831271493</v>
      </c>
      <c r="E7614" t="s">
        <v>2928</v>
      </c>
    </row>
    <row r="7615" spans="1:5" x14ac:dyDescent="0.25">
      <c r="A7615" t="s">
        <v>1</v>
      </c>
      <c r="B7615" t="s">
        <v>19</v>
      </c>
      <c r="C7615" t="s">
        <v>23490</v>
      </c>
      <c r="D7615" t="str">
        <f>HYPERLINK("https://rhld.insurance.arkansas.gov/NPILookup?Npi=1831272319","1831272319")</f>
        <v>1831272319</v>
      </c>
      <c r="E7615" t="s">
        <v>15612</v>
      </c>
    </row>
    <row r="7616" spans="1:5" x14ac:dyDescent="0.25">
      <c r="A7616" t="s">
        <v>1</v>
      </c>
      <c r="B7616" t="s">
        <v>19</v>
      </c>
      <c r="C7616" t="s">
        <v>23490</v>
      </c>
      <c r="D7616" t="str">
        <f>HYPERLINK("https://rhld.insurance.arkansas.gov/NPILookup?Npi=1831282995","1831282995")</f>
        <v>1831282995</v>
      </c>
      <c r="E7616" t="s">
        <v>2929</v>
      </c>
    </row>
    <row r="7617" spans="1:5" x14ac:dyDescent="0.25">
      <c r="A7617" t="s">
        <v>1</v>
      </c>
      <c r="B7617" t="s">
        <v>19</v>
      </c>
      <c r="C7617" t="s">
        <v>23490</v>
      </c>
      <c r="D7617" t="str">
        <f>HYPERLINK("https://rhld.insurance.arkansas.gov/NPILookup?Npi=1831291533","1831291533")</f>
        <v>1831291533</v>
      </c>
      <c r="E7617" t="s">
        <v>2930</v>
      </c>
    </row>
    <row r="7618" spans="1:5" x14ac:dyDescent="0.25">
      <c r="A7618" t="s">
        <v>1</v>
      </c>
      <c r="B7618" t="s">
        <v>19</v>
      </c>
      <c r="C7618" t="s">
        <v>23490</v>
      </c>
      <c r="D7618" t="str">
        <f>HYPERLINK("https://rhld.insurance.arkansas.gov/NPILookup?Npi=1831318286","1831318286")</f>
        <v>1831318286</v>
      </c>
      <c r="E7618" t="s">
        <v>2931</v>
      </c>
    </row>
    <row r="7619" spans="1:5" x14ac:dyDescent="0.25">
      <c r="A7619" t="s">
        <v>1</v>
      </c>
      <c r="B7619" t="s">
        <v>19</v>
      </c>
      <c r="C7619" t="s">
        <v>23490</v>
      </c>
      <c r="D7619" t="str">
        <f>HYPERLINK("https://rhld.insurance.arkansas.gov/NPILookup?Npi=1831349018","1831349018")</f>
        <v>1831349018</v>
      </c>
      <c r="E7619" t="s">
        <v>17483</v>
      </c>
    </row>
    <row r="7620" spans="1:5" x14ac:dyDescent="0.25">
      <c r="A7620" t="s">
        <v>1</v>
      </c>
      <c r="B7620" t="s">
        <v>19</v>
      </c>
      <c r="C7620" t="s">
        <v>23490</v>
      </c>
      <c r="D7620" t="str">
        <f>HYPERLINK("https://rhld.insurance.arkansas.gov/NPILookup?Npi=1831354935","1831354935")</f>
        <v>1831354935</v>
      </c>
      <c r="E7620" t="s">
        <v>2932</v>
      </c>
    </row>
    <row r="7621" spans="1:5" x14ac:dyDescent="0.25">
      <c r="A7621" t="s">
        <v>1</v>
      </c>
      <c r="B7621" t="s">
        <v>19</v>
      </c>
      <c r="C7621" t="s">
        <v>23490</v>
      </c>
      <c r="D7621" t="str">
        <f>HYPERLINK("https://rhld.insurance.arkansas.gov/NPILookup?Npi=1831355064","1831355064")</f>
        <v>1831355064</v>
      </c>
      <c r="E7621" t="s">
        <v>22991</v>
      </c>
    </row>
    <row r="7622" spans="1:5" x14ac:dyDescent="0.25">
      <c r="A7622" t="s">
        <v>1</v>
      </c>
      <c r="B7622" t="s">
        <v>19</v>
      </c>
      <c r="C7622" t="s">
        <v>23490</v>
      </c>
      <c r="D7622" t="str">
        <f>HYPERLINK("https://rhld.insurance.arkansas.gov/NPILookup?Npi=1831359082","1831359082")</f>
        <v>1831359082</v>
      </c>
      <c r="E7622" t="s">
        <v>2933</v>
      </c>
    </row>
    <row r="7623" spans="1:5" x14ac:dyDescent="0.25">
      <c r="A7623" t="s">
        <v>1</v>
      </c>
      <c r="B7623" t="s">
        <v>19</v>
      </c>
      <c r="C7623" t="s">
        <v>23490</v>
      </c>
      <c r="D7623" t="str">
        <f>HYPERLINK("https://rhld.insurance.arkansas.gov/NPILookup?Npi=1831385095","1831385095")</f>
        <v>1831385095</v>
      </c>
      <c r="E7623" t="s">
        <v>2934</v>
      </c>
    </row>
    <row r="7624" spans="1:5" x14ac:dyDescent="0.25">
      <c r="A7624" t="s">
        <v>1</v>
      </c>
      <c r="B7624" t="s">
        <v>19</v>
      </c>
      <c r="C7624" t="s">
        <v>23490</v>
      </c>
      <c r="D7624" t="str">
        <f>HYPERLINK("https://rhld.insurance.arkansas.gov/NPILookup?Npi=1831391655","1831391655")</f>
        <v>1831391655</v>
      </c>
      <c r="E7624" t="s">
        <v>13737</v>
      </c>
    </row>
    <row r="7625" spans="1:5" x14ac:dyDescent="0.25">
      <c r="A7625" t="s">
        <v>1</v>
      </c>
      <c r="B7625" t="s">
        <v>19</v>
      </c>
      <c r="C7625" t="s">
        <v>23490</v>
      </c>
      <c r="D7625" t="str">
        <f>HYPERLINK("https://rhld.insurance.arkansas.gov/NPILookup?Npi=1831400852","1831400852")</f>
        <v>1831400852</v>
      </c>
      <c r="E7625" t="s">
        <v>2935</v>
      </c>
    </row>
    <row r="7626" spans="1:5" x14ac:dyDescent="0.25">
      <c r="A7626" t="s">
        <v>1</v>
      </c>
      <c r="B7626" t="s">
        <v>19</v>
      </c>
      <c r="C7626" t="s">
        <v>23490</v>
      </c>
      <c r="D7626" t="str">
        <f>HYPERLINK("https://rhld.insurance.arkansas.gov/NPILookup?Npi=1831409135","1831409135")</f>
        <v>1831409135</v>
      </c>
      <c r="E7626" t="s">
        <v>2936</v>
      </c>
    </row>
    <row r="7627" spans="1:5" x14ac:dyDescent="0.25">
      <c r="A7627" t="s">
        <v>1</v>
      </c>
      <c r="B7627" t="s">
        <v>19</v>
      </c>
      <c r="C7627" t="s">
        <v>23490</v>
      </c>
      <c r="D7627" t="str">
        <f>HYPERLINK("https://rhld.insurance.arkansas.gov/NPILookup?Npi=1831424266","1831424266")</f>
        <v>1831424266</v>
      </c>
      <c r="E7627" t="s">
        <v>2937</v>
      </c>
    </row>
    <row r="7628" spans="1:5" x14ac:dyDescent="0.25">
      <c r="A7628" t="s">
        <v>1</v>
      </c>
      <c r="B7628" t="s">
        <v>19</v>
      </c>
      <c r="C7628" t="s">
        <v>23490</v>
      </c>
      <c r="D7628" t="str">
        <f>HYPERLINK("https://rhld.insurance.arkansas.gov/NPILookup?Npi=1831439116","1831439116")</f>
        <v>1831439116</v>
      </c>
      <c r="E7628" t="s">
        <v>13738</v>
      </c>
    </row>
    <row r="7629" spans="1:5" x14ac:dyDescent="0.25">
      <c r="A7629" t="s">
        <v>1</v>
      </c>
      <c r="B7629" t="s">
        <v>19</v>
      </c>
      <c r="C7629" t="s">
        <v>23490</v>
      </c>
      <c r="D7629" t="str">
        <f>HYPERLINK("https://rhld.insurance.arkansas.gov/NPILookup?Npi=1831453935","1831453935")</f>
        <v>1831453935</v>
      </c>
      <c r="E7629" t="s">
        <v>2938</v>
      </c>
    </row>
    <row r="7630" spans="1:5" x14ac:dyDescent="0.25">
      <c r="A7630" t="s">
        <v>1</v>
      </c>
      <c r="B7630" t="s">
        <v>19</v>
      </c>
      <c r="C7630" t="s">
        <v>23490</v>
      </c>
      <c r="D7630" t="str">
        <f>HYPERLINK("https://rhld.insurance.arkansas.gov/NPILookup?Npi=1831474485","1831474485")</f>
        <v>1831474485</v>
      </c>
      <c r="E7630" t="s">
        <v>8877</v>
      </c>
    </row>
    <row r="7631" spans="1:5" x14ac:dyDescent="0.25">
      <c r="A7631" t="s">
        <v>1</v>
      </c>
      <c r="B7631" t="s">
        <v>19</v>
      </c>
      <c r="C7631" t="s">
        <v>23490</v>
      </c>
      <c r="D7631" t="str">
        <f>HYPERLINK("https://rhld.insurance.arkansas.gov/NPILookup?Npi=1831504638","1831504638")</f>
        <v>1831504638</v>
      </c>
      <c r="E7631" t="s">
        <v>2940</v>
      </c>
    </row>
    <row r="7632" spans="1:5" x14ac:dyDescent="0.25">
      <c r="A7632" t="s">
        <v>1</v>
      </c>
      <c r="B7632" t="s">
        <v>19</v>
      </c>
      <c r="C7632" t="s">
        <v>23490</v>
      </c>
      <c r="D7632" t="str">
        <f>HYPERLINK("https://rhld.insurance.arkansas.gov/NPILookup?Npi=1831505742","1831505742")</f>
        <v>1831505742</v>
      </c>
      <c r="E7632" t="s">
        <v>20060</v>
      </c>
    </row>
    <row r="7633" spans="1:5" x14ac:dyDescent="0.25">
      <c r="A7633" t="s">
        <v>1</v>
      </c>
      <c r="B7633" t="s">
        <v>19</v>
      </c>
      <c r="C7633" t="s">
        <v>23490</v>
      </c>
      <c r="D7633" t="str">
        <f>HYPERLINK("https://rhld.insurance.arkansas.gov/NPILookup?Npi=1831510007","1831510007")</f>
        <v>1831510007</v>
      </c>
      <c r="E7633" t="s">
        <v>2941</v>
      </c>
    </row>
    <row r="7634" spans="1:5" x14ac:dyDescent="0.25">
      <c r="A7634" t="s">
        <v>1</v>
      </c>
      <c r="B7634" t="s">
        <v>19</v>
      </c>
      <c r="C7634" t="s">
        <v>23490</v>
      </c>
      <c r="D7634" t="str">
        <f>HYPERLINK("https://rhld.insurance.arkansas.gov/NPILookup?Npi=1831514306","1831514306")</f>
        <v>1831514306</v>
      </c>
      <c r="E7634" t="s">
        <v>2942</v>
      </c>
    </row>
    <row r="7635" spans="1:5" x14ac:dyDescent="0.25">
      <c r="A7635" t="s">
        <v>1</v>
      </c>
      <c r="B7635" t="s">
        <v>19</v>
      </c>
      <c r="C7635" t="s">
        <v>23490</v>
      </c>
      <c r="D7635" t="str">
        <f>HYPERLINK("https://rhld.insurance.arkansas.gov/NPILookup?Npi=1831517184","1831517184")</f>
        <v>1831517184</v>
      </c>
      <c r="E7635" t="s">
        <v>2943</v>
      </c>
    </row>
    <row r="7636" spans="1:5" x14ac:dyDescent="0.25">
      <c r="A7636" t="s">
        <v>1</v>
      </c>
      <c r="B7636" t="s">
        <v>19</v>
      </c>
      <c r="C7636" t="s">
        <v>23490</v>
      </c>
      <c r="D7636" t="str">
        <f>HYPERLINK("https://rhld.insurance.arkansas.gov/NPILookup?Npi=1831523620","1831523620")</f>
        <v>1831523620</v>
      </c>
      <c r="E7636" t="s">
        <v>8878</v>
      </c>
    </row>
    <row r="7637" spans="1:5" x14ac:dyDescent="0.25">
      <c r="A7637" t="s">
        <v>1</v>
      </c>
      <c r="B7637" t="s">
        <v>19</v>
      </c>
      <c r="C7637" t="s">
        <v>23490</v>
      </c>
      <c r="D7637" t="str">
        <f>HYPERLINK("https://rhld.insurance.arkansas.gov/NPILookup?Npi=1831524909","1831524909")</f>
        <v>1831524909</v>
      </c>
      <c r="E7637" t="s">
        <v>15613</v>
      </c>
    </row>
    <row r="7638" spans="1:5" x14ac:dyDescent="0.25">
      <c r="A7638" t="s">
        <v>1</v>
      </c>
      <c r="B7638" t="s">
        <v>19</v>
      </c>
      <c r="C7638" t="s">
        <v>23490</v>
      </c>
      <c r="D7638" t="str">
        <f>HYPERLINK("https://rhld.insurance.arkansas.gov/NPILookup?Npi=1831526615","1831526615")</f>
        <v>1831526615</v>
      </c>
      <c r="E7638" t="s">
        <v>2944</v>
      </c>
    </row>
    <row r="7639" spans="1:5" x14ac:dyDescent="0.25">
      <c r="A7639" t="s">
        <v>1</v>
      </c>
      <c r="B7639" t="s">
        <v>19</v>
      </c>
      <c r="C7639" t="s">
        <v>23490</v>
      </c>
      <c r="D7639" t="str">
        <f>HYPERLINK("https://rhld.insurance.arkansas.gov/NPILookup?Npi=1831540749","1831540749")</f>
        <v>1831540749</v>
      </c>
      <c r="E7639" t="s">
        <v>15614</v>
      </c>
    </row>
    <row r="7640" spans="1:5" x14ac:dyDescent="0.25">
      <c r="A7640" t="s">
        <v>1</v>
      </c>
      <c r="B7640" t="s">
        <v>19</v>
      </c>
      <c r="C7640" t="s">
        <v>23490</v>
      </c>
      <c r="D7640" t="str">
        <f>HYPERLINK("https://rhld.insurance.arkansas.gov/NPILookup?Npi=1831547421","1831547421")</f>
        <v>1831547421</v>
      </c>
      <c r="E7640" t="s">
        <v>15615</v>
      </c>
    </row>
    <row r="7641" spans="1:5" x14ac:dyDescent="0.25">
      <c r="A7641" t="s">
        <v>1</v>
      </c>
      <c r="B7641" t="s">
        <v>19</v>
      </c>
      <c r="C7641" t="s">
        <v>23490</v>
      </c>
      <c r="D7641" t="str">
        <f>HYPERLINK("https://rhld.insurance.arkansas.gov/NPILookup?Npi=1831548270","1831548270")</f>
        <v>1831548270</v>
      </c>
      <c r="E7641" t="s">
        <v>13740</v>
      </c>
    </row>
    <row r="7642" spans="1:5" x14ac:dyDescent="0.25">
      <c r="A7642" t="s">
        <v>1</v>
      </c>
      <c r="B7642" t="s">
        <v>19</v>
      </c>
      <c r="C7642" t="s">
        <v>23490</v>
      </c>
      <c r="D7642" t="str">
        <f>HYPERLINK("https://rhld.insurance.arkansas.gov/NPILookup?Npi=1831553999","1831553999")</f>
        <v>1831553999</v>
      </c>
      <c r="E7642" t="s">
        <v>11307</v>
      </c>
    </row>
    <row r="7643" spans="1:5" x14ac:dyDescent="0.25">
      <c r="A7643" t="s">
        <v>1</v>
      </c>
      <c r="B7643" t="s">
        <v>19</v>
      </c>
      <c r="C7643" t="s">
        <v>23490</v>
      </c>
      <c r="D7643" t="str">
        <f>HYPERLINK("https://rhld.insurance.arkansas.gov/NPILookup?Npi=1831561828","1831561828")</f>
        <v>1831561828</v>
      </c>
      <c r="E7643" t="s">
        <v>8879</v>
      </c>
    </row>
    <row r="7644" spans="1:5" x14ac:dyDescent="0.25">
      <c r="A7644" t="s">
        <v>1</v>
      </c>
      <c r="B7644" t="s">
        <v>19</v>
      </c>
      <c r="C7644" t="s">
        <v>23490</v>
      </c>
      <c r="D7644" t="str">
        <f>HYPERLINK("https://rhld.insurance.arkansas.gov/NPILookup?Npi=1831573468","1831573468")</f>
        <v>1831573468</v>
      </c>
      <c r="E7644" t="s">
        <v>8880</v>
      </c>
    </row>
    <row r="7645" spans="1:5" x14ac:dyDescent="0.25">
      <c r="A7645" t="s">
        <v>1</v>
      </c>
      <c r="B7645" t="s">
        <v>19</v>
      </c>
      <c r="C7645" t="s">
        <v>23490</v>
      </c>
      <c r="D7645" t="str">
        <f>HYPERLINK("https://rhld.insurance.arkansas.gov/NPILookup?Npi=1831580018","1831580018")</f>
        <v>1831580018</v>
      </c>
      <c r="E7645" t="s">
        <v>8881</v>
      </c>
    </row>
    <row r="7646" spans="1:5" x14ac:dyDescent="0.25">
      <c r="A7646" t="s">
        <v>1</v>
      </c>
      <c r="B7646" t="s">
        <v>19</v>
      </c>
      <c r="C7646" t="s">
        <v>23490</v>
      </c>
      <c r="D7646" t="str">
        <f>HYPERLINK("https://rhld.insurance.arkansas.gov/NPILookup?Npi=1831584622","1831584622")</f>
        <v>1831584622</v>
      </c>
      <c r="E7646" t="s">
        <v>11308</v>
      </c>
    </row>
    <row r="7647" spans="1:5" x14ac:dyDescent="0.25">
      <c r="A7647" t="s">
        <v>1</v>
      </c>
      <c r="B7647" t="s">
        <v>19</v>
      </c>
      <c r="C7647" t="s">
        <v>23490</v>
      </c>
      <c r="D7647" t="str">
        <f>HYPERLINK("https://rhld.insurance.arkansas.gov/NPILookup?Npi=1831589720","1831589720")</f>
        <v>1831589720</v>
      </c>
      <c r="E7647" t="s">
        <v>11309</v>
      </c>
    </row>
    <row r="7648" spans="1:5" x14ac:dyDescent="0.25">
      <c r="A7648" t="s">
        <v>1</v>
      </c>
      <c r="B7648" t="s">
        <v>19</v>
      </c>
      <c r="C7648" t="s">
        <v>23490</v>
      </c>
      <c r="D7648" t="str">
        <f>HYPERLINK("https://rhld.insurance.arkansas.gov/NPILookup?Npi=1831610765","1831610765")</f>
        <v>1831610765</v>
      </c>
      <c r="E7648" t="s">
        <v>11310</v>
      </c>
    </row>
    <row r="7649" spans="1:5" x14ac:dyDescent="0.25">
      <c r="A7649" t="s">
        <v>1</v>
      </c>
      <c r="B7649" t="s">
        <v>19</v>
      </c>
      <c r="C7649" t="s">
        <v>23490</v>
      </c>
      <c r="D7649" t="str">
        <f>HYPERLINK("https://rhld.insurance.arkansas.gov/NPILookup?Npi=1831620434","1831620434")</f>
        <v>1831620434</v>
      </c>
      <c r="E7649" t="s">
        <v>11311</v>
      </c>
    </row>
    <row r="7650" spans="1:5" x14ac:dyDescent="0.25">
      <c r="A7650" t="s">
        <v>1</v>
      </c>
      <c r="B7650" t="s">
        <v>19</v>
      </c>
      <c r="C7650" t="s">
        <v>23490</v>
      </c>
      <c r="D7650" t="str">
        <f>HYPERLINK("https://rhld.insurance.arkansas.gov/NPILookup?Npi=1831620509","1831620509")</f>
        <v>1831620509</v>
      </c>
      <c r="E7650" t="s">
        <v>11312</v>
      </c>
    </row>
    <row r="7651" spans="1:5" x14ac:dyDescent="0.25">
      <c r="A7651" t="s">
        <v>1</v>
      </c>
      <c r="B7651" t="s">
        <v>19</v>
      </c>
      <c r="C7651" t="s">
        <v>23490</v>
      </c>
      <c r="D7651" t="str">
        <f>HYPERLINK("https://rhld.insurance.arkansas.gov/NPILookup?Npi=1831621952","1831621952")</f>
        <v>1831621952</v>
      </c>
      <c r="E7651" t="s">
        <v>13742</v>
      </c>
    </row>
    <row r="7652" spans="1:5" x14ac:dyDescent="0.25">
      <c r="A7652" t="s">
        <v>1</v>
      </c>
      <c r="B7652" t="s">
        <v>19</v>
      </c>
      <c r="C7652" t="s">
        <v>23490</v>
      </c>
      <c r="D7652" t="str">
        <f>HYPERLINK("https://rhld.insurance.arkansas.gov/NPILookup?Npi=1831624014","1831624014")</f>
        <v>1831624014</v>
      </c>
      <c r="E7652" t="s">
        <v>20061</v>
      </c>
    </row>
    <row r="7653" spans="1:5" x14ac:dyDescent="0.25">
      <c r="A7653" t="s">
        <v>1</v>
      </c>
      <c r="B7653" t="s">
        <v>19</v>
      </c>
      <c r="C7653" t="s">
        <v>23490</v>
      </c>
      <c r="D7653" t="str">
        <f>HYPERLINK("https://rhld.insurance.arkansas.gov/NPILookup?Npi=1831630219","1831630219")</f>
        <v>1831630219</v>
      </c>
      <c r="E7653" t="s">
        <v>11313</v>
      </c>
    </row>
    <row r="7654" spans="1:5" x14ac:dyDescent="0.25">
      <c r="A7654" t="s">
        <v>1</v>
      </c>
      <c r="B7654" t="s">
        <v>19</v>
      </c>
      <c r="C7654" t="s">
        <v>23490</v>
      </c>
      <c r="D7654" t="str">
        <f>HYPERLINK("https://rhld.insurance.arkansas.gov/NPILookup?Npi=1831635093","1831635093")</f>
        <v>1831635093</v>
      </c>
      <c r="E7654" t="s">
        <v>20062</v>
      </c>
    </row>
    <row r="7655" spans="1:5" x14ac:dyDescent="0.25">
      <c r="A7655" t="s">
        <v>1</v>
      </c>
      <c r="B7655" t="s">
        <v>19</v>
      </c>
      <c r="C7655" t="s">
        <v>23490</v>
      </c>
      <c r="D7655" t="str">
        <f>HYPERLINK("https://rhld.insurance.arkansas.gov/NPILookup?Npi=1831662246","1831662246")</f>
        <v>1831662246</v>
      </c>
      <c r="E7655" t="s">
        <v>13743</v>
      </c>
    </row>
    <row r="7656" spans="1:5" x14ac:dyDescent="0.25">
      <c r="A7656" t="s">
        <v>1</v>
      </c>
      <c r="B7656" t="s">
        <v>19</v>
      </c>
      <c r="C7656" t="s">
        <v>23490</v>
      </c>
      <c r="D7656" t="str">
        <f>HYPERLINK("https://rhld.insurance.arkansas.gov/NPILookup?Npi=1831665744","1831665744")</f>
        <v>1831665744</v>
      </c>
      <c r="E7656" t="s">
        <v>5860</v>
      </c>
    </row>
    <row r="7657" spans="1:5" x14ac:dyDescent="0.25">
      <c r="A7657" t="s">
        <v>1</v>
      </c>
      <c r="B7657" t="s">
        <v>19</v>
      </c>
      <c r="C7657" t="s">
        <v>23490</v>
      </c>
      <c r="D7657" t="str">
        <f>HYPERLINK("https://rhld.insurance.arkansas.gov/NPILookup?Npi=1831673789","1831673789")</f>
        <v>1831673789</v>
      </c>
      <c r="E7657" t="s">
        <v>21052</v>
      </c>
    </row>
    <row r="7658" spans="1:5" x14ac:dyDescent="0.25">
      <c r="A7658" t="s">
        <v>1</v>
      </c>
      <c r="B7658" t="s">
        <v>19</v>
      </c>
      <c r="C7658" t="s">
        <v>23490</v>
      </c>
      <c r="D7658" t="str">
        <f>HYPERLINK("https://rhld.insurance.arkansas.gov/NPILookup?Npi=1831678671","1831678671")</f>
        <v>1831678671</v>
      </c>
      <c r="E7658" t="s">
        <v>15616</v>
      </c>
    </row>
    <row r="7659" spans="1:5" x14ac:dyDescent="0.25">
      <c r="A7659" t="s">
        <v>1</v>
      </c>
      <c r="B7659" t="s">
        <v>19</v>
      </c>
      <c r="C7659" t="s">
        <v>23490</v>
      </c>
      <c r="D7659" t="str">
        <f>HYPERLINK("https://rhld.insurance.arkansas.gov/NPILookup?Npi=1831700657","1831700657")</f>
        <v>1831700657</v>
      </c>
      <c r="E7659" t="s">
        <v>21660</v>
      </c>
    </row>
    <row r="7660" spans="1:5" x14ac:dyDescent="0.25">
      <c r="A7660" t="s">
        <v>1</v>
      </c>
      <c r="B7660" t="s">
        <v>19</v>
      </c>
      <c r="C7660" t="s">
        <v>23490</v>
      </c>
      <c r="D7660" t="str">
        <f>HYPERLINK("https://rhld.insurance.arkansas.gov/NPILookup?Npi=1831714591","1831714591")</f>
        <v>1831714591</v>
      </c>
      <c r="E7660" t="s">
        <v>20063</v>
      </c>
    </row>
    <row r="7661" spans="1:5" x14ac:dyDescent="0.25">
      <c r="A7661" t="s">
        <v>1</v>
      </c>
      <c r="B7661" t="s">
        <v>19</v>
      </c>
      <c r="C7661" t="s">
        <v>23490</v>
      </c>
      <c r="D7661" t="str">
        <f>HYPERLINK("https://rhld.insurance.arkansas.gov/NPILookup?Npi=1831717115","1831717115")</f>
        <v>1831717115</v>
      </c>
      <c r="E7661" t="s">
        <v>18440</v>
      </c>
    </row>
    <row r="7662" spans="1:5" x14ac:dyDescent="0.25">
      <c r="A7662" t="s">
        <v>1</v>
      </c>
      <c r="B7662" t="s">
        <v>19</v>
      </c>
      <c r="C7662" t="s">
        <v>23490</v>
      </c>
      <c r="D7662" t="str">
        <f>HYPERLINK("https://rhld.insurance.arkansas.gov/NPILookup?Npi=1831721059","1831721059")</f>
        <v>1831721059</v>
      </c>
      <c r="E7662" t="s">
        <v>20064</v>
      </c>
    </row>
    <row r="7663" spans="1:5" x14ac:dyDescent="0.25">
      <c r="A7663" t="s">
        <v>1</v>
      </c>
      <c r="B7663" t="s">
        <v>19</v>
      </c>
      <c r="C7663" t="s">
        <v>23490</v>
      </c>
      <c r="D7663" t="str">
        <f>HYPERLINK("https://rhld.insurance.arkansas.gov/NPILookup?Npi=1831722271","1831722271")</f>
        <v>1831722271</v>
      </c>
      <c r="E7663" t="s">
        <v>18141</v>
      </c>
    </row>
    <row r="7664" spans="1:5" x14ac:dyDescent="0.25">
      <c r="A7664" t="s">
        <v>1</v>
      </c>
      <c r="B7664" t="s">
        <v>19</v>
      </c>
      <c r="C7664" t="s">
        <v>8427</v>
      </c>
      <c r="D7664" t="str">
        <f>HYPERLINK("https://rhld.insurance.arkansas.gov/NPILookup?Npi=1831727148","1831727148")</f>
        <v>1831727148</v>
      </c>
      <c r="E7664" t="s">
        <v>22992</v>
      </c>
    </row>
    <row r="7665" spans="1:5" x14ac:dyDescent="0.25">
      <c r="A7665" t="s">
        <v>1</v>
      </c>
      <c r="B7665" t="s">
        <v>19</v>
      </c>
      <c r="C7665" t="s">
        <v>23490</v>
      </c>
      <c r="D7665" t="str">
        <f>HYPERLINK("https://rhld.insurance.arkansas.gov/NPILookup?Npi=1831740125","1831740125")</f>
        <v>1831740125</v>
      </c>
      <c r="E7665" t="s">
        <v>17040</v>
      </c>
    </row>
    <row r="7666" spans="1:5" x14ac:dyDescent="0.25">
      <c r="A7666" t="s">
        <v>1</v>
      </c>
      <c r="B7666" t="s">
        <v>19</v>
      </c>
      <c r="C7666" t="s">
        <v>23490</v>
      </c>
      <c r="D7666" t="str">
        <f>HYPERLINK("https://rhld.insurance.arkansas.gov/NPILookup?Npi=1831780097","1831780097")</f>
        <v>1831780097</v>
      </c>
      <c r="E7666" t="s">
        <v>18142</v>
      </c>
    </row>
    <row r="7667" spans="1:5" x14ac:dyDescent="0.25">
      <c r="A7667" t="s">
        <v>1</v>
      </c>
      <c r="B7667" t="s">
        <v>19</v>
      </c>
      <c r="C7667" t="s">
        <v>23490</v>
      </c>
      <c r="D7667" t="str">
        <f>HYPERLINK("https://rhld.insurance.arkansas.gov/NPILookup?Npi=1831780337","1831780337")</f>
        <v>1831780337</v>
      </c>
      <c r="E7667" t="s">
        <v>18143</v>
      </c>
    </row>
    <row r="7668" spans="1:5" x14ac:dyDescent="0.25">
      <c r="A7668" t="s">
        <v>1</v>
      </c>
      <c r="B7668" t="s">
        <v>19</v>
      </c>
      <c r="C7668" t="s">
        <v>23490</v>
      </c>
      <c r="D7668" t="str">
        <f>HYPERLINK("https://rhld.insurance.arkansas.gov/NPILookup?Npi=1831807650","1831807650")</f>
        <v>1831807650</v>
      </c>
      <c r="E7668" t="s">
        <v>21661</v>
      </c>
    </row>
    <row r="7669" spans="1:5" x14ac:dyDescent="0.25">
      <c r="A7669" t="s">
        <v>1</v>
      </c>
      <c r="B7669" t="s">
        <v>19</v>
      </c>
      <c r="C7669" t="s">
        <v>23490</v>
      </c>
      <c r="D7669" t="str">
        <f>HYPERLINK("https://rhld.insurance.arkansas.gov/NPILookup?Npi=1831831833","1831831833")</f>
        <v>1831831833</v>
      </c>
      <c r="E7669" t="s">
        <v>21053</v>
      </c>
    </row>
    <row r="7670" spans="1:5" x14ac:dyDescent="0.25">
      <c r="A7670" t="s">
        <v>1</v>
      </c>
      <c r="B7670" t="s">
        <v>19</v>
      </c>
      <c r="C7670" t="s">
        <v>23490</v>
      </c>
      <c r="D7670" t="str">
        <f>HYPERLINK("https://rhld.insurance.arkansas.gov/NPILookup?Npi=1831833383","1831833383")</f>
        <v>1831833383</v>
      </c>
      <c r="E7670" t="s">
        <v>20065</v>
      </c>
    </row>
    <row r="7671" spans="1:5" x14ac:dyDescent="0.25">
      <c r="A7671" t="s">
        <v>1</v>
      </c>
      <c r="B7671" t="s">
        <v>19</v>
      </c>
      <c r="C7671" t="s">
        <v>23490</v>
      </c>
      <c r="D7671" t="str">
        <f>HYPERLINK("https://rhld.insurance.arkansas.gov/NPILookup?Npi=1831834829","1831834829")</f>
        <v>1831834829</v>
      </c>
      <c r="E7671" t="s">
        <v>21054</v>
      </c>
    </row>
    <row r="7672" spans="1:5" x14ac:dyDescent="0.25">
      <c r="A7672" t="s">
        <v>1</v>
      </c>
      <c r="B7672" t="s">
        <v>19</v>
      </c>
      <c r="C7672" t="s">
        <v>23490</v>
      </c>
      <c r="D7672" t="str">
        <f>HYPERLINK("https://rhld.insurance.arkansas.gov/NPILookup?Npi=1831850130","1831850130")</f>
        <v>1831850130</v>
      </c>
      <c r="E7672" t="s">
        <v>20066</v>
      </c>
    </row>
    <row r="7673" spans="1:5" x14ac:dyDescent="0.25">
      <c r="A7673" t="s">
        <v>1</v>
      </c>
      <c r="B7673" t="s">
        <v>19</v>
      </c>
      <c r="C7673" t="s">
        <v>23490</v>
      </c>
      <c r="D7673" t="str">
        <f>HYPERLINK("https://rhld.insurance.arkansas.gov/NPILookup?Npi=1841204278","1841204278")</f>
        <v>1841204278</v>
      </c>
      <c r="E7673" t="s">
        <v>20067</v>
      </c>
    </row>
    <row r="7674" spans="1:5" x14ac:dyDescent="0.25">
      <c r="A7674" t="s">
        <v>1</v>
      </c>
      <c r="B7674" t="s">
        <v>19</v>
      </c>
      <c r="C7674" t="s">
        <v>23490</v>
      </c>
      <c r="D7674" t="str">
        <f>HYPERLINK("https://rhld.insurance.arkansas.gov/NPILookup?Npi=1841213238","1841213238")</f>
        <v>1841213238</v>
      </c>
      <c r="E7674" t="s">
        <v>2945</v>
      </c>
    </row>
    <row r="7675" spans="1:5" x14ac:dyDescent="0.25">
      <c r="A7675" t="s">
        <v>1</v>
      </c>
      <c r="B7675" t="s">
        <v>19</v>
      </c>
      <c r="C7675" t="s">
        <v>23490</v>
      </c>
      <c r="D7675" t="str">
        <f>HYPERLINK("https://rhld.insurance.arkansas.gov/NPILookup?Npi=1841217429","1841217429")</f>
        <v>1841217429</v>
      </c>
      <c r="E7675" t="s">
        <v>2946</v>
      </c>
    </row>
    <row r="7676" spans="1:5" x14ac:dyDescent="0.25">
      <c r="A7676" t="s">
        <v>1</v>
      </c>
      <c r="B7676" t="s">
        <v>19</v>
      </c>
      <c r="C7676" t="s">
        <v>23490</v>
      </c>
      <c r="D7676" t="str">
        <f>HYPERLINK("https://rhld.insurance.arkansas.gov/NPILookup?Npi=1841223377","1841223377")</f>
        <v>1841223377</v>
      </c>
      <c r="E7676" t="s">
        <v>15617</v>
      </c>
    </row>
    <row r="7677" spans="1:5" x14ac:dyDescent="0.25">
      <c r="A7677" t="s">
        <v>1</v>
      </c>
      <c r="B7677" t="s">
        <v>19</v>
      </c>
      <c r="C7677" t="s">
        <v>23490</v>
      </c>
      <c r="D7677" t="str">
        <f>HYPERLINK("https://rhld.insurance.arkansas.gov/NPILookup?Npi=1841227071","1841227071")</f>
        <v>1841227071</v>
      </c>
      <c r="E7677" t="s">
        <v>2947</v>
      </c>
    </row>
    <row r="7678" spans="1:5" x14ac:dyDescent="0.25">
      <c r="A7678" t="s">
        <v>1</v>
      </c>
      <c r="B7678" t="s">
        <v>19</v>
      </c>
      <c r="C7678" t="s">
        <v>23490</v>
      </c>
      <c r="D7678" t="str">
        <f>HYPERLINK("https://rhld.insurance.arkansas.gov/NPILookup?Npi=1841229358","1841229358")</f>
        <v>1841229358</v>
      </c>
      <c r="E7678" t="s">
        <v>2948</v>
      </c>
    </row>
    <row r="7679" spans="1:5" x14ac:dyDescent="0.25">
      <c r="A7679" t="s">
        <v>1</v>
      </c>
      <c r="B7679" t="s">
        <v>19</v>
      </c>
      <c r="C7679" t="s">
        <v>23490</v>
      </c>
      <c r="D7679" t="str">
        <f>HYPERLINK("https://rhld.insurance.arkansas.gov/NPILookup?Npi=1841229903","1841229903")</f>
        <v>1841229903</v>
      </c>
      <c r="E7679" t="s">
        <v>15618</v>
      </c>
    </row>
    <row r="7680" spans="1:5" x14ac:dyDescent="0.25">
      <c r="A7680" t="s">
        <v>1</v>
      </c>
      <c r="B7680" t="s">
        <v>19</v>
      </c>
      <c r="C7680" t="s">
        <v>23490</v>
      </c>
      <c r="D7680" t="str">
        <f>HYPERLINK("https://rhld.insurance.arkansas.gov/NPILookup?Npi=1841238342","1841238342")</f>
        <v>1841238342</v>
      </c>
      <c r="E7680" t="s">
        <v>15619</v>
      </c>
    </row>
    <row r="7681" spans="1:5" x14ac:dyDescent="0.25">
      <c r="A7681" t="s">
        <v>1</v>
      </c>
      <c r="B7681" t="s">
        <v>19</v>
      </c>
      <c r="C7681" t="s">
        <v>23490</v>
      </c>
      <c r="D7681" t="str">
        <f>HYPERLINK("https://rhld.insurance.arkansas.gov/NPILookup?Npi=1841241007","1841241007")</f>
        <v>1841241007</v>
      </c>
      <c r="E7681" t="s">
        <v>2949</v>
      </c>
    </row>
    <row r="7682" spans="1:5" x14ac:dyDescent="0.25">
      <c r="A7682" t="s">
        <v>1</v>
      </c>
      <c r="B7682" t="s">
        <v>19</v>
      </c>
      <c r="C7682" t="s">
        <v>23490</v>
      </c>
      <c r="D7682" t="str">
        <f>HYPERLINK("https://rhld.insurance.arkansas.gov/NPILookup?Npi=1841244720","1841244720")</f>
        <v>1841244720</v>
      </c>
      <c r="E7682" t="s">
        <v>2950</v>
      </c>
    </row>
    <row r="7683" spans="1:5" x14ac:dyDescent="0.25">
      <c r="A7683" t="s">
        <v>1</v>
      </c>
      <c r="B7683" t="s">
        <v>19</v>
      </c>
      <c r="C7683" t="s">
        <v>23490</v>
      </c>
      <c r="D7683" t="str">
        <f>HYPERLINK("https://rhld.insurance.arkansas.gov/NPILookup?Npi=1841257730","1841257730")</f>
        <v>1841257730</v>
      </c>
      <c r="E7683" t="s">
        <v>11315</v>
      </c>
    </row>
    <row r="7684" spans="1:5" x14ac:dyDescent="0.25">
      <c r="A7684" t="s">
        <v>1</v>
      </c>
      <c r="B7684" t="s">
        <v>19</v>
      </c>
      <c r="C7684" t="s">
        <v>23490</v>
      </c>
      <c r="D7684" t="str">
        <f>HYPERLINK("https://rhld.insurance.arkansas.gov/NPILookup?Npi=1841257813","1841257813")</f>
        <v>1841257813</v>
      </c>
      <c r="E7684" t="s">
        <v>2951</v>
      </c>
    </row>
    <row r="7685" spans="1:5" x14ac:dyDescent="0.25">
      <c r="A7685" t="s">
        <v>1</v>
      </c>
      <c r="B7685" t="s">
        <v>19</v>
      </c>
      <c r="C7685" t="s">
        <v>23490</v>
      </c>
      <c r="D7685" t="str">
        <f>HYPERLINK("https://rhld.insurance.arkansas.gov/NPILookup?Npi=1841260122","1841260122")</f>
        <v>1841260122</v>
      </c>
      <c r="E7685" t="s">
        <v>2952</v>
      </c>
    </row>
    <row r="7686" spans="1:5" x14ac:dyDescent="0.25">
      <c r="A7686" t="s">
        <v>1</v>
      </c>
      <c r="B7686" t="s">
        <v>19</v>
      </c>
      <c r="C7686" t="s">
        <v>23490</v>
      </c>
      <c r="D7686" t="str">
        <f>HYPERLINK("https://rhld.insurance.arkansas.gov/NPILookup?Npi=1841272580","1841272580")</f>
        <v>1841272580</v>
      </c>
      <c r="E7686" t="s">
        <v>8882</v>
      </c>
    </row>
    <row r="7687" spans="1:5" x14ac:dyDescent="0.25">
      <c r="A7687" t="s">
        <v>1</v>
      </c>
      <c r="B7687" t="s">
        <v>19</v>
      </c>
      <c r="C7687" t="s">
        <v>23490</v>
      </c>
      <c r="D7687" t="str">
        <f>HYPERLINK("https://rhld.insurance.arkansas.gov/NPILookup?Npi=1841276003","1841276003")</f>
        <v>1841276003</v>
      </c>
      <c r="E7687" t="s">
        <v>2953</v>
      </c>
    </row>
    <row r="7688" spans="1:5" x14ac:dyDescent="0.25">
      <c r="A7688" t="s">
        <v>1</v>
      </c>
      <c r="B7688" t="s">
        <v>19</v>
      </c>
      <c r="C7688" t="s">
        <v>23490</v>
      </c>
      <c r="D7688" t="str">
        <f>HYPERLINK("https://rhld.insurance.arkansas.gov/NPILookup?Npi=1841278520","1841278520")</f>
        <v>1841278520</v>
      </c>
      <c r="E7688" t="s">
        <v>15620</v>
      </c>
    </row>
    <row r="7689" spans="1:5" x14ac:dyDescent="0.25">
      <c r="A7689" t="s">
        <v>1</v>
      </c>
      <c r="B7689" t="s">
        <v>19</v>
      </c>
      <c r="C7689" t="s">
        <v>23490</v>
      </c>
      <c r="D7689" t="str">
        <f>HYPERLINK("https://rhld.insurance.arkansas.gov/NPILookup?Npi=1841278611","1841278611")</f>
        <v>1841278611</v>
      </c>
      <c r="E7689" t="s">
        <v>2954</v>
      </c>
    </row>
    <row r="7690" spans="1:5" x14ac:dyDescent="0.25">
      <c r="A7690" t="s">
        <v>1</v>
      </c>
      <c r="B7690" t="s">
        <v>19</v>
      </c>
      <c r="C7690" t="s">
        <v>23490</v>
      </c>
      <c r="D7690" t="str">
        <f>HYPERLINK("https://rhld.insurance.arkansas.gov/NPILookup?Npi=1841279254","1841279254")</f>
        <v>1841279254</v>
      </c>
      <c r="E7690" t="s">
        <v>18877</v>
      </c>
    </row>
    <row r="7691" spans="1:5" x14ac:dyDescent="0.25">
      <c r="A7691" t="s">
        <v>1</v>
      </c>
      <c r="B7691" t="s">
        <v>19</v>
      </c>
      <c r="C7691" t="s">
        <v>23490</v>
      </c>
      <c r="D7691" t="str">
        <f>HYPERLINK("https://rhld.insurance.arkansas.gov/NPILookup?Npi=1841284445","1841284445")</f>
        <v>1841284445</v>
      </c>
      <c r="E7691" t="s">
        <v>2955</v>
      </c>
    </row>
    <row r="7692" spans="1:5" x14ac:dyDescent="0.25">
      <c r="A7692" t="s">
        <v>1</v>
      </c>
      <c r="B7692" t="s">
        <v>19</v>
      </c>
      <c r="C7692" t="s">
        <v>23490</v>
      </c>
      <c r="D7692" t="str">
        <f>HYPERLINK("https://rhld.insurance.arkansas.gov/NPILookup?Npi=1841285228","1841285228")</f>
        <v>1841285228</v>
      </c>
      <c r="E7692" t="s">
        <v>15621</v>
      </c>
    </row>
    <row r="7693" spans="1:5" x14ac:dyDescent="0.25">
      <c r="A7693" t="s">
        <v>1</v>
      </c>
      <c r="B7693" t="s">
        <v>19</v>
      </c>
      <c r="C7693" t="s">
        <v>23490</v>
      </c>
      <c r="D7693" t="str">
        <f>HYPERLINK("https://rhld.insurance.arkansas.gov/NPILookup?Npi=1841293537","1841293537")</f>
        <v>1841293537</v>
      </c>
      <c r="E7693" t="s">
        <v>2956</v>
      </c>
    </row>
    <row r="7694" spans="1:5" x14ac:dyDescent="0.25">
      <c r="A7694" t="s">
        <v>1</v>
      </c>
      <c r="B7694" t="s">
        <v>19</v>
      </c>
      <c r="C7694" t="s">
        <v>23490</v>
      </c>
      <c r="D7694" t="str">
        <f>HYPERLINK("https://rhld.insurance.arkansas.gov/NPILookup?Npi=1841297181","1841297181")</f>
        <v>1841297181</v>
      </c>
      <c r="E7694" t="s">
        <v>1144</v>
      </c>
    </row>
    <row r="7695" spans="1:5" x14ac:dyDescent="0.25">
      <c r="A7695" t="s">
        <v>1</v>
      </c>
      <c r="B7695" t="s">
        <v>19</v>
      </c>
      <c r="C7695" t="s">
        <v>23490</v>
      </c>
      <c r="D7695" t="str">
        <f>HYPERLINK("https://rhld.insurance.arkansas.gov/NPILookup?Npi=1841298767","1841298767")</f>
        <v>1841298767</v>
      </c>
      <c r="E7695" t="s">
        <v>2957</v>
      </c>
    </row>
    <row r="7696" spans="1:5" x14ac:dyDescent="0.25">
      <c r="A7696" t="s">
        <v>1</v>
      </c>
      <c r="B7696" t="s">
        <v>19</v>
      </c>
      <c r="C7696" t="s">
        <v>23490</v>
      </c>
      <c r="D7696" t="str">
        <f>HYPERLINK("https://rhld.insurance.arkansas.gov/NPILookup?Npi=1841315678","1841315678")</f>
        <v>1841315678</v>
      </c>
      <c r="E7696" t="s">
        <v>15622</v>
      </c>
    </row>
    <row r="7697" spans="1:5" x14ac:dyDescent="0.25">
      <c r="A7697" t="s">
        <v>1</v>
      </c>
      <c r="B7697" t="s">
        <v>19</v>
      </c>
      <c r="C7697" t="s">
        <v>23490</v>
      </c>
      <c r="D7697" t="str">
        <f>HYPERLINK("https://rhld.insurance.arkansas.gov/NPILookup?Npi=1841329760","1841329760")</f>
        <v>1841329760</v>
      </c>
      <c r="E7697" t="s">
        <v>2958</v>
      </c>
    </row>
    <row r="7698" spans="1:5" x14ac:dyDescent="0.25">
      <c r="A7698" t="s">
        <v>1</v>
      </c>
      <c r="B7698" t="s">
        <v>19</v>
      </c>
      <c r="C7698" t="s">
        <v>23490</v>
      </c>
      <c r="D7698" t="str">
        <f>HYPERLINK("https://rhld.insurance.arkansas.gov/NPILookup?Npi=1841377413","1841377413")</f>
        <v>1841377413</v>
      </c>
      <c r="E7698" t="s">
        <v>2959</v>
      </c>
    </row>
    <row r="7699" spans="1:5" x14ac:dyDescent="0.25">
      <c r="A7699" t="s">
        <v>1</v>
      </c>
      <c r="B7699" t="s">
        <v>19</v>
      </c>
      <c r="C7699" t="s">
        <v>23490</v>
      </c>
      <c r="D7699" t="str">
        <f>HYPERLINK("https://rhld.insurance.arkansas.gov/NPILookup?Npi=1841380326","1841380326")</f>
        <v>1841380326</v>
      </c>
      <c r="E7699" t="s">
        <v>2960</v>
      </c>
    </row>
    <row r="7700" spans="1:5" x14ac:dyDescent="0.25">
      <c r="A7700" t="s">
        <v>1</v>
      </c>
      <c r="B7700" t="s">
        <v>19</v>
      </c>
      <c r="C7700" t="s">
        <v>23490</v>
      </c>
      <c r="D7700" t="str">
        <f>HYPERLINK("https://rhld.insurance.arkansas.gov/NPILookup?Npi=1841386281","1841386281")</f>
        <v>1841386281</v>
      </c>
      <c r="E7700" t="s">
        <v>15623</v>
      </c>
    </row>
    <row r="7701" spans="1:5" x14ac:dyDescent="0.25">
      <c r="A7701" t="s">
        <v>1</v>
      </c>
      <c r="B7701" t="s">
        <v>19</v>
      </c>
      <c r="C7701" t="s">
        <v>23490</v>
      </c>
      <c r="D7701" t="str">
        <f>HYPERLINK("https://rhld.insurance.arkansas.gov/NPILookup?Npi=1841392784","1841392784")</f>
        <v>1841392784</v>
      </c>
      <c r="E7701" t="s">
        <v>18878</v>
      </c>
    </row>
    <row r="7702" spans="1:5" x14ac:dyDescent="0.25">
      <c r="A7702" t="s">
        <v>1</v>
      </c>
      <c r="B7702" t="s">
        <v>19</v>
      </c>
      <c r="C7702" t="s">
        <v>23490</v>
      </c>
      <c r="D7702" t="str">
        <f>HYPERLINK("https://rhld.insurance.arkansas.gov/NPILookup?Npi=1841398153","1841398153")</f>
        <v>1841398153</v>
      </c>
      <c r="E7702" t="s">
        <v>11316</v>
      </c>
    </row>
    <row r="7703" spans="1:5" x14ac:dyDescent="0.25">
      <c r="A7703" t="s">
        <v>1</v>
      </c>
      <c r="B7703" t="s">
        <v>19</v>
      </c>
      <c r="C7703" t="s">
        <v>23490</v>
      </c>
      <c r="D7703" t="str">
        <f>HYPERLINK("https://rhld.insurance.arkansas.gov/NPILookup?Npi=1841404035","1841404035")</f>
        <v>1841404035</v>
      </c>
      <c r="E7703" t="s">
        <v>15624</v>
      </c>
    </row>
    <row r="7704" spans="1:5" x14ac:dyDescent="0.25">
      <c r="A7704" t="s">
        <v>1</v>
      </c>
      <c r="B7704" t="s">
        <v>19</v>
      </c>
      <c r="C7704" t="s">
        <v>23490</v>
      </c>
      <c r="D7704" t="str">
        <f>HYPERLINK("https://rhld.insurance.arkansas.gov/NPILookup?Npi=1841425253","1841425253")</f>
        <v>1841425253</v>
      </c>
      <c r="E7704" t="s">
        <v>714</v>
      </c>
    </row>
    <row r="7705" spans="1:5" x14ac:dyDescent="0.25">
      <c r="A7705" t="s">
        <v>1</v>
      </c>
      <c r="B7705" t="s">
        <v>19</v>
      </c>
      <c r="C7705" t="s">
        <v>23490</v>
      </c>
      <c r="D7705" t="str">
        <f>HYPERLINK("https://rhld.insurance.arkansas.gov/NPILookup?Npi=1841427515","1841427515")</f>
        <v>1841427515</v>
      </c>
      <c r="E7705" t="s">
        <v>15625</v>
      </c>
    </row>
    <row r="7706" spans="1:5" x14ac:dyDescent="0.25">
      <c r="A7706" t="s">
        <v>1</v>
      </c>
      <c r="B7706" t="s">
        <v>19</v>
      </c>
      <c r="C7706" t="s">
        <v>23490</v>
      </c>
      <c r="D7706" t="str">
        <f>HYPERLINK("https://rhld.insurance.arkansas.gov/NPILookup?Npi=1841450343","1841450343")</f>
        <v>1841450343</v>
      </c>
      <c r="E7706" t="s">
        <v>2961</v>
      </c>
    </row>
    <row r="7707" spans="1:5" x14ac:dyDescent="0.25">
      <c r="A7707" t="s">
        <v>1</v>
      </c>
      <c r="B7707" t="s">
        <v>19</v>
      </c>
      <c r="C7707" t="s">
        <v>23490</v>
      </c>
      <c r="D7707" t="str">
        <f>HYPERLINK("https://rhld.insurance.arkansas.gov/NPILookup?Npi=1841490141","1841490141")</f>
        <v>1841490141</v>
      </c>
      <c r="E7707" t="s">
        <v>2962</v>
      </c>
    </row>
    <row r="7708" spans="1:5" x14ac:dyDescent="0.25">
      <c r="A7708" t="s">
        <v>1</v>
      </c>
      <c r="B7708" t="s">
        <v>19</v>
      </c>
      <c r="C7708" t="s">
        <v>23490</v>
      </c>
      <c r="D7708" t="str">
        <f>HYPERLINK("https://rhld.insurance.arkansas.gov/NPILookup?Npi=1841507944","1841507944")</f>
        <v>1841507944</v>
      </c>
      <c r="E7708" t="s">
        <v>8883</v>
      </c>
    </row>
    <row r="7709" spans="1:5" x14ac:dyDescent="0.25">
      <c r="A7709" t="s">
        <v>1</v>
      </c>
      <c r="B7709" t="s">
        <v>19</v>
      </c>
      <c r="C7709" t="s">
        <v>23490</v>
      </c>
      <c r="D7709" t="str">
        <f>HYPERLINK("https://rhld.insurance.arkansas.gov/NPILookup?Npi=1841526001","1841526001")</f>
        <v>1841526001</v>
      </c>
      <c r="E7709" t="s">
        <v>2963</v>
      </c>
    </row>
    <row r="7710" spans="1:5" x14ac:dyDescent="0.25">
      <c r="A7710" t="s">
        <v>1</v>
      </c>
      <c r="B7710" t="s">
        <v>19</v>
      </c>
      <c r="C7710" t="s">
        <v>23490</v>
      </c>
      <c r="D7710" t="str">
        <f>HYPERLINK("https://rhld.insurance.arkansas.gov/NPILookup?Npi=1841535499","1841535499")</f>
        <v>1841535499</v>
      </c>
      <c r="E7710" t="s">
        <v>20068</v>
      </c>
    </row>
    <row r="7711" spans="1:5" x14ac:dyDescent="0.25">
      <c r="A7711" t="s">
        <v>1</v>
      </c>
      <c r="B7711" t="s">
        <v>19</v>
      </c>
      <c r="C7711" t="s">
        <v>23490</v>
      </c>
      <c r="D7711" t="str">
        <f>HYPERLINK("https://rhld.insurance.arkansas.gov/NPILookup?Npi=1841554797","1841554797")</f>
        <v>1841554797</v>
      </c>
      <c r="E7711" t="s">
        <v>2964</v>
      </c>
    </row>
    <row r="7712" spans="1:5" x14ac:dyDescent="0.25">
      <c r="A7712" t="s">
        <v>1</v>
      </c>
      <c r="B7712" t="s">
        <v>19</v>
      </c>
      <c r="C7712" t="s">
        <v>23490</v>
      </c>
      <c r="D7712" t="str">
        <f>HYPERLINK("https://rhld.insurance.arkansas.gov/NPILookup?Npi=1841554870","1841554870")</f>
        <v>1841554870</v>
      </c>
      <c r="E7712" t="s">
        <v>21662</v>
      </c>
    </row>
    <row r="7713" spans="1:5" x14ac:dyDescent="0.25">
      <c r="A7713" t="s">
        <v>1</v>
      </c>
      <c r="B7713" t="s">
        <v>19</v>
      </c>
      <c r="C7713" t="s">
        <v>23490</v>
      </c>
      <c r="D7713" t="str">
        <f>HYPERLINK("https://rhld.insurance.arkansas.gov/NPILookup?Npi=1841560927","1841560927")</f>
        <v>1841560927</v>
      </c>
      <c r="E7713" t="s">
        <v>15626</v>
      </c>
    </row>
    <row r="7714" spans="1:5" x14ac:dyDescent="0.25">
      <c r="A7714" t="s">
        <v>1</v>
      </c>
      <c r="B7714" t="s">
        <v>19</v>
      </c>
      <c r="C7714" t="s">
        <v>23490</v>
      </c>
      <c r="D7714" t="str">
        <f>HYPERLINK("https://rhld.insurance.arkansas.gov/NPILookup?Npi=1841564895","1841564895")</f>
        <v>1841564895</v>
      </c>
      <c r="E7714" t="s">
        <v>13744</v>
      </c>
    </row>
    <row r="7715" spans="1:5" x14ac:dyDescent="0.25">
      <c r="A7715" t="s">
        <v>1</v>
      </c>
      <c r="B7715" t="s">
        <v>19</v>
      </c>
      <c r="C7715" t="s">
        <v>23490</v>
      </c>
      <c r="D7715" t="str">
        <f>HYPERLINK("https://rhld.insurance.arkansas.gov/NPILookup?Npi=1841589017","1841589017")</f>
        <v>1841589017</v>
      </c>
      <c r="E7715" t="s">
        <v>2965</v>
      </c>
    </row>
    <row r="7716" spans="1:5" x14ac:dyDescent="0.25">
      <c r="A7716" t="s">
        <v>1</v>
      </c>
      <c r="B7716" t="s">
        <v>19</v>
      </c>
      <c r="C7716" t="s">
        <v>23490</v>
      </c>
      <c r="D7716" t="str">
        <f>HYPERLINK("https://rhld.insurance.arkansas.gov/NPILookup?Npi=1841589900","1841589900")</f>
        <v>1841589900</v>
      </c>
      <c r="E7716" t="s">
        <v>2966</v>
      </c>
    </row>
    <row r="7717" spans="1:5" x14ac:dyDescent="0.25">
      <c r="A7717" t="s">
        <v>1</v>
      </c>
      <c r="B7717" t="s">
        <v>19</v>
      </c>
      <c r="C7717" t="s">
        <v>23490</v>
      </c>
      <c r="D7717" t="str">
        <f>HYPERLINK("https://rhld.insurance.arkansas.gov/NPILookup?Npi=1841595386","1841595386")</f>
        <v>1841595386</v>
      </c>
      <c r="E7717" t="s">
        <v>15627</v>
      </c>
    </row>
    <row r="7718" spans="1:5" x14ac:dyDescent="0.25">
      <c r="A7718" t="s">
        <v>1</v>
      </c>
      <c r="B7718" t="s">
        <v>19</v>
      </c>
      <c r="C7718" t="s">
        <v>23490</v>
      </c>
      <c r="D7718" t="str">
        <f>HYPERLINK("https://rhld.insurance.arkansas.gov/NPILookup?Npi=1841602695","1841602695")</f>
        <v>1841602695</v>
      </c>
      <c r="E7718" t="s">
        <v>11317</v>
      </c>
    </row>
    <row r="7719" spans="1:5" x14ac:dyDescent="0.25">
      <c r="A7719" t="s">
        <v>1</v>
      </c>
      <c r="B7719" t="s">
        <v>19</v>
      </c>
      <c r="C7719" t="s">
        <v>23490</v>
      </c>
      <c r="D7719" t="str">
        <f>HYPERLINK("https://rhld.insurance.arkansas.gov/NPILookup?Npi=1841611746","1841611746")</f>
        <v>1841611746</v>
      </c>
      <c r="E7719" t="s">
        <v>15628</v>
      </c>
    </row>
    <row r="7720" spans="1:5" x14ac:dyDescent="0.25">
      <c r="A7720" t="s">
        <v>1</v>
      </c>
      <c r="B7720" t="s">
        <v>19</v>
      </c>
      <c r="C7720" t="s">
        <v>23490</v>
      </c>
      <c r="D7720" t="str">
        <f>HYPERLINK("https://rhld.insurance.arkansas.gov/NPILookup?Npi=1841614930","1841614930")</f>
        <v>1841614930</v>
      </c>
      <c r="E7720" t="s">
        <v>13745</v>
      </c>
    </row>
    <row r="7721" spans="1:5" x14ac:dyDescent="0.25">
      <c r="A7721" t="s">
        <v>1</v>
      </c>
      <c r="B7721" t="s">
        <v>19</v>
      </c>
      <c r="C7721" t="s">
        <v>23490</v>
      </c>
      <c r="D7721" t="str">
        <f>HYPERLINK("https://rhld.insurance.arkansas.gov/NPILookup?Npi=1841616604","1841616604")</f>
        <v>1841616604</v>
      </c>
      <c r="E7721" t="s">
        <v>18144</v>
      </c>
    </row>
    <row r="7722" spans="1:5" x14ac:dyDescent="0.25">
      <c r="A7722" t="s">
        <v>1</v>
      </c>
      <c r="B7722" t="s">
        <v>19</v>
      </c>
      <c r="C7722" t="s">
        <v>23490</v>
      </c>
      <c r="D7722" t="str">
        <f>HYPERLINK("https://rhld.insurance.arkansas.gov/NPILookup?Npi=1841635596","1841635596")</f>
        <v>1841635596</v>
      </c>
      <c r="E7722" t="s">
        <v>2967</v>
      </c>
    </row>
    <row r="7723" spans="1:5" x14ac:dyDescent="0.25">
      <c r="A7723" t="s">
        <v>1</v>
      </c>
      <c r="B7723" t="s">
        <v>19</v>
      </c>
      <c r="C7723" t="s">
        <v>23490</v>
      </c>
      <c r="D7723" t="str">
        <f>HYPERLINK("https://rhld.insurance.arkansas.gov/NPILookup?Npi=1841636354","1841636354")</f>
        <v>1841636354</v>
      </c>
      <c r="E7723" t="s">
        <v>11318</v>
      </c>
    </row>
    <row r="7724" spans="1:5" x14ac:dyDescent="0.25">
      <c r="A7724" t="s">
        <v>1</v>
      </c>
      <c r="B7724" t="s">
        <v>19</v>
      </c>
      <c r="C7724" t="s">
        <v>23490</v>
      </c>
      <c r="D7724" t="str">
        <f>HYPERLINK("https://rhld.insurance.arkansas.gov/NPILookup?Npi=1841649076","1841649076")</f>
        <v>1841649076</v>
      </c>
      <c r="E7724" t="s">
        <v>637</v>
      </c>
    </row>
    <row r="7725" spans="1:5" x14ac:dyDescent="0.25">
      <c r="A7725" t="s">
        <v>1</v>
      </c>
      <c r="B7725" t="s">
        <v>19</v>
      </c>
      <c r="C7725" t="s">
        <v>23490</v>
      </c>
      <c r="D7725" t="str">
        <f>HYPERLINK("https://rhld.insurance.arkansas.gov/NPILookup?Npi=1841665510","1841665510")</f>
        <v>1841665510</v>
      </c>
      <c r="E7725" t="s">
        <v>2968</v>
      </c>
    </row>
    <row r="7726" spans="1:5" x14ac:dyDescent="0.25">
      <c r="A7726" t="s">
        <v>1</v>
      </c>
      <c r="B7726" t="s">
        <v>19</v>
      </c>
      <c r="C7726" t="s">
        <v>23490</v>
      </c>
      <c r="D7726" t="str">
        <f>HYPERLINK("https://rhld.insurance.arkansas.gov/NPILookup?Npi=1841677242","1841677242")</f>
        <v>1841677242</v>
      </c>
      <c r="E7726" t="s">
        <v>13746</v>
      </c>
    </row>
    <row r="7727" spans="1:5" x14ac:dyDescent="0.25">
      <c r="A7727" t="s">
        <v>1</v>
      </c>
      <c r="B7727" t="s">
        <v>19</v>
      </c>
      <c r="C7727" t="s">
        <v>23490</v>
      </c>
      <c r="D7727" t="str">
        <f>HYPERLINK("https://rhld.insurance.arkansas.gov/NPILookup?Npi=1841684073","1841684073")</f>
        <v>1841684073</v>
      </c>
      <c r="E7727" t="s">
        <v>11319</v>
      </c>
    </row>
    <row r="7728" spans="1:5" x14ac:dyDescent="0.25">
      <c r="A7728" t="s">
        <v>1</v>
      </c>
      <c r="B7728" t="s">
        <v>19</v>
      </c>
      <c r="C7728" t="s">
        <v>23490</v>
      </c>
      <c r="D7728" t="str">
        <f>HYPERLINK("https://rhld.insurance.arkansas.gov/NPILookup?Npi=1841698370","1841698370")</f>
        <v>1841698370</v>
      </c>
      <c r="E7728" t="s">
        <v>18146</v>
      </c>
    </row>
    <row r="7729" spans="1:5" x14ac:dyDescent="0.25">
      <c r="A7729" t="s">
        <v>1</v>
      </c>
      <c r="B7729" t="s">
        <v>19</v>
      </c>
      <c r="C7729" t="s">
        <v>23490</v>
      </c>
      <c r="D7729" t="str">
        <f>HYPERLINK("https://rhld.insurance.arkansas.gov/NPILookup?Npi=1841705860","1841705860")</f>
        <v>1841705860</v>
      </c>
      <c r="E7729" t="s">
        <v>12920</v>
      </c>
    </row>
    <row r="7730" spans="1:5" x14ac:dyDescent="0.25">
      <c r="A7730" t="s">
        <v>1</v>
      </c>
      <c r="B7730" t="s">
        <v>19</v>
      </c>
      <c r="C7730" t="s">
        <v>23490</v>
      </c>
      <c r="D7730" t="str">
        <f>HYPERLINK("https://rhld.insurance.arkansas.gov/NPILookup?Npi=1841712106","1841712106")</f>
        <v>1841712106</v>
      </c>
      <c r="E7730" t="s">
        <v>18147</v>
      </c>
    </row>
    <row r="7731" spans="1:5" x14ac:dyDescent="0.25">
      <c r="A7731" t="s">
        <v>1</v>
      </c>
      <c r="B7731" t="s">
        <v>19</v>
      </c>
      <c r="C7731" t="s">
        <v>23490</v>
      </c>
      <c r="D7731" t="str">
        <f>HYPERLINK("https://rhld.insurance.arkansas.gov/NPILookup?Npi=1841723996","1841723996")</f>
        <v>1841723996</v>
      </c>
      <c r="E7731" t="s">
        <v>17484</v>
      </c>
    </row>
    <row r="7732" spans="1:5" x14ac:dyDescent="0.25">
      <c r="A7732" t="s">
        <v>1</v>
      </c>
      <c r="B7732" t="s">
        <v>19</v>
      </c>
      <c r="C7732" t="s">
        <v>23490</v>
      </c>
      <c r="D7732" t="str">
        <f>HYPERLINK("https://rhld.insurance.arkansas.gov/NPILookup?Npi=1841731155","1841731155")</f>
        <v>1841731155</v>
      </c>
      <c r="E7732" t="s">
        <v>21055</v>
      </c>
    </row>
    <row r="7733" spans="1:5" x14ac:dyDescent="0.25">
      <c r="A7733" t="s">
        <v>1</v>
      </c>
      <c r="B7733" t="s">
        <v>19</v>
      </c>
      <c r="C7733" t="s">
        <v>23490</v>
      </c>
      <c r="D7733" t="str">
        <f>HYPERLINK("https://rhld.insurance.arkansas.gov/NPILookup?Npi=1841733300","1841733300")</f>
        <v>1841733300</v>
      </c>
      <c r="E7733" t="s">
        <v>11320</v>
      </c>
    </row>
    <row r="7734" spans="1:5" x14ac:dyDescent="0.25">
      <c r="A7734" t="s">
        <v>1</v>
      </c>
      <c r="B7734" t="s">
        <v>19</v>
      </c>
      <c r="C7734" t="s">
        <v>23490</v>
      </c>
      <c r="D7734" t="str">
        <f>HYPERLINK("https://rhld.insurance.arkansas.gov/NPILookup?Npi=1841736170","1841736170")</f>
        <v>1841736170</v>
      </c>
      <c r="E7734" t="s">
        <v>11321</v>
      </c>
    </row>
    <row r="7735" spans="1:5" x14ac:dyDescent="0.25">
      <c r="A7735" t="s">
        <v>1</v>
      </c>
      <c r="B7735" t="s">
        <v>19</v>
      </c>
      <c r="C7735" t="s">
        <v>23490</v>
      </c>
      <c r="D7735" t="str">
        <f>HYPERLINK("https://rhld.insurance.arkansas.gov/NPILookup?Npi=1841738978","1841738978")</f>
        <v>1841738978</v>
      </c>
      <c r="E7735" t="s">
        <v>11322</v>
      </c>
    </row>
    <row r="7736" spans="1:5" x14ac:dyDescent="0.25">
      <c r="A7736" t="s">
        <v>1</v>
      </c>
      <c r="B7736" t="s">
        <v>19</v>
      </c>
      <c r="C7736" t="s">
        <v>23490</v>
      </c>
      <c r="D7736" t="str">
        <f>HYPERLINK("https://rhld.insurance.arkansas.gov/NPILookup?Npi=1841746195","1841746195")</f>
        <v>1841746195</v>
      </c>
      <c r="E7736" t="s">
        <v>17041</v>
      </c>
    </row>
    <row r="7737" spans="1:5" x14ac:dyDescent="0.25">
      <c r="A7737" t="s">
        <v>1</v>
      </c>
      <c r="B7737" t="s">
        <v>19</v>
      </c>
      <c r="C7737" t="s">
        <v>23490</v>
      </c>
      <c r="D7737" t="str">
        <f>HYPERLINK("https://rhld.insurance.arkansas.gov/NPILookup?Npi=1841758059","1841758059")</f>
        <v>1841758059</v>
      </c>
      <c r="E7737" t="s">
        <v>18148</v>
      </c>
    </row>
    <row r="7738" spans="1:5" x14ac:dyDescent="0.25">
      <c r="A7738" t="s">
        <v>1</v>
      </c>
      <c r="B7738" t="s">
        <v>19</v>
      </c>
      <c r="C7738" t="s">
        <v>23490</v>
      </c>
      <c r="D7738" t="str">
        <f>HYPERLINK("https://rhld.insurance.arkansas.gov/NPILookup?Npi=1841767118","1841767118")</f>
        <v>1841767118</v>
      </c>
      <c r="E7738" t="s">
        <v>13747</v>
      </c>
    </row>
    <row r="7739" spans="1:5" x14ac:dyDescent="0.25">
      <c r="A7739" t="s">
        <v>1</v>
      </c>
      <c r="B7739" t="s">
        <v>19</v>
      </c>
      <c r="C7739" t="s">
        <v>23490</v>
      </c>
      <c r="D7739" t="str">
        <f>HYPERLINK("https://rhld.insurance.arkansas.gov/NPILookup?Npi=1841776846","1841776846")</f>
        <v>1841776846</v>
      </c>
      <c r="E7739" t="s">
        <v>18879</v>
      </c>
    </row>
    <row r="7740" spans="1:5" x14ac:dyDescent="0.25">
      <c r="A7740" t="s">
        <v>1</v>
      </c>
      <c r="B7740" t="s">
        <v>19</v>
      </c>
      <c r="C7740" t="s">
        <v>23490</v>
      </c>
      <c r="D7740" t="str">
        <f>HYPERLINK("https://rhld.insurance.arkansas.gov/NPILookup?Npi=1841798105","1841798105")</f>
        <v>1841798105</v>
      </c>
      <c r="E7740" t="s">
        <v>12921</v>
      </c>
    </row>
    <row r="7741" spans="1:5" x14ac:dyDescent="0.25">
      <c r="A7741" t="s">
        <v>1</v>
      </c>
      <c r="B7741" t="s">
        <v>19</v>
      </c>
      <c r="C7741" t="s">
        <v>23490</v>
      </c>
      <c r="D7741" t="str">
        <f>HYPERLINK("https://rhld.insurance.arkansas.gov/NPILookup?Npi=1841799517","1841799517")</f>
        <v>1841799517</v>
      </c>
      <c r="E7741" t="s">
        <v>13748</v>
      </c>
    </row>
    <row r="7742" spans="1:5" x14ac:dyDescent="0.25">
      <c r="A7742" t="s">
        <v>1</v>
      </c>
      <c r="B7742" t="s">
        <v>19</v>
      </c>
      <c r="C7742" t="s">
        <v>23490</v>
      </c>
      <c r="D7742" t="str">
        <f>HYPERLINK("https://rhld.insurance.arkansas.gov/NPILookup?Npi=1841804945","1841804945")</f>
        <v>1841804945</v>
      </c>
      <c r="E7742" t="s">
        <v>18149</v>
      </c>
    </row>
    <row r="7743" spans="1:5" x14ac:dyDescent="0.25">
      <c r="A7743" t="s">
        <v>1</v>
      </c>
      <c r="B7743" t="s">
        <v>19</v>
      </c>
      <c r="C7743" t="s">
        <v>23490</v>
      </c>
      <c r="D7743" t="str">
        <f>HYPERLINK("https://rhld.insurance.arkansas.gov/NPILookup?Npi=1841823770","1841823770")</f>
        <v>1841823770</v>
      </c>
      <c r="E7743" t="s">
        <v>21404</v>
      </c>
    </row>
    <row r="7744" spans="1:5" x14ac:dyDescent="0.25">
      <c r="A7744" t="s">
        <v>1</v>
      </c>
      <c r="B7744" t="s">
        <v>19</v>
      </c>
      <c r="C7744" t="s">
        <v>23490</v>
      </c>
      <c r="D7744" t="str">
        <f>HYPERLINK("https://rhld.insurance.arkansas.gov/NPILookup?Npi=1841837358","1841837358")</f>
        <v>1841837358</v>
      </c>
      <c r="E7744" t="s">
        <v>18150</v>
      </c>
    </row>
    <row r="7745" spans="1:5" x14ac:dyDescent="0.25">
      <c r="A7745" t="s">
        <v>1</v>
      </c>
      <c r="B7745" t="s">
        <v>19</v>
      </c>
      <c r="C7745" t="s">
        <v>23490</v>
      </c>
      <c r="D7745" t="str">
        <f>HYPERLINK("https://rhld.insurance.arkansas.gov/NPILookup?Npi=1841845229","1841845229")</f>
        <v>1841845229</v>
      </c>
      <c r="E7745" t="s">
        <v>20069</v>
      </c>
    </row>
    <row r="7746" spans="1:5" x14ac:dyDescent="0.25">
      <c r="A7746" t="s">
        <v>1</v>
      </c>
      <c r="B7746" t="s">
        <v>19</v>
      </c>
      <c r="C7746" t="s">
        <v>23490</v>
      </c>
      <c r="D7746" t="str">
        <f>HYPERLINK("https://rhld.insurance.arkansas.gov/NPILookup?Npi=1841856176","1841856176")</f>
        <v>1841856176</v>
      </c>
      <c r="E7746" t="s">
        <v>21663</v>
      </c>
    </row>
    <row r="7747" spans="1:5" x14ac:dyDescent="0.25">
      <c r="A7747" t="s">
        <v>1</v>
      </c>
      <c r="B7747" t="s">
        <v>19</v>
      </c>
      <c r="C7747" t="s">
        <v>23490</v>
      </c>
      <c r="D7747" t="str">
        <f>HYPERLINK("https://rhld.insurance.arkansas.gov/NPILookup?Npi=1841861317","1841861317")</f>
        <v>1841861317</v>
      </c>
      <c r="E7747" t="s">
        <v>18880</v>
      </c>
    </row>
    <row r="7748" spans="1:5" x14ac:dyDescent="0.25">
      <c r="A7748" t="s">
        <v>1</v>
      </c>
      <c r="B7748" t="s">
        <v>19</v>
      </c>
      <c r="C7748" t="s">
        <v>23490</v>
      </c>
      <c r="D7748" t="str">
        <f>HYPERLINK("https://rhld.insurance.arkansas.gov/NPILookup?Npi=1841875911","1841875911")</f>
        <v>1841875911</v>
      </c>
      <c r="E7748" t="s">
        <v>18881</v>
      </c>
    </row>
    <row r="7749" spans="1:5" x14ac:dyDescent="0.25">
      <c r="A7749" t="s">
        <v>1</v>
      </c>
      <c r="B7749" t="s">
        <v>19</v>
      </c>
      <c r="C7749" t="s">
        <v>23490</v>
      </c>
      <c r="D7749" t="str">
        <f>HYPERLINK("https://rhld.insurance.arkansas.gov/NPILookup?Npi=1841889854","1841889854")</f>
        <v>1841889854</v>
      </c>
      <c r="E7749" t="s">
        <v>20070</v>
      </c>
    </row>
    <row r="7750" spans="1:5" x14ac:dyDescent="0.25">
      <c r="A7750" t="s">
        <v>1</v>
      </c>
      <c r="B7750" t="s">
        <v>19</v>
      </c>
      <c r="C7750" t="s">
        <v>23490</v>
      </c>
      <c r="D7750" t="str">
        <f>HYPERLINK("https://rhld.insurance.arkansas.gov/NPILookup?Npi=1851024996","1851024996")</f>
        <v>1851024996</v>
      </c>
      <c r="E7750" t="s">
        <v>21056</v>
      </c>
    </row>
    <row r="7751" spans="1:5" x14ac:dyDescent="0.25">
      <c r="A7751" t="s">
        <v>1</v>
      </c>
      <c r="B7751" t="s">
        <v>19</v>
      </c>
      <c r="C7751" t="s">
        <v>23490</v>
      </c>
      <c r="D7751" t="str">
        <f>HYPERLINK("https://rhld.insurance.arkansas.gov/NPILookup?Npi=1851045223","1851045223")</f>
        <v>1851045223</v>
      </c>
      <c r="E7751" t="s">
        <v>21057</v>
      </c>
    </row>
    <row r="7752" spans="1:5" x14ac:dyDescent="0.25">
      <c r="A7752" t="s">
        <v>1</v>
      </c>
      <c r="B7752" t="s">
        <v>19</v>
      </c>
      <c r="C7752" t="s">
        <v>23490</v>
      </c>
      <c r="D7752" t="str">
        <f>HYPERLINK("https://rhld.insurance.arkansas.gov/NPILookup?Npi=1851053656","1851053656")</f>
        <v>1851053656</v>
      </c>
      <c r="E7752" t="s">
        <v>21664</v>
      </c>
    </row>
    <row r="7753" spans="1:5" x14ac:dyDescent="0.25">
      <c r="A7753" t="s">
        <v>1</v>
      </c>
      <c r="B7753" t="s">
        <v>19</v>
      </c>
      <c r="C7753" t="s">
        <v>23490</v>
      </c>
      <c r="D7753" t="str">
        <f>HYPERLINK("https://rhld.insurance.arkansas.gov/NPILookup?Npi=1851058804","1851058804")</f>
        <v>1851058804</v>
      </c>
      <c r="E7753" t="s">
        <v>22993</v>
      </c>
    </row>
    <row r="7754" spans="1:5" x14ac:dyDescent="0.25">
      <c r="A7754" t="s">
        <v>1</v>
      </c>
      <c r="B7754" t="s">
        <v>19</v>
      </c>
      <c r="C7754" t="s">
        <v>23490</v>
      </c>
      <c r="D7754" t="str">
        <f>HYPERLINK("https://rhld.insurance.arkansas.gov/NPILookup?Npi=1851068068","1851068068")</f>
        <v>1851068068</v>
      </c>
      <c r="E7754" t="s">
        <v>20071</v>
      </c>
    </row>
    <row r="7755" spans="1:5" x14ac:dyDescent="0.25">
      <c r="A7755" t="s">
        <v>1</v>
      </c>
      <c r="B7755" t="s">
        <v>19</v>
      </c>
      <c r="C7755" t="s">
        <v>23490</v>
      </c>
      <c r="D7755" t="str">
        <f>HYPERLINK("https://rhld.insurance.arkansas.gov/NPILookup?Npi=1851301204","1851301204")</f>
        <v>1851301204</v>
      </c>
      <c r="E7755" t="s">
        <v>2970</v>
      </c>
    </row>
    <row r="7756" spans="1:5" x14ac:dyDescent="0.25">
      <c r="A7756" t="s">
        <v>1</v>
      </c>
      <c r="B7756" t="s">
        <v>19</v>
      </c>
      <c r="C7756" t="s">
        <v>23490</v>
      </c>
      <c r="D7756" t="str">
        <f>HYPERLINK("https://rhld.insurance.arkansas.gov/NPILookup?Npi=1851308480","1851308480")</f>
        <v>1851308480</v>
      </c>
      <c r="E7756" t="s">
        <v>15629</v>
      </c>
    </row>
    <row r="7757" spans="1:5" x14ac:dyDescent="0.25">
      <c r="A7757" t="s">
        <v>1</v>
      </c>
      <c r="B7757" t="s">
        <v>19</v>
      </c>
      <c r="C7757" t="s">
        <v>23490</v>
      </c>
      <c r="D7757" t="str">
        <f>HYPERLINK("https://rhld.insurance.arkansas.gov/NPILookup?Npi=1851315352","1851315352")</f>
        <v>1851315352</v>
      </c>
      <c r="E7757" t="s">
        <v>20072</v>
      </c>
    </row>
    <row r="7758" spans="1:5" x14ac:dyDescent="0.25">
      <c r="A7758" t="s">
        <v>1</v>
      </c>
      <c r="B7758" t="s">
        <v>19</v>
      </c>
      <c r="C7758" t="s">
        <v>23490</v>
      </c>
      <c r="D7758" t="str">
        <f>HYPERLINK("https://rhld.insurance.arkansas.gov/NPILookup?Npi=1851315410","1851315410")</f>
        <v>1851315410</v>
      </c>
      <c r="E7758" t="s">
        <v>15630</v>
      </c>
    </row>
    <row r="7759" spans="1:5" x14ac:dyDescent="0.25">
      <c r="A7759" t="s">
        <v>1</v>
      </c>
      <c r="B7759" t="s">
        <v>19</v>
      </c>
      <c r="C7759" t="s">
        <v>23490</v>
      </c>
      <c r="D7759" t="str">
        <f>HYPERLINK("https://rhld.insurance.arkansas.gov/NPILookup?Npi=1851323810","1851323810")</f>
        <v>1851323810</v>
      </c>
      <c r="E7759" t="s">
        <v>2971</v>
      </c>
    </row>
    <row r="7760" spans="1:5" x14ac:dyDescent="0.25">
      <c r="A7760" t="s">
        <v>1</v>
      </c>
      <c r="B7760" t="s">
        <v>19</v>
      </c>
      <c r="C7760" t="s">
        <v>23490</v>
      </c>
      <c r="D7760" t="str">
        <f>HYPERLINK("https://rhld.insurance.arkansas.gov/NPILookup?Npi=1851332860","1851332860")</f>
        <v>1851332860</v>
      </c>
      <c r="E7760" t="s">
        <v>15631</v>
      </c>
    </row>
    <row r="7761" spans="1:5" x14ac:dyDescent="0.25">
      <c r="A7761" t="s">
        <v>1</v>
      </c>
      <c r="B7761" t="s">
        <v>19</v>
      </c>
      <c r="C7761" t="s">
        <v>23490</v>
      </c>
      <c r="D7761" t="str">
        <f>HYPERLINK("https://rhld.insurance.arkansas.gov/NPILookup?Npi=1851337612","1851337612")</f>
        <v>1851337612</v>
      </c>
      <c r="E7761" t="s">
        <v>2972</v>
      </c>
    </row>
    <row r="7762" spans="1:5" x14ac:dyDescent="0.25">
      <c r="A7762" t="s">
        <v>1</v>
      </c>
      <c r="B7762" t="s">
        <v>19</v>
      </c>
      <c r="C7762" t="s">
        <v>23490</v>
      </c>
      <c r="D7762" t="str">
        <f>HYPERLINK("https://rhld.insurance.arkansas.gov/NPILookup?Npi=1851341218","1851341218")</f>
        <v>1851341218</v>
      </c>
      <c r="E7762" t="s">
        <v>2973</v>
      </c>
    </row>
    <row r="7763" spans="1:5" x14ac:dyDescent="0.25">
      <c r="A7763" t="s">
        <v>1</v>
      </c>
      <c r="B7763" t="s">
        <v>19</v>
      </c>
      <c r="C7763" t="s">
        <v>23490</v>
      </c>
      <c r="D7763" t="str">
        <f>HYPERLINK("https://rhld.insurance.arkansas.gov/NPILookup?Npi=1851345144","1851345144")</f>
        <v>1851345144</v>
      </c>
      <c r="E7763" t="s">
        <v>8884</v>
      </c>
    </row>
    <row r="7764" spans="1:5" x14ac:dyDescent="0.25">
      <c r="A7764" t="s">
        <v>1</v>
      </c>
      <c r="B7764" t="s">
        <v>19</v>
      </c>
      <c r="C7764" t="s">
        <v>23490</v>
      </c>
      <c r="D7764" t="str">
        <f>HYPERLINK("https://rhld.insurance.arkansas.gov/NPILookup?Npi=1851363469","1851363469")</f>
        <v>1851363469</v>
      </c>
      <c r="E7764" t="s">
        <v>20073</v>
      </c>
    </row>
    <row r="7765" spans="1:5" x14ac:dyDescent="0.25">
      <c r="A7765" t="s">
        <v>1</v>
      </c>
      <c r="B7765" t="s">
        <v>19</v>
      </c>
      <c r="C7765" t="s">
        <v>23490</v>
      </c>
      <c r="D7765" t="str">
        <f>HYPERLINK("https://rhld.insurance.arkansas.gov/NPILookup?Npi=1851368740","1851368740")</f>
        <v>1851368740</v>
      </c>
      <c r="E7765" t="s">
        <v>2974</v>
      </c>
    </row>
    <row r="7766" spans="1:5" x14ac:dyDescent="0.25">
      <c r="A7766" t="s">
        <v>1</v>
      </c>
      <c r="B7766" t="s">
        <v>19</v>
      </c>
      <c r="C7766" t="s">
        <v>23490</v>
      </c>
      <c r="D7766" t="str">
        <f>HYPERLINK("https://rhld.insurance.arkansas.gov/NPILookup?Npi=1851371314","1851371314")</f>
        <v>1851371314</v>
      </c>
      <c r="E7766" t="s">
        <v>2975</v>
      </c>
    </row>
    <row r="7767" spans="1:5" x14ac:dyDescent="0.25">
      <c r="A7767" t="s">
        <v>1</v>
      </c>
      <c r="B7767" t="s">
        <v>19</v>
      </c>
      <c r="C7767" t="s">
        <v>23490</v>
      </c>
      <c r="D7767" t="str">
        <f>HYPERLINK("https://rhld.insurance.arkansas.gov/NPILookup?Npi=1851385793","1851385793")</f>
        <v>1851385793</v>
      </c>
      <c r="E7767" t="s">
        <v>2976</v>
      </c>
    </row>
    <row r="7768" spans="1:5" x14ac:dyDescent="0.25">
      <c r="A7768" t="s">
        <v>1</v>
      </c>
      <c r="B7768" t="s">
        <v>19</v>
      </c>
      <c r="C7768" t="s">
        <v>23490</v>
      </c>
      <c r="D7768" t="str">
        <f>HYPERLINK("https://rhld.insurance.arkansas.gov/NPILookup?Npi=1851387930","1851387930")</f>
        <v>1851387930</v>
      </c>
      <c r="E7768" t="s">
        <v>4525</v>
      </c>
    </row>
    <row r="7769" spans="1:5" x14ac:dyDescent="0.25">
      <c r="A7769" t="s">
        <v>1</v>
      </c>
      <c r="B7769" t="s">
        <v>19</v>
      </c>
      <c r="C7769" t="s">
        <v>23490</v>
      </c>
      <c r="D7769" t="str">
        <f>HYPERLINK("https://rhld.insurance.arkansas.gov/NPILookup?Npi=1851397822","1851397822")</f>
        <v>1851397822</v>
      </c>
      <c r="E7769" t="s">
        <v>2977</v>
      </c>
    </row>
    <row r="7770" spans="1:5" x14ac:dyDescent="0.25">
      <c r="A7770" t="s">
        <v>1</v>
      </c>
      <c r="B7770" t="s">
        <v>19</v>
      </c>
      <c r="C7770" t="s">
        <v>23490</v>
      </c>
      <c r="D7770" t="str">
        <f>HYPERLINK("https://rhld.insurance.arkansas.gov/NPILookup?Npi=1851403422","1851403422")</f>
        <v>1851403422</v>
      </c>
      <c r="E7770" t="s">
        <v>2978</v>
      </c>
    </row>
    <row r="7771" spans="1:5" x14ac:dyDescent="0.25">
      <c r="A7771" t="s">
        <v>1</v>
      </c>
      <c r="B7771" t="s">
        <v>19</v>
      </c>
      <c r="C7771" t="s">
        <v>23490</v>
      </c>
      <c r="D7771" t="str">
        <f>HYPERLINK("https://rhld.insurance.arkansas.gov/NPILookup?Npi=1851411789","1851411789")</f>
        <v>1851411789</v>
      </c>
      <c r="E7771" t="s">
        <v>15632</v>
      </c>
    </row>
    <row r="7772" spans="1:5" x14ac:dyDescent="0.25">
      <c r="A7772" t="s">
        <v>1</v>
      </c>
      <c r="B7772" t="s">
        <v>19</v>
      </c>
      <c r="C7772" t="s">
        <v>23490</v>
      </c>
      <c r="D7772" t="str">
        <f>HYPERLINK("https://rhld.insurance.arkansas.gov/NPILookup?Npi=1851459275","1851459275")</f>
        <v>1851459275</v>
      </c>
      <c r="E7772" t="s">
        <v>2979</v>
      </c>
    </row>
    <row r="7773" spans="1:5" x14ac:dyDescent="0.25">
      <c r="A7773" t="s">
        <v>1</v>
      </c>
      <c r="B7773" t="s">
        <v>19</v>
      </c>
      <c r="C7773" t="s">
        <v>23490</v>
      </c>
      <c r="D7773" t="str">
        <f>HYPERLINK("https://rhld.insurance.arkansas.gov/NPILookup?Npi=1851470140","1851470140")</f>
        <v>1851470140</v>
      </c>
      <c r="E7773" t="s">
        <v>2980</v>
      </c>
    </row>
    <row r="7774" spans="1:5" x14ac:dyDescent="0.25">
      <c r="A7774" t="s">
        <v>1</v>
      </c>
      <c r="B7774" t="s">
        <v>19</v>
      </c>
      <c r="C7774" t="s">
        <v>8427</v>
      </c>
      <c r="D7774" t="str">
        <f>HYPERLINK("https://rhld.insurance.arkansas.gov/NPILookup?Npi=1851470231","1851470231")</f>
        <v>1851470231</v>
      </c>
      <c r="E7774" t="s">
        <v>22994</v>
      </c>
    </row>
    <row r="7775" spans="1:5" x14ac:dyDescent="0.25">
      <c r="A7775" t="s">
        <v>1</v>
      </c>
      <c r="B7775" t="s">
        <v>19</v>
      </c>
      <c r="C7775" t="s">
        <v>23490</v>
      </c>
      <c r="D7775" t="str">
        <f>HYPERLINK("https://rhld.insurance.arkansas.gov/NPILookup?Npi=1851471676","1851471676")</f>
        <v>1851471676</v>
      </c>
      <c r="E7775" t="s">
        <v>2981</v>
      </c>
    </row>
    <row r="7776" spans="1:5" x14ac:dyDescent="0.25">
      <c r="A7776" t="s">
        <v>1</v>
      </c>
      <c r="B7776" t="s">
        <v>19</v>
      </c>
      <c r="C7776" t="s">
        <v>23490</v>
      </c>
      <c r="D7776" t="str">
        <f>HYPERLINK("https://rhld.insurance.arkansas.gov/NPILookup?Npi=1851473854","1851473854")</f>
        <v>1851473854</v>
      </c>
      <c r="E7776" t="s">
        <v>15633</v>
      </c>
    </row>
    <row r="7777" spans="1:5" x14ac:dyDescent="0.25">
      <c r="A7777" t="s">
        <v>1</v>
      </c>
      <c r="B7777" t="s">
        <v>19</v>
      </c>
      <c r="C7777" t="s">
        <v>23490</v>
      </c>
      <c r="D7777" t="str">
        <f>HYPERLINK("https://rhld.insurance.arkansas.gov/NPILookup?Npi=1851477079","1851477079")</f>
        <v>1851477079</v>
      </c>
      <c r="E7777" t="s">
        <v>15634</v>
      </c>
    </row>
    <row r="7778" spans="1:5" x14ac:dyDescent="0.25">
      <c r="A7778" t="s">
        <v>1</v>
      </c>
      <c r="B7778" t="s">
        <v>19</v>
      </c>
      <c r="C7778" t="s">
        <v>23490</v>
      </c>
      <c r="D7778" t="str">
        <f>HYPERLINK("https://rhld.insurance.arkansas.gov/NPILookup?Npi=1851480974","1851480974")</f>
        <v>1851480974</v>
      </c>
      <c r="E7778" t="s">
        <v>15635</v>
      </c>
    </row>
    <row r="7779" spans="1:5" x14ac:dyDescent="0.25">
      <c r="A7779" t="s">
        <v>1</v>
      </c>
      <c r="B7779" t="s">
        <v>19</v>
      </c>
      <c r="C7779" t="s">
        <v>23490</v>
      </c>
      <c r="D7779" t="str">
        <f>HYPERLINK("https://rhld.insurance.arkansas.gov/NPILookup?Npi=1851481337","1851481337")</f>
        <v>1851481337</v>
      </c>
      <c r="E7779" t="s">
        <v>2982</v>
      </c>
    </row>
    <row r="7780" spans="1:5" x14ac:dyDescent="0.25">
      <c r="A7780" t="s">
        <v>1</v>
      </c>
      <c r="B7780" t="s">
        <v>19</v>
      </c>
      <c r="C7780" t="s">
        <v>23490</v>
      </c>
      <c r="D7780" t="str">
        <f>HYPERLINK("https://rhld.insurance.arkansas.gov/NPILookup?Npi=1851482921","1851482921")</f>
        <v>1851482921</v>
      </c>
      <c r="E7780" t="s">
        <v>13749</v>
      </c>
    </row>
    <row r="7781" spans="1:5" x14ac:dyDescent="0.25">
      <c r="A7781" t="s">
        <v>1</v>
      </c>
      <c r="B7781" t="s">
        <v>19</v>
      </c>
      <c r="C7781" t="s">
        <v>23490</v>
      </c>
      <c r="D7781" t="str">
        <f>HYPERLINK("https://rhld.insurance.arkansas.gov/NPILookup?Npi=1851484992","1851484992")</f>
        <v>1851484992</v>
      </c>
      <c r="E7781" t="s">
        <v>2983</v>
      </c>
    </row>
    <row r="7782" spans="1:5" x14ac:dyDescent="0.25">
      <c r="A7782" t="s">
        <v>1</v>
      </c>
      <c r="B7782" t="s">
        <v>19</v>
      </c>
      <c r="C7782" t="s">
        <v>23490</v>
      </c>
      <c r="D7782" t="str">
        <f>HYPERLINK("https://rhld.insurance.arkansas.gov/NPILookup?Npi=1851494462","1851494462")</f>
        <v>1851494462</v>
      </c>
      <c r="E7782" t="s">
        <v>2984</v>
      </c>
    </row>
    <row r="7783" spans="1:5" x14ac:dyDescent="0.25">
      <c r="A7783" t="s">
        <v>1</v>
      </c>
      <c r="B7783" t="s">
        <v>19</v>
      </c>
      <c r="C7783" t="s">
        <v>23490</v>
      </c>
      <c r="D7783" t="str">
        <f>HYPERLINK("https://rhld.insurance.arkansas.gov/NPILookup?Npi=1851505358","1851505358")</f>
        <v>1851505358</v>
      </c>
      <c r="E7783" t="s">
        <v>2985</v>
      </c>
    </row>
    <row r="7784" spans="1:5" x14ac:dyDescent="0.25">
      <c r="A7784" t="s">
        <v>1</v>
      </c>
      <c r="B7784" t="s">
        <v>19</v>
      </c>
      <c r="C7784" t="s">
        <v>23490</v>
      </c>
      <c r="D7784" t="str">
        <f>HYPERLINK("https://rhld.insurance.arkansas.gov/NPILookup?Npi=1851555411","1851555411")</f>
        <v>1851555411</v>
      </c>
      <c r="E7784" t="s">
        <v>2986</v>
      </c>
    </row>
    <row r="7785" spans="1:5" x14ac:dyDescent="0.25">
      <c r="A7785" t="s">
        <v>1</v>
      </c>
      <c r="B7785" t="s">
        <v>19</v>
      </c>
      <c r="C7785" t="s">
        <v>8427</v>
      </c>
      <c r="D7785" t="str">
        <f>HYPERLINK("https://rhld.insurance.arkansas.gov/NPILookup?Npi=1851573349","1851573349")</f>
        <v>1851573349</v>
      </c>
      <c r="E7785" t="s">
        <v>22995</v>
      </c>
    </row>
    <row r="7786" spans="1:5" x14ac:dyDescent="0.25">
      <c r="A7786" t="s">
        <v>1</v>
      </c>
      <c r="B7786" t="s">
        <v>19</v>
      </c>
      <c r="C7786" t="s">
        <v>23490</v>
      </c>
      <c r="D7786" t="str">
        <f>HYPERLINK("https://rhld.insurance.arkansas.gov/NPILookup?Npi=1851581383","1851581383")</f>
        <v>1851581383</v>
      </c>
      <c r="E7786" t="s">
        <v>13750</v>
      </c>
    </row>
    <row r="7787" spans="1:5" x14ac:dyDescent="0.25">
      <c r="A7787" t="s">
        <v>1</v>
      </c>
      <c r="B7787" t="s">
        <v>19</v>
      </c>
      <c r="C7787" t="s">
        <v>23490</v>
      </c>
      <c r="D7787" t="str">
        <f>HYPERLINK("https://rhld.insurance.arkansas.gov/NPILookup?Npi=1851586713","1851586713")</f>
        <v>1851586713</v>
      </c>
      <c r="E7787" t="s">
        <v>18151</v>
      </c>
    </row>
    <row r="7788" spans="1:5" x14ac:dyDescent="0.25">
      <c r="A7788" t="s">
        <v>1</v>
      </c>
      <c r="B7788" t="s">
        <v>19</v>
      </c>
      <c r="C7788" t="s">
        <v>23490</v>
      </c>
      <c r="D7788" t="str">
        <f>HYPERLINK("https://rhld.insurance.arkansas.gov/NPILookup?Npi=1851591358","1851591358")</f>
        <v>1851591358</v>
      </c>
      <c r="E7788" t="s">
        <v>2987</v>
      </c>
    </row>
    <row r="7789" spans="1:5" x14ac:dyDescent="0.25">
      <c r="A7789" t="s">
        <v>1</v>
      </c>
      <c r="B7789" t="s">
        <v>19</v>
      </c>
      <c r="C7789" t="s">
        <v>23490</v>
      </c>
      <c r="D7789" t="str">
        <f>HYPERLINK("https://rhld.insurance.arkansas.gov/NPILookup?Npi=1851592604","1851592604")</f>
        <v>1851592604</v>
      </c>
      <c r="E7789" t="s">
        <v>2988</v>
      </c>
    </row>
    <row r="7790" spans="1:5" x14ac:dyDescent="0.25">
      <c r="A7790" t="s">
        <v>1</v>
      </c>
      <c r="B7790" t="s">
        <v>19</v>
      </c>
      <c r="C7790" t="s">
        <v>23490</v>
      </c>
      <c r="D7790" t="str">
        <f>HYPERLINK("https://rhld.insurance.arkansas.gov/NPILookup?Npi=1851614648","1851614648")</f>
        <v>1851614648</v>
      </c>
      <c r="E7790" t="s">
        <v>8885</v>
      </c>
    </row>
    <row r="7791" spans="1:5" x14ac:dyDescent="0.25">
      <c r="A7791" t="s">
        <v>1</v>
      </c>
      <c r="B7791" t="s">
        <v>19</v>
      </c>
      <c r="C7791" t="s">
        <v>23490</v>
      </c>
      <c r="D7791" t="str">
        <f>HYPERLINK("https://rhld.insurance.arkansas.gov/NPILookup?Npi=1851652168","1851652168")</f>
        <v>1851652168</v>
      </c>
      <c r="E7791" t="s">
        <v>8886</v>
      </c>
    </row>
    <row r="7792" spans="1:5" x14ac:dyDescent="0.25">
      <c r="A7792" t="s">
        <v>1</v>
      </c>
      <c r="B7792" t="s">
        <v>19</v>
      </c>
      <c r="C7792" t="s">
        <v>23490</v>
      </c>
      <c r="D7792" t="str">
        <f>HYPERLINK("https://rhld.insurance.arkansas.gov/NPILookup?Npi=1851670368","1851670368")</f>
        <v>1851670368</v>
      </c>
      <c r="E7792" t="s">
        <v>22996</v>
      </c>
    </row>
    <row r="7793" spans="1:5" x14ac:dyDescent="0.25">
      <c r="A7793" t="s">
        <v>1</v>
      </c>
      <c r="B7793" t="s">
        <v>19</v>
      </c>
      <c r="C7793" t="s">
        <v>23490</v>
      </c>
      <c r="D7793" t="str">
        <f>HYPERLINK("https://rhld.insurance.arkansas.gov/NPILookup?Npi=1851682694","1851682694")</f>
        <v>1851682694</v>
      </c>
      <c r="E7793" t="s">
        <v>2990</v>
      </c>
    </row>
    <row r="7794" spans="1:5" x14ac:dyDescent="0.25">
      <c r="A7794" t="s">
        <v>1</v>
      </c>
      <c r="B7794" t="s">
        <v>19</v>
      </c>
      <c r="C7794" t="s">
        <v>23490</v>
      </c>
      <c r="D7794" t="str">
        <f>HYPERLINK("https://rhld.insurance.arkansas.gov/NPILookup?Npi=1851694848","1851694848")</f>
        <v>1851694848</v>
      </c>
      <c r="E7794" t="s">
        <v>2991</v>
      </c>
    </row>
    <row r="7795" spans="1:5" x14ac:dyDescent="0.25">
      <c r="A7795" t="s">
        <v>1</v>
      </c>
      <c r="B7795" t="s">
        <v>19</v>
      </c>
      <c r="C7795" t="s">
        <v>23490</v>
      </c>
      <c r="D7795" t="str">
        <f>HYPERLINK("https://rhld.insurance.arkansas.gov/NPILookup?Npi=1851697197","1851697197")</f>
        <v>1851697197</v>
      </c>
      <c r="E7795" t="s">
        <v>2992</v>
      </c>
    </row>
    <row r="7796" spans="1:5" x14ac:dyDescent="0.25">
      <c r="A7796" t="s">
        <v>1</v>
      </c>
      <c r="B7796" t="s">
        <v>19</v>
      </c>
      <c r="C7796" t="s">
        <v>23490</v>
      </c>
      <c r="D7796" t="str">
        <f>HYPERLINK("https://rhld.insurance.arkansas.gov/NPILookup?Npi=1851705552","1851705552")</f>
        <v>1851705552</v>
      </c>
      <c r="E7796" t="s">
        <v>13751</v>
      </c>
    </row>
    <row r="7797" spans="1:5" x14ac:dyDescent="0.25">
      <c r="A7797" t="s">
        <v>1</v>
      </c>
      <c r="B7797" t="s">
        <v>19</v>
      </c>
      <c r="C7797" t="s">
        <v>23490</v>
      </c>
      <c r="D7797" t="str">
        <f>HYPERLINK("https://rhld.insurance.arkansas.gov/NPILookup?Npi=1851714562","1851714562")</f>
        <v>1851714562</v>
      </c>
      <c r="E7797" t="s">
        <v>8887</v>
      </c>
    </row>
    <row r="7798" spans="1:5" x14ac:dyDescent="0.25">
      <c r="A7798" t="s">
        <v>1</v>
      </c>
      <c r="B7798" t="s">
        <v>19</v>
      </c>
      <c r="C7798" t="s">
        <v>23490</v>
      </c>
      <c r="D7798" t="str">
        <f>HYPERLINK("https://rhld.insurance.arkansas.gov/NPILookup?Npi=1851718381","1851718381")</f>
        <v>1851718381</v>
      </c>
      <c r="E7798" t="s">
        <v>18882</v>
      </c>
    </row>
    <row r="7799" spans="1:5" x14ac:dyDescent="0.25">
      <c r="A7799" t="s">
        <v>1</v>
      </c>
      <c r="B7799" t="s">
        <v>19</v>
      </c>
      <c r="C7799" t="s">
        <v>23490</v>
      </c>
      <c r="D7799" t="str">
        <f>HYPERLINK("https://rhld.insurance.arkansas.gov/NPILookup?Npi=1851721385","1851721385")</f>
        <v>1851721385</v>
      </c>
      <c r="E7799" t="s">
        <v>15636</v>
      </c>
    </row>
    <row r="7800" spans="1:5" x14ac:dyDescent="0.25">
      <c r="A7800" t="s">
        <v>1</v>
      </c>
      <c r="B7800" t="s">
        <v>19</v>
      </c>
      <c r="C7800" t="s">
        <v>23490</v>
      </c>
      <c r="D7800" t="str">
        <f>HYPERLINK("https://rhld.insurance.arkansas.gov/NPILookup?Npi=1851723019","1851723019")</f>
        <v>1851723019</v>
      </c>
      <c r="E7800" t="s">
        <v>2993</v>
      </c>
    </row>
    <row r="7801" spans="1:5" x14ac:dyDescent="0.25">
      <c r="A7801" t="s">
        <v>1</v>
      </c>
      <c r="B7801" t="s">
        <v>19</v>
      </c>
      <c r="C7801" t="s">
        <v>23490</v>
      </c>
      <c r="D7801" t="str">
        <f>HYPERLINK("https://rhld.insurance.arkansas.gov/NPILookup?Npi=1851731582","1851731582")</f>
        <v>1851731582</v>
      </c>
      <c r="E7801" t="s">
        <v>8888</v>
      </c>
    </row>
    <row r="7802" spans="1:5" x14ac:dyDescent="0.25">
      <c r="A7802" t="s">
        <v>1</v>
      </c>
      <c r="B7802" t="s">
        <v>19</v>
      </c>
      <c r="C7802" t="s">
        <v>23490</v>
      </c>
      <c r="D7802" t="str">
        <f>HYPERLINK("https://rhld.insurance.arkansas.gov/NPILookup?Npi=1851734347","1851734347")</f>
        <v>1851734347</v>
      </c>
      <c r="E7802" t="s">
        <v>11324</v>
      </c>
    </row>
    <row r="7803" spans="1:5" x14ac:dyDescent="0.25">
      <c r="A7803" t="s">
        <v>1</v>
      </c>
      <c r="B7803" t="s">
        <v>19</v>
      </c>
      <c r="C7803" t="s">
        <v>23490</v>
      </c>
      <c r="D7803" t="str">
        <f>HYPERLINK("https://rhld.insurance.arkansas.gov/NPILookup?Npi=1851734453","1851734453")</f>
        <v>1851734453</v>
      </c>
      <c r="E7803" t="s">
        <v>8889</v>
      </c>
    </row>
    <row r="7804" spans="1:5" x14ac:dyDescent="0.25">
      <c r="A7804" t="s">
        <v>1</v>
      </c>
      <c r="B7804" t="s">
        <v>19</v>
      </c>
      <c r="C7804" t="s">
        <v>23490</v>
      </c>
      <c r="D7804" t="str">
        <f>HYPERLINK("https://rhld.insurance.arkansas.gov/NPILookup?Npi=1851737787","1851737787")</f>
        <v>1851737787</v>
      </c>
      <c r="E7804" t="s">
        <v>13752</v>
      </c>
    </row>
    <row r="7805" spans="1:5" x14ac:dyDescent="0.25">
      <c r="A7805" t="s">
        <v>1</v>
      </c>
      <c r="B7805" t="s">
        <v>19</v>
      </c>
      <c r="C7805" t="s">
        <v>23490</v>
      </c>
      <c r="D7805" t="str">
        <f>HYPERLINK("https://rhld.insurance.arkansas.gov/NPILookup?Npi=1851739007","1851739007")</f>
        <v>1851739007</v>
      </c>
      <c r="E7805" t="s">
        <v>17485</v>
      </c>
    </row>
    <row r="7806" spans="1:5" x14ac:dyDescent="0.25">
      <c r="A7806" t="s">
        <v>1</v>
      </c>
      <c r="B7806" t="s">
        <v>19</v>
      </c>
      <c r="C7806" t="s">
        <v>23490</v>
      </c>
      <c r="D7806" t="str">
        <f>HYPERLINK("https://rhld.insurance.arkansas.gov/NPILookup?Npi=1851742712","1851742712")</f>
        <v>1851742712</v>
      </c>
      <c r="E7806" t="s">
        <v>20074</v>
      </c>
    </row>
    <row r="7807" spans="1:5" x14ac:dyDescent="0.25">
      <c r="A7807" t="s">
        <v>1</v>
      </c>
      <c r="B7807" t="s">
        <v>19</v>
      </c>
      <c r="C7807" t="s">
        <v>23490</v>
      </c>
      <c r="D7807" t="str">
        <f>HYPERLINK("https://rhld.insurance.arkansas.gov/NPILookup?Npi=1851743645","1851743645")</f>
        <v>1851743645</v>
      </c>
      <c r="E7807" t="s">
        <v>11325</v>
      </c>
    </row>
    <row r="7808" spans="1:5" x14ac:dyDescent="0.25">
      <c r="A7808" t="s">
        <v>1</v>
      </c>
      <c r="B7808" t="s">
        <v>19</v>
      </c>
      <c r="C7808" t="s">
        <v>23490</v>
      </c>
      <c r="D7808" t="str">
        <f>HYPERLINK("https://rhld.insurance.arkansas.gov/NPILookup?Npi=1851753776","1851753776")</f>
        <v>1851753776</v>
      </c>
      <c r="E7808" t="s">
        <v>11326</v>
      </c>
    </row>
    <row r="7809" spans="1:5" x14ac:dyDescent="0.25">
      <c r="A7809" t="s">
        <v>1</v>
      </c>
      <c r="B7809" t="s">
        <v>19</v>
      </c>
      <c r="C7809" t="s">
        <v>23490</v>
      </c>
      <c r="D7809" t="str">
        <f>HYPERLINK("https://rhld.insurance.arkansas.gov/NPILookup?Npi=1851754964","1851754964")</f>
        <v>1851754964</v>
      </c>
      <c r="E7809" t="s">
        <v>15637</v>
      </c>
    </row>
    <row r="7810" spans="1:5" x14ac:dyDescent="0.25">
      <c r="A7810" t="s">
        <v>1</v>
      </c>
      <c r="B7810" t="s">
        <v>19</v>
      </c>
      <c r="C7810" t="s">
        <v>23490</v>
      </c>
      <c r="D7810" t="str">
        <f>HYPERLINK("https://rhld.insurance.arkansas.gov/NPILookup?Npi=1851758973","1851758973")</f>
        <v>1851758973</v>
      </c>
      <c r="E7810" t="s">
        <v>8890</v>
      </c>
    </row>
    <row r="7811" spans="1:5" x14ac:dyDescent="0.25">
      <c r="A7811" t="s">
        <v>1</v>
      </c>
      <c r="B7811" t="s">
        <v>19</v>
      </c>
      <c r="C7811" t="s">
        <v>23490</v>
      </c>
      <c r="D7811" t="str">
        <f>HYPERLINK("https://rhld.insurance.arkansas.gov/NPILookup?Npi=1851787089","1851787089")</f>
        <v>1851787089</v>
      </c>
      <c r="E7811" t="s">
        <v>20075</v>
      </c>
    </row>
    <row r="7812" spans="1:5" x14ac:dyDescent="0.25">
      <c r="A7812" t="s">
        <v>1</v>
      </c>
      <c r="B7812" t="s">
        <v>19</v>
      </c>
      <c r="C7812" t="s">
        <v>23490</v>
      </c>
      <c r="D7812" t="str">
        <f>HYPERLINK("https://rhld.insurance.arkansas.gov/NPILookup?Npi=1851787659","1851787659")</f>
        <v>1851787659</v>
      </c>
      <c r="E7812" t="s">
        <v>13753</v>
      </c>
    </row>
    <row r="7813" spans="1:5" x14ac:dyDescent="0.25">
      <c r="A7813" t="s">
        <v>1</v>
      </c>
      <c r="B7813" t="s">
        <v>19</v>
      </c>
      <c r="C7813" t="s">
        <v>23490</v>
      </c>
      <c r="D7813" t="str">
        <f>HYPERLINK("https://rhld.insurance.arkansas.gov/NPILookup?Npi=1851792626","1851792626")</f>
        <v>1851792626</v>
      </c>
      <c r="E7813" t="s">
        <v>15638</v>
      </c>
    </row>
    <row r="7814" spans="1:5" x14ac:dyDescent="0.25">
      <c r="A7814" t="s">
        <v>1</v>
      </c>
      <c r="B7814" t="s">
        <v>19</v>
      </c>
      <c r="C7814" t="s">
        <v>23490</v>
      </c>
      <c r="D7814" t="str">
        <f>HYPERLINK("https://rhld.insurance.arkansas.gov/NPILookup?Npi=1851794291","1851794291")</f>
        <v>1851794291</v>
      </c>
      <c r="E7814" t="s">
        <v>2995</v>
      </c>
    </row>
    <row r="7815" spans="1:5" x14ac:dyDescent="0.25">
      <c r="A7815" t="s">
        <v>1</v>
      </c>
      <c r="B7815" t="s">
        <v>19</v>
      </c>
      <c r="C7815" t="s">
        <v>23490</v>
      </c>
      <c r="D7815" t="str">
        <f>HYPERLINK("https://rhld.insurance.arkansas.gov/NPILookup?Npi=1851809230","1851809230")</f>
        <v>1851809230</v>
      </c>
      <c r="E7815" t="s">
        <v>13754</v>
      </c>
    </row>
    <row r="7816" spans="1:5" x14ac:dyDescent="0.25">
      <c r="A7816" t="s">
        <v>1</v>
      </c>
      <c r="B7816" t="s">
        <v>19</v>
      </c>
      <c r="C7816" t="s">
        <v>23490</v>
      </c>
      <c r="D7816" t="str">
        <f>HYPERLINK("https://rhld.insurance.arkansas.gov/NPILookup?Npi=1851813141","1851813141")</f>
        <v>1851813141</v>
      </c>
      <c r="E7816" t="s">
        <v>11327</v>
      </c>
    </row>
    <row r="7817" spans="1:5" x14ac:dyDescent="0.25">
      <c r="A7817" t="s">
        <v>1</v>
      </c>
      <c r="B7817" t="s">
        <v>19</v>
      </c>
      <c r="C7817" t="s">
        <v>23490</v>
      </c>
      <c r="D7817" t="str">
        <f>HYPERLINK("https://rhld.insurance.arkansas.gov/NPILookup?Npi=1851815542","1851815542")</f>
        <v>1851815542</v>
      </c>
      <c r="E7817" t="s">
        <v>13037</v>
      </c>
    </row>
    <row r="7818" spans="1:5" x14ac:dyDescent="0.25">
      <c r="A7818" t="s">
        <v>1</v>
      </c>
      <c r="B7818" t="s">
        <v>19</v>
      </c>
      <c r="C7818" t="s">
        <v>23490</v>
      </c>
      <c r="D7818" t="str">
        <f>HYPERLINK("https://rhld.insurance.arkansas.gov/NPILookup?Npi=1851817084","1851817084")</f>
        <v>1851817084</v>
      </c>
      <c r="E7818" t="s">
        <v>19236</v>
      </c>
    </row>
    <row r="7819" spans="1:5" x14ac:dyDescent="0.25">
      <c r="A7819" t="s">
        <v>1</v>
      </c>
      <c r="B7819" t="s">
        <v>19</v>
      </c>
      <c r="C7819" t="s">
        <v>23490</v>
      </c>
      <c r="D7819" t="str">
        <f>HYPERLINK("https://rhld.insurance.arkansas.gov/NPILookup?Npi=1851827679","1851827679")</f>
        <v>1851827679</v>
      </c>
      <c r="E7819" t="s">
        <v>20076</v>
      </c>
    </row>
    <row r="7820" spans="1:5" x14ac:dyDescent="0.25">
      <c r="A7820" t="s">
        <v>1</v>
      </c>
      <c r="B7820" t="s">
        <v>19</v>
      </c>
      <c r="C7820" t="s">
        <v>23490</v>
      </c>
      <c r="D7820" t="str">
        <f>HYPERLINK("https://rhld.insurance.arkansas.gov/NPILookup?Npi=1851832653","1851832653")</f>
        <v>1851832653</v>
      </c>
      <c r="E7820" t="s">
        <v>11328</v>
      </c>
    </row>
    <row r="7821" spans="1:5" x14ac:dyDescent="0.25">
      <c r="A7821" t="s">
        <v>1</v>
      </c>
      <c r="B7821" t="s">
        <v>19</v>
      </c>
      <c r="C7821" t="s">
        <v>23490</v>
      </c>
      <c r="D7821" t="str">
        <f>HYPERLINK("https://rhld.insurance.arkansas.gov/NPILookup?Npi=1851834972","1851834972")</f>
        <v>1851834972</v>
      </c>
      <c r="E7821" t="s">
        <v>21058</v>
      </c>
    </row>
    <row r="7822" spans="1:5" x14ac:dyDescent="0.25">
      <c r="A7822" t="s">
        <v>1</v>
      </c>
      <c r="B7822" t="s">
        <v>19</v>
      </c>
      <c r="C7822" t="s">
        <v>23490</v>
      </c>
      <c r="D7822" t="str">
        <f>HYPERLINK("https://rhld.insurance.arkansas.gov/NPILookup?Npi=1851839427","1851839427")</f>
        <v>1851839427</v>
      </c>
      <c r="E7822" t="s">
        <v>12922</v>
      </c>
    </row>
    <row r="7823" spans="1:5" x14ac:dyDescent="0.25">
      <c r="A7823" t="s">
        <v>1</v>
      </c>
      <c r="B7823" t="s">
        <v>19</v>
      </c>
      <c r="C7823" t="s">
        <v>23490</v>
      </c>
      <c r="D7823" t="str">
        <f>HYPERLINK("https://rhld.insurance.arkansas.gov/NPILookup?Npi=1851845200","1851845200")</f>
        <v>1851845200</v>
      </c>
      <c r="E7823" t="s">
        <v>11329</v>
      </c>
    </row>
    <row r="7824" spans="1:5" x14ac:dyDescent="0.25">
      <c r="A7824" t="s">
        <v>1</v>
      </c>
      <c r="B7824" t="s">
        <v>19</v>
      </c>
      <c r="C7824" t="s">
        <v>23490</v>
      </c>
      <c r="D7824" t="str">
        <f>HYPERLINK("https://rhld.insurance.arkansas.gov/NPILookup?Npi=1851858757","1851858757")</f>
        <v>1851858757</v>
      </c>
      <c r="E7824" t="s">
        <v>15639</v>
      </c>
    </row>
    <row r="7825" spans="1:5" x14ac:dyDescent="0.25">
      <c r="A7825" t="s">
        <v>1</v>
      </c>
      <c r="B7825" t="s">
        <v>19</v>
      </c>
      <c r="C7825" t="s">
        <v>23490</v>
      </c>
      <c r="D7825" t="str">
        <f>HYPERLINK("https://rhld.insurance.arkansas.gov/NPILookup?Npi=1851858773","1851858773")</f>
        <v>1851858773</v>
      </c>
      <c r="E7825" t="s">
        <v>13755</v>
      </c>
    </row>
    <row r="7826" spans="1:5" x14ac:dyDescent="0.25">
      <c r="A7826" t="s">
        <v>1</v>
      </c>
      <c r="B7826" t="s">
        <v>19</v>
      </c>
      <c r="C7826" t="s">
        <v>23490</v>
      </c>
      <c r="D7826" t="str">
        <f>HYPERLINK("https://rhld.insurance.arkansas.gov/NPILookup?Npi=1851871875","1851871875")</f>
        <v>1851871875</v>
      </c>
      <c r="E7826" t="s">
        <v>15640</v>
      </c>
    </row>
    <row r="7827" spans="1:5" x14ac:dyDescent="0.25">
      <c r="A7827" t="s">
        <v>1</v>
      </c>
      <c r="B7827" t="s">
        <v>19</v>
      </c>
      <c r="C7827" t="s">
        <v>23490</v>
      </c>
      <c r="D7827" t="str">
        <f>HYPERLINK("https://rhld.insurance.arkansas.gov/NPILookup?Npi=1851894075","1851894075")</f>
        <v>1851894075</v>
      </c>
      <c r="E7827" t="s">
        <v>17042</v>
      </c>
    </row>
    <row r="7828" spans="1:5" x14ac:dyDescent="0.25">
      <c r="A7828" t="s">
        <v>1</v>
      </c>
      <c r="B7828" t="s">
        <v>19</v>
      </c>
      <c r="C7828" t="s">
        <v>23490</v>
      </c>
      <c r="D7828" t="str">
        <f>HYPERLINK("https://rhld.insurance.arkansas.gov/NPILookup?Npi=1851902118","1851902118")</f>
        <v>1851902118</v>
      </c>
      <c r="E7828" t="s">
        <v>18152</v>
      </c>
    </row>
    <row r="7829" spans="1:5" x14ac:dyDescent="0.25">
      <c r="A7829" t="s">
        <v>1</v>
      </c>
      <c r="B7829" t="s">
        <v>19</v>
      </c>
      <c r="C7829" t="s">
        <v>23490</v>
      </c>
      <c r="D7829" t="str">
        <f>HYPERLINK("https://rhld.insurance.arkansas.gov/NPILookup?Npi=1851902860","1851902860")</f>
        <v>1851902860</v>
      </c>
      <c r="E7829" t="s">
        <v>18883</v>
      </c>
    </row>
    <row r="7830" spans="1:5" x14ac:dyDescent="0.25">
      <c r="A7830" t="s">
        <v>1</v>
      </c>
      <c r="B7830" t="s">
        <v>19</v>
      </c>
      <c r="C7830" t="s">
        <v>8427</v>
      </c>
      <c r="D7830" t="str">
        <f>HYPERLINK("https://rhld.insurance.arkansas.gov/NPILookup?Npi=1851929673","1851929673")</f>
        <v>1851929673</v>
      </c>
      <c r="E7830" t="s">
        <v>22997</v>
      </c>
    </row>
    <row r="7831" spans="1:5" x14ac:dyDescent="0.25">
      <c r="A7831" t="s">
        <v>1</v>
      </c>
      <c r="B7831" t="s">
        <v>19</v>
      </c>
      <c r="C7831" t="s">
        <v>23490</v>
      </c>
      <c r="D7831" t="str">
        <f>HYPERLINK("https://rhld.insurance.arkansas.gov/NPILookup?Npi=1851946776","1851946776")</f>
        <v>1851946776</v>
      </c>
      <c r="E7831" t="s">
        <v>18153</v>
      </c>
    </row>
    <row r="7832" spans="1:5" x14ac:dyDescent="0.25">
      <c r="A7832" t="s">
        <v>1</v>
      </c>
      <c r="B7832" t="s">
        <v>19</v>
      </c>
      <c r="C7832" t="s">
        <v>23490</v>
      </c>
      <c r="D7832" t="str">
        <f>HYPERLINK("https://rhld.insurance.arkansas.gov/NPILookup?Npi=1851947832","1851947832")</f>
        <v>1851947832</v>
      </c>
      <c r="E7832" t="s">
        <v>20077</v>
      </c>
    </row>
    <row r="7833" spans="1:5" x14ac:dyDescent="0.25">
      <c r="A7833" t="s">
        <v>1</v>
      </c>
      <c r="B7833" t="s">
        <v>19</v>
      </c>
      <c r="C7833" t="s">
        <v>23490</v>
      </c>
      <c r="D7833" t="str">
        <f>HYPERLINK("https://rhld.insurance.arkansas.gov/NPILookup?Npi=1851960025","1851960025")</f>
        <v>1851960025</v>
      </c>
      <c r="E7833" t="s">
        <v>21405</v>
      </c>
    </row>
    <row r="7834" spans="1:5" x14ac:dyDescent="0.25">
      <c r="A7834" t="s">
        <v>1</v>
      </c>
      <c r="B7834" t="s">
        <v>19</v>
      </c>
      <c r="C7834" t="s">
        <v>23490</v>
      </c>
      <c r="D7834" t="str">
        <f>HYPERLINK("https://rhld.insurance.arkansas.gov/NPILookup?Npi=1851962823","1851962823")</f>
        <v>1851962823</v>
      </c>
      <c r="E7834" t="s">
        <v>18884</v>
      </c>
    </row>
    <row r="7835" spans="1:5" x14ac:dyDescent="0.25">
      <c r="A7835" t="s">
        <v>1</v>
      </c>
      <c r="B7835" t="s">
        <v>19</v>
      </c>
      <c r="C7835" t="s">
        <v>23490</v>
      </c>
      <c r="D7835" t="str">
        <f>HYPERLINK("https://rhld.insurance.arkansas.gov/NPILookup?Npi=1861003196","1861003196")</f>
        <v>1861003196</v>
      </c>
      <c r="E7835" t="s">
        <v>18154</v>
      </c>
    </row>
    <row r="7836" spans="1:5" x14ac:dyDescent="0.25">
      <c r="A7836" t="s">
        <v>1</v>
      </c>
      <c r="B7836" t="s">
        <v>19</v>
      </c>
      <c r="C7836" t="s">
        <v>23490</v>
      </c>
      <c r="D7836" t="str">
        <f>HYPERLINK("https://rhld.insurance.arkansas.gov/NPILookup?Npi=1861018350","1861018350")</f>
        <v>1861018350</v>
      </c>
      <c r="E7836" t="s">
        <v>18155</v>
      </c>
    </row>
    <row r="7837" spans="1:5" x14ac:dyDescent="0.25">
      <c r="A7837" t="s">
        <v>1</v>
      </c>
      <c r="B7837" t="s">
        <v>19</v>
      </c>
      <c r="C7837" t="s">
        <v>23490</v>
      </c>
      <c r="D7837" t="str">
        <f>HYPERLINK("https://rhld.insurance.arkansas.gov/NPILookup?Npi=1861018947","1861018947")</f>
        <v>1861018947</v>
      </c>
      <c r="E7837" t="s">
        <v>17486</v>
      </c>
    </row>
    <row r="7838" spans="1:5" x14ac:dyDescent="0.25">
      <c r="A7838" t="s">
        <v>1</v>
      </c>
      <c r="B7838" t="s">
        <v>19</v>
      </c>
      <c r="C7838" t="s">
        <v>8427</v>
      </c>
      <c r="D7838" t="str">
        <f>HYPERLINK("https://rhld.insurance.arkansas.gov/NPILookup?Npi=1861020240","1861020240")</f>
        <v>1861020240</v>
      </c>
      <c r="E7838" t="s">
        <v>22998</v>
      </c>
    </row>
    <row r="7839" spans="1:5" x14ac:dyDescent="0.25">
      <c r="A7839" t="s">
        <v>1</v>
      </c>
      <c r="B7839" t="s">
        <v>19</v>
      </c>
      <c r="C7839" t="s">
        <v>8427</v>
      </c>
      <c r="D7839" t="str">
        <f>HYPERLINK("https://rhld.insurance.arkansas.gov/NPILookup?Npi=1861021040","1861021040")</f>
        <v>1861021040</v>
      </c>
      <c r="E7839" t="s">
        <v>22999</v>
      </c>
    </row>
    <row r="7840" spans="1:5" x14ac:dyDescent="0.25">
      <c r="A7840" t="s">
        <v>1</v>
      </c>
      <c r="B7840" t="s">
        <v>19</v>
      </c>
      <c r="C7840" t="s">
        <v>8427</v>
      </c>
      <c r="D7840" t="str">
        <f>HYPERLINK("https://rhld.insurance.arkansas.gov/NPILookup?Npi=1861021636","1861021636")</f>
        <v>1861021636</v>
      </c>
      <c r="E7840" t="s">
        <v>23000</v>
      </c>
    </row>
    <row r="7841" spans="1:5" x14ac:dyDescent="0.25">
      <c r="A7841" t="s">
        <v>1</v>
      </c>
      <c r="B7841" t="s">
        <v>19</v>
      </c>
      <c r="C7841" t="s">
        <v>23490</v>
      </c>
      <c r="D7841" t="str">
        <f>HYPERLINK("https://rhld.insurance.arkansas.gov/NPILookup?Npi=1861025173","1861025173")</f>
        <v>1861025173</v>
      </c>
      <c r="E7841" t="s">
        <v>18156</v>
      </c>
    </row>
    <row r="7842" spans="1:5" x14ac:dyDescent="0.25">
      <c r="A7842" t="s">
        <v>1</v>
      </c>
      <c r="B7842" t="s">
        <v>19</v>
      </c>
      <c r="C7842" t="s">
        <v>23490</v>
      </c>
      <c r="D7842" t="str">
        <f>HYPERLINK("https://rhld.insurance.arkansas.gov/NPILookup?Npi=1861026528","1861026528")</f>
        <v>1861026528</v>
      </c>
      <c r="E7842" t="s">
        <v>21059</v>
      </c>
    </row>
    <row r="7843" spans="1:5" x14ac:dyDescent="0.25">
      <c r="A7843" t="s">
        <v>1</v>
      </c>
      <c r="B7843" t="s">
        <v>19</v>
      </c>
      <c r="C7843" t="s">
        <v>23490</v>
      </c>
      <c r="D7843" t="str">
        <f>HYPERLINK("https://rhld.insurance.arkansas.gov/NPILookup?Npi=1861058547","1861058547")</f>
        <v>1861058547</v>
      </c>
      <c r="E7843" t="s">
        <v>15641</v>
      </c>
    </row>
    <row r="7844" spans="1:5" x14ac:dyDescent="0.25">
      <c r="A7844" t="s">
        <v>1</v>
      </c>
      <c r="B7844" t="s">
        <v>19</v>
      </c>
      <c r="C7844" t="s">
        <v>23490</v>
      </c>
      <c r="D7844" t="str">
        <f>HYPERLINK("https://rhld.insurance.arkansas.gov/NPILookup?Npi=1861075939","1861075939")</f>
        <v>1861075939</v>
      </c>
      <c r="E7844" t="s">
        <v>21665</v>
      </c>
    </row>
    <row r="7845" spans="1:5" x14ac:dyDescent="0.25">
      <c r="A7845" t="s">
        <v>1</v>
      </c>
      <c r="B7845" t="s">
        <v>19</v>
      </c>
      <c r="C7845" t="s">
        <v>23490</v>
      </c>
      <c r="D7845" t="str">
        <f>HYPERLINK("https://rhld.insurance.arkansas.gov/NPILookup?Npi=1861077109","1861077109")</f>
        <v>1861077109</v>
      </c>
      <c r="E7845" t="s">
        <v>18885</v>
      </c>
    </row>
    <row r="7846" spans="1:5" x14ac:dyDescent="0.25">
      <c r="A7846" t="s">
        <v>1</v>
      </c>
      <c r="B7846" t="s">
        <v>19</v>
      </c>
      <c r="C7846" t="s">
        <v>23490</v>
      </c>
      <c r="D7846" t="str">
        <f>HYPERLINK("https://rhld.insurance.arkansas.gov/NPILookup?Npi=1861077802","1861077802")</f>
        <v>1861077802</v>
      </c>
      <c r="E7846" t="s">
        <v>18157</v>
      </c>
    </row>
    <row r="7847" spans="1:5" x14ac:dyDescent="0.25">
      <c r="A7847" t="s">
        <v>1</v>
      </c>
      <c r="B7847" t="s">
        <v>19</v>
      </c>
      <c r="C7847" t="s">
        <v>23490</v>
      </c>
      <c r="D7847" t="str">
        <f>HYPERLINK("https://rhld.insurance.arkansas.gov/NPILookup?Npi=1861138901","1861138901")</f>
        <v>1861138901</v>
      </c>
      <c r="E7847" t="s">
        <v>20078</v>
      </c>
    </row>
    <row r="7848" spans="1:5" x14ac:dyDescent="0.25">
      <c r="A7848" t="s">
        <v>1</v>
      </c>
      <c r="B7848" t="s">
        <v>19</v>
      </c>
      <c r="C7848" t="s">
        <v>23490</v>
      </c>
      <c r="D7848" t="str">
        <f>HYPERLINK("https://rhld.insurance.arkansas.gov/NPILookup?Npi=1861160145","1861160145")</f>
        <v>1861160145</v>
      </c>
      <c r="E7848" t="s">
        <v>18886</v>
      </c>
    </row>
    <row r="7849" spans="1:5" x14ac:dyDescent="0.25">
      <c r="A7849" t="s">
        <v>1</v>
      </c>
      <c r="B7849" t="s">
        <v>19</v>
      </c>
      <c r="C7849" t="s">
        <v>23490</v>
      </c>
      <c r="D7849" t="str">
        <f>HYPERLINK("https://rhld.insurance.arkansas.gov/NPILookup?Npi=1861412512","1861412512")</f>
        <v>1861412512</v>
      </c>
      <c r="E7849" t="s">
        <v>2997</v>
      </c>
    </row>
    <row r="7850" spans="1:5" x14ac:dyDescent="0.25">
      <c r="A7850" t="s">
        <v>1</v>
      </c>
      <c r="B7850" t="s">
        <v>19</v>
      </c>
      <c r="C7850" t="s">
        <v>23490</v>
      </c>
      <c r="D7850" t="str">
        <f>HYPERLINK("https://rhld.insurance.arkansas.gov/NPILookup?Npi=1861414708","1861414708")</f>
        <v>1861414708</v>
      </c>
      <c r="E7850" t="s">
        <v>2998</v>
      </c>
    </row>
    <row r="7851" spans="1:5" x14ac:dyDescent="0.25">
      <c r="A7851" t="s">
        <v>1</v>
      </c>
      <c r="B7851" t="s">
        <v>19</v>
      </c>
      <c r="C7851" t="s">
        <v>23490</v>
      </c>
      <c r="D7851" t="str">
        <f>HYPERLINK("https://rhld.insurance.arkansas.gov/NPILookup?Npi=1861428898","1861428898")</f>
        <v>1861428898</v>
      </c>
      <c r="E7851" t="s">
        <v>15642</v>
      </c>
    </row>
    <row r="7852" spans="1:5" x14ac:dyDescent="0.25">
      <c r="A7852" t="s">
        <v>1</v>
      </c>
      <c r="B7852" t="s">
        <v>19</v>
      </c>
      <c r="C7852" t="s">
        <v>23490</v>
      </c>
      <c r="D7852" t="str">
        <f>HYPERLINK("https://rhld.insurance.arkansas.gov/NPILookup?Npi=1861433377","1861433377")</f>
        <v>1861433377</v>
      </c>
      <c r="E7852" t="s">
        <v>2999</v>
      </c>
    </row>
    <row r="7853" spans="1:5" x14ac:dyDescent="0.25">
      <c r="A7853" t="s">
        <v>1</v>
      </c>
      <c r="B7853" t="s">
        <v>19</v>
      </c>
      <c r="C7853" t="s">
        <v>23490</v>
      </c>
      <c r="D7853" t="str">
        <f>HYPERLINK("https://rhld.insurance.arkansas.gov/NPILookup?Npi=1861438665","1861438665")</f>
        <v>1861438665</v>
      </c>
      <c r="E7853" t="s">
        <v>3000</v>
      </c>
    </row>
    <row r="7854" spans="1:5" x14ac:dyDescent="0.25">
      <c r="A7854" t="s">
        <v>1</v>
      </c>
      <c r="B7854" t="s">
        <v>19</v>
      </c>
      <c r="C7854" t="s">
        <v>23490</v>
      </c>
      <c r="D7854" t="str">
        <f>HYPERLINK("https://rhld.insurance.arkansas.gov/NPILookup?Npi=1861440877","1861440877")</f>
        <v>1861440877</v>
      </c>
      <c r="E7854" t="s">
        <v>3001</v>
      </c>
    </row>
    <row r="7855" spans="1:5" x14ac:dyDescent="0.25">
      <c r="A7855" t="s">
        <v>1</v>
      </c>
      <c r="B7855" t="s">
        <v>19</v>
      </c>
      <c r="C7855" t="s">
        <v>23490</v>
      </c>
      <c r="D7855" t="str">
        <f>HYPERLINK("https://rhld.insurance.arkansas.gov/NPILookup?Npi=1861441008","1861441008")</f>
        <v>1861441008</v>
      </c>
      <c r="E7855" t="s">
        <v>8891</v>
      </c>
    </row>
    <row r="7856" spans="1:5" x14ac:dyDescent="0.25">
      <c r="A7856" t="s">
        <v>1</v>
      </c>
      <c r="B7856" t="s">
        <v>19</v>
      </c>
      <c r="C7856" t="s">
        <v>23490</v>
      </c>
      <c r="D7856" t="str">
        <f>HYPERLINK("https://rhld.insurance.arkansas.gov/NPILookup?Npi=1861448789","1861448789")</f>
        <v>1861448789</v>
      </c>
      <c r="E7856" t="s">
        <v>15643</v>
      </c>
    </row>
    <row r="7857" spans="1:5" x14ac:dyDescent="0.25">
      <c r="A7857" t="s">
        <v>1</v>
      </c>
      <c r="B7857" t="s">
        <v>19</v>
      </c>
      <c r="C7857" t="s">
        <v>23490</v>
      </c>
      <c r="D7857" t="str">
        <f>HYPERLINK("https://rhld.insurance.arkansas.gov/NPILookup?Npi=1861450215","1861450215")</f>
        <v>1861450215</v>
      </c>
      <c r="E7857" t="s">
        <v>3004</v>
      </c>
    </row>
    <row r="7858" spans="1:5" x14ac:dyDescent="0.25">
      <c r="A7858" t="s">
        <v>1</v>
      </c>
      <c r="B7858" t="s">
        <v>19</v>
      </c>
      <c r="C7858" t="s">
        <v>23490</v>
      </c>
      <c r="D7858" t="str">
        <f>HYPERLINK("https://rhld.insurance.arkansas.gov/NPILookup?Npi=1861450942","1861450942")</f>
        <v>1861450942</v>
      </c>
      <c r="E7858" t="s">
        <v>3005</v>
      </c>
    </row>
    <row r="7859" spans="1:5" x14ac:dyDescent="0.25">
      <c r="A7859" t="s">
        <v>1</v>
      </c>
      <c r="B7859" t="s">
        <v>19</v>
      </c>
      <c r="C7859" t="s">
        <v>23490</v>
      </c>
      <c r="D7859" t="str">
        <f>HYPERLINK("https://rhld.insurance.arkansas.gov/NPILookup?Npi=1861452401","1861452401")</f>
        <v>1861452401</v>
      </c>
      <c r="E7859" t="s">
        <v>15644</v>
      </c>
    </row>
    <row r="7860" spans="1:5" x14ac:dyDescent="0.25">
      <c r="A7860" t="s">
        <v>1</v>
      </c>
      <c r="B7860" t="s">
        <v>19</v>
      </c>
      <c r="C7860" t="s">
        <v>23490</v>
      </c>
      <c r="D7860" t="str">
        <f>HYPERLINK("https://rhld.insurance.arkansas.gov/NPILookup?Npi=1861453656","1861453656")</f>
        <v>1861453656</v>
      </c>
      <c r="E7860" t="s">
        <v>3006</v>
      </c>
    </row>
    <row r="7861" spans="1:5" x14ac:dyDescent="0.25">
      <c r="A7861" t="s">
        <v>1</v>
      </c>
      <c r="B7861" t="s">
        <v>19</v>
      </c>
      <c r="C7861" t="s">
        <v>23490</v>
      </c>
      <c r="D7861" t="str">
        <f>HYPERLINK("https://rhld.insurance.arkansas.gov/NPILookup?Npi=1861455354","1861455354")</f>
        <v>1861455354</v>
      </c>
      <c r="E7861" t="s">
        <v>3007</v>
      </c>
    </row>
    <row r="7862" spans="1:5" x14ac:dyDescent="0.25">
      <c r="A7862" t="s">
        <v>1</v>
      </c>
      <c r="B7862" t="s">
        <v>19</v>
      </c>
      <c r="C7862" t="s">
        <v>23490</v>
      </c>
      <c r="D7862" t="str">
        <f>HYPERLINK("https://rhld.insurance.arkansas.gov/NPILookup?Npi=1861457988","1861457988")</f>
        <v>1861457988</v>
      </c>
      <c r="E7862" t="s">
        <v>3008</v>
      </c>
    </row>
    <row r="7863" spans="1:5" x14ac:dyDescent="0.25">
      <c r="A7863" t="s">
        <v>1</v>
      </c>
      <c r="B7863" t="s">
        <v>19</v>
      </c>
      <c r="C7863" t="s">
        <v>23490</v>
      </c>
      <c r="D7863" t="str">
        <f>HYPERLINK("https://rhld.insurance.arkansas.gov/NPILookup?Npi=1861458069","1861458069")</f>
        <v>1861458069</v>
      </c>
      <c r="E7863" t="s">
        <v>12923</v>
      </c>
    </row>
    <row r="7864" spans="1:5" x14ac:dyDescent="0.25">
      <c r="A7864" t="s">
        <v>1</v>
      </c>
      <c r="B7864" t="s">
        <v>19</v>
      </c>
      <c r="C7864" t="s">
        <v>23490</v>
      </c>
      <c r="D7864" t="str">
        <f>HYPERLINK("https://rhld.insurance.arkansas.gov/NPILookup?Npi=1861461378","1861461378")</f>
        <v>1861461378</v>
      </c>
      <c r="E7864" t="s">
        <v>15645</v>
      </c>
    </row>
    <row r="7865" spans="1:5" x14ac:dyDescent="0.25">
      <c r="A7865" t="s">
        <v>1</v>
      </c>
      <c r="B7865" t="s">
        <v>19</v>
      </c>
      <c r="C7865" t="s">
        <v>23490</v>
      </c>
      <c r="D7865" t="str">
        <f>HYPERLINK("https://rhld.insurance.arkansas.gov/NPILookup?Npi=1861479966","1861479966")</f>
        <v>1861479966</v>
      </c>
      <c r="E7865" t="s">
        <v>3009</v>
      </c>
    </row>
    <row r="7866" spans="1:5" x14ac:dyDescent="0.25">
      <c r="A7866" t="s">
        <v>1</v>
      </c>
      <c r="B7866" t="s">
        <v>19</v>
      </c>
      <c r="C7866" t="s">
        <v>23490</v>
      </c>
      <c r="D7866" t="str">
        <f>HYPERLINK("https://rhld.insurance.arkansas.gov/NPILookup?Npi=1861482739","1861482739")</f>
        <v>1861482739</v>
      </c>
      <c r="E7866" t="s">
        <v>12924</v>
      </c>
    </row>
    <row r="7867" spans="1:5" x14ac:dyDescent="0.25">
      <c r="A7867" t="s">
        <v>1</v>
      </c>
      <c r="B7867" t="s">
        <v>19</v>
      </c>
      <c r="C7867" t="s">
        <v>23490</v>
      </c>
      <c r="D7867" t="str">
        <f>HYPERLINK("https://rhld.insurance.arkansas.gov/NPILookup?Npi=1861486920","1861486920")</f>
        <v>1861486920</v>
      </c>
      <c r="E7867" t="s">
        <v>3010</v>
      </c>
    </row>
    <row r="7868" spans="1:5" x14ac:dyDescent="0.25">
      <c r="A7868" t="s">
        <v>1</v>
      </c>
      <c r="B7868" t="s">
        <v>19</v>
      </c>
      <c r="C7868" t="s">
        <v>23490</v>
      </c>
      <c r="D7868" t="str">
        <f>HYPERLINK("https://rhld.insurance.arkansas.gov/NPILookup?Npi=1861487282","1861487282")</f>
        <v>1861487282</v>
      </c>
      <c r="E7868" t="s">
        <v>3011</v>
      </c>
    </row>
    <row r="7869" spans="1:5" x14ac:dyDescent="0.25">
      <c r="A7869" t="s">
        <v>1</v>
      </c>
      <c r="B7869" t="s">
        <v>19</v>
      </c>
      <c r="C7869" t="s">
        <v>23490</v>
      </c>
      <c r="D7869" t="str">
        <f>HYPERLINK("https://rhld.insurance.arkansas.gov/NPILookup?Npi=1861488017","1861488017")</f>
        <v>1861488017</v>
      </c>
      <c r="E7869" t="s">
        <v>3012</v>
      </c>
    </row>
    <row r="7870" spans="1:5" x14ac:dyDescent="0.25">
      <c r="A7870" t="s">
        <v>1</v>
      </c>
      <c r="B7870" t="s">
        <v>19</v>
      </c>
      <c r="C7870" t="s">
        <v>23490</v>
      </c>
      <c r="D7870" t="str">
        <f>HYPERLINK("https://rhld.insurance.arkansas.gov/NPILookup?Npi=1861488348","1861488348")</f>
        <v>1861488348</v>
      </c>
      <c r="E7870" t="s">
        <v>3013</v>
      </c>
    </row>
    <row r="7871" spans="1:5" x14ac:dyDescent="0.25">
      <c r="A7871" t="s">
        <v>1</v>
      </c>
      <c r="B7871" t="s">
        <v>19</v>
      </c>
      <c r="C7871" t="s">
        <v>23490</v>
      </c>
      <c r="D7871" t="str">
        <f>HYPERLINK("https://rhld.insurance.arkansas.gov/NPILookup?Npi=1861490773","1861490773")</f>
        <v>1861490773</v>
      </c>
      <c r="E7871" t="s">
        <v>15646</v>
      </c>
    </row>
    <row r="7872" spans="1:5" x14ac:dyDescent="0.25">
      <c r="A7872" t="s">
        <v>1</v>
      </c>
      <c r="B7872" t="s">
        <v>19</v>
      </c>
      <c r="C7872" t="s">
        <v>23490</v>
      </c>
      <c r="D7872" t="str">
        <f>HYPERLINK("https://rhld.insurance.arkansas.gov/NPILookup?Npi=1861493066","1861493066")</f>
        <v>1861493066</v>
      </c>
      <c r="E7872" t="s">
        <v>15647</v>
      </c>
    </row>
    <row r="7873" spans="1:5" x14ac:dyDescent="0.25">
      <c r="A7873" t="s">
        <v>1</v>
      </c>
      <c r="B7873" t="s">
        <v>19</v>
      </c>
      <c r="C7873" t="s">
        <v>23490</v>
      </c>
      <c r="D7873" t="str">
        <f>HYPERLINK("https://rhld.insurance.arkansas.gov/NPILookup?Npi=1861493983","1861493983")</f>
        <v>1861493983</v>
      </c>
      <c r="E7873" t="s">
        <v>3014</v>
      </c>
    </row>
    <row r="7874" spans="1:5" x14ac:dyDescent="0.25">
      <c r="A7874" t="s">
        <v>1</v>
      </c>
      <c r="B7874" t="s">
        <v>19</v>
      </c>
      <c r="C7874" t="s">
        <v>23490</v>
      </c>
      <c r="D7874" t="str">
        <f>HYPERLINK("https://rhld.insurance.arkansas.gov/NPILookup?Npi=1861495152","1861495152")</f>
        <v>1861495152</v>
      </c>
      <c r="E7874" t="s">
        <v>15648</v>
      </c>
    </row>
    <row r="7875" spans="1:5" x14ac:dyDescent="0.25">
      <c r="A7875" t="s">
        <v>1</v>
      </c>
      <c r="B7875" t="s">
        <v>19</v>
      </c>
      <c r="C7875" t="s">
        <v>23490</v>
      </c>
      <c r="D7875" t="str">
        <f>HYPERLINK("https://rhld.insurance.arkansas.gov/NPILookup?Npi=1861496507","1861496507")</f>
        <v>1861496507</v>
      </c>
      <c r="E7875" t="s">
        <v>15649</v>
      </c>
    </row>
    <row r="7876" spans="1:5" x14ac:dyDescent="0.25">
      <c r="A7876" t="s">
        <v>1</v>
      </c>
      <c r="B7876" t="s">
        <v>19</v>
      </c>
      <c r="C7876" t="s">
        <v>23490</v>
      </c>
      <c r="D7876" t="str">
        <f>HYPERLINK("https://rhld.insurance.arkansas.gov/NPILookup?Npi=1861496671","1861496671")</f>
        <v>1861496671</v>
      </c>
      <c r="E7876" t="s">
        <v>3015</v>
      </c>
    </row>
    <row r="7877" spans="1:5" x14ac:dyDescent="0.25">
      <c r="A7877" t="s">
        <v>1</v>
      </c>
      <c r="B7877" t="s">
        <v>19</v>
      </c>
      <c r="C7877" t="s">
        <v>23490</v>
      </c>
      <c r="D7877" t="str">
        <f>HYPERLINK("https://rhld.insurance.arkansas.gov/NPILookup?Npi=1861498768","1861498768")</f>
        <v>1861498768</v>
      </c>
      <c r="E7877" t="s">
        <v>3016</v>
      </c>
    </row>
    <row r="7878" spans="1:5" x14ac:dyDescent="0.25">
      <c r="A7878" t="s">
        <v>1</v>
      </c>
      <c r="B7878" t="s">
        <v>19</v>
      </c>
      <c r="C7878" t="s">
        <v>23490</v>
      </c>
      <c r="D7878" t="str">
        <f>HYPERLINK("https://rhld.insurance.arkansas.gov/NPILookup?Npi=1861506453","1861506453")</f>
        <v>1861506453</v>
      </c>
      <c r="E7878" t="s">
        <v>3017</v>
      </c>
    </row>
    <row r="7879" spans="1:5" x14ac:dyDescent="0.25">
      <c r="A7879" t="s">
        <v>1</v>
      </c>
      <c r="B7879" t="s">
        <v>19</v>
      </c>
      <c r="C7879" t="s">
        <v>23490</v>
      </c>
      <c r="D7879" t="str">
        <f>HYPERLINK("https://rhld.insurance.arkansas.gov/NPILookup?Npi=1861508558","1861508558")</f>
        <v>1861508558</v>
      </c>
      <c r="E7879" t="s">
        <v>15650</v>
      </c>
    </row>
    <row r="7880" spans="1:5" x14ac:dyDescent="0.25">
      <c r="A7880" t="s">
        <v>1</v>
      </c>
      <c r="B7880" t="s">
        <v>19</v>
      </c>
      <c r="C7880" t="s">
        <v>23490</v>
      </c>
      <c r="D7880" t="str">
        <f>HYPERLINK("https://rhld.insurance.arkansas.gov/NPILookup?Npi=1861512105","1861512105")</f>
        <v>1861512105</v>
      </c>
      <c r="E7880" t="s">
        <v>3018</v>
      </c>
    </row>
    <row r="7881" spans="1:5" x14ac:dyDescent="0.25">
      <c r="A7881" t="s">
        <v>1</v>
      </c>
      <c r="B7881" t="s">
        <v>19</v>
      </c>
      <c r="C7881" t="s">
        <v>23490</v>
      </c>
      <c r="D7881" t="str">
        <f>HYPERLINK("https://rhld.insurance.arkansas.gov/NPILookup?Npi=1861520777","1861520777")</f>
        <v>1861520777</v>
      </c>
      <c r="E7881" t="s">
        <v>3019</v>
      </c>
    </row>
    <row r="7882" spans="1:5" x14ac:dyDescent="0.25">
      <c r="A7882" t="s">
        <v>1</v>
      </c>
      <c r="B7882" t="s">
        <v>19</v>
      </c>
      <c r="C7882" t="s">
        <v>23490</v>
      </c>
      <c r="D7882" t="str">
        <f>HYPERLINK("https://rhld.insurance.arkansas.gov/NPILookup?Npi=1861526121","1861526121")</f>
        <v>1861526121</v>
      </c>
      <c r="E7882" t="s">
        <v>3020</v>
      </c>
    </row>
    <row r="7883" spans="1:5" x14ac:dyDescent="0.25">
      <c r="A7883" t="s">
        <v>1</v>
      </c>
      <c r="B7883" t="s">
        <v>19</v>
      </c>
      <c r="C7883" t="s">
        <v>23490</v>
      </c>
      <c r="D7883" t="str">
        <f>HYPERLINK("https://rhld.insurance.arkansas.gov/NPILookup?Npi=1861528432","1861528432")</f>
        <v>1861528432</v>
      </c>
      <c r="E7883" t="s">
        <v>3021</v>
      </c>
    </row>
    <row r="7884" spans="1:5" x14ac:dyDescent="0.25">
      <c r="A7884" t="s">
        <v>1</v>
      </c>
      <c r="B7884" t="s">
        <v>19</v>
      </c>
      <c r="C7884" t="s">
        <v>23490</v>
      </c>
      <c r="D7884" t="str">
        <f>HYPERLINK("https://rhld.insurance.arkansas.gov/NPILookup?Npi=1861556904","1861556904")</f>
        <v>1861556904</v>
      </c>
      <c r="E7884" t="s">
        <v>11330</v>
      </c>
    </row>
    <row r="7885" spans="1:5" x14ac:dyDescent="0.25">
      <c r="A7885" t="s">
        <v>1</v>
      </c>
      <c r="B7885" t="s">
        <v>19</v>
      </c>
      <c r="C7885" t="s">
        <v>23490</v>
      </c>
      <c r="D7885" t="str">
        <f>HYPERLINK("https://rhld.insurance.arkansas.gov/NPILookup?Npi=1861582207","1861582207")</f>
        <v>1861582207</v>
      </c>
      <c r="E7885" t="s">
        <v>3022</v>
      </c>
    </row>
    <row r="7886" spans="1:5" x14ac:dyDescent="0.25">
      <c r="A7886" t="s">
        <v>1</v>
      </c>
      <c r="B7886" t="s">
        <v>19</v>
      </c>
      <c r="C7886" t="s">
        <v>23490</v>
      </c>
      <c r="D7886" t="str">
        <f>HYPERLINK("https://rhld.insurance.arkansas.gov/NPILookup?Npi=1861584476","1861584476")</f>
        <v>1861584476</v>
      </c>
      <c r="E7886" t="s">
        <v>3023</v>
      </c>
    </row>
    <row r="7887" spans="1:5" x14ac:dyDescent="0.25">
      <c r="A7887" t="s">
        <v>1</v>
      </c>
      <c r="B7887" t="s">
        <v>19</v>
      </c>
      <c r="C7887" t="s">
        <v>23490</v>
      </c>
      <c r="D7887" t="str">
        <f>HYPERLINK("https://rhld.insurance.arkansas.gov/NPILookup?Npi=1861631061","1861631061")</f>
        <v>1861631061</v>
      </c>
      <c r="E7887" t="s">
        <v>13756</v>
      </c>
    </row>
    <row r="7888" spans="1:5" x14ac:dyDescent="0.25">
      <c r="A7888" t="s">
        <v>1</v>
      </c>
      <c r="B7888" t="s">
        <v>19</v>
      </c>
      <c r="C7888" t="s">
        <v>23490</v>
      </c>
      <c r="D7888" t="str">
        <f>HYPERLINK("https://rhld.insurance.arkansas.gov/NPILookup?Npi=1861639015","1861639015")</f>
        <v>1861639015</v>
      </c>
      <c r="E7888" t="s">
        <v>15651</v>
      </c>
    </row>
    <row r="7889" spans="1:5" x14ac:dyDescent="0.25">
      <c r="A7889" t="s">
        <v>1</v>
      </c>
      <c r="B7889" t="s">
        <v>19</v>
      </c>
      <c r="C7889" t="s">
        <v>23490</v>
      </c>
      <c r="D7889" t="str">
        <f>HYPERLINK("https://rhld.insurance.arkansas.gov/NPILookup?Npi=1861641334","1861641334")</f>
        <v>1861641334</v>
      </c>
      <c r="E7889" t="s">
        <v>3025</v>
      </c>
    </row>
    <row r="7890" spans="1:5" x14ac:dyDescent="0.25">
      <c r="A7890" t="s">
        <v>1</v>
      </c>
      <c r="B7890" t="s">
        <v>19</v>
      </c>
      <c r="C7890" t="s">
        <v>23490</v>
      </c>
      <c r="D7890" t="str">
        <f>HYPERLINK("https://rhld.insurance.arkansas.gov/NPILookup?Npi=1861659062","1861659062")</f>
        <v>1861659062</v>
      </c>
      <c r="E7890" t="s">
        <v>3026</v>
      </c>
    </row>
    <row r="7891" spans="1:5" x14ac:dyDescent="0.25">
      <c r="A7891" t="s">
        <v>1</v>
      </c>
      <c r="B7891" t="s">
        <v>19</v>
      </c>
      <c r="C7891" t="s">
        <v>23490</v>
      </c>
      <c r="D7891" t="str">
        <f>HYPERLINK("https://rhld.insurance.arkansas.gov/NPILookup?Npi=1861672990","1861672990")</f>
        <v>1861672990</v>
      </c>
      <c r="E7891" t="s">
        <v>8892</v>
      </c>
    </row>
    <row r="7892" spans="1:5" x14ac:dyDescent="0.25">
      <c r="A7892" t="s">
        <v>1</v>
      </c>
      <c r="B7892" t="s">
        <v>19</v>
      </c>
      <c r="C7892" t="s">
        <v>23490</v>
      </c>
      <c r="D7892" t="str">
        <f>HYPERLINK("https://rhld.insurance.arkansas.gov/NPILookup?Npi=1861674921","1861674921")</f>
        <v>1861674921</v>
      </c>
      <c r="E7892" t="s">
        <v>20079</v>
      </c>
    </row>
    <row r="7893" spans="1:5" x14ac:dyDescent="0.25">
      <c r="A7893" t="s">
        <v>1</v>
      </c>
      <c r="B7893" t="s">
        <v>19</v>
      </c>
      <c r="C7893" t="s">
        <v>23490</v>
      </c>
      <c r="D7893" t="str">
        <f>HYPERLINK("https://rhld.insurance.arkansas.gov/NPILookup?Npi=1861683435","1861683435")</f>
        <v>1861683435</v>
      </c>
      <c r="E7893" t="s">
        <v>18158</v>
      </c>
    </row>
    <row r="7894" spans="1:5" x14ac:dyDescent="0.25">
      <c r="A7894" t="s">
        <v>1</v>
      </c>
      <c r="B7894" t="s">
        <v>19</v>
      </c>
      <c r="C7894" t="s">
        <v>23490</v>
      </c>
      <c r="D7894" t="str">
        <f>HYPERLINK("https://rhld.insurance.arkansas.gov/NPILookup?Npi=1861685570","1861685570")</f>
        <v>1861685570</v>
      </c>
      <c r="E7894" t="s">
        <v>8893</v>
      </c>
    </row>
    <row r="7895" spans="1:5" x14ac:dyDescent="0.25">
      <c r="A7895" t="s">
        <v>1</v>
      </c>
      <c r="B7895" t="s">
        <v>19</v>
      </c>
      <c r="C7895" t="s">
        <v>23490</v>
      </c>
      <c r="D7895" t="str">
        <f>HYPERLINK("https://rhld.insurance.arkansas.gov/NPILookup?Npi=1861695132","1861695132")</f>
        <v>1861695132</v>
      </c>
      <c r="E7895" t="s">
        <v>3027</v>
      </c>
    </row>
    <row r="7896" spans="1:5" x14ac:dyDescent="0.25">
      <c r="A7896" t="s">
        <v>1</v>
      </c>
      <c r="B7896" t="s">
        <v>19</v>
      </c>
      <c r="C7896" t="s">
        <v>23490</v>
      </c>
      <c r="D7896" t="str">
        <f>HYPERLINK("https://rhld.insurance.arkansas.gov/NPILookup?Npi=1861730665","1861730665")</f>
        <v>1861730665</v>
      </c>
      <c r="E7896" t="s">
        <v>3028</v>
      </c>
    </row>
    <row r="7897" spans="1:5" x14ac:dyDescent="0.25">
      <c r="A7897" t="s">
        <v>1</v>
      </c>
      <c r="B7897" t="s">
        <v>19</v>
      </c>
      <c r="C7897" t="s">
        <v>23490</v>
      </c>
      <c r="D7897" t="str">
        <f>HYPERLINK("https://rhld.insurance.arkansas.gov/NPILookup?Npi=1861734972","1861734972")</f>
        <v>1861734972</v>
      </c>
      <c r="E7897" t="s">
        <v>11331</v>
      </c>
    </row>
    <row r="7898" spans="1:5" x14ac:dyDescent="0.25">
      <c r="A7898" t="s">
        <v>1</v>
      </c>
      <c r="B7898" t="s">
        <v>19</v>
      </c>
      <c r="C7898" t="s">
        <v>23490</v>
      </c>
      <c r="D7898" t="str">
        <f>HYPERLINK("https://rhld.insurance.arkansas.gov/NPILookup?Npi=1861735300","1861735300")</f>
        <v>1861735300</v>
      </c>
      <c r="E7898" t="s">
        <v>15652</v>
      </c>
    </row>
    <row r="7899" spans="1:5" x14ac:dyDescent="0.25">
      <c r="A7899" t="s">
        <v>1</v>
      </c>
      <c r="B7899" t="s">
        <v>19</v>
      </c>
      <c r="C7899" t="s">
        <v>23490</v>
      </c>
      <c r="D7899" t="str">
        <f>HYPERLINK("https://rhld.insurance.arkansas.gov/NPILookup?Npi=1861744773","1861744773")</f>
        <v>1861744773</v>
      </c>
      <c r="E7899" t="s">
        <v>15653</v>
      </c>
    </row>
    <row r="7900" spans="1:5" x14ac:dyDescent="0.25">
      <c r="A7900" t="s">
        <v>1</v>
      </c>
      <c r="B7900" t="s">
        <v>19</v>
      </c>
      <c r="C7900" t="s">
        <v>23490</v>
      </c>
      <c r="D7900" t="str">
        <f>HYPERLINK("https://rhld.insurance.arkansas.gov/NPILookup?Npi=1861755118","1861755118")</f>
        <v>1861755118</v>
      </c>
      <c r="E7900" t="s">
        <v>3029</v>
      </c>
    </row>
    <row r="7901" spans="1:5" x14ac:dyDescent="0.25">
      <c r="A7901" t="s">
        <v>1</v>
      </c>
      <c r="B7901" t="s">
        <v>19</v>
      </c>
      <c r="C7901" t="s">
        <v>23490</v>
      </c>
      <c r="D7901" t="str">
        <f>HYPERLINK("https://rhld.insurance.arkansas.gov/NPILookup?Npi=1861772634","1861772634")</f>
        <v>1861772634</v>
      </c>
      <c r="E7901" t="s">
        <v>20080</v>
      </c>
    </row>
    <row r="7902" spans="1:5" x14ac:dyDescent="0.25">
      <c r="A7902" t="s">
        <v>1</v>
      </c>
      <c r="B7902" t="s">
        <v>19</v>
      </c>
      <c r="C7902" t="s">
        <v>23490</v>
      </c>
      <c r="D7902" t="str">
        <f>HYPERLINK("https://rhld.insurance.arkansas.gov/NPILookup?Npi=1861775314","1861775314")</f>
        <v>1861775314</v>
      </c>
      <c r="E7902" t="s">
        <v>13757</v>
      </c>
    </row>
    <row r="7903" spans="1:5" x14ac:dyDescent="0.25">
      <c r="A7903" t="s">
        <v>1</v>
      </c>
      <c r="B7903" t="s">
        <v>19</v>
      </c>
      <c r="C7903" t="s">
        <v>23490</v>
      </c>
      <c r="D7903" t="str">
        <f>HYPERLINK("https://rhld.insurance.arkansas.gov/NPILookup?Npi=1861781171","1861781171")</f>
        <v>1861781171</v>
      </c>
      <c r="E7903" t="s">
        <v>3030</v>
      </c>
    </row>
    <row r="7904" spans="1:5" x14ac:dyDescent="0.25">
      <c r="A7904" t="s">
        <v>1</v>
      </c>
      <c r="B7904" t="s">
        <v>19</v>
      </c>
      <c r="C7904" t="s">
        <v>23490</v>
      </c>
      <c r="D7904" t="str">
        <f>HYPERLINK("https://rhld.insurance.arkansas.gov/NPILookup?Npi=1861784993","1861784993")</f>
        <v>1861784993</v>
      </c>
      <c r="E7904" t="s">
        <v>3031</v>
      </c>
    </row>
    <row r="7905" spans="1:5" x14ac:dyDescent="0.25">
      <c r="A7905" t="s">
        <v>1</v>
      </c>
      <c r="B7905" t="s">
        <v>19</v>
      </c>
      <c r="C7905" t="s">
        <v>23490</v>
      </c>
      <c r="D7905" t="str">
        <f>HYPERLINK("https://rhld.insurance.arkansas.gov/NPILookup?Npi=1861788028","1861788028")</f>
        <v>1861788028</v>
      </c>
      <c r="E7905" t="s">
        <v>3032</v>
      </c>
    </row>
    <row r="7906" spans="1:5" x14ac:dyDescent="0.25">
      <c r="A7906" t="s">
        <v>1</v>
      </c>
      <c r="B7906" t="s">
        <v>19</v>
      </c>
      <c r="C7906" t="s">
        <v>23490</v>
      </c>
      <c r="D7906" t="str">
        <f>HYPERLINK("https://rhld.insurance.arkansas.gov/NPILookup?Npi=1861804627","1861804627")</f>
        <v>1861804627</v>
      </c>
      <c r="E7906" t="s">
        <v>11332</v>
      </c>
    </row>
    <row r="7907" spans="1:5" x14ac:dyDescent="0.25">
      <c r="A7907" t="s">
        <v>1</v>
      </c>
      <c r="B7907" t="s">
        <v>19</v>
      </c>
      <c r="C7907" t="s">
        <v>23490</v>
      </c>
      <c r="D7907" t="str">
        <f>HYPERLINK("https://rhld.insurance.arkansas.gov/NPILookup?Npi=1861806929","1861806929")</f>
        <v>1861806929</v>
      </c>
      <c r="E7907" t="s">
        <v>11333</v>
      </c>
    </row>
    <row r="7908" spans="1:5" x14ac:dyDescent="0.25">
      <c r="A7908" t="s">
        <v>1</v>
      </c>
      <c r="B7908" t="s">
        <v>19</v>
      </c>
      <c r="C7908" t="s">
        <v>23490</v>
      </c>
      <c r="D7908" t="str">
        <f>HYPERLINK("https://rhld.insurance.arkansas.gov/NPILookup?Npi=1861815623","1861815623")</f>
        <v>1861815623</v>
      </c>
      <c r="E7908" t="s">
        <v>15654</v>
      </c>
    </row>
    <row r="7909" spans="1:5" x14ac:dyDescent="0.25">
      <c r="A7909" t="s">
        <v>1</v>
      </c>
      <c r="B7909" t="s">
        <v>19</v>
      </c>
      <c r="C7909" t="s">
        <v>23490</v>
      </c>
      <c r="D7909" t="str">
        <f>HYPERLINK("https://rhld.insurance.arkansas.gov/NPILookup?Npi=1861825911","1861825911")</f>
        <v>1861825911</v>
      </c>
      <c r="E7909" t="s">
        <v>8894</v>
      </c>
    </row>
    <row r="7910" spans="1:5" x14ac:dyDescent="0.25">
      <c r="A7910" t="s">
        <v>1</v>
      </c>
      <c r="B7910" t="s">
        <v>19</v>
      </c>
      <c r="C7910" t="s">
        <v>23490</v>
      </c>
      <c r="D7910" t="str">
        <f>HYPERLINK("https://rhld.insurance.arkansas.gov/NPILookup?Npi=1861842726","1861842726")</f>
        <v>1861842726</v>
      </c>
      <c r="E7910" t="s">
        <v>15655</v>
      </c>
    </row>
    <row r="7911" spans="1:5" x14ac:dyDescent="0.25">
      <c r="A7911" t="s">
        <v>1</v>
      </c>
      <c r="B7911" t="s">
        <v>19</v>
      </c>
      <c r="C7911" t="s">
        <v>23490</v>
      </c>
      <c r="D7911" t="str">
        <f>HYPERLINK("https://rhld.insurance.arkansas.gov/NPILookup?Npi=1861864209","1861864209")</f>
        <v>1861864209</v>
      </c>
      <c r="E7911" t="s">
        <v>20081</v>
      </c>
    </row>
    <row r="7912" spans="1:5" x14ac:dyDescent="0.25">
      <c r="A7912" t="s">
        <v>1</v>
      </c>
      <c r="B7912" t="s">
        <v>19</v>
      </c>
      <c r="C7912" t="s">
        <v>23490</v>
      </c>
      <c r="D7912" t="str">
        <f>HYPERLINK("https://rhld.insurance.arkansas.gov/NPILookup?Npi=1861872699","1861872699")</f>
        <v>1861872699</v>
      </c>
      <c r="E7912" t="s">
        <v>3033</v>
      </c>
    </row>
    <row r="7913" spans="1:5" x14ac:dyDescent="0.25">
      <c r="A7913" t="s">
        <v>1</v>
      </c>
      <c r="B7913" t="s">
        <v>19</v>
      </c>
      <c r="C7913" t="s">
        <v>23490</v>
      </c>
      <c r="D7913" t="str">
        <f>HYPERLINK("https://rhld.insurance.arkansas.gov/NPILookup?Npi=1861874182","1861874182")</f>
        <v>1861874182</v>
      </c>
      <c r="E7913" t="s">
        <v>15656</v>
      </c>
    </row>
    <row r="7914" spans="1:5" x14ac:dyDescent="0.25">
      <c r="A7914" t="s">
        <v>1</v>
      </c>
      <c r="B7914" t="s">
        <v>19</v>
      </c>
      <c r="C7914" t="s">
        <v>23490</v>
      </c>
      <c r="D7914" t="str">
        <f>HYPERLINK("https://rhld.insurance.arkansas.gov/NPILookup?Npi=1861904377","1861904377")</f>
        <v>1861904377</v>
      </c>
      <c r="E7914" t="s">
        <v>12926</v>
      </c>
    </row>
    <row r="7915" spans="1:5" x14ac:dyDescent="0.25">
      <c r="A7915" t="s">
        <v>1</v>
      </c>
      <c r="B7915" t="s">
        <v>19</v>
      </c>
      <c r="C7915" t="s">
        <v>23490</v>
      </c>
      <c r="D7915" t="str">
        <f>HYPERLINK("https://rhld.insurance.arkansas.gov/NPILookup?Npi=1861911091","1861911091")</f>
        <v>1861911091</v>
      </c>
      <c r="E7915" t="s">
        <v>12927</v>
      </c>
    </row>
    <row r="7916" spans="1:5" x14ac:dyDescent="0.25">
      <c r="A7916" t="s">
        <v>1</v>
      </c>
      <c r="B7916" t="s">
        <v>19</v>
      </c>
      <c r="C7916" t="s">
        <v>23490</v>
      </c>
      <c r="D7916" t="str">
        <f>HYPERLINK("https://rhld.insurance.arkansas.gov/NPILookup?Npi=1861915233","1861915233")</f>
        <v>1861915233</v>
      </c>
      <c r="E7916" t="s">
        <v>11334</v>
      </c>
    </row>
    <row r="7917" spans="1:5" x14ac:dyDescent="0.25">
      <c r="A7917" t="s">
        <v>1</v>
      </c>
      <c r="B7917" t="s">
        <v>19</v>
      </c>
      <c r="C7917" t="s">
        <v>23490</v>
      </c>
      <c r="D7917" t="str">
        <f>HYPERLINK("https://rhld.insurance.arkansas.gov/NPILookup?Npi=1861924383","1861924383")</f>
        <v>1861924383</v>
      </c>
      <c r="E7917" t="s">
        <v>17487</v>
      </c>
    </row>
    <row r="7918" spans="1:5" x14ac:dyDescent="0.25">
      <c r="A7918" t="s">
        <v>1</v>
      </c>
      <c r="B7918" t="s">
        <v>19</v>
      </c>
      <c r="C7918" t="s">
        <v>23490</v>
      </c>
      <c r="D7918" t="str">
        <f>HYPERLINK("https://rhld.insurance.arkansas.gov/NPILookup?Npi=1861925331","1861925331")</f>
        <v>1861925331</v>
      </c>
      <c r="E7918" t="s">
        <v>11335</v>
      </c>
    </row>
    <row r="7919" spans="1:5" x14ac:dyDescent="0.25">
      <c r="A7919" t="s">
        <v>1</v>
      </c>
      <c r="B7919" t="s">
        <v>19</v>
      </c>
      <c r="C7919" t="s">
        <v>23490</v>
      </c>
      <c r="D7919" t="str">
        <f>HYPERLINK("https://rhld.insurance.arkansas.gov/NPILookup?Npi=1861934184","1861934184")</f>
        <v>1861934184</v>
      </c>
      <c r="E7919" t="s">
        <v>15657</v>
      </c>
    </row>
    <row r="7920" spans="1:5" x14ac:dyDescent="0.25">
      <c r="A7920" t="s">
        <v>1</v>
      </c>
      <c r="B7920" t="s">
        <v>19</v>
      </c>
      <c r="C7920" t="s">
        <v>23490</v>
      </c>
      <c r="D7920" t="str">
        <f>HYPERLINK("https://rhld.insurance.arkansas.gov/NPILookup?Npi=1861935504","1861935504")</f>
        <v>1861935504</v>
      </c>
      <c r="E7920" t="s">
        <v>20082</v>
      </c>
    </row>
    <row r="7921" spans="1:5" x14ac:dyDescent="0.25">
      <c r="A7921" t="s">
        <v>1</v>
      </c>
      <c r="B7921" t="s">
        <v>19</v>
      </c>
      <c r="C7921" t="s">
        <v>23490</v>
      </c>
      <c r="D7921" t="str">
        <f>HYPERLINK("https://rhld.insurance.arkansas.gov/NPILookup?Npi=1861935967","1861935967")</f>
        <v>1861935967</v>
      </c>
      <c r="E7921" t="s">
        <v>21666</v>
      </c>
    </row>
    <row r="7922" spans="1:5" x14ac:dyDescent="0.25">
      <c r="A7922" t="s">
        <v>1</v>
      </c>
      <c r="B7922" t="s">
        <v>19</v>
      </c>
      <c r="C7922" t="s">
        <v>23490</v>
      </c>
      <c r="D7922" t="str">
        <f>HYPERLINK("https://rhld.insurance.arkansas.gov/NPILookup?Npi=1861944415","1861944415")</f>
        <v>1861944415</v>
      </c>
      <c r="E7922" t="s">
        <v>13758</v>
      </c>
    </row>
    <row r="7923" spans="1:5" x14ac:dyDescent="0.25">
      <c r="A7923" t="s">
        <v>1</v>
      </c>
      <c r="B7923" t="s">
        <v>19</v>
      </c>
      <c r="C7923" t="s">
        <v>23490</v>
      </c>
      <c r="D7923" t="str">
        <f>HYPERLINK("https://rhld.insurance.arkansas.gov/NPILookup?Npi=1861945040","1861945040")</f>
        <v>1861945040</v>
      </c>
      <c r="E7923" t="s">
        <v>11336</v>
      </c>
    </row>
    <row r="7924" spans="1:5" x14ac:dyDescent="0.25">
      <c r="A7924" t="s">
        <v>1</v>
      </c>
      <c r="B7924" t="s">
        <v>19</v>
      </c>
      <c r="C7924" t="s">
        <v>23490</v>
      </c>
      <c r="D7924" t="str">
        <f>HYPERLINK("https://rhld.insurance.arkansas.gov/NPILookup?Npi=1861954513","1861954513")</f>
        <v>1861954513</v>
      </c>
      <c r="E7924" t="s">
        <v>21406</v>
      </c>
    </row>
    <row r="7925" spans="1:5" x14ac:dyDescent="0.25">
      <c r="A7925" t="s">
        <v>1</v>
      </c>
      <c r="B7925" t="s">
        <v>19</v>
      </c>
      <c r="C7925" t="s">
        <v>23490</v>
      </c>
      <c r="D7925" t="str">
        <f>HYPERLINK("https://rhld.insurance.arkansas.gov/NPILookup?Npi=1861958951","1861958951")</f>
        <v>1861958951</v>
      </c>
      <c r="E7925" t="s">
        <v>17488</v>
      </c>
    </row>
    <row r="7926" spans="1:5" x14ac:dyDescent="0.25">
      <c r="A7926" t="s">
        <v>1</v>
      </c>
      <c r="B7926" t="s">
        <v>19</v>
      </c>
      <c r="C7926" t="s">
        <v>23490</v>
      </c>
      <c r="D7926" t="str">
        <f>HYPERLINK("https://rhld.insurance.arkansas.gov/NPILookup?Npi=1861962219","1861962219")</f>
        <v>1861962219</v>
      </c>
      <c r="E7926" t="s">
        <v>20083</v>
      </c>
    </row>
    <row r="7927" spans="1:5" x14ac:dyDescent="0.25">
      <c r="A7927" t="s">
        <v>1</v>
      </c>
      <c r="B7927" t="s">
        <v>19</v>
      </c>
      <c r="C7927" t="s">
        <v>23490</v>
      </c>
      <c r="D7927" t="str">
        <f>HYPERLINK("https://rhld.insurance.arkansas.gov/NPILookup?Npi=1861964447","1861964447")</f>
        <v>1861964447</v>
      </c>
      <c r="E7927" t="s">
        <v>23001</v>
      </c>
    </row>
    <row r="7928" spans="1:5" x14ac:dyDescent="0.25">
      <c r="A7928" t="s">
        <v>1</v>
      </c>
      <c r="B7928" t="s">
        <v>19</v>
      </c>
      <c r="C7928" t="s">
        <v>23490</v>
      </c>
      <c r="D7928" t="str">
        <f>HYPERLINK("https://rhld.insurance.arkansas.gov/NPILookup?Npi=1861966228","1861966228")</f>
        <v>1861966228</v>
      </c>
      <c r="E7928" t="s">
        <v>20084</v>
      </c>
    </row>
    <row r="7929" spans="1:5" x14ac:dyDescent="0.25">
      <c r="A7929" t="s">
        <v>1</v>
      </c>
      <c r="B7929" t="s">
        <v>19</v>
      </c>
      <c r="C7929" t="s">
        <v>23490</v>
      </c>
      <c r="D7929" t="str">
        <f>HYPERLINK("https://rhld.insurance.arkansas.gov/NPILookup?Npi=1861986580","1861986580")</f>
        <v>1861986580</v>
      </c>
      <c r="E7929" t="s">
        <v>15658</v>
      </c>
    </row>
    <row r="7930" spans="1:5" x14ac:dyDescent="0.25">
      <c r="A7930" t="s">
        <v>1</v>
      </c>
      <c r="B7930" t="s">
        <v>19</v>
      </c>
      <c r="C7930" t="s">
        <v>23490</v>
      </c>
      <c r="D7930" t="str">
        <f>HYPERLINK("https://rhld.insurance.arkansas.gov/NPILookup?Npi=1871003319","1871003319")</f>
        <v>1871003319</v>
      </c>
      <c r="E7930" t="s">
        <v>15659</v>
      </c>
    </row>
    <row r="7931" spans="1:5" x14ac:dyDescent="0.25">
      <c r="A7931" t="s">
        <v>1</v>
      </c>
      <c r="B7931" t="s">
        <v>19</v>
      </c>
      <c r="C7931" t="s">
        <v>23490</v>
      </c>
      <c r="D7931" t="str">
        <f>HYPERLINK("https://rhld.insurance.arkansas.gov/NPILookup?Npi=1871013359","1871013359")</f>
        <v>1871013359</v>
      </c>
      <c r="E7931" t="s">
        <v>18159</v>
      </c>
    </row>
    <row r="7932" spans="1:5" x14ac:dyDescent="0.25">
      <c r="A7932" t="s">
        <v>1</v>
      </c>
      <c r="B7932" t="s">
        <v>19</v>
      </c>
      <c r="C7932" t="s">
        <v>23490</v>
      </c>
      <c r="D7932" t="str">
        <f>HYPERLINK("https://rhld.insurance.arkansas.gov/NPILookup?Npi=1871032003","1871032003")</f>
        <v>1871032003</v>
      </c>
      <c r="E7932" t="s">
        <v>11337</v>
      </c>
    </row>
    <row r="7933" spans="1:5" x14ac:dyDescent="0.25">
      <c r="A7933" t="s">
        <v>1</v>
      </c>
      <c r="B7933" t="s">
        <v>19</v>
      </c>
      <c r="C7933" t="s">
        <v>23490</v>
      </c>
      <c r="D7933" t="str">
        <f>HYPERLINK("https://rhld.insurance.arkansas.gov/NPILookup?Npi=1871034165","1871034165")</f>
        <v>1871034165</v>
      </c>
      <c r="E7933" t="s">
        <v>11338</v>
      </c>
    </row>
    <row r="7934" spans="1:5" x14ac:dyDescent="0.25">
      <c r="A7934" t="s">
        <v>1</v>
      </c>
      <c r="B7934" t="s">
        <v>19</v>
      </c>
      <c r="C7934" t="s">
        <v>23490</v>
      </c>
      <c r="D7934" t="str">
        <f>HYPERLINK("https://rhld.insurance.arkansas.gov/NPILookup?Npi=1871035766","1871035766")</f>
        <v>1871035766</v>
      </c>
      <c r="E7934" t="s">
        <v>15660</v>
      </c>
    </row>
    <row r="7935" spans="1:5" x14ac:dyDescent="0.25">
      <c r="A7935" t="s">
        <v>1</v>
      </c>
      <c r="B7935" t="s">
        <v>19</v>
      </c>
      <c r="C7935" t="s">
        <v>23490</v>
      </c>
      <c r="D7935" t="str">
        <f>HYPERLINK("https://rhld.insurance.arkansas.gov/NPILookup?Npi=1871039610","1871039610")</f>
        <v>1871039610</v>
      </c>
      <c r="E7935" t="s">
        <v>11339</v>
      </c>
    </row>
    <row r="7936" spans="1:5" x14ac:dyDescent="0.25">
      <c r="A7936" t="s">
        <v>1</v>
      </c>
      <c r="B7936" t="s">
        <v>19</v>
      </c>
      <c r="C7936" t="s">
        <v>23490</v>
      </c>
      <c r="D7936" t="str">
        <f>HYPERLINK("https://rhld.insurance.arkansas.gov/NPILookup?Npi=1871041715","1871041715")</f>
        <v>1871041715</v>
      </c>
      <c r="E7936" t="s">
        <v>11340</v>
      </c>
    </row>
    <row r="7937" spans="1:5" x14ac:dyDescent="0.25">
      <c r="A7937" t="s">
        <v>1</v>
      </c>
      <c r="B7937" t="s">
        <v>19</v>
      </c>
      <c r="C7937" t="s">
        <v>23490</v>
      </c>
      <c r="D7937" t="str">
        <f>HYPERLINK("https://rhld.insurance.arkansas.gov/NPILookup?Npi=1871049098","1871049098")</f>
        <v>1871049098</v>
      </c>
      <c r="E7937" t="s">
        <v>11341</v>
      </c>
    </row>
    <row r="7938" spans="1:5" x14ac:dyDescent="0.25">
      <c r="A7938" t="s">
        <v>1</v>
      </c>
      <c r="B7938" t="s">
        <v>19</v>
      </c>
      <c r="C7938" t="s">
        <v>23490</v>
      </c>
      <c r="D7938" t="str">
        <f>HYPERLINK("https://rhld.insurance.arkansas.gov/NPILookup?Npi=1871064972","1871064972")</f>
        <v>1871064972</v>
      </c>
      <c r="E7938" t="s">
        <v>15661</v>
      </c>
    </row>
    <row r="7939" spans="1:5" x14ac:dyDescent="0.25">
      <c r="A7939" t="s">
        <v>1</v>
      </c>
      <c r="B7939" t="s">
        <v>19</v>
      </c>
      <c r="C7939" t="s">
        <v>23490</v>
      </c>
      <c r="D7939" t="str">
        <f>HYPERLINK("https://rhld.insurance.arkansas.gov/NPILookup?Npi=1871082123","1871082123")</f>
        <v>1871082123</v>
      </c>
      <c r="E7939" t="s">
        <v>17043</v>
      </c>
    </row>
    <row r="7940" spans="1:5" x14ac:dyDescent="0.25">
      <c r="A7940" t="s">
        <v>1</v>
      </c>
      <c r="B7940" t="s">
        <v>19</v>
      </c>
      <c r="C7940" t="s">
        <v>23490</v>
      </c>
      <c r="D7940" t="str">
        <f>HYPERLINK("https://rhld.insurance.arkansas.gov/NPILookup?Npi=1871083386","1871083386")</f>
        <v>1871083386</v>
      </c>
      <c r="E7940" t="s">
        <v>13760</v>
      </c>
    </row>
    <row r="7941" spans="1:5" x14ac:dyDescent="0.25">
      <c r="A7941" t="s">
        <v>1</v>
      </c>
      <c r="B7941" t="s">
        <v>19</v>
      </c>
      <c r="C7941" t="s">
        <v>23490</v>
      </c>
      <c r="D7941" t="str">
        <f>HYPERLINK("https://rhld.insurance.arkansas.gov/NPILookup?Npi=1871084087","1871084087")</f>
        <v>1871084087</v>
      </c>
      <c r="E7941" t="s">
        <v>13761</v>
      </c>
    </row>
    <row r="7942" spans="1:5" x14ac:dyDescent="0.25">
      <c r="A7942" t="s">
        <v>1</v>
      </c>
      <c r="B7942" t="s">
        <v>19</v>
      </c>
      <c r="C7942" t="s">
        <v>23490</v>
      </c>
      <c r="D7942" t="str">
        <f>HYPERLINK("https://rhld.insurance.arkansas.gov/NPILookup?Npi=1871084301","1871084301")</f>
        <v>1871084301</v>
      </c>
      <c r="E7942" t="s">
        <v>18887</v>
      </c>
    </row>
    <row r="7943" spans="1:5" x14ac:dyDescent="0.25">
      <c r="A7943" t="s">
        <v>1</v>
      </c>
      <c r="B7943" t="s">
        <v>19</v>
      </c>
      <c r="C7943" t="s">
        <v>23490</v>
      </c>
      <c r="D7943" t="str">
        <f>HYPERLINK("https://rhld.insurance.arkansas.gov/NPILookup?Npi=1871085860","1871085860")</f>
        <v>1871085860</v>
      </c>
      <c r="E7943" t="s">
        <v>18888</v>
      </c>
    </row>
    <row r="7944" spans="1:5" x14ac:dyDescent="0.25">
      <c r="A7944" t="s">
        <v>1</v>
      </c>
      <c r="B7944" t="s">
        <v>19</v>
      </c>
      <c r="C7944" t="s">
        <v>23490</v>
      </c>
      <c r="D7944" t="str">
        <f>HYPERLINK("https://rhld.insurance.arkansas.gov/NPILookup?Npi=1871092817","1871092817")</f>
        <v>1871092817</v>
      </c>
      <c r="E7944" t="s">
        <v>13762</v>
      </c>
    </row>
    <row r="7945" spans="1:5" x14ac:dyDescent="0.25">
      <c r="A7945" t="s">
        <v>1</v>
      </c>
      <c r="B7945" t="s">
        <v>19</v>
      </c>
      <c r="C7945" t="s">
        <v>23490</v>
      </c>
      <c r="D7945" t="str">
        <f>HYPERLINK("https://rhld.insurance.arkansas.gov/NPILookup?Npi=1871103028","1871103028")</f>
        <v>1871103028</v>
      </c>
      <c r="E7945" t="s">
        <v>21667</v>
      </c>
    </row>
    <row r="7946" spans="1:5" x14ac:dyDescent="0.25">
      <c r="A7946" t="s">
        <v>1</v>
      </c>
      <c r="B7946" t="s">
        <v>19</v>
      </c>
      <c r="C7946" t="s">
        <v>23490</v>
      </c>
      <c r="D7946" t="str">
        <f>HYPERLINK("https://rhld.insurance.arkansas.gov/NPILookup?Npi=1871103093","1871103093")</f>
        <v>1871103093</v>
      </c>
      <c r="E7946" t="s">
        <v>18160</v>
      </c>
    </row>
    <row r="7947" spans="1:5" x14ac:dyDescent="0.25">
      <c r="A7947" t="s">
        <v>1</v>
      </c>
      <c r="B7947" t="s">
        <v>19</v>
      </c>
      <c r="C7947" t="s">
        <v>23490</v>
      </c>
      <c r="D7947" t="str">
        <f>HYPERLINK("https://rhld.insurance.arkansas.gov/NPILookup?Npi=1871117770","1871117770")</f>
        <v>1871117770</v>
      </c>
      <c r="E7947" t="s">
        <v>20085</v>
      </c>
    </row>
    <row r="7948" spans="1:5" x14ac:dyDescent="0.25">
      <c r="A7948" t="s">
        <v>1</v>
      </c>
      <c r="B7948" t="s">
        <v>19</v>
      </c>
      <c r="C7948" t="s">
        <v>23490</v>
      </c>
      <c r="D7948" t="str">
        <f>HYPERLINK("https://rhld.insurance.arkansas.gov/NPILookup?Npi=1871139394","1871139394")</f>
        <v>1871139394</v>
      </c>
      <c r="E7948" t="s">
        <v>18601</v>
      </c>
    </row>
    <row r="7949" spans="1:5" x14ac:dyDescent="0.25">
      <c r="A7949" t="s">
        <v>1</v>
      </c>
      <c r="B7949" t="s">
        <v>19</v>
      </c>
      <c r="C7949" t="s">
        <v>23490</v>
      </c>
      <c r="D7949" t="str">
        <f>HYPERLINK("https://rhld.insurance.arkansas.gov/NPILookup?Npi=1871162206","1871162206")</f>
        <v>1871162206</v>
      </c>
      <c r="E7949" t="s">
        <v>20086</v>
      </c>
    </row>
    <row r="7950" spans="1:5" x14ac:dyDescent="0.25">
      <c r="A7950" t="s">
        <v>1</v>
      </c>
      <c r="B7950" t="s">
        <v>19</v>
      </c>
      <c r="C7950" t="s">
        <v>23490</v>
      </c>
      <c r="D7950" t="str">
        <f>HYPERLINK("https://rhld.insurance.arkansas.gov/NPILookup?Npi=1871164798","1871164798")</f>
        <v>1871164798</v>
      </c>
      <c r="E7950" t="s">
        <v>18889</v>
      </c>
    </row>
    <row r="7951" spans="1:5" x14ac:dyDescent="0.25">
      <c r="A7951" t="s">
        <v>1</v>
      </c>
      <c r="B7951" t="s">
        <v>19</v>
      </c>
      <c r="C7951" t="s">
        <v>23490</v>
      </c>
      <c r="D7951" t="str">
        <f>HYPERLINK("https://rhld.insurance.arkansas.gov/NPILookup?Npi=1871185546","1871185546")</f>
        <v>1871185546</v>
      </c>
      <c r="E7951" t="s">
        <v>18162</v>
      </c>
    </row>
    <row r="7952" spans="1:5" x14ac:dyDescent="0.25">
      <c r="A7952" t="s">
        <v>1</v>
      </c>
      <c r="B7952" t="s">
        <v>19</v>
      </c>
      <c r="C7952" t="s">
        <v>23490</v>
      </c>
      <c r="D7952" t="str">
        <f>HYPERLINK("https://rhld.insurance.arkansas.gov/NPILookup?Npi=1871207654","1871207654")</f>
        <v>1871207654</v>
      </c>
      <c r="E7952" t="s">
        <v>21668</v>
      </c>
    </row>
    <row r="7953" spans="1:5" x14ac:dyDescent="0.25">
      <c r="A7953" t="s">
        <v>1</v>
      </c>
      <c r="B7953" t="s">
        <v>19</v>
      </c>
      <c r="C7953" t="s">
        <v>23490</v>
      </c>
      <c r="D7953" t="str">
        <f>HYPERLINK("https://rhld.insurance.arkansas.gov/NPILookup?Npi=1871218271","1871218271")</f>
        <v>1871218271</v>
      </c>
      <c r="E7953" t="s">
        <v>21669</v>
      </c>
    </row>
    <row r="7954" spans="1:5" x14ac:dyDescent="0.25">
      <c r="A7954" t="s">
        <v>1</v>
      </c>
      <c r="B7954" t="s">
        <v>19</v>
      </c>
      <c r="C7954" t="s">
        <v>23490</v>
      </c>
      <c r="D7954" t="str">
        <f>HYPERLINK("https://rhld.insurance.arkansas.gov/NPILookup?Npi=1871244301","1871244301")</f>
        <v>1871244301</v>
      </c>
      <c r="E7954" t="s">
        <v>20087</v>
      </c>
    </row>
    <row r="7955" spans="1:5" x14ac:dyDescent="0.25">
      <c r="A7955" t="s">
        <v>1</v>
      </c>
      <c r="B7955" t="s">
        <v>19</v>
      </c>
      <c r="C7955" t="s">
        <v>23490</v>
      </c>
      <c r="D7955" t="str">
        <f>HYPERLINK("https://rhld.insurance.arkansas.gov/NPILookup?Npi=1871255679","1871255679")</f>
        <v>1871255679</v>
      </c>
      <c r="E7955" t="s">
        <v>18890</v>
      </c>
    </row>
    <row r="7956" spans="1:5" x14ac:dyDescent="0.25">
      <c r="A7956" t="s">
        <v>1</v>
      </c>
      <c r="B7956" t="s">
        <v>19</v>
      </c>
      <c r="C7956" t="s">
        <v>23490</v>
      </c>
      <c r="D7956" t="str">
        <f>HYPERLINK("https://rhld.insurance.arkansas.gov/NPILookup?Npi=1871500140","1871500140")</f>
        <v>1871500140</v>
      </c>
      <c r="E7956" t="s">
        <v>8895</v>
      </c>
    </row>
    <row r="7957" spans="1:5" x14ac:dyDescent="0.25">
      <c r="A7957" t="s">
        <v>1</v>
      </c>
      <c r="B7957" t="s">
        <v>19</v>
      </c>
      <c r="C7957" t="s">
        <v>23490</v>
      </c>
      <c r="D7957" t="str">
        <f>HYPERLINK("https://rhld.insurance.arkansas.gov/NPILookup?Npi=1871502658","1871502658")</f>
        <v>1871502658</v>
      </c>
      <c r="E7957" t="s">
        <v>3034</v>
      </c>
    </row>
    <row r="7958" spans="1:5" x14ac:dyDescent="0.25">
      <c r="A7958" t="s">
        <v>1</v>
      </c>
      <c r="B7958" t="s">
        <v>19</v>
      </c>
      <c r="C7958" t="s">
        <v>23490</v>
      </c>
      <c r="D7958" t="str">
        <f>HYPERLINK("https://rhld.insurance.arkansas.gov/NPILookup?Npi=1871503672","1871503672")</f>
        <v>1871503672</v>
      </c>
      <c r="E7958" t="s">
        <v>3035</v>
      </c>
    </row>
    <row r="7959" spans="1:5" x14ac:dyDescent="0.25">
      <c r="A7959" t="s">
        <v>1</v>
      </c>
      <c r="B7959" t="s">
        <v>19</v>
      </c>
      <c r="C7959" t="s">
        <v>23490</v>
      </c>
      <c r="D7959" t="str">
        <f>HYPERLINK("https://rhld.insurance.arkansas.gov/NPILookup?Npi=1871516336","1871516336")</f>
        <v>1871516336</v>
      </c>
      <c r="E7959" t="s">
        <v>3037</v>
      </c>
    </row>
    <row r="7960" spans="1:5" x14ac:dyDescent="0.25">
      <c r="A7960" t="s">
        <v>1</v>
      </c>
      <c r="B7960" t="s">
        <v>19</v>
      </c>
      <c r="C7960" t="s">
        <v>23490</v>
      </c>
      <c r="D7960" t="str">
        <f>HYPERLINK("https://rhld.insurance.arkansas.gov/NPILookup?Npi=1871529743","1871529743")</f>
        <v>1871529743</v>
      </c>
      <c r="E7960" t="s">
        <v>3038</v>
      </c>
    </row>
    <row r="7961" spans="1:5" x14ac:dyDescent="0.25">
      <c r="A7961" t="s">
        <v>1</v>
      </c>
      <c r="B7961" t="s">
        <v>19</v>
      </c>
      <c r="C7961" t="s">
        <v>23490</v>
      </c>
      <c r="D7961" t="str">
        <f>HYPERLINK("https://rhld.insurance.arkansas.gov/NPILookup?Npi=1871535864","1871535864")</f>
        <v>1871535864</v>
      </c>
      <c r="E7961" t="s">
        <v>2994</v>
      </c>
    </row>
    <row r="7962" spans="1:5" x14ac:dyDescent="0.25">
      <c r="A7962" t="s">
        <v>1</v>
      </c>
      <c r="B7962" t="s">
        <v>19</v>
      </c>
      <c r="C7962" t="s">
        <v>23490</v>
      </c>
      <c r="D7962" t="str">
        <f>HYPERLINK("https://rhld.insurance.arkansas.gov/NPILookup?Npi=1871536268","1871536268")</f>
        <v>1871536268</v>
      </c>
      <c r="E7962" t="s">
        <v>22898</v>
      </c>
    </row>
    <row r="7963" spans="1:5" x14ac:dyDescent="0.25">
      <c r="A7963" t="s">
        <v>1</v>
      </c>
      <c r="B7963" t="s">
        <v>19</v>
      </c>
      <c r="C7963" t="s">
        <v>23490</v>
      </c>
      <c r="D7963" t="str">
        <f>HYPERLINK("https://rhld.insurance.arkansas.gov/NPILookup?Npi=1871541177","1871541177")</f>
        <v>1871541177</v>
      </c>
      <c r="E7963" t="s">
        <v>3040</v>
      </c>
    </row>
    <row r="7964" spans="1:5" x14ac:dyDescent="0.25">
      <c r="A7964" t="s">
        <v>1</v>
      </c>
      <c r="B7964" t="s">
        <v>19</v>
      </c>
      <c r="C7964" t="s">
        <v>23490</v>
      </c>
      <c r="D7964" t="str">
        <f>HYPERLINK("https://rhld.insurance.arkansas.gov/NPILookup?Npi=1871541409","1871541409")</f>
        <v>1871541409</v>
      </c>
      <c r="E7964" t="s">
        <v>3041</v>
      </c>
    </row>
    <row r="7965" spans="1:5" x14ac:dyDescent="0.25">
      <c r="A7965" t="s">
        <v>1</v>
      </c>
      <c r="B7965" t="s">
        <v>19</v>
      </c>
      <c r="C7965" t="s">
        <v>23490</v>
      </c>
      <c r="D7965" t="str">
        <f>HYPERLINK("https://rhld.insurance.arkansas.gov/NPILookup?Npi=1871544965","1871544965")</f>
        <v>1871544965</v>
      </c>
      <c r="E7965" t="s">
        <v>3042</v>
      </c>
    </row>
    <row r="7966" spans="1:5" x14ac:dyDescent="0.25">
      <c r="A7966" t="s">
        <v>1</v>
      </c>
      <c r="B7966" t="s">
        <v>19</v>
      </c>
      <c r="C7966" t="s">
        <v>23490</v>
      </c>
      <c r="D7966" t="str">
        <f>HYPERLINK("https://rhld.insurance.arkansas.gov/NPILookup?Npi=1871554410","1871554410")</f>
        <v>1871554410</v>
      </c>
      <c r="E7966" t="s">
        <v>3043</v>
      </c>
    </row>
    <row r="7967" spans="1:5" x14ac:dyDescent="0.25">
      <c r="A7967" t="s">
        <v>1</v>
      </c>
      <c r="B7967" t="s">
        <v>19</v>
      </c>
      <c r="C7967" t="s">
        <v>23490</v>
      </c>
      <c r="D7967" t="str">
        <f>HYPERLINK("https://rhld.insurance.arkansas.gov/NPILookup?Npi=1871555011","1871555011")</f>
        <v>1871555011</v>
      </c>
      <c r="E7967" t="s">
        <v>15662</v>
      </c>
    </row>
    <row r="7968" spans="1:5" x14ac:dyDescent="0.25">
      <c r="A7968" t="s">
        <v>1</v>
      </c>
      <c r="B7968" t="s">
        <v>19</v>
      </c>
      <c r="C7968" t="s">
        <v>23490</v>
      </c>
      <c r="D7968" t="str">
        <f>HYPERLINK("https://rhld.insurance.arkansas.gov/NPILookup?Npi=1871556639","1871556639")</f>
        <v>1871556639</v>
      </c>
      <c r="E7968" t="s">
        <v>1289</v>
      </c>
    </row>
    <row r="7969" spans="1:5" x14ac:dyDescent="0.25">
      <c r="A7969" t="s">
        <v>1</v>
      </c>
      <c r="B7969" t="s">
        <v>19</v>
      </c>
      <c r="C7969" t="s">
        <v>23490</v>
      </c>
      <c r="D7969" t="str">
        <f>HYPERLINK("https://rhld.insurance.arkansas.gov/NPILookup?Npi=1871556829","1871556829")</f>
        <v>1871556829</v>
      </c>
      <c r="E7969" t="s">
        <v>3044</v>
      </c>
    </row>
    <row r="7970" spans="1:5" x14ac:dyDescent="0.25">
      <c r="A7970" t="s">
        <v>1</v>
      </c>
      <c r="B7970" t="s">
        <v>19</v>
      </c>
      <c r="C7970" t="s">
        <v>23490</v>
      </c>
      <c r="D7970" t="str">
        <f>HYPERLINK("https://rhld.insurance.arkansas.gov/NPILookup?Npi=1871570648","1871570648")</f>
        <v>1871570648</v>
      </c>
      <c r="E7970" t="s">
        <v>20088</v>
      </c>
    </row>
    <row r="7971" spans="1:5" x14ac:dyDescent="0.25">
      <c r="A7971" t="s">
        <v>1</v>
      </c>
      <c r="B7971" t="s">
        <v>19</v>
      </c>
      <c r="C7971" t="s">
        <v>23490</v>
      </c>
      <c r="D7971" t="str">
        <f>HYPERLINK("https://rhld.insurance.arkansas.gov/NPILookup?Npi=1871575886","1871575886")</f>
        <v>1871575886</v>
      </c>
      <c r="E7971" t="s">
        <v>3045</v>
      </c>
    </row>
    <row r="7972" spans="1:5" x14ac:dyDescent="0.25">
      <c r="A7972" t="s">
        <v>1</v>
      </c>
      <c r="B7972" t="s">
        <v>19</v>
      </c>
      <c r="C7972" t="s">
        <v>23490</v>
      </c>
      <c r="D7972" t="str">
        <f>HYPERLINK("https://rhld.insurance.arkansas.gov/NPILookup?Npi=1871578500","1871578500")</f>
        <v>1871578500</v>
      </c>
      <c r="E7972" t="s">
        <v>11342</v>
      </c>
    </row>
    <row r="7973" spans="1:5" x14ac:dyDescent="0.25">
      <c r="A7973" t="s">
        <v>1</v>
      </c>
      <c r="B7973" t="s">
        <v>19</v>
      </c>
      <c r="C7973" t="s">
        <v>23490</v>
      </c>
      <c r="D7973" t="str">
        <f>HYPERLINK("https://rhld.insurance.arkansas.gov/NPILookup?Npi=1871580241","1871580241")</f>
        <v>1871580241</v>
      </c>
      <c r="E7973" t="s">
        <v>3047</v>
      </c>
    </row>
    <row r="7974" spans="1:5" x14ac:dyDescent="0.25">
      <c r="A7974" t="s">
        <v>1</v>
      </c>
      <c r="B7974" t="s">
        <v>19</v>
      </c>
      <c r="C7974" t="s">
        <v>23490</v>
      </c>
      <c r="D7974" t="str">
        <f>HYPERLINK("https://rhld.insurance.arkansas.gov/NPILookup?Npi=1871581082","1871581082")</f>
        <v>1871581082</v>
      </c>
      <c r="E7974" t="s">
        <v>15663</v>
      </c>
    </row>
    <row r="7975" spans="1:5" x14ac:dyDescent="0.25">
      <c r="A7975" t="s">
        <v>1</v>
      </c>
      <c r="B7975" t="s">
        <v>19</v>
      </c>
      <c r="C7975" t="s">
        <v>23490</v>
      </c>
      <c r="D7975" t="str">
        <f>HYPERLINK("https://rhld.insurance.arkansas.gov/NPILookup?Npi=1871581306","1871581306")</f>
        <v>1871581306</v>
      </c>
      <c r="E7975" t="s">
        <v>13763</v>
      </c>
    </row>
    <row r="7976" spans="1:5" x14ac:dyDescent="0.25">
      <c r="A7976" t="s">
        <v>1</v>
      </c>
      <c r="B7976" t="s">
        <v>19</v>
      </c>
      <c r="C7976" t="s">
        <v>23490</v>
      </c>
      <c r="D7976" t="str">
        <f>HYPERLINK("https://rhld.insurance.arkansas.gov/NPILookup?Npi=1871582130","1871582130")</f>
        <v>1871582130</v>
      </c>
      <c r="E7976" t="s">
        <v>15664</v>
      </c>
    </row>
    <row r="7977" spans="1:5" x14ac:dyDescent="0.25">
      <c r="A7977" t="s">
        <v>1</v>
      </c>
      <c r="B7977" t="s">
        <v>19</v>
      </c>
      <c r="C7977" t="s">
        <v>23490</v>
      </c>
      <c r="D7977" t="str">
        <f>HYPERLINK("https://rhld.insurance.arkansas.gov/NPILookup?Npi=1871582379","1871582379")</f>
        <v>1871582379</v>
      </c>
      <c r="E7977" t="s">
        <v>3048</v>
      </c>
    </row>
    <row r="7978" spans="1:5" x14ac:dyDescent="0.25">
      <c r="A7978" t="s">
        <v>1</v>
      </c>
      <c r="B7978" t="s">
        <v>19</v>
      </c>
      <c r="C7978" t="s">
        <v>23490</v>
      </c>
      <c r="D7978" t="str">
        <f>HYPERLINK("https://rhld.insurance.arkansas.gov/NPILookup?Npi=1871583229","1871583229")</f>
        <v>1871583229</v>
      </c>
      <c r="E7978" t="s">
        <v>3049</v>
      </c>
    </row>
    <row r="7979" spans="1:5" x14ac:dyDescent="0.25">
      <c r="A7979" t="s">
        <v>1</v>
      </c>
      <c r="B7979" t="s">
        <v>19</v>
      </c>
      <c r="C7979" t="s">
        <v>23490</v>
      </c>
      <c r="D7979" t="str">
        <f>HYPERLINK("https://rhld.insurance.arkansas.gov/NPILookup?Npi=1871586495","1871586495")</f>
        <v>1871586495</v>
      </c>
      <c r="E7979" t="s">
        <v>3050</v>
      </c>
    </row>
    <row r="7980" spans="1:5" x14ac:dyDescent="0.25">
      <c r="A7980" t="s">
        <v>1</v>
      </c>
      <c r="B7980" t="s">
        <v>19</v>
      </c>
      <c r="C7980" t="s">
        <v>23490</v>
      </c>
      <c r="D7980" t="str">
        <f>HYPERLINK("https://rhld.insurance.arkansas.gov/NPILookup?Npi=1871589309","1871589309")</f>
        <v>1871589309</v>
      </c>
      <c r="E7980" t="s">
        <v>3051</v>
      </c>
    </row>
    <row r="7981" spans="1:5" x14ac:dyDescent="0.25">
      <c r="A7981" t="s">
        <v>1</v>
      </c>
      <c r="B7981" t="s">
        <v>19</v>
      </c>
      <c r="C7981" t="s">
        <v>23490</v>
      </c>
      <c r="D7981" t="str">
        <f>HYPERLINK("https://rhld.insurance.arkansas.gov/NPILookup?Npi=1871591438","1871591438")</f>
        <v>1871591438</v>
      </c>
      <c r="E7981" t="s">
        <v>3052</v>
      </c>
    </row>
    <row r="7982" spans="1:5" x14ac:dyDescent="0.25">
      <c r="A7982" t="s">
        <v>1</v>
      </c>
      <c r="B7982" t="s">
        <v>19</v>
      </c>
      <c r="C7982" t="s">
        <v>23490</v>
      </c>
      <c r="D7982" t="str">
        <f>HYPERLINK("https://rhld.insurance.arkansas.gov/NPILookup?Npi=1871592287","1871592287")</f>
        <v>1871592287</v>
      </c>
      <c r="E7982" t="s">
        <v>15665</v>
      </c>
    </row>
    <row r="7983" spans="1:5" x14ac:dyDescent="0.25">
      <c r="A7983" t="s">
        <v>1</v>
      </c>
      <c r="B7983" t="s">
        <v>19</v>
      </c>
      <c r="C7983" t="s">
        <v>23490</v>
      </c>
      <c r="D7983" t="str">
        <f>HYPERLINK("https://rhld.insurance.arkansas.gov/NPILookup?Npi=1871592659","1871592659")</f>
        <v>1871592659</v>
      </c>
      <c r="E7983" t="s">
        <v>3053</v>
      </c>
    </row>
    <row r="7984" spans="1:5" x14ac:dyDescent="0.25">
      <c r="A7984" t="s">
        <v>1</v>
      </c>
      <c r="B7984" t="s">
        <v>19</v>
      </c>
      <c r="C7984" t="s">
        <v>23490</v>
      </c>
      <c r="D7984" t="str">
        <f>HYPERLINK("https://rhld.insurance.arkansas.gov/NPILookup?Npi=1871594457","1871594457")</f>
        <v>1871594457</v>
      </c>
      <c r="E7984" t="s">
        <v>3054</v>
      </c>
    </row>
    <row r="7985" spans="1:5" x14ac:dyDescent="0.25">
      <c r="A7985" t="s">
        <v>1</v>
      </c>
      <c r="B7985" t="s">
        <v>19</v>
      </c>
      <c r="C7985" t="s">
        <v>23490</v>
      </c>
      <c r="D7985" t="str">
        <f>HYPERLINK("https://rhld.insurance.arkansas.gov/NPILookup?Npi=1871597385","1871597385")</f>
        <v>1871597385</v>
      </c>
      <c r="E7985" t="s">
        <v>15666</v>
      </c>
    </row>
    <row r="7986" spans="1:5" x14ac:dyDescent="0.25">
      <c r="A7986" t="s">
        <v>1</v>
      </c>
      <c r="B7986" t="s">
        <v>19</v>
      </c>
      <c r="C7986" t="s">
        <v>23490</v>
      </c>
      <c r="D7986" t="str">
        <f>HYPERLINK("https://rhld.insurance.arkansas.gov/NPILookup?Npi=1871598037","1871598037")</f>
        <v>1871598037</v>
      </c>
      <c r="E7986" t="s">
        <v>3055</v>
      </c>
    </row>
    <row r="7987" spans="1:5" x14ac:dyDescent="0.25">
      <c r="A7987" t="s">
        <v>1</v>
      </c>
      <c r="B7987" t="s">
        <v>19</v>
      </c>
      <c r="C7987" t="s">
        <v>23490</v>
      </c>
      <c r="D7987" t="str">
        <f>HYPERLINK("https://rhld.insurance.arkansas.gov/NPILookup?Npi=1871600189","1871600189")</f>
        <v>1871600189</v>
      </c>
      <c r="E7987" t="s">
        <v>15667</v>
      </c>
    </row>
    <row r="7988" spans="1:5" x14ac:dyDescent="0.25">
      <c r="A7988" t="s">
        <v>1</v>
      </c>
      <c r="B7988" t="s">
        <v>19</v>
      </c>
      <c r="C7988" t="s">
        <v>23490</v>
      </c>
      <c r="D7988" t="str">
        <f>HYPERLINK("https://rhld.insurance.arkansas.gov/NPILookup?Npi=1871622969","1871622969")</f>
        <v>1871622969</v>
      </c>
      <c r="E7988" t="s">
        <v>3056</v>
      </c>
    </row>
    <row r="7989" spans="1:5" x14ac:dyDescent="0.25">
      <c r="A7989" t="s">
        <v>1</v>
      </c>
      <c r="B7989" t="s">
        <v>19</v>
      </c>
      <c r="C7989" t="s">
        <v>23490</v>
      </c>
      <c r="D7989" t="str">
        <f>HYPERLINK("https://rhld.insurance.arkansas.gov/NPILookup?Npi=1871632497","1871632497")</f>
        <v>1871632497</v>
      </c>
      <c r="E7989" t="s">
        <v>3057</v>
      </c>
    </row>
    <row r="7990" spans="1:5" x14ac:dyDescent="0.25">
      <c r="A7990" t="s">
        <v>1</v>
      </c>
      <c r="B7990" t="s">
        <v>19</v>
      </c>
      <c r="C7990" t="s">
        <v>23490</v>
      </c>
      <c r="D7990" t="str">
        <f>HYPERLINK("https://rhld.insurance.arkansas.gov/NPILookup?Npi=1871642306","1871642306")</f>
        <v>1871642306</v>
      </c>
      <c r="E7990" t="s">
        <v>3058</v>
      </c>
    </row>
    <row r="7991" spans="1:5" x14ac:dyDescent="0.25">
      <c r="A7991" t="s">
        <v>1</v>
      </c>
      <c r="B7991" t="s">
        <v>19</v>
      </c>
      <c r="C7991" t="s">
        <v>23490</v>
      </c>
      <c r="D7991" t="str">
        <f>HYPERLINK("https://rhld.insurance.arkansas.gov/NPILookup?Npi=1871667618","1871667618")</f>
        <v>1871667618</v>
      </c>
      <c r="E7991" t="s">
        <v>11343</v>
      </c>
    </row>
    <row r="7992" spans="1:5" x14ac:dyDescent="0.25">
      <c r="A7992" t="s">
        <v>1</v>
      </c>
      <c r="B7992" t="s">
        <v>19</v>
      </c>
      <c r="C7992" t="s">
        <v>23490</v>
      </c>
      <c r="D7992" t="str">
        <f>HYPERLINK("https://rhld.insurance.arkansas.gov/NPILookup?Npi=1871672212","1871672212")</f>
        <v>1871672212</v>
      </c>
      <c r="E7992" t="s">
        <v>3059</v>
      </c>
    </row>
    <row r="7993" spans="1:5" x14ac:dyDescent="0.25">
      <c r="A7993" t="s">
        <v>1</v>
      </c>
      <c r="B7993" t="s">
        <v>19</v>
      </c>
      <c r="C7993" t="s">
        <v>23490</v>
      </c>
      <c r="D7993" t="str">
        <f>HYPERLINK("https://rhld.insurance.arkansas.gov/NPILookup?Npi=1871675702","1871675702")</f>
        <v>1871675702</v>
      </c>
      <c r="E7993" t="s">
        <v>3060</v>
      </c>
    </row>
    <row r="7994" spans="1:5" x14ac:dyDescent="0.25">
      <c r="A7994" t="s">
        <v>1</v>
      </c>
      <c r="B7994" t="s">
        <v>19</v>
      </c>
      <c r="C7994" t="s">
        <v>23490</v>
      </c>
      <c r="D7994" t="str">
        <f>HYPERLINK("https://rhld.insurance.arkansas.gov/NPILookup?Npi=1871684969","1871684969")</f>
        <v>1871684969</v>
      </c>
      <c r="E7994" t="s">
        <v>3062</v>
      </c>
    </row>
    <row r="7995" spans="1:5" x14ac:dyDescent="0.25">
      <c r="A7995" t="s">
        <v>1</v>
      </c>
      <c r="B7995" t="s">
        <v>19</v>
      </c>
      <c r="C7995" t="s">
        <v>23490</v>
      </c>
      <c r="D7995" t="str">
        <f>HYPERLINK("https://rhld.insurance.arkansas.gov/NPILookup?Npi=1871700658","1871700658")</f>
        <v>1871700658</v>
      </c>
      <c r="E7995" t="s">
        <v>3063</v>
      </c>
    </row>
    <row r="7996" spans="1:5" x14ac:dyDescent="0.25">
      <c r="A7996" t="s">
        <v>1</v>
      </c>
      <c r="B7996" t="s">
        <v>19</v>
      </c>
      <c r="C7996" t="s">
        <v>23490</v>
      </c>
      <c r="D7996" t="str">
        <f>HYPERLINK("https://rhld.insurance.arkansas.gov/NPILookup?Npi=1871703108","1871703108")</f>
        <v>1871703108</v>
      </c>
      <c r="E7996" t="s">
        <v>3064</v>
      </c>
    </row>
    <row r="7997" spans="1:5" x14ac:dyDescent="0.25">
      <c r="A7997" t="s">
        <v>1</v>
      </c>
      <c r="B7997" t="s">
        <v>19</v>
      </c>
      <c r="C7997" t="s">
        <v>23490</v>
      </c>
      <c r="D7997" t="str">
        <f>HYPERLINK("https://rhld.insurance.arkansas.gov/NPILookup?Npi=1871703496","1871703496")</f>
        <v>1871703496</v>
      </c>
      <c r="E7997" t="s">
        <v>3065</v>
      </c>
    </row>
    <row r="7998" spans="1:5" x14ac:dyDescent="0.25">
      <c r="A7998" t="s">
        <v>1</v>
      </c>
      <c r="B7998" t="s">
        <v>19</v>
      </c>
      <c r="C7998" t="s">
        <v>23490</v>
      </c>
      <c r="D7998" t="str">
        <f>HYPERLINK("https://rhld.insurance.arkansas.gov/NPILookup?Npi=1871704650","1871704650")</f>
        <v>1871704650</v>
      </c>
      <c r="E7998" t="s">
        <v>3066</v>
      </c>
    </row>
    <row r="7999" spans="1:5" x14ac:dyDescent="0.25">
      <c r="A7999" t="s">
        <v>1</v>
      </c>
      <c r="B7999" t="s">
        <v>19</v>
      </c>
      <c r="C7999" t="s">
        <v>23490</v>
      </c>
      <c r="D7999" t="str">
        <f>HYPERLINK("https://rhld.insurance.arkansas.gov/NPILookup?Npi=1871715904","1871715904")</f>
        <v>1871715904</v>
      </c>
      <c r="E7999" t="s">
        <v>3068</v>
      </c>
    </row>
    <row r="8000" spans="1:5" x14ac:dyDescent="0.25">
      <c r="A8000" t="s">
        <v>1</v>
      </c>
      <c r="B8000" t="s">
        <v>19</v>
      </c>
      <c r="C8000" t="s">
        <v>23490</v>
      </c>
      <c r="D8000" t="str">
        <f>HYPERLINK("https://rhld.insurance.arkansas.gov/NPILookup?Npi=1871722066","1871722066")</f>
        <v>1871722066</v>
      </c>
      <c r="E8000" t="s">
        <v>12928</v>
      </c>
    </row>
    <row r="8001" spans="1:5" x14ac:dyDescent="0.25">
      <c r="A8001" t="s">
        <v>1</v>
      </c>
      <c r="B8001" t="s">
        <v>19</v>
      </c>
      <c r="C8001" t="s">
        <v>23490</v>
      </c>
      <c r="D8001" t="str">
        <f>HYPERLINK("https://rhld.insurance.arkansas.gov/NPILookup?Npi=1871733162","1871733162")</f>
        <v>1871733162</v>
      </c>
      <c r="E8001" t="s">
        <v>15668</v>
      </c>
    </row>
    <row r="8002" spans="1:5" x14ac:dyDescent="0.25">
      <c r="A8002" t="s">
        <v>1</v>
      </c>
      <c r="B8002" t="s">
        <v>19</v>
      </c>
      <c r="C8002" t="s">
        <v>23490</v>
      </c>
      <c r="D8002" t="str">
        <f>HYPERLINK("https://rhld.insurance.arkansas.gov/NPILookup?Npi=1871746800","1871746800")</f>
        <v>1871746800</v>
      </c>
      <c r="E8002" t="s">
        <v>11344</v>
      </c>
    </row>
    <row r="8003" spans="1:5" x14ac:dyDescent="0.25">
      <c r="A8003" t="s">
        <v>1</v>
      </c>
      <c r="B8003" t="s">
        <v>19</v>
      </c>
      <c r="C8003" t="s">
        <v>23490</v>
      </c>
      <c r="D8003" t="str">
        <f>HYPERLINK("https://rhld.insurance.arkansas.gov/NPILookup?Npi=1871755777","1871755777")</f>
        <v>1871755777</v>
      </c>
      <c r="E8003" t="s">
        <v>13764</v>
      </c>
    </row>
    <row r="8004" spans="1:5" x14ac:dyDescent="0.25">
      <c r="A8004" t="s">
        <v>1</v>
      </c>
      <c r="B8004" t="s">
        <v>19</v>
      </c>
      <c r="C8004" t="s">
        <v>23490</v>
      </c>
      <c r="D8004" t="str">
        <f>HYPERLINK("https://rhld.insurance.arkansas.gov/NPILookup?Npi=1871756395","1871756395")</f>
        <v>1871756395</v>
      </c>
      <c r="E8004" t="s">
        <v>11345</v>
      </c>
    </row>
    <row r="8005" spans="1:5" x14ac:dyDescent="0.25">
      <c r="A8005" t="s">
        <v>1</v>
      </c>
      <c r="B8005" t="s">
        <v>19</v>
      </c>
      <c r="C8005" t="s">
        <v>23490</v>
      </c>
      <c r="D8005" t="str">
        <f>HYPERLINK("https://rhld.insurance.arkansas.gov/NPILookup?Npi=1871774075","1871774075")</f>
        <v>1871774075</v>
      </c>
      <c r="E8005" t="s">
        <v>3069</v>
      </c>
    </row>
    <row r="8006" spans="1:5" x14ac:dyDescent="0.25">
      <c r="A8006" t="s">
        <v>1</v>
      </c>
      <c r="B8006" t="s">
        <v>19</v>
      </c>
      <c r="C8006" t="s">
        <v>23490</v>
      </c>
      <c r="D8006" t="str">
        <f>HYPERLINK("https://rhld.insurance.arkansas.gov/NPILookup?Npi=1871808048","1871808048")</f>
        <v>1871808048</v>
      </c>
      <c r="E8006" t="s">
        <v>3070</v>
      </c>
    </row>
    <row r="8007" spans="1:5" x14ac:dyDescent="0.25">
      <c r="A8007" t="s">
        <v>1</v>
      </c>
      <c r="B8007" t="s">
        <v>19</v>
      </c>
      <c r="C8007" t="s">
        <v>23490</v>
      </c>
      <c r="D8007" t="str">
        <f>HYPERLINK("https://rhld.insurance.arkansas.gov/NPILookup?Npi=1871826958","1871826958")</f>
        <v>1871826958</v>
      </c>
      <c r="E8007" t="s">
        <v>20089</v>
      </c>
    </row>
    <row r="8008" spans="1:5" x14ac:dyDescent="0.25">
      <c r="A8008" t="s">
        <v>1</v>
      </c>
      <c r="B8008" t="s">
        <v>19</v>
      </c>
      <c r="C8008" t="s">
        <v>23490</v>
      </c>
      <c r="D8008" t="str">
        <f>HYPERLINK("https://rhld.insurance.arkansas.gov/NPILookup?Npi=1871844498","1871844498")</f>
        <v>1871844498</v>
      </c>
      <c r="E8008" t="s">
        <v>15669</v>
      </c>
    </row>
    <row r="8009" spans="1:5" x14ac:dyDescent="0.25">
      <c r="A8009" t="s">
        <v>1</v>
      </c>
      <c r="B8009" t="s">
        <v>19</v>
      </c>
      <c r="C8009" t="s">
        <v>23490</v>
      </c>
      <c r="D8009" t="str">
        <f>HYPERLINK("https://rhld.insurance.arkansas.gov/NPILookup?Npi=1871850420","1871850420")</f>
        <v>1871850420</v>
      </c>
      <c r="E8009" t="s">
        <v>2844</v>
      </c>
    </row>
    <row r="8010" spans="1:5" x14ac:dyDescent="0.25">
      <c r="A8010" t="s">
        <v>1</v>
      </c>
      <c r="B8010" t="s">
        <v>19</v>
      </c>
      <c r="C8010" t="s">
        <v>23490</v>
      </c>
      <c r="D8010" t="str">
        <f>HYPERLINK("https://rhld.insurance.arkansas.gov/NPILookup?Npi=1871865717","1871865717")</f>
        <v>1871865717</v>
      </c>
      <c r="E8010" t="s">
        <v>3071</v>
      </c>
    </row>
    <row r="8011" spans="1:5" x14ac:dyDescent="0.25">
      <c r="A8011" t="s">
        <v>1</v>
      </c>
      <c r="B8011" t="s">
        <v>19</v>
      </c>
      <c r="C8011" t="s">
        <v>23490</v>
      </c>
      <c r="D8011" t="str">
        <f>HYPERLINK("https://rhld.insurance.arkansas.gov/NPILookup?Npi=1871866376","1871866376")</f>
        <v>1871866376</v>
      </c>
      <c r="E8011" t="s">
        <v>11346</v>
      </c>
    </row>
    <row r="8012" spans="1:5" x14ac:dyDescent="0.25">
      <c r="A8012" t="s">
        <v>1</v>
      </c>
      <c r="B8012" t="s">
        <v>19</v>
      </c>
      <c r="C8012" t="s">
        <v>23490</v>
      </c>
      <c r="D8012" t="str">
        <f>HYPERLINK("https://rhld.insurance.arkansas.gov/NPILookup?Npi=1871866830","1871866830")</f>
        <v>1871866830</v>
      </c>
      <c r="E8012" t="s">
        <v>8896</v>
      </c>
    </row>
    <row r="8013" spans="1:5" x14ac:dyDescent="0.25">
      <c r="A8013" t="s">
        <v>1</v>
      </c>
      <c r="B8013" t="s">
        <v>19</v>
      </c>
      <c r="C8013" t="s">
        <v>23490</v>
      </c>
      <c r="D8013" t="str">
        <f>HYPERLINK("https://rhld.insurance.arkansas.gov/NPILookup?Npi=1871882803","1871882803")</f>
        <v>1871882803</v>
      </c>
      <c r="E8013" t="s">
        <v>3072</v>
      </c>
    </row>
    <row r="8014" spans="1:5" x14ac:dyDescent="0.25">
      <c r="A8014" t="s">
        <v>1</v>
      </c>
      <c r="B8014" t="s">
        <v>19</v>
      </c>
      <c r="C8014" t="s">
        <v>23490</v>
      </c>
      <c r="D8014" t="str">
        <f>HYPERLINK("https://rhld.insurance.arkansas.gov/NPILookup?Npi=1871905174","1871905174")</f>
        <v>1871905174</v>
      </c>
      <c r="E8014" t="s">
        <v>13765</v>
      </c>
    </row>
    <row r="8015" spans="1:5" x14ac:dyDescent="0.25">
      <c r="A8015" t="s">
        <v>1</v>
      </c>
      <c r="B8015" t="s">
        <v>19</v>
      </c>
      <c r="C8015" t="s">
        <v>23490</v>
      </c>
      <c r="D8015" t="str">
        <f>HYPERLINK("https://rhld.insurance.arkansas.gov/NPILookup?Npi=1871908483","1871908483")</f>
        <v>1871908483</v>
      </c>
      <c r="E8015" t="s">
        <v>3073</v>
      </c>
    </row>
    <row r="8016" spans="1:5" x14ac:dyDescent="0.25">
      <c r="A8016" t="s">
        <v>1</v>
      </c>
      <c r="B8016" t="s">
        <v>19</v>
      </c>
      <c r="C8016" t="s">
        <v>23490</v>
      </c>
      <c r="D8016" t="str">
        <f>HYPERLINK("https://rhld.insurance.arkansas.gov/NPILookup?Npi=1871908616","1871908616")</f>
        <v>1871908616</v>
      </c>
      <c r="E8016" t="s">
        <v>20090</v>
      </c>
    </row>
    <row r="8017" spans="1:5" x14ac:dyDescent="0.25">
      <c r="A8017" t="s">
        <v>1</v>
      </c>
      <c r="B8017" t="s">
        <v>19</v>
      </c>
      <c r="C8017" t="s">
        <v>23490</v>
      </c>
      <c r="D8017" t="str">
        <f>HYPERLINK("https://rhld.insurance.arkansas.gov/NPILookup?Npi=1871908905","1871908905")</f>
        <v>1871908905</v>
      </c>
      <c r="E8017" t="s">
        <v>21060</v>
      </c>
    </row>
    <row r="8018" spans="1:5" x14ac:dyDescent="0.25">
      <c r="A8018" t="s">
        <v>1</v>
      </c>
      <c r="B8018" t="s">
        <v>19</v>
      </c>
      <c r="C8018" t="s">
        <v>23490</v>
      </c>
      <c r="D8018" t="str">
        <f>HYPERLINK("https://rhld.insurance.arkansas.gov/NPILookup?Npi=1871913970","1871913970")</f>
        <v>1871913970</v>
      </c>
      <c r="E8018" t="s">
        <v>13766</v>
      </c>
    </row>
    <row r="8019" spans="1:5" x14ac:dyDescent="0.25">
      <c r="A8019" t="s">
        <v>1</v>
      </c>
      <c r="B8019" t="s">
        <v>19</v>
      </c>
      <c r="C8019" t="s">
        <v>23490</v>
      </c>
      <c r="D8019" t="str">
        <f>HYPERLINK("https://rhld.insurance.arkansas.gov/NPILookup?Npi=1871914317","1871914317")</f>
        <v>1871914317</v>
      </c>
      <c r="E8019" t="s">
        <v>17044</v>
      </c>
    </row>
    <row r="8020" spans="1:5" x14ac:dyDescent="0.25">
      <c r="A8020" t="s">
        <v>1</v>
      </c>
      <c r="B8020" t="s">
        <v>19</v>
      </c>
      <c r="C8020" t="s">
        <v>23490</v>
      </c>
      <c r="D8020" t="str">
        <f>HYPERLINK("https://rhld.insurance.arkansas.gov/NPILookup?Npi=1871916395","1871916395")</f>
        <v>1871916395</v>
      </c>
      <c r="E8020" t="s">
        <v>3074</v>
      </c>
    </row>
    <row r="8021" spans="1:5" x14ac:dyDescent="0.25">
      <c r="A8021" t="s">
        <v>1</v>
      </c>
      <c r="B8021" t="s">
        <v>19</v>
      </c>
      <c r="C8021" t="s">
        <v>23490</v>
      </c>
      <c r="D8021" t="str">
        <f>HYPERLINK("https://rhld.insurance.arkansas.gov/NPILookup?Npi=1871929398","1871929398")</f>
        <v>1871929398</v>
      </c>
      <c r="E8021" t="s">
        <v>3075</v>
      </c>
    </row>
    <row r="8022" spans="1:5" x14ac:dyDescent="0.25">
      <c r="A8022" t="s">
        <v>1</v>
      </c>
      <c r="B8022" t="s">
        <v>19</v>
      </c>
      <c r="C8022" t="s">
        <v>23490</v>
      </c>
      <c r="D8022" t="str">
        <f>HYPERLINK("https://rhld.insurance.arkansas.gov/NPILookup?Npi=1871935049","1871935049")</f>
        <v>1871935049</v>
      </c>
      <c r="E8022" t="s">
        <v>8897</v>
      </c>
    </row>
    <row r="8023" spans="1:5" x14ac:dyDescent="0.25">
      <c r="A8023" t="s">
        <v>1</v>
      </c>
      <c r="B8023" t="s">
        <v>19</v>
      </c>
      <c r="C8023" t="s">
        <v>23490</v>
      </c>
      <c r="D8023" t="str">
        <f>HYPERLINK("https://rhld.insurance.arkansas.gov/NPILookup?Npi=1871935155","1871935155")</f>
        <v>1871935155</v>
      </c>
      <c r="E8023" t="s">
        <v>11347</v>
      </c>
    </row>
    <row r="8024" spans="1:5" x14ac:dyDescent="0.25">
      <c r="A8024" t="s">
        <v>1</v>
      </c>
      <c r="B8024" t="s">
        <v>19</v>
      </c>
      <c r="C8024" t="s">
        <v>23490</v>
      </c>
      <c r="D8024" t="str">
        <f>HYPERLINK("https://rhld.insurance.arkansas.gov/NPILookup?Npi=1871945196","1871945196")</f>
        <v>1871945196</v>
      </c>
      <c r="E8024" t="s">
        <v>17045</v>
      </c>
    </row>
    <row r="8025" spans="1:5" x14ac:dyDescent="0.25">
      <c r="A8025" t="s">
        <v>1</v>
      </c>
      <c r="B8025" t="s">
        <v>19</v>
      </c>
      <c r="C8025" t="s">
        <v>23490</v>
      </c>
      <c r="D8025" t="str">
        <f>HYPERLINK("https://rhld.insurance.arkansas.gov/NPILookup?Npi=1871948166","1871948166")</f>
        <v>1871948166</v>
      </c>
      <c r="E8025" t="s">
        <v>13767</v>
      </c>
    </row>
    <row r="8026" spans="1:5" x14ac:dyDescent="0.25">
      <c r="A8026" t="s">
        <v>1</v>
      </c>
      <c r="B8026" t="s">
        <v>19</v>
      </c>
      <c r="C8026" t="s">
        <v>23490</v>
      </c>
      <c r="D8026" t="str">
        <f>HYPERLINK("https://rhld.insurance.arkansas.gov/NPILookup?Npi=1871948596","1871948596")</f>
        <v>1871948596</v>
      </c>
      <c r="E8026" t="s">
        <v>8898</v>
      </c>
    </row>
    <row r="8027" spans="1:5" x14ac:dyDescent="0.25">
      <c r="A8027" t="s">
        <v>1</v>
      </c>
      <c r="B8027" t="s">
        <v>19</v>
      </c>
      <c r="C8027" t="s">
        <v>23490</v>
      </c>
      <c r="D8027" t="str">
        <f>HYPERLINK("https://rhld.insurance.arkansas.gov/NPILookup?Npi=1871955526","1871955526")</f>
        <v>1871955526</v>
      </c>
      <c r="E8027" t="s">
        <v>18163</v>
      </c>
    </row>
    <row r="8028" spans="1:5" x14ac:dyDescent="0.25">
      <c r="A8028" t="s">
        <v>1</v>
      </c>
      <c r="B8028" t="s">
        <v>19</v>
      </c>
      <c r="C8028" t="s">
        <v>23490</v>
      </c>
      <c r="D8028" t="str">
        <f>HYPERLINK("https://rhld.insurance.arkansas.gov/NPILookup?Npi=1871976738","1871976738")</f>
        <v>1871976738</v>
      </c>
      <c r="E8028" t="s">
        <v>3076</v>
      </c>
    </row>
    <row r="8029" spans="1:5" x14ac:dyDescent="0.25">
      <c r="A8029" t="s">
        <v>1</v>
      </c>
      <c r="B8029" t="s">
        <v>19</v>
      </c>
      <c r="C8029" t="s">
        <v>23490</v>
      </c>
      <c r="D8029" t="str">
        <f>HYPERLINK("https://rhld.insurance.arkansas.gov/NPILookup?Npi=1871976852","1871976852")</f>
        <v>1871976852</v>
      </c>
      <c r="E8029" t="s">
        <v>8899</v>
      </c>
    </row>
    <row r="8030" spans="1:5" x14ac:dyDescent="0.25">
      <c r="A8030" t="s">
        <v>1</v>
      </c>
      <c r="B8030" t="s">
        <v>19</v>
      </c>
      <c r="C8030" t="s">
        <v>23490</v>
      </c>
      <c r="D8030" t="str">
        <f>HYPERLINK("https://rhld.insurance.arkansas.gov/NPILookup?Npi=1871985564","1871985564")</f>
        <v>1871985564</v>
      </c>
      <c r="E8030" t="s">
        <v>15670</v>
      </c>
    </row>
    <row r="8031" spans="1:5" x14ac:dyDescent="0.25">
      <c r="A8031" t="s">
        <v>1</v>
      </c>
      <c r="B8031" t="s">
        <v>19</v>
      </c>
      <c r="C8031" t="s">
        <v>23490</v>
      </c>
      <c r="D8031" t="str">
        <f>HYPERLINK("https://rhld.insurance.arkansas.gov/NPILookup?Npi=1871986315","1871986315")</f>
        <v>1871986315</v>
      </c>
      <c r="E8031" t="s">
        <v>3077</v>
      </c>
    </row>
    <row r="8032" spans="1:5" x14ac:dyDescent="0.25">
      <c r="A8032" t="s">
        <v>1</v>
      </c>
      <c r="B8032" t="s">
        <v>19</v>
      </c>
      <c r="C8032" t="s">
        <v>23490</v>
      </c>
      <c r="D8032" t="str">
        <f>HYPERLINK("https://rhld.insurance.arkansas.gov/NPILookup?Npi=1881000321","1881000321")</f>
        <v>1881000321</v>
      </c>
      <c r="E8032" t="s">
        <v>3078</v>
      </c>
    </row>
    <row r="8033" spans="1:5" x14ac:dyDescent="0.25">
      <c r="A8033" t="s">
        <v>1</v>
      </c>
      <c r="B8033" t="s">
        <v>19</v>
      </c>
      <c r="C8033" t="s">
        <v>23490</v>
      </c>
      <c r="D8033" t="str">
        <f>HYPERLINK("https://rhld.insurance.arkansas.gov/NPILookup?Npi=1881001568","1881001568")</f>
        <v>1881001568</v>
      </c>
      <c r="E8033" t="s">
        <v>3079</v>
      </c>
    </row>
    <row r="8034" spans="1:5" x14ac:dyDescent="0.25">
      <c r="A8034" t="s">
        <v>1</v>
      </c>
      <c r="B8034" t="s">
        <v>19</v>
      </c>
      <c r="C8034" t="s">
        <v>23490</v>
      </c>
      <c r="D8034" t="str">
        <f>HYPERLINK("https://rhld.insurance.arkansas.gov/NPILookup?Npi=1881001899","1881001899")</f>
        <v>1881001899</v>
      </c>
      <c r="E8034" t="s">
        <v>11348</v>
      </c>
    </row>
    <row r="8035" spans="1:5" x14ac:dyDescent="0.25">
      <c r="A8035" t="s">
        <v>1</v>
      </c>
      <c r="B8035" t="s">
        <v>19</v>
      </c>
      <c r="C8035" t="s">
        <v>23490</v>
      </c>
      <c r="D8035" t="str">
        <f>HYPERLINK("https://rhld.insurance.arkansas.gov/NPILookup?Npi=1881002756","1881002756")</f>
        <v>1881002756</v>
      </c>
      <c r="E8035" t="s">
        <v>3080</v>
      </c>
    </row>
    <row r="8036" spans="1:5" x14ac:dyDescent="0.25">
      <c r="A8036" t="s">
        <v>1</v>
      </c>
      <c r="B8036" t="s">
        <v>19</v>
      </c>
      <c r="C8036" t="s">
        <v>23490</v>
      </c>
      <c r="D8036" t="str">
        <f>HYPERLINK("https://rhld.insurance.arkansas.gov/NPILookup?Npi=1881005858","1881005858")</f>
        <v>1881005858</v>
      </c>
      <c r="E8036" t="s">
        <v>15671</v>
      </c>
    </row>
    <row r="8037" spans="1:5" x14ac:dyDescent="0.25">
      <c r="A8037" t="s">
        <v>1</v>
      </c>
      <c r="B8037" t="s">
        <v>19</v>
      </c>
      <c r="C8037" t="s">
        <v>23490</v>
      </c>
      <c r="D8037" t="str">
        <f>HYPERLINK("https://rhld.insurance.arkansas.gov/NPILookup?Npi=1881008498","1881008498")</f>
        <v>1881008498</v>
      </c>
      <c r="E8037" t="s">
        <v>11349</v>
      </c>
    </row>
    <row r="8038" spans="1:5" x14ac:dyDescent="0.25">
      <c r="A8038" t="s">
        <v>1</v>
      </c>
      <c r="B8038" t="s">
        <v>19</v>
      </c>
      <c r="C8038" t="s">
        <v>23490</v>
      </c>
      <c r="D8038" t="str">
        <f>HYPERLINK("https://rhld.insurance.arkansas.gov/NPILookup?Npi=1881013779","1881013779")</f>
        <v>1881013779</v>
      </c>
      <c r="E8038" t="s">
        <v>11350</v>
      </c>
    </row>
    <row r="8039" spans="1:5" x14ac:dyDescent="0.25">
      <c r="A8039" t="s">
        <v>1</v>
      </c>
      <c r="B8039" t="s">
        <v>19</v>
      </c>
      <c r="C8039" t="s">
        <v>23490</v>
      </c>
      <c r="D8039" t="str">
        <f>HYPERLINK("https://rhld.insurance.arkansas.gov/NPILookup?Npi=1881022291","1881022291")</f>
        <v>1881022291</v>
      </c>
      <c r="E8039" t="s">
        <v>20091</v>
      </c>
    </row>
    <row r="8040" spans="1:5" x14ac:dyDescent="0.25">
      <c r="A8040" t="s">
        <v>1</v>
      </c>
      <c r="B8040" t="s">
        <v>19</v>
      </c>
      <c r="C8040" t="s">
        <v>23490</v>
      </c>
      <c r="D8040" t="str">
        <f>HYPERLINK("https://rhld.insurance.arkansas.gov/NPILookup?Npi=1881032795","1881032795")</f>
        <v>1881032795</v>
      </c>
      <c r="E8040" t="s">
        <v>20092</v>
      </c>
    </row>
    <row r="8041" spans="1:5" x14ac:dyDescent="0.25">
      <c r="A8041" t="s">
        <v>1</v>
      </c>
      <c r="B8041" t="s">
        <v>19</v>
      </c>
      <c r="C8041" t="s">
        <v>23490</v>
      </c>
      <c r="D8041" t="str">
        <f>HYPERLINK("https://rhld.insurance.arkansas.gov/NPILookup?Npi=1881034460","1881034460")</f>
        <v>1881034460</v>
      </c>
      <c r="E8041" t="s">
        <v>12929</v>
      </c>
    </row>
    <row r="8042" spans="1:5" x14ac:dyDescent="0.25">
      <c r="A8042" t="s">
        <v>1</v>
      </c>
      <c r="B8042" t="s">
        <v>19</v>
      </c>
      <c r="C8042" t="s">
        <v>23490</v>
      </c>
      <c r="D8042" t="str">
        <f>HYPERLINK("https://rhld.insurance.arkansas.gov/NPILookup?Npi=1881035244","1881035244")</f>
        <v>1881035244</v>
      </c>
      <c r="E8042" t="s">
        <v>15672</v>
      </c>
    </row>
    <row r="8043" spans="1:5" x14ac:dyDescent="0.25">
      <c r="A8043" t="s">
        <v>1</v>
      </c>
      <c r="B8043" t="s">
        <v>19</v>
      </c>
      <c r="C8043" t="s">
        <v>23490</v>
      </c>
      <c r="D8043" t="str">
        <f>HYPERLINK("https://rhld.insurance.arkansas.gov/NPILookup?Npi=1881051522","1881051522")</f>
        <v>1881051522</v>
      </c>
      <c r="E8043" t="s">
        <v>8900</v>
      </c>
    </row>
    <row r="8044" spans="1:5" x14ac:dyDescent="0.25">
      <c r="A8044" t="s">
        <v>1</v>
      </c>
      <c r="B8044" t="s">
        <v>19</v>
      </c>
      <c r="C8044" t="s">
        <v>23490</v>
      </c>
      <c r="D8044" t="str">
        <f>HYPERLINK("https://rhld.insurance.arkansas.gov/NPILookup?Npi=1881054328","1881054328")</f>
        <v>1881054328</v>
      </c>
      <c r="E8044" t="s">
        <v>11351</v>
      </c>
    </row>
    <row r="8045" spans="1:5" x14ac:dyDescent="0.25">
      <c r="A8045" t="s">
        <v>1</v>
      </c>
      <c r="B8045" t="s">
        <v>19</v>
      </c>
      <c r="C8045" t="s">
        <v>23490</v>
      </c>
      <c r="D8045" t="str">
        <f>HYPERLINK("https://rhld.insurance.arkansas.gov/NPILookup?Npi=1881057172","1881057172")</f>
        <v>1881057172</v>
      </c>
      <c r="E8045" t="s">
        <v>8901</v>
      </c>
    </row>
    <row r="8046" spans="1:5" x14ac:dyDescent="0.25">
      <c r="A8046" t="s">
        <v>1</v>
      </c>
      <c r="B8046" t="s">
        <v>19</v>
      </c>
      <c r="C8046" t="s">
        <v>23490</v>
      </c>
      <c r="D8046" t="str">
        <f>HYPERLINK("https://rhld.insurance.arkansas.gov/NPILookup?Npi=1881070803","1881070803")</f>
        <v>1881070803</v>
      </c>
      <c r="E8046" t="s">
        <v>3081</v>
      </c>
    </row>
    <row r="8047" spans="1:5" x14ac:dyDescent="0.25">
      <c r="A8047" t="s">
        <v>1</v>
      </c>
      <c r="B8047" t="s">
        <v>19</v>
      </c>
      <c r="C8047" t="s">
        <v>23490</v>
      </c>
      <c r="D8047" t="str">
        <f>HYPERLINK("https://rhld.insurance.arkansas.gov/NPILookup?Npi=1881071348","1881071348")</f>
        <v>1881071348</v>
      </c>
      <c r="E8047" t="s">
        <v>13768</v>
      </c>
    </row>
    <row r="8048" spans="1:5" x14ac:dyDescent="0.25">
      <c r="A8048" t="s">
        <v>1</v>
      </c>
      <c r="B8048" t="s">
        <v>19</v>
      </c>
      <c r="C8048" t="s">
        <v>23490</v>
      </c>
      <c r="D8048" t="str">
        <f>HYPERLINK("https://rhld.insurance.arkansas.gov/NPILookup?Npi=1881072544","1881072544")</f>
        <v>1881072544</v>
      </c>
      <c r="E8048" t="s">
        <v>13769</v>
      </c>
    </row>
    <row r="8049" spans="1:5" x14ac:dyDescent="0.25">
      <c r="A8049" t="s">
        <v>1</v>
      </c>
      <c r="B8049" t="s">
        <v>19</v>
      </c>
      <c r="C8049" t="s">
        <v>23490</v>
      </c>
      <c r="D8049" t="str">
        <f>HYPERLINK("https://rhld.insurance.arkansas.gov/NPILookup?Npi=1881072791","1881072791")</f>
        <v>1881072791</v>
      </c>
      <c r="E8049" t="s">
        <v>15673</v>
      </c>
    </row>
    <row r="8050" spans="1:5" x14ac:dyDescent="0.25">
      <c r="A8050" t="s">
        <v>1</v>
      </c>
      <c r="B8050" t="s">
        <v>19</v>
      </c>
      <c r="C8050" t="s">
        <v>23490</v>
      </c>
      <c r="D8050" t="str">
        <f>HYPERLINK("https://rhld.insurance.arkansas.gov/NPILookup?Npi=1881074151","1881074151")</f>
        <v>1881074151</v>
      </c>
      <c r="E8050" t="s">
        <v>3082</v>
      </c>
    </row>
    <row r="8051" spans="1:5" x14ac:dyDescent="0.25">
      <c r="A8051" t="s">
        <v>1</v>
      </c>
      <c r="B8051" t="s">
        <v>19</v>
      </c>
      <c r="C8051" t="s">
        <v>23490</v>
      </c>
      <c r="D8051" t="str">
        <f>HYPERLINK("https://rhld.insurance.arkansas.gov/NPILookup?Npi=1881076495","1881076495")</f>
        <v>1881076495</v>
      </c>
      <c r="E8051" t="s">
        <v>15674</v>
      </c>
    </row>
    <row r="8052" spans="1:5" x14ac:dyDescent="0.25">
      <c r="A8052" t="s">
        <v>1</v>
      </c>
      <c r="B8052" t="s">
        <v>19</v>
      </c>
      <c r="C8052" t="s">
        <v>23490</v>
      </c>
      <c r="D8052" t="str">
        <f>HYPERLINK("https://rhld.insurance.arkansas.gov/NPILookup?Npi=1881076644","1881076644")</f>
        <v>1881076644</v>
      </c>
      <c r="E8052" t="s">
        <v>18164</v>
      </c>
    </row>
    <row r="8053" spans="1:5" x14ac:dyDescent="0.25">
      <c r="A8053" t="s">
        <v>1</v>
      </c>
      <c r="B8053" t="s">
        <v>19</v>
      </c>
      <c r="C8053" t="s">
        <v>23490</v>
      </c>
      <c r="D8053" t="str">
        <f>HYPERLINK("https://rhld.insurance.arkansas.gov/NPILookup?Npi=1881079440","1881079440")</f>
        <v>1881079440</v>
      </c>
      <c r="E8053" t="s">
        <v>20093</v>
      </c>
    </row>
    <row r="8054" spans="1:5" x14ac:dyDescent="0.25">
      <c r="A8054" t="s">
        <v>1</v>
      </c>
      <c r="B8054" t="s">
        <v>19</v>
      </c>
      <c r="C8054" t="s">
        <v>23490</v>
      </c>
      <c r="D8054" t="str">
        <f>HYPERLINK("https://rhld.insurance.arkansas.gov/NPILookup?Npi=1881086148","1881086148")</f>
        <v>1881086148</v>
      </c>
      <c r="E8054" t="s">
        <v>12930</v>
      </c>
    </row>
    <row r="8055" spans="1:5" x14ac:dyDescent="0.25">
      <c r="A8055" t="s">
        <v>1</v>
      </c>
      <c r="B8055" t="s">
        <v>19</v>
      </c>
      <c r="C8055" t="s">
        <v>23490</v>
      </c>
      <c r="D8055" t="str">
        <f>HYPERLINK("https://rhld.insurance.arkansas.gov/NPILookup?Npi=1881092385","1881092385")</f>
        <v>1881092385</v>
      </c>
      <c r="E8055" t="s">
        <v>20094</v>
      </c>
    </row>
    <row r="8056" spans="1:5" x14ac:dyDescent="0.25">
      <c r="A8056" t="s">
        <v>1</v>
      </c>
      <c r="B8056" t="s">
        <v>19</v>
      </c>
      <c r="C8056" t="s">
        <v>23490</v>
      </c>
      <c r="D8056" t="str">
        <f>HYPERLINK("https://rhld.insurance.arkansas.gov/NPILookup?Npi=1881107076","1881107076")</f>
        <v>1881107076</v>
      </c>
      <c r="E8056" t="s">
        <v>12931</v>
      </c>
    </row>
    <row r="8057" spans="1:5" x14ac:dyDescent="0.25">
      <c r="A8057" t="s">
        <v>1</v>
      </c>
      <c r="B8057" t="s">
        <v>19</v>
      </c>
      <c r="C8057" t="s">
        <v>23490</v>
      </c>
      <c r="D8057" t="str">
        <f>HYPERLINK("https://rhld.insurance.arkansas.gov/NPILookup?Npi=1881120715","1881120715")</f>
        <v>1881120715</v>
      </c>
      <c r="E8057" t="s">
        <v>11352</v>
      </c>
    </row>
    <row r="8058" spans="1:5" x14ac:dyDescent="0.25">
      <c r="A8058" t="s">
        <v>1</v>
      </c>
      <c r="B8058" t="s">
        <v>19</v>
      </c>
      <c r="C8058" t="s">
        <v>23490</v>
      </c>
      <c r="D8058" t="str">
        <f>HYPERLINK("https://rhld.insurance.arkansas.gov/NPILookup?Npi=1881143360","1881143360")</f>
        <v>1881143360</v>
      </c>
      <c r="E8058" t="s">
        <v>13038</v>
      </c>
    </row>
    <row r="8059" spans="1:5" x14ac:dyDescent="0.25">
      <c r="A8059" t="s">
        <v>1</v>
      </c>
      <c r="B8059" t="s">
        <v>19</v>
      </c>
      <c r="C8059" t="s">
        <v>23490</v>
      </c>
      <c r="D8059" t="str">
        <f>HYPERLINK("https://rhld.insurance.arkansas.gov/NPILookup?Npi=1881150563","1881150563")</f>
        <v>1881150563</v>
      </c>
      <c r="E8059" t="s">
        <v>15916</v>
      </c>
    </row>
    <row r="8060" spans="1:5" x14ac:dyDescent="0.25">
      <c r="A8060" t="s">
        <v>1</v>
      </c>
      <c r="B8060" t="s">
        <v>19</v>
      </c>
      <c r="C8060" t="s">
        <v>23490</v>
      </c>
      <c r="D8060" t="str">
        <f>HYPERLINK("https://rhld.insurance.arkansas.gov/NPILookup?Npi=1881160240","1881160240")</f>
        <v>1881160240</v>
      </c>
      <c r="E8060" t="s">
        <v>15675</v>
      </c>
    </row>
    <row r="8061" spans="1:5" x14ac:dyDescent="0.25">
      <c r="A8061" t="s">
        <v>1</v>
      </c>
      <c r="B8061" t="s">
        <v>19</v>
      </c>
      <c r="C8061" t="s">
        <v>23490</v>
      </c>
      <c r="D8061" t="str">
        <f>HYPERLINK("https://rhld.insurance.arkansas.gov/NPILookup?Npi=1881184893","1881184893")</f>
        <v>1881184893</v>
      </c>
      <c r="E8061" t="s">
        <v>15676</v>
      </c>
    </row>
    <row r="8062" spans="1:5" x14ac:dyDescent="0.25">
      <c r="A8062" t="s">
        <v>1</v>
      </c>
      <c r="B8062" t="s">
        <v>19</v>
      </c>
      <c r="C8062" t="s">
        <v>23490</v>
      </c>
      <c r="D8062" t="str">
        <f>HYPERLINK("https://rhld.insurance.arkansas.gov/NPILookup?Npi=1881187904","1881187904")</f>
        <v>1881187904</v>
      </c>
      <c r="E8062" t="s">
        <v>13770</v>
      </c>
    </row>
    <row r="8063" spans="1:5" x14ac:dyDescent="0.25">
      <c r="A8063" t="s">
        <v>1</v>
      </c>
      <c r="B8063" t="s">
        <v>19</v>
      </c>
      <c r="C8063" t="s">
        <v>8427</v>
      </c>
      <c r="D8063" t="str">
        <f>HYPERLINK("https://rhld.insurance.arkansas.gov/NPILookup?Npi=1881222073","1881222073")</f>
        <v>1881222073</v>
      </c>
      <c r="E8063" t="s">
        <v>23002</v>
      </c>
    </row>
    <row r="8064" spans="1:5" x14ac:dyDescent="0.25">
      <c r="A8064" t="s">
        <v>1</v>
      </c>
      <c r="B8064" t="s">
        <v>19</v>
      </c>
      <c r="C8064" t="s">
        <v>23490</v>
      </c>
      <c r="D8064" t="str">
        <f>HYPERLINK("https://rhld.insurance.arkansas.gov/NPILookup?Npi=1881233914","1881233914")</f>
        <v>1881233914</v>
      </c>
      <c r="E8064" t="s">
        <v>20095</v>
      </c>
    </row>
    <row r="8065" spans="1:5" x14ac:dyDescent="0.25">
      <c r="A8065" t="s">
        <v>1</v>
      </c>
      <c r="B8065" t="s">
        <v>19</v>
      </c>
      <c r="C8065" t="s">
        <v>23490</v>
      </c>
      <c r="D8065" t="str">
        <f>HYPERLINK("https://rhld.insurance.arkansas.gov/NPILookup?Npi=1881256220","1881256220")</f>
        <v>1881256220</v>
      </c>
      <c r="E8065" t="s">
        <v>15677</v>
      </c>
    </row>
    <row r="8066" spans="1:5" x14ac:dyDescent="0.25">
      <c r="A8066" t="s">
        <v>1</v>
      </c>
      <c r="B8066" t="s">
        <v>19</v>
      </c>
      <c r="C8066" t="s">
        <v>23490</v>
      </c>
      <c r="D8066" t="str">
        <f>HYPERLINK("https://rhld.insurance.arkansas.gov/NPILookup?Npi=1881260826","1881260826")</f>
        <v>1881260826</v>
      </c>
      <c r="E8066" t="s">
        <v>18891</v>
      </c>
    </row>
    <row r="8067" spans="1:5" x14ac:dyDescent="0.25">
      <c r="A8067" t="s">
        <v>1</v>
      </c>
      <c r="B8067" t="s">
        <v>19</v>
      </c>
      <c r="C8067" t="s">
        <v>23490</v>
      </c>
      <c r="D8067" t="str">
        <f>HYPERLINK("https://rhld.insurance.arkansas.gov/NPILookup?Npi=1881269660","1881269660")</f>
        <v>1881269660</v>
      </c>
      <c r="E8067" t="s">
        <v>20096</v>
      </c>
    </row>
    <row r="8068" spans="1:5" x14ac:dyDescent="0.25">
      <c r="A8068" t="s">
        <v>1</v>
      </c>
      <c r="B8068" t="s">
        <v>19</v>
      </c>
      <c r="C8068" t="s">
        <v>23490</v>
      </c>
      <c r="D8068" t="str">
        <f>HYPERLINK("https://rhld.insurance.arkansas.gov/NPILookup?Npi=1881270536","1881270536")</f>
        <v>1881270536</v>
      </c>
      <c r="E8068" t="s">
        <v>18892</v>
      </c>
    </row>
    <row r="8069" spans="1:5" x14ac:dyDescent="0.25">
      <c r="A8069" t="s">
        <v>1</v>
      </c>
      <c r="B8069" t="s">
        <v>19</v>
      </c>
      <c r="C8069" t="s">
        <v>23490</v>
      </c>
      <c r="D8069" t="str">
        <f>HYPERLINK("https://rhld.insurance.arkansas.gov/NPILookup?Npi=1881279222","1881279222")</f>
        <v>1881279222</v>
      </c>
      <c r="E8069" t="s">
        <v>20097</v>
      </c>
    </row>
    <row r="8070" spans="1:5" x14ac:dyDescent="0.25">
      <c r="A8070" t="s">
        <v>1</v>
      </c>
      <c r="B8070" t="s">
        <v>19</v>
      </c>
      <c r="C8070" t="s">
        <v>23490</v>
      </c>
      <c r="D8070" t="str">
        <f>HYPERLINK("https://rhld.insurance.arkansas.gov/NPILookup?Npi=1881285336","1881285336")</f>
        <v>1881285336</v>
      </c>
      <c r="E8070" t="s">
        <v>18165</v>
      </c>
    </row>
    <row r="8071" spans="1:5" x14ac:dyDescent="0.25">
      <c r="A8071" t="s">
        <v>1</v>
      </c>
      <c r="B8071" t="s">
        <v>19</v>
      </c>
      <c r="C8071" t="s">
        <v>23490</v>
      </c>
      <c r="D8071" t="str">
        <f>HYPERLINK("https://rhld.insurance.arkansas.gov/NPILookup?Npi=1881291896","1881291896")</f>
        <v>1881291896</v>
      </c>
      <c r="E8071" t="s">
        <v>17489</v>
      </c>
    </row>
    <row r="8072" spans="1:5" x14ac:dyDescent="0.25">
      <c r="A8072" t="s">
        <v>1</v>
      </c>
      <c r="B8072" t="s">
        <v>19</v>
      </c>
      <c r="C8072" t="s">
        <v>23490</v>
      </c>
      <c r="D8072" t="str">
        <f>HYPERLINK("https://rhld.insurance.arkansas.gov/NPILookup?Npi=1881318475","1881318475")</f>
        <v>1881318475</v>
      </c>
      <c r="E8072" t="s">
        <v>21670</v>
      </c>
    </row>
    <row r="8073" spans="1:5" x14ac:dyDescent="0.25">
      <c r="A8073" t="s">
        <v>1</v>
      </c>
      <c r="B8073" t="s">
        <v>19</v>
      </c>
      <c r="C8073" t="s">
        <v>23490</v>
      </c>
      <c r="D8073" t="str">
        <f>HYPERLINK("https://rhld.insurance.arkansas.gov/NPILookup?Npi=1881319366","1881319366")</f>
        <v>1881319366</v>
      </c>
      <c r="E8073" t="s">
        <v>21671</v>
      </c>
    </row>
    <row r="8074" spans="1:5" x14ac:dyDescent="0.25">
      <c r="A8074" t="s">
        <v>1</v>
      </c>
      <c r="B8074" t="s">
        <v>19</v>
      </c>
      <c r="C8074" t="s">
        <v>23490</v>
      </c>
      <c r="D8074" t="str">
        <f>HYPERLINK("https://rhld.insurance.arkansas.gov/NPILookup?Npi=1881348779","1881348779")</f>
        <v>1881348779</v>
      </c>
      <c r="E8074" t="s">
        <v>20098</v>
      </c>
    </row>
    <row r="8075" spans="1:5" x14ac:dyDescent="0.25">
      <c r="A8075" t="s">
        <v>1</v>
      </c>
      <c r="B8075" t="s">
        <v>19</v>
      </c>
      <c r="C8075" t="s">
        <v>23490</v>
      </c>
      <c r="D8075" t="str">
        <f>HYPERLINK("https://rhld.insurance.arkansas.gov/NPILookup?Npi=1881364875","1881364875")</f>
        <v>1881364875</v>
      </c>
      <c r="E8075" t="s">
        <v>20099</v>
      </c>
    </row>
    <row r="8076" spans="1:5" x14ac:dyDescent="0.25">
      <c r="A8076" t="s">
        <v>1</v>
      </c>
      <c r="B8076" t="s">
        <v>19</v>
      </c>
      <c r="C8076" t="s">
        <v>23490</v>
      </c>
      <c r="D8076" t="str">
        <f>HYPERLINK("https://rhld.insurance.arkansas.gov/NPILookup?Npi=1881620003","1881620003")</f>
        <v>1881620003</v>
      </c>
      <c r="E8076" t="s">
        <v>3083</v>
      </c>
    </row>
    <row r="8077" spans="1:5" x14ac:dyDescent="0.25">
      <c r="A8077" t="s">
        <v>1</v>
      </c>
      <c r="B8077" t="s">
        <v>19</v>
      </c>
      <c r="C8077" t="s">
        <v>23490</v>
      </c>
      <c r="D8077" t="str">
        <f>HYPERLINK("https://rhld.insurance.arkansas.gov/NPILookup?Npi=1881624369","1881624369")</f>
        <v>1881624369</v>
      </c>
      <c r="E8077" t="s">
        <v>8902</v>
      </c>
    </row>
    <row r="8078" spans="1:5" x14ac:dyDescent="0.25">
      <c r="A8078" t="s">
        <v>1</v>
      </c>
      <c r="B8078" t="s">
        <v>19</v>
      </c>
      <c r="C8078" t="s">
        <v>23490</v>
      </c>
      <c r="D8078" t="str">
        <f>HYPERLINK("https://rhld.insurance.arkansas.gov/NPILookup?Npi=1881626331","1881626331")</f>
        <v>1881626331</v>
      </c>
      <c r="E8078" t="s">
        <v>8903</v>
      </c>
    </row>
    <row r="8079" spans="1:5" x14ac:dyDescent="0.25">
      <c r="A8079" t="s">
        <v>1</v>
      </c>
      <c r="B8079" t="s">
        <v>19</v>
      </c>
      <c r="C8079" t="s">
        <v>23490</v>
      </c>
      <c r="D8079" t="str">
        <f>HYPERLINK("https://rhld.insurance.arkansas.gov/NPILookup?Npi=1881630259","1881630259")</f>
        <v>1881630259</v>
      </c>
      <c r="E8079" t="s">
        <v>3085</v>
      </c>
    </row>
    <row r="8080" spans="1:5" x14ac:dyDescent="0.25">
      <c r="A8080" t="s">
        <v>1</v>
      </c>
      <c r="B8080" t="s">
        <v>19</v>
      </c>
      <c r="C8080" t="s">
        <v>23490</v>
      </c>
      <c r="D8080" t="str">
        <f>HYPERLINK("https://rhld.insurance.arkansas.gov/NPILookup?Npi=1881631430","1881631430")</f>
        <v>1881631430</v>
      </c>
      <c r="E8080" t="s">
        <v>3086</v>
      </c>
    </row>
    <row r="8081" spans="1:5" x14ac:dyDescent="0.25">
      <c r="A8081" t="s">
        <v>1</v>
      </c>
      <c r="B8081" t="s">
        <v>19</v>
      </c>
      <c r="C8081" t="s">
        <v>23490</v>
      </c>
      <c r="D8081" t="str">
        <f>HYPERLINK("https://rhld.insurance.arkansas.gov/NPILookup?Npi=1881634103","1881634103")</f>
        <v>1881634103</v>
      </c>
      <c r="E8081" t="s">
        <v>3087</v>
      </c>
    </row>
    <row r="8082" spans="1:5" x14ac:dyDescent="0.25">
      <c r="A8082" t="s">
        <v>1</v>
      </c>
      <c r="B8082" t="s">
        <v>19</v>
      </c>
      <c r="C8082" t="s">
        <v>23490</v>
      </c>
      <c r="D8082" t="str">
        <f>HYPERLINK("https://rhld.insurance.arkansas.gov/NPILookup?Npi=1881646099","1881646099")</f>
        <v>1881646099</v>
      </c>
      <c r="E8082" t="s">
        <v>3088</v>
      </c>
    </row>
    <row r="8083" spans="1:5" x14ac:dyDescent="0.25">
      <c r="A8083" t="s">
        <v>1</v>
      </c>
      <c r="B8083" t="s">
        <v>19</v>
      </c>
      <c r="C8083" t="s">
        <v>23490</v>
      </c>
      <c r="D8083" t="str">
        <f>HYPERLINK("https://rhld.insurance.arkansas.gov/NPILookup?Npi=1881647170","1881647170")</f>
        <v>1881647170</v>
      </c>
      <c r="E8083" t="s">
        <v>15678</v>
      </c>
    </row>
    <row r="8084" spans="1:5" x14ac:dyDescent="0.25">
      <c r="A8084" t="s">
        <v>1</v>
      </c>
      <c r="B8084" t="s">
        <v>19</v>
      </c>
      <c r="C8084" t="s">
        <v>23490</v>
      </c>
      <c r="D8084" t="str">
        <f>HYPERLINK("https://rhld.insurance.arkansas.gov/NPILookup?Npi=1881652592","1881652592")</f>
        <v>1881652592</v>
      </c>
      <c r="E8084" t="s">
        <v>3089</v>
      </c>
    </row>
    <row r="8085" spans="1:5" x14ac:dyDescent="0.25">
      <c r="A8085" t="s">
        <v>1</v>
      </c>
      <c r="B8085" t="s">
        <v>19</v>
      </c>
      <c r="C8085" t="s">
        <v>23490</v>
      </c>
      <c r="D8085" t="str">
        <f>HYPERLINK("https://rhld.insurance.arkansas.gov/NPILookup?Npi=1881654218","1881654218")</f>
        <v>1881654218</v>
      </c>
      <c r="E8085" t="s">
        <v>18166</v>
      </c>
    </row>
    <row r="8086" spans="1:5" x14ac:dyDescent="0.25">
      <c r="A8086" t="s">
        <v>1</v>
      </c>
      <c r="B8086" t="s">
        <v>19</v>
      </c>
      <c r="C8086" t="s">
        <v>23490</v>
      </c>
      <c r="D8086" t="str">
        <f>HYPERLINK("https://rhld.insurance.arkansas.gov/NPILookup?Npi=1881658623","1881658623")</f>
        <v>1881658623</v>
      </c>
      <c r="E8086" t="s">
        <v>3090</v>
      </c>
    </row>
    <row r="8087" spans="1:5" x14ac:dyDescent="0.25">
      <c r="A8087" t="s">
        <v>1</v>
      </c>
      <c r="B8087" t="s">
        <v>19</v>
      </c>
      <c r="C8087" t="s">
        <v>23490</v>
      </c>
      <c r="D8087" t="str">
        <f>HYPERLINK("https://rhld.insurance.arkansas.gov/NPILookup?Npi=1881660058","1881660058")</f>
        <v>1881660058</v>
      </c>
      <c r="E8087" t="s">
        <v>3091</v>
      </c>
    </row>
    <row r="8088" spans="1:5" x14ac:dyDescent="0.25">
      <c r="A8088" t="s">
        <v>1</v>
      </c>
      <c r="B8088" t="s">
        <v>19</v>
      </c>
      <c r="C8088" t="s">
        <v>23490</v>
      </c>
      <c r="D8088" t="str">
        <f>HYPERLINK("https://rhld.insurance.arkansas.gov/NPILookup?Npi=1881660777","1881660777")</f>
        <v>1881660777</v>
      </c>
      <c r="E8088" t="s">
        <v>11353</v>
      </c>
    </row>
    <row r="8089" spans="1:5" x14ac:dyDescent="0.25">
      <c r="A8089" t="s">
        <v>1</v>
      </c>
      <c r="B8089" t="s">
        <v>19</v>
      </c>
      <c r="C8089" t="s">
        <v>23490</v>
      </c>
      <c r="D8089" t="str">
        <f>HYPERLINK("https://rhld.insurance.arkansas.gov/NPILookup?Npi=1881667269","1881667269")</f>
        <v>1881667269</v>
      </c>
      <c r="E8089" t="s">
        <v>11354</v>
      </c>
    </row>
    <row r="8090" spans="1:5" x14ac:dyDescent="0.25">
      <c r="A8090" t="s">
        <v>1</v>
      </c>
      <c r="B8090" t="s">
        <v>19</v>
      </c>
      <c r="C8090" t="s">
        <v>23490</v>
      </c>
      <c r="D8090" t="str">
        <f>HYPERLINK("https://rhld.insurance.arkansas.gov/NPILookup?Npi=1881667921","1881667921")</f>
        <v>1881667921</v>
      </c>
      <c r="E8090" t="s">
        <v>3092</v>
      </c>
    </row>
    <row r="8091" spans="1:5" x14ac:dyDescent="0.25">
      <c r="A8091" t="s">
        <v>1</v>
      </c>
      <c r="B8091" t="s">
        <v>19</v>
      </c>
      <c r="C8091" t="s">
        <v>23490</v>
      </c>
      <c r="D8091" t="str">
        <f>HYPERLINK("https://rhld.insurance.arkansas.gov/NPILookup?Npi=1881672152","1881672152")</f>
        <v>1881672152</v>
      </c>
      <c r="E8091" t="s">
        <v>3093</v>
      </c>
    </row>
    <row r="8092" spans="1:5" x14ac:dyDescent="0.25">
      <c r="A8092" t="s">
        <v>1</v>
      </c>
      <c r="B8092" t="s">
        <v>19</v>
      </c>
      <c r="C8092" t="s">
        <v>23490</v>
      </c>
      <c r="D8092" t="str">
        <f>HYPERLINK("https://rhld.insurance.arkansas.gov/NPILookup?Npi=1881676526","1881676526")</f>
        <v>1881676526</v>
      </c>
      <c r="E8092" t="s">
        <v>3095</v>
      </c>
    </row>
    <row r="8093" spans="1:5" x14ac:dyDescent="0.25">
      <c r="A8093" t="s">
        <v>1</v>
      </c>
      <c r="B8093" t="s">
        <v>19</v>
      </c>
      <c r="C8093" t="s">
        <v>23490</v>
      </c>
      <c r="D8093" t="str">
        <f>HYPERLINK("https://rhld.insurance.arkansas.gov/NPILookup?Npi=1881677797","1881677797")</f>
        <v>1881677797</v>
      </c>
      <c r="E8093" t="s">
        <v>11355</v>
      </c>
    </row>
    <row r="8094" spans="1:5" x14ac:dyDescent="0.25">
      <c r="A8094" t="s">
        <v>1</v>
      </c>
      <c r="B8094" t="s">
        <v>19</v>
      </c>
      <c r="C8094" t="s">
        <v>23490</v>
      </c>
      <c r="D8094" t="str">
        <f>HYPERLINK("https://rhld.insurance.arkansas.gov/NPILookup?Npi=1881681864","1881681864")</f>
        <v>1881681864</v>
      </c>
      <c r="E8094" t="s">
        <v>3096</v>
      </c>
    </row>
    <row r="8095" spans="1:5" x14ac:dyDescent="0.25">
      <c r="A8095" t="s">
        <v>1</v>
      </c>
      <c r="B8095" t="s">
        <v>19</v>
      </c>
      <c r="C8095" t="s">
        <v>23490</v>
      </c>
      <c r="D8095" t="str">
        <f>HYPERLINK("https://rhld.insurance.arkansas.gov/NPILookup?Npi=1881684991","1881684991")</f>
        <v>1881684991</v>
      </c>
      <c r="E8095" t="s">
        <v>13771</v>
      </c>
    </row>
    <row r="8096" spans="1:5" x14ac:dyDescent="0.25">
      <c r="A8096" t="s">
        <v>1</v>
      </c>
      <c r="B8096" t="s">
        <v>19</v>
      </c>
      <c r="C8096" t="s">
        <v>23490</v>
      </c>
      <c r="D8096" t="str">
        <f>HYPERLINK("https://rhld.insurance.arkansas.gov/NPILookup?Npi=1881686962","1881686962")</f>
        <v>1881686962</v>
      </c>
      <c r="E8096" t="s">
        <v>3097</v>
      </c>
    </row>
    <row r="8097" spans="1:5" x14ac:dyDescent="0.25">
      <c r="A8097" t="s">
        <v>1</v>
      </c>
      <c r="B8097" t="s">
        <v>19</v>
      </c>
      <c r="C8097" t="s">
        <v>23490</v>
      </c>
      <c r="D8097" t="str">
        <f>HYPERLINK("https://rhld.insurance.arkansas.gov/NPILookup?Npi=1881689933","1881689933")</f>
        <v>1881689933</v>
      </c>
      <c r="E8097" t="s">
        <v>15679</v>
      </c>
    </row>
    <row r="8098" spans="1:5" x14ac:dyDescent="0.25">
      <c r="A8098" t="s">
        <v>1</v>
      </c>
      <c r="B8098" t="s">
        <v>19</v>
      </c>
      <c r="C8098" t="s">
        <v>23490</v>
      </c>
      <c r="D8098" t="str">
        <f>HYPERLINK("https://rhld.insurance.arkansas.gov/NPILookup?Npi=1881690477","1881690477")</f>
        <v>1881690477</v>
      </c>
      <c r="E8098" t="s">
        <v>3098</v>
      </c>
    </row>
    <row r="8099" spans="1:5" x14ac:dyDescent="0.25">
      <c r="A8099" t="s">
        <v>1</v>
      </c>
      <c r="B8099" t="s">
        <v>19</v>
      </c>
      <c r="C8099" t="s">
        <v>23490</v>
      </c>
      <c r="D8099" t="str">
        <f>HYPERLINK("https://rhld.insurance.arkansas.gov/NPILookup?Npi=1881699353","1881699353")</f>
        <v>1881699353</v>
      </c>
      <c r="E8099" t="s">
        <v>3099</v>
      </c>
    </row>
    <row r="8100" spans="1:5" x14ac:dyDescent="0.25">
      <c r="A8100" t="s">
        <v>1</v>
      </c>
      <c r="B8100" t="s">
        <v>19</v>
      </c>
      <c r="C8100" t="s">
        <v>23490</v>
      </c>
      <c r="D8100" t="str">
        <f>HYPERLINK("https://rhld.insurance.arkansas.gov/NPILookup?Npi=1881720407","1881720407")</f>
        <v>1881720407</v>
      </c>
      <c r="E8100" t="s">
        <v>3100</v>
      </c>
    </row>
    <row r="8101" spans="1:5" x14ac:dyDescent="0.25">
      <c r="A8101" t="s">
        <v>1</v>
      </c>
      <c r="B8101" t="s">
        <v>19</v>
      </c>
      <c r="C8101" t="s">
        <v>23490</v>
      </c>
      <c r="D8101" t="str">
        <f>HYPERLINK("https://rhld.insurance.arkansas.gov/NPILookup?Npi=1881725125","1881725125")</f>
        <v>1881725125</v>
      </c>
      <c r="E8101" t="s">
        <v>8904</v>
      </c>
    </row>
    <row r="8102" spans="1:5" x14ac:dyDescent="0.25">
      <c r="A8102" t="s">
        <v>1</v>
      </c>
      <c r="B8102" t="s">
        <v>19</v>
      </c>
      <c r="C8102" t="s">
        <v>23490</v>
      </c>
      <c r="D8102" t="str">
        <f>HYPERLINK("https://rhld.insurance.arkansas.gov/NPILookup?Npi=1881725976","1881725976")</f>
        <v>1881725976</v>
      </c>
      <c r="E8102" t="s">
        <v>15508</v>
      </c>
    </row>
    <row r="8103" spans="1:5" x14ac:dyDescent="0.25">
      <c r="A8103" t="s">
        <v>1</v>
      </c>
      <c r="B8103" t="s">
        <v>19</v>
      </c>
      <c r="C8103" t="s">
        <v>23490</v>
      </c>
      <c r="D8103" t="str">
        <f>HYPERLINK("https://rhld.insurance.arkansas.gov/NPILookup?Npi=1881734440","1881734440")</f>
        <v>1881734440</v>
      </c>
      <c r="E8103" t="s">
        <v>11356</v>
      </c>
    </row>
    <row r="8104" spans="1:5" x14ac:dyDescent="0.25">
      <c r="A8104" t="s">
        <v>1</v>
      </c>
      <c r="B8104" t="s">
        <v>19</v>
      </c>
      <c r="C8104" t="s">
        <v>23490</v>
      </c>
      <c r="D8104" t="str">
        <f>HYPERLINK("https://rhld.insurance.arkansas.gov/NPILookup?Npi=1881773216","1881773216")</f>
        <v>1881773216</v>
      </c>
      <c r="E8104" t="s">
        <v>3101</v>
      </c>
    </row>
    <row r="8105" spans="1:5" x14ac:dyDescent="0.25">
      <c r="A8105" t="s">
        <v>1</v>
      </c>
      <c r="B8105" t="s">
        <v>19</v>
      </c>
      <c r="C8105" t="s">
        <v>23490</v>
      </c>
      <c r="D8105" t="str">
        <f>HYPERLINK("https://rhld.insurance.arkansas.gov/NPILookup?Npi=1881784445","1881784445")</f>
        <v>1881784445</v>
      </c>
      <c r="E8105" t="s">
        <v>21672</v>
      </c>
    </row>
    <row r="8106" spans="1:5" x14ac:dyDescent="0.25">
      <c r="A8106" t="s">
        <v>1</v>
      </c>
      <c r="B8106" t="s">
        <v>19</v>
      </c>
      <c r="C8106" t="s">
        <v>23490</v>
      </c>
      <c r="D8106" t="str">
        <f>HYPERLINK("https://rhld.insurance.arkansas.gov/NPILookup?Npi=1881788453","1881788453")</f>
        <v>1881788453</v>
      </c>
      <c r="E8106" t="s">
        <v>3102</v>
      </c>
    </row>
    <row r="8107" spans="1:5" x14ac:dyDescent="0.25">
      <c r="A8107" t="s">
        <v>1</v>
      </c>
      <c r="B8107" t="s">
        <v>19</v>
      </c>
      <c r="C8107" t="s">
        <v>23490</v>
      </c>
      <c r="D8107" t="str">
        <f>HYPERLINK("https://rhld.insurance.arkansas.gov/NPILookup?Npi=1881815017","1881815017")</f>
        <v>1881815017</v>
      </c>
      <c r="E8107" t="s">
        <v>3103</v>
      </c>
    </row>
    <row r="8108" spans="1:5" x14ac:dyDescent="0.25">
      <c r="A8108" t="s">
        <v>1</v>
      </c>
      <c r="B8108" t="s">
        <v>19</v>
      </c>
      <c r="C8108" t="s">
        <v>23490</v>
      </c>
      <c r="D8108" t="str">
        <f>HYPERLINK("https://rhld.insurance.arkansas.gov/NPILookup?Npi=1881845758","1881845758")</f>
        <v>1881845758</v>
      </c>
      <c r="E8108" t="s">
        <v>3104</v>
      </c>
    </row>
    <row r="8109" spans="1:5" x14ac:dyDescent="0.25">
      <c r="A8109" t="s">
        <v>1</v>
      </c>
      <c r="B8109" t="s">
        <v>19</v>
      </c>
      <c r="C8109" t="s">
        <v>23490</v>
      </c>
      <c r="D8109" t="str">
        <f>HYPERLINK("https://rhld.insurance.arkansas.gov/NPILookup?Npi=1881850345","1881850345")</f>
        <v>1881850345</v>
      </c>
      <c r="E8109" t="s">
        <v>8905</v>
      </c>
    </row>
    <row r="8110" spans="1:5" x14ac:dyDescent="0.25">
      <c r="A8110" t="s">
        <v>1</v>
      </c>
      <c r="B8110" t="s">
        <v>19</v>
      </c>
      <c r="C8110" t="s">
        <v>23490</v>
      </c>
      <c r="D8110" t="str">
        <f>HYPERLINK("https://rhld.insurance.arkansas.gov/NPILookup?Npi=1881859353","1881859353")</f>
        <v>1881859353</v>
      </c>
      <c r="E8110" t="s">
        <v>18167</v>
      </c>
    </row>
    <row r="8111" spans="1:5" x14ac:dyDescent="0.25">
      <c r="A8111" t="s">
        <v>1</v>
      </c>
      <c r="B8111" t="s">
        <v>19</v>
      </c>
      <c r="C8111" t="s">
        <v>23490</v>
      </c>
      <c r="D8111" t="str">
        <f>HYPERLINK("https://rhld.insurance.arkansas.gov/NPILookup?Npi=1881874394","1881874394")</f>
        <v>1881874394</v>
      </c>
      <c r="E8111" t="s">
        <v>3105</v>
      </c>
    </row>
    <row r="8112" spans="1:5" x14ac:dyDescent="0.25">
      <c r="A8112" t="s">
        <v>1</v>
      </c>
      <c r="B8112" t="s">
        <v>19</v>
      </c>
      <c r="C8112" t="s">
        <v>23490</v>
      </c>
      <c r="D8112" t="str">
        <f>HYPERLINK("https://rhld.insurance.arkansas.gov/NPILookup?Npi=1881878064","1881878064")</f>
        <v>1881878064</v>
      </c>
      <c r="E8112" t="s">
        <v>3106</v>
      </c>
    </row>
    <row r="8113" spans="1:5" x14ac:dyDescent="0.25">
      <c r="A8113" t="s">
        <v>1</v>
      </c>
      <c r="B8113" t="s">
        <v>19</v>
      </c>
      <c r="C8113" t="s">
        <v>23490</v>
      </c>
      <c r="D8113" t="str">
        <f>HYPERLINK("https://rhld.insurance.arkansas.gov/NPILookup?Npi=1881886638","1881886638")</f>
        <v>1881886638</v>
      </c>
      <c r="E8113" t="s">
        <v>20100</v>
      </c>
    </row>
    <row r="8114" spans="1:5" x14ac:dyDescent="0.25">
      <c r="A8114" t="s">
        <v>1</v>
      </c>
      <c r="B8114" t="s">
        <v>19</v>
      </c>
      <c r="C8114" t="s">
        <v>23490</v>
      </c>
      <c r="D8114" t="str">
        <f>HYPERLINK("https://rhld.insurance.arkansas.gov/NPILookup?Npi=1881888980","1881888980")</f>
        <v>1881888980</v>
      </c>
      <c r="E8114" t="s">
        <v>8906</v>
      </c>
    </row>
    <row r="8115" spans="1:5" x14ac:dyDescent="0.25">
      <c r="A8115" t="s">
        <v>1</v>
      </c>
      <c r="B8115" t="s">
        <v>19</v>
      </c>
      <c r="C8115" t="s">
        <v>23490</v>
      </c>
      <c r="D8115" t="str">
        <f>HYPERLINK("https://rhld.insurance.arkansas.gov/NPILookup?Npi=1881892065","1881892065")</f>
        <v>1881892065</v>
      </c>
      <c r="E8115" t="s">
        <v>3107</v>
      </c>
    </row>
    <row r="8116" spans="1:5" x14ac:dyDescent="0.25">
      <c r="A8116" t="s">
        <v>1</v>
      </c>
      <c r="B8116" t="s">
        <v>19</v>
      </c>
      <c r="C8116" t="s">
        <v>23490</v>
      </c>
      <c r="D8116" t="str">
        <f>HYPERLINK("https://rhld.insurance.arkansas.gov/NPILookup?Npi=1881899771","1881899771")</f>
        <v>1881899771</v>
      </c>
      <c r="E8116" t="s">
        <v>3108</v>
      </c>
    </row>
    <row r="8117" spans="1:5" x14ac:dyDescent="0.25">
      <c r="A8117" t="s">
        <v>1</v>
      </c>
      <c r="B8117" t="s">
        <v>19</v>
      </c>
      <c r="C8117" t="s">
        <v>23490</v>
      </c>
      <c r="D8117" t="str">
        <f>HYPERLINK("https://rhld.insurance.arkansas.gov/NPILookup?Npi=1881936797","1881936797")</f>
        <v>1881936797</v>
      </c>
      <c r="E8117" t="s">
        <v>17046</v>
      </c>
    </row>
    <row r="8118" spans="1:5" x14ac:dyDescent="0.25">
      <c r="A8118" t="s">
        <v>1</v>
      </c>
      <c r="B8118" t="s">
        <v>19</v>
      </c>
      <c r="C8118" t="s">
        <v>23490</v>
      </c>
      <c r="D8118" t="str">
        <f>HYPERLINK("https://rhld.insurance.arkansas.gov/NPILookup?Npi=1881941417","1881941417")</f>
        <v>1881941417</v>
      </c>
      <c r="E8118" t="s">
        <v>3109</v>
      </c>
    </row>
    <row r="8119" spans="1:5" x14ac:dyDescent="0.25">
      <c r="A8119" t="s">
        <v>1</v>
      </c>
      <c r="B8119" t="s">
        <v>19</v>
      </c>
      <c r="C8119" t="s">
        <v>23490</v>
      </c>
      <c r="D8119" t="str">
        <f>HYPERLINK("https://rhld.insurance.arkansas.gov/NPILookup?Npi=1881948529","1881948529")</f>
        <v>1881948529</v>
      </c>
      <c r="E8119" t="s">
        <v>15680</v>
      </c>
    </row>
    <row r="8120" spans="1:5" x14ac:dyDescent="0.25">
      <c r="A8120" t="s">
        <v>1</v>
      </c>
      <c r="B8120" t="s">
        <v>19</v>
      </c>
      <c r="C8120" t="s">
        <v>23490</v>
      </c>
      <c r="D8120" t="str">
        <f>HYPERLINK("https://rhld.insurance.arkansas.gov/NPILookup?Npi=1881954469","1881954469")</f>
        <v>1881954469</v>
      </c>
      <c r="E8120" t="s">
        <v>15681</v>
      </c>
    </row>
    <row r="8121" spans="1:5" x14ac:dyDescent="0.25">
      <c r="A8121" t="s">
        <v>1</v>
      </c>
      <c r="B8121" t="s">
        <v>19</v>
      </c>
      <c r="C8121" t="s">
        <v>23490</v>
      </c>
      <c r="D8121" t="str">
        <f>HYPERLINK("https://rhld.insurance.arkansas.gov/NPILookup?Npi=1881958288","1881958288")</f>
        <v>1881958288</v>
      </c>
      <c r="E8121" t="s">
        <v>15682</v>
      </c>
    </row>
    <row r="8122" spans="1:5" x14ac:dyDescent="0.25">
      <c r="A8122" t="s">
        <v>1</v>
      </c>
      <c r="B8122" t="s">
        <v>19</v>
      </c>
      <c r="C8122" t="s">
        <v>23490</v>
      </c>
      <c r="D8122" t="str">
        <f>HYPERLINK("https://rhld.insurance.arkansas.gov/NPILookup?Npi=1881962686","1881962686")</f>
        <v>1881962686</v>
      </c>
      <c r="E8122" t="s">
        <v>8908</v>
      </c>
    </row>
    <row r="8123" spans="1:5" x14ac:dyDescent="0.25">
      <c r="A8123" t="s">
        <v>1</v>
      </c>
      <c r="B8123" t="s">
        <v>19</v>
      </c>
      <c r="C8123" t="s">
        <v>23490</v>
      </c>
      <c r="D8123" t="str">
        <f>HYPERLINK("https://rhld.insurance.arkansas.gov/NPILookup?Npi=1881983112","1881983112")</f>
        <v>1881983112</v>
      </c>
      <c r="E8123" t="s">
        <v>3110</v>
      </c>
    </row>
    <row r="8124" spans="1:5" x14ac:dyDescent="0.25">
      <c r="A8124" t="s">
        <v>1</v>
      </c>
      <c r="B8124" t="s">
        <v>19</v>
      </c>
      <c r="C8124" t="s">
        <v>23490</v>
      </c>
      <c r="D8124" t="str">
        <f>HYPERLINK("https://rhld.insurance.arkansas.gov/NPILookup?Npi=1881994440","1881994440")</f>
        <v>1881994440</v>
      </c>
      <c r="E8124" t="s">
        <v>3111</v>
      </c>
    </row>
    <row r="8125" spans="1:5" x14ac:dyDescent="0.25">
      <c r="A8125" t="s">
        <v>1</v>
      </c>
      <c r="B8125" t="s">
        <v>19</v>
      </c>
      <c r="C8125" t="s">
        <v>23490</v>
      </c>
      <c r="D8125" t="str">
        <f>HYPERLINK("https://rhld.insurance.arkansas.gov/NPILookup?Npi=1891015442","1891015442")</f>
        <v>1891015442</v>
      </c>
      <c r="E8125" t="s">
        <v>3112</v>
      </c>
    </row>
    <row r="8126" spans="1:5" x14ac:dyDescent="0.25">
      <c r="A8126" t="s">
        <v>1</v>
      </c>
      <c r="B8126" t="s">
        <v>19</v>
      </c>
      <c r="C8126" t="s">
        <v>23490</v>
      </c>
      <c r="D8126" t="str">
        <f>HYPERLINK("https://rhld.insurance.arkansas.gov/NPILookup?Npi=1891015467","1891015467")</f>
        <v>1891015467</v>
      </c>
      <c r="E8126" t="s">
        <v>20101</v>
      </c>
    </row>
    <row r="8127" spans="1:5" x14ac:dyDescent="0.25">
      <c r="A8127" t="s">
        <v>1</v>
      </c>
      <c r="B8127" t="s">
        <v>19</v>
      </c>
      <c r="C8127" t="s">
        <v>23490</v>
      </c>
      <c r="D8127" t="str">
        <f>HYPERLINK("https://rhld.insurance.arkansas.gov/NPILookup?Npi=1891016291","1891016291")</f>
        <v>1891016291</v>
      </c>
      <c r="E8127" t="s">
        <v>17047</v>
      </c>
    </row>
    <row r="8128" spans="1:5" x14ac:dyDescent="0.25">
      <c r="A8128" t="s">
        <v>1</v>
      </c>
      <c r="B8128" t="s">
        <v>19</v>
      </c>
      <c r="C8128" t="s">
        <v>23490</v>
      </c>
      <c r="D8128" t="str">
        <f>HYPERLINK("https://rhld.insurance.arkansas.gov/NPILookup?Npi=1891018370","1891018370")</f>
        <v>1891018370</v>
      </c>
      <c r="E8128" t="s">
        <v>3113</v>
      </c>
    </row>
    <row r="8129" spans="1:5" x14ac:dyDescent="0.25">
      <c r="A8129" t="s">
        <v>1</v>
      </c>
      <c r="B8129" t="s">
        <v>19</v>
      </c>
      <c r="C8129" t="s">
        <v>23490</v>
      </c>
      <c r="D8129" t="str">
        <f>HYPERLINK("https://rhld.insurance.arkansas.gov/NPILookup?Npi=1891019774","1891019774")</f>
        <v>1891019774</v>
      </c>
      <c r="E8129" t="s">
        <v>3114</v>
      </c>
    </row>
    <row r="8130" spans="1:5" x14ac:dyDescent="0.25">
      <c r="A8130" t="s">
        <v>1</v>
      </c>
      <c r="B8130" t="s">
        <v>19</v>
      </c>
      <c r="C8130" t="s">
        <v>23490</v>
      </c>
      <c r="D8130" t="str">
        <f>HYPERLINK("https://rhld.insurance.arkansas.gov/NPILookup?Npi=1891020871","1891020871")</f>
        <v>1891020871</v>
      </c>
      <c r="E8130" t="s">
        <v>3115</v>
      </c>
    </row>
    <row r="8131" spans="1:5" x14ac:dyDescent="0.25">
      <c r="A8131" t="s">
        <v>1</v>
      </c>
      <c r="B8131" t="s">
        <v>19</v>
      </c>
      <c r="C8131" t="s">
        <v>23490</v>
      </c>
      <c r="D8131" t="str">
        <f>HYPERLINK("https://rhld.insurance.arkansas.gov/NPILookup?Npi=1891035044","1891035044")</f>
        <v>1891035044</v>
      </c>
      <c r="E8131" t="s">
        <v>3116</v>
      </c>
    </row>
    <row r="8132" spans="1:5" x14ac:dyDescent="0.25">
      <c r="A8132" t="s">
        <v>1</v>
      </c>
      <c r="B8132" t="s">
        <v>19</v>
      </c>
      <c r="C8132" t="s">
        <v>23490</v>
      </c>
      <c r="D8132" t="str">
        <f>HYPERLINK("https://rhld.insurance.arkansas.gov/NPILookup?Npi=1891043105","1891043105")</f>
        <v>1891043105</v>
      </c>
      <c r="E8132" t="s">
        <v>3117</v>
      </c>
    </row>
    <row r="8133" spans="1:5" x14ac:dyDescent="0.25">
      <c r="A8133" t="s">
        <v>1</v>
      </c>
      <c r="B8133" t="s">
        <v>19</v>
      </c>
      <c r="C8133" t="s">
        <v>23490</v>
      </c>
      <c r="D8133" t="str">
        <f>HYPERLINK("https://rhld.insurance.arkansas.gov/NPILookup?Npi=1891057691","1891057691")</f>
        <v>1891057691</v>
      </c>
      <c r="E8133" t="s">
        <v>8909</v>
      </c>
    </row>
    <row r="8134" spans="1:5" x14ac:dyDescent="0.25">
      <c r="A8134" t="s">
        <v>1</v>
      </c>
      <c r="B8134" t="s">
        <v>19</v>
      </c>
      <c r="C8134" t="s">
        <v>23490</v>
      </c>
      <c r="D8134" t="str">
        <f>HYPERLINK("https://rhld.insurance.arkansas.gov/NPILookup?Npi=1891057964","1891057964")</f>
        <v>1891057964</v>
      </c>
      <c r="E8134" t="s">
        <v>15683</v>
      </c>
    </row>
    <row r="8135" spans="1:5" x14ac:dyDescent="0.25">
      <c r="A8135" t="s">
        <v>1</v>
      </c>
      <c r="B8135" t="s">
        <v>19</v>
      </c>
      <c r="C8135" t="s">
        <v>23490</v>
      </c>
      <c r="D8135" t="str">
        <f>HYPERLINK("https://rhld.insurance.arkansas.gov/NPILookup?Npi=1891071478","1891071478")</f>
        <v>1891071478</v>
      </c>
      <c r="E8135" t="s">
        <v>3118</v>
      </c>
    </row>
    <row r="8136" spans="1:5" x14ac:dyDescent="0.25">
      <c r="A8136" t="s">
        <v>1</v>
      </c>
      <c r="B8136" t="s">
        <v>19</v>
      </c>
      <c r="C8136" t="s">
        <v>23490</v>
      </c>
      <c r="D8136" t="str">
        <f>HYPERLINK("https://rhld.insurance.arkansas.gov/NPILookup?Npi=1891074308","1891074308")</f>
        <v>1891074308</v>
      </c>
      <c r="E8136" t="s">
        <v>3119</v>
      </c>
    </row>
    <row r="8137" spans="1:5" x14ac:dyDescent="0.25">
      <c r="A8137" t="s">
        <v>1</v>
      </c>
      <c r="B8137" t="s">
        <v>19</v>
      </c>
      <c r="C8137" t="s">
        <v>23490</v>
      </c>
      <c r="D8137" t="str">
        <f>HYPERLINK("https://rhld.insurance.arkansas.gov/NPILookup?Npi=1891084943","1891084943")</f>
        <v>1891084943</v>
      </c>
      <c r="E8137" t="s">
        <v>15684</v>
      </c>
    </row>
    <row r="8138" spans="1:5" x14ac:dyDescent="0.25">
      <c r="A8138" t="s">
        <v>1</v>
      </c>
      <c r="B8138" t="s">
        <v>19</v>
      </c>
      <c r="C8138" t="s">
        <v>23490</v>
      </c>
      <c r="D8138" t="str">
        <f>HYPERLINK("https://rhld.insurance.arkansas.gov/NPILookup?Npi=1891090262","1891090262")</f>
        <v>1891090262</v>
      </c>
      <c r="E8138" t="s">
        <v>20102</v>
      </c>
    </row>
    <row r="8139" spans="1:5" x14ac:dyDescent="0.25">
      <c r="A8139" t="s">
        <v>1</v>
      </c>
      <c r="B8139" t="s">
        <v>19</v>
      </c>
      <c r="C8139" t="s">
        <v>23490</v>
      </c>
      <c r="D8139" t="str">
        <f>HYPERLINK("https://rhld.insurance.arkansas.gov/NPILookup?Npi=1891094272","1891094272")</f>
        <v>1891094272</v>
      </c>
      <c r="E8139" t="s">
        <v>8654</v>
      </c>
    </row>
    <row r="8140" spans="1:5" x14ac:dyDescent="0.25">
      <c r="A8140" t="s">
        <v>1</v>
      </c>
      <c r="B8140" t="s">
        <v>19</v>
      </c>
      <c r="C8140" t="s">
        <v>23490</v>
      </c>
      <c r="D8140" t="str">
        <f>HYPERLINK("https://rhld.insurance.arkansas.gov/NPILookup?Npi=1891103073","1891103073")</f>
        <v>1891103073</v>
      </c>
      <c r="E8140" t="s">
        <v>18168</v>
      </c>
    </row>
    <row r="8141" spans="1:5" x14ac:dyDescent="0.25">
      <c r="A8141" t="s">
        <v>1</v>
      </c>
      <c r="B8141" t="s">
        <v>19</v>
      </c>
      <c r="C8141" t="s">
        <v>23490</v>
      </c>
      <c r="D8141" t="str">
        <f>HYPERLINK("https://rhld.insurance.arkansas.gov/NPILookup?Npi=1891105136","1891105136")</f>
        <v>1891105136</v>
      </c>
      <c r="E8141" t="s">
        <v>12932</v>
      </c>
    </row>
    <row r="8142" spans="1:5" x14ac:dyDescent="0.25">
      <c r="A8142" t="s">
        <v>1</v>
      </c>
      <c r="B8142" t="s">
        <v>19</v>
      </c>
      <c r="C8142" t="s">
        <v>23490</v>
      </c>
      <c r="D8142" t="str">
        <f>HYPERLINK("https://rhld.insurance.arkansas.gov/NPILookup?Npi=1891106936","1891106936")</f>
        <v>1891106936</v>
      </c>
      <c r="E8142" t="s">
        <v>15685</v>
      </c>
    </row>
    <row r="8143" spans="1:5" x14ac:dyDescent="0.25">
      <c r="A8143" t="s">
        <v>1</v>
      </c>
      <c r="B8143" t="s">
        <v>19</v>
      </c>
      <c r="C8143" t="s">
        <v>23490</v>
      </c>
      <c r="D8143" t="str">
        <f>HYPERLINK("https://rhld.insurance.arkansas.gov/NPILookup?Npi=1891115663","1891115663")</f>
        <v>1891115663</v>
      </c>
      <c r="E8143" t="s">
        <v>15686</v>
      </c>
    </row>
    <row r="8144" spans="1:5" x14ac:dyDescent="0.25">
      <c r="A8144" t="s">
        <v>1</v>
      </c>
      <c r="B8144" t="s">
        <v>19</v>
      </c>
      <c r="C8144" t="s">
        <v>23490</v>
      </c>
      <c r="D8144" t="str">
        <f>HYPERLINK("https://rhld.insurance.arkansas.gov/NPILookup?Npi=1891115945","1891115945")</f>
        <v>1891115945</v>
      </c>
      <c r="E8144" t="s">
        <v>13772</v>
      </c>
    </row>
    <row r="8145" spans="1:5" x14ac:dyDescent="0.25">
      <c r="A8145" t="s">
        <v>1</v>
      </c>
      <c r="B8145" t="s">
        <v>19</v>
      </c>
      <c r="C8145" t="s">
        <v>23490</v>
      </c>
      <c r="D8145" t="str">
        <f>HYPERLINK("https://rhld.insurance.arkansas.gov/NPILookup?Npi=1891131157","1891131157")</f>
        <v>1891131157</v>
      </c>
      <c r="E8145" t="s">
        <v>8910</v>
      </c>
    </row>
    <row r="8146" spans="1:5" x14ac:dyDescent="0.25">
      <c r="A8146" t="s">
        <v>1</v>
      </c>
      <c r="B8146" t="s">
        <v>19</v>
      </c>
      <c r="C8146" t="s">
        <v>23490</v>
      </c>
      <c r="D8146" t="str">
        <f>HYPERLINK("https://rhld.insurance.arkansas.gov/NPILookup?Npi=1891138848","1891138848")</f>
        <v>1891138848</v>
      </c>
      <c r="E8146" t="s">
        <v>15687</v>
      </c>
    </row>
    <row r="8147" spans="1:5" x14ac:dyDescent="0.25">
      <c r="A8147" t="s">
        <v>1</v>
      </c>
      <c r="B8147" t="s">
        <v>19</v>
      </c>
      <c r="C8147" t="s">
        <v>23490</v>
      </c>
      <c r="D8147" t="str">
        <f>HYPERLINK("https://rhld.insurance.arkansas.gov/NPILookup?Npi=1891155222","1891155222")</f>
        <v>1891155222</v>
      </c>
      <c r="E8147" t="s">
        <v>8911</v>
      </c>
    </row>
    <row r="8148" spans="1:5" x14ac:dyDescent="0.25">
      <c r="A8148" t="s">
        <v>1</v>
      </c>
      <c r="B8148" t="s">
        <v>19</v>
      </c>
      <c r="C8148" t="s">
        <v>23490</v>
      </c>
      <c r="D8148" t="str">
        <f>HYPERLINK("https://rhld.insurance.arkansas.gov/NPILookup?Npi=1891165817","1891165817")</f>
        <v>1891165817</v>
      </c>
      <c r="E8148" t="s">
        <v>3120</v>
      </c>
    </row>
    <row r="8149" spans="1:5" x14ac:dyDescent="0.25">
      <c r="A8149" t="s">
        <v>1</v>
      </c>
      <c r="B8149" t="s">
        <v>19</v>
      </c>
      <c r="C8149" t="s">
        <v>23490</v>
      </c>
      <c r="D8149" t="str">
        <f>HYPERLINK("https://rhld.insurance.arkansas.gov/NPILookup?Npi=1891170676","1891170676")</f>
        <v>1891170676</v>
      </c>
      <c r="E8149" t="s">
        <v>3121</v>
      </c>
    </row>
    <row r="8150" spans="1:5" x14ac:dyDescent="0.25">
      <c r="A8150" t="s">
        <v>1</v>
      </c>
      <c r="B8150" t="s">
        <v>19</v>
      </c>
      <c r="C8150" t="s">
        <v>23490</v>
      </c>
      <c r="D8150" t="str">
        <f>HYPERLINK("https://rhld.insurance.arkansas.gov/NPILookup?Npi=1891174397","1891174397")</f>
        <v>1891174397</v>
      </c>
      <c r="E8150" t="s">
        <v>20103</v>
      </c>
    </row>
    <row r="8151" spans="1:5" x14ac:dyDescent="0.25">
      <c r="A8151" t="s">
        <v>1</v>
      </c>
      <c r="B8151" t="s">
        <v>19</v>
      </c>
      <c r="C8151" t="s">
        <v>23490</v>
      </c>
      <c r="D8151" t="str">
        <f>HYPERLINK("https://rhld.insurance.arkansas.gov/NPILookup?Npi=1891186854","1891186854")</f>
        <v>1891186854</v>
      </c>
      <c r="E8151" t="s">
        <v>19237</v>
      </c>
    </row>
    <row r="8152" spans="1:5" x14ac:dyDescent="0.25">
      <c r="A8152" t="s">
        <v>1</v>
      </c>
      <c r="B8152" t="s">
        <v>19</v>
      </c>
      <c r="C8152" t="s">
        <v>23490</v>
      </c>
      <c r="D8152" t="str">
        <f>HYPERLINK("https://rhld.insurance.arkansas.gov/NPILookup?Npi=1891186912","1891186912")</f>
        <v>1891186912</v>
      </c>
      <c r="E8152" t="s">
        <v>8912</v>
      </c>
    </row>
    <row r="8153" spans="1:5" x14ac:dyDescent="0.25">
      <c r="A8153" t="s">
        <v>1</v>
      </c>
      <c r="B8153" t="s">
        <v>19</v>
      </c>
      <c r="C8153" t="s">
        <v>23490</v>
      </c>
      <c r="D8153" t="str">
        <f>HYPERLINK("https://rhld.insurance.arkansas.gov/NPILookup?Npi=1891201588","1891201588")</f>
        <v>1891201588</v>
      </c>
      <c r="E8153" t="s">
        <v>12933</v>
      </c>
    </row>
    <row r="8154" spans="1:5" x14ac:dyDescent="0.25">
      <c r="A8154" t="s">
        <v>1</v>
      </c>
      <c r="B8154" t="s">
        <v>19</v>
      </c>
      <c r="C8154" t="s">
        <v>23490</v>
      </c>
      <c r="D8154" t="str">
        <f>HYPERLINK("https://rhld.insurance.arkansas.gov/NPILookup?Npi=1891238408","1891238408")</f>
        <v>1891238408</v>
      </c>
      <c r="E8154" t="s">
        <v>11357</v>
      </c>
    </row>
    <row r="8155" spans="1:5" x14ac:dyDescent="0.25">
      <c r="A8155" t="s">
        <v>1</v>
      </c>
      <c r="B8155" t="s">
        <v>19</v>
      </c>
      <c r="C8155" t="s">
        <v>23490</v>
      </c>
      <c r="D8155" t="str">
        <f>HYPERLINK("https://rhld.insurance.arkansas.gov/NPILookup?Npi=1891249389","1891249389")</f>
        <v>1891249389</v>
      </c>
      <c r="E8155" t="s">
        <v>11358</v>
      </c>
    </row>
    <row r="8156" spans="1:5" x14ac:dyDescent="0.25">
      <c r="A8156" t="s">
        <v>1</v>
      </c>
      <c r="B8156" t="s">
        <v>19</v>
      </c>
      <c r="C8156" t="s">
        <v>23490</v>
      </c>
      <c r="D8156" t="str">
        <f>HYPERLINK("https://rhld.insurance.arkansas.gov/NPILookup?Npi=1891249645","1891249645")</f>
        <v>1891249645</v>
      </c>
      <c r="E8156" t="s">
        <v>1905</v>
      </c>
    </row>
    <row r="8157" spans="1:5" x14ac:dyDescent="0.25">
      <c r="A8157" t="s">
        <v>1</v>
      </c>
      <c r="B8157" t="s">
        <v>19</v>
      </c>
      <c r="C8157" t="s">
        <v>23490</v>
      </c>
      <c r="D8157" t="str">
        <f>HYPERLINK("https://rhld.insurance.arkansas.gov/NPILookup?Npi=1891259651","1891259651")</f>
        <v>1891259651</v>
      </c>
      <c r="E8157" t="s">
        <v>20104</v>
      </c>
    </row>
    <row r="8158" spans="1:5" x14ac:dyDescent="0.25">
      <c r="A8158" t="s">
        <v>1</v>
      </c>
      <c r="B8158" t="s">
        <v>19</v>
      </c>
      <c r="C8158" t="s">
        <v>23490</v>
      </c>
      <c r="D8158" t="str">
        <f>HYPERLINK("https://rhld.insurance.arkansas.gov/NPILookup?Npi=1891273652","1891273652")</f>
        <v>1891273652</v>
      </c>
      <c r="E8158" t="s">
        <v>15688</v>
      </c>
    </row>
    <row r="8159" spans="1:5" x14ac:dyDescent="0.25">
      <c r="A8159" t="s">
        <v>1</v>
      </c>
      <c r="B8159" t="s">
        <v>19</v>
      </c>
      <c r="C8159" t="s">
        <v>23490</v>
      </c>
      <c r="D8159" t="str">
        <f>HYPERLINK("https://rhld.insurance.arkansas.gov/NPILookup?Npi=1891281622","1891281622")</f>
        <v>1891281622</v>
      </c>
      <c r="E8159" t="s">
        <v>13773</v>
      </c>
    </row>
    <row r="8160" spans="1:5" x14ac:dyDescent="0.25">
      <c r="A8160" t="s">
        <v>1</v>
      </c>
      <c r="B8160" t="s">
        <v>19</v>
      </c>
      <c r="C8160" t="s">
        <v>23490</v>
      </c>
      <c r="D8160" t="str">
        <f>HYPERLINK("https://rhld.insurance.arkansas.gov/NPILookup?Npi=1891291829","1891291829")</f>
        <v>1891291829</v>
      </c>
      <c r="E8160" t="s">
        <v>20105</v>
      </c>
    </row>
    <row r="8161" spans="1:5" x14ac:dyDescent="0.25">
      <c r="A8161" t="s">
        <v>1</v>
      </c>
      <c r="B8161" t="s">
        <v>19</v>
      </c>
      <c r="C8161" t="s">
        <v>23490</v>
      </c>
      <c r="D8161" t="str">
        <f>HYPERLINK("https://rhld.insurance.arkansas.gov/NPILookup?Npi=1891294443","1891294443")</f>
        <v>1891294443</v>
      </c>
      <c r="E8161" t="s">
        <v>8338</v>
      </c>
    </row>
    <row r="8162" spans="1:5" x14ac:dyDescent="0.25">
      <c r="A8162" t="s">
        <v>1</v>
      </c>
      <c r="B8162" t="s">
        <v>19</v>
      </c>
      <c r="C8162" t="s">
        <v>23490</v>
      </c>
      <c r="D8162" t="str">
        <f>HYPERLINK("https://rhld.insurance.arkansas.gov/NPILookup?Npi=1891301818","1891301818")</f>
        <v>1891301818</v>
      </c>
      <c r="E8162" t="s">
        <v>18169</v>
      </c>
    </row>
    <row r="8163" spans="1:5" x14ac:dyDescent="0.25">
      <c r="A8163" t="s">
        <v>1</v>
      </c>
      <c r="B8163" t="s">
        <v>19</v>
      </c>
      <c r="C8163" t="s">
        <v>23490</v>
      </c>
      <c r="D8163" t="str">
        <f>HYPERLINK("https://rhld.insurance.arkansas.gov/NPILookup?Npi=1891307054","1891307054")</f>
        <v>1891307054</v>
      </c>
      <c r="E8163" t="s">
        <v>18893</v>
      </c>
    </row>
    <row r="8164" spans="1:5" x14ac:dyDescent="0.25">
      <c r="A8164" t="s">
        <v>1</v>
      </c>
      <c r="B8164" t="s">
        <v>19</v>
      </c>
      <c r="C8164" t="s">
        <v>23490</v>
      </c>
      <c r="D8164" t="str">
        <f>HYPERLINK("https://rhld.insurance.arkansas.gov/NPILookup?Npi=1891308839","1891308839")</f>
        <v>1891308839</v>
      </c>
      <c r="E8164" t="s">
        <v>18170</v>
      </c>
    </row>
    <row r="8165" spans="1:5" x14ac:dyDescent="0.25">
      <c r="A8165" t="s">
        <v>1</v>
      </c>
      <c r="B8165" t="s">
        <v>19</v>
      </c>
      <c r="C8165" t="s">
        <v>8427</v>
      </c>
      <c r="D8165" t="str">
        <f>HYPERLINK("https://rhld.insurance.arkansas.gov/NPILookup?Npi=1891315008","1891315008")</f>
        <v>1891315008</v>
      </c>
      <c r="E8165" t="s">
        <v>23003</v>
      </c>
    </row>
    <row r="8166" spans="1:5" x14ac:dyDescent="0.25">
      <c r="A8166" t="s">
        <v>1</v>
      </c>
      <c r="B8166" t="s">
        <v>19</v>
      </c>
      <c r="C8166" t="s">
        <v>23490</v>
      </c>
      <c r="D8166" t="str">
        <f>HYPERLINK("https://rhld.insurance.arkansas.gov/NPILookup?Npi=1891324216","1891324216")</f>
        <v>1891324216</v>
      </c>
      <c r="E8166" t="s">
        <v>20106</v>
      </c>
    </row>
    <row r="8167" spans="1:5" x14ac:dyDescent="0.25">
      <c r="A8167" t="s">
        <v>1</v>
      </c>
      <c r="B8167" t="s">
        <v>19</v>
      </c>
      <c r="C8167" t="s">
        <v>23490</v>
      </c>
      <c r="D8167" t="str">
        <f>HYPERLINK("https://rhld.insurance.arkansas.gov/NPILookup?Npi=1891337275","1891337275")</f>
        <v>1891337275</v>
      </c>
      <c r="E8167" t="s">
        <v>18171</v>
      </c>
    </row>
    <row r="8168" spans="1:5" x14ac:dyDescent="0.25">
      <c r="A8168" t="s">
        <v>1</v>
      </c>
      <c r="B8168" t="s">
        <v>19</v>
      </c>
      <c r="C8168" t="s">
        <v>23490</v>
      </c>
      <c r="D8168" t="str">
        <f>HYPERLINK("https://rhld.insurance.arkansas.gov/NPILookup?Npi=1891346862","1891346862")</f>
        <v>1891346862</v>
      </c>
      <c r="E8168" t="s">
        <v>18894</v>
      </c>
    </row>
    <row r="8169" spans="1:5" x14ac:dyDescent="0.25">
      <c r="A8169" t="s">
        <v>1</v>
      </c>
      <c r="B8169" t="s">
        <v>19</v>
      </c>
      <c r="C8169" t="s">
        <v>23490</v>
      </c>
      <c r="D8169" t="str">
        <f>HYPERLINK("https://rhld.insurance.arkansas.gov/NPILookup?Npi=1891363081","1891363081")</f>
        <v>1891363081</v>
      </c>
      <c r="E8169" t="s">
        <v>21673</v>
      </c>
    </row>
    <row r="8170" spans="1:5" x14ac:dyDescent="0.25">
      <c r="A8170" t="s">
        <v>1</v>
      </c>
      <c r="B8170" t="s">
        <v>19</v>
      </c>
      <c r="C8170" t="s">
        <v>23490</v>
      </c>
      <c r="D8170" t="str">
        <f>HYPERLINK("https://rhld.insurance.arkansas.gov/NPILookup?Npi=1891363925","1891363925")</f>
        <v>1891363925</v>
      </c>
      <c r="E8170" t="s">
        <v>20107</v>
      </c>
    </row>
    <row r="8171" spans="1:5" x14ac:dyDescent="0.25">
      <c r="A8171" t="s">
        <v>1</v>
      </c>
      <c r="B8171" t="s">
        <v>19</v>
      </c>
      <c r="C8171" t="s">
        <v>23490</v>
      </c>
      <c r="D8171" t="str">
        <f>HYPERLINK("https://rhld.insurance.arkansas.gov/NPILookup?Npi=1891367314","1891367314")</f>
        <v>1891367314</v>
      </c>
      <c r="E8171" t="s">
        <v>18895</v>
      </c>
    </row>
    <row r="8172" spans="1:5" x14ac:dyDescent="0.25">
      <c r="A8172" t="s">
        <v>1</v>
      </c>
      <c r="B8172" t="s">
        <v>19</v>
      </c>
      <c r="C8172" t="s">
        <v>23490</v>
      </c>
      <c r="D8172" t="str">
        <f>HYPERLINK("https://rhld.insurance.arkansas.gov/NPILookup?Npi=1891373379","1891373379")</f>
        <v>1891373379</v>
      </c>
      <c r="E8172" t="s">
        <v>21674</v>
      </c>
    </row>
    <row r="8173" spans="1:5" x14ac:dyDescent="0.25">
      <c r="A8173" t="s">
        <v>1</v>
      </c>
      <c r="B8173" t="s">
        <v>19</v>
      </c>
      <c r="C8173" t="s">
        <v>23490</v>
      </c>
      <c r="D8173" t="str">
        <f>HYPERLINK("https://rhld.insurance.arkansas.gov/NPILookup?Npi=1891375838","1891375838")</f>
        <v>1891375838</v>
      </c>
      <c r="E8173" t="s">
        <v>18172</v>
      </c>
    </row>
    <row r="8174" spans="1:5" x14ac:dyDescent="0.25">
      <c r="A8174" t="s">
        <v>1</v>
      </c>
      <c r="B8174" t="s">
        <v>19</v>
      </c>
      <c r="C8174" t="s">
        <v>23490</v>
      </c>
      <c r="D8174" t="str">
        <f>HYPERLINK("https://rhld.insurance.arkansas.gov/NPILookup?Npi=1891388666","1891388666")</f>
        <v>1891388666</v>
      </c>
      <c r="E8174" t="s">
        <v>20108</v>
      </c>
    </row>
    <row r="8175" spans="1:5" x14ac:dyDescent="0.25">
      <c r="A8175" t="s">
        <v>1</v>
      </c>
      <c r="B8175" t="s">
        <v>19</v>
      </c>
      <c r="C8175" t="s">
        <v>23490</v>
      </c>
      <c r="D8175" t="str">
        <f>HYPERLINK("https://rhld.insurance.arkansas.gov/NPILookup?Npi=1891390951","1891390951")</f>
        <v>1891390951</v>
      </c>
      <c r="E8175" t="s">
        <v>16582</v>
      </c>
    </row>
    <row r="8176" spans="1:5" x14ac:dyDescent="0.25">
      <c r="A8176" t="s">
        <v>1</v>
      </c>
      <c r="B8176" t="s">
        <v>19</v>
      </c>
      <c r="C8176" t="s">
        <v>23490</v>
      </c>
      <c r="D8176" t="str">
        <f>HYPERLINK("https://rhld.insurance.arkansas.gov/NPILookup?Npi=1891409470","1891409470")</f>
        <v>1891409470</v>
      </c>
      <c r="E8176" t="s">
        <v>21675</v>
      </c>
    </row>
    <row r="8177" spans="1:5" x14ac:dyDescent="0.25">
      <c r="A8177" t="s">
        <v>1</v>
      </c>
      <c r="B8177" t="s">
        <v>19</v>
      </c>
      <c r="C8177" t="s">
        <v>23490</v>
      </c>
      <c r="D8177" t="str">
        <f>HYPERLINK("https://rhld.insurance.arkansas.gov/NPILookup?Npi=1891467726","1891467726")</f>
        <v>1891467726</v>
      </c>
      <c r="E8177" t="s">
        <v>23004</v>
      </c>
    </row>
    <row r="8178" spans="1:5" x14ac:dyDescent="0.25">
      <c r="A8178" t="s">
        <v>1</v>
      </c>
      <c r="B8178" t="s">
        <v>19</v>
      </c>
      <c r="C8178" t="s">
        <v>23490</v>
      </c>
      <c r="D8178" t="str">
        <f>HYPERLINK("https://rhld.insurance.arkansas.gov/NPILookup?Npi=1891704763","1891704763")</f>
        <v>1891704763</v>
      </c>
      <c r="E8178" t="s">
        <v>8913</v>
      </c>
    </row>
    <row r="8179" spans="1:5" x14ac:dyDescent="0.25">
      <c r="A8179" t="s">
        <v>1</v>
      </c>
      <c r="B8179" t="s">
        <v>19</v>
      </c>
      <c r="C8179" t="s">
        <v>23490</v>
      </c>
      <c r="D8179" t="str">
        <f>HYPERLINK("https://rhld.insurance.arkansas.gov/NPILookup?Npi=1891720470","1891720470")</f>
        <v>1891720470</v>
      </c>
      <c r="E8179" t="s">
        <v>3122</v>
      </c>
    </row>
    <row r="8180" spans="1:5" x14ac:dyDescent="0.25">
      <c r="A8180" t="s">
        <v>1</v>
      </c>
      <c r="B8180" t="s">
        <v>19</v>
      </c>
      <c r="C8180" t="s">
        <v>23490</v>
      </c>
      <c r="D8180" t="str">
        <f>HYPERLINK("https://rhld.insurance.arkansas.gov/NPILookup?Npi=1891735098","1891735098")</f>
        <v>1891735098</v>
      </c>
      <c r="E8180" t="s">
        <v>3123</v>
      </c>
    </row>
    <row r="8181" spans="1:5" x14ac:dyDescent="0.25">
      <c r="A8181" t="s">
        <v>1</v>
      </c>
      <c r="B8181" t="s">
        <v>19</v>
      </c>
      <c r="C8181" t="s">
        <v>23490</v>
      </c>
      <c r="D8181" t="str">
        <f>HYPERLINK("https://rhld.insurance.arkansas.gov/NPILookup?Npi=1891739884","1891739884")</f>
        <v>1891739884</v>
      </c>
      <c r="E8181" t="s">
        <v>8914</v>
      </c>
    </row>
    <row r="8182" spans="1:5" x14ac:dyDescent="0.25">
      <c r="A8182" t="s">
        <v>1</v>
      </c>
      <c r="B8182" t="s">
        <v>19</v>
      </c>
      <c r="C8182" t="s">
        <v>23490</v>
      </c>
      <c r="D8182" t="str">
        <f>HYPERLINK("https://rhld.insurance.arkansas.gov/NPILookup?Npi=1891744876","1891744876")</f>
        <v>1891744876</v>
      </c>
      <c r="E8182" t="s">
        <v>3124</v>
      </c>
    </row>
    <row r="8183" spans="1:5" x14ac:dyDescent="0.25">
      <c r="A8183" t="s">
        <v>1</v>
      </c>
      <c r="B8183" t="s">
        <v>19</v>
      </c>
      <c r="C8183" t="s">
        <v>23490</v>
      </c>
      <c r="D8183" t="str">
        <f>HYPERLINK("https://rhld.insurance.arkansas.gov/NPILookup?Npi=1891754784","1891754784")</f>
        <v>1891754784</v>
      </c>
      <c r="E8183" t="s">
        <v>3125</v>
      </c>
    </row>
    <row r="8184" spans="1:5" x14ac:dyDescent="0.25">
      <c r="A8184" t="s">
        <v>1</v>
      </c>
      <c r="B8184" t="s">
        <v>19</v>
      </c>
      <c r="C8184" t="s">
        <v>23490</v>
      </c>
      <c r="D8184" t="str">
        <f>HYPERLINK("https://rhld.insurance.arkansas.gov/NPILookup?Npi=1891757761","1891757761")</f>
        <v>1891757761</v>
      </c>
      <c r="E8184" t="s">
        <v>3126</v>
      </c>
    </row>
    <row r="8185" spans="1:5" x14ac:dyDescent="0.25">
      <c r="A8185" t="s">
        <v>1</v>
      </c>
      <c r="B8185" t="s">
        <v>19</v>
      </c>
      <c r="C8185" t="s">
        <v>23490</v>
      </c>
      <c r="D8185" t="str">
        <f>HYPERLINK("https://rhld.insurance.arkansas.gov/NPILookup?Npi=1891763165","1891763165")</f>
        <v>1891763165</v>
      </c>
      <c r="E8185" t="s">
        <v>20109</v>
      </c>
    </row>
    <row r="8186" spans="1:5" x14ac:dyDescent="0.25">
      <c r="A8186" t="s">
        <v>1</v>
      </c>
      <c r="B8186" t="s">
        <v>19</v>
      </c>
      <c r="C8186" t="s">
        <v>23490</v>
      </c>
      <c r="D8186" t="str">
        <f>HYPERLINK("https://rhld.insurance.arkansas.gov/NPILookup?Npi=1891768040","1891768040")</f>
        <v>1891768040</v>
      </c>
      <c r="E8186" t="s">
        <v>3127</v>
      </c>
    </row>
    <row r="8187" spans="1:5" x14ac:dyDescent="0.25">
      <c r="A8187" t="s">
        <v>1</v>
      </c>
      <c r="B8187" t="s">
        <v>19</v>
      </c>
      <c r="C8187" t="s">
        <v>23490</v>
      </c>
      <c r="D8187" t="str">
        <f>HYPERLINK("https://rhld.insurance.arkansas.gov/NPILookup?Npi=1891769410","1891769410")</f>
        <v>1891769410</v>
      </c>
      <c r="E8187" t="s">
        <v>3128</v>
      </c>
    </row>
    <row r="8188" spans="1:5" x14ac:dyDescent="0.25">
      <c r="A8188" t="s">
        <v>1</v>
      </c>
      <c r="B8188" t="s">
        <v>19</v>
      </c>
      <c r="C8188" t="s">
        <v>23490</v>
      </c>
      <c r="D8188" t="str">
        <f>HYPERLINK("https://rhld.insurance.arkansas.gov/NPILookup?Npi=1891792172","1891792172")</f>
        <v>1891792172</v>
      </c>
      <c r="E8188" t="s">
        <v>866</v>
      </c>
    </row>
    <row r="8189" spans="1:5" x14ac:dyDescent="0.25">
      <c r="A8189" t="s">
        <v>1</v>
      </c>
      <c r="B8189" t="s">
        <v>19</v>
      </c>
      <c r="C8189" t="s">
        <v>23490</v>
      </c>
      <c r="D8189" t="str">
        <f>HYPERLINK("https://rhld.insurance.arkansas.gov/NPILookup?Npi=1891792883","1891792883")</f>
        <v>1891792883</v>
      </c>
      <c r="E8189" t="s">
        <v>3129</v>
      </c>
    </row>
    <row r="8190" spans="1:5" x14ac:dyDescent="0.25">
      <c r="A8190" t="s">
        <v>1</v>
      </c>
      <c r="B8190" t="s">
        <v>19</v>
      </c>
      <c r="C8190" t="s">
        <v>23490</v>
      </c>
      <c r="D8190" t="str">
        <f>HYPERLINK("https://rhld.insurance.arkansas.gov/NPILookup?Npi=1891797924","1891797924")</f>
        <v>1891797924</v>
      </c>
      <c r="E8190" t="s">
        <v>3130</v>
      </c>
    </row>
    <row r="8191" spans="1:5" x14ac:dyDescent="0.25">
      <c r="A8191" t="s">
        <v>1</v>
      </c>
      <c r="B8191" t="s">
        <v>19</v>
      </c>
      <c r="C8191" t="s">
        <v>23490</v>
      </c>
      <c r="D8191" t="str">
        <f>HYPERLINK("https://rhld.insurance.arkansas.gov/NPILookup?Npi=1891814604","1891814604")</f>
        <v>1891814604</v>
      </c>
      <c r="E8191" t="s">
        <v>3131</v>
      </c>
    </row>
    <row r="8192" spans="1:5" x14ac:dyDescent="0.25">
      <c r="A8192" t="s">
        <v>1</v>
      </c>
      <c r="B8192" t="s">
        <v>19</v>
      </c>
      <c r="C8192" t="s">
        <v>23490</v>
      </c>
      <c r="D8192" t="str">
        <f>HYPERLINK("https://rhld.insurance.arkansas.gov/NPILookup?Npi=1891816153","1891816153")</f>
        <v>1891816153</v>
      </c>
      <c r="E8192" t="s">
        <v>3132</v>
      </c>
    </row>
    <row r="8193" spans="1:5" x14ac:dyDescent="0.25">
      <c r="A8193" t="s">
        <v>1</v>
      </c>
      <c r="B8193" t="s">
        <v>19</v>
      </c>
      <c r="C8193" t="s">
        <v>23490</v>
      </c>
      <c r="D8193" t="str">
        <f>HYPERLINK("https://rhld.insurance.arkansas.gov/NPILookup?Npi=1891825014","1891825014")</f>
        <v>1891825014</v>
      </c>
      <c r="E8193" t="s">
        <v>3133</v>
      </c>
    </row>
    <row r="8194" spans="1:5" x14ac:dyDescent="0.25">
      <c r="A8194" t="s">
        <v>1</v>
      </c>
      <c r="B8194" t="s">
        <v>19</v>
      </c>
      <c r="C8194" t="s">
        <v>23490</v>
      </c>
      <c r="D8194" t="str">
        <f>HYPERLINK("https://rhld.insurance.arkansas.gov/NPILookup?Npi=1891826269","1891826269")</f>
        <v>1891826269</v>
      </c>
      <c r="E8194" t="s">
        <v>3134</v>
      </c>
    </row>
    <row r="8195" spans="1:5" x14ac:dyDescent="0.25">
      <c r="A8195" t="s">
        <v>1</v>
      </c>
      <c r="B8195" t="s">
        <v>19</v>
      </c>
      <c r="C8195" t="s">
        <v>23490</v>
      </c>
      <c r="D8195" t="str">
        <f>HYPERLINK("https://rhld.insurance.arkansas.gov/NPILookup?Npi=1891837134","1891837134")</f>
        <v>1891837134</v>
      </c>
      <c r="E8195" t="s">
        <v>15689</v>
      </c>
    </row>
    <row r="8196" spans="1:5" x14ac:dyDescent="0.25">
      <c r="A8196" t="s">
        <v>1</v>
      </c>
      <c r="B8196" t="s">
        <v>19</v>
      </c>
      <c r="C8196" t="s">
        <v>23490</v>
      </c>
      <c r="D8196" t="str">
        <f>HYPERLINK("https://rhld.insurance.arkansas.gov/NPILookup?Npi=1891880555","1891880555")</f>
        <v>1891880555</v>
      </c>
      <c r="E8196" t="s">
        <v>3135</v>
      </c>
    </row>
    <row r="8197" spans="1:5" x14ac:dyDescent="0.25">
      <c r="A8197" t="s">
        <v>1</v>
      </c>
      <c r="B8197" t="s">
        <v>19</v>
      </c>
      <c r="C8197" t="s">
        <v>23490</v>
      </c>
      <c r="D8197" t="str">
        <f>HYPERLINK("https://rhld.insurance.arkansas.gov/NPILookup?Npi=1891882940","1891882940")</f>
        <v>1891882940</v>
      </c>
      <c r="E8197" t="s">
        <v>3136</v>
      </c>
    </row>
    <row r="8198" spans="1:5" x14ac:dyDescent="0.25">
      <c r="A8198" t="s">
        <v>1</v>
      </c>
      <c r="B8198" t="s">
        <v>19</v>
      </c>
      <c r="C8198" t="s">
        <v>23490</v>
      </c>
      <c r="D8198" t="str">
        <f>HYPERLINK("https://rhld.insurance.arkansas.gov/NPILookup?Npi=1891890406","1891890406")</f>
        <v>1891890406</v>
      </c>
      <c r="E8198" t="s">
        <v>3137</v>
      </c>
    </row>
    <row r="8199" spans="1:5" x14ac:dyDescent="0.25">
      <c r="A8199" t="s">
        <v>1</v>
      </c>
      <c r="B8199" t="s">
        <v>19</v>
      </c>
      <c r="C8199" t="s">
        <v>23490</v>
      </c>
      <c r="D8199" t="str">
        <f>HYPERLINK("https://rhld.insurance.arkansas.gov/NPILookup?Npi=1891894630","1891894630")</f>
        <v>1891894630</v>
      </c>
      <c r="E8199" t="s">
        <v>3138</v>
      </c>
    </row>
    <row r="8200" spans="1:5" x14ac:dyDescent="0.25">
      <c r="A8200" t="s">
        <v>1</v>
      </c>
      <c r="B8200" t="s">
        <v>19</v>
      </c>
      <c r="C8200" t="s">
        <v>23490</v>
      </c>
      <c r="D8200" t="str">
        <f>HYPERLINK("https://rhld.insurance.arkansas.gov/NPILookup?Npi=1891908117","1891908117")</f>
        <v>1891908117</v>
      </c>
      <c r="E8200" t="s">
        <v>15690</v>
      </c>
    </row>
    <row r="8201" spans="1:5" x14ac:dyDescent="0.25">
      <c r="A8201" t="s">
        <v>1</v>
      </c>
      <c r="B8201" t="s">
        <v>19</v>
      </c>
      <c r="C8201" t="s">
        <v>23490</v>
      </c>
      <c r="D8201" t="str">
        <f>HYPERLINK("https://rhld.insurance.arkansas.gov/NPILookup?Npi=1891919049","1891919049")</f>
        <v>1891919049</v>
      </c>
      <c r="E8201" t="s">
        <v>3139</v>
      </c>
    </row>
    <row r="8202" spans="1:5" x14ac:dyDescent="0.25">
      <c r="A8202" t="s">
        <v>1</v>
      </c>
      <c r="B8202" t="s">
        <v>19</v>
      </c>
      <c r="C8202" t="s">
        <v>23490</v>
      </c>
      <c r="D8202" t="str">
        <f>HYPERLINK("https://rhld.insurance.arkansas.gov/NPILookup?Npi=1891928313","1891928313")</f>
        <v>1891928313</v>
      </c>
      <c r="E8202" t="s">
        <v>15691</v>
      </c>
    </row>
    <row r="8203" spans="1:5" x14ac:dyDescent="0.25">
      <c r="A8203" t="s">
        <v>1</v>
      </c>
      <c r="B8203" t="s">
        <v>19</v>
      </c>
      <c r="C8203" t="s">
        <v>23490</v>
      </c>
      <c r="D8203" t="str">
        <f>HYPERLINK("https://rhld.insurance.arkansas.gov/NPILookup?Npi=1891944708","1891944708")</f>
        <v>1891944708</v>
      </c>
      <c r="E8203" t="s">
        <v>3140</v>
      </c>
    </row>
    <row r="8204" spans="1:5" x14ac:dyDescent="0.25">
      <c r="A8204" t="s">
        <v>1</v>
      </c>
      <c r="B8204" t="s">
        <v>19</v>
      </c>
      <c r="C8204" t="s">
        <v>23490</v>
      </c>
      <c r="D8204" t="str">
        <f>HYPERLINK("https://rhld.insurance.arkansas.gov/NPILookup?Npi=1891954699","1891954699")</f>
        <v>1891954699</v>
      </c>
      <c r="E8204" t="s">
        <v>3141</v>
      </c>
    </row>
    <row r="8205" spans="1:5" x14ac:dyDescent="0.25">
      <c r="A8205" t="s">
        <v>1</v>
      </c>
      <c r="B8205" t="s">
        <v>19</v>
      </c>
      <c r="C8205" t="s">
        <v>23490</v>
      </c>
      <c r="D8205" t="str">
        <f>HYPERLINK("https://rhld.insurance.arkansas.gov/NPILookup?Npi=1891955043","1891955043")</f>
        <v>1891955043</v>
      </c>
      <c r="E8205" t="s">
        <v>11359</v>
      </c>
    </row>
    <row r="8206" spans="1:5" x14ac:dyDescent="0.25">
      <c r="A8206" t="s">
        <v>1</v>
      </c>
      <c r="B8206" t="s">
        <v>19</v>
      </c>
      <c r="C8206" t="s">
        <v>23490</v>
      </c>
      <c r="D8206" t="str">
        <f>HYPERLINK("https://rhld.insurance.arkansas.gov/NPILookup?Npi=1891960431","1891960431")</f>
        <v>1891960431</v>
      </c>
      <c r="E8206" t="s">
        <v>13774</v>
      </c>
    </row>
    <row r="8207" spans="1:5" x14ac:dyDescent="0.25">
      <c r="A8207" t="s">
        <v>1</v>
      </c>
      <c r="B8207" t="s">
        <v>19</v>
      </c>
      <c r="C8207" t="s">
        <v>23490</v>
      </c>
      <c r="D8207" t="str">
        <f>HYPERLINK("https://rhld.insurance.arkansas.gov/NPILookup?Npi=1891967360","1891967360")</f>
        <v>1891967360</v>
      </c>
      <c r="E8207" t="s">
        <v>8915</v>
      </c>
    </row>
    <row r="8208" spans="1:5" x14ac:dyDescent="0.25">
      <c r="A8208" t="s">
        <v>1</v>
      </c>
      <c r="B8208" t="s">
        <v>19</v>
      </c>
      <c r="C8208" t="s">
        <v>23490</v>
      </c>
      <c r="D8208" t="str">
        <f>HYPERLINK("https://rhld.insurance.arkansas.gov/NPILookup?Npi=1902005234","1902005234")</f>
        <v>1902005234</v>
      </c>
      <c r="E8208" t="s">
        <v>20110</v>
      </c>
    </row>
    <row r="8209" spans="1:5" x14ac:dyDescent="0.25">
      <c r="A8209" t="s">
        <v>1</v>
      </c>
      <c r="B8209" t="s">
        <v>19</v>
      </c>
      <c r="C8209" t="s">
        <v>23490</v>
      </c>
      <c r="D8209" t="str">
        <f>HYPERLINK("https://rhld.insurance.arkansas.gov/NPILookup?Npi=1902037252","1902037252")</f>
        <v>1902037252</v>
      </c>
      <c r="E8209" t="s">
        <v>11360</v>
      </c>
    </row>
    <row r="8210" spans="1:5" x14ac:dyDescent="0.25">
      <c r="A8210" t="s">
        <v>1</v>
      </c>
      <c r="B8210" t="s">
        <v>19</v>
      </c>
      <c r="C8210" t="s">
        <v>23490</v>
      </c>
      <c r="D8210" t="str">
        <f>HYPERLINK("https://rhld.insurance.arkansas.gov/NPILookup?Npi=1902038375","1902038375")</f>
        <v>1902038375</v>
      </c>
      <c r="E8210" t="s">
        <v>3143</v>
      </c>
    </row>
    <row r="8211" spans="1:5" x14ac:dyDescent="0.25">
      <c r="A8211" t="s">
        <v>1</v>
      </c>
      <c r="B8211" t="s">
        <v>19</v>
      </c>
      <c r="C8211" t="s">
        <v>23490</v>
      </c>
      <c r="D8211" t="str">
        <f>HYPERLINK("https://rhld.insurance.arkansas.gov/NPILookup?Npi=1902038961","1902038961")</f>
        <v>1902038961</v>
      </c>
      <c r="E8211" t="s">
        <v>3144</v>
      </c>
    </row>
    <row r="8212" spans="1:5" x14ac:dyDescent="0.25">
      <c r="A8212" t="s">
        <v>1</v>
      </c>
      <c r="B8212" t="s">
        <v>19</v>
      </c>
      <c r="C8212" t="s">
        <v>23490</v>
      </c>
      <c r="D8212" t="str">
        <f>HYPERLINK("https://rhld.insurance.arkansas.gov/NPILookup?Npi=1902042765","1902042765")</f>
        <v>1902042765</v>
      </c>
      <c r="E8212" t="s">
        <v>15692</v>
      </c>
    </row>
    <row r="8213" spans="1:5" x14ac:dyDescent="0.25">
      <c r="A8213" t="s">
        <v>1</v>
      </c>
      <c r="B8213" t="s">
        <v>19</v>
      </c>
      <c r="C8213" t="s">
        <v>23490</v>
      </c>
      <c r="D8213" t="str">
        <f>HYPERLINK("https://rhld.insurance.arkansas.gov/NPILookup?Npi=1902053556","1902053556")</f>
        <v>1902053556</v>
      </c>
      <c r="E8213" t="s">
        <v>21676</v>
      </c>
    </row>
    <row r="8214" spans="1:5" x14ac:dyDescent="0.25">
      <c r="A8214" t="s">
        <v>1</v>
      </c>
      <c r="B8214" t="s">
        <v>19</v>
      </c>
      <c r="C8214" t="s">
        <v>23490</v>
      </c>
      <c r="D8214" t="str">
        <f>HYPERLINK("https://rhld.insurance.arkansas.gov/NPILookup?Npi=1902062219","1902062219")</f>
        <v>1902062219</v>
      </c>
      <c r="E8214" t="s">
        <v>3145</v>
      </c>
    </row>
    <row r="8215" spans="1:5" x14ac:dyDescent="0.25">
      <c r="A8215" t="s">
        <v>1</v>
      </c>
      <c r="B8215" t="s">
        <v>19</v>
      </c>
      <c r="C8215" t="s">
        <v>23490</v>
      </c>
      <c r="D8215" t="str">
        <f>HYPERLINK("https://rhld.insurance.arkansas.gov/NPILookup?Npi=1902072077","1902072077")</f>
        <v>1902072077</v>
      </c>
      <c r="E8215" t="s">
        <v>8916</v>
      </c>
    </row>
    <row r="8216" spans="1:5" x14ac:dyDescent="0.25">
      <c r="A8216" t="s">
        <v>1</v>
      </c>
      <c r="B8216" t="s">
        <v>19</v>
      </c>
      <c r="C8216" t="s">
        <v>23490</v>
      </c>
      <c r="D8216" t="str">
        <f>HYPERLINK("https://rhld.insurance.arkansas.gov/NPILookup?Npi=1902096613","1902096613")</f>
        <v>1902096613</v>
      </c>
      <c r="E8216" t="s">
        <v>13775</v>
      </c>
    </row>
    <row r="8217" spans="1:5" x14ac:dyDescent="0.25">
      <c r="A8217" t="s">
        <v>1</v>
      </c>
      <c r="B8217" t="s">
        <v>19</v>
      </c>
      <c r="C8217" t="s">
        <v>23490</v>
      </c>
      <c r="D8217" t="str">
        <f>HYPERLINK("https://rhld.insurance.arkansas.gov/NPILookup?Npi=1902108517","1902108517")</f>
        <v>1902108517</v>
      </c>
      <c r="E8217" t="s">
        <v>15693</v>
      </c>
    </row>
    <row r="8218" spans="1:5" x14ac:dyDescent="0.25">
      <c r="A8218" t="s">
        <v>1</v>
      </c>
      <c r="B8218" t="s">
        <v>19</v>
      </c>
      <c r="C8218" t="s">
        <v>23490</v>
      </c>
      <c r="D8218" t="str">
        <f>HYPERLINK("https://rhld.insurance.arkansas.gov/NPILookup?Npi=1902144991","1902144991")</f>
        <v>1902144991</v>
      </c>
      <c r="E8218" t="s">
        <v>3146</v>
      </c>
    </row>
    <row r="8219" spans="1:5" x14ac:dyDescent="0.25">
      <c r="A8219" t="s">
        <v>1</v>
      </c>
      <c r="B8219" t="s">
        <v>19</v>
      </c>
      <c r="C8219" t="s">
        <v>23490</v>
      </c>
      <c r="D8219" t="str">
        <f>HYPERLINK("https://rhld.insurance.arkansas.gov/NPILookup?Npi=1902186976","1902186976")</f>
        <v>1902186976</v>
      </c>
      <c r="E8219" t="s">
        <v>3148</v>
      </c>
    </row>
    <row r="8220" spans="1:5" x14ac:dyDescent="0.25">
      <c r="A8220" t="s">
        <v>1</v>
      </c>
      <c r="B8220" t="s">
        <v>19</v>
      </c>
      <c r="C8220" t="s">
        <v>23490</v>
      </c>
      <c r="D8220" t="str">
        <f>HYPERLINK("https://rhld.insurance.arkansas.gov/NPILookup?Npi=1902196686","1902196686")</f>
        <v>1902196686</v>
      </c>
      <c r="E8220" t="s">
        <v>3149</v>
      </c>
    </row>
    <row r="8221" spans="1:5" x14ac:dyDescent="0.25">
      <c r="A8221" t="s">
        <v>1</v>
      </c>
      <c r="B8221" t="s">
        <v>19</v>
      </c>
      <c r="C8221" t="s">
        <v>23490</v>
      </c>
      <c r="D8221" t="str">
        <f>HYPERLINK("https://rhld.insurance.arkansas.gov/NPILookup?Npi=1902205248","1902205248")</f>
        <v>1902205248</v>
      </c>
      <c r="E8221" t="s">
        <v>20111</v>
      </c>
    </row>
    <row r="8222" spans="1:5" x14ac:dyDescent="0.25">
      <c r="A8222" t="s">
        <v>1</v>
      </c>
      <c r="B8222" t="s">
        <v>19</v>
      </c>
      <c r="C8222" t="s">
        <v>23490</v>
      </c>
      <c r="D8222" t="str">
        <f>HYPERLINK("https://rhld.insurance.arkansas.gov/NPILookup?Npi=1902210875","1902210875")</f>
        <v>1902210875</v>
      </c>
      <c r="E8222" t="s">
        <v>11361</v>
      </c>
    </row>
    <row r="8223" spans="1:5" x14ac:dyDescent="0.25">
      <c r="A8223" t="s">
        <v>1</v>
      </c>
      <c r="B8223" t="s">
        <v>19</v>
      </c>
      <c r="C8223" t="s">
        <v>23490</v>
      </c>
      <c r="D8223" t="str">
        <f>HYPERLINK("https://rhld.insurance.arkansas.gov/NPILookup?Npi=1902217946","1902217946")</f>
        <v>1902217946</v>
      </c>
      <c r="E8223" t="s">
        <v>11362</v>
      </c>
    </row>
    <row r="8224" spans="1:5" x14ac:dyDescent="0.25">
      <c r="A8224" t="s">
        <v>1</v>
      </c>
      <c r="B8224" t="s">
        <v>19</v>
      </c>
      <c r="C8224" t="s">
        <v>23490</v>
      </c>
      <c r="D8224" t="str">
        <f>HYPERLINK("https://rhld.insurance.arkansas.gov/NPILookup?Npi=1902217953","1902217953")</f>
        <v>1902217953</v>
      </c>
      <c r="E8224" t="s">
        <v>13776</v>
      </c>
    </row>
    <row r="8225" spans="1:5" x14ac:dyDescent="0.25">
      <c r="A8225" t="s">
        <v>1</v>
      </c>
      <c r="B8225" t="s">
        <v>19</v>
      </c>
      <c r="C8225" t="s">
        <v>23490</v>
      </c>
      <c r="D8225" t="str">
        <f>HYPERLINK("https://rhld.insurance.arkansas.gov/NPILookup?Npi=1902220494","1902220494")</f>
        <v>1902220494</v>
      </c>
      <c r="E8225" t="s">
        <v>8917</v>
      </c>
    </row>
    <row r="8226" spans="1:5" x14ac:dyDescent="0.25">
      <c r="A8226" t="s">
        <v>1</v>
      </c>
      <c r="B8226" t="s">
        <v>19</v>
      </c>
      <c r="C8226" t="s">
        <v>23490</v>
      </c>
      <c r="D8226" t="str">
        <f>HYPERLINK("https://rhld.insurance.arkansas.gov/NPILookup?Npi=1902245889","1902245889")</f>
        <v>1902245889</v>
      </c>
      <c r="E8226" t="s">
        <v>11363</v>
      </c>
    </row>
    <row r="8227" spans="1:5" x14ac:dyDescent="0.25">
      <c r="A8227" t="s">
        <v>1</v>
      </c>
      <c r="B8227" t="s">
        <v>19</v>
      </c>
      <c r="C8227" t="s">
        <v>23490</v>
      </c>
      <c r="D8227" t="str">
        <f>HYPERLINK("https://rhld.insurance.arkansas.gov/NPILookup?Npi=1902246796","1902246796")</f>
        <v>1902246796</v>
      </c>
      <c r="E8227" t="s">
        <v>13777</v>
      </c>
    </row>
    <row r="8228" spans="1:5" x14ac:dyDescent="0.25">
      <c r="A8228" t="s">
        <v>1</v>
      </c>
      <c r="B8228" t="s">
        <v>19</v>
      </c>
      <c r="C8228" t="s">
        <v>23490</v>
      </c>
      <c r="D8228" t="str">
        <f>HYPERLINK("https://rhld.insurance.arkansas.gov/NPILookup?Npi=1902249279","1902249279")</f>
        <v>1902249279</v>
      </c>
      <c r="E8228" t="s">
        <v>11364</v>
      </c>
    </row>
    <row r="8229" spans="1:5" x14ac:dyDescent="0.25">
      <c r="A8229" t="s">
        <v>1</v>
      </c>
      <c r="B8229" t="s">
        <v>19</v>
      </c>
      <c r="C8229" t="s">
        <v>23490</v>
      </c>
      <c r="D8229" t="str">
        <f>HYPERLINK("https://rhld.insurance.arkansas.gov/NPILookup?Npi=1902263148","1902263148")</f>
        <v>1902263148</v>
      </c>
      <c r="E8229" t="s">
        <v>8918</v>
      </c>
    </row>
    <row r="8230" spans="1:5" x14ac:dyDescent="0.25">
      <c r="A8230" t="s">
        <v>1</v>
      </c>
      <c r="B8230" t="s">
        <v>19</v>
      </c>
      <c r="C8230" t="s">
        <v>23490</v>
      </c>
      <c r="D8230" t="str">
        <f>HYPERLINK("https://rhld.insurance.arkansas.gov/NPILookup?Npi=1902263445","1902263445")</f>
        <v>1902263445</v>
      </c>
      <c r="E8230" t="s">
        <v>8919</v>
      </c>
    </row>
    <row r="8231" spans="1:5" x14ac:dyDescent="0.25">
      <c r="A8231" t="s">
        <v>1</v>
      </c>
      <c r="B8231" t="s">
        <v>19</v>
      </c>
      <c r="C8231" t="s">
        <v>23490</v>
      </c>
      <c r="D8231" t="str">
        <f>HYPERLINK("https://rhld.insurance.arkansas.gov/NPILookup?Npi=1902288699","1902288699")</f>
        <v>1902288699</v>
      </c>
      <c r="E8231" t="s">
        <v>15695</v>
      </c>
    </row>
    <row r="8232" spans="1:5" x14ac:dyDescent="0.25">
      <c r="A8232" t="s">
        <v>1</v>
      </c>
      <c r="B8232" t="s">
        <v>19</v>
      </c>
      <c r="C8232" t="s">
        <v>23490</v>
      </c>
      <c r="D8232" t="str">
        <f>HYPERLINK("https://rhld.insurance.arkansas.gov/NPILookup?Npi=1902297559","1902297559")</f>
        <v>1902297559</v>
      </c>
      <c r="E8232" t="s">
        <v>3150</v>
      </c>
    </row>
    <row r="8233" spans="1:5" x14ac:dyDescent="0.25">
      <c r="A8233" t="s">
        <v>1</v>
      </c>
      <c r="B8233" t="s">
        <v>19</v>
      </c>
      <c r="C8233" t="s">
        <v>23490</v>
      </c>
      <c r="D8233" t="str">
        <f>HYPERLINK("https://rhld.insurance.arkansas.gov/NPILookup?Npi=1902300668","1902300668")</f>
        <v>1902300668</v>
      </c>
      <c r="E8233" t="s">
        <v>13041</v>
      </c>
    </row>
    <row r="8234" spans="1:5" x14ac:dyDescent="0.25">
      <c r="A8234" t="s">
        <v>1</v>
      </c>
      <c r="B8234" t="s">
        <v>19</v>
      </c>
      <c r="C8234" t="s">
        <v>23490</v>
      </c>
      <c r="D8234" t="str">
        <f>HYPERLINK("https://rhld.insurance.arkansas.gov/NPILookup?Npi=1902301237","1902301237")</f>
        <v>1902301237</v>
      </c>
      <c r="E8234" t="s">
        <v>15696</v>
      </c>
    </row>
    <row r="8235" spans="1:5" x14ac:dyDescent="0.25">
      <c r="A8235" t="s">
        <v>1</v>
      </c>
      <c r="B8235" t="s">
        <v>19</v>
      </c>
      <c r="C8235" t="s">
        <v>23490</v>
      </c>
      <c r="D8235" t="str">
        <f>HYPERLINK("https://rhld.insurance.arkansas.gov/NPILookup?Npi=1902323611","1902323611")</f>
        <v>1902323611</v>
      </c>
      <c r="E8235" t="s">
        <v>15697</v>
      </c>
    </row>
    <row r="8236" spans="1:5" x14ac:dyDescent="0.25">
      <c r="A8236" t="s">
        <v>1</v>
      </c>
      <c r="B8236" t="s">
        <v>19</v>
      </c>
      <c r="C8236" t="s">
        <v>23490</v>
      </c>
      <c r="D8236" t="str">
        <f>HYPERLINK("https://rhld.insurance.arkansas.gov/NPILookup?Npi=1902328552","1902328552")</f>
        <v>1902328552</v>
      </c>
      <c r="E8236" t="s">
        <v>11365</v>
      </c>
    </row>
    <row r="8237" spans="1:5" x14ac:dyDescent="0.25">
      <c r="A8237" t="s">
        <v>1</v>
      </c>
      <c r="B8237" t="s">
        <v>19</v>
      </c>
      <c r="C8237" t="s">
        <v>23490</v>
      </c>
      <c r="D8237" t="str">
        <f>HYPERLINK("https://rhld.insurance.arkansas.gov/NPILookup?Npi=1902337280","1902337280")</f>
        <v>1902337280</v>
      </c>
      <c r="E8237" t="s">
        <v>15698</v>
      </c>
    </row>
    <row r="8238" spans="1:5" x14ac:dyDescent="0.25">
      <c r="A8238" t="s">
        <v>1</v>
      </c>
      <c r="B8238" t="s">
        <v>19</v>
      </c>
      <c r="C8238" t="s">
        <v>23490</v>
      </c>
      <c r="D8238" t="str">
        <f>HYPERLINK("https://rhld.insurance.arkansas.gov/NPILookup?Npi=1902339088","1902339088")</f>
        <v>1902339088</v>
      </c>
      <c r="E8238" t="s">
        <v>21061</v>
      </c>
    </row>
    <row r="8239" spans="1:5" x14ac:dyDescent="0.25">
      <c r="A8239" t="s">
        <v>1</v>
      </c>
      <c r="B8239" t="s">
        <v>19</v>
      </c>
      <c r="C8239" t="s">
        <v>23490</v>
      </c>
      <c r="D8239" t="str">
        <f>HYPERLINK("https://rhld.insurance.arkansas.gov/NPILookup?Npi=1902343932","1902343932")</f>
        <v>1902343932</v>
      </c>
      <c r="E8239" t="s">
        <v>11366</v>
      </c>
    </row>
    <row r="8240" spans="1:5" x14ac:dyDescent="0.25">
      <c r="A8240" t="s">
        <v>1</v>
      </c>
      <c r="B8240" t="s">
        <v>19</v>
      </c>
      <c r="C8240" t="s">
        <v>23490</v>
      </c>
      <c r="D8240" t="str">
        <f>HYPERLINK("https://rhld.insurance.arkansas.gov/NPILookup?Npi=1902353006","1902353006")</f>
        <v>1902353006</v>
      </c>
      <c r="E8240" t="s">
        <v>11367</v>
      </c>
    </row>
    <row r="8241" spans="1:5" x14ac:dyDescent="0.25">
      <c r="A8241" t="s">
        <v>1</v>
      </c>
      <c r="B8241" t="s">
        <v>19</v>
      </c>
      <c r="C8241" t="s">
        <v>23490</v>
      </c>
      <c r="D8241" t="str">
        <f>HYPERLINK("https://rhld.insurance.arkansas.gov/NPILookup?Npi=1902353691","1902353691")</f>
        <v>1902353691</v>
      </c>
      <c r="E8241" t="s">
        <v>15699</v>
      </c>
    </row>
    <row r="8242" spans="1:5" x14ac:dyDescent="0.25">
      <c r="A8242" t="s">
        <v>1</v>
      </c>
      <c r="B8242" t="s">
        <v>19</v>
      </c>
      <c r="C8242" t="s">
        <v>23490</v>
      </c>
      <c r="D8242" t="str">
        <f>HYPERLINK("https://rhld.insurance.arkansas.gov/NPILookup?Npi=1902364011","1902364011")</f>
        <v>1902364011</v>
      </c>
      <c r="E8242" t="s">
        <v>20112</v>
      </c>
    </row>
    <row r="8243" spans="1:5" x14ac:dyDescent="0.25">
      <c r="A8243" t="s">
        <v>1</v>
      </c>
      <c r="B8243" t="s">
        <v>19</v>
      </c>
      <c r="C8243" t="s">
        <v>23490</v>
      </c>
      <c r="D8243" t="str">
        <f>HYPERLINK("https://rhld.insurance.arkansas.gov/NPILookup?Npi=1902378334","1902378334")</f>
        <v>1902378334</v>
      </c>
      <c r="E8243" t="s">
        <v>13778</v>
      </c>
    </row>
    <row r="8244" spans="1:5" x14ac:dyDescent="0.25">
      <c r="A8244" t="s">
        <v>1</v>
      </c>
      <c r="B8244" t="s">
        <v>19</v>
      </c>
      <c r="C8244" t="s">
        <v>23490</v>
      </c>
      <c r="D8244" t="str">
        <f>HYPERLINK("https://rhld.insurance.arkansas.gov/NPILookup?Npi=1902382799","1902382799")</f>
        <v>1902382799</v>
      </c>
      <c r="E8244" t="s">
        <v>17048</v>
      </c>
    </row>
    <row r="8245" spans="1:5" x14ac:dyDescent="0.25">
      <c r="A8245" t="s">
        <v>1</v>
      </c>
      <c r="B8245" t="s">
        <v>19</v>
      </c>
      <c r="C8245" t="s">
        <v>23490</v>
      </c>
      <c r="D8245" t="str">
        <f>HYPERLINK("https://rhld.insurance.arkansas.gov/NPILookup?Npi=1902421175","1902421175")</f>
        <v>1902421175</v>
      </c>
      <c r="E8245" t="s">
        <v>20113</v>
      </c>
    </row>
    <row r="8246" spans="1:5" x14ac:dyDescent="0.25">
      <c r="A8246" t="s">
        <v>1</v>
      </c>
      <c r="B8246" t="s">
        <v>19</v>
      </c>
      <c r="C8246" t="s">
        <v>23490</v>
      </c>
      <c r="D8246" t="str">
        <f>HYPERLINK("https://rhld.insurance.arkansas.gov/NPILookup?Npi=1902427925","1902427925")</f>
        <v>1902427925</v>
      </c>
      <c r="E8246" t="s">
        <v>17490</v>
      </c>
    </row>
    <row r="8247" spans="1:5" x14ac:dyDescent="0.25">
      <c r="A8247" t="s">
        <v>1</v>
      </c>
      <c r="B8247" t="s">
        <v>19</v>
      </c>
      <c r="C8247" t="s">
        <v>23490</v>
      </c>
      <c r="D8247" t="str">
        <f>HYPERLINK("https://rhld.insurance.arkansas.gov/NPILookup?Npi=1902458698","1902458698")</f>
        <v>1902458698</v>
      </c>
      <c r="E8247" t="s">
        <v>20114</v>
      </c>
    </row>
    <row r="8248" spans="1:5" x14ac:dyDescent="0.25">
      <c r="A8248" t="s">
        <v>1</v>
      </c>
      <c r="B8248" t="s">
        <v>19</v>
      </c>
      <c r="C8248" t="s">
        <v>23490</v>
      </c>
      <c r="D8248" t="str">
        <f>HYPERLINK("https://rhld.insurance.arkansas.gov/NPILookup?Npi=1902464639","1902464639")</f>
        <v>1902464639</v>
      </c>
      <c r="E8248" t="s">
        <v>20115</v>
      </c>
    </row>
    <row r="8249" spans="1:5" x14ac:dyDescent="0.25">
      <c r="A8249" t="s">
        <v>1</v>
      </c>
      <c r="B8249" t="s">
        <v>19</v>
      </c>
      <c r="C8249" t="s">
        <v>23490</v>
      </c>
      <c r="D8249" t="str">
        <f>HYPERLINK("https://rhld.insurance.arkansas.gov/NPILookup?Npi=1902475635","1902475635")</f>
        <v>1902475635</v>
      </c>
      <c r="E8249" t="s">
        <v>18896</v>
      </c>
    </row>
    <row r="8250" spans="1:5" x14ac:dyDescent="0.25">
      <c r="A8250" t="s">
        <v>1</v>
      </c>
      <c r="B8250" t="s">
        <v>19</v>
      </c>
      <c r="C8250" t="s">
        <v>23490</v>
      </c>
      <c r="D8250" t="str">
        <f>HYPERLINK("https://rhld.insurance.arkansas.gov/NPILookup?Npi=1902488380","1902488380")</f>
        <v>1902488380</v>
      </c>
      <c r="E8250" t="s">
        <v>18897</v>
      </c>
    </row>
    <row r="8251" spans="1:5" x14ac:dyDescent="0.25">
      <c r="A8251" t="s">
        <v>1</v>
      </c>
      <c r="B8251" t="s">
        <v>19</v>
      </c>
      <c r="C8251" t="s">
        <v>23490</v>
      </c>
      <c r="D8251" t="str">
        <f>HYPERLINK("https://rhld.insurance.arkansas.gov/NPILookup?Npi=1902507494","1902507494")</f>
        <v>1902507494</v>
      </c>
      <c r="E8251" t="s">
        <v>21677</v>
      </c>
    </row>
    <row r="8252" spans="1:5" x14ac:dyDescent="0.25">
      <c r="A8252" t="s">
        <v>1</v>
      </c>
      <c r="B8252" t="s">
        <v>19</v>
      </c>
      <c r="C8252" t="s">
        <v>23490</v>
      </c>
      <c r="D8252" t="str">
        <f>HYPERLINK("https://rhld.insurance.arkansas.gov/NPILookup?Npi=1902537764","1902537764")</f>
        <v>1902537764</v>
      </c>
      <c r="E8252" t="s">
        <v>21407</v>
      </c>
    </row>
    <row r="8253" spans="1:5" x14ac:dyDescent="0.25">
      <c r="A8253" t="s">
        <v>1</v>
      </c>
      <c r="B8253" t="s">
        <v>19</v>
      </c>
      <c r="C8253" t="s">
        <v>23490</v>
      </c>
      <c r="D8253" t="str">
        <f>HYPERLINK("https://rhld.insurance.arkansas.gov/NPILookup?Npi=1902560139","1902560139")</f>
        <v>1902560139</v>
      </c>
      <c r="E8253" t="s">
        <v>20116</v>
      </c>
    </row>
    <row r="8254" spans="1:5" x14ac:dyDescent="0.25">
      <c r="A8254" t="s">
        <v>1</v>
      </c>
      <c r="B8254" t="s">
        <v>19</v>
      </c>
      <c r="C8254" t="s">
        <v>23490</v>
      </c>
      <c r="D8254" t="str">
        <f>HYPERLINK("https://rhld.insurance.arkansas.gov/NPILookup?Npi=1902800659","1902800659")</f>
        <v>1902800659</v>
      </c>
      <c r="E8254" t="s">
        <v>15029</v>
      </c>
    </row>
    <row r="8255" spans="1:5" x14ac:dyDescent="0.25">
      <c r="A8255" t="s">
        <v>1</v>
      </c>
      <c r="B8255" t="s">
        <v>19</v>
      </c>
      <c r="C8255" t="s">
        <v>23490</v>
      </c>
      <c r="D8255" t="str">
        <f>HYPERLINK("https://rhld.insurance.arkansas.gov/NPILookup?Npi=1902802465","1902802465")</f>
        <v>1902802465</v>
      </c>
      <c r="E8255" t="s">
        <v>3151</v>
      </c>
    </row>
    <row r="8256" spans="1:5" x14ac:dyDescent="0.25">
      <c r="A8256" t="s">
        <v>1</v>
      </c>
      <c r="B8256" t="s">
        <v>19</v>
      </c>
      <c r="C8256" t="s">
        <v>23490</v>
      </c>
      <c r="D8256" t="str">
        <f>HYPERLINK("https://rhld.insurance.arkansas.gov/NPILookup?Npi=1902809718","1902809718")</f>
        <v>1902809718</v>
      </c>
      <c r="E8256" t="s">
        <v>2479</v>
      </c>
    </row>
    <row r="8257" spans="1:5" x14ac:dyDescent="0.25">
      <c r="A8257" t="s">
        <v>1</v>
      </c>
      <c r="B8257" t="s">
        <v>19</v>
      </c>
      <c r="C8257" t="s">
        <v>23490</v>
      </c>
      <c r="D8257" t="str">
        <f>HYPERLINK("https://rhld.insurance.arkansas.gov/NPILookup?Npi=1902814296","1902814296")</f>
        <v>1902814296</v>
      </c>
      <c r="E8257" t="s">
        <v>15700</v>
      </c>
    </row>
    <row r="8258" spans="1:5" x14ac:dyDescent="0.25">
      <c r="A8258" t="s">
        <v>1</v>
      </c>
      <c r="B8258" t="s">
        <v>19</v>
      </c>
      <c r="C8258" t="s">
        <v>23490</v>
      </c>
      <c r="D8258" t="str">
        <f>HYPERLINK("https://rhld.insurance.arkansas.gov/NPILookup?Npi=1902815558","1902815558")</f>
        <v>1902815558</v>
      </c>
      <c r="E8258" t="s">
        <v>3152</v>
      </c>
    </row>
    <row r="8259" spans="1:5" x14ac:dyDescent="0.25">
      <c r="A8259" t="s">
        <v>1</v>
      </c>
      <c r="B8259" t="s">
        <v>19</v>
      </c>
      <c r="C8259" t="s">
        <v>23490</v>
      </c>
      <c r="D8259" t="str">
        <f>HYPERLINK("https://rhld.insurance.arkansas.gov/NPILookup?Npi=1902824162","1902824162")</f>
        <v>1902824162</v>
      </c>
      <c r="E8259" t="s">
        <v>3153</v>
      </c>
    </row>
    <row r="8260" spans="1:5" x14ac:dyDescent="0.25">
      <c r="A8260" t="s">
        <v>1</v>
      </c>
      <c r="B8260" t="s">
        <v>19</v>
      </c>
      <c r="C8260" t="s">
        <v>23490</v>
      </c>
      <c r="D8260" t="str">
        <f>HYPERLINK("https://rhld.insurance.arkansas.gov/NPILookup?Npi=1902838105","1902838105")</f>
        <v>1902838105</v>
      </c>
      <c r="E8260" t="s">
        <v>3154</v>
      </c>
    </row>
    <row r="8261" spans="1:5" x14ac:dyDescent="0.25">
      <c r="A8261" t="s">
        <v>1</v>
      </c>
      <c r="B8261" t="s">
        <v>19</v>
      </c>
      <c r="C8261" t="s">
        <v>23490</v>
      </c>
      <c r="D8261" t="str">
        <f>HYPERLINK("https://rhld.insurance.arkansas.gov/NPILookup?Npi=1902856909","1902856909")</f>
        <v>1902856909</v>
      </c>
      <c r="E8261" t="s">
        <v>15701</v>
      </c>
    </row>
    <row r="8262" spans="1:5" x14ac:dyDescent="0.25">
      <c r="A8262" t="s">
        <v>1</v>
      </c>
      <c r="B8262" t="s">
        <v>19</v>
      </c>
      <c r="C8262" t="s">
        <v>23490</v>
      </c>
      <c r="D8262" t="str">
        <f>HYPERLINK("https://rhld.insurance.arkansas.gov/NPILookup?Npi=1902867070","1902867070")</f>
        <v>1902867070</v>
      </c>
      <c r="E8262" t="s">
        <v>3155</v>
      </c>
    </row>
    <row r="8263" spans="1:5" x14ac:dyDescent="0.25">
      <c r="A8263" t="s">
        <v>1</v>
      </c>
      <c r="B8263" t="s">
        <v>19</v>
      </c>
      <c r="C8263" t="s">
        <v>23490</v>
      </c>
      <c r="D8263" t="str">
        <f>HYPERLINK("https://rhld.insurance.arkansas.gov/NPILookup?Npi=1902884372","1902884372")</f>
        <v>1902884372</v>
      </c>
      <c r="E8263" t="s">
        <v>3156</v>
      </c>
    </row>
    <row r="8264" spans="1:5" x14ac:dyDescent="0.25">
      <c r="A8264" t="s">
        <v>1</v>
      </c>
      <c r="B8264" t="s">
        <v>19</v>
      </c>
      <c r="C8264" t="s">
        <v>23490</v>
      </c>
      <c r="D8264" t="str">
        <f>HYPERLINK("https://rhld.insurance.arkansas.gov/NPILookup?Npi=1902885015","1902885015")</f>
        <v>1902885015</v>
      </c>
      <c r="E8264" t="s">
        <v>3157</v>
      </c>
    </row>
    <row r="8265" spans="1:5" x14ac:dyDescent="0.25">
      <c r="A8265" t="s">
        <v>1</v>
      </c>
      <c r="B8265" t="s">
        <v>19</v>
      </c>
      <c r="C8265" t="s">
        <v>23490</v>
      </c>
      <c r="D8265" t="str">
        <f>HYPERLINK("https://rhld.insurance.arkansas.gov/NPILookup?Npi=1902888720","1902888720")</f>
        <v>1902888720</v>
      </c>
      <c r="E8265" t="s">
        <v>3158</v>
      </c>
    </row>
    <row r="8266" spans="1:5" x14ac:dyDescent="0.25">
      <c r="A8266" t="s">
        <v>1</v>
      </c>
      <c r="B8266" t="s">
        <v>19</v>
      </c>
      <c r="C8266" t="s">
        <v>23490</v>
      </c>
      <c r="D8266" t="str">
        <f>HYPERLINK("https://rhld.insurance.arkansas.gov/NPILookup?Npi=1902893811","1902893811")</f>
        <v>1902893811</v>
      </c>
      <c r="E8266" t="s">
        <v>15702</v>
      </c>
    </row>
    <row r="8267" spans="1:5" x14ac:dyDescent="0.25">
      <c r="A8267" t="s">
        <v>1</v>
      </c>
      <c r="B8267" t="s">
        <v>19</v>
      </c>
      <c r="C8267" t="s">
        <v>23490</v>
      </c>
      <c r="D8267" t="str">
        <f>HYPERLINK("https://rhld.insurance.arkansas.gov/NPILookup?Npi=1902903636","1902903636")</f>
        <v>1902903636</v>
      </c>
      <c r="E8267" t="s">
        <v>15703</v>
      </c>
    </row>
    <row r="8268" spans="1:5" x14ac:dyDescent="0.25">
      <c r="A8268" t="s">
        <v>1</v>
      </c>
      <c r="B8268" t="s">
        <v>19</v>
      </c>
      <c r="C8268" t="s">
        <v>23490</v>
      </c>
      <c r="D8268" t="str">
        <f>HYPERLINK("https://rhld.insurance.arkansas.gov/NPILookup?Npi=1902910516","1902910516")</f>
        <v>1902910516</v>
      </c>
      <c r="E8268" t="s">
        <v>3159</v>
      </c>
    </row>
    <row r="8269" spans="1:5" x14ac:dyDescent="0.25">
      <c r="A8269" t="s">
        <v>1</v>
      </c>
      <c r="B8269" t="s">
        <v>19</v>
      </c>
      <c r="C8269" t="s">
        <v>23490</v>
      </c>
      <c r="D8269" t="str">
        <f>HYPERLINK("https://rhld.insurance.arkansas.gov/NPILookup?Npi=1902983075","1902983075")</f>
        <v>1902983075</v>
      </c>
      <c r="E8269" t="s">
        <v>15704</v>
      </c>
    </row>
    <row r="8270" spans="1:5" x14ac:dyDescent="0.25">
      <c r="A8270" t="s">
        <v>1</v>
      </c>
      <c r="B8270" t="s">
        <v>19</v>
      </c>
      <c r="C8270" t="s">
        <v>23490</v>
      </c>
      <c r="D8270" t="str">
        <f>HYPERLINK("https://rhld.insurance.arkansas.gov/NPILookup?Npi=1912025362","1912025362")</f>
        <v>1912025362</v>
      </c>
      <c r="E8270" t="s">
        <v>20117</v>
      </c>
    </row>
    <row r="8271" spans="1:5" x14ac:dyDescent="0.25">
      <c r="A8271" t="s">
        <v>1</v>
      </c>
      <c r="B8271" t="s">
        <v>19</v>
      </c>
      <c r="C8271" t="s">
        <v>23490</v>
      </c>
      <c r="D8271" t="str">
        <f>HYPERLINK("https://rhld.insurance.arkansas.gov/NPILookup?Npi=1912043043","1912043043")</f>
        <v>1912043043</v>
      </c>
      <c r="E8271" t="s">
        <v>3160</v>
      </c>
    </row>
    <row r="8272" spans="1:5" x14ac:dyDescent="0.25">
      <c r="A8272" t="s">
        <v>1</v>
      </c>
      <c r="B8272" t="s">
        <v>19</v>
      </c>
      <c r="C8272" t="s">
        <v>23490</v>
      </c>
      <c r="D8272" t="str">
        <f>HYPERLINK("https://rhld.insurance.arkansas.gov/NPILookup?Npi=1912058579","1912058579")</f>
        <v>1912058579</v>
      </c>
      <c r="E8272" t="s">
        <v>3161</v>
      </c>
    </row>
    <row r="8273" spans="1:5" x14ac:dyDescent="0.25">
      <c r="A8273" t="s">
        <v>1</v>
      </c>
      <c r="B8273" t="s">
        <v>19</v>
      </c>
      <c r="C8273" t="s">
        <v>23490</v>
      </c>
      <c r="D8273" t="str">
        <f>HYPERLINK("https://rhld.insurance.arkansas.gov/NPILookup?Npi=1912088089","1912088089")</f>
        <v>1912088089</v>
      </c>
      <c r="E8273" t="s">
        <v>3162</v>
      </c>
    </row>
    <row r="8274" spans="1:5" x14ac:dyDescent="0.25">
      <c r="A8274" t="s">
        <v>1</v>
      </c>
      <c r="B8274" t="s">
        <v>19</v>
      </c>
      <c r="C8274" t="s">
        <v>23490</v>
      </c>
      <c r="D8274" t="str">
        <f>HYPERLINK("https://rhld.insurance.arkansas.gov/NPILookup?Npi=1912110834","1912110834")</f>
        <v>1912110834</v>
      </c>
      <c r="E8274" t="s">
        <v>13779</v>
      </c>
    </row>
    <row r="8275" spans="1:5" x14ac:dyDescent="0.25">
      <c r="A8275" t="s">
        <v>1</v>
      </c>
      <c r="B8275" t="s">
        <v>19</v>
      </c>
      <c r="C8275" t="s">
        <v>23490</v>
      </c>
      <c r="D8275" t="str">
        <f>HYPERLINK("https://rhld.insurance.arkansas.gov/NPILookup?Npi=1912111055","1912111055")</f>
        <v>1912111055</v>
      </c>
      <c r="E8275" t="s">
        <v>3163</v>
      </c>
    </row>
    <row r="8276" spans="1:5" x14ac:dyDescent="0.25">
      <c r="A8276" t="s">
        <v>1</v>
      </c>
      <c r="B8276" t="s">
        <v>19</v>
      </c>
      <c r="C8276" t="s">
        <v>23490</v>
      </c>
      <c r="D8276" t="str">
        <f>HYPERLINK("https://rhld.insurance.arkansas.gov/NPILookup?Npi=1912136227","1912136227")</f>
        <v>1912136227</v>
      </c>
      <c r="E8276" t="s">
        <v>3164</v>
      </c>
    </row>
    <row r="8277" spans="1:5" x14ac:dyDescent="0.25">
      <c r="A8277" t="s">
        <v>1</v>
      </c>
      <c r="B8277" t="s">
        <v>19</v>
      </c>
      <c r="C8277" t="s">
        <v>23490</v>
      </c>
      <c r="D8277" t="str">
        <f>HYPERLINK("https://rhld.insurance.arkansas.gov/NPILookup?Npi=1912136870","1912136870")</f>
        <v>1912136870</v>
      </c>
      <c r="E8277" t="s">
        <v>20118</v>
      </c>
    </row>
    <row r="8278" spans="1:5" x14ac:dyDescent="0.25">
      <c r="A8278" t="s">
        <v>1</v>
      </c>
      <c r="B8278" t="s">
        <v>19</v>
      </c>
      <c r="C8278" t="s">
        <v>23490</v>
      </c>
      <c r="D8278" t="str">
        <f>HYPERLINK("https://rhld.insurance.arkansas.gov/NPILookup?Npi=1912157041","1912157041")</f>
        <v>1912157041</v>
      </c>
      <c r="E8278" t="s">
        <v>3165</v>
      </c>
    </row>
    <row r="8279" spans="1:5" x14ac:dyDescent="0.25">
      <c r="A8279" t="s">
        <v>1</v>
      </c>
      <c r="B8279" t="s">
        <v>19</v>
      </c>
      <c r="C8279" t="s">
        <v>23490</v>
      </c>
      <c r="D8279" t="str">
        <f>HYPERLINK("https://rhld.insurance.arkansas.gov/NPILookup?Npi=1912162892","1912162892")</f>
        <v>1912162892</v>
      </c>
      <c r="E8279" t="s">
        <v>17049</v>
      </c>
    </row>
    <row r="8280" spans="1:5" x14ac:dyDescent="0.25">
      <c r="A8280" t="s">
        <v>1</v>
      </c>
      <c r="B8280" t="s">
        <v>19</v>
      </c>
      <c r="C8280" t="s">
        <v>23490</v>
      </c>
      <c r="D8280" t="str">
        <f>HYPERLINK("https://rhld.insurance.arkansas.gov/NPILookup?Npi=1912172271","1912172271")</f>
        <v>1912172271</v>
      </c>
      <c r="E8280" t="s">
        <v>3166</v>
      </c>
    </row>
    <row r="8281" spans="1:5" x14ac:dyDescent="0.25">
      <c r="A8281" t="s">
        <v>1</v>
      </c>
      <c r="B8281" t="s">
        <v>19</v>
      </c>
      <c r="C8281" t="s">
        <v>23490</v>
      </c>
      <c r="D8281" t="str">
        <f>HYPERLINK("https://rhld.insurance.arkansas.gov/NPILookup?Npi=1912191438","1912191438")</f>
        <v>1912191438</v>
      </c>
      <c r="E8281" t="s">
        <v>3167</v>
      </c>
    </row>
    <row r="8282" spans="1:5" x14ac:dyDescent="0.25">
      <c r="A8282" t="s">
        <v>1</v>
      </c>
      <c r="B8282" t="s">
        <v>19</v>
      </c>
      <c r="C8282" t="s">
        <v>23490</v>
      </c>
      <c r="D8282" t="str">
        <f>HYPERLINK("https://rhld.insurance.arkansas.gov/NPILookup?Npi=1912208067","1912208067")</f>
        <v>1912208067</v>
      </c>
      <c r="E8282" t="s">
        <v>11368</v>
      </c>
    </row>
    <row r="8283" spans="1:5" x14ac:dyDescent="0.25">
      <c r="A8283" t="s">
        <v>1</v>
      </c>
      <c r="B8283" t="s">
        <v>19</v>
      </c>
      <c r="C8283" t="s">
        <v>23490</v>
      </c>
      <c r="D8283" t="str">
        <f>HYPERLINK("https://rhld.insurance.arkansas.gov/NPILookup?Npi=1912210378","1912210378")</f>
        <v>1912210378</v>
      </c>
      <c r="E8283" t="s">
        <v>12934</v>
      </c>
    </row>
    <row r="8284" spans="1:5" x14ac:dyDescent="0.25">
      <c r="A8284" t="s">
        <v>1</v>
      </c>
      <c r="B8284" t="s">
        <v>19</v>
      </c>
      <c r="C8284" t="s">
        <v>23490</v>
      </c>
      <c r="D8284" t="str">
        <f>HYPERLINK("https://rhld.insurance.arkansas.gov/NPILookup?Npi=1912214453","1912214453")</f>
        <v>1912214453</v>
      </c>
      <c r="E8284" t="s">
        <v>3168</v>
      </c>
    </row>
    <row r="8285" spans="1:5" x14ac:dyDescent="0.25">
      <c r="A8285" t="s">
        <v>1</v>
      </c>
      <c r="B8285" t="s">
        <v>19</v>
      </c>
      <c r="C8285" t="s">
        <v>23490</v>
      </c>
      <c r="D8285" t="str">
        <f>HYPERLINK("https://rhld.insurance.arkansas.gov/NPILookup?Npi=1912214958","1912214958")</f>
        <v>1912214958</v>
      </c>
      <c r="E8285" t="s">
        <v>11369</v>
      </c>
    </row>
    <row r="8286" spans="1:5" x14ac:dyDescent="0.25">
      <c r="A8286" t="s">
        <v>1</v>
      </c>
      <c r="B8286" t="s">
        <v>19</v>
      </c>
      <c r="C8286" t="s">
        <v>23490</v>
      </c>
      <c r="D8286" t="str">
        <f>HYPERLINK("https://rhld.insurance.arkansas.gov/NPILookup?Npi=1912219478","1912219478")</f>
        <v>1912219478</v>
      </c>
      <c r="E8286" t="s">
        <v>3169</v>
      </c>
    </row>
    <row r="8287" spans="1:5" x14ac:dyDescent="0.25">
      <c r="A8287" t="s">
        <v>1</v>
      </c>
      <c r="B8287" t="s">
        <v>19</v>
      </c>
      <c r="C8287" t="s">
        <v>23490</v>
      </c>
      <c r="D8287" t="str">
        <f>HYPERLINK("https://rhld.insurance.arkansas.gov/NPILookup?Npi=1912224544","1912224544")</f>
        <v>1912224544</v>
      </c>
      <c r="E8287" t="s">
        <v>13780</v>
      </c>
    </row>
    <row r="8288" spans="1:5" x14ac:dyDescent="0.25">
      <c r="A8288" t="s">
        <v>1</v>
      </c>
      <c r="B8288" t="s">
        <v>19</v>
      </c>
      <c r="C8288" t="s">
        <v>23490</v>
      </c>
      <c r="D8288" t="str">
        <f>HYPERLINK("https://rhld.insurance.arkansas.gov/NPILookup?Npi=1912226234","1912226234")</f>
        <v>1912226234</v>
      </c>
      <c r="E8288" t="s">
        <v>13781</v>
      </c>
    </row>
    <row r="8289" spans="1:5" x14ac:dyDescent="0.25">
      <c r="A8289" t="s">
        <v>1</v>
      </c>
      <c r="B8289" t="s">
        <v>19</v>
      </c>
      <c r="C8289" t="s">
        <v>23490</v>
      </c>
      <c r="D8289" t="str">
        <f>HYPERLINK("https://rhld.insurance.arkansas.gov/NPILookup?Npi=1912231358","1912231358")</f>
        <v>1912231358</v>
      </c>
      <c r="E8289" t="s">
        <v>17491</v>
      </c>
    </row>
    <row r="8290" spans="1:5" x14ac:dyDescent="0.25">
      <c r="A8290" t="s">
        <v>1</v>
      </c>
      <c r="B8290" t="s">
        <v>19</v>
      </c>
      <c r="C8290" t="s">
        <v>23490</v>
      </c>
      <c r="D8290" t="str">
        <f>HYPERLINK("https://rhld.insurance.arkansas.gov/NPILookup?Npi=1912247156","1912247156")</f>
        <v>1912247156</v>
      </c>
      <c r="E8290" t="s">
        <v>11370</v>
      </c>
    </row>
    <row r="8291" spans="1:5" x14ac:dyDescent="0.25">
      <c r="A8291" t="s">
        <v>1</v>
      </c>
      <c r="B8291" t="s">
        <v>19</v>
      </c>
      <c r="C8291" t="s">
        <v>23490</v>
      </c>
      <c r="D8291" t="str">
        <f>HYPERLINK("https://rhld.insurance.arkansas.gov/NPILookup?Npi=1912249343","1912249343")</f>
        <v>1912249343</v>
      </c>
      <c r="E8291" t="s">
        <v>17492</v>
      </c>
    </row>
    <row r="8292" spans="1:5" x14ac:dyDescent="0.25">
      <c r="A8292" t="s">
        <v>1</v>
      </c>
      <c r="B8292" t="s">
        <v>19</v>
      </c>
      <c r="C8292" t="s">
        <v>23490</v>
      </c>
      <c r="D8292" t="str">
        <f>HYPERLINK("https://rhld.insurance.arkansas.gov/NPILookup?Npi=1912252354","1912252354")</f>
        <v>1912252354</v>
      </c>
      <c r="E8292" t="s">
        <v>3170</v>
      </c>
    </row>
    <row r="8293" spans="1:5" x14ac:dyDescent="0.25">
      <c r="A8293" t="s">
        <v>1</v>
      </c>
      <c r="B8293" t="s">
        <v>19</v>
      </c>
      <c r="C8293" t="s">
        <v>23490</v>
      </c>
      <c r="D8293" t="str">
        <f>HYPERLINK("https://rhld.insurance.arkansas.gov/NPILookup?Npi=1912258393","1912258393")</f>
        <v>1912258393</v>
      </c>
      <c r="E8293" t="s">
        <v>15705</v>
      </c>
    </row>
    <row r="8294" spans="1:5" x14ac:dyDescent="0.25">
      <c r="A8294" t="s">
        <v>1</v>
      </c>
      <c r="B8294" t="s">
        <v>19</v>
      </c>
      <c r="C8294" t="s">
        <v>23490</v>
      </c>
      <c r="D8294" t="str">
        <f>HYPERLINK("https://rhld.insurance.arkansas.gov/NPILookup?Npi=1912261173","1912261173")</f>
        <v>1912261173</v>
      </c>
      <c r="E8294" t="s">
        <v>21678</v>
      </c>
    </row>
    <row r="8295" spans="1:5" x14ac:dyDescent="0.25">
      <c r="A8295" t="s">
        <v>1</v>
      </c>
      <c r="B8295" t="s">
        <v>19</v>
      </c>
      <c r="C8295" t="s">
        <v>23490</v>
      </c>
      <c r="D8295" t="str">
        <f>HYPERLINK("https://rhld.insurance.arkansas.gov/NPILookup?Npi=1912270323","1912270323")</f>
        <v>1912270323</v>
      </c>
      <c r="E8295" t="s">
        <v>15706</v>
      </c>
    </row>
    <row r="8296" spans="1:5" x14ac:dyDescent="0.25">
      <c r="A8296" t="s">
        <v>1</v>
      </c>
      <c r="B8296" t="s">
        <v>19</v>
      </c>
      <c r="C8296" t="s">
        <v>23490</v>
      </c>
      <c r="D8296" t="str">
        <f>HYPERLINK("https://rhld.insurance.arkansas.gov/NPILookup?Npi=1912279290","1912279290")</f>
        <v>1912279290</v>
      </c>
      <c r="E8296" t="s">
        <v>11371</v>
      </c>
    </row>
    <row r="8297" spans="1:5" x14ac:dyDescent="0.25">
      <c r="A8297" t="s">
        <v>1</v>
      </c>
      <c r="B8297" t="s">
        <v>19</v>
      </c>
      <c r="C8297" t="s">
        <v>23490</v>
      </c>
      <c r="D8297" t="str">
        <f>HYPERLINK("https://rhld.insurance.arkansas.gov/NPILookup?Npi=1912290461","1912290461")</f>
        <v>1912290461</v>
      </c>
      <c r="E8297" t="s">
        <v>15707</v>
      </c>
    </row>
    <row r="8298" spans="1:5" x14ac:dyDescent="0.25">
      <c r="A8298" t="s">
        <v>1</v>
      </c>
      <c r="B8298" t="s">
        <v>19</v>
      </c>
      <c r="C8298" t="s">
        <v>23490</v>
      </c>
      <c r="D8298" t="str">
        <f>HYPERLINK("https://rhld.insurance.arkansas.gov/NPILookup?Npi=1912318049","1912318049")</f>
        <v>1912318049</v>
      </c>
      <c r="E8298" t="s">
        <v>11372</v>
      </c>
    </row>
    <row r="8299" spans="1:5" x14ac:dyDescent="0.25">
      <c r="A8299" t="s">
        <v>1</v>
      </c>
      <c r="B8299" t="s">
        <v>19</v>
      </c>
      <c r="C8299" t="s">
        <v>23490</v>
      </c>
      <c r="D8299" t="str">
        <f>HYPERLINK("https://rhld.insurance.arkansas.gov/NPILookup?Npi=1912320946","1912320946")</f>
        <v>1912320946</v>
      </c>
      <c r="E8299" t="s">
        <v>20119</v>
      </c>
    </row>
    <row r="8300" spans="1:5" x14ac:dyDescent="0.25">
      <c r="A8300" t="s">
        <v>1</v>
      </c>
      <c r="B8300" t="s">
        <v>19</v>
      </c>
      <c r="C8300" t="s">
        <v>23490</v>
      </c>
      <c r="D8300" t="str">
        <f>HYPERLINK("https://rhld.insurance.arkansas.gov/NPILookup?Npi=1912352055","1912352055")</f>
        <v>1912352055</v>
      </c>
      <c r="E8300" t="s">
        <v>11373</v>
      </c>
    </row>
    <row r="8301" spans="1:5" x14ac:dyDescent="0.25">
      <c r="A8301" t="s">
        <v>1</v>
      </c>
      <c r="B8301" t="s">
        <v>19</v>
      </c>
      <c r="C8301" t="s">
        <v>23490</v>
      </c>
      <c r="D8301" t="str">
        <f>HYPERLINK("https://rhld.insurance.arkansas.gov/NPILookup?Npi=1912352733","1912352733")</f>
        <v>1912352733</v>
      </c>
      <c r="E8301" t="s">
        <v>20120</v>
      </c>
    </row>
    <row r="8302" spans="1:5" x14ac:dyDescent="0.25">
      <c r="A8302" t="s">
        <v>1</v>
      </c>
      <c r="B8302" t="s">
        <v>19</v>
      </c>
      <c r="C8302" t="s">
        <v>23490</v>
      </c>
      <c r="D8302" t="str">
        <f>HYPERLINK("https://rhld.insurance.arkansas.gov/NPILookup?Npi=1912360538","1912360538")</f>
        <v>1912360538</v>
      </c>
      <c r="E8302" t="s">
        <v>8921</v>
      </c>
    </row>
    <row r="8303" spans="1:5" x14ac:dyDescent="0.25">
      <c r="A8303" t="s">
        <v>1</v>
      </c>
      <c r="B8303" t="s">
        <v>19</v>
      </c>
      <c r="C8303" t="s">
        <v>23490</v>
      </c>
      <c r="D8303" t="str">
        <f>HYPERLINK("https://rhld.insurance.arkansas.gov/NPILookup?Npi=1912368747","1912368747")</f>
        <v>1912368747</v>
      </c>
      <c r="E8303" t="s">
        <v>8922</v>
      </c>
    </row>
    <row r="8304" spans="1:5" x14ac:dyDescent="0.25">
      <c r="A8304" t="s">
        <v>1</v>
      </c>
      <c r="B8304" t="s">
        <v>19</v>
      </c>
      <c r="C8304" t="s">
        <v>23490</v>
      </c>
      <c r="D8304" t="str">
        <f>HYPERLINK("https://rhld.insurance.arkansas.gov/NPILookup?Npi=1912369687","1912369687")</f>
        <v>1912369687</v>
      </c>
      <c r="E8304" t="s">
        <v>11374</v>
      </c>
    </row>
    <row r="8305" spans="1:5" x14ac:dyDescent="0.25">
      <c r="A8305" t="s">
        <v>1</v>
      </c>
      <c r="B8305" t="s">
        <v>19</v>
      </c>
      <c r="C8305" t="s">
        <v>23490</v>
      </c>
      <c r="D8305" t="str">
        <f>HYPERLINK("https://rhld.insurance.arkansas.gov/NPILookup?Npi=1912380361","1912380361")</f>
        <v>1912380361</v>
      </c>
      <c r="E8305" t="s">
        <v>13782</v>
      </c>
    </row>
    <row r="8306" spans="1:5" x14ac:dyDescent="0.25">
      <c r="A8306" t="s">
        <v>1</v>
      </c>
      <c r="B8306" t="s">
        <v>19</v>
      </c>
      <c r="C8306" t="s">
        <v>23490</v>
      </c>
      <c r="D8306" t="str">
        <f>HYPERLINK("https://rhld.insurance.arkansas.gov/NPILookup?Npi=1912384850","1912384850")</f>
        <v>1912384850</v>
      </c>
      <c r="E8306" t="s">
        <v>13783</v>
      </c>
    </row>
    <row r="8307" spans="1:5" x14ac:dyDescent="0.25">
      <c r="A8307" t="s">
        <v>1</v>
      </c>
      <c r="B8307" t="s">
        <v>19</v>
      </c>
      <c r="C8307" t="s">
        <v>23490</v>
      </c>
      <c r="D8307" t="str">
        <f>HYPERLINK("https://rhld.insurance.arkansas.gov/NPILookup?Npi=1912385667","1912385667")</f>
        <v>1912385667</v>
      </c>
      <c r="E8307" t="s">
        <v>11375</v>
      </c>
    </row>
    <row r="8308" spans="1:5" x14ac:dyDescent="0.25">
      <c r="A8308" t="s">
        <v>1</v>
      </c>
      <c r="B8308" t="s">
        <v>19</v>
      </c>
      <c r="C8308" t="s">
        <v>23490</v>
      </c>
      <c r="D8308" t="str">
        <f>HYPERLINK("https://rhld.insurance.arkansas.gov/NPILookup?Npi=1912399452","1912399452")</f>
        <v>1912399452</v>
      </c>
      <c r="E8308" t="s">
        <v>3171</v>
      </c>
    </row>
    <row r="8309" spans="1:5" x14ac:dyDescent="0.25">
      <c r="A8309" t="s">
        <v>1</v>
      </c>
      <c r="B8309" t="s">
        <v>19</v>
      </c>
      <c r="C8309" t="s">
        <v>23490</v>
      </c>
      <c r="D8309" t="str">
        <f>HYPERLINK("https://rhld.insurance.arkansas.gov/NPILookup?Npi=1912418302","1912418302")</f>
        <v>1912418302</v>
      </c>
      <c r="E8309" t="s">
        <v>13784</v>
      </c>
    </row>
    <row r="8310" spans="1:5" x14ac:dyDescent="0.25">
      <c r="A8310" t="s">
        <v>1</v>
      </c>
      <c r="B8310" t="s">
        <v>19</v>
      </c>
      <c r="C8310" t="s">
        <v>23490</v>
      </c>
      <c r="D8310" t="str">
        <f>HYPERLINK("https://rhld.insurance.arkansas.gov/NPILookup?Npi=1912430315","1912430315")</f>
        <v>1912430315</v>
      </c>
      <c r="E8310" t="s">
        <v>13785</v>
      </c>
    </row>
    <row r="8311" spans="1:5" x14ac:dyDescent="0.25">
      <c r="A8311" t="s">
        <v>1</v>
      </c>
      <c r="B8311" t="s">
        <v>19</v>
      </c>
      <c r="C8311" t="s">
        <v>23490</v>
      </c>
      <c r="D8311" t="str">
        <f>HYPERLINK("https://rhld.insurance.arkansas.gov/NPILookup?Npi=1912431834","1912431834")</f>
        <v>1912431834</v>
      </c>
      <c r="E8311" t="s">
        <v>17493</v>
      </c>
    </row>
    <row r="8312" spans="1:5" x14ac:dyDescent="0.25">
      <c r="A8312" t="s">
        <v>1</v>
      </c>
      <c r="B8312" t="s">
        <v>19</v>
      </c>
      <c r="C8312" t="s">
        <v>23490</v>
      </c>
      <c r="D8312" t="str">
        <f>HYPERLINK("https://rhld.insurance.arkansas.gov/NPILookup?Npi=1912445628","1912445628")</f>
        <v>1912445628</v>
      </c>
      <c r="E8312" t="s">
        <v>15708</v>
      </c>
    </row>
    <row r="8313" spans="1:5" x14ac:dyDescent="0.25">
      <c r="A8313" t="s">
        <v>1</v>
      </c>
      <c r="B8313" t="s">
        <v>19</v>
      </c>
      <c r="C8313" t="s">
        <v>23490</v>
      </c>
      <c r="D8313" t="str">
        <f>HYPERLINK("https://rhld.insurance.arkansas.gov/NPILookup?Npi=1912456161","1912456161")</f>
        <v>1912456161</v>
      </c>
      <c r="E8313" t="s">
        <v>11376</v>
      </c>
    </row>
    <row r="8314" spans="1:5" x14ac:dyDescent="0.25">
      <c r="A8314" t="s">
        <v>1</v>
      </c>
      <c r="B8314" t="s">
        <v>19</v>
      </c>
      <c r="C8314" t="s">
        <v>23490</v>
      </c>
      <c r="D8314" t="str">
        <f>HYPERLINK("https://rhld.insurance.arkansas.gov/NPILookup?Npi=1912469362","1912469362")</f>
        <v>1912469362</v>
      </c>
      <c r="E8314" t="s">
        <v>20121</v>
      </c>
    </row>
    <row r="8315" spans="1:5" x14ac:dyDescent="0.25">
      <c r="A8315" t="s">
        <v>1</v>
      </c>
      <c r="B8315" t="s">
        <v>19</v>
      </c>
      <c r="C8315" t="s">
        <v>23490</v>
      </c>
      <c r="D8315" t="str">
        <f>HYPERLINK("https://rhld.insurance.arkansas.gov/NPILookup?Npi=1912483132","1912483132")</f>
        <v>1912483132</v>
      </c>
      <c r="E8315" t="s">
        <v>18898</v>
      </c>
    </row>
    <row r="8316" spans="1:5" x14ac:dyDescent="0.25">
      <c r="A8316" t="s">
        <v>1</v>
      </c>
      <c r="B8316" t="s">
        <v>19</v>
      </c>
      <c r="C8316" t="s">
        <v>23490</v>
      </c>
      <c r="D8316" t="str">
        <f>HYPERLINK("https://rhld.insurance.arkansas.gov/NPILookup?Npi=1912488115","1912488115")</f>
        <v>1912488115</v>
      </c>
      <c r="E8316" t="s">
        <v>17050</v>
      </c>
    </row>
    <row r="8317" spans="1:5" x14ac:dyDescent="0.25">
      <c r="A8317" t="s">
        <v>1</v>
      </c>
      <c r="B8317" t="s">
        <v>19</v>
      </c>
      <c r="C8317" t="s">
        <v>23490</v>
      </c>
      <c r="D8317" t="str">
        <f>HYPERLINK("https://rhld.insurance.arkansas.gov/NPILookup?Npi=1912492273","1912492273")</f>
        <v>1912492273</v>
      </c>
      <c r="E8317" t="s">
        <v>13786</v>
      </c>
    </row>
    <row r="8318" spans="1:5" x14ac:dyDescent="0.25">
      <c r="A8318" t="s">
        <v>1</v>
      </c>
      <c r="B8318" t="s">
        <v>19</v>
      </c>
      <c r="C8318" t="s">
        <v>23490</v>
      </c>
      <c r="D8318" t="str">
        <f>HYPERLINK("https://rhld.insurance.arkansas.gov/NPILookup?Npi=1912492943","1912492943")</f>
        <v>1912492943</v>
      </c>
      <c r="E8318" t="s">
        <v>18173</v>
      </c>
    </row>
    <row r="8319" spans="1:5" x14ac:dyDescent="0.25">
      <c r="A8319" t="s">
        <v>1</v>
      </c>
      <c r="B8319" t="s">
        <v>19</v>
      </c>
      <c r="C8319" t="s">
        <v>23490</v>
      </c>
      <c r="D8319" t="str">
        <f>HYPERLINK("https://rhld.insurance.arkansas.gov/NPILookup?Npi=1912498585","1912498585")</f>
        <v>1912498585</v>
      </c>
      <c r="E8319" t="s">
        <v>13787</v>
      </c>
    </row>
    <row r="8320" spans="1:5" x14ac:dyDescent="0.25">
      <c r="A8320" t="s">
        <v>1</v>
      </c>
      <c r="B8320" t="s">
        <v>19</v>
      </c>
      <c r="C8320" t="s">
        <v>23490</v>
      </c>
      <c r="D8320" t="str">
        <f>HYPERLINK("https://rhld.insurance.arkansas.gov/NPILookup?Npi=1912507419","1912507419")</f>
        <v>1912507419</v>
      </c>
      <c r="E8320" t="s">
        <v>20122</v>
      </c>
    </row>
    <row r="8321" spans="1:5" x14ac:dyDescent="0.25">
      <c r="A8321" t="s">
        <v>1</v>
      </c>
      <c r="B8321" t="s">
        <v>19</v>
      </c>
      <c r="C8321" t="s">
        <v>23490</v>
      </c>
      <c r="D8321" t="str">
        <f>HYPERLINK("https://rhld.insurance.arkansas.gov/NPILookup?Npi=1912514936","1912514936")</f>
        <v>1912514936</v>
      </c>
      <c r="E8321" t="s">
        <v>18174</v>
      </c>
    </row>
    <row r="8322" spans="1:5" x14ac:dyDescent="0.25">
      <c r="A8322" t="s">
        <v>1</v>
      </c>
      <c r="B8322" t="s">
        <v>19</v>
      </c>
      <c r="C8322" t="s">
        <v>23490</v>
      </c>
      <c r="D8322" t="str">
        <f>HYPERLINK("https://rhld.insurance.arkansas.gov/NPILookup?Npi=1912518390","1912518390")</f>
        <v>1912518390</v>
      </c>
      <c r="E8322" t="s">
        <v>21062</v>
      </c>
    </row>
    <row r="8323" spans="1:5" x14ac:dyDescent="0.25">
      <c r="A8323" t="s">
        <v>1</v>
      </c>
      <c r="B8323" t="s">
        <v>19</v>
      </c>
      <c r="C8323" t="s">
        <v>23490</v>
      </c>
      <c r="D8323" t="str">
        <f>HYPERLINK("https://rhld.insurance.arkansas.gov/NPILookup?Npi=1912521253","1912521253")</f>
        <v>1912521253</v>
      </c>
      <c r="E8323" t="s">
        <v>21408</v>
      </c>
    </row>
    <row r="8324" spans="1:5" x14ac:dyDescent="0.25">
      <c r="A8324" t="s">
        <v>1</v>
      </c>
      <c r="B8324" t="s">
        <v>19</v>
      </c>
      <c r="C8324" t="s">
        <v>8427</v>
      </c>
      <c r="D8324" t="str">
        <f>HYPERLINK("https://rhld.insurance.arkansas.gov/NPILookup?Npi=1912529090","1912529090")</f>
        <v>1912529090</v>
      </c>
      <c r="E8324" t="s">
        <v>23005</v>
      </c>
    </row>
    <row r="8325" spans="1:5" x14ac:dyDescent="0.25">
      <c r="A8325" t="s">
        <v>1</v>
      </c>
      <c r="B8325" t="s">
        <v>19</v>
      </c>
      <c r="C8325" t="s">
        <v>23490</v>
      </c>
      <c r="D8325" t="str">
        <f>HYPERLINK("https://rhld.insurance.arkansas.gov/NPILookup?Npi=1912533589","1912533589")</f>
        <v>1912533589</v>
      </c>
      <c r="E8325" t="s">
        <v>17494</v>
      </c>
    </row>
    <row r="8326" spans="1:5" x14ac:dyDescent="0.25">
      <c r="A8326" t="s">
        <v>1</v>
      </c>
      <c r="B8326" t="s">
        <v>19</v>
      </c>
      <c r="C8326" t="s">
        <v>23490</v>
      </c>
      <c r="D8326" t="str">
        <f>HYPERLINK("https://rhld.insurance.arkansas.gov/NPILookup?Npi=1912538463","1912538463")</f>
        <v>1912538463</v>
      </c>
      <c r="E8326" t="s">
        <v>20123</v>
      </c>
    </row>
    <row r="8327" spans="1:5" x14ac:dyDescent="0.25">
      <c r="A8327" t="s">
        <v>1</v>
      </c>
      <c r="B8327" t="s">
        <v>19</v>
      </c>
      <c r="C8327" t="s">
        <v>23490</v>
      </c>
      <c r="D8327" t="str">
        <f>HYPERLINK("https://rhld.insurance.arkansas.gov/NPILookup?Npi=1912548058","1912548058")</f>
        <v>1912548058</v>
      </c>
      <c r="E8327" t="s">
        <v>20124</v>
      </c>
    </row>
    <row r="8328" spans="1:5" x14ac:dyDescent="0.25">
      <c r="A8328" t="s">
        <v>1</v>
      </c>
      <c r="B8328" t="s">
        <v>19</v>
      </c>
      <c r="C8328" t="s">
        <v>23490</v>
      </c>
      <c r="D8328" t="str">
        <f>HYPERLINK("https://rhld.insurance.arkansas.gov/NPILookup?Npi=1912562489","1912562489")</f>
        <v>1912562489</v>
      </c>
      <c r="E8328" t="s">
        <v>21679</v>
      </c>
    </row>
    <row r="8329" spans="1:5" x14ac:dyDescent="0.25">
      <c r="A8329" t="s">
        <v>1</v>
      </c>
      <c r="B8329" t="s">
        <v>19</v>
      </c>
      <c r="C8329" t="s">
        <v>23490</v>
      </c>
      <c r="D8329" t="str">
        <f>HYPERLINK("https://rhld.insurance.arkansas.gov/NPILookup?Npi=1912567231","1912567231")</f>
        <v>1912567231</v>
      </c>
      <c r="E8329" t="s">
        <v>20125</v>
      </c>
    </row>
    <row r="8330" spans="1:5" x14ac:dyDescent="0.25">
      <c r="A8330" t="s">
        <v>1</v>
      </c>
      <c r="B8330" t="s">
        <v>19</v>
      </c>
      <c r="C8330" t="s">
        <v>23490</v>
      </c>
      <c r="D8330" t="str">
        <f>HYPERLINK("https://rhld.insurance.arkansas.gov/NPILookup?Npi=1912586926","1912586926")</f>
        <v>1912586926</v>
      </c>
      <c r="E8330" t="s">
        <v>18899</v>
      </c>
    </row>
    <row r="8331" spans="1:5" x14ac:dyDescent="0.25">
      <c r="A8331" t="s">
        <v>1</v>
      </c>
      <c r="B8331" t="s">
        <v>19</v>
      </c>
      <c r="C8331" t="s">
        <v>23490</v>
      </c>
      <c r="D8331" t="str">
        <f>HYPERLINK("https://rhld.insurance.arkansas.gov/NPILookup?Npi=1912589151","1912589151")</f>
        <v>1912589151</v>
      </c>
      <c r="E8331" t="s">
        <v>18175</v>
      </c>
    </row>
    <row r="8332" spans="1:5" x14ac:dyDescent="0.25">
      <c r="A8332" t="s">
        <v>1</v>
      </c>
      <c r="B8332" t="s">
        <v>19</v>
      </c>
      <c r="C8332" t="s">
        <v>23490</v>
      </c>
      <c r="D8332" t="str">
        <f>HYPERLINK("https://rhld.insurance.arkansas.gov/NPILookup?Npi=1912676057","1912676057")</f>
        <v>1912676057</v>
      </c>
      <c r="E8332" t="s">
        <v>20126</v>
      </c>
    </row>
    <row r="8333" spans="1:5" x14ac:dyDescent="0.25">
      <c r="A8333" t="s">
        <v>1</v>
      </c>
      <c r="B8333" t="s">
        <v>19</v>
      </c>
      <c r="C8333" t="s">
        <v>23490</v>
      </c>
      <c r="D8333" t="str">
        <f>HYPERLINK("https://rhld.insurance.arkansas.gov/NPILookup?Npi=1912901521","1912901521")</f>
        <v>1912901521</v>
      </c>
      <c r="E8333" t="s">
        <v>3172</v>
      </c>
    </row>
    <row r="8334" spans="1:5" x14ac:dyDescent="0.25">
      <c r="A8334" t="s">
        <v>1</v>
      </c>
      <c r="B8334" t="s">
        <v>19</v>
      </c>
      <c r="C8334" t="s">
        <v>23490</v>
      </c>
      <c r="D8334" t="str">
        <f>HYPERLINK("https://rhld.insurance.arkansas.gov/NPILookup?Npi=1912903980","1912903980")</f>
        <v>1912903980</v>
      </c>
      <c r="E8334" t="s">
        <v>3173</v>
      </c>
    </row>
    <row r="8335" spans="1:5" x14ac:dyDescent="0.25">
      <c r="A8335" t="s">
        <v>1</v>
      </c>
      <c r="B8335" t="s">
        <v>19</v>
      </c>
      <c r="C8335" t="s">
        <v>23490</v>
      </c>
      <c r="D8335" t="str">
        <f>HYPERLINK("https://rhld.insurance.arkansas.gov/NPILookup?Npi=1912904251","1912904251")</f>
        <v>1912904251</v>
      </c>
      <c r="E8335" t="s">
        <v>3174</v>
      </c>
    </row>
    <row r="8336" spans="1:5" x14ac:dyDescent="0.25">
      <c r="A8336" t="s">
        <v>1</v>
      </c>
      <c r="B8336" t="s">
        <v>19</v>
      </c>
      <c r="C8336" t="s">
        <v>23490</v>
      </c>
      <c r="D8336" t="str">
        <f>HYPERLINK("https://rhld.insurance.arkansas.gov/NPILookup?Npi=1912908443","1912908443")</f>
        <v>1912908443</v>
      </c>
      <c r="E8336" t="s">
        <v>3175</v>
      </c>
    </row>
    <row r="8337" spans="1:5" x14ac:dyDescent="0.25">
      <c r="A8337" t="s">
        <v>1</v>
      </c>
      <c r="B8337" t="s">
        <v>19</v>
      </c>
      <c r="C8337" t="s">
        <v>23490</v>
      </c>
      <c r="D8337" t="str">
        <f>HYPERLINK("https://rhld.insurance.arkansas.gov/NPILookup?Npi=1912909508","1912909508")</f>
        <v>1912909508</v>
      </c>
      <c r="E8337" t="s">
        <v>6812</v>
      </c>
    </row>
    <row r="8338" spans="1:5" x14ac:dyDescent="0.25">
      <c r="A8338" t="s">
        <v>1</v>
      </c>
      <c r="B8338" t="s">
        <v>19</v>
      </c>
      <c r="C8338" t="s">
        <v>23490</v>
      </c>
      <c r="D8338" t="str">
        <f>HYPERLINK("https://rhld.insurance.arkansas.gov/NPILookup?Npi=1912916230","1912916230")</f>
        <v>1912916230</v>
      </c>
      <c r="E8338" t="s">
        <v>3176</v>
      </c>
    </row>
    <row r="8339" spans="1:5" x14ac:dyDescent="0.25">
      <c r="A8339" t="s">
        <v>1</v>
      </c>
      <c r="B8339" t="s">
        <v>19</v>
      </c>
      <c r="C8339" t="s">
        <v>23490</v>
      </c>
      <c r="D8339" t="str">
        <f>HYPERLINK("https://rhld.insurance.arkansas.gov/NPILookup?Npi=1912919234","1912919234")</f>
        <v>1912919234</v>
      </c>
      <c r="E8339" t="s">
        <v>1098</v>
      </c>
    </row>
    <row r="8340" spans="1:5" x14ac:dyDescent="0.25">
      <c r="A8340" t="s">
        <v>1</v>
      </c>
      <c r="B8340" t="s">
        <v>19</v>
      </c>
      <c r="C8340" t="s">
        <v>23490</v>
      </c>
      <c r="D8340" t="str">
        <f>HYPERLINK("https://rhld.insurance.arkansas.gov/NPILookup?Npi=1912930967","1912930967")</f>
        <v>1912930967</v>
      </c>
      <c r="E8340" t="s">
        <v>3178</v>
      </c>
    </row>
    <row r="8341" spans="1:5" x14ac:dyDescent="0.25">
      <c r="A8341" t="s">
        <v>1</v>
      </c>
      <c r="B8341" t="s">
        <v>19</v>
      </c>
      <c r="C8341" t="s">
        <v>23490</v>
      </c>
      <c r="D8341" t="str">
        <f>HYPERLINK("https://rhld.insurance.arkansas.gov/NPILookup?Npi=1912932930","1912932930")</f>
        <v>1912932930</v>
      </c>
      <c r="E8341" t="s">
        <v>20127</v>
      </c>
    </row>
    <row r="8342" spans="1:5" x14ac:dyDescent="0.25">
      <c r="A8342" t="s">
        <v>1</v>
      </c>
      <c r="B8342" t="s">
        <v>19</v>
      </c>
      <c r="C8342" t="s">
        <v>23490</v>
      </c>
      <c r="D8342" t="str">
        <f>HYPERLINK("https://rhld.insurance.arkansas.gov/NPILookup?Npi=1912933854","1912933854")</f>
        <v>1912933854</v>
      </c>
      <c r="E8342" t="s">
        <v>13788</v>
      </c>
    </row>
    <row r="8343" spans="1:5" x14ac:dyDescent="0.25">
      <c r="A8343" t="s">
        <v>1</v>
      </c>
      <c r="B8343" t="s">
        <v>19</v>
      </c>
      <c r="C8343" t="s">
        <v>23490</v>
      </c>
      <c r="D8343" t="str">
        <f>HYPERLINK("https://rhld.insurance.arkansas.gov/NPILookup?Npi=1912945528","1912945528")</f>
        <v>1912945528</v>
      </c>
      <c r="E8343" t="s">
        <v>3179</v>
      </c>
    </row>
    <row r="8344" spans="1:5" x14ac:dyDescent="0.25">
      <c r="A8344" t="s">
        <v>1</v>
      </c>
      <c r="B8344" t="s">
        <v>19</v>
      </c>
      <c r="C8344" t="s">
        <v>23490</v>
      </c>
      <c r="D8344" t="str">
        <f>HYPERLINK("https://rhld.insurance.arkansas.gov/NPILookup?Npi=1912946450","1912946450")</f>
        <v>1912946450</v>
      </c>
      <c r="E8344" t="s">
        <v>15709</v>
      </c>
    </row>
    <row r="8345" spans="1:5" x14ac:dyDescent="0.25">
      <c r="A8345" t="s">
        <v>1</v>
      </c>
      <c r="B8345" t="s">
        <v>19</v>
      </c>
      <c r="C8345" t="s">
        <v>23490</v>
      </c>
      <c r="D8345" t="str">
        <f>HYPERLINK("https://rhld.insurance.arkansas.gov/NPILookup?Npi=1912953407","1912953407")</f>
        <v>1912953407</v>
      </c>
      <c r="E8345" t="s">
        <v>20128</v>
      </c>
    </row>
    <row r="8346" spans="1:5" x14ac:dyDescent="0.25">
      <c r="A8346" t="s">
        <v>1</v>
      </c>
      <c r="B8346" t="s">
        <v>19</v>
      </c>
      <c r="C8346" t="s">
        <v>23490</v>
      </c>
      <c r="D8346" t="str">
        <f>HYPERLINK("https://rhld.insurance.arkansas.gov/NPILookup?Npi=1912957820","1912957820")</f>
        <v>1912957820</v>
      </c>
      <c r="E8346" t="s">
        <v>3180</v>
      </c>
    </row>
    <row r="8347" spans="1:5" x14ac:dyDescent="0.25">
      <c r="A8347" t="s">
        <v>1</v>
      </c>
      <c r="B8347" t="s">
        <v>19</v>
      </c>
      <c r="C8347" t="s">
        <v>23490</v>
      </c>
      <c r="D8347" t="str">
        <f>HYPERLINK("https://rhld.insurance.arkansas.gov/NPILookup?Npi=1912960238","1912960238")</f>
        <v>1912960238</v>
      </c>
      <c r="E8347" t="s">
        <v>3181</v>
      </c>
    </row>
    <row r="8348" spans="1:5" x14ac:dyDescent="0.25">
      <c r="A8348" t="s">
        <v>1</v>
      </c>
      <c r="B8348" t="s">
        <v>19</v>
      </c>
      <c r="C8348" t="s">
        <v>23490</v>
      </c>
      <c r="D8348" t="str">
        <f>HYPERLINK("https://rhld.insurance.arkansas.gov/NPILookup?Npi=1912960519","1912960519")</f>
        <v>1912960519</v>
      </c>
      <c r="E8348" t="s">
        <v>3182</v>
      </c>
    </row>
    <row r="8349" spans="1:5" x14ac:dyDescent="0.25">
      <c r="A8349" t="s">
        <v>1</v>
      </c>
      <c r="B8349" t="s">
        <v>19</v>
      </c>
      <c r="C8349" t="s">
        <v>23490</v>
      </c>
      <c r="D8349" t="str">
        <f>HYPERLINK("https://rhld.insurance.arkansas.gov/NPILookup?Npi=1912962143","1912962143")</f>
        <v>1912962143</v>
      </c>
      <c r="E8349" t="s">
        <v>3183</v>
      </c>
    </row>
    <row r="8350" spans="1:5" x14ac:dyDescent="0.25">
      <c r="A8350" t="s">
        <v>1</v>
      </c>
      <c r="B8350" t="s">
        <v>19</v>
      </c>
      <c r="C8350" t="s">
        <v>23490</v>
      </c>
      <c r="D8350" t="str">
        <f>HYPERLINK("https://rhld.insurance.arkansas.gov/NPILookup?Npi=1912965187","1912965187")</f>
        <v>1912965187</v>
      </c>
      <c r="E8350" t="s">
        <v>3184</v>
      </c>
    </row>
    <row r="8351" spans="1:5" x14ac:dyDescent="0.25">
      <c r="A8351" t="s">
        <v>1</v>
      </c>
      <c r="B8351" t="s">
        <v>19</v>
      </c>
      <c r="C8351" t="s">
        <v>23490</v>
      </c>
      <c r="D8351" t="str">
        <f>HYPERLINK("https://rhld.insurance.arkansas.gov/NPILookup?Npi=1912970138","1912970138")</f>
        <v>1912970138</v>
      </c>
      <c r="E8351" t="s">
        <v>15710</v>
      </c>
    </row>
    <row r="8352" spans="1:5" x14ac:dyDescent="0.25">
      <c r="A8352" t="s">
        <v>1</v>
      </c>
      <c r="B8352" t="s">
        <v>19</v>
      </c>
      <c r="C8352" t="s">
        <v>23490</v>
      </c>
      <c r="D8352" t="str">
        <f>HYPERLINK("https://rhld.insurance.arkansas.gov/NPILookup?Npi=1912971318","1912971318")</f>
        <v>1912971318</v>
      </c>
      <c r="E8352" t="s">
        <v>15711</v>
      </c>
    </row>
    <row r="8353" spans="1:5" x14ac:dyDescent="0.25">
      <c r="A8353" t="s">
        <v>1</v>
      </c>
      <c r="B8353" t="s">
        <v>19</v>
      </c>
      <c r="C8353" t="s">
        <v>23490</v>
      </c>
      <c r="D8353" t="str">
        <f>HYPERLINK("https://rhld.insurance.arkansas.gov/NPILookup?Npi=1912975111","1912975111")</f>
        <v>1912975111</v>
      </c>
      <c r="E8353" t="s">
        <v>3186</v>
      </c>
    </row>
    <row r="8354" spans="1:5" x14ac:dyDescent="0.25">
      <c r="A8354" t="s">
        <v>1</v>
      </c>
      <c r="B8354" t="s">
        <v>19</v>
      </c>
      <c r="C8354" t="s">
        <v>23490</v>
      </c>
      <c r="D8354" t="str">
        <f>HYPERLINK("https://rhld.insurance.arkansas.gov/NPILookup?Npi=1912979592","1912979592")</f>
        <v>1912979592</v>
      </c>
      <c r="E8354" t="s">
        <v>15712</v>
      </c>
    </row>
    <row r="8355" spans="1:5" x14ac:dyDescent="0.25">
      <c r="A8355" t="s">
        <v>1</v>
      </c>
      <c r="B8355" t="s">
        <v>19</v>
      </c>
      <c r="C8355" t="s">
        <v>23490</v>
      </c>
      <c r="D8355" t="str">
        <f>HYPERLINK("https://rhld.insurance.arkansas.gov/NPILookup?Npi=1912996497","1912996497")</f>
        <v>1912996497</v>
      </c>
      <c r="E8355" t="s">
        <v>20129</v>
      </c>
    </row>
    <row r="8356" spans="1:5" x14ac:dyDescent="0.25">
      <c r="A8356" t="s">
        <v>1</v>
      </c>
      <c r="B8356" t="s">
        <v>19</v>
      </c>
      <c r="C8356" t="s">
        <v>23490</v>
      </c>
      <c r="D8356" t="str">
        <f>HYPERLINK("https://rhld.insurance.arkansas.gov/NPILookup?Npi=1922003169","1922003169")</f>
        <v>1922003169</v>
      </c>
      <c r="E8356" t="s">
        <v>3187</v>
      </c>
    </row>
    <row r="8357" spans="1:5" x14ac:dyDescent="0.25">
      <c r="A8357" t="s">
        <v>1</v>
      </c>
      <c r="B8357" t="s">
        <v>19</v>
      </c>
      <c r="C8357" t="s">
        <v>23490</v>
      </c>
      <c r="D8357" t="str">
        <f>HYPERLINK("https://rhld.insurance.arkansas.gov/NPILookup?Npi=1922003276","1922003276")</f>
        <v>1922003276</v>
      </c>
      <c r="E8357" t="s">
        <v>3188</v>
      </c>
    </row>
    <row r="8358" spans="1:5" x14ac:dyDescent="0.25">
      <c r="A8358" t="s">
        <v>1</v>
      </c>
      <c r="B8358" t="s">
        <v>19</v>
      </c>
      <c r="C8358" t="s">
        <v>23490</v>
      </c>
      <c r="D8358" t="str">
        <f>HYPERLINK("https://rhld.insurance.arkansas.gov/NPILookup?Npi=1922005974","1922005974")</f>
        <v>1922005974</v>
      </c>
      <c r="E8358" t="s">
        <v>3190</v>
      </c>
    </row>
    <row r="8359" spans="1:5" x14ac:dyDescent="0.25">
      <c r="A8359" t="s">
        <v>1</v>
      </c>
      <c r="B8359" t="s">
        <v>19</v>
      </c>
      <c r="C8359" t="s">
        <v>23490</v>
      </c>
      <c r="D8359" t="str">
        <f>HYPERLINK("https://rhld.insurance.arkansas.gov/NPILookup?Npi=1922006055","1922006055")</f>
        <v>1922006055</v>
      </c>
      <c r="E8359" t="s">
        <v>3191</v>
      </c>
    </row>
    <row r="8360" spans="1:5" x14ac:dyDescent="0.25">
      <c r="A8360" t="s">
        <v>1</v>
      </c>
      <c r="B8360" t="s">
        <v>19</v>
      </c>
      <c r="C8360" t="s">
        <v>23490</v>
      </c>
      <c r="D8360" t="str">
        <f>HYPERLINK("https://rhld.insurance.arkansas.gov/NPILookup?Npi=1922007905","1922007905")</f>
        <v>1922007905</v>
      </c>
      <c r="E8360" t="s">
        <v>3192</v>
      </c>
    </row>
    <row r="8361" spans="1:5" x14ac:dyDescent="0.25">
      <c r="A8361" t="s">
        <v>1</v>
      </c>
      <c r="B8361" t="s">
        <v>19</v>
      </c>
      <c r="C8361" t="s">
        <v>23490</v>
      </c>
      <c r="D8361" t="str">
        <f>HYPERLINK("https://rhld.insurance.arkansas.gov/NPILookup?Npi=1922016674","1922016674")</f>
        <v>1922016674</v>
      </c>
      <c r="E8361" t="s">
        <v>3193</v>
      </c>
    </row>
    <row r="8362" spans="1:5" x14ac:dyDescent="0.25">
      <c r="A8362" t="s">
        <v>1</v>
      </c>
      <c r="B8362" t="s">
        <v>19</v>
      </c>
      <c r="C8362" t="s">
        <v>23490</v>
      </c>
      <c r="D8362" t="str">
        <f>HYPERLINK("https://rhld.insurance.arkansas.gov/NPILookup?Npi=1922030121","1922030121")</f>
        <v>1922030121</v>
      </c>
      <c r="E8362" t="s">
        <v>3194</v>
      </c>
    </row>
    <row r="8363" spans="1:5" x14ac:dyDescent="0.25">
      <c r="A8363" t="s">
        <v>1</v>
      </c>
      <c r="B8363" t="s">
        <v>19</v>
      </c>
      <c r="C8363" t="s">
        <v>23490</v>
      </c>
      <c r="D8363" t="str">
        <f>HYPERLINK("https://rhld.insurance.arkansas.gov/NPILookup?Npi=1922041326","1922041326")</f>
        <v>1922041326</v>
      </c>
      <c r="E8363" t="s">
        <v>2655</v>
      </c>
    </row>
    <row r="8364" spans="1:5" x14ac:dyDescent="0.25">
      <c r="A8364" t="s">
        <v>1</v>
      </c>
      <c r="B8364" t="s">
        <v>19</v>
      </c>
      <c r="C8364" t="s">
        <v>23490</v>
      </c>
      <c r="D8364" t="str">
        <f>HYPERLINK("https://rhld.insurance.arkansas.gov/NPILookup?Npi=1922047729","1922047729")</f>
        <v>1922047729</v>
      </c>
      <c r="E8364" t="s">
        <v>15713</v>
      </c>
    </row>
    <row r="8365" spans="1:5" x14ac:dyDescent="0.25">
      <c r="A8365" t="s">
        <v>1</v>
      </c>
      <c r="B8365" t="s">
        <v>19</v>
      </c>
      <c r="C8365" t="s">
        <v>23490</v>
      </c>
      <c r="D8365" t="str">
        <f>HYPERLINK("https://rhld.insurance.arkansas.gov/NPILookup?Npi=1922048586","1922048586")</f>
        <v>1922048586</v>
      </c>
      <c r="E8365" t="s">
        <v>3195</v>
      </c>
    </row>
    <row r="8366" spans="1:5" x14ac:dyDescent="0.25">
      <c r="A8366" t="s">
        <v>1</v>
      </c>
      <c r="B8366" t="s">
        <v>19</v>
      </c>
      <c r="C8366" t="s">
        <v>23490</v>
      </c>
      <c r="D8366" t="str">
        <f>HYPERLINK("https://rhld.insurance.arkansas.gov/NPILookup?Npi=1922054428","1922054428")</f>
        <v>1922054428</v>
      </c>
      <c r="E8366" t="s">
        <v>3196</v>
      </c>
    </row>
    <row r="8367" spans="1:5" x14ac:dyDescent="0.25">
      <c r="A8367" t="s">
        <v>1</v>
      </c>
      <c r="B8367" t="s">
        <v>19</v>
      </c>
      <c r="C8367" t="s">
        <v>23490</v>
      </c>
      <c r="D8367" t="str">
        <f>HYPERLINK("https://rhld.insurance.arkansas.gov/NPILookup?Npi=1922057900","1922057900")</f>
        <v>1922057900</v>
      </c>
      <c r="E8367" t="s">
        <v>3197</v>
      </c>
    </row>
    <row r="8368" spans="1:5" x14ac:dyDescent="0.25">
      <c r="A8368" t="s">
        <v>1</v>
      </c>
      <c r="B8368" t="s">
        <v>19</v>
      </c>
      <c r="C8368" t="s">
        <v>23490</v>
      </c>
      <c r="D8368" t="str">
        <f>HYPERLINK("https://rhld.insurance.arkansas.gov/NPILookup?Npi=1922064591","1922064591")</f>
        <v>1922064591</v>
      </c>
      <c r="E8368" t="s">
        <v>15714</v>
      </c>
    </row>
    <row r="8369" spans="1:5" x14ac:dyDescent="0.25">
      <c r="A8369" t="s">
        <v>1</v>
      </c>
      <c r="B8369" t="s">
        <v>19</v>
      </c>
      <c r="C8369" t="s">
        <v>23490</v>
      </c>
      <c r="D8369" t="str">
        <f>HYPERLINK("https://rhld.insurance.arkansas.gov/NPILookup?Npi=1922071695","1922071695")</f>
        <v>1922071695</v>
      </c>
      <c r="E8369" t="s">
        <v>3198</v>
      </c>
    </row>
    <row r="8370" spans="1:5" x14ac:dyDescent="0.25">
      <c r="A8370" t="s">
        <v>1</v>
      </c>
      <c r="B8370" t="s">
        <v>19</v>
      </c>
      <c r="C8370" t="s">
        <v>23490</v>
      </c>
      <c r="D8370" t="str">
        <f>HYPERLINK("https://rhld.insurance.arkansas.gov/NPILookup?Npi=1922074541","1922074541")</f>
        <v>1922074541</v>
      </c>
      <c r="E8370" t="s">
        <v>11377</v>
      </c>
    </row>
    <row r="8371" spans="1:5" x14ac:dyDescent="0.25">
      <c r="A8371" t="s">
        <v>1</v>
      </c>
      <c r="B8371" t="s">
        <v>19</v>
      </c>
      <c r="C8371" t="s">
        <v>23490</v>
      </c>
      <c r="D8371" t="str">
        <f>HYPERLINK("https://rhld.insurance.arkansas.gov/NPILookup?Npi=1922075654","1922075654")</f>
        <v>1922075654</v>
      </c>
      <c r="E8371" t="s">
        <v>12935</v>
      </c>
    </row>
    <row r="8372" spans="1:5" x14ac:dyDescent="0.25">
      <c r="A8372" t="s">
        <v>1</v>
      </c>
      <c r="B8372" t="s">
        <v>19</v>
      </c>
      <c r="C8372" t="s">
        <v>23490</v>
      </c>
      <c r="D8372" t="str">
        <f>HYPERLINK("https://rhld.insurance.arkansas.gov/NPILookup?Npi=1922088269","1922088269")</f>
        <v>1922088269</v>
      </c>
      <c r="E8372" t="s">
        <v>3199</v>
      </c>
    </row>
    <row r="8373" spans="1:5" x14ac:dyDescent="0.25">
      <c r="A8373" t="s">
        <v>1</v>
      </c>
      <c r="B8373" t="s">
        <v>19</v>
      </c>
      <c r="C8373" t="s">
        <v>23490</v>
      </c>
      <c r="D8373" t="str">
        <f>HYPERLINK("https://rhld.insurance.arkansas.gov/NPILookup?Npi=1922090836","1922090836")</f>
        <v>1922090836</v>
      </c>
      <c r="E8373" t="s">
        <v>3200</v>
      </c>
    </row>
    <row r="8374" spans="1:5" x14ac:dyDescent="0.25">
      <c r="A8374" t="s">
        <v>1</v>
      </c>
      <c r="B8374" t="s">
        <v>19</v>
      </c>
      <c r="C8374" t="s">
        <v>23490</v>
      </c>
      <c r="D8374" t="str">
        <f>HYPERLINK("https://rhld.insurance.arkansas.gov/NPILookup?Npi=1922094432","1922094432")</f>
        <v>1922094432</v>
      </c>
      <c r="E8374" t="s">
        <v>20130</v>
      </c>
    </row>
    <row r="8375" spans="1:5" x14ac:dyDescent="0.25">
      <c r="A8375" t="s">
        <v>1</v>
      </c>
      <c r="B8375" t="s">
        <v>19</v>
      </c>
      <c r="C8375" t="s">
        <v>23490</v>
      </c>
      <c r="D8375" t="str">
        <f>HYPERLINK("https://rhld.insurance.arkansas.gov/NPILookup?Npi=1922096379","1922096379")</f>
        <v>1922096379</v>
      </c>
      <c r="E8375" t="s">
        <v>18176</v>
      </c>
    </row>
    <row r="8376" spans="1:5" x14ac:dyDescent="0.25">
      <c r="A8376" t="s">
        <v>1</v>
      </c>
      <c r="B8376" t="s">
        <v>19</v>
      </c>
      <c r="C8376" t="s">
        <v>23490</v>
      </c>
      <c r="D8376" t="str">
        <f>HYPERLINK("https://rhld.insurance.arkansas.gov/NPILookup?Npi=1922101716","1922101716")</f>
        <v>1922101716</v>
      </c>
      <c r="E8376" t="s">
        <v>3201</v>
      </c>
    </row>
    <row r="8377" spans="1:5" x14ac:dyDescent="0.25">
      <c r="A8377" t="s">
        <v>1</v>
      </c>
      <c r="B8377" t="s">
        <v>19</v>
      </c>
      <c r="C8377" t="s">
        <v>23490</v>
      </c>
      <c r="D8377" t="str">
        <f>HYPERLINK("https://rhld.insurance.arkansas.gov/NPILookup?Npi=1922102235","1922102235")</f>
        <v>1922102235</v>
      </c>
      <c r="E8377" t="s">
        <v>3202</v>
      </c>
    </row>
    <row r="8378" spans="1:5" x14ac:dyDescent="0.25">
      <c r="A8378" t="s">
        <v>1</v>
      </c>
      <c r="B8378" t="s">
        <v>19</v>
      </c>
      <c r="C8378" t="s">
        <v>23490</v>
      </c>
      <c r="D8378" t="str">
        <f>HYPERLINK("https://rhld.insurance.arkansas.gov/NPILookup?Npi=1922105238","1922105238")</f>
        <v>1922105238</v>
      </c>
      <c r="E8378" t="s">
        <v>3203</v>
      </c>
    </row>
    <row r="8379" spans="1:5" x14ac:dyDescent="0.25">
      <c r="A8379" t="s">
        <v>1</v>
      </c>
      <c r="B8379" t="s">
        <v>19</v>
      </c>
      <c r="C8379" t="s">
        <v>23490</v>
      </c>
      <c r="D8379" t="str">
        <f>HYPERLINK("https://rhld.insurance.arkansas.gov/NPILookup?Npi=1922106129","1922106129")</f>
        <v>1922106129</v>
      </c>
      <c r="E8379" t="s">
        <v>3204</v>
      </c>
    </row>
    <row r="8380" spans="1:5" x14ac:dyDescent="0.25">
      <c r="A8380" t="s">
        <v>1</v>
      </c>
      <c r="B8380" t="s">
        <v>19</v>
      </c>
      <c r="C8380" t="s">
        <v>23490</v>
      </c>
      <c r="D8380" t="str">
        <f>HYPERLINK("https://rhld.insurance.arkansas.gov/NPILookup?Npi=1922122530","1922122530")</f>
        <v>1922122530</v>
      </c>
      <c r="E8380" t="s">
        <v>3205</v>
      </c>
    </row>
    <row r="8381" spans="1:5" x14ac:dyDescent="0.25">
      <c r="A8381" t="s">
        <v>1</v>
      </c>
      <c r="B8381" t="s">
        <v>19</v>
      </c>
      <c r="C8381" t="s">
        <v>23490</v>
      </c>
      <c r="D8381" t="str">
        <f>HYPERLINK("https://rhld.insurance.arkansas.gov/NPILookup?Npi=1922133206","1922133206")</f>
        <v>1922133206</v>
      </c>
      <c r="E8381" t="s">
        <v>15715</v>
      </c>
    </row>
    <row r="8382" spans="1:5" x14ac:dyDescent="0.25">
      <c r="A8382" t="s">
        <v>1</v>
      </c>
      <c r="B8382" t="s">
        <v>19</v>
      </c>
      <c r="C8382" t="s">
        <v>23490</v>
      </c>
      <c r="D8382" t="str">
        <f>HYPERLINK("https://rhld.insurance.arkansas.gov/NPILookup?Npi=1922157924","1922157924")</f>
        <v>1922157924</v>
      </c>
      <c r="E8382" t="s">
        <v>3207</v>
      </c>
    </row>
    <row r="8383" spans="1:5" x14ac:dyDescent="0.25">
      <c r="A8383" t="s">
        <v>1</v>
      </c>
      <c r="B8383" t="s">
        <v>19</v>
      </c>
      <c r="C8383" t="s">
        <v>23490</v>
      </c>
      <c r="D8383" t="str">
        <f>HYPERLINK("https://rhld.insurance.arkansas.gov/NPILookup?Npi=1922172790","1922172790")</f>
        <v>1922172790</v>
      </c>
      <c r="E8383" t="s">
        <v>3208</v>
      </c>
    </row>
    <row r="8384" spans="1:5" x14ac:dyDescent="0.25">
      <c r="A8384" t="s">
        <v>1</v>
      </c>
      <c r="B8384" t="s">
        <v>19</v>
      </c>
      <c r="C8384" t="s">
        <v>23490</v>
      </c>
      <c r="D8384" t="str">
        <f>HYPERLINK("https://rhld.insurance.arkansas.gov/NPILookup?Npi=1922176569","1922176569")</f>
        <v>1922176569</v>
      </c>
      <c r="E8384" t="s">
        <v>11378</v>
      </c>
    </row>
    <row r="8385" spans="1:5" x14ac:dyDescent="0.25">
      <c r="A8385" t="s">
        <v>1</v>
      </c>
      <c r="B8385" t="s">
        <v>19</v>
      </c>
      <c r="C8385" t="s">
        <v>23490</v>
      </c>
      <c r="D8385" t="str">
        <f>HYPERLINK("https://rhld.insurance.arkansas.gov/NPILookup?Npi=1922198688","1922198688")</f>
        <v>1922198688</v>
      </c>
      <c r="E8385" t="s">
        <v>15716</v>
      </c>
    </row>
    <row r="8386" spans="1:5" x14ac:dyDescent="0.25">
      <c r="A8386" t="s">
        <v>1</v>
      </c>
      <c r="B8386" t="s">
        <v>19</v>
      </c>
      <c r="C8386" t="s">
        <v>23490</v>
      </c>
      <c r="D8386" t="str">
        <f>HYPERLINK("https://rhld.insurance.arkansas.gov/NPILookup?Npi=1922230614","1922230614")</f>
        <v>1922230614</v>
      </c>
      <c r="E8386" t="s">
        <v>3209</v>
      </c>
    </row>
    <row r="8387" spans="1:5" x14ac:dyDescent="0.25">
      <c r="A8387" t="s">
        <v>1</v>
      </c>
      <c r="B8387" t="s">
        <v>19</v>
      </c>
      <c r="C8387" t="s">
        <v>23490</v>
      </c>
      <c r="D8387" t="str">
        <f>HYPERLINK("https://rhld.insurance.arkansas.gov/NPILookup?Npi=1922231307","1922231307")</f>
        <v>1922231307</v>
      </c>
      <c r="E8387" t="s">
        <v>3210</v>
      </c>
    </row>
    <row r="8388" spans="1:5" x14ac:dyDescent="0.25">
      <c r="A8388" t="s">
        <v>1</v>
      </c>
      <c r="B8388" t="s">
        <v>19</v>
      </c>
      <c r="C8388" t="s">
        <v>23490</v>
      </c>
      <c r="D8388" t="str">
        <f>HYPERLINK("https://rhld.insurance.arkansas.gov/NPILookup?Npi=1922233618","1922233618")</f>
        <v>1922233618</v>
      </c>
      <c r="E8388" t="s">
        <v>3211</v>
      </c>
    </row>
    <row r="8389" spans="1:5" x14ac:dyDescent="0.25">
      <c r="A8389" t="s">
        <v>1</v>
      </c>
      <c r="B8389" t="s">
        <v>19</v>
      </c>
      <c r="C8389" t="s">
        <v>23490</v>
      </c>
      <c r="D8389" t="str">
        <f>HYPERLINK("https://rhld.insurance.arkansas.gov/NPILookup?Npi=1922261114","1922261114")</f>
        <v>1922261114</v>
      </c>
      <c r="E8389" t="s">
        <v>15717</v>
      </c>
    </row>
    <row r="8390" spans="1:5" x14ac:dyDescent="0.25">
      <c r="A8390" t="s">
        <v>1</v>
      </c>
      <c r="B8390" t="s">
        <v>19</v>
      </c>
      <c r="C8390" t="s">
        <v>23490</v>
      </c>
      <c r="D8390" t="str">
        <f>HYPERLINK("https://rhld.insurance.arkansas.gov/NPILookup?Npi=1922265560","1922265560")</f>
        <v>1922265560</v>
      </c>
      <c r="E8390" t="s">
        <v>18900</v>
      </c>
    </row>
    <row r="8391" spans="1:5" x14ac:dyDescent="0.25">
      <c r="A8391" t="s">
        <v>1</v>
      </c>
      <c r="B8391" t="s">
        <v>19</v>
      </c>
      <c r="C8391" t="s">
        <v>23490</v>
      </c>
      <c r="D8391" t="str">
        <f>HYPERLINK("https://rhld.insurance.arkansas.gov/NPILookup?Npi=1922268911","1922268911")</f>
        <v>1922268911</v>
      </c>
      <c r="E8391" t="s">
        <v>3212</v>
      </c>
    </row>
    <row r="8392" spans="1:5" x14ac:dyDescent="0.25">
      <c r="A8392" t="s">
        <v>1</v>
      </c>
      <c r="B8392" t="s">
        <v>19</v>
      </c>
      <c r="C8392" t="s">
        <v>23490</v>
      </c>
      <c r="D8392" t="str">
        <f>HYPERLINK("https://rhld.insurance.arkansas.gov/NPILookup?Npi=1922278878","1922278878")</f>
        <v>1922278878</v>
      </c>
      <c r="E8392" t="s">
        <v>8923</v>
      </c>
    </row>
    <row r="8393" spans="1:5" x14ac:dyDescent="0.25">
      <c r="A8393" t="s">
        <v>1</v>
      </c>
      <c r="B8393" t="s">
        <v>19</v>
      </c>
      <c r="C8393" t="s">
        <v>23490</v>
      </c>
      <c r="D8393" t="str">
        <f>HYPERLINK("https://rhld.insurance.arkansas.gov/NPILookup?Npi=1922287374","1922287374")</f>
        <v>1922287374</v>
      </c>
      <c r="E8393" t="s">
        <v>3213</v>
      </c>
    </row>
    <row r="8394" spans="1:5" x14ac:dyDescent="0.25">
      <c r="A8394" t="s">
        <v>1</v>
      </c>
      <c r="B8394" t="s">
        <v>19</v>
      </c>
      <c r="C8394" t="s">
        <v>23490</v>
      </c>
      <c r="D8394" t="str">
        <f>HYPERLINK("https://rhld.insurance.arkansas.gov/NPILookup?Npi=1922299072","1922299072")</f>
        <v>1922299072</v>
      </c>
      <c r="E8394" t="s">
        <v>15718</v>
      </c>
    </row>
    <row r="8395" spans="1:5" x14ac:dyDescent="0.25">
      <c r="A8395" t="s">
        <v>1</v>
      </c>
      <c r="B8395" t="s">
        <v>19</v>
      </c>
      <c r="C8395" t="s">
        <v>23490</v>
      </c>
      <c r="D8395" t="str">
        <f>HYPERLINK("https://rhld.insurance.arkansas.gov/NPILookup?Npi=1922304369","1922304369")</f>
        <v>1922304369</v>
      </c>
      <c r="E8395" t="s">
        <v>3214</v>
      </c>
    </row>
    <row r="8396" spans="1:5" x14ac:dyDescent="0.25">
      <c r="A8396" t="s">
        <v>1</v>
      </c>
      <c r="B8396" t="s">
        <v>19</v>
      </c>
      <c r="C8396" t="s">
        <v>23490</v>
      </c>
      <c r="D8396" t="str">
        <f>HYPERLINK("https://rhld.insurance.arkansas.gov/NPILookup?Npi=1922305051","1922305051")</f>
        <v>1922305051</v>
      </c>
      <c r="E8396" t="s">
        <v>3215</v>
      </c>
    </row>
    <row r="8397" spans="1:5" x14ac:dyDescent="0.25">
      <c r="A8397" t="s">
        <v>1</v>
      </c>
      <c r="B8397" t="s">
        <v>19</v>
      </c>
      <c r="C8397" t="s">
        <v>23490</v>
      </c>
      <c r="D8397" t="str">
        <f>HYPERLINK("https://rhld.insurance.arkansas.gov/NPILookup?Npi=1922307784","1922307784")</f>
        <v>1922307784</v>
      </c>
      <c r="E8397" t="s">
        <v>3216</v>
      </c>
    </row>
    <row r="8398" spans="1:5" x14ac:dyDescent="0.25">
      <c r="A8398" t="s">
        <v>1</v>
      </c>
      <c r="B8398" t="s">
        <v>19</v>
      </c>
      <c r="C8398" t="s">
        <v>23490</v>
      </c>
      <c r="D8398" t="str">
        <f>HYPERLINK("https://rhld.insurance.arkansas.gov/NPILookup?Npi=1922314863","1922314863")</f>
        <v>1922314863</v>
      </c>
      <c r="E8398" t="s">
        <v>21063</v>
      </c>
    </row>
    <row r="8399" spans="1:5" x14ac:dyDescent="0.25">
      <c r="A8399" t="s">
        <v>1</v>
      </c>
      <c r="B8399" t="s">
        <v>19</v>
      </c>
      <c r="C8399" t="s">
        <v>23490</v>
      </c>
      <c r="D8399" t="str">
        <f>HYPERLINK("https://rhld.insurance.arkansas.gov/NPILookup?Npi=1922348374","1922348374")</f>
        <v>1922348374</v>
      </c>
      <c r="E8399" t="s">
        <v>3217</v>
      </c>
    </row>
    <row r="8400" spans="1:5" x14ac:dyDescent="0.25">
      <c r="A8400" t="s">
        <v>1</v>
      </c>
      <c r="B8400" t="s">
        <v>19</v>
      </c>
      <c r="C8400" t="s">
        <v>23490</v>
      </c>
      <c r="D8400" t="str">
        <f>HYPERLINK("https://rhld.insurance.arkansas.gov/NPILookup?Npi=1922363175","1922363175")</f>
        <v>1922363175</v>
      </c>
      <c r="E8400" t="s">
        <v>8924</v>
      </c>
    </row>
    <row r="8401" spans="1:5" x14ac:dyDescent="0.25">
      <c r="A8401" t="s">
        <v>1</v>
      </c>
      <c r="B8401" t="s">
        <v>19</v>
      </c>
      <c r="C8401" t="s">
        <v>23490</v>
      </c>
      <c r="D8401" t="str">
        <f>HYPERLINK("https://rhld.insurance.arkansas.gov/NPILookup?Npi=1922372952","1922372952")</f>
        <v>1922372952</v>
      </c>
      <c r="E8401" t="s">
        <v>20131</v>
      </c>
    </row>
    <row r="8402" spans="1:5" x14ac:dyDescent="0.25">
      <c r="A8402" t="s">
        <v>1</v>
      </c>
      <c r="B8402" t="s">
        <v>19</v>
      </c>
      <c r="C8402" t="s">
        <v>23490</v>
      </c>
      <c r="D8402" t="str">
        <f>HYPERLINK("https://rhld.insurance.arkansas.gov/NPILookup?Npi=1922390418","1922390418")</f>
        <v>1922390418</v>
      </c>
      <c r="E8402" t="s">
        <v>3219</v>
      </c>
    </row>
    <row r="8403" spans="1:5" x14ac:dyDescent="0.25">
      <c r="A8403" t="s">
        <v>1</v>
      </c>
      <c r="B8403" t="s">
        <v>19</v>
      </c>
      <c r="C8403" t="s">
        <v>23490</v>
      </c>
      <c r="D8403" t="str">
        <f>HYPERLINK("https://rhld.insurance.arkansas.gov/NPILookup?Npi=1922398361","1922398361")</f>
        <v>1922398361</v>
      </c>
      <c r="E8403" t="s">
        <v>15719</v>
      </c>
    </row>
    <row r="8404" spans="1:5" x14ac:dyDescent="0.25">
      <c r="A8404" t="s">
        <v>1</v>
      </c>
      <c r="B8404" t="s">
        <v>19</v>
      </c>
      <c r="C8404" t="s">
        <v>23490</v>
      </c>
      <c r="D8404" t="str">
        <f>HYPERLINK("https://rhld.insurance.arkansas.gov/NPILookup?Npi=1922422013","1922422013")</f>
        <v>1922422013</v>
      </c>
      <c r="E8404" t="s">
        <v>12409</v>
      </c>
    </row>
    <row r="8405" spans="1:5" x14ac:dyDescent="0.25">
      <c r="A8405" t="s">
        <v>1</v>
      </c>
      <c r="B8405" t="s">
        <v>19</v>
      </c>
      <c r="C8405" t="s">
        <v>23490</v>
      </c>
      <c r="D8405" t="str">
        <f>HYPERLINK("https://rhld.insurance.arkansas.gov/NPILookup?Npi=1922426683","1922426683")</f>
        <v>1922426683</v>
      </c>
      <c r="E8405" t="s">
        <v>11379</v>
      </c>
    </row>
    <row r="8406" spans="1:5" x14ac:dyDescent="0.25">
      <c r="A8406" t="s">
        <v>1</v>
      </c>
      <c r="B8406" t="s">
        <v>19</v>
      </c>
      <c r="C8406" t="s">
        <v>23490</v>
      </c>
      <c r="D8406" t="str">
        <f>HYPERLINK("https://rhld.insurance.arkansas.gov/NPILookup?Npi=1922434885","1922434885")</f>
        <v>1922434885</v>
      </c>
      <c r="E8406" t="s">
        <v>3220</v>
      </c>
    </row>
    <row r="8407" spans="1:5" x14ac:dyDescent="0.25">
      <c r="A8407" t="s">
        <v>1</v>
      </c>
      <c r="B8407" t="s">
        <v>19</v>
      </c>
      <c r="C8407" t="s">
        <v>23490</v>
      </c>
      <c r="D8407" t="str">
        <f>HYPERLINK("https://rhld.insurance.arkansas.gov/NPILookup?Npi=1922442656","1922442656")</f>
        <v>1922442656</v>
      </c>
      <c r="E8407" t="s">
        <v>8925</v>
      </c>
    </row>
    <row r="8408" spans="1:5" x14ac:dyDescent="0.25">
      <c r="A8408" t="s">
        <v>1</v>
      </c>
      <c r="B8408" t="s">
        <v>19</v>
      </c>
      <c r="C8408" t="s">
        <v>23490</v>
      </c>
      <c r="D8408" t="str">
        <f>HYPERLINK("https://rhld.insurance.arkansas.gov/NPILookup?Npi=1922452689","1922452689")</f>
        <v>1922452689</v>
      </c>
      <c r="E8408" t="s">
        <v>21064</v>
      </c>
    </row>
    <row r="8409" spans="1:5" x14ac:dyDescent="0.25">
      <c r="A8409" t="s">
        <v>1</v>
      </c>
      <c r="B8409" t="s">
        <v>19</v>
      </c>
      <c r="C8409" t="s">
        <v>23490</v>
      </c>
      <c r="D8409" t="str">
        <f>HYPERLINK("https://rhld.insurance.arkansas.gov/NPILookup?Npi=1922453935","1922453935")</f>
        <v>1922453935</v>
      </c>
      <c r="E8409" t="s">
        <v>18177</v>
      </c>
    </row>
    <row r="8410" spans="1:5" x14ac:dyDescent="0.25">
      <c r="A8410" t="s">
        <v>1</v>
      </c>
      <c r="B8410" t="s">
        <v>19</v>
      </c>
      <c r="C8410" t="s">
        <v>23490</v>
      </c>
      <c r="D8410" t="str">
        <f>HYPERLINK("https://rhld.insurance.arkansas.gov/NPILookup?Npi=1922457753","1922457753")</f>
        <v>1922457753</v>
      </c>
      <c r="E8410" t="s">
        <v>11380</v>
      </c>
    </row>
    <row r="8411" spans="1:5" x14ac:dyDescent="0.25">
      <c r="A8411" t="s">
        <v>1</v>
      </c>
      <c r="B8411" t="s">
        <v>19</v>
      </c>
      <c r="C8411" t="s">
        <v>23490</v>
      </c>
      <c r="D8411" t="str">
        <f>HYPERLINK("https://rhld.insurance.arkansas.gov/NPILookup?Npi=1922457886","1922457886")</f>
        <v>1922457886</v>
      </c>
      <c r="E8411" t="s">
        <v>15720</v>
      </c>
    </row>
    <row r="8412" spans="1:5" x14ac:dyDescent="0.25">
      <c r="A8412" t="s">
        <v>1</v>
      </c>
      <c r="B8412" t="s">
        <v>19</v>
      </c>
      <c r="C8412" t="s">
        <v>23490</v>
      </c>
      <c r="D8412" t="str">
        <f>HYPERLINK("https://rhld.insurance.arkansas.gov/NPILookup?Npi=1922458702","1922458702")</f>
        <v>1922458702</v>
      </c>
      <c r="E8412" t="s">
        <v>20132</v>
      </c>
    </row>
    <row r="8413" spans="1:5" x14ac:dyDescent="0.25">
      <c r="A8413" t="s">
        <v>1</v>
      </c>
      <c r="B8413" t="s">
        <v>19</v>
      </c>
      <c r="C8413" t="s">
        <v>23490</v>
      </c>
      <c r="D8413" t="str">
        <f>HYPERLINK("https://rhld.insurance.arkansas.gov/NPILookup?Npi=1922460658","1922460658")</f>
        <v>1922460658</v>
      </c>
      <c r="E8413" t="s">
        <v>17495</v>
      </c>
    </row>
    <row r="8414" spans="1:5" x14ac:dyDescent="0.25">
      <c r="A8414" t="s">
        <v>1</v>
      </c>
      <c r="B8414" t="s">
        <v>19</v>
      </c>
      <c r="C8414" t="s">
        <v>23490</v>
      </c>
      <c r="D8414" t="str">
        <f>HYPERLINK("https://rhld.insurance.arkansas.gov/NPILookup?Npi=1922463256","1922463256")</f>
        <v>1922463256</v>
      </c>
      <c r="E8414" t="s">
        <v>13789</v>
      </c>
    </row>
    <row r="8415" spans="1:5" x14ac:dyDescent="0.25">
      <c r="A8415" t="s">
        <v>1</v>
      </c>
      <c r="B8415" t="s">
        <v>19</v>
      </c>
      <c r="C8415" t="s">
        <v>23490</v>
      </c>
      <c r="D8415" t="str">
        <f>HYPERLINK("https://rhld.insurance.arkansas.gov/NPILookup?Npi=1922474014","1922474014")</f>
        <v>1922474014</v>
      </c>
      <c r="E8415" t="s">
        <v>2777</v>
      </c>
    </row>
    <row r="8416" spans="1:5" x14ac:dyDescent="0.25">
      <c r="A8416" t="s">
        <v>1</v>
      </c>
      <c r="B8416" t="s">
        <v>19</v>
      </c>
      <c r="C8416" t="s">
        <v>23490</v>
      </c>
      <c r="D8416" t="str">
        <f>HYPERLINK("https://rhld.insurance.arkansas.gov/NPILookup?Npi=1922475532","1922475532")</f>
        <v>1922475532</v>
      </c>
      <c r="E8416" t="s">
        <v>23006</v>
      </c>
    </row>
    <row r="8417" spans="1:5" x14ac:dyDescent="0.25">
      <c r="A8417" t="s">
        <v>1</v>
      </c>
      <c r="B8417" t="s">
        <v>19</v>
      </c>
      <c r="C8417" t="s">
        <v>23490</v>
      </c>
      <c r="D8417" t="str">
        <f>HYPERLINK("https://rhld.insurance.arkansas.gov/NPILookup?Npi=1922483387","1922483387")</f>
        <v>1922483387</v>
      </c>
      <c r="E8417" t="s">
        <v>15721</v>
      </c>
    </row>
    <row r="8418" spans="1:5" x14ac:dyDescent="0.25">
      <c r="A8418" t="s">
        <v>1</v>
      </c>
      <c r="B8418" t="s">
        <v>19</v>
      </c>
      <c r="C8418" t="s">
        <v>23490</v>
      </c>
      <c r="D8418" t="str">
        <f>HYPERLINK("https://rhld.insurance.arkansas.gov/NPILookup?Npi=1922489137","1922489137")</f>
        <v>1922489137</v>
      </c>
      <c r="E8418" t="s">
        <v>1171</v>
      </c>
    </row>
    <row r="8419" spans="1:5" x14ac:dyDescent="0.25">
      <c r="A8419" t="s">
        <v>1</v>
      </c>
      <c r="B8419" t="s">
        <v>19</v>
      </c>
      <c r="C8419" t="s">
        <v>23490</v>
      </c>
      <c r="D8419" t="str">
        <f>HYPERLINK("https://rhld.insurance.arkansas.gov/NPILookup?Npi=1922491307","1922491307")</f>
        <v>1922491307</v>
      </c>
      <c r="E8419" t="s">
        <v>3221</v>
      </c>
    </row>
    <row r="8420" spans="1:5" x14ac:dyDescent="0.25">
      <c r="A8420" t="s">
        <v>1</v>
      </c>
      <c r="B8420" t="s">
        <v>19</v>
      </c>
      <c r="C8420" t="s">
        <v>23490</v>
      </c>
      <c r="D8420" t="str">
        <f>HYPERLINK("https://rhld.insurance.arkansas.gov/NPILookup?Npi=1922492859","1922492859")</f>
        <v>1922492859</v>
      </c>
      <c r="E8420" t="s">
        <v>13790</v>
      </c>
    </row>
    <row r="8421" spans="1:5" x14ac:dyDescent="0.25">
      <c r="A8421" t="s">
        <v>1</v>
      </c>
      <c r="B8421" t="s">
        <v>19</v>
      </c>
      <c r="C8421" t="s">
        <v>23490</v>
      </c>
      <c r="D8421" t="str">
        <f>HYPERLINK("https://rhld.insurance.arkansas.gov/NPILookup?Npi=1922497049","1922497049")</f>
        <v>1922497049</v>
      </c>
      <c r="E8421" t="s">
        <v>8927</v>
      </c>
    </row>
    <row r="8422" spans="1:5" x14ac:dyDescent="0.25">
      <c r="A8422" t="s">
        <v>1</v>
      </c>
      <c r="B8422" t="s">
        <v>19</v>
      </c>
      <c r="C8422" t="s">
        <v>23490</v>
      </c>
      <c r="D8422" t="str">
        <f>HYPERLINK("https://rhld.insurance.arkansas.gov/NPILookup?Npi=1922505080","1922505080")</f>
        <v>1922505080</v>
      </c>
      <c r="E8422" t="s">
        <v>21680</v>
      </c>
    </row>
    <row r="8423" spans="1:5" x14ac:dyDescent="0.25">
      <c r="A8423" t="s">
        <v>1</v>
      </c>
      <c r="B8423" t="s">
        <v>19</v>
      </c>
      <c r="C8423" t="s">
        <v>23490</v>
      </c>
      <c r="D8423" t="str">
        <f>HYPERLINK("https://rhld.insurance.arkansas.gov/NPILookup?Npi=1922508845","1922508845")</f>
        <v>1922508845</v>
      </c>
      <c r="E8423" t="s">
        <v>13791</v>
      </c>
    </row>
    <row r="8424" spans="1:5" x14ac:dyDescent="0.25">
      <c r="A8424" t="s">
        <v>1</v>
      </c>
      <c r="B8424" t="s">
        <v>19</v>
      </c>
      <c r="C8424" t="s">
        <v>23490</v>
      </c>
      <c r="D8424" t="str">
        <f>HYPERLINK("https://rhld.insurance.arkansas.gov/NPILookup?Npi=1922539907","1922539907")</f>
        <v>1922539907</v>
      </c>
      <c r="E8424" t="s">
        <v>18178</v>
      </c>
    </row>
    <row r="8425" spans="1:5" x14ac:dyDescent="0.25">
      <c r="A8425" t="s">
        <v>1</v>
      </c>
      <c r="B8425" t="s">
        <v>19</v>
      </c>
      <c r="C8425" t="s">
        <v>23490</v>
      </c>
      <c r="D8425" t="str">
        <f>HYPERLINK("https://rhld.insurance.arkansas.gov/NPILookup?Npi=1922549906","1922549906")</f>
        <v>1922549906</v>
      </c>
      <c r="E8425" t="s">
        <v>15722</v>
      </c>
    </row>
    <row r="8426" spans="1:5" x14ac:dyDescent="0.25">
      <c r="A8426" t="s">
        <v>1</v>
      </c>
      <c r="B8426" t="s">
        <v>19</v>
      </c>
      <c r="C8426" t="s">
        <v>23490</v>
      </c>
      <c r="D8426" t="str">
        <f>HYPERLINK("https://rhld.insurance.arkansas.gov/NPILookup?Npi=1922550888","1922550888")</f>
        <v>1922550888</v>
      </c>
      <c r="E8426" t="s">
        <v>11381</v>
      </c>
    </row>
    <row r="8427" spans="1:5" x14ac:dyDescent="0.25">
      <c r="A8427" t="s">
        <v>1</v>
      </c>
      <c r="B8427" t="s">
        <v>19</v>
      </c>
      <c r="C8427" t="s">
        <v>23490</v>
      </c>
      <c r="D8427" t="str">
        <f>HYPERLINK("https://rhld.insurance.arkansas.gov/NPILookup?Npi=1922565233","1922565233")</f>
        <v>1922565233</v>
      </c>
      <c r="E8427" t="s">
        <v>20133</v>
      </c>
    </row>
    <row r="8428" spans="1:5" x14ac:dyDescent="0.25">
      <c r="A8428" t="s">
        <v>1</v>
      </c>
      <c r="B8428" t="s">
        <v>19</v>
      </c>
      <c r="C8428" t="s">
        <v>23490</v>
      </c>
      <c r="D8428" t="str">
        <f>HYPERLINK("https://rhld.insurance.arkansas.gov/NPILookup?Npi=1922566785","1922566785")</f>
        <v>1922566785</v>
      </c>
      <c r="E8428" t="s">
        <v>20134</v>
      </c>
    </row>
    <row r="8429" spans="1:5" x14ac:dyDescent="0.25">
      <c r="A8429" t="s">
        <v>1</v>
      </c>
      <c r="B8429" t="s">
        <v>19</v>
      </c>
      <c r="C8429" t="s">
        <v>23490</v>
      </c>
      <c r="D8429" t="str">
        <f>HYPERLINK("https://rhld.insurance.arkansas.gov/NPILookup?Npi=1922573963","1922573963")</f>
        <v>1922573963</v>
      </c>
      <c r="E8429" t="s">
        <v>15723</v>
      </c>
    </row>
    <row r="8430" spans="1:5" x14ac:dyDescent="0.25">
      <c r="A8430" t="s">
        <v>1</v>
      </c>
      <c r="B8430" t="s">
        <v>19</v>
      </c>
      <c r="C8430" t="s">
        <v>23490</v>
      </c>
      <c r="D8430" t="str">
        <f>HYPERLINK("https://rhld.insurance.arkansas.gov/NPILookup?Npi=1922578806","1922578806")</f>
        <v>1922578806</v>
      </c>
      <c r="E8430" t="s">
        <v>15724</v>
      </c>
    </row>
    <row r="8431" spans="1:5" x14ac:dyDescent="0.25">
      <c r="A8431" t="s">
        <v>1</v>
      </c>
      <c r="B8431" t="s">
        <v>19</v>
      </c>
      <c r="C8431" t="s">
        <v>23490</v>
      </c>
      <c r="D8431" t="str">
        <f>HYPERLINK("https://rhld.insurance.arkansas.gov/NPILookup?Npi=1922580638","1922580638")</f>
        <v>1922580638</v>
      </c>
      <c r="E8431" t="s">
        <v>18179</v>
      </c>
    </row>
    <row r="8432" spans="1:5" x14ac:dyDescent="0.25">
      <c r="A8432" t="s">
        <v>1</v>
      </c>
      <c r="B8432" t="s">
        <v>19</v>
      </c>
      <c r="C8432" t="s">
        <v>23490</v>
      </c>
      <c r="D8432" t="str">
        <f>HYPERLINK("https://rhld.insurance.arkansas.gov/NPILookup?Npi=1922619444","1922619444")</f>
        <v>1922619444</v>
      </c>
      <c r="E8432" t="s">
        <v>21065</v>
      </c>
    </row>
    <row r="8433" spans="1:5" x14ac:dyDescent="0.25">
      <c r="A8433" t="s">
        <v>1</v>
      </c>
      <c r="B8433" t="s">
        <v>19</v>
      </c>
      <c r="C8433" t="s">
        <v>23490</v>
      </c>
      <c r="D8433" t="str">
        <f>HYPERLINK("https://rhld.insurance.arkansas.gov/NPILookup?Npi=1922620095","1922620095")</f>
        <v>1922620095</v>
      </c>
      <c r="E8433" t="s">
        <v>18180</v>
      </c>
    </row>
    <row r="8434" spans="1:5" x14ac:dyDescent="0.25">
      <c r="A8434" t="s">
        <v>1</v>
      </c>
      <c r="B8434" t="s">
        <v>19</v>
      </c>
      <c r="C8434" t="s">
        <v>23490</v>
      </c>
      <c r="D8434" t="str">
        <f>HYPERLINK("https://rhld.insurance.arkansas.gov/NPILookup?Npi=1922622505","1922622505")</f>
        <v>1922622505</v>
      </c>
      <c r="E8434" t="s">
        <v>20135</v>
      </c>
    </row>
    <row r="8435" spans="1:5" x14ac:dyDescent="0.25">
      <c r="A8435" t="s">
        <v>1</v>
      </c>
      <c r="B8435" t="s">
        <v>19</v>
      </c>
      <c r="C8435" t="s">
        <v>8427</v>
      </c>
      <c r="D8435" t="str">
        <f>HYPERLINK("https://rhld.insurance.arkansas.gov/NPILookup?Npi=1922627249","1922627249")</f>
        <v>1922627249</v>
      </c>
      <c r="E8435" t="s">
        <v>23007</v>
      </c>
    </row>
    <row r="8436" spans="1:5" x14ac:dyDescent="0.25">
      <c r="A8436" t="s">
        <v>1</v>
      </c>
      <c r="B8436" t="s">
        <v>19</v>
      </c>
      <c r="C8436" t="s">
        <v>8427</v>
      </c>
      <c r="D8436" t="str">
        <f>HYPERLINK("https://rhld.insurance.arkansas.gov/NPILookup?Npi=1922629666","1922629666")</f>
        <v>1922629666</v>
      </c>
      <c r="E8436" t="s">
        <v>23008</v>
      </c>
    </row>
    <row r="8437" spans="1:5" x14ac:dyDescent="0.25">
      <c r="A8437" t="s">
        <v>1</v>
      </c>
      <c r="B8437" t="s">
        <v>19</v>
      </c>
      <c r="C8437" t="s">
        <v>23490</v>
      </c>
      <c r="D8437" t="str">
        <f>HYPERLINK("https://rhld.insurance.arkansas.gov/NPILookup?Npi=1922630367","1922630367")</f>
        <v>1922630367</v>
      </c>
      <c r="E8437" t="s">
        <v>17051</v>
      </c>
    </row>
    <row r="8438" spans="1:5" x14ac:dyDescent="0.25">
      <c r="A8438" t="s">
        <v>1</v>
      </c>
      <c r="B8438" t="s">
        <v>19</v>
      </c>
      <c r="C8438" t="s">
        <v>23490</v>
      </c>
      <c r="D8438" t="str">
        <f>HYPERLINK("https://rhld.insurance.arkansas.gov/NPILookup?Npi=1922632033","1922632033")</f>
        <v>1922632033</v>
      </c>
      <c r="E8438" t="s">
        <v>17052</v>
      </c>
    </row>
    <row r="8439" spans="1:5" x14ac:dyDescent="0.25">
      <c r="A8439" t="s">
        <v>1</v>
      </c>
      <c r="B8439" t="s">
        <v>19</v>
      </c>
      <c r="C8439" t="s">
        <v>23490</v>
      </c>
      <c r="D8439" t="str">
        <f>HYPERLINK("https://rhld.insurance.arkansas.gov/NPILookup?Npi=1922719806","1922719806")</f>
        <v>1922719806</v>
      </c>
      <c r="E8439" t="s">
        <v>21681</v>
      </c>
    </row>
    <row r="8440" spans="1:5" x14ac:dyDescent="0.25">
      <c r="A8440" t="s">
        <v>1</v>
      </c>
      <c r="B8440" t="s">
        <v>19</v>
      </c>
      <c r="C8440" t="s">
        <v>23490</v>
      </c>
      <c r="D8440" t="str">
        <f>HYPERLINK("https://rhld.insurance.arkansas.gov/NPILookup?Npi=1922758259","1922758259")</f>
        <v>1922758259</v>
      </c>
      <c r="E8440" t="s">
        <v>20136</v>
      </c>
    </row>
    <row r="8441" spans="1:5" x14ac:dyDescent="0.25">
      <c r="A8441" t="s">
        <v>1</v>
      </c>
      <c r="B8441" t="s">
        <v>19</v>
      </c>
      <c r="C8441" t="s">
        <v>23490</v>
      </c>
      <c r="D8441" t="str">
        <f>HYPERLINK("https://rhld.insurance.arkansas.gov/NPILookup?Npi=1922777051","1922777051")</f>
        <v>1922777051</v>
      </c>
      <c r="E8441" t="s">
        <v>20137</v>
      </c>
    </row>
    <row r="8442" spans="1:5" x14ac:dyDescent="0.25">
      <c r="A8442" t="s">
        <v>1</v>
      </c>
      <c r="B8442" t="s">
        <v>19</v>
      </c>
      <c r="C8442" t="s">
        <v>23490</v>
      </c>
      <c r="D8442" t="str">
        <f>HYPERLINK("https://rhld.insurance.arkansas.gov/NPILookup?Npi=1932100534","1932100534")</f>
        <v>1932100534</v>
      </c>
      <c r="E8442" t="s">
        <v>3222</v>
      </c>
    </row>
    <row r="8443" spans="1:5" x14ac:dyDescent="0.25">
      <c r="A8443" t="s">
        <v>1</v>
      </c>
      <c r="B8443" t="s">
        <v>19</v>
      </c>
      <c r="C8443" t="s">
        <v>23490</v>
      </c>
      <c r="D8443" t="str">
        <f>HYPERLINK("https://rhld.insurance.arkansas.gov/NPILookup?Npi=1932101953","1932101953")</f>
        <v>1932101953</v>
      </c>
      <c r="E8443" t="s">
        <v>8928</v>
      </c>
    </row>
    <row r="8444" spans="1:5" x14ac:dyDescent="0.25">
      <c r="A8444" t="s">
        <v>1</v>
      </c>
      <c r="B8444" t="s">
        <v>19</v>
      </c>
      <c r="C8444" t="s">
        <v>23490</v>
      </c>
      <c r="D8444" t="str">
        <f>HYPERLINK("https://rhld.insurance.arkansas.gov/NPILookup?Npi=1932113792","1932113792")</f>
        <v>1932113792</v>
      </c>
      <c r="E8444" t="s">
        <v>18181</v>
      </c>
    </row>
    <row r="8445" spans="1:5" x14ac:dyDescent="0.25">
      <c r="A8445" t="s">
        <v>1</v>
      </c>
      <c r="B8445" t="s">
        <v>19</v>
      </c>
      <c r="C8445" t="s">
        <v>23490</v>
      </c>
      <c r="D8445" t="str">
        <f>HYPERLINK("https://rhld.insurance.arkansas.gov/NPILookup?Npi=1932115136","1932115136")</f>
        <v>1932115136</v>
      </c>
      <c r="E8445" t="s">
        <v>3223</v>
      </c>
    </row>
    <row r="8446" spans="1:5" x14ac:dyDescent="0.25">
      <c r="A8446" t="s">
        <v>1</v>
      </c>
      <c r="B8446" t="s">
        <v>19</v>
      </c>
      <c r="C8446" t="s">
        <v>23490</v>
      </c>
      <c r="D8446" t="str">
        <f>HYPERLINK("https://rhld.insurance.arkansas.gov/NPILookup?Npi=1932126083","1932126083")</f>
        <v>1932126083</v>
      </c>
      <c r="E8446" t="s">
        <v>15725</v>
      </c>
    </row>
    <row r="8447" spans="1:5" x14ac:dyDescent="0.25">
      <c r="A8447" t="s">
        <v>1</v>
      </c>
      <c r="B8447" t="s">
        <v>19</v>
      </c>
      <c r="C8447" t="s">
        <v>23490</v>
      </c>
      <c r="D8447" t="str">
        <f>HYPERLINK("https://rhld.insurance.arkansas.gov/NPILookup?Npi=1932137148","1932137148")</f>
        <v>1932137148</v>
      </c>
      <c r="E8447" t="s">
        <v>3224</v>
      </c>
    </row>
    <row r="8448" spans="1:5" x14ac:dyDescent="0.25">
      <c r="A8448" t="s">
        <v>1</v>
      </c>
      <c r="B8448" t="s">
        <v>19</v>
      </c>
      <c r="C8448" t="s">
        <v>23490</v>
      </c>
      <c r="D8448" t="str">
        <f>HYPERLINK("https://rhld.insurance.arkansas.gov/NPILookup?Npi=1932155538","1932155538")</f>
        <v>1932155538</v>
      </c>
      <c r="E8448" t="s">
        <v>15726</v>
      </c>
    </row>
    <row r="8449" spans="1:5" x14ac:dyDescent="0.25">
      <c r="A8449" t="s">
        <v>1</v>
      </c>
      <c r="B8449" t="s">
        <v>19</v>
      </c>
      <c r="C8449" t="s">
        <v>23490</v>
      </c>
      <c r="D8449" t="str">
        <f>HYPERLINK("https://rhld.insurance.arkansas.gov/NPILookup?Npi=1932164035","1932164035")</f>
        <v>1932164035</v>
      </c>
      <c r="E8449" t="s">
        <v>3225</v>
      </c>
    </row>
    <row r="8450" spans="1:5" x14ac:dyDescent="0.25">
      <c r="A8450" t="s">
        <v>1</v>
      </c>
      <c r="B8450" t="s">
        <v>19</v>
      </c>
      <c r="C8450" t="s">
        <v>23490</v>
      </c>
      <c r="D8450" t="str">
        <f>HYPERLINK("https://rhld.insurance.arkansas.gov/NPILookup?Npi=1932164084","1932164084")</f>
        <v>1932164084</v>
      </c>
      <c r="E8450" t="s">
        <v>3226</v>
      </c>
    </row>
    <row r="8451" spans="1:5" x14ac:dyDescent="0.25">
      <c r="A8451" t="s">
        <v>1</v>
      </c>
      <c r="B8451" t="s">
        <v>19</v>
      </c>
      <c r="C8451" t="s">
        <v>23490</v>
      </c>
      <c r="D8451" t="str">
        <f>HYPERLINK("https://rhld.insurance.arkansas.gov/NPILookup?Npi=1932165024","1932165024")</f>
        <v>1932165024</v>
      </c>
      <c r="E8451" t="s">
        <v>3227</v>
      </c>
    </row>
    <row r="8452" spans="1:5" x14ac:dyDescent="0.25">
      <c r="A8452" t="s">
        <v>1</v>
      </c>
      <c r="B8452" t="s">
        <v>19</v>
      </c>
      <c r="C8452" t="s">
        <v>23490</v>
      </c>
      <c r="D8452" t="str">
        <f>HYPERLINK("https://rhld.insurance.arkansas.gov/NPILookup?Npi=1932166501","1932166501")</f>
        <v>1932166501</v>
      </c>
      <c r="E8452" t="s">
        <v>8929</v>
      </c>
    </row>
    <row r="8453" spans="1:5" x14ac:dyDescent="0.25">
      <c r="A8453" t="s">
        <v>1</v>
      </c>
      <c r="B8453" t="s">
        <v>19</v>
      </c>
      <c r="C8453" t="s">
        <v>23490</v>
      </c>
      <c r="D8453" t="str">
        <f>HYPERLINK("https://rhld.insurance.arkansas.gov/NPILookup?Npi=1932170404","1932170404")</f>
        <v>1932170404</v>
      </c>
      <c r="E8453" t="s">
        <v>3228</v>
      </c>
    </row>
    <row r="8454" spans="1:5" x14ac:dyDescent="0.25">
      <c r="A8454" t="s">
        <v>1</v>
      </c>
      <c r="B8454" t="s">
        <v>19</v>
      </c>
      <c r="C8454" t="s">
        <v>23490</v>
      </c>
      <c r="D8454" t="str">
        <f>HYPERLINK("https://rhld.insurance.arkansas.gov/NPILookup?Npi=1932173259","1932173259")</f>
        <v>1932173259</v>
      </c>
      <c r="E8454" t="s">
        <v>8930</v>
      </c>
    </row>
    <row r="8455" spans="1:5" x14ac:dyDescent="0.25">
      <c r="A8455" t="s">
        <v>1</v>
      </c>
      <c r="B8455" t="s">
        <v>19</v>
      </c>
      <c r="C8455" t="s">
        <v>23490</v>
      </c>
      <c r="D8455" t="str">
        <f>HYPERLINK("https://rhld.insurance.arkansas.gov/NPILookup?Npi=1932178332","1932178332")</f>
        <v>1932178332</v>
      </c>
      <c r="E8455" t="s">
        <v>3229</v>
      </c>
    </row>
    <row r="8456" spans="1:5" x14ac:dyDescent="0.25">
      <c r="A8456" t="s">
        <v>1</v>
      </c>
      <c r="B8456" t="s">
        <v>19</v>
      </c>
      <c r="C8456" t="s">
        <v>23490</v>
      </c>
      <c r="D8456" t="str">
        <f>HYPERLINK("https://rhld.insurance.arkansas.gov/NPILookup?Npi=1932183142","1932183142")</f>
        <v>1932183142</v>
      </c>
      <c r="E8456" t="s">
        <v>3230</v>
      </c>
    </row>
    <row r="8457" spans="1:5" x14ac:dyDescent="0.25">
      <c r="A8457" t="s">
        <v>1</v>
      </c>
      <c r="B8457" t="s">
        <v>19</v>
      </c>
      <c r="C8457" t="s">
        <v>23490</v>
      </c>
      <c r="D8457" t="str">
        <f>HYPERLINK("https://rhld.insurance.arkansas.gov/NPILookup?Npi=1932185188","1932185188")</f>
        <v>1932185188</v>
      </c>
      <c r="E8457" t="s">
        <v>15727</v>
      </c>
    </row>
    <row r="8458" spans="1:5" x14ac:dyDescent="0.25">
      <c r="A8458" t="s">
        <v>1</v>
      </c>
      <c r="B8458" t="s">
        <v>19</v>
      </c>
      <c r="C8458" t="s">
        <v>23490</v>
      </c>
      <c r="D8458" t="str">
        <f>HYPERLINK("https://rhld.insurance.arkansas.gov/NPILookup?Npi=1932188216","1932188216")</f>
        <v>1932188216</v>
      </c>
      <c r="E8458" t="s">
        <v>3231</v>
      </c>
    </row>
    <row r="8459" spans="1:5" x14ac:dyDescent="0.25">
      <c r="A8459" t="s">
        <v>1</v>
      </c>
      <c r="B8459" t="s">
        <v>19</v>
      </c>
      <c r="C8459" t="s">
        <v>23490</v>
      </c>
      <c r="D8459" t="str">
        <f>HYPERLINK("https://rhld.insurance.arkansas.gov/NPILookup?Npi=1932192556","1932192556")</f>
        <v>1932192556</v>
      </c>
      <c r="E8459" t="s">
        <v>3232</v>
      </c>
    </row>
    <row r="8460" spans="1:5" x14ac:dyDescent="0.25">
      <c r="A8460" t="s">
        <v>1</v>
      </c>
      <c r="B8460" t="s">
        <v>19</v>
      </c>
      <c r="C8460" t="s">
        <v>23490</v>
      </c>
      <c r="D8460" t="str">
        <f>HYPERLINK("https://rhld.insurance.arkansas.gov/NPILookup?Npi=1932193547","1932193547")</f>
        <v>1932193547</v>
      </c>
      <c r="E8460" t="s">
        <v>3233</v>
      </c>
    </row>
    <row r="8461" spans="1:5" x14ac:dyDescent="0.25">
      <c r="A8461" t="s">
        <v>1</v>
      </c>
      <c r="B8461" t="s">
        <v>19</v>
      </c>
      <c r="C8461" t="s">
        <v>23490</v>
      </c>
      <c r="D8461" t="str">
        <f>HYPERLINK("https://rhld.insurance.arkansas.gov/NPILookup?Npi=1932193687","1932193687")</f>
        <v>1932193687</v>
      </c>
      <c r="E8461" t="s">
        <v>20138</v>
      </c>
    </row>
    <row r="8462" spans="1:5" x14ac:dyDescent="0.25">
      <c r="A8462" t="s">
        <v>1</v>
      </c>
      <c r="B8462" t="s">
        <v>19</v>
      </c>
      <c r="C8462" t="s">
        <v>23490</v>
      </c>
      <c r="D8462" t="str">
        <f>HYPERLINK("https://rhld.insurance.arkansas.gov/NPILookup?Npi=1932194321","1932194321")</f>
        <v>1932194321</v>
      </c>
      <c r="E8462" t="s">
        <v>3234</v>
      </c>
    </row>
    <row r="8463" spans="1:5" x14ac:dyDescent="0.25">
      <c r="A8463" t="s">
        <v>1</v>
      </c>
      <c r="B8463" t="s">
        <v>19</v>
      </c>
      <c r="C8463" t="s">
        <v>23490</v>
      </c>
      <c r="D8463" t="str">
        <f>HYPERLINK("https://rhld.insurance.arkansas.gov/NPILookup?Npi=1932194974","1932194974")</f>
        <v>1932194974</v>
      </c>
      <c r="E8463" t="s">
        <v>3235</v>
      </c>
    </row>
    <row r="8464" spans="1:5" x14ac:dyDescent="0.25">
      <c r="A8464" t="s">
        <v>1</v>
      </c>
      <c r="B8464" t="s">
        <v>19</v>
      </c>
      <c r="C8464" t="s">
        <v>23490</v>
      </c>
      <c r="D8464" t="str">
        <f>HYPERLINK("https://rhld.insurance.arkansas.gov/NPILookup?Npi=1932196748","1932196748")</f>
        <v>1932196748</v>
      </c>
      <c r="E8464" t="s">
        <v>3236</v>
      </c>
    </row>
    <row r="8465" spans="1:5" x14ac:dyDescent="0.25">
      <c r="A8465" t="s">
        <v>1</v>
      </c>
      <c r="B8465" t="s">
        <v>19</v>
      </c>
      <c r="C8465" t="s">
        <v>23490</v>
      </c>
      <c r="D8465" t="str">
        <f>HYPERLINK("https://rhld.insurance.arkansas.gov/NPILookup?Npi=1932197241","1932197241")</f>
        <v>1932197241</v>
      </c>
      <c r="E8465" t="s">
        <v>1745</v>
      </c>
    </row>
    <row r="8466" spans="1:5" x14ac:dyDescent="0.25">
      <c r="A8466" t="s">
        <v>1</v>
      </c>
      <c r="B8466" t="s">
        <v>19</v>
      </c>
      <c r="C8466" t="s">
        <v>23490</v>
      </c>
      <c r="D8466" t="str">
        <f>HYPERLINK("https://rhld.insurance.arkansas.gov/NPILookup?Npi=1932197886","1932197886")</f>
        <v>1932197886</v>
      </c>
      <c r="E8466" t="s">
        <v>3237</v>
      </c>
    </row>
    <row r="8467" spans="1:5" x14ac:dyDescent="0.25">
      <c r="A8467" t="s">
        <v>1</v>
      </c>
      <c r="B8467" t="s">
        <v>19</v>
      </c>
      <c r="C8467" t="s">
        <v>23490</v>
      </c>
      <c r="D8467" t="str">
        <f>HYPERLINK("https://rhld.insurance.arkansas.gov/NPILookup?Npi=1932213493","1932213493")</f>
        <v>1932213493</v>
      </c>
      <c r="E8467" t="s">
        <v>3238</v>
      </c>
    </row>
    <row r="8468" spans="1:5" x14ac:dyDescent="0.25">
      <c r="A8468" t="s">
        <v>1</v>
      </c>
      <c r="B8468" t="s">
        <v>19</v>
      </c>
      <c r="C8468" t="s">
        <v>23490</v>
      </c>
      <c r="D8468" t="str">
        <f>HYPERLINK("https://rhld.insurance.arkansas.gov/NPILookup?Npi=1932216090","1932216090")</f>
        <v>1932216090</v>
      </c>
      <c r="E8468" t="s">
        <v>20139</v>
      </c>
    </row>
    <row r="8469" spans="1:5" x14ac:dyDescent="0.25">
      <c r="A8469" t="s">
        <v>1</v>
      </c>
      <c r="B8469" t="s">
        <v>19</v>
      </c>
      <c r="C8469" t="s">
        <v>23490</v>
      </c>
      <c r="D8469" t="str">
        <f>HYPERLINK("https://rhld.insurance.arkansas.gov/NPILookup?Npi=1932229234","1932229234")</f>
        <v>1932229234</v>
      </c>
      <c r="E8469" t="s">
        <v>3239</v>
      </c>
    </row>
    <row r="8470" spans="1:5" x14ac:dyDescent="0.25">
      <c r="A8470" t="s">
        <v>1</v>
      </c>
      <c r="B8470" t="s">
        <v>19</v>
      </c>
      <c r="C8470" t="s">
        <v>23490</v>
      </c>
      <c r="D8470" t="str">
        <f>HYPERLINK("https://rhld.insurance.arkansas.gov/NPILookup?Npi=1932233749","1932233749")</f>
        <v>1932233749</v>
      </c>
      <c r="E8470" t="s">
        <v>3240</v>
      </c>
    </row>
    <row r="8471" spans="1:5" x14ac:dyDescent="0.25">
      <c r="A8471" t="s">
        <v>1</v>
      </c>
      <c r="B8471" t="s">
        <v>19</v>
      </c>
      <c r="C8471" t="s">
        <v>23490</v>
      </c>
      <c r="D8471" t="str">
        <f>HYPERLINK("https://rhld.insurance.arkansas.gov/NPILookup?Npi=1932235785","1932235785")</f>
        <v>1932235785</v>
      </c>
      <c r="E8471" t="s">
        <v>3241</v>
      </c>
    </row>
    <row r="8472" spans="1:5" x14ac:dyDescent="0.25">
      <c r="A8472" t="s">
        <v>1</v>
      </c>
      <c r="B8472" t="s">
        <v>19</v>
      </c>
      <c r="C8472" t="s">
        <v>23490</v>
      </c>
      <c r="D8472" t="str">
        <f>HYPERLINK("https://rhld.insurance.arkansas.gov/NPILookup?Npi=1932251006","1932251006")</f>
        <v>1932251006</v>
      </c>
      <c r="E8472" t="s">
        <v>11382</v>
      </c>
    </row>
    <row r="8473" spans="1:5" x14ac:dyDescent="0.25">
      <c r="A8473" t="s">
        <v>1</v>
      </c>
      <c r="B8473" t="s">
        <v>19</v>
      </c>
      <c r="C8473" t="s">
        <v>23490</v>
      </c>
      <c r="D8473" t="str">
        <f>HYPERLINK("https://rhld.insurance.arkansas.gov/NPILookup?Npi=1932251097","1932251097")</f>
        <v>1932251097</v>
      </c>
      <c r="E8473" t="s">
        <v>3242</v>
      </c>
    </row>
    <row r="8474" spans="1:5" x14ac:dyDescent="0.25">
      <c r="A8474" t="s">
        <v>1</v>
      </c>
      <c r="B8474" t="s">
        <v>19</v>
      </c>
      <c r="C8474" t="s">
        <v>23490</v>
      </c>
      <c r="D8474" t="str">
        <f>HYPERLINK("https://rhld.insurance.arkansas.gov/NPILookup?Npi=1932268273","1932268273")</f>
        <v>1932268273</v>
      </c>
      <c r="E8474" t="s">
        <v>3243</v>
      </c>
    </row>
    <row r="8475" spans="1:5" x14ac:dyDescent="0.25">
      <c r="A8475" t="s">
        <v>1</v>
      </c>
      <c r="B8475" t="s">
        <v>19</v>
      </c>
      <c r="C8475" t="s">
        <v>23490</v>
      </c>
      <c r="D8475" t="str">
        <f>HYPERLINK("https://rhld.insurance.arkansas.gov/NPILookup?Npi=1932277720","1932277720")</f>
        <v>1932277720</v>
      </c>
      <c r="E8475" t="s">
        <v>3244</v>
      </c>
    </row>
    <row r="8476" spans="1:5" x14ac:dyDescent="0.25">
      <c r="A8476" t="s">
        <v>1</v>
      </c>
      <c r="B8476" t="s">
        <v>19</v>
      </c>
      <c r="C8476" t="s">
        <v>23490</v>
      </c>
      <c r="D8476" t="str">
        <f>HYPERLINK("https://rhld.insurance.arkansas.gov/NPILookup?Npi=1932280799","1932280799")</f>
        <v>1932280799</v>
      </c>
      <c r="E8476" t="s">
        <v>8931</v>
      </c>
    </row>
    <row r="8477" spans="1:5" x14ac:dyDescent="0.25">
      <c r="A8477" t="s">
        <v>1</v>
      </c>
      <c r="B8477" t="s">
        <v>19</v>
      </c>
      <c r="C8477" t="s">
        <v>23490</v>
      </c>
      <c r="D8477" t="str">
        <f>HYPERLINK("https://rhld.insurance.arkansas.gov/NPILookup?Npi=1932299419","1932299419")</f>
        <v>1932299419</v>
      </c>
      <c r="E8477" t="s">
        <v>3245</v>
      </c>
    </row>
    <row r="8478" spans="1:5" x14ac:dyDescent="0.25">
      <c r="A8478" t="s">
        <v>1</v>
      </c>
      <c r="B8478" t="s">
        <v>19</v>
      </c>
      <c r="C8478" t="s">
        <v>23490</v>
      </c>
      <c r="D8478" t="str">
        <f>HYPERLINK("https://rhld.insurance.arkansas.gov/NPILookup?Npi=1932307618","1932307618")</f>
        <v>1932307618</v>
      </c>
      <c r="E8478" t="s">
        <v>3246</v>
      </c>
    </row>
    <row r="8479" spans="1:5" x14ac:dyDescent="0.25">
      <c r="A8479" t="s">
        <v>1</v>
      </c>
      <c r="B8479" t="s">
        <v>19</v>
      </c>
      <c r="C8479" t="s">
        <v>23490</v>
      </c>
      <c r="D8479" t="str">
        <f>HYPERLINK("https://rhld.insurance.arkansas.gov/NPILookup?Npi=1932319449","1932319449")</f>
        <v>1932319449</v>
      </c>
      <c r="E8479" t="s">
        <v>3247</v>
      </c>
    </row>
    <row r="8480" spans="1:5" x14ac:dyDescent="0.25">
      <c r="A8480" t="s">
        <v>1</v>
      </c>
      <c r="B8480" t="s">
        <v>19</v>
      </c>
      <c r="C8480" t="s">
        <v>23490</v>
      </c>
      <c r="D8480" t="str">
        <f>HYPERLINK("https://rhld.insurance.arkansas.gov/NPILookup?Npi=1932322559","1932322559")</f>
        <v>1932322559</v>
      </c>
      <c r="E8480" t="s">
        <v>17053</v>
      </c>
    </row>
    <row r="8481" spans="1:5" x14ac:dyDescent="0.25">
      <c r="A8481" t="s">
        <v>1</v>
      </c>
      <c r="B8481" t="s">
        <v>19</v>
      </c>
      <c r="C8481" t="s">
        <v>23490</v>
      </c>
      <c r="D8481" t="str">
        <f>HYPERLINK("https://rhld.insurance.arkansas.gov/NPILookup?Npi=1932351582","1932351582")</f>
        <v>1932351582</v>
      </c>
      <c r="E8481" t="s">
        <v>3248</v>
      </c>
    </row>
    <row r="8482" spans="1:5" x14ac:dyDescent="0.25">
      <c r="A8482" t="s">
        <v>1</v>
      </c>
      <c r="B8482" t="s">
        <v>19</v>
      </c>
      <c r="C8482" t="s">
        <v>23490</v>
      </c>
      <c r="D8482" t="str">
        <f>HYPERLINK("https://rhld.insurance.arkansas.gov/NPILookup?Npi=1932374998","1932374998")</f>
        <v>1932374998</v>
      </c>
      <c r="E8482" t="s">
        <v>3249</v>
      </c>
    </row>
    <row r="8483" spans="1:5" x14ac:dyDescent="0.25">
      <c r="A8483" t="s">
        <v>1</v>
      </c>
      <c r="B8483" t="s">
        <v>19</v>
      </c>
      <c r="C8483" t="s">
        <v>23490</v>
      </c>
      <c r="D8483" t="str">
        <f>HYPERLINK("https://rhld.insurance.arkansas.gov/NPILookup?Npi=1932377256","1932377256")</f>
        <v>1932377256</v>
      </c>
      <c r="E8483" t="s">
        <v>12936</v>
      </c>
    </row>
    <row r="8484" spans="1:5" x14ac:dyDescent="0.25">
      <c r="A8484" t="s">
        <v>1</v>
      </c>
      <c r="B8484" t="s">
        <v>19</v>
      </c>
      <c r="C8484" t="s">
        <v>23490</v>
      </c>
      <c r="D8484" t="str">
        <f>HYPERLINK("https://rhld.insurance.arkansas.gov/NPILookup?Npi=1932401080","1932401080")</f>
        <v>1932401080</v>
      </c>
      <c r="E8484" t="s">
        <v>3250</v>
      </c>
    </row>
    <row r="8485" spans="1:5" x14ac:dyDescent="0.25">
      <c r="A8485" t="s">
        <v>1</v>
      </c>
      <c r="B8485" t="s">
        <v>19</v>
      </c>
      <c r="C8485" t="s">
        <v>23490</v>
      </c>
      <c r="D8485" t="str">
        <f>HYPERLINK("https://rhld.insurance.arkansas.gov/NPILookup?Npi=1932441987","1932441987")</f>
        <v>1932441987</v>
      </c>
      <c r="E8485" t="s">
        <v>15728</v>
      </c>
    </row>
    <row r="8486" spans="1:5" x14ac:dyDescent="0.25">
      <c r="A8486" t="s">
        <v>1</v>
      </c>
      <c r="B8486" t="s">
        <v>19</v>
      </c>
      <c r="C8486" t="s">
        <v>23490</v>
      </c>
      <c r="D8486" t="str">
        <f>HYPERLINK("https://rhld.insurance.arkansas.gov/NPILookup?Npi=1932473386","1932473386")</f>
        <v>1932473386</v>
      </c>
      <c r="E8486" t="s">
        <v>8932</v>
      </c>
    </row>
    <row r="8487" spans="1:5" x14ac:dyDescent="0.25">
      <c r="A8487" t="s">
        <v>1</v>
      </c>
      <c r="B8487" t="s">
        <v>19</v>
      </c>
      <c r="C8487" t="s">
        <v>23490</v>
      </c>
      <c r="D8487" t="str">
        <f>HYPERLINK("https://rhld.insurance.arkansas.gov/NPILookup?Npi=1932507258","1932507258")</f>
        <v>1932507258</v>
      </c>
      <c r="E8487" t="s">
        <v>15729</v>
      </c>
    </row>
    <row r="8488" spans="1:5" x14ac:dyDescent="0.25">
      <c r="A8488" t="s">
        <v>1</v>
      </c>
      <c r="B8488" t="s">
        <v>19</v>
      </c>
      <c r="C8488" t="s">
        <v>23490</v>
      </c>
      <c r="D8488" t="str">
        <f>HYPERLINK("https://rhld.insurance.arkansas.gov/NPILookup?Npi=1932539418","1932539418")</f>
        <v>1932539418</v>
      </c>
      <c r="E8488" t="s">
        <v>20140</v>
      </c>
    </row>
    <row r="8489" spans="1:5" x14ac:dyDescent="0.25">
      <c r="A8489" t="s">
        <v>1</v>
      </c>
      <c r="B8489" t="s">
        <v>19</v>
      </c>
      <c r="C8489" t="s">
        <v>23490</v>
      </c>
      <c r="D8489" t="str">
        <f>HYPERLINK("https://rhld.insurance.arkansas.gov/NPILookup?Npi=1932543550","1932543550")</f>
        <v>1932543550</v>
      </c>
      <c r="E8489" t="s">
        <v>13792</v>
      </c>
    </row>
    <row r="8490" spans="1:5" x14ac:dyDescent="0.25">
      <c r="A8490" t="s">
        <v>1</v>
      </c>
      <c r="B8490" t="s">
        <v>19</v>
      </c>
      <c r="C8490" t="s">
        <v>23490</v>
      </c>
      <c r="D8490" t="str">
        <f>HYPERLINK("https://rhld.insurance.arkansas.gov/NPILookup?Npi=1932553153","1932553153")</f>
        <v>1932553153</v>
      </c>
      <c r="E8490" t="s">
        <v>15730</v>
      </c>
    </row>
    <row r="8491" spans="1:5" x14ac:dyDescent="0.25">
      <c r="A8491" t="s">
        <v>1</v>
      </c>
      <c r="B8491" t="s">
        <v>19</v>
      </c>
      <c r="C8491" t="s">
        <v>23490</v>
      </c>
      <c r="D8491" t="str">
        <f>HYPERLINK("https://rhld.insurance.arkansas.gov/NPILookup?Npi=1932561636","1932561636")</f>
        <v>1932561636</v>
      </c>
      <c r="E8491" t="s">
        <v>20141</v>
      </c>
    </row>
    <row r="8492" spans="1:5" x14ac:dyDescent="0.25">
      <c r="A8492" t="s">
        <v>1</v>
      </c>
      <c r="B8492" t="s">
        <v>19</v>
      </c>
      <c r="C8492" t="s">
        <v>23490</v>
      </c>
      <c r="D8492" t="str">
        <f>HYPERLINK("https://rhld.insurance.arkansas.gov/NPILookup?Npi=1932568672","1932568672")</f>
        <v>1932568672</v>
      </c>
      <c r="E8492" t="s">
        <v>8933</v>
      </c>
    </row>
    <row r="8493" spans="1:5" x14ac:dyDescent="0.25">
      <c r="A8493" t="s">
        <v>1</v>
      </c>
      <c r="B8493" t="s">
        <v>19</v>
      </c>
      <c r="C8493" t="s">
        <v>23490</v>
      </c>
      <c r="D8493" t="str">
        <f>HYPERLINK("https://rhld.insurance.arkansas.gov/NPILookup?Npi=1932571577","1932571577")</f>
        <v>1932571577</v>
      </c>
      <c r="E8493" t="s">
        <v>11383</v>
      </c>
    </row>
    <row r="8494" spans="1:5" x14ac:dyDescent="0.25">
      <c r="A8494" t="s">
        <v>1</v>
      </c>
      <c r="B8494" t="s">
        <v>19</v>
      </c>
      <c r="C8494" t="s">
        <v>23490</v>
      </c>
      <c r="D8494" t="str">
        <f>HYPERLINK("https://rhld.insurance.arkansas.gov/NPILookup?Npi=1932591179","1932591179")</f>
        <v>1932591179</v>
      </c>
      <c r="E8494" t="s">
        <v>21066</v>
      </c>
    </row>
    <row r="8495" spans="1:5" x14ac:dyDescent="0.25">
      <c r="A8495" t="s">
        <v>1</v>
      </c>
      <c r="B8495" t="s">
        <v>19</v>
      </c>
      <c r="C8495" t="s">
        <v>23490</v>
      </c>
      <c r="D8495" t="str">
        <f>HYPERLINK("https://rhld.insurance.arkansas.gov/NPILookup?Npi=1932591617","1932591617")</f>
        <v>1932591617</v>
      </c>
      <c r="E8495" t="s">
        <v>3252</v>
      </c>
    </row>
    <row r="8496" spans="1:5" x14ac:dyDescent="0.25">
      <c r="A8496" t="s">
        <v>1</v>
      </c>
      <c r="B8496" t="s">
        <v>19</v>
      </c>
      <c r="C8496" t="s">
        <v>23490</v>
      </c>
      <c r="D8496" t="str">
        <f>HYPERLINK("https://rhld.insurance.arkansas.gov/NPILookup?Npi=1932612413","1932612413")</f>
        <v>1932612413</v>
      </c>
      <c r="E8496" t="s">
        <v>20142</v>
      </c>
    </row>
    <row r="8497" spans="1:5" x14ac:dyDescent="0.25">
      <c r="A8497" t="s">
        <v>1</v>
      </c>
      <c r="B8497" t="s">
        <v>19</v>
      </c>
      <c r="C8497" t="s">
        <v>23490</v>
      </c>
      <c r="D8497" t="str">
        <f>HYPERLINK("https://rhld.insurance.arkansas.gov/NPILookup?Npi=1932623360","1932623360")</f>
        <v>1932623360</v>
      </c>
      <c r="E8497" t="s">
        <v>11384</v>
      </c>
    </row>
    <row r="8498" spans="1:5" x14ac:dyDescent="0.25">
      <c r="A8498" t="s">
        <v>1</v>
      </c>
      <c r="B8498" t="s">
        <v>19</v>
      </c>
      <c r="C8498" t="s">
        <v>23490</v>
      </c>
      <c r="D8498" t="str">
        <f>HYPERLINK("https://rhld.insurance.arkansas.gov/NPILookup?Npi=1932625266","1932625266")</f>
        <v>1932625266</v>
      </c>
      <c r="E8498" t="s">
        <v>12937</v>
      </c>
    </row>
    <row r="8499" spans="1:5" x14ac:dyDescent="0.25">
      <c r="A8499" t="s">
        <v>1</v>
      </c>
      <c r="B8499" t="s">
        <v>19</v>
      </c>
      <c r="C8499" t="s">
        <v>8427</v>
      </c>
      <c r="D8499" t="str">
        <f>HYPERLINK("https://rhld.insurance.arkansas.gov/NPILookup?Npi=1932631439","1932631439")</f>
        <v>1932631439</v>
      </c>
      <c r="E8499" t="s">
        <v>23009</v>
      </c>
    </row>
    <row r="8500" spans="1:5" x14ac:dyDescent="0.25">
      <c r="A8500" t="s">
        <v>1</v>
      </c>
      <c r="B8500" t="s">
        <v>19</v>
      </c>
      <c r="C8500" t="s">
        <v>23490</v>
      </c>
      <c r="D8500" t="str">
        <f>HYPERLINK("https://rhld.insurance.arkansas.gov/NPILookup?Npi=1932633260","1932633260")</f>
        <v>1932633260</v>
      </c>
      <c r="E8500" t="s">
        <v>20143</v>
      </c>
    </row>
    <row r="8501" spans="1:5" x14ac:dyDescent="0.25">
      <c r="A8501" t="s">
        <v>1</v>
      </c>
      <c r="B8501" t="s">
        <v>19</v>
      </c>
      <c r="C8501" t="s">
        <v>23490</v>
      </c>
      <c r="D8501" t="str">
        <f>HYPERLINK("https://rhld.insurance.arkansas.gov/NPILookup?Npi=1932642907","1932642907")</f>
        <v>1932642907</v>
      </c>
      <c r="E8501" t="s">
        <v>20144</v>
      </c>
    </row>
    <row r="8502" spans="1:5" x14ac:dyDescent="0.25">
      <c r="A8502" t="s">
        <v>1</v>
      </c>
      <c r="B8502" t="s">
        <v>19</v>
      </c>
      <c r="C8502" t="s">
        <v>23490</v>
      </c>
      <c r="D8502" t="str">
        <f>HYPERLINK("https://rhld.insurance.arkansas.gov/NPILookup?Npi=1932656535","1932656535")</f>
        <v>1932656535</v>
      </c>
      <c r="E8502" t="s">
        <v>15731</v>
      </c>
    </row>
    <row r="8503" spans="1:5" x14ac:dyDescent="0.25">
      <c r="A8503" t="s">
        <v>1</v>
      </c>
      <c r="B8503" t="s">
        <v>19</v>
      </c>
      <c r="C8503" t="s">
        <v>23490</v>
      </c>
      <c r="D8503" t="str">
        <f>HYPERLINK("https://rhld.insurance.arkansas.gov/NPILookup?Npi=1932664067","1932664067")</f>
        <v>1932664067</v>
      </c>
      <c r="E8503" t="s">
        <v>20145</v>
      </c>
    </row>
    <row r="8504" spans="1:5" x14ac:dyDescent="0.25">
      <c r="A8504" t="s">
        <v>1</v>
      </c>
      <c r="B8504" t="s">
        <v>19</v>
      </c>
      <c r="C8504" t="s">
        <v>23490</v>
      </c>
      <c r="D8504" t="str">
        <f>HYPERLINK("https://rhld.insurance.arkansas.gov/NPILookup?Npi=1932666252","1932666252")</f>
        <v>1932666252</v>
      </c>
      <c r="E8504" t="s">
        <v>18901</v>
      </c>
    </row>
    <row r="8505" spans="1:5" x14ac:dyDescent="0.25">
      <c r="A8505" t="s">
        <v>1</v>
      </c>
      <c r="B8505" t="s">
        <v>19</v>
      </c>
      <c r="C8505" t="s">
        <v>23490</v>
      </c>
      <c r="D8505" t="str">
        <f>HYPERLINK("https://rhld.insurance.arkansas.gov/NPILookup?Npi=1932676194","1932676194")</f>
        <v>1932676194</v>
      </c>
      <c r="E8505" t="s">
        <v>15732</v>
      </c>
    </row>
    <row r="8506" spans="1:5" x14ac:dyDescent="0.25">
      <c r="A8506" t="s">
        <v>1</v>
      </c>
      <c r="B8506" t="s">
        <v>19</v>
      </c>
      <c r="C8506" t="s">
        <v>23490</v>
      </c>
      <c r="D8506" t="str">
        <f>HYPERLINK("https://rhld.insurance.arkansas.gov/NPILookup?Npi=1932681574","1932681574")</f>
        <v>1932681574</v>
      </c>
      <c r="E8506" t="s">
        <v>20146</v>
      </c>
    </row>
    <row r="8507" spans="1:5" x14ac:dyDescent="0.25">
      <c r="A8507" t="s">
        <v>1</v>
      </c>
      <c r="B8507" t="s">
        <v>19</v>
      </c>
      <c r="C8507" t="s">
        <v>23490</v>
      </c>
      <c r="D8507" t="str">
        <f>HYPERLINK("https://rhld.insurance.arkansas.gov/NPILookup?Npi=1932702354","1932702354")</f>
        <v>1932702354</v>
      </c>
      <c r="E8507" t="s">
        <v>18182</v>
      </c>
    </row>
    <row r="8508" spans="1:5" x14ac:dyDescent="0.25">
      <c r="A8508" t="s">
        <v>1</v>
      </c>
      <c r="B8508" t="s">
        <v>19</v>
      </c>
      <c r="C8508" t="s">
        <v>23490</v>
      </c>
      <c r="D8508" t="str">
        <f>HYPERLINK("https://rhld.insurance.arkansas.gov/NPILookup?Npi=1932707346","1932707346")</f>
        <v>1932707346</v>
      </c>
      <c r="E8508" t="s">
        <v>17496</v>
      </c>
    </row>
    <row r="8509" spans="1:5" x14ac:dyDescent="0.25">
      <c r="A8509" t="s">
        <v>1</v>
      </c>
      <c r="B8509" t="s">
        <v>19</v>
      </c>
      <c r="C8509" t="s">
        <v>23490</v>
      </c>
      <c r="D8509" t="str">
        <f>HYPERLINK("https://rhld.insurance.arkansas.gov/NPILookup?Npi=1932728300","1932728300")</f>
        <v>1932728300</v>
      </c>
      <c r="E8509" t="s">
        <v>23010</v>
      </c>
    </row>
    <row r="8510" spans="1:5" x14ac:dyDescent="0.25">
      <c r="A8510" t="s">
        <v>1</v>
      </c>
      <c r="B8510" t="s">
        <v>19</v>
      </c>
      <c r="C8510" t="s">
        <v>23490</v>
      </c>
      <c r="D8510" t="str">
        <f>HYPERLINK("https://rhld.insurance.arkansas.gov/NPILookup?Npi=1932737228","1932737228")</f>
        <v>1932737228</v>
      </c>
      <c r="E8510" t="s">
        <v>17497</v>
      </c>
    </row>
    <row r="8511" spans="1:5" x14ac:dyDescent="0.25">
      <c r="A8511" t="s">
        <v>1</v>
      </c>
      <c r="B8511" t="s">
        <v>19</v>
      </c>
      <c r="C8511" t="s">
        <v>8427</v>
      </c>
      <c r="D8511" t="str">
        <f>HYPERLINK("https://rhld.insurance.arkansas.gov/NPILookup?Npi=1932737244","1932737244")</f>
        <v>1932737244</v>
      </c>
      <c r="E8511" t="s">
        <v>23011</v>
      </c>
    </row>
    <row r="8512" spans="1:5" x14ac:dyDescent="0.25">
      <c r="A8512" t="s">
        <v>1</v>
      </c>
      <c r="B8512" t="s">
        <v>19</v>
      </c>
      <c r="C8512" t="s">
        <v>23490</v>
      </c>
      <c r="D8512" t="str">
        <f>HYPERLINK("https://rhld.insurance.arkansas.gov/NPILookup?Npi=1932740339","1932740339")</f>
        <v>1932740339</v>
      </c>
      <c r="E8512" t="s">
        <v>20147</v>
      </c>
    </row>
    <row r="8513" spans="1:5" x14ac:dyDescent="0.25">
      <c r="A8513" t="s">
        <v>1</v>
      </c>
      <c r="B8513" t="s">
        <v>19</v>
      </c>
      <c r="C8513" t="s">
        <v>23490</v>
      </c>
      <c r="D8513" t="str">
        <f>HYPERLINK("https://rhld.insurance.arkansas.gov/NPILookup?Npi=1932742400","1932742400")</f>
        <v>1932742400</v>
      </c>
      <c r="E8513" t="s">
        <v>20148</v>
      </c>
    </row>
    <row r="8514" spans="1:5" x14ac:dyDescent="0.25">
      <c r="A8514" t="s">
        <v>1</v>
      </c>
      <c r="B8514" t="s">
        <v>19</v>
      </c>
      <c r="C8514" t="s">
        <v>23490</v>
      </c>
      <c r="D8514" t="str">
        <f>HYPERLINK("https://rhld.insurance.arkansas.gov/NPILookup?Npi=1932743887","1932743887")</f>
        <v>1932743887</v>
      </c>
      <c r="E8514" t="s">
        <v>17054</v>
      </c>
    </row>
    <row r="8515" spans="1:5" x14ac:dyDescent="0.25">
      <c r="A8515" t="s">
        <v>1</v>
      </c>
      <c r="B8515" t="s">
        <v>19</v>
      </c>
      <c r="C8515" t="s">
        <v>23490</v>
      </c>
      <c r="D8515" t="str">
        <f>HYPERLINK("https://rhld.insurance.arkansas.gov/NPILookup?Npi=1932749561","1932749561")</f>
        <v>1932749561</v>
      </c>
      <c r="E8515" t="s">
        <v>18183</v>
      </c>
    </row>
    <row r="8516" spans="1:5" x14ac:dyDescent="0.25">
      <c r="A8516" t="s">
        <v>1</v>
      </c>
      <c r="B8516" t="s">
        <v>19</v>
      </c>
      <c r="C8516" t="s">
        <v>23490</v>
      </c>
      <c r="D8516" t="str">
        <f>HYPERLINK("https://rhld.insurance.arkansas.gov/NPILookup?Npi=1932754942","1932754942")</f>
        <v>1932754942</v>
      </c>
      <c r="E8516" t="s">
        <v>17055</v>
      </c>
    </row>
    <row r="8517" spans="1:5" x14ac:dyDescent="0.25">
      <c r="A8517" t="s">
        <v>1</v>
      </c>
      <c r="B8517" t="s">
        <v>19</v>
      </c>
      <c r="C8517" t="s">
        <v>23490</v>
      </c>
      <c r="D8517" t="str">
        <f>HYPERLINK("https://rhld.insurance.arkansas.gov/NPILookup?Npi=1932764461","1932764461")</f>
        <v>1932764461</v>
      </c>
      <c r="E8517" t="s">
        <v>21067</v>
      </c>
    </row>
    <row r="8518" spans="1:5" x14ac:dyDescent="0.25">
      <c r="A8518" t="s">
        <v>1</v>
      </c>
      <c r="B8518" t="s">
        <v>19</v>
      </c>
      <c r="C8518" t="s">
        <v>23490</v>
      </c>
      <c r="D8518" t="str">
        <f>HYPERLINK("https://rhld.insurance.arkansas.gov/NPILookup?Npi=1932767910","1932767910")</f>
        <v>1932767910</v>
      </c>
      <c r="E8518" t="s">
        <v>20149</v>
      </c>
    </row>
    <row r="8519" spans="1:5" x14ac:dyDescent="0.25">
      <c r="A8519" t="s">
        <v>1</v>
      </c>
      <c r="B8519" t="s">
        <v>19</v>
      </c>
      <c r="C8519" t="s">
        <v>23490</v>
      </c>
      <c r="D8519" t="str">
        <f>HYPERLINK("https://rhld.insurance.arkansas.gov/NPILookup?Npi=1932793445","1932793445")</f>
        <v>1932793445</v>
      </c>
      <c r="E8519" t="s">
        <v>20150</v>
      </c>
    </row>
    <row r="8520" spans="1:5" x14ac:dyDescent="0.25">
      <c r="A8520" t="s">
        <v>1</v>
      </c>
      <c r="B8520" t="s">
        <v>19</v>
      </c>
      <c r="C8520" t="s">
        <v>23490</v>
      </c>
      <c r="D8520" t="str">
        <f>HYPERLINK("https://rhld.insurance.arkansas.gov/NPILookup?Npi=1932799244","1932799244")</f>
        <v>1932799244</v>
      </c>
      <c r="E8520" t="s">
        <v>18902</v>
      </c>
    </row>
    <row r="8521" spans="1:5" x14ac:dyDescent="0.25">
      <c r="A8521" t="s">
        <v>1</v>
      </c>
      <c r="B8521" t="s">
        <v>19</v>
      </c>
      <c r="C8521" t="s">
        <v>23490</v>
      </c>
      <c r="D8521" t="str">
        <f>HYPERLINK("https://rhld.insurance.arkansas.gov/NPILookup?Npi=1932824950","1932824950")</f>
        <v>1932824950</v>
      </c>
      <c r="E8521" t="s">
        <v>21682</v>
      </c>
    </row>
    <row r="8522" spans="1:5" x14ac:dyDescent="0.25">
      <c r="A8522" t="s">
        <v>1</v>
      </c>
      <c r="B8522" t="s">
        <v>19</v>
      </c>
      <c r="C8522" t="s">
        <v>23490</v>
      </c>
      <c r="D8522" t="str">
        <f>HYPERLINK("https://rhld.insurance.arkansas.gov/NPILookup?Npi=1932879350","1932879350")</f>
        <v>1932879350</v>
      </c>
      <c r="E8522" t="s">
        <v>18903</v>
      </c>
    </row>
    <row r="8523" spans="1:5" x14ac:dyDescent="0.25">
      <c r="A8523" t="s">
        <v>1</v>
      </c>
      <c r="B8523" t="s">
        <v>19</v>
      </c>
      <c r="C8523" t="s">
        <v>23490</v>
      </c>
      <c r="D8523" t="str">
        <f>HYPERLINK("https://rhld.insurance.arkansas.gov/NPILookup?Npi=1942200357","1942200357")</f>
        <v>1942200357</v>
      </c>
      <c r="E8523" t="s">
        <v>3253</v>
      </c>
    </row>
    <row r="8524" spans="1:5" x14ac:dyDescent="0.25">
      <c r="A8524" t="s">
        <v>1</v>
      </c>
      <c r="B8524" t="s">
        <v>19</v>
      </c>
      <c r="C8524" t="s">
        <v>23490</v>
      </c>
      <c r="D8524" t="str">
        <f>HYPERLINK("https://rhld.insurance.arkansas.gov/NPILookup?Npi=1942201710","1942201710")</f>
        <v>1942201710</v>
      </c>
      <c r="E8524" t="s">
        <v>3254</v>
      </c>
    </row>
    <row r="8525" spans="1:5" x14ac:dyDescent="0.25">
      <c r="A8525" t="s">
        <v>1</v>
      </c>
      <c r="B8525" t="s">
        <v>19</v>
      </c>
      <c r="C8525" t="s">
        <v>23490</v>
      </c>
      <c r="D8525" t="str">
        <f>HYPERLINK("https://rhld.insurance.arkansas.gov/NPILookup?Npi=1942202080","1942202080")</f>
        <v>1942202080</v>
      </c>
      <c r="E8525" t="s">
        <v>15733</v>
      </c>
    </row>
    <row r="8526" spans="1:5" x14ac:dyDescent="0.25">
      <c r="A8526" t="s">
        <v>1</v>
      </c>
      <c r="B8526" t="s">
        <v>19</v>
      </c>
      <c r="C8526" t="s">
        <v>23490</v>
      </c>
      <c r="D8526" t="str">
        <f>HYPERLINK("https://rhld.insurance.arkansas.gov/NPILookup?Npi=1942203286","1942203286")</f>
        <v>1942203286</v>
      </c>
      <c r="E8526" t="s">
        <v>15734</v>
      </c>
    </row>
    <row r="8527" spans="1:5" x14ac:dyDescent="0.25">
      <c r="A8527" t="s">
        <v>1</v>
      </c>
      <c r="B8527" t="s">
        <v>19</v>
      </c>
      <c r="C8527" t="s">
        <v>23490</v>
      </c>
      <c r="D8527" t="str">
        <f>HYPERLINK("https://rhld.insurance.arkansas.gov/NPILookup?Npi=1942204227","1942204227")</f>
        <v>1942204227</v>
      </c>
      <c r="E8527" t="s">
        <v>3255</v>
      </c>
    </row>
    <row r="8528" spans="1:5" x14ac:dyDescent="0.25">
      <c r="A8528" t="s">
        <v>1</v>
      </c>
      <c r="B8528" t="s">
        <v>19</v>
      </c>
      <c r="C8528" t="s">
        <v>23490</v>
      </c>
      <c r="D8528" t="str">
        <f>HYPERLINK("https://rhld.insurance.arkansas.gov/NPILookup?Npi=1942208277","1942208277")</f>
        <v>1942208277</v>
      </c>
      <c r="E8528" t="s">
        <v>23012</v>
      </c>
    </row>
    <row r="8529" spans="1:5" x14ac:dyDescent="0.25">
      <c r="A8529" t="s">
        <v>1</v>
      </c>
      <c r="B8529" t="s">
        <v>19</v>
      </c>
      <c r="C8529" t="s">
        <v>23490</v>
      </c>
      <c r="D8529" t="str">
        <f>HYPERLINK("https://rhld.insurance.arkansas.gov/NPILookup?Npi=1942210612","1942210612")</f>
        <v>1942210612</v>
      </c>
      <c r="E8529" t="s">
        <v>15735</v>
      </c>
    </row>
    <row r="8530" spans="1:5" x14ac:dyDescent="0.25">
      <c r="A8530" t="s">
        <v>1</v>
      </c>
      <c r="B8530" t="s">
        <v>19</v>
      </c>
      <c r="C8530" t="s">
        <v>23490</v>
      </c>
      <c r="D8530" t="str">
        <f>HYPERLINK("https://rhld.insurance.arkansas.gov/NPILookup?Npi=1942216841","1942216841")</f>
        <v>1942216841</v>
      </c>
      <c r="E8530" t="s">
        <v>758</v>
      </c>
    </row>
    <row r="8531" spans="1:5" x14ac:dyDescent="0.25">
      <c r="A8531" t="s">
        <v>1</v>
      </c>
      <c r="B8531" t="s">
        <v>19</v>
      </c>
      <c r="C8531" t="s">
        <v>23490</v>
      </c>
      <c r="D8531" t="str">
        <f>HYPERLINK("https://rhld.insurance.arkansas.gov/NPILookup?Npi=1942225131","1942225131")</f>
        <v>1942225131</v>
      </c>
      <c r="E8531" t="s">
        <v>15736</v>
      </c>
    </row>
    <row r="8532" spans="1:5" x14ac:dyDescent="0.25">
      <c r="A8532" t="s">
        <v>1</v>
      </c>
      <c r="B8532" t="s">
        <v>19</v>
      </c>
      <c r="C8532" t="s">
        <v>23490</v>
      </c>
      <c r="D8532" t="str">
        <f>HYPERLINK("https://rhld.insurance.arkansas.gov/NPILookup?Npi=1942237771","1942237771")</f>
        <v>1942237771</v>
      </c>
      <c r="E8532" t="s">
        <v>17498</v>
      </c>
    </row>
    <row r="8533" spans="1:5" x14ac:dyDescent="0.25">
      <c r="A8533" t="s">
        <v>1</v>
      </c>
      <c r="B8533" t="s">
        <v>19</v>
      </c>
      <c r="C8533" t="s">
        <v>23490</v>
      </c>
      <c r="D8533" t="str">
        <f>HYPERLINK("https://rhld.insurance.arkansas.gov/NPILookup?Npi=1942241708","1942241708")</f>
        <v>1942241708</v>
      </c>
      <c r="E8533" t="s">
        <v>3257</v>
      </c>
    </row>
    <row r="8534" spans="1:5" x14ac:dyDescent="0.25">
      <c r="A8534" t="s">
        <v>1</v>
      </c>
      <c r="B8534" t="s">
        <v>19</v>
      </c>
      <c r="C8534" t="s">
        <v>23490</v>
      </c>
      <c r="D8534" t="str">
        <f>HYPERLINK("https://rhld.insurance.arkansas.gov/NPILookup?Npi=1942246707","1942246707")</f>
        <v>1942246707</v>
      </c>
      <c r="E8534" t="s">
        <v>3258</v>
      </c>
    </row>
    <row r="8535" spans="1:5" x14ac:dyDescent="0.25">
      <c r="A8535" t="s">
        <v>1</v>
      </c>
      <c r="B8535" t="s">
        <v>19</v>
      </c>
      <c r="C8535" t="s">
        <v>23490</v>
      </c>
      <c r="D8535" t="str">
        <f>HYPERLINK("https://rhld.insurance.arkansas.gov/NPILookup?Npi=1942247317","1942247317")</f>
        <v>1942247317</v>
      </c>
      <c r="E8535" t="s">
        <v>3259</v>
      </c>
    </row>
    <row r="8536" spans="1:5" x14ac:dyDescent="0.25">
      <c r="A8536" t="s">
        <v>1</v>
      </c>
      <c r="B8536" t="s">
        <v>19</v>
      </c>
      <c r="C8536" t="s">
        <v>23490</v>
      </c>
      <c r="D8536" t="str">
        <f>HYPERLINK("https://rhld.insurance.arkansas.gov/NPILookup?Npi=1942249677","1942249677")</f>
        <v>1942249677</v>
      </c>
      <c r="E8536" t="s">
        <v>15737</v>
      </c>
    </row>
    <row r="8537" spans="1:5" x14ac:dyDescent="0.25">
      <c r="A8537" t="s">
        <v>1</v>
      </c>
      <c r="B8537" t="s">
        <v>19</v>
      </c>
      <c r="C8537" t="s">
        <v>23490</v>
      </c>
      <c r="D8537" t="str">
        <f>HYPERLINK("https://rhld.insurance.arkansas.gov/NPILookup?Npi=1942253992","1942253992")</f>
        <v>1942253992</v>
      </c>
      <c r="E8537" t="s">
        <v>3260</v>
      </c>
    </row>
    <row r="8538" spans="1:5" x14ac:dyDescent="0.25">
      <c r="A8538" t="s">
        <v>1</v>
      </c>
      <c r="B8538" t="s">
        <v>19</v>
      </c>
      <c r="C8538" t="s">
        <v>23490</v>
      </c>
      <c r="D8538" t="str">
        <f>HYPERLINK("https://rhld.insurance.arkansas.gov/NPILookup?Npi=1942261052","1942261052")</f>
        <v>1942261052</v>
      </c>
      <c r="E8538" t="s">
        <v>15738</v>
      </c>
    </row>
    <row r="8539" spans="1:5" x14ac:dyDescent="0.25">
      <c r="A8539" t="s">
        <v>1</v>
      </c>
      <c r="B8539" t="s">
        <v>19</v>
      </c>
      <c r="C8539" t="s">
        <v>23490</v>
      </c>
      <c r="D8539" t="str">
        <f>HYPERLINK("https://rhld.insurance.arkansas.gov/NPILookup?Npi=1942262464","1942262464")</f>
        <v>1942262464</v>
      </c>
      <c r="E8539" t="s">
        <v>526</v>
      </c>
    </row>
    <row r="8540" spans="1:5" x14ac:dyDescent="0.25">
      <c r="A8540" t="s">
        <v>1</v>
      </c>
      <c r="B8540" t="s">
        <v>19</v>
      </c>
      <c r="C8540" t="s">
        <v>23490</v>
      </c>
      <c r="D8540" t="str">
        <f>HYPERLINK("https://rhld.insurance.arkansas.gov/NPILookup?Npi=1942262829","1942262829")</f>
        <v>1942262829</v>
      </c>
      <c r="E8540" t="s">
        <v>3261</v>
      </c>
    </row>
    <row r="8541" spans="1:5" x14ac:dyDescent="0.25">
      <c r="A8541" t="s">
        <v>1</v>
      </c>
      <c r="B8541" t="s">
        <v>19</v>
      </c>
      <c r="C8541" t="s">
        <v>23490</v>
      </c>
      <c r="D8541" t="str">
        <f>HYPERLINK("https://rhld.insurance.arkansas.gov/NPILookup?Npi=1942267513","1942267513")</f>
        <v>1942267513</v>
      </c>
      <c r="E8541" t="s">
        <v>3262</v>
      </c>
    </row>
    <row r="8542" spans="1:5" x14ac:dyDescent="0.25">
      <c r="A8542" t="s">
        <v>1</v>
      </c>
      <c r="B8542" t="s">
        <v>19</v>
      </c>
      <c r="C8542" t="s">
        <v>23490</v>
      </c>
      <c r="D8542" t="str">
        <f>HYPERLINK("https://rhld.insurance.arkansas.gov/NPILookup?Npi=1942269188","1942269188")</f>
        <v>1942269188</v>
      </c>
      <c r="E8542" t="s">
        <v>3263</v>
      </c>
    </row>
    <row r="8543" spans="1:5" x14ac:dyDescent="0.25">
      <c r="A8543" t="s">
        <v>1</v>
      </c>
      <c r="B8543" t="s">
        <v>19</v>
      </c>
      <c r="C8543" t="s">
        <v>23490</v>
      </c>
      <c r="D8543" t="str">
        <f>HYPERLINK("https://rhld.insurance.arkansas.gov/NPILookup?Npi=1942273776","1942273776")</f>
        <v>1942273776</v>
      </c>
      <c r="E8543" t="s">
        <v>3264</v>
      </c>
    </row>
    <row r="8544" spans="1:5" x14ac:dyDescent="0.25">
      <c r="A8544" t="s">
        <v>1</v>
      </c>
      <c r="B8544" t="s">
        <v>19</v>
      </c>
      <c r="C8544" t="s">
        <v>23490</v>
      </c>
      <c r="D8544" t="str">
        <f>HYPERLINK("https://rhld.insurance.arkansas.gov/NPILookup?Npi=1942279377","1942279377")</f>
        <v>1942279377</v>
      </c>
      <c r="E8544" t="s">
        <v>3265</v>
      </c>
    </row>
    <row r="8545" spans="1:5" x14ac:dyDescent="0.25">
      <c r="A8545" t="s">
        <v>1</v>
      </c>
      <c r="B8545" t="s">
        <v>19</v>
      </c>
      <c r="C8545" t="s">
        <v>23490</v>
      </c>
      <c r="D8545" t="str">
        <f>HYPERLINK("https://rhld.insurance.arkansas.gov/NPILookup?Npi=1942287610","1942287610")</f>
        <v>1942287610</v>
      </c>
      <c r="E8545" t="s">
        <v>3266</v>
      </c>
    </row>
    <row r="8546" spans="1:5" x14ac:dyDescent="0.25">
      <c r="A8546" t="s">
        <v>1</v>
      </c>
      <c r="B8546" t="s">
        <v>19</v>
      </c>
      <c r="C8546" t="s">
        <v>23490</v>
      </c>
      <c r="D8546" t="str">
        <f>HYPERLINK("https://rhld.insurance.arkansas.gov/NPILookup?Npi=1942299482","1942299482")</f>
        <v>1942299482</v>
      </c>
      <c r="E8546" t="s">
        <v>3267</v>
      </c>
    </row>
    <row r="8547" spans="1:5" x14ac:dyDescent="0.25">
      <c r="A8547" t="s">
        <v>1</v>
      </c>
      <c r="B8547" t="s">
        <v>19</v>
      </c>
      <c r="C8547" t="s">
        <v>23490</v>
      </c>
      <c r="D8547" t="str">
        <f>HYPERLINK("https://rhld.insurance.arkansas.gov/NPILookup?Npi=1942320593","1942320593")</f>
        <v>1942320593</v>
      </c>
      <c r="E8547" t="s">
        <v>13793</v>
      </c>
    </row>
    <row r="8548" spans="1:5" x14ac:dyDescent="0.25">
      <c r="A8548" t="s">
        <v>1</v>
      </c>
      <c r="B8548" t="s">
        <v>19</v>
      </c>
      <c r="C8548" t="s">
        <v>23490</v>
      </c>
      <c r="D8548" t="str">
        <f>HYPERLINK("https://rhld.insurance.arkansas.gov/NPILookup?Npi=1942324470","1942324470")</f>
        <v>1942324470</v>
      </c>
      <c r="E8548" t="s">
        <v>3268</v>
      </c>
    </row>
    <row r="8549" spans="1:5" x14ac:dyDescent="0.25">
      <c r="A8549" t="s">
        <v>1</v>
      </c>
      <c r="B8549" t="s">
        <v>19</v>
      </c>
      <c r="C8549" t="s">
        <v>23490</v>
      </c>
      <c r="D8549" t="str">
        <f>HYPERLINK("https://rhld.insurance.arkansas.gov/NPILookup?Npi=1942329636","1942329636")</f>
        <v>1942329636</v>
      </c>
      <c r="E8549" t="s">
        <v>20151</v>
      </c>
    </row>
    <row r="8550" spans="1:5" x14ac:dyDescent="0.25">
      <c r="A8550" t="s">
        <v>1</v>
      </c>
      <c r="B8550" t="s">
        <v>19</v>
      </c>
      <c r="C8550" t="s">
        <v>23490</v>
      </c>
      <c r="D8550" t="str">
        <f>HYPERLINK("https://rhld.insurance.arkansas.gov/NPILookup?Npi=1942357298","1942357298")</f>
        <v>1942357298</v>
      </c>
      <c r="E8550" t="s">
        <v>3269</v>
      </c>
    </row>
    <row r="8551" spans="1:5" x14ac:dyDescent="0.25">
      <c r="A8551" t="s">
        <v>1</v>
      </c>
      <c r="B8551" t="s">
        <v>19</v>
      </c>
      <c r="C8551" t="s">
        <v>23490</v>
      </c>
      <c r="D8551" t="str">
        <f>HYPERLINK("https://rhld.insurance.arkansas.gov/NPILookup?Npi=1942397310","1942397310")</f>
        <v>1942397310</v>
      </c>
      <c r="E8551" t="s">
        <v>18184</v>
      </c>
    </row>
    <row r="8552" spans="1:5" x14ac:dyDescent="0.25">
      <c r="A8552" t="s">
        <v>1</v>
      </c>
      <c r="B8552" t="s">
        <v>19</v>
      </c>
      <c r="C8552" t="s">
        <v>23490</v>
      </c>
      <c r="D8552" t="str">
        <f>HYPERLINK("https://rhld.insurance.arkansas.gov/NPILookup?Npi=1942404884","1942404884")</f>
        <v>1942404884</v>
      </c>
      <c r="E8552" t="s">
        <v>11385</v>
      </c>
    </row>
    <row r="8553" spans="1:5" x14ac:dyDescent="0.25">
      <c r="A8553" t="s">
        <v>1</v>
      </c>
      <c r="B8553" t="s">
        <v>19</v>
      </c>
      <c r="C8553" t="s">
        <v>23490</v>
      </c>
      <c r="D8553" t="str">
        <f>HYPERLINK("https://rhld.insurance.arkansas.gov/NPILookup?Npi=1942433305","1942433305")</f>
        <v>1942433305</v>
      </c>
      <c r="E8553" t="s">
        <v>20152</v>
      </c>
    </row>
    <row r="8554" spans="1:5" x14ac:dyDescent="0.25">
      <c r="A8554" t="s">
        <v>1</v>
      </c>
      <c r="B8554" t="s">
        <v>19</v>
      </c>
      <c r="C8554" t="s">
        <v>23490</v>
      </c>
      <c r="D8554" t="str">
        <f>HYPERLINK("https://rhld.insurance.arkansas.gov/NPILookup?Npi=1942434394","1942434394")</f>
        <v>1942434394</v>
      </c>
      <c r="E8554" t="s">
        <v>3271</v>
      </c>
    </row>
    <row r="8555" spans="1:5" x14ac:dyDescent="0.25">
      <c r="A8555" t="s">
        <v>1</v>
      </c>
      <c r="B8555" t="s">
        <v>19</v>
      </c>
      <c r="C8555" t="s">
        <v>23490</v>
      </c>
      <c r="D8555" t="str">
        <f>HYPERLINK("https://rhld.insurance.arkansas.gov/NPILookup?Npi=1942452883","1942452883")</f>
        <v>1942452883</v>
      </c>
      <c r="E8555" t="s">
        <v>3272</v>
      </c>
    </row>
    <row r="8556" spans="1:5" x14ac:dyDescent="0.25">
      <c r="A8556" t="s">
        <v>1</v>
      </c>
      <c r="B8556" t="s">
        <v>19</v>
      </c>
      <c r="C8556" t="s">
        <v>23490</v>
      </c>
      <c r="D8556" t="str">
        <f>HYPERLINK("https://rhld.insurance.arkansas.gov/NPILookup?Npi=1942465570","1942465570")</f>
        <v>1942465570</v>
      </c>
      <c r="E8556" t="s">
        <v>3273</v>
      </c>
    </row>
    <row r="8557" spans="1:5" x14ac:dyDescent="0.25">
      <c r="A8557" t="s">
        <v>1</v>
      </c>
      <c r="B8557" t="s">
        <v>19</v>
      </c>
      <c r="C8557" t="s">
        <v>23490</v>
      </c>
      <c r="D8557" t="str">
        <f>HYPERLINK("https://rhld.insurance.arkansas.gov/NPILookup?Npi=1942465919","1942465919")</f>
        <v>1942465919</v>
      </c>
      <c r="E8557" t="s">
        <v>3274</v>
      </c>
    </row>
    <row r="8558" spans="1:5" x14ac:dyDescent="0.25">
      <c r="A8558" t="s">
        <v>1</v>
      </c>
      <c r="B8558" t="s">
        <v>19</v>
      </c>
      <c r="C8558" t="s">
        <v>23490</v>
      </c>
      <c r="D8558" t="str">
        <f>HYPERLINK("https://rhld.insurance.arkansas.gov/NPILookup?Npi=1942467337","1942467337")</f>
        <v>1942467337</v>
      </c>
      <c r="E8558" t="s">
        <v>3275</v>
      </c>
    </row>
    <row r="8559" spans="1:5" x14ac:dyDescent="0.25">
      <c r="A8559" t="s">
        <v>1</v>
      </c>
      <c r="B8559" t="s">
        <v>19</v>
      </c>
      <c r="C8559" t="s">
        <v>23490</v>
      </c>
      <c r="D8559" t="str">
        <f>HYPERLINK("https://rhld.insurance.arkansas.gov/NPILookup?Npi=1942489364","1942489364")</f>
        <v>1942489364</v>
      </c>
      <c r="E8559" t="s">
        <v>3276</v>
      </c>
    </row>
    <row r="8560" spans="1:5" x14ac:dyDescent="0.25">
      <c r="A8560" t="s">
        <v>1</v>
      </c>
      <c r="B8560" t="s">
        <v>19</v>
      </c>
      <c r="C8560" t="s">
        <v>23490</v>
      </c>
      <c r="D8560" t="str">
        <f>HYPERLINK("https://rhld.insurance.arkansas.gov/NPILookup?Npi=1942491469","1942491469")</f>
        <v>1942491469</v>
      </c>
      <c r="E8560" t="s">
        <v>3277</v>
      </c>
    </row>
    <row r="8561" spans="1:5" x14ac:dyDescent="0.25">
      <c r="A8561" t="s">
        <v>1</v>
      </c>
      <c r="B8561" t="s">
        <v>19</v>
      </c>
      <c r="C8561" t="s">
        <v>23490</v>
      </c>
      <c r="D8561" t="str">
        <f>HYPERLINK("https://rhld.insurance.arkansas.gov/NPILookup?Npi=1942508999","1942508999")</f>
        <v>1942508999</v>
      </c>
      <c r="E8561" t="s">
        <v>3278</v>
      </c>
    </row>
    <row r="8562" spans="1:5" x14ac:dyDescent="0.25">
      <c r="A8562" t="s">
        <v>1</v>
      </c>
      <c r="B8562" t="s">
        <v>19</v>
      </c>
      <c r="C8562" t="s">
        <v>23490</v>
      </c>
      <c r="D8562" t="str">
        <f>HYPERLINK("https://rhld.insurance.arkansas.gov/NPILookup?Npi=1942511696","1942511696")</f>
        <v>1942511696</v>
      </c>
      <c r="E8562" t="s">
        <v>13794</v>
      </c>
    </row>
    <row r="8563" spans="1:5" x14ac:dyDescent="0.25">
      <c r="A8563" t="s">
        <v>1</v>
      </c>
      <c r="B8563" t="s">
        <v>19</v>
      </c>
      <c r="C8563" t="s">
        <v>23490</v>
      </c>
      <c r="D8563" t="str">
        <f>HYPERLINK("https://rhld.insurance.arkansas.gov/NPILookup?Npi=1942512199","1942512199")</f>
        <v>1942512199</v>
      </c>
      <c r="E8563" t="s">
        <v>21068</v>
      </c>
    </row>
    <row r="8564" spans="1:5" x14ac:dyDescent="0.25">
      <c r="A8564" t="s">
        <v>1</v>
      </c>
      <c r="B8564" t="s">
        <v>19</v>
      </c>
      <c r="C8564" t="s">
        <v>23490</v>
      </c>
      <c r="D8564" t="str">
        <f>HYPERLINK("https://rhld.insurance.arkansas.gov/NPILookup?Npi=1942528518","1942528518")</f>
        <v>1942528518</v>
      </c>
      <c r="E8564" t="s">
        <v>20153</v>
      </c>
    </row>
    <row r="8565" spans="1:5" x14ac:dyDescent="0.25">
      <c r="A8565" t="s">
        <v>1</v>
      </c>
      <c r="B8565" t="s">
        <v>19</v>
      </c>
      <c r="C8565" t="s">
        <v>23490</v>
      </c>
      <c r="D8565" t="str">
        <f>HYPERLINK("https://rhld.insurance.arkansas.gov/NPILookup?Npi=1942534995","1942534995")</f>
        <v>1942534995</v>
      </c>
      <c r="E8565" t="s">
        <v>3279</v>
      </c>
    </row>
    <row r="8566" spans="1:5" x14ac:dyDescent="0.25">
      <c r="A8566" t="s">
        <v>1</v>
      </c>
      <c r="B8566" t="s">
        <v>19</v>
      </c>
      <c r="C8566" t="s">
        <v>23490</v>
      </c>
      <c r="D8566" t="str">
        <f>HYPERLINK("https://rhld.insurance.arkansas.gov/NPILookup?Npi=1942541115","1942541115")</f>
        <v>1942541115</v>
      </c>
      <c r="E8566" t="s">
        <v>18185</v>
      </c>
    </row>
    <row r="8567" spans="1:5" x14ac:dyDescent="0.25">
      <c r="A8567" t="s">
        <v>1</v>
      </c>
      <c r="B8567" t="s">
        <v>19</v>
      </c>
      <c r="C8567" t="s">
        <v>23490</v>
      </c>
      <c r="D8567" t="str">
        <f>HYPERLINK("https://rhld.insurance.arkansas.gov/NPILookup?Npi=1942568811","1942568811")</f>
        <v>1942568811</v>
      </c>
      <c r="E8567" t="s">
        <v>3280</v>
      </c>
    </row>
    <row r="8568" spans="1:5" x14ac:dyDescent="0.25">
      <c r="A8568" t="s">
        <v>1</v>
      </c>
      <c r="B8568" t="s">
        <v>19</v>
      </c>
      <c r="C8568" t="s">
        <v>23490</v>
      </c>
      <c r="D8568" t="str">
        <f>HYPERLINK("https://rhld.insurance.arkansas.gov/NPILookup?Npi=1942587670","1942587670")</f>
        <v>1942587670</v>
      </c>
      <c r="E8568" t="s">
        <v>3281</v>
      </c>
    </row>
    <row r="8569" spans="1:5" x14ac:dyDescent="0.25">
      <c r="A8569" t="s">
        <v>1</v>
      </c>
      <c r="B8569" t="s">
        <v>19</v>
      </c>
      <c r="C8569" t="s">
        <v>23490</v>
      </c>
      <c r="D8569" t="str">
        <f>HYPERLINK("https://rhld.insurance.arkansas.gov/NPILookup?Npi=1942589510","1942589510")</f>
        <v>1942589510</v>
      </c>
      <c r="E8569" t="s">
        <v>3282</v>
      </c>
    </row>
    <row r="8570" spans="1:5" x14ac:dyDescent="0.25">
      <c r="A8570" t="s">
        <v>1</v>
      </c>
      <c r="B8570" t="s">
        <v>19</v>
      </c>
      <c r="C8570" t="s">
        <v>23490</v>
      </c>
      <c r="D8570" t="str">
        <f>HYPERLINK("https://rhld.insurance.arkansas.gov/NPILookup?Npi=1942603170","1942603170")</f>
        <v>1942603170</v>
      </c>
      <c r="E8570" t="s">
        <v>15739</v>
      </c>
    </row>
    <row r="8571" spans="1:5" x14ac:dyDescent="0.25">
      <c r="A8571" t="s">
        <v>1</v>
      </c>
      <c r="B8571" t="s">
        <v>19</v>
      </c>
      <c r="C8571" t="s">
        <v>23490</v>
      </c>
      <c r="D8571" t="str">
        <f>HYPERLINK("https://rhld.insurance.arkansas.gov/NPILookup?Npi=1942607130","1942607130")</f>
        <v>1942607130</v>
      </c>
      <c r="E8571" t="s">
        <v>15740</v>
      </c>
    </row>
    <row r="8572" spans="1:5" x14ac:dyDescent="0.25">
      <c r="A8572" t="s">
        <v>1</v>
      </c>
      <c r="B8572" t="s">
        <v>19</v>
      </c>
      <c r="C8572" t="s">
        <v>23490</v>
      </c>
      <c r="D8572" t="str">
        <f>HYPERLINK("https://rhld.insurance.arkansas.gov/NPILookup?Npi=1942608336","1942608336")</f>
        <v>1942608336</v>
      </c>
      <c r="E8572" t="s">
        <v>3283</v>
      </c>
    </row>
    <row r="8573" spans="1:5" x14ac:dyDescent="0.25">
      <c r="A8573" t="s">
        <v>1</v>
      </c>
      <c r="B8573" t="s">
        <v>19</v>
      </c>
      <c r="C8573" t="s">
        <v>23490</v>
      </c>
      <c r="D8573" t="str">
        <f>HYPERLINK("https://rhld.insurance.arkansas.gov/NPILookup?Npi=1942615422","1942615422")</f>
        <v>1942615422</v>
      </c>
      <c r="E8573" t="s">
        <v>8934</v>
      </c>
    </row>
    <row r="8574" spans="1:5" x14ac:dyDescent="0.25">
      <c r="A8574" t="s">
        <v>1</v>
      </c>
      <c r="B8574" t="s">
        <v>19</v>
      </c>
      <c r="C8574" t="s">
        <v>23490</v>
      </c>
      <c r="D8574" t="str">
        <f>HYPERLINK("https://rhld.insurance.arkansas.gov/NPILookup?Npi=1942619598","1942619598")</f>
        <v>1942619598</v>
      </c>
      <c r="E8574" t="s">
        <v>3284</v>
      </c>
    </row>
    <row r="8575" spans="1:5" x14ac:dyDescent="0.25">
      <c r="A8575" t="s">
        <v>1</v>
      </c>
      <c r="B8575" t="s">
        <v>19</v>
      </c>
      <c r="C8575" t="s">
        <v>23490</v>
      </c>
      <c r="D8575" t="str">
        <f>HYPERLINK("https://rhld.insurance.arkansas.gov/NPILookup?Npi=1942625447","1942625447")</f>
        <v>1942625447</v>
      </c>
      <c r="E8575" t="s">
        <v>20154</v>
      </c>
    </row>
    <row r="8576" spans="1:5" x14ac:dyDescent="0.25">
      <c r="A8576" t="s">
        <v>1</v>
      </c>
      <c r="B8576" t="s">
        <v>19</v>
      </c>
      <c r="C8576" t="s">
        <v>23490</v>
      </c>
      <c r="D8576" t="str">
        <f>HYPERLINK("https://rhld.insurance.arkansas.gov/NPILookup?Npi=1942626049","1942626049")</f>
        <v>1942626049</v>
      </c>
      <c r="E8576" t="s">
        <v>3285</v>
      </c>
    </row>
    <row r="8577" spans="1:5" x14ac:dyDescent="0.25">
      <c r="A8577" t="s">
        <v>1</v>
      </c>
      <c r="B8577" t="s">
        <v>19</v>
      </c>
      <c r="C8577" t="s">
        <v>23490</v>
      </c>
      <c r="D8577" t="str">
        <f>HYPERLINK("https://rhld.insurance.arkansas.gov/NPILookup?Npi=1942626619","1942626619")</f>
        <v>1942626619</v>
      </c>
      <c r="E8577" t="s">
        <v>15741</v>
      </c>
    </row>
    <row r="8578" spans="1:5" x14ac:dyDescent="0.25">
      <c r="A8578" t="s">
        <v>1</v>
      </c>
      <c r="B8578" t="s">
        <v>19</v>
      </c>
      <c r="C8578" t="s">
        <v>23490</v>
      </c>
      <c r="D8578" t="str">
        <f>HYPERLINK("https://rhld.insurance.arkansas.gov/NPILookup?Npi=1942628805","1942628805")</f>
        <v>1942628805</v>
      </c>
      <c r="E8578" t="s">
        <v>11386</v>
      </c>
    </row>
    <row r="8579" spans="1:5" x14ac:dyDescent="0.25">
      <c r="A8579" t="s">
        <v>1</v>
      </c>
      <c r="B8579" t="s">
        <v>19</v>
      </c>
      <c r="C8579" t="s">
        <v>23490</v>
      </c>
      <c r="D8579" t="str">
        <f>HYPERLINK("https://rhld.insurance.arkansas.gov/NPILookup?Npi=1942630959","1942630959")</f>
        <v>1942630959</v>
      </c>
      <c r="E8579" t="s">
        <v>18186</v>
      </c>
    </row>
    <row r="8580" spans="1:5" x14ac:dyDescent="0.25">
      <c r="A8580" t="s">
        <v>1</v>
      </c>
      <c r="B8580" t="s">
        <v>19</v>
      </c>
      <c r="C8580" t="s">
        <v>23490</v>
      </c>
      <c r="D8580" t="str">
        <f>HYPERLINK("https://rhld.insurance.arkansas.gov/NPILookup?Npi=1942660709","1942660709")</f>
        <v>1942660709</v>
      </c>
      <c r="E8580" t="s">
        <v>1222</v>
      </c>
    </row>
    <row r="8581" spans="1:5" x14ac:dyDescent="0.25">
      <c r="A8581" t="s">
        <v>1</v>
      </c>
      <c r="B8581" t="s">
        <v>19</v>
      </c>
      <c r="C8581" t="s">
        <v>23490</v>
      </c>
      <c r="D8581" t="str">
        <f>HYPERLINK("https://rhld.insurance.arkansas.gov/NPILookup?Npi=1942660980","1942660980")</f>
        <v>1942660980</v>
      </c>
      <c r="E8581" t="s">
        <v>8935</v>
      </c>
    </row>
    <row r="8582" spans="1:5" x14ac:dyDescent="0.25">
      <c r="A8582" t="s">
        <v>1</v>
      </c>
      <c r="B8582" t="s">
        <v>19</v>
      </c>
      <c r="C8582" t="s">
        <v>23490</v>
      </c>
      <c r="D8582" t="str">
        <f>HYPERLINK("https://rhld.insurance.arkansas.gov/NPILookup?Npi=1942661434","1942661434")</f>
        <v>1942661434</v>
      </c>
      <c r="E8582" t="s">
        <v>11387</v>
      </c>
    </row>
    <row r="8583" spans="1:5" x14ac:dyDescent="0.25">
      <c r="A8583" t="s">
        <v>1</v>
      </c>
      <c r="B8583" t="s">
        <v>19</v>
      </c>
      <c r="C8583" t="s">
        <v>23490</v>
      </c>
      <c r="D8583" t="str">
        <f>HYPERLINK("https://rhld.insurance.arkansas.gov/NPILookup?Npi=1942689724","1942689724")</f>
        <v>1942689724</v>
      </c>
      <c r="E8583" t="s">
        <v>13795</v>
      </c>
    </row>
    <row r="8584" spans="1:5" x14ac:dyDescent="0.25">
      <c r="A8584" t="s">
        <v>1</v>
      </c>
      <c r="B8584" t="s">
        <v>19</v>
      </c>
      <c r="C8584" t="s">
        <v>23490</v>
      </c>
      <c r="D8584" t="str">
        <f>HYPERLINK("https://rhld.insurance.arkansas.gov/NPILookup?Npi=1942702048","1942702048")</f>
        <v>1942702048</v>
      </c>
      <c r="E8584" t="s">
        <v>13796</v>
      </c>
    </row>
    <row r="8585" spans="1:5" x14ac:dyDescent="0.25">
      <c r="A8585" t="s">
        <v>1</v>
      </c>
      <c r="B8585" t="s">
        <v>19</v>
      </c>
      <c r="C8585" t="s">
        <v>23490</v>
      </c>
      <c r="D8585" t="str">
        <f>HYPERLINK("https://rhld.insurance.arkansas.gov/NPILookup?Npi=1942706544","1942706544")</f>
        <v>1942706544</v>
      </c>
      <c r="E8585" t="s">
        <v>20155</v>
      </c>
    </row>
    <row r="8586" spans="1:5" x14ac:dyDescent="0.25">
      <c r="A8586" t="s">
        <v>1</v>
      </c>
      <c r="B8586" t="s">
        <v>19</v>
      </c>
      <c r="C8586" t="s">
        <v>23490</v>
      </c>
      <c r="D8586" t="str">
        <f>HYPERLINK("https://rhld.insurance.arkansas.gov/NPILookup?Npi=1942711544","1942711544")</f>
        <v>1942711544</v>
      </c>
      <c r="E8586" t="s">
        <v>12938</v>
      </c>
    </row>
    <row r="8587" spans="1:5" x14ac:dyDescent="0.25">
      <c r="A8587" t="s">
        <v>1</v>
      </c>
      <c r="B8587" t="s">
        <v>19</v>
      </c>
      <c r="C8587" t="s">
        <v>23490</v>
      </c>
      <c r="D8587" t="str">
        <f>HYPERLINK("https://rhld.insurance.arkansas.gov/NPILookup?Npi=1942711783","1942711783")</f>
        <v>1942711783</v>
      </c>
      <c r="E8587" t="s">
        <v>13797</v>
      </c>
    </row>
    <row r="8588" spans="1:5" x14ac:dyDescent="0.25">
      <c r="A8588" t="s">
        <v>1</v>
      </c>
      <c r="B8588" t="s">
        <v>19</v>
      </c>
      <c r="C8588" t="s">
        <v>23490</v>
      </c>
      <c r="D8588" t="str">
        <f>HYPERLINK("https://rhld.insurance.arkansas.gov/NPILookup?Npi=1942718093","1942718093")</f>
        <v>1942718093</v>
      </c>
      <c r="E8588" t="s">
        <v>20156</v>
      </c>
    </row>
    <row r="8589" spans="1:5" x14ac:dyDescent="0.25">
      <c r="A8589" t="s">
        <v>1</v>
      </c>
      <c r="B8589" t="s">
        <v>19</v>
      </c>
      <c r="C8589" t="s">
        <v>23490</v>
      </c>
      <c r="D8589" t="str">
        <f>HYPERLINK("https://rhld.insurance.arkansas.gov/NPILookup?Npi=1942718978","1942718978")</f>
        <v>1942718978</v>
      </c>
      <c r="E8589" t="s">
        <v>18187</v>
      </c>
    </row>
    <row r="8590" spans="1:5" x14ac:dyDescent="0.25">
      <c r="A8590" t="s">
        <v>1</v>
      </c>
      <c r="B8590" t="s">
        <v>19</v>
      </c>
      <c r="C8590" t="s">
        <v>23490</v>
      </c>
      <c r="D8590" t="str">
        <f>HYPERLINK("https://rhld.insurance.arkansas.gov/NPILookup?Npi=1942744636","1942744636")</f>
        <v>1942744636</v>
      </c>
      <c r="E8590" t="s">
        <v>11389</v>
      </c>
    </row>
    <row r="8591" spans="1:5" x14ac:dyDescent="0.25">
      <c r="A8591" t="s">
        <v>1</v>
      </c>
      <c r="B8591" t="s">
        <v>19</v>
      </c>
      <c r="C8591" t="s">
        <v>23490</v>
      </c>
      <c r="D8591" t="str">
        <f>HYPERLINK("https://rhld.insurance.arkansas.gov/NPILookup?Npi=1942754635","1942754635")</f>
        <v>1942754635</v>
      </c>
      <c r="E8591" t="s">
        <v>20157</v>
      </c>
    </row>
    <row r="8592" spans="1:5" x14ac:dyDescent="0.25">
      <c r="A8592" t="s">
        <v>1</v>
      </c>
      <c r="B8592" t="s">
        <v>19</v>
      </c>
      <c r="C8592" t="s">
        <v>23490</v>
      </c>
      <c r="D8592" t="str">
        <f>HYPERLINK("https://rhld.insurance.arkansas.gov/NPILookup?Npi=1942755467","1942755467")</f>
        <v>1942755467</v>
      </c>
      <c r="E8592" t="s">
        <v>21683</v>
      </c>
    </row>
    <row r="8593" spans="1:5" x14ac:dyDescent="0.25">
      <c r="A8593" t="s">
        <v>1</v>
      </c>
      <c r="B8593" t="s">
        <v>19</v>
      </c>
      <c r="C8593" t="s">
        <v>23490</v>
      </c>
      <c r="D8593" t="str">
        <f>HYPERLINK("https://rhld.insurance.arkansas.gov/NPILookup?Npi=1942757158","1942757158")</f>
        <v>1942757158</v>
      </c>
      <c r="E8593" t="s">
        <v>11391</v>
      </c>
    </row>
    <row r="8594" spans="1:5" x14ac:dyDescent="0.25">
      <c r="A8594" t="s">
        <v>1</v>
      </c>
      <c r="B8594" t="s">
        <v>19</v>
      </c>
      <c r="C8594" t="s">
        <v>23490</v>
      </c>
      <c r="D8594" t="str">
        <f>HYPERLINK("https://rhld.insurance.arkansas.gov/NPILookup?Npi=1942769427","1942769427")</f>
        <v>1942769427</v>
      </c>
      <c r="E8594" t="s">
        <v>20158</v>
      </c>
    </row>
    <row r="8595" spans="1:5" x14ac:dyDescent="0.25">
      <c r="A8595" t="s">
        <v>1</v>
      </c>
      <c r="B8595" t="s">
        <v>19</v>
      </c>
      <c r="C8595" t="s">
        <v>23490</v>
      </c>
      <c r="D8595" t="str">
        <f>HYPERLINK("https://rhld.insurance.arkansas.gov/NPILookup?Npi=1942785381","1942785381")</f>
        <v>1942785381</v>
      </c>
      <c r="E8595" t="s">
        <v>13798</v>
      </c>
    </row>
    <row r="8596" spans="1:5" x14ac:dyDescent="0.25">
      <c r="A8596" t="s">
        <v>1</v>
      </c>
      <c r="B8596" t="s">
        <v>19</v>
      </c>
      <c r="C8596" t="s">
        <v>23490</v>
      </c>
      <c r="D8596" t="str">
        <f>HYPERLINK("https://rhld.insurance.arkansas.gov/NPILookup?Npi=1942808217","1942808217")</f>
        <v>1942808217</v>
      </c>
      <c r="E8596" t="s">
        <v>18188</v>
      </c>
    </row>
    <row r="8597" spans="1:5" x14ac:dyDescent="0.25">
      <c r="A8597" t="s">
        <v>1</v>
      </c>
      <c r="B8597" t="s">
        <v>19</v>
      </c>
      <c r="C8597" t="s">
        <v>23490</v>
      </c>
      <c r="D8597" t="str">
        <f>HYPERLINK("https://rhld.insurance.arkansas.gov/NPILookup?Npi=1942857065","1942857065")</f>
        <v>1942857065</v>
      </c>
      <c r="E8597" t="s">
        <v>17056</v>
      </c>
    </row>
    <row r="8598" spans="1:5" x14ac:dyDescent="0.25">
      <c r="A8598" t="s">
        <v>1</v>
      </c>
      <c r="B8598" t="s">
        <v>19</v>
      </c>
      <c r="C8598" t="s">
        <v>23490</v>
      </c>
      <c r="D8598" t="str">
        <f>HYPERLINK("https://rhld.insurance.arkansas.gov/NPILookup?Npi=1942861794","1942861794")</f>
        <v>1942861794</v>
      </c>
      <c r="E8598" t="s">
        <v>431</v>
      </c>
    </row>
    <row r="8599" spans="1:5" x14ac:dyDescent="0.25">
      <c r="A8599" t="s">
        <v>1</v>
      </c>
      <c r="B8599" t="s">
        <v>19</v>
      </c>
      <c r="C8599" t="s">
        <v>23490</v>
      </c>
      <c r="D8599" t="str">
        <f>HYPERLINK("https://rhld.insurance.arkansas.gov/NPILookup?Npi=1942870316","1942870316")</f>
        <v>1942870316</v>
      </c>
      <c r="E8599" t="s">
        <v>18904</v>
      </c>
    </row>
    <row r="8600" spans="1:5" x14ac:dyDescent="0.25">
      <c r="A8600" t="s">
        <v>1</v>
      </c>
      <c r="B8600" t="s">
        <v>19</v>
      </c>
      <c r="C8600" t="s">
        <v>23490</v>
      </c>
      <c r="D8600" t="str">
        <f>HYPERLINK("https://rhld.insurance.arkansas.gov/NPILookup?Npi=1942876511","1942876511")</f>
        <v>1942876511</v>
      </c>
      <c r="E8600" t="s">
        <v>20159</v>
      </c>
    </row>
    <row r="8601" spans="1:5" x14ac:dyDescent="0.25">
      <c r="A8601" t="s">
        <v>1</v>
      </c>
      <c r="B8601" t="s">
        <v>19</v>
      </c>
      <c r="C8601" t="s">
        <v>23490</v>
      </c>
      <c r="D8601" t="str">
        <f>HYPERLINK("https://rhld.insurance.arkansas.gov/NPILookup?Npi=1942922547","1942922547")</f>
        <v>1942922547</v>
      </c>
      <c r="E8601" t="s">
        <v>21684</v>
      </c>
    </row>
    <row r="8602" spans="1:5" x14ac:dyDescent="0.25">
      <c r="A8602" t="s">
        <v>1</v>
      </c>
      <c r="B8602" t="s">
        <v>19</v>
      </c>
      <c r="C8602" t="s">
        <v>23490</v>
      </c>
      <c r="D8602" t="str">
        <f>HYPERLINK("https://rhld.insurance.arkansas.gov/NPILookup?Npi=1942937206","1942937206")</f>
        <v>1942937206</v>
      </c>
      <c r="E8602" t="s">
        <v>21069</v>
      </c>
    </row>
    <row r="8603" spans="1:5" x14ac:dyDescent="0.25">
      <c r="A8603" t="s">
        <v>1</v>
      </c>
      <c r="B8603" t="s">
        <v>19</v>
      </c>
      <c r="C8603" t="s">
        <v>23490</v>
      </c>
      <c r="D8603" t="str">
        <f>HYPERLINK("https://rhld.insurance.arkansas.gov/NPILookup?Npi=1942963327","1942963327")</f>
        <v>1942963327</v>
      </c>
      <c r="E8603" t="s">
        <v>20160</v>
      </c>
    </row>
    <row r="8604" spans="1:5" x14ac:dyDescent="0.25">
      <c r="A8604" t="s">
        <v>1</v>
      </c>
      <c r="B8604" t="s">
        <v>19</v>
      </c>
      <c r="C8604" t="s">
        <v>23490</v>
      </c>
      <c r="D8604" t="str">
        <f>HYPERLINK("https://rhld.insurance.arkansas.gov/NPILookup?Npi=1942964432","1942964432")</f>
        <v>1942964432</v>
      </c>
      <c r="E8604" t="s">
        <v>20161</v>
      </c>
    </row>
    <row r="8605" spans="1:5" x14ac:dyDescent="0.25">
      <c r="A8605" t="s">
        <v>1</v>
      </c>
      <c r="B8605" t="s">
        <v>19</v>
      </c>
      <c r="C8605" t="s">
        <v>23490</v>
      </c>
      <c r="D8605" t="str">
        <f>HYPERLINK("https://rhld.insurance.arkansas.gov/NPILookup?Npi=1942974829","1942974829")</f>
        <v>1942974829</v>
      </c>
      <c r="E8605" t="s">
        <v>20162</v>
      </c>
    </row>
    <row r="8606" spans="1:5" x14ac:dyDescent="0.25">
      <c r="A8606" t="s">
        <v>1</v>
      </c>
      <c r="B8606" t="s">
        <v>19</v>
      </c>
      <c r="C8606" t="s">
        <v>23490</v>
      </c>
      <c r="D8606" t="str">
        <f>HYPERLINK("https://rhld.insurance.arkansas.gov/NPILookup?Npi=1942977301","1942977301")</f>
        <v>1942977301</v>
      </c>
      <c r="E8606" t="s">
        <v>20163</v>
      </c>
    </row>
    <row r="8607" spans="1:5" x14ac:dyDescent="0.25">
      <c r="A8607" t="s">
        <v>1</v>
      </c>
      <c r="B8607" t="s">
        <v>19</v>
      </c>
      <c r="C8607" t="s">
        <v>23490</v>
      </c>
      <c r="D8607" t="str">
        <f>HYPERLINK("https://rhld.insurance.arkansas.gov/NPILookup?Npi=1942977756","1942977756")</f>
        <v>1942977756</v>
      </c>
      <c r="E8607" t="s">
        <v>20164</v>
      </c>
    </row>
    <row r="8608" spans="1:5" x14ac:dyDescent="0.25">
      <c r="A8608" t="s">
        <v>1</v>
      </c>
      <c r="B8608" t="s">
        <v>19</v>
      </c>
      <c r="C8608" t="s">
        <v>23490</v>
      </c>
      <c r="D8608" t="str">
        <f>HYPERLINK("https://rhld.insurance.arkansas.gov/NPILookup?Npi=1952009052","1952009052")</f>
        <v>1952009052</v>
      </c>
      <c r="E8608" t="s">
        <v>21685</v>
      </c>
    </row>
    <row r="8609" spans="1:5" x14ac:dyDescent="0.25">
      <c r="A8609" t="s">
        <v>1</v>
      </c>
      <c r="B8609" t="s">
        <v>19</v>
      </c>
      <c r="C8609" t="s">
        <v>23490</v>
      </c>
      <c r="D8609" t="str">
        <f>HYPERLINK("https://rhld.insurance.arkansas.gov/NPILookup?Npi=1952014243","1952014243")</f>
        <v>1952014243</v>
      </c>
      <c r="E8609" t="s">
        <v>21686</v>
      </c>
    </row>
    <row r="8610" spans="1:5" x14ac:dyDescent="0.25">
      <c r="A8610" t="s">
        <v>1</v>
      </c>
      <c r="B8610" t="s">
        <v>19</v>
      </c>
      <c r="C8610" t="s">
        <v>23490</v>
      </c>
      <c r="D8610" t="str">
        <f>HYPERLINK("https://rhld.insurance.arkansas.gov/NPILookup?Npi=1952052243","1952052243")</f>
        <v>1952052243</v>
      </c>
      <c r="E8610" t="s">
        <v>21687</v>
      </c>
    </row>
    <row r="8611" spans="1:5" x14ac:dyDescent="0.25">
      <c r="A8611" t="s">
        <v>1</v>
      </c>
      <c r="B8611" t="s">
        <v>19</v>
      </c>
      <c r="C8611" t="s">
        <v>23490</v>
      </c>
      <c r="D8611" t="str">
        <f>HYPERLINK("https://rhld.insurance.arkansas.gov/NPILookup?Npi=1952301343","1952301343")</f>
        <v>1952301343</v>
      </c>
      <c r="E8611" t="s">
        <v>3286</v>
      </c>
    </row>
    <row r="8612" spans="1:5" x14ac:dyDescent="0.25">
      <c r="A8612" t="s">
        <v>1</v>
      </c>
      <c r="B8612" t="s">
        <v>19</v>
      </c>
      <c r="C8612" t="s">
        <v>23490</v>
      </c>
      <c r="D8612" t="str">
        <f>HYPERLINK("https://rhld.insurance.arkansas.gov/NPILookup?Npi=1952307860","1952307860")</f>
        <v>1952307860</v>
      </c>
      <c r="E8612" t="s">
        <v>3287</v>
      </c>
    </row>
    <row r="8613" spans="1:5" x14ac:dyDescent="0.25">
      <c r="A8613" t="s">
        <v>1</v>
      </c>
      <c r="B8613" t="s">
        <v>19</v>
      </c>
      <c r="C8613" t="s">
        <v>23490</v>
      </c>
      <c r="D8613" t="str">
        <f>HYPERLINK("https://rhld.insurance.arkansas.gov/NPILookup?Npi=1952310252","1952310252")</f>
        <v>1952310252</v>
      </c>
      <c r="E8613" t="s">
        <v>3288</v>
      </c>
    </row>
    <row r="8614" spans="1:5" x14ac:dyDescent="0.25">
      <c r="A8614" t="s">
        <v>1</v>
      </c>
      <c r="B8614" t="s">
        <v>19</v>
      </c>
      <c r="C8614" t="s">
        <v>23490</v>
      </c>
      <c r="D8614" t="str">
        <f>HYPERLINK("https://rhld.insurance.arkansas.gov/NPILookup?Npi=1952315152","1952315152")</f>
        <v>1952315152</v>
      </c>
      <c r="E8614" t="s">
        <v>3289</v>
      </c>
    </row>
    <row r="8615" spans="1:5" x14ac:dyDescent="0.25">
      <c r="A8615" t="s">
        <v>1</v>
      </c>
      <c r="B8615" t="s">
        <v>19</v>
      </c>
      <c r="C8615" t="s">
        <v>23490</v>
      </c>
      <c r="D8615" t="str">
        <f>HYPERLINK("https://rhld.insurance.arkansas.gov/NPILookup?Npi=1952316366","1952316366")</f>
        <v>1952316366</v>
      </c>
      <c r="E8615" t="s">
        <v>3290</v>
      </c>
    </row>
    <row r="8616" spans="1:5" x14ac:dyDescent="0.25">
      <c r="A8616" t="s">
        <v>1</v>
      </c>
      <c r="B8616" t="s">
        <v>19</v>
      </c>
      <c r="C8616" t="s">
        <v>23490</v>
      </c>
      <c r="D8616" t="str">
        <f>HYPERLINK("https://rhld.insurance.arkansas.gov/NPILookup?Npi=1952319477","1952319477")</f>
        <v>1952319477</v>
      </c>
      <c r="E8616" t="s">
        <v>3291</v>
      </c>
    </row>
    <row r="8617" spans="1:5" x14ac:dyDescent="0.25">
      <c r="A8617" t="s">
        <v>1</v>
      </c>
      <c r="B8617" t="s">
        <v>19</v>
      </c>
      <c r="C8617" t="s">
        <v>23490</v>
      </c>
      <c r="D8617" t="str">
        <f>HYPERLINK("https://rhld.insurance.arkansas.gov/NPILookup?Npi=1952339038","1952339038")</f>
        <v>1952339038</v>
      </c>
      <c r="E8617" t="s">
        <v>3293</v>
      </c>
    </row>
    <row r="8618" spans="1:5" x14ac:dyDescent="0.25">
      <c r="A8618" t="s">
        <v>1</v>
      </c>
      <c r="B8618" t="s">
        <v>19</v>
      </c>
      <c r="C8618" t="s">
        <v>23490</v>
      </c>
      <c r="D8618" t="str">
        <f>HYPERLINK("https://rhld.insurance.arkansas.gov/NPILookup?Npi=1952339335","1952339335")</f>
        <v>1952339335</v>
      </c>
      <c r="E8618" t="s">
        <v>20165</v>
      </c>
    </row>
    <row r="8619" spans="1:5" x14ac:dyDescent="0.25">
      <c r="A8619" t="s">
        <v>1</v>
      </c>
      <c r="B8619" t="s">
        <v>19</v>
      </c>
      <c r="C8619" t="s">
        <v>23490</v>
      </c>
      <c r="D8619" t="str">
        <f>HYPERLINK("https://rhld.insurance.arkansas.gov/NPILookup?Npi=1952341562","1952341562")</f>
        <v>1952341562</v>
      </c>
      <c r="E8619" t="s">
        <v>3294</v>
      </c>
    </row>
    <row r="8620" spans="1:5" x14ac:dyDescent="0.25">
      <c r="A8620" t="s">
        <v>1</v>
      </c>
      <c r="B8620" t="s">
        <v>19</v>
      </c>
      <c r="C8620" t="s">
        <v>23490</v>
      </c>
      <c r="D8620" t="str">
        <f>HYPERLINK("https://rhld.insurance.arkansas.gov/NPILookup?Npi=1952342586","1952342586")</f>
        <v>1952342586</v>
      </c>
      <c r="E8620" t="s">
        <v>8936</v>
      </c>
    </row>
    <row r="8621" spans="1:5" x14ac:dyDescent="0.25">
      <c r="A8621" t="s">
        <v>1</v>
      </c>
      <c r="B8621" t="s">
        <v>19</v>
      </c>
      <c r="C8621" t="s">
        <v>23490</v>
      </c>
      <c r="D8621" t="str">
        <f>HYPERLINK("https://rhld.insurance.arkansas.gov/NPILookup?Npi=1952343907","1952343907")</f>
        <v>1952343907</v>
      </c>
      <c r="E8621" t="s">
        <v>3295</v>
      </c>
    </row>
    <row r="8622" spans="1:5" x14ac:dyDescent="0.25">
      <c r="A8622" t="s">
        <v>1</v>
      </c>
      <c r="B8622" t="s">
        <v>19</v>
      </c>
      <c r="C8622" t="s">
        <v>23490</v>
      </c>
      <c r="D8622" t="str">
        <f>HYPERLINK("https://rhld.insurance.arkansas.gov/NPILookup?Npi=1952350233","1952350233")</f>
        <v>1952350233</v>
      </c>
      <c r="E8622" t="s">
        <v>3296</v>
      </c>
    </row>
    <row r="8623" spans="1:5" x14ac:dyDescent="0.25">
      <c r="A8623" t="s">
        <v>1</v>
      </c>
      <c r="B8623" t="s">
        <v>19</v>
      </c>
      <c r="C8623" t="s">
        <v>23490</v>
      </c>
      <c r="D8623" t="str">
        <f>HYPERLINK("https://rhld.insurance.arkansas.gov/NPILookup?Npi=1952351355","1952351355")</f>
        <v>1952351355</v>
      </c>
      <c r="E8623" t="s">
        <v>13799</v>
      </c>
    </row>
    <row r="8624" spans="1:5" x14ac:dyDescent="0.25">
      <c r="A8624" t="s">
        <v>1</v>
      </c>
      <c r="B8624" t="s">
        <v>19</v>
      </c>
      <c r="C8624" t="s">
        <v>23490</v>
      </c>
      <c r="D8624" t="str">
        <f>HYPERLINK("https://rhld.insurance.arkansas.gov/NPILookup?Npi=1952352213","1952352213")</f>
        <v>1952352213</v>
      </c>
      <c r="E8624" t="s">
        <v>20166</v>
      </c>
    </row>
    <row r="8625" spans="1:5" x14ac:dyDescent="0.25">
      <c r="A8625" t="s">
        <v>1</v>
      </c>
      <c r="B8625" t="s">
        <v>19</v>
      </c>
      <c r="C8625" t="s">
        <v>23490</v>
      </c>
      <c r="D8625" t="str">
        <f>HYPERLINK("https://rhld.insurance.arkansas.gov/NPILookup?Npi=1952352510","1952352510")</f>
        <v>1952352510</v>
      </c>
      <c r="E8625" t="s">
        <v>3297</v>
      </c>
    </row>
    <row r="8626" spans="1:5" x14ac:dyDescent="0.25">
      <c r="A8626" t="s">
        <v>1</v>
      </c>
      <c r="B8626" t="s">
        <v>19</v>
      </c>
      <c r="C8626" t="s">
        <v>23490</v>
      </c>
      <c r="D8626" t="str">
        <f>HYPERLINK("https://rhld.insurance.arkansas.gov/NPILookup?Npi=1952359200","1952359200")</f>
        <v>1952359200</v>
      </c>
      <c r="E8626" t="s">
        <v>15742</v>
      </c>
    </row>
    <row r="8627" spans="1:5" x14ac:dyDescent="0.25">
      <c r="A8627" t="s">
        <v>1</v>
      </c>
      <c r="B8627" t="s">
        <v>19</v>
      </c>
      <c r="C8627" t="s">
        <v>23490</v>
      </c>
      <c r="D8627" t="str">
        <f>HYPERLINK("https://rhld.insurance.arkansas.gov/NPILookup?Npi=1952361479","1952361479")</f>
        <v>1952361479</v>
      </c>
      <c r="E8627" t="s">
        <v>3298</v>
      </c>
    </row>
    <row r="8628" spans="1:5" x14ac:dyDescent="0.25">
      <c r="A8628" t="s">
        <v>1</v>
      </c>
      <c r="B8628" t="s">
        <v>19</v>
      </c>
      <c r="C8628" t="s">
        <v>23490</v>
      </c>
      <c r="D8628" t="str">
        <f>HYPERLINK("https://rhld.insurance.arkansas.gov/NPILookup?Npi=1952367286","1952367286")</f>
        <v>1952367286</v>
      </c>
      <c r="E8628" t="s">
        <v>3299</v>
      </c>
    </row>
    <row r="8629" spans="1:5" x14ac:dyDescent="0.25">
      <c r="A8629" t="s">
        <v>1</v>
      </c>
      <c r="B8629" t="s">
        <v>19</v>
      </c>
      <c r="C8629" t="s">
        <v>23490</v>
      </c>
      <c r="D8629" t="str">
        <f>HYPERLINK("https://rhld.insurance.arkansas.gov/NPILookup?Npi=1952377442","1952377442")</f>
        <v>1952377442</v>
      </c>
      <c r="E8629" t="s">
        <v>3300</v>
      </c>
    </row>
    <row r="8630" spans="1:5" x14ac:dyDescent="0.25">
      <c r="A8630" t="s">
        <v>1</v>
      </c>
      <c r="B8630" t="s">
        <v>19</v>
      </c>
      <c r="C8630" t="s">
        <v>23490</v>
      </c>
      <c r="D8630" t="str">
        <f>HYPERLINK("https://rhld.insurance.arkansas.gov/NPILookup?Npi=1952380651","1952380651")</f>
        <v>1952380651</v>
      </c>
      <c r="E8630" t="s">
        <v>11392</v>
      </c>
    </row>
    <row r="8631" spans="1:5" x14ac:dyDescent="0.25">
      <c r="A8631" t="s">
        <v>1</v>
      </c>
      <c r="B8631" t="s">
        <v>19</v>
      </c>
      <c r="C8631" t="s">
        <v>23490</v>
      </c>
      <c r="D8631" t="str">
        <f>HYPERLINK("https://rhld.insurance.arkansas.gov/NPILookup?Npi=1952385064","1952385064")</f>
        <v>1952385064</v>
      </c>
      <c r="E8631" t="s">
        <v>3301</v>
      </c>
    </row>
    <row r="8632" spans="1:5" x14ac:dyDescent="0.25">
      <c r="A8632" t="s">
        <v>1</v>
      </c>
      <c r="B8632" t="s">
        <v>19</v>
      </c>
      <c r="C8632" t="s">
        <v>23490</v>
      </c>
      <c r="D8632" t="str">
        <f>HYPERLINK("https://rhld.insurance.arkansas.gov/NPILookup?Npi=1952400665","1952400665")</f>
        <v>1952400665</v>
      </c>
      <c r="E8632" t="s">
        <v>12939</v>
      </c>
    </row>
    <row r="8633" spans="1:5" x14ac:dyDescent="0.25">
      <c r="A8633" t="s">
        <v>1</v>
      </c>
      <c r="B8633" t="s">
        <v>19</v>
      </c>
      <c r="C8633" t="s">
        <v>23490</v>
      </c>
      <c r="D8633" t="str">
        <f>HYPERLINK("https://rhld.insurance.arkansas.gov/NPILookup?Npi=1952401044","1952401044")</f>
        <v>1952401044</v>
      </c>
      <c r="E8633" t="s">
        <v>3302</v>
      </c>
    </row>
    <row r="8634" spans="1:5" x14ac:dyDescent="0.25">
      <c r="A8634" t="s">
        <v>1</v>
      </c>
      <c r="B8634" t="s">
        <v>19</v>
      </c>
      <c r="C8634" t="s">
        <v>23490</v>
      </c>
      <c r="D8634" t="str">
        <f>HYPERLINK("https://rhld.insurance.arkansas.gov/NPILookup?Npi=1952416653","1952416653")</f>
        <v>1952416653</v>
      </c>
      <c r="E8634" t="s">
        <v>3303</v>
      </c>
    </row>
    <row r="8635" spans="1:5" x14ac:dyDescent="0.25">
      <c r="A8635" t="s">
        <v>1</v>
      </c>
      <c r="B8635" t="s">
        <v>19</v>
      </c>
      <c r="C8635" t="s">
        <v>23490</v>
      </c>
      <c r="D8635" t="str">
        <f>HYPERLINK("https://rhld.insurance.arkansas.gov/NPILookup?Npi=1952429680","1952429680")</f>
        <v>1952429680</v>
      </c>
      <c r="E8635" t="s">
        <v>11393</v>
      </c>
    </row>
    <row r="8636" spans="1:5" x14ac:dyDescent="0.25">
      <c r="A8636" t="s">
        <v>1</v>
      </c>
      <c r="B8636" t="s">
        <v>19</v>
      </c>
      <c r="C8636" t="s">
        <v>23490</v>
      </c>
      <c r="D8636" t="str">
        <f>HYPERLINK("https://rhld.insurance.arkansas.gov/NPILookup?Npi=1952484339","1952484339")</f>
        <v>1952484339</v>
      </c>
      <c r="E8636" t="s">
        <v>15743</v>
      </c>
    </row>
    <row r="8637" spans="1:5" x14ac:dyDescent="0.25">
      <c r="A8637" t="s">
        <v>1</v>
      </c>
      <c r="B8637" t="s">
        <v>19</v>
      </c>
      <c r="C8637" t="s">
        <v>23490</v>
      </c>
      <c r="D8637" t="str">
        <f>HYPERLINK("https://rhld.insurance.arkansas.gov/NPILookup?Npi=1952488660","1952488660")</f>
        <v>1952488660</v>
      </c>
      <c r="E8637" t="s">
        <v>3304</v>
      </c>
    </row>
    <row r="8638" spans="1:5" x14ac:dyDescent="0.25">
      <c r="A8638" t="s">
        <v>1</v>
      </c>
      <c r="B8638" t="s">
        <v>19</v>
      </c>
      <c r="C8638" t="s">
        <v>23490</v>
      </c>
      <c r="D8638" t="str">
        <f>HYPERLINK("https://rhld.insurance.arkansas.gov/NPILookup?Npi=1952491425","1952491425")</f>
        <v>1952491425</v>
      </c>
      <c r="E8638" t="s">
        <v>3305</v>
      </c>
    </row>
    <row r="8639" spans="1:5" x14ac:dyDescent="0.25">
      <c r="A8639" t="s">
        <v>1</v>
      </c>
      <c r="B8639" t="s">
        <v>19</v>
      </c>
      <c r="C8639" t="s">
        <v>23490</v>
      </c>
      <c r="D8639" t="str">
        <f>HYPERLINK("https://rhld.insurance.arkansas.gov/NPILookup?Npi=1952491441","1952491441")</f>
        <v>1952491441</v>
      </c>
      <c r="E8639" t="s">
        <v>8937</v>
      </c>
    </row>
    <row r="8640" spans="1:5" x14ac:dyDescent="0.25">
      <c r="A8640" t="s">
        <v>1</v>
      </c>
      <c r="B8640" t="s">
        <v>19</v>
      </c>
      <c r="C8640" t="s">
        <v>23490</v>
      </c>
      <c r="D8640" t="str">
        <f>HYPERLINK("https://rhld.insurance.arkansas.gov/NPILookup?Npi=1952493546","1952493546")</f>
        <v>1952493546</v>
      </c>
      <c r="E8640" t="s">
        <v>13800</v>
      </c>
    </row>
    <row r="8641" spans="1:5" x14ac:dyDescent="0.25">
      <c r="A8641" t="s">
        <v>1</v>
      </c>
      <c r="B8641" t="s">
        <v>19</v>
      </c>
      <c r="C8641" t="s">
        <v>23490</v>
      </c>
      <c r="D8641" t="str">
        <f>HYPERLINK("https://rhld.insurance.arkansas.gov/NPILookup?Npi=1952497240","1952497240")</f>
        <v>1952497240</v>
      </c>
      <c r="E8641" t="s">
        <v>3306</v>
      </c>
    </row>
    <row r="8642" spans="1:5" x14ac:dyDescent="0.25">
      <c r="A8642" t="s">
        <v>1</v>
      </c>
      <c r="B8642" t="s">
        <v>19</v>
      </c>
      <c r="C8642" t="s">
        <v>23490</v>
      </c>
      <c r="D8642" t="str">
        <f>HYPERLINK("https://rhld.insurance.arkansas.gov/NPILookup?Npi=1952504193","1952504193")</f>
        <v>1952504193</v>
      </c>
      <c r="E8642" t="s">
        <v>3307</v>
      </c>
    </row>
    <row r="8643" spans="1:5" x14ac:dyDescent="0.25">
      <c r="A8643" t="s">
        <v>1</v>
      </c>
      <c r="B8643" t="s">
        <v>19</v>
      </c>
      <c r="C8643" t="s">
        <v>23490</v>
      </c>
      <c r="D8643" t="str">
        <f>HYPERLINK("https://rhld.insurance.arkansas.gov/NPILookup?Npi=1952512394","1952512394")</f>
        <v>1952512394</v>
      </c>
      <c r="E8643" t="s">
        <v>3308</v>
      </c>
    </row>
    <row r="8644" spans="1:5" x14ac:dyDescent="0.25">
      <c r="A8644" t="s">
        <v>1</v>
      </c>
      <c r="B8644" t="s">
        <v>19</v>
      </c>
      <c r="C8644" t="s">
        <v>23490</v>
      </c>
      <c r="D8644" t="str">
        <f>HYPERLINK("https://rhld.insurance.arkansas.gov/NPILookup?Npi=1952515777","1952515777")</f>
        <v>1952515777</v>
      </c>
      <c r="E8644" t="s">
        <v>8938</v>
      </c>
    </row>
    <row r="8645" spans="1:5" x14ac:dyDescent="0.25">
      <c r="A8645" t="s">
        <v>1</v>
      </c>
      <c r="B8645" t="s">
        <v>19</v>
      </c>
      <c r="C8645" t="s">
        <v>23490</v>
      </c>
      <c r="D8645" t="str">
        <f>HYPERLINK("https://rhld.insurance.arkansas.gov/NPILookup?Npi=1952528077","1952528077")</f>
        <v>1952528077</v>
      </c>
      <c r="E8645" t="s">
        <v>15744</v>
      </c>
    </row>
    <row r="8646" spans="1:5" x14ac:dyDescent="0.25">
      <c r="A8646" t="s">
        <v>1</v>
      </c>
      <c r="B8646" t="s">
        <v>19</v>
      </c>
      <c r="C8646" t="s">
        <v>23490</v>
      </c>
      <c r="D8646" t="str">
        <f>HYPERLINK("https://rhld.insurance.arkansas.gov/NPILookup?Npi=1952533697","1952533697")</f>
        <v>1952533697</v>
      </c>
      <c r="E8646" t="s">
        <v>20167</v>
      </c>
    </row>
    <row r="8647" spans="1:5" x14ac:dyDescent="0.25">
      <c r="A8647" t="s">
        <v>1</v>
      </c>
      <c r="B8647" t="s">
        <v>19</v>
      </c>
      <c r="C8647" t="s">
        <v>23490</v>
      </c>
      <c r="D8647" t="str">
        <f>HYPERLINK("https://rhld.insurance.arkansas.gov/NPILookup?Npi=1952556235","1952556235")</f>
        <v>1952556235</v>
      </c>
      <c r="E8647" t="s">
        <v>18905</v>
      </c>
    </row>
    <row r="8648" spans="1:5" x14ac:dyDescent="0.25">
      <c r="A8648" t="s">
        <v>1</v>
      </c>
      <c r="B8648" t="s">
        <v>19</v>
      </c>
      <c r="C8648" t="s">
        <v>23490</v>
      </c>
      <c r="D8648" t="str">
        <f>HYPERLINK("https://rhld.insurance.arkansas.gov/NPILookup?Npi=1952566440","1952566440")</f>
        <v>1952566440</v>
      </c>
      <c r="E8648" t="s">
        <v>3309</v>
      </c>
    </row>
    <row r="8649" spans="1:5" x14ac:dyDescent="0.25">
      <c r="A8649" t="s">
        <v>1</v>
      </c>
      <c r="B8649" t="s">
        <v>19</v>
      </c>
      <c r="C8649" t="s">
        <v>23490</v>
      </c>
      <c r="D8649" t="str">
        <f>HYPERLINK("https://rhld.insurance.arkansas.gov/NPILookup?Npi=1952574048","1952574048")</f>
        <v>1952574048</v>
      </c>
      <c r="E8649" t="s">
        <v>3310</v>
      </c>
    </row>
    <row r="8650" spans="1:5" x14ac:dyDescent="0.25">
      <c r="A8650" t="s">
        <v>1</v>
      </c>
      <c r="B8650" t="s">
        <v>19</v>
      </c>
      <c r="C8650" t="s">
        <v>23490</v>
      </c>
      <c r="D8650" t="str">
        <f>HYPERLINK("https://rhld.insurance.arkansas.gov/NPILookup?Npi=1952599615","1952599615")</f>
        <v>1952599615</v>
      </c>
      <c r="E8650" t="s">
        <v>8939</v>
      </c>
    </row>
    <row r="8651" spans="1:5" x14ac:dyDescent="0.25">
      <c r="A8651" t="s">
        <v>1</v>
      </c>
      <c r="B8651" t="s">
        <v>19</v>
      </c>
      <c r="C8651" t="s">
        <v>23490</v>
      </c>
      <c r="D8651" t="str">
        <f>HYPERLINK("https://rhld.insurance.arkansas.gov/NPILookup?Npi=1952600132","1952600132")</f>
        <v>1952600132</v>
      </c>
      <c r="E8651" t="s">
        <v>21070</v>
      </c>
    </row>
    <row r="8652" spans="1:5" x14ac:dyDescent="0.25">
      <c r="A8652" t="s">
        <v>1</v>
      </c>
      <c r="B8652" t="s">
        <v>19</v>
      </c>
      <c r="C8652" t="s">
        <v>23490</v>
      </c>
      <c r="D8652" t="str">
        <f>HYPERLINK("https://rhld.insurance.arkansas.gov/NPILookup?Npi=1952606055","1952606055")</f>
        <v>1952606055</v>
      </c>
      <c r="E8652" t="s">
        <v>3311</v>
      </c>
    </row>
    <row r="8653" spans="1:5" x14ac:dyDescent="0.25">
      <c r="A8653" t="s">
        <v>1</v>
      </c>
      <c r="B8653" t="s">
        <v>19</v>
      </c>
      <c r="C8653" t="s">
        <v>23490</v>
      </c>
      <c r="D8653" t="str">
        <f>HYPERLINK("https://rhld.insurance.arkansas.gov/NPILookup?Npi=1952609224","1952609224")</f>
        <v>1952609224</v>
      </c>
      <c r="E8653" t="s">
        <v>3312</v>
      </c>
    </row>
    <row r="8654" spans="1:5" x14ac:dyDescent="0.25">
      <c r="A8654" t="s">
        <v>1</v>
      </c>
      <c r="B8654" t="s">
        <v>19</v>
      </c>
      <c r="C8654" t="s">
        <v>23490</v>
      </c>
      <c r="D8654" t="str">
        <f>HYPERLINK("https://rhld.insurance.arkansas.gov/NPILookup?Npi=1952616328","1952616328")</f>
        <v>1952616328</v>
      </c>
      <c r="E8654" t="s">
        <v>15745</v>
      </c>
    </row>
    <row r="8655" spans="1:5" x14ac:dyDescent="0.25">
      <c r="A8655" t="s">
        <v>1</v>
      </c>
      <c r="B8655" t="s">
        <v>19</v>
      </c>
      <c r="C8655" t="s">
        <v>23490</v>
      </c>
      <c r="D8655" t="str">
        <f>HYPERLINK("https://rhld.insurance.arkansas.gov/NPILookup?Npi=1952628802","1952628802")</f>
        <v>1952628802</v>
      </c>
      <c r="E8655" t="s">
        <v>11395</v>
      </c>
    </row>
    <row r="8656" spans="1:5" x14ac:dyDescent="0.25">
      <c r="A8656" t="s">
        <v>1</v>
      </c>
      <c r="B8656" t="s">
        <v>19</v>
      </c>
      <c r="C8656" t="s">
        <v>23490</v>
      </c>
      <c r="D8656" t="str">
        <f>HYPERLINK("https://rhld.insurance.arkansas.gov/NPILookup?Npi=1952638421","1952638421")</f>
        <v>1952638421</v>
      </c>
      <c r="E8656" t="s">
        <v>3313</v>
      </c>
    </row>
    <row r="8657" spans="1:5" x14ac:dyDescent="0.25">
      <c r="A8657" t="s">
        <v>1</v>
      </c>
      <c r="B8657" t="s">
        <v>19</v>
      </c>
      <c r="C8657" t="s">
        <v>23490</v>
      </c>
      <c r="D8657" t="str">
        <f>HYPERLINK("https://rhld.insurance.arkansas.gov/NPILookup?Npi=1952639312","1952639312")</f>
        <v>1952639312</v>
      </c>
      <c r="E8657" t="s">
        <v>20168</v>
      </c>
    </row>
    <row r="8658" spans="1:5" x14ac:dyDescent="0.25">
      <c r="A8658" t="s">
        <v>1</v>
      </c>
      <c r="B8658" t="s">
        <v>19</v>
      </c>
      <c r="C8658" t="s">
        <v>23490</v>
      </c>
      <c r="D8658" t="str">
        <f>HYPERLINK("https://rhld.insurance.arkansas.gov/NPILookup?Npi=1952656498","1952656498")</f>
        <v>1952656498</v>
      </c>
      <c r="E8658" t="s">
        <v>13801</v>
      </c>
    </row>
    <row r="8659" spans="1:5" x14ac:dyDescent="0.25">
      <c r="A8659" t="s">
        <v>1</v>
      </c>
      <c r="B8659" t="s">
        <v>19</v>
      </c>
      <c r="C8659" t="s">
        <v>23490</v>
      </c>
      <c r="D8659" t="str">
        <f>HYPERLINK("https://rhld.insurance.arkansas.gov/NPILookup?Npi=1952657868","1952657868")</f>
        <v>1952657868</v>
      </c>
      <c r="E8659" t="s">
        <v>3314</v>
      </c>
    </row>
    <row r="8660" spans="1:5" x14ac:dyDescent="0.25">
      <c r="A8660" t="s">
        <v>1</v>
      </c>
      <c r="B8660" t="s">
        <v>19</v>
      </c>
      <c r="C8660" t="s">
        <v>23490</v>
      </c>
      <c r="D8660" t="str">
        <f>HYPERLINK("https://rhld.insurance.arkansas.gov/NPILookup?Npi=1952660045","1952660045")</f>
        <v>1952660045</v>
      </c>
      <c r="E8660" t="s">
        <v>17057</v>
      </c>
    </row>
    <row r="8661" spans="1:5" x14ac:dyDescent="0.25">
      <c r="A8661" t="s">
        <v>1</v>
      </c>
      <c r="B8661" t="s">
        <v>19</v>
      </c>
      <c r="C8661" t="s">
        <v>23490</v>
      </c>
      <c r="D8661" t="str">
        <f>HYPERLINK("https://rhld.insurance.arkansas.gov/NPILookup?Npi=1952665655","1952665655")</f>
        <v>1952665655</v>
      </c>
      <c r="E8661" t="s">
        <v>13802</v>
      </c>
    </row>
    <row r="8662" spans="1:5" x14ac:dyDescent="0.25">
      <c r="A8662" t="s">
        <v>1</v>
      </c>
      <c r="B8662" t="s">
        <v>19</v>
      </c>
      <c r="C8662" t="s">
        <v>23490</v>
      </c>
      <c r="D8662" t="str">
        <f>HYPERLINK("https://rhld.insurance.arkansas.gov/NPILookup?Npi=1952705881","1952705881")</f>
        <v>1952705881</v>
      </c>
      <c r="E8662" t="s">
        <v>3315</v>
      </c>
    </row>
    <row r="8663" spans="1:5" x14ac:dyDescent="0.25">
      <c r="A8663" t="s">
        <v>1</v>
      </c>
      <c r="B8663" t="s">
        <v>19</v>
      </c>
      <c r="C8663" t="s">
        <v>23490</v>
      </c>
      <c r="D8663" t="str">
        <f>HYPERLINK("https://rhld.insurance.arkansas.gov/NPILookup?Npi=1952721615","1952721615")</f>
        <v>1952721615</v>
      </c>
      <c r="E8663" t="s">
        <v>8940</v>
      </c>
    </row>
    <row r="8664" spans="1:5" x14ac:dyDescent="0.25">
      <c r="A8664" t="s">
        <v>1</v>
      </c>
      <c r="B8664" t="s">
        <v>19</v>
      </c>
      <c r="C8664" t="s">
        <v>23490</v>
      </c>
      <c r="D8664" t="str">
        <f>HYPERLINK("https://rhld.insurance.arkansas.gov/NPILookup?Npi=1952732141","1952732141")</f>
        <v>1952732141</v>
      </c>
      <c r="E8664" t="s">
        <v>3316</v>
      </c>
    </row>
    <row r="8665" spans="1:5" x14ac:dyDescent="0.25">
      <c r="A8665" t="s">
        <v>1</v>
      </c>
      <c r="B8665" t="s">
        <v>19</v>
      </c>
      <c r="C8665" t="s">
        <v>23490</v>
      </c>
      <c r="D8665" t="str">
        <f>HYPERLINK("https://rhld.insurance.arkansas.gov/NPILookup?Npi=1952757254","1952757254")</f>
        <v>1952757254</v>
      </c>
      <c r="E8665" t="s">
        <v>11396</v>
      </c>
    </row>
    <row r="8666" spans="1:5" x14ac:dyDescent="0.25">
      <c r="A8666" t="s">
        <v>1</v>
      </c>
      <c r="B8666" t="s">
        <v>19</v>
      </c>
      <c r="C8666" t="s">
        <v>23490</v>
      </c>
      <c r="D8666" t="str">
        <f>HYPERLINK("https://rhld.insurance.arkansas.gov/NPILookup?Npi=1952762411","1952762411")</f>
        <v>1952762411</v>
      </c>
      <c r="E8666" t="s">
        <v>15746</v>
      </c>
    </row>
    <row r="8667" spans="1:5" x14ac:dyDescent="0.25">
      <c r="A8667" t="s">
        <v>1</v>
      </c>
      <c r="B8667" t="s">
        <v>19</v>
      </c>
      <c r="C8667" t="s">
        <v>23490</v>
      </c>
      <c r="D8667" t="str">
        <f>HYPERLINK("https://rhld.insurance.arkansas.gov/NPILookup?Npi=1952768780","1952768780")</f>
        <v>1952768780</v>
      </c>
      <c r="E8667" t="s">
        <v>8941</v>
      </c>
    </row>
    <row r="8668" spans="1:5" x14ac:dyDescent="0.25">
      <c r="A8668" t="s">
        <v>1</v>
      </c>
      <c r="B8668" t="s">
        <v>19</v>
      </c>
      <c r="C8668" t="s">
        <v>23490</v>
      </c>
      <c r="D8668" t="str">
        <f>HYPERLINK("https://rhld.insurance.arkansas.gov/NPILookup?Npi=1952769614","1952769614")</f>
        <v>1952769614</v>
      </c>
      <c r="E8668" t="s">
        <v>21071</v>
      </c>
    </row>
    <row r="8669" spans="1:5" x14ac:dyDescent="0.25">
      <c r="A8669" t="s">
        <v>1</v>
      </c>
      <c r="B8669" t="s">
        <v>19</v>
      </c>
      <c r="C8669" t="s">
        <v>23490</v>
      </c>
      <c r="D8669" t="str">
        <f>HYPERLINK("https://rhld.insurance.arkansas.gov/NPILookup?Npi=1952778276","1952778276")</f>
        <v>1952778276</v>
      </c>
      <c r="E8669" t="s">
        <v>8942</v>
      </c>
    </row>
    <row r="8670" spans="1:5" x14ac:dyDescent="0.25">
      <c r="A8670" t="s">
        <v>1</v>
      </c>
      <c r="B8670" t="s">
        <v>19</v>
      </c>
      <c r="C8670" t="s">
        <v>23490</v>
      </c>
      <c r="D8670" t="str">
        <f>HYPERLINK("https://rhld.insurance.arkansas.gov/NPILookup?Npi=1952784910","1952784910")</f>
        <v>1952784910</v>
      </c>
      <c r="E8670" t="s">
        <v>8943</v>
      </c>
    </row>
    <row r="8671" spans="1:5" x14ac:dyDescent="0.25">
      <c r="A8671" t="s">
        <v>1</v>
      </c>
      <c r="B8671" t="s">
        <v>19</v>
      </c>
      <c r="C8671" t="s">
        <v>23490</v>
      </c>
      <c r="D8671" t="str">
        <f>HYPERLINK("https://rhld.insurance.arkansas.gov/NPILookup?Npi=1952805368","1952805368")</f>
        <v>1952805368</v>
      </c>
      <c r="E8671" t="s">
        <v>17058</v>
      </c>
    </row>
    <row r="8672" spans="1:5" x14ac:dyDescent="0.25">
      <c r="A8672" t="s">
        <v>1</v>
      </c>
      <c r="B8672" t="s">
        <v>19</v>
      </c>
      <c r="C8672" t="s">
        <v>23490</v>
      </c>
      <c r="D8672" t="str">
        <f>HYPERLINK("https://rhld.insurance.arkansas.gov/NPILookup?Npi=1952807174","1952807174")</f>
        <v>1952807174</v>
      </c>
      <c r="E8672" t="s">
        <v>12940</v>
      </c>
    </row>
    <row r="8673" spans="1:5" x14ac:dyDescent="0.25">
      <c r="A8673" t="s">
        <v>1</v>
      </c>
      <c r="B8673" t="s">
        <v>19</v>
      </c>
      <c r="C8673" t="s">
        <v>23490</v>
      </c>
      <c r="D8673" t="str">
        <f>HYPERLINK("https://rhld.insurance.arkansas.gov/NPILookup?Npi=1952808651","1952808651")</f>
        <v>1952808651</v>
      </c>
      <c r="E8673" t="s">
        <v>21688</v>
      </c>
    </row>
    <row r="8674" spans="1:5" x14ac:dyDescent="0.25">
      <c r="A8674" t="s">
        <v>1</v>
      </c>
      <c r="B8674" t="s">
        <v>19</v>
      </c>
      <c r="C8674" t="s">
        <v>23490</v>
      </c>
      <c r="D8674" t="str">
        <f>HYPERLINK("https://rhld.insurance.arkansas.gov/NPILookup?Npi=1952817587","1952817587")</f>
        <v>1952817587</v>
      </c>
      <c r="E8674" t="s">
        <v>21689</v>
      </c>
    </row>
    <row r="8675" spans="1:5" x14ac:dyDescent="0.25">
      <c r="A8675" t="s">
        <v>1</v>
      </c>
      <c r="B8675" t="s">
        <v>19</v>
      </c>
      <c r="C8675" t="s">
        <v>23490</v>
      </c>
      <c r="D8675" t="str">
        <f>HYPERLINK("https://rhld.insurance.arkansas.gov/NPILookup?Npi=1952829475","1952829475")</f>
        <v>1952829475</v>
      </c>
      <c r="E8675" t="s">
        <v>11397</v>
      </c>
    </row>
    <row r="8676" spans="1:5" x14ac:dyDescent="0.25">
      <c r="A8676" t="s">
        <v>1</v>
      </c>
      <c r="B8676" t="s">
        <v>19</v>
      </c>
      <c r="C8676" t="s">
        <v>23490</v>
      </c>
      <c r="D8676" t="str">
        <f>HYPERLINK("https://rhld.insurance.arkansas.gov/NPILookup?Npi=1952830150","1952830150")</f>
        <v>1952830150</v>
      </c>
      <c r="E8676" t="s">
        <v>18906</v>
      </c>
    </row>
    <row r="8677" spans="1:5" x14ac:dyDescent="0.25">
      <c r="A8677" t="s">
        <v>1</v>
      </c>
      <c r="B8677" t="s">
        <v>19</v>
      </c>
      <c r="C8677" t="s">
        <v>23490</v>
      </c>
      <c r="D8677" t="str">
        <f>HYPERLINK("https://rhld.insurance.arkansas.gov/NPILookup?Npi=1952867574","1952867574")</f>
        <v>1952867574</v>
      </c>
      <c r="E8677" t="s">
        <v>18907</v>
      </c>
    </row>
    <row r="8678" spans="1:5" x14ac:dyDescent="0.25">
      <c r="A8678" t="s">
        <v>1</v>
      </c>
      <c r="B8678" t="s">
        <v>19</v>
      </c>
      <c r="C8678" t="s">
        <v>23490</v>
      </c>
      <c r="D8678" t="str">
        <f>HYPERLINK("https://rhld.insurance.arkansas.gov/NPILookup?Npi=1952882227","1952882227")</f>
        <v>1952882227</v>
      </c>
      <c r="E8678" t="s">
        <v>2639</v>
      </c>
    </row>
    <row r="8679" spans="1:5" x14ac:dyDescent="0.25">
      <c r="A8679" t="s">
        <v>1</v>
      </c>
      <c r="B8679" t="s">
        <v>19</v>
      </c>
      <c r="C8679" t="s">
        <v>23490</v>
      </c>
      <c r="D8679" t="str">
        <f>HYPERLINK("https://rhld.insurance.arkansas.gov/NPILookup?Npi=1952923518","1952923518")</f>
        <v>1952923518</v>
      </c>
      <c r="E8679" t="s">
        <v>21072</v>
      </c>
    </row>
    <row r="8680" spans="1:5" x14ac:dyDescent="0.25">
      <c r="A8680" t="s">
        <v>1</v>
      </c>
      <c r="B8680" t="s">
        <v>19</v>
      </c>
      <c r="C8680" t="s">
        <v>23490</v>
      </c>
      <c r="D8680" t="str">
        <f>HYPERLINK("https://rhld.insurance.arkansas.gov/NPILookup?Npi=1952945883","1952945883")</f>
        <v>1952945883</v>
      </c>
      <c r="E8680" t="s">
        <v>17059</v>
      </c>
    </row>
    <row r="8681" spans="1:5" x14ac:dyDescent="0.25">
      <c r="A8681" t="s">
        <v>1</v>
      </c>
      <c r="B8681" t="s">
        <v>19</v>
      </c>
      <c r="C8681" t="s">
        <v>23490</v>
      </c>
      <c r="D8681" t="str">
        <f>HYPERLINK("https://rhld.insurance.arkansas.gov/NPILookup?Npi=1952955668","1952955668")</f>
        <v>1952955668</v>
      </c>
      <c r="E8681" t="s">
        <v>18189</v>
      </c>
    </row>
    <row r="8682" spans="1:5" x14ac:dyDescent="0.25">
      <c r="A8682" t="s">
        <v>1</v>
      </c>
      <c r="B8682" t="s">
        <v>19</v>
      </c>
      <c r="C8682" t="s">
        <v>23490</v>
      </c>
      <c r="D8682" t="str">
        <f>HYPERLINK("https://rhld.insurance.arkansas.gov/NPILookup?Npi=1952970501","1952970501")</f>
        <v>1952970501</v>
      </c>
      <c r="E8682" t="s">
        <v>21690</v>
      </c>
    </row>
    <row r="8683" spans="1:5" x14ac:dyDescent="0.25">
      <c r="A8683" t="s">
        <v>1</v>
      </c>
      <c r="B8683" t="s">
        <v>19</v>
      </c>
      <c r="C8683" t="s">
        <v>23490</v>
      </c>
      <c r="D8683" t="str">
        <f>HYPERLINK("https://rhld.insurance.arkansas.gov/NPILookup?Npi=1952974750","1952974750")</f>
        <v>1952974750</v>
      </c>
      <c r="E8683" t="s">
        <v>20169</v>
      </c>
    </row>
    <row r="8684" spans="1:5" x14ac:dyDescent="0.25">
      <c r="A8684" t="s">
        <v>1</v>
      </c>
      <c r="B8684" t="s">
        <v>19</v>
      </c>
      <c r="C8684" t="s">
        <v>23490</v>
      </c>
      <c r="D8684" t="str">
        <f>HYPERLINK("https://rhld.insurance.arkansas.gov/NPILookup?Npi=1952993925","1952993925")</f>
        <v>1952993925</v>
      </c>
      <c r="E8684" t="s">
        <v>18908</v>
      </c>
    </row>
    <row r="8685" spans="1:5" x14ac:dyDescent="0.25">
      <c r="A8685" t="s">
        <v>1</v>
      </c>
      <c r="B8685" t="s">
        <v>19</v>
      </c>
      <c r="C8685" t="s">
        <v>23490</v>
      </c>
      <c r="D8685" t="str">
        <f>HYPERLINK("https://rhld.insurance.arkansas.gov/NPILookup?Npi=1962000471","1962000471")</f>
        <v>1962000471</v>
      </c>
      <c r="E8685" t="s">
        <v>18909</v>
      </c>
    </row>
    <row r="8686" spans="1:5" x14ac:dyDescent="0.25">
      <c r="A8686" t="s">
        <v>1</v>
      </c>
      <c r="B8686" t="s">
        <v>19</v>
      </c>
      <c r="C8686" t="s">
        <v>23490</v>
      </c>
      <c r="D8686" t="str">
        <f>HYPERLINK("https://rhld.insurance.arkansas.gov/NPILookup?Npi=1962013359","1962013359")</f>
        <v>1962013359</v>
      </c>
      <c r="E8686" t="s">
        <v>20170</v>
      </c>
    </row>
    <row r="8687" spans="1:5" x14ac:dyDescent="0.25">
      <c r="A8687" t="s">
        <v>1</v>
      </c>
      <c r="B8687" t="s">
        <v>19</v>
      </c>
      <c r="C8687" t="s">
        <v>23490</v>
      </c>
      <c r="D8687" t="str">
        <f>HYPERLINK("https://rhld.insurance.arkansas.gov/NPILookup?Npi=1962019182","1962019182")</f>
        <v>1962019182</v>
      </c>
      <c r="E8687" t="s">
        <v>18190</v>
      </c>
    </row>
    <row r="8688" spans="1:5" x14ac:dyDescent="0.25">
      <c r="A8688" t="s">
        <v>1</v>
      </c>
      <c r="B8688" t="s">
        <v>19</v>
      </c>
      <c r="C8688" t="s">
        <v>23490</v>
      </c>
      <c r="D8688" t="str">
        <f>HYPERLINK("https://rhld.insurance.arkansas.gov/NPILookup?Npi=1962032888","1962032888")</f>
        <v>1962032888</v>
      </c>
      <c r="E8688" t="s">
        <v>18910</v>
      </c>
    </row>
    <row r="8689" spans="1:5" x14ac:dyDescent="0.25">
      <c r="A8689" t="s">
        <v>1</v>
      </c>
      <c r="B8689" t="s">
        <v>19</v>
      </c>
      <c r="C8689" t="s">
        <v>23490</v>
      </c>
      <c r="D8689" t="str">
        <f>HYPERLINK("https://rhld.insurance.arkansas.gov/NPILookup?Npi=1962044800","1962044800")</f>
        <v>1962044800</v>
      </c>
      <c r="E8689" t="s">
        <v>20171</v>
      </c>
    </row>
    <row r="8690" spans="1:5" x14ac:dyDescent="0.25">
      <c r="A8690" t="s">
        <v>1</v>
      </c>
      <c r="B8690" t="s">
        <v>19</v>
      </c>
      <c r="C8690" t="s">
        <v>23490</v>
      </c>
      <c r="D8690" t="str">
        <f>HYPERLINK("https://rhld.insurance.arkansas.gov/NPILookup?Npi=1962153452","1962153452")</f>
        <v>1962153452</v>
      </c>
      <c r="E8690" t="s">
        <v>20172</v>
      </c>
    </row>
    <row r="8691" spans="1:5" x14ac:dyDescent="0.25">
      <c r="A8691" t="s">
        <v>1</v>
      </c>
      <c r="B8691" t="s">
        <v>19</v>
      </c>
      <c r="C8691" t="s">
        <v>23490</v>
      </c>
      <c r="D8691" t="str">
        <f>HYPERLINK("https://rhld.insurance.arkansas.gov/NPILookup?Npi=1962163105","1962163105")</f>
        <v>1962163105</v>
      </c>
      <c r="E8691" t="s">
        <v>20173</v>
      </c>
    </row>
    <row r="8692" spans="1:5" x14ac:dyDescent="0.25">
      <c r="A8692" t="s">
        <v>1</v>
      </c>
      <c r="B8692" t="s">
        <v>19</v>
      </c>
      <c r="C8692" t="s">
        <v>23490</v>
      </c>
      <c r="D8692" t="str">
        <f>HYPERLINK("https://rhld.insurance.arkansas.gov/NPILookup?Npi=1962166785","1962166785")</f>
        <v>1962166785</v>
      </c>
      <c r="E8692" t="s">
        <v>20174</v>
      </c>
    </row>
    <row r="8693" spans="1:5" x14ac:dyDescent="0.25">
      <c r="A8693" t="s">
        <v>1</v>
      </c>
      <c r="B8693" t="s">
        <v>19</v>
      </c>
      <c r="C8693" t="s">
        <v>23490</v>
      </c>
      <c r="D8693" t="str">
        <f>HYPERLINK("https://rhld.insurance.arkansas.gov/NPILookup?Npi=1962167874","1962167874")</f>
        <v>1962167874</v>
      </c>
      <c r="E8693" t="s">
        <v>21691</v>
      </c>
    </row>
    <row r="8694" spans="1:5" x14ac:dyDescent="0.25">
      <c r="A8694" t="s">
        <v>1</v>
      </c>
      <c r="B8694" t="s">
        <v>19</v>
      </c>
      <c r="C8694" t="s">
        <v>23490</v>
      </c>
      <c r="D8694" t="str">
        <f>HYPERLINK("https://rhld.insurance.arkansas.gov/NPILookup?Npi=1962402867","1962402867")</f>
        <v>1962402867</v>
      </c>
      <c r="E8694" t="s">
        <v>3318</v>
      </c>
    </row>
    <row r="8695" spans="1:5" x14ac:dyDescent="0.25">
      <c r="A8695" t="s">
        <v>1</v>
      </c>
      <c r="B8695" t="s">
        <v>19</v>
      </c>
      <c r="C8695" t="s">
        <v>23490</v>
      </c>
      <c r="D8695" t="str">
        <f>HYPERLINK("https://rhld.insurance.arkansas.gov/NPILookup?Npi=1962404475","1962404475")</f>
        <v>1962404475</v>
      </c>
      <c r="E8695" t="s">
        <v>3319</v>
      </c>
    </row>
    <row r="8696" spans="1:5" x14ac:dyDescent="0.25">
      <c r="A8696" t="s">
        <v>1</v>
      </c>
      <c r="B8696" t="s">
        <v>19</v>
      </c>
      <c r="C8696" t="s">
        <v>23490</v>
      </c>
      <c r="D8696" t="str">
        <f>HYPERLINK("https://rhld.insurance.arkansas.gov/NPILookup?Npi=1962405373","1962405373")</f>
        <v>1962405373</v>
      </c>
      <c r="E8696" t="s">
        <v>15747</v>
      </c>
    </row>
    <row r="8697" spans="1:5" x14ac:dyDescent="0.25">
      <c r="A8697" t="s">
        <v>1</v>
      </c>
      <c r="B8697" t="s">
        <v>19</v>
      </c>
      <c r="C8697" t="s">
        <v>23490</v>
      </c>
      <c r="D8697" t="str">
        <f>HYPERLINK("https://rhld.insurance.arkansas.gov/NPILookup?Npi=1962408435","1962408435")</f>
        <v>1962408435</v>
      </c>
      <c r="E8697" t="s">
        <v>3320</v>
      </c>
    </row>
    <row r="8698" spans="1:5" x14ac:dyDescent="0.25">
      <c r="A8698" t="s">
        <v>1</v>
      </c>
      <c r="B8698" t="s">
        <v>19</v>
      </c>
      <c r="C8698" t="s">
        <v>23490</v>
      </c>
      <c r="D8698" t="str">
        <f>HYPERLINK("https://rhld.insurance.arkansas.gov/NPILookup?Npi=1962409334","1962409334")</f>
        <v>1962409334</v>
      </c>
      <c r="E8698" t="s">
        <v>3321</v>
      </c>
    </row>
    <row r="8699" spans="1:5" x14ac:dyDescent="0.25">
      <c r="A8699" t="s">
        <v>1</v>
      </c>
      <c r="B8699" t="s">
        <v>19</v>
      </c>
      <c r="C8699" t="s">
        <v>23490</v>
      </c>
      <c r="D8699" t="str">
        <f>HYPERLINK("https://rhld.insurance.arkansas.gov/NPILookup?Npi=1962410100","1962410100")</f>
        <v>1962410100</v>
      </c>
      <c r="E8699" t="s">
        <v>15748</v>
      </c>
    </row>
    <row r="8700" spans="1:5" x14ac:dyDescent="0.25">
      <c r="A8700" t="s">
        <v>1</v>
      </c>
      <c r="B8700" t="s">
        <v>19</v>
      </c>
      <c r="C8700" t="s">
        <v>23490</v>
      </c>
      <c r="D8700" t="str">
        <f>HYPERLINK("https://rhld.insurance.arkansas.gov/NPILookup?Npi=1962417725","1962417725")</f>
        <v>1962417725</v>
      </c>
      <c r="E8700" t="s">
        <v>21692</v>
      </c>
    </row>
    <row r="8701" spans="1:5" x14ac:dyDescent="0.25">
      <c r="A8701" t="s">
        <v>1</v>
      </c>
      <c r="B8701" t="s">
        <v>19</v>
      </c>
      <c r="C8701" t="s">
        <v>23490</v>
      </c>
      <c r="D8701" t="str">
        <f>HYPERLINK("https://rhld.insurance.arkansas.gov/NPILookup?Npi=1962418160","1962418160")</f>
        <v>1962418160</v>
      </c>
      <c r="E8701" t="s">
        <v>3322</v>
      </c>
    </row>
    <row r="8702" spans="1:5" x14ac:dyDescent="0.25">
      <c r="A8702" t="s">
        <v>1</v>
      </c>
      <c r="B8702" t="s">
        <v>19</v>
      </c>
      <c r="C8702" t="s">
        <v>23490</v>
      </c>
      <c r="D8702" t="str">
        <f>HYPERLINK("https://rhld.insurance.arkansas.gov/NPILookup?Npi=1962418285","1962418285")</f>
        <v>1962418285</v>
      </c>
      <c r="E8702" t="s">
        <v>3323</v>
      </c>
    </row>
    <row r="8703" spans="1:5" x14ac:dyDescent="0.25">
      <c r="A8703" t="s">
        <v>1</v>
      </c>
      <c r="B8703" t="s">
        <v>19</v>
      </c>
      <c r="C8703" t="s">
        <v>23490</v>
      </c>
      <c r="D8703" t="str">
        <f>HYPERLINK("https://rhld.insurance.arkansas.gov/NPILookup?Npi=1962419143","1962419143")</f>
        <v>1962419143</v>
      </c>
      <c r="E8703" t="s">
        <v>3324</v>
      </c>
    </row>
    <row r="8704" spans="1:5" x14ac:dyDescent="0.25">
      <c r="A8704" t="s">
        <v>1</v>
      </c>
      <c r="B8704" t="s">
        <v>19</v>
      </c>
      <c r="C8704" t="s">
        <v>23490</v>
      </c>
      <c r="D8704" t="str">
        <f>HYPERLINK("https://rhld.insurance.arkansas.gov/NPILookup?Npi=1962420547","1962420547")</f>
        <v>1962420547</v>
      </c>
      <c r="E8704" t="s">
        <v>3325</v>
      </c>
    </row>
    <row r="8705" spans="1:5" x14ac:dyDescent="0.25">
      <c r="A8705" t="s">
        <v>1</v>
      </c>
      <c r="B8705" t="s">
        <v>19</v>
      </c>
      <c r="C8705" t="s">
        <v>23490</v>
      </c>
      <c r="D8705" t="str">
        <f>HYPERLINK("https://rhld.insurance.arkansas.gov/NPILookup?Npi=1962435768","1962435768")</f>
        <v>1962435768</v>
      </c>
      <c r="E8705" t="s">
        <v>8944</v>
      </c>
    </row>
    <row r="8706" spans="1:5" x14ac:dyDescent="0.25">
      <c r="A8706" t="s">
        <v>1</v>
      </c>
      <c r="B8706" t="s">
        <v>19</v>
      </c>
      <c r="C8706" t="s">
        <v>23490</v>
      </c>
      <c r="D8706" t="str">
        <f>HYPERLINK("https://rhld.insurance.arkansas.gov/NPILookup?Npi=1962436840","1962436840")</f>
        <v>1962436840</v>
      </c>
      <c r="E8706" t="s">
        <v>11398</v>
      </c>
    </row>
    <row r="8707" spans="1:5" x14ac:dyDescent="0.25">
      <c r="A8707" t="s">
        <v>1</v>
      </c>
      <c r="B8707" t="s">
        <v>19</v>
      </c>
      <c r="C8707" t="s">
        <v>23490</v>
      </c>
      <c r="D8707" t="str">
        <f>HYPERLINK("https://rhld.insurance.arkansas.gov/NPILookup?Npi=1962440594","1962440594")</f>
        <v>1962440594</v>
      </c>
      <c r="E8707" t="s">
        <v>15749</v>
      </c>
    </row>
    <row r="8708" spans="1:5" x14ac:dyDescent="0.25">
      <c r="A8708" t="s">
        <v>1</v>
      </c>
      <c r="B8708" t="s">
        <v>19</v>
      </c>
      <c r="C8708" t="s">
        <v>23490</v>
      </c>
      <c r="D8708" t="str">
        <f>HYPERLINK("https://rhld.insurance.arkansas.gov/NPILookup?Npi=1962441436","1962441436")</f>
        <v>1962441436</v>
      </c>
      <c r="E8708" t="s">
        <v>3326</v>
      </c>
    </row>
    <row r="8709" spans="1:5" x14ac:dyDescent="0.25">
      <c r="A8709" t="s">
        <v>1</v>
      </c>
      <c r="B8709" t="s">
        <v>19</v>
      </c>
      <c r="C8709" t="s">
        <v>23490</v>
      </c>
      <c r="D8709" t="str">
        <f>HYPERLINK("https://rhld.insurance.arkansas.gov/NPILookup?Npi=1962452938","1962452938")</f>
        <v>1962452938</v>
      </c>
      <c r="E8709" t="s">
        <v>13803</v>
      </c>
    </row>
    <row r="8710" spans="1:5" x14ac:dyDescent="0.25">
      <c r="A8710" t="s">
        <v>1</v>
      </c>
      <c r="B8710" t="s">
        <v>19</v>
      </c>
      <c r="C8710" t="s">
        <v>23490</v>
      </c>
      <c r="D8710" t="str">
        <f>HYPERLINK("https://rhld.insurance.arkansas.gov/NPILookup?Npi=1962453225","1962453225")</f>
        <v>1962453225</v>
      </c>
      <c r="E8710" t="s">
        <v>3327</v>
      </c>
    </row>
    <row r="8711" spans="1:5" x14ac:dyDescent="0.25">
      <c r="A8711" t="s">
        <v>1</v>
      </c>
      <c r="B8711" t="s">
        <v>19</v>
      </c>
      <c r="C8711" t="s">
        <v>23490</v>
      </c>
      <c r="D8711" t="str">
        <f>HYPERLINK("https://rhld.insurance.arkansas.gov/NPILookup?Npi=1962455212","1962455212")</f>
        <v>1962455212</v>
      </c>
      <c r="E8711" t="s">
        <v>3328</v>
      </c>
    </row>
    <row r="8712" spans="1:5" x14ac:dyDescent="0.25">
      <c r="A8712" t="s">
        <v>1</v>
      </c>
      <c r="B8712" t="s">
        <v>19</v>
      </c>
      <c r="C8712" t="s">
        <v>23490</v>
      </c>
      <c r="D8712" t="str">
        <f>HYPERLINK("https://rhld.insurance.arkansas.gov/NPILookup?Npi=1962460212","1962460212")</f>
        <v>1962460212</v>
      </c>
      <c r="E8712" t="s">
        <v>3329</v>
      </c>
    </row>
    <row r="8713" spans="1:5" x14ac:dyDescent="0.25">
      <c r="A8713" t="s">
        <v>1</v>
      </c>
      <c r="B8713" t="s">
        <v>19</v>
      </c>
      <c r="C8713" t="s">
        <v>23490</v>
      </c>
      <c r="D8713" t="str">
        <f>HYPERLINK("https://rhld.insurance.arkansas.gov/NPILookup?Npi=1962463091","1962463091")</f>
        <v>1962463091</v>
      </c>
      <c r="E8713" t="s">
        <v>3330</v>
      </c>
    </row>
    <row r="8714" spans="1:5" x14ac:dyDescent="0.25">
      <c r="A8714" t="s">
        <v>1</v>
      </c>
      <c r="B8714" t="s">
        <v>19</v>
      </c>
      <c r="C8714" t="s">
        <v>23490</v>
      </c>
      <c r="D8714" t="str">
        <f>HYPERLINK("https://rhld.insurance.arkansas.gov/NPILookup?Npi=1962466748","1962466748")</f>
        <v>1962466748</v>
      </c>
      <c r="E8714" t="s">
        <v>13804</v>
      </c>
    </row>
    <row r="8715" spans="1:5" x14ac:dyDescent="0.25">
      <c r="A8715" t="s">
        <v>1</v>
      </c>
      <c r="B8715" t="s">
        <v>19</v>
      </c>
      <c r="C8715" t="s">
        <v>23490</v>
      </c>
      <c r="D8715" t="str">
        <f>HYPERLINK("https://rhld.insurance.arkansas.gov/NPILookup?Npi=1962473462","1962473462")</f>
        <v>1962473462</v>
      </c>
      <c r="E8715" t="s">
        <v>3331</v>
      </c>
    </row>
    <row r="8716" spans="1:5" x14ac:dyDescent="0.25">
      <c r="A8716" t="s">
        <v>1</v>
      </c>
      <c r="B8716" t="s">
        <v>19</v>
      </c>
      <c r="C8716" t="s">
        <v>23490</v>
      </c>
      <c r="D8716" t="str">
        <f>HYPERLINK("https://rhld.insurance.arkansas.gov/NPILookup?Npi=1962507061","1962507061")</f>
        <v>1962507061</v>
      </c>
      <c r="E8716" t="s">
        <v>3332</v>
      </c>
    </row>
    <row r="8717" spans="1:5" x14ac:dyDescent="0.25">
      <c r="A8717" t="s">
        <v>1</v>
      </c>
      <c r="B8717" t="s">
        <v>19</v>
      </c>
      <c r="C8717" t="s">
        <v>23490</v>
      </c>
      <c r="D8717" t="str">
        <f>HYPERLINK("https://rhld.insurance.arkansas.gov/NPILookup?Npi=1962515668","1962515668")</f>
        <v>1962515668</v>
      </c>
      <c r="E8717" t="s">
        <v>3333</v>
      </c>
    </row>
    <row r="8718" spans="1:5" x14ac:dyDescent="0.25">
      <c r="A8718" t="s">
        <v>1</v>
      </c>
      <c r="B8718" t="s">
        <v>19</v>
      </c>
      <c r="C8718" t="s">
        <v>23490</v>
      </c>
      <c r="D8718" t="str">
        <f>HYPERLINK("https://rhld.insurance.arkansas.gov/NPILookup?Npi=1962524090","1962524090")</f>
        <v>1962524090</v>
      </c>
      <c r="E8718" t="s">
        <v>3334</v>
      </c>
    </row>
    <row r="8719" spans="1:5" x14ac:dyDescent="0.25">
      <c r="A8719" t="s">
        <v>1</v>
      </c>
      <c r="B8719" t="s">
        <v>19</v>
      </c>
      <c r="C8719" t="s">
        <v>23490</v>
      </c>
      <c r="D8719" t="str">
        <f>HYPERLINK("https://rhld.insurance.arkansas.gov/NPILookup?Npi=1962545376","1962545376")</f>
        <v>1962545376</v>
      </c>
      <c r="E8719" t="s">
        <v>3335</v>
      </c>
    </row>
    <row r="8720" spans="1:5" x14ac:dyDescent="0.25">
      <c r="A8720" t="s">
        <v>1</v>
      </c>
      <c r="B8720" t="s">
        <v>19</v>
      </c>
      <c r="C8720" t="s">
        <v>23490</v>
      </c>
      <c r="D8720" t="str">
        <f>HYPERLINK("https://rhld.insurance.arkansas.gov/NPILookup?Npi=1962584896","1962584896")</f>
        <v>1962584896</v>
      </c>
      <c r="E8720" t="s">
        <v>11399</v>
      </c>
    </row>
    <row r="8721" spans="1:5" x14ac:dyDescent="0.25">
      <c r="A8721" t="s">
        <v>1</v>
      </c>
      <c r="B8721" t="s">
        <v>19</v>
      </c>
      <c r="C8721" t="s">
        <v>23490</v>
      </c>
      <c r="D8721" t="str">
        <f>HYPERLINK("https://rhld.insurance.arkansas.gov/NPILookup?Npi=1962600312","1962600312")</f>
        <v>1962600312</v>
      </c>
      <c r="E8721" t="s">
        <v>3336</v>
      </c>
    </row>
    <row r="8722" spans="1:5" x14ac:dyDescent="0.25">
      <c r="A8722" t="s">
        <v>1</v>
      </c>
      <c r="B8722" t="s">
        <v>19</v>
      </c>
      <c r="C8722" t="s">
        <v>23490</v>
      </c>
      <c r="D8722" t="str">
        <f>HYPERLINK("https://rhld.insurance.arkansas.gov/NPILookup?Npi=1962607457","1962607457")</f>
        <v>1962607457</v>
      </c>
      <c r="E8722" t="s">
        <v>3337</v>
      </c>
    </row>
    <row r="8723" spans="1:5" x14ac:dyDescent="0.25">
      <c r="A8723" t="s">
        <v>1</v>
      </c>
      <c r="B8723" t="s">
        <v>19</v>
      </c>
      <c r="C8723" t="s">
        <v>23490</v>
      </c>
      <c r="D8723" t="str">
        <f>HYPERLINK("https://rhld.insurance.arkansas.gov/NPILookup?Npi=1962609826","1962609826")</f>
        <v>1962609826</v>
      </c>
      <c r="E8723" t="s">
        <v>3338</v>
      </c>
    </row>
    <row r="8724" spans="1:5" x14ac:dyDescent="0.25">
      <c r="A8724" t="s">
        <v>1</v>
      </c>
      <c r="B8724" t="s">
        <v>19</v>
      </c>
      <c r="C8724" t="s">
        <v>23490</v>
      </c>
      <c r="D8724" t="str">
        <f>HYPERLINK("https://rhld.insurance.arkansas.gov/NPILookup?Npi=1962630079","1962630079")</f>
        <v>1962630079</v>
      </c>
      <c r="E8724" t="s">
        <v>3339</v>
      </c>
    </row>
    <row r="8725" spans="1:5" x14ac:dyDescent="0.25">
      <c r="A8725" t="s">
        <v>1</v>
      </c>
      <c r="B8725" t="s">
        <v>19</v>
      </c>
      <c r="C8725" t="s">
        <v>23490</v>
      </c>
      <c r="D8725" t="str">
        <f>HYPERLINK("https://rhld.insurance.arkansas.gov/NPILookup?Npi=1962635359","1962635359")</f>
        <v>1962635359</v>
      </c>
      <c r="E8725" t="s">
        <v>8945</v>
      </c>
    </row>
    <row r="8726" spans="1:5" x14ac:dyDescent="0.25">
      <c r="A8726" t="s">
        <v>1</v>
      </c>
      <c r="B8726" t="s">
        <v>19</v>
      </c>
      <c r="C8726" t="s">
        <v>23490</v>
      </c>
      <c r="D8726" t="str">
        <f>HYPERLINK("https://rhld.insurance.arkansas.gov/NPILookup?Npi=1962664557","1962664557")</f>
        <v>1962664557</v>
      </c>
      <c r="E8726" t="s">
        <v>3340</v>
      </c>
    </row>
    <row r="8727" spans="1:5" x14ac:dyDescent="0.25">
      <c r="A8727" t="s">
        <v>1</v>
      </c>
      <c r="B8727" t="s">
        <v>19</v>
      </c>
      <c r="C8727" t="s">
        <v>23490</v>
      </c>
      <c r="D8727" t="str">
        <f>HYPERLINK("https://rhld.insurance.arkansas.gov/NPILookup?Npi=1962675181","1962675181")</f>
        <v>1962675181</v>
      </c>
      <c r="E8727" t="s">
        <v>20175</v>
      </c>
    </row>
    <row r="8728" spans="1:5" x14ac:dyDescent="0.25">
      <c r="A8728" t="s">
        <v>1</v>
      </c>
      <c r="B8728" t="s">
        <v>19</v>
      </c>
      <c r="C8728" t="s">
        <v>23490</v>
      </c>
      <c r="D8728" t="str">
        <f>HYPERLINK("https://rhld.insurance.arkansas.gov/NPILookup?Npi=1962682765","1962682765")</f>
        <v>1962682765</v>
      </c>
      <c r="E8728" t="s">
        <v>15750</v>
      </c>
    </row>
    <row r="8729" spans="1:5" x14ac:dyDescent="0.25">
      <c r="A8729" t="s">
        <v>1</v>
      </c>
      <c r="B8729" t="s">
        <v>19</v>
      </c>
      <c r="C8729" t="s">
        <v>23490</v>
      </c>
      <c r="D8729" t="str">
        <f>HYPERLINK("https://rhld.insurance.arkansas.gov/NPILookup?Npi=1962701466","1962701466")</f>
        <v>1962701466</v>
      </c>
      <c r="E8729" t="s">
        <v>20176</v>
      </c>
    </row>
    <row r="8730" spans="1:5" x14ac:dyDescent="0.25">
      <c r="A8730" t="s">
        <v>1</v>
      </c>
      <c r="B8730" t="s">
        <v>19</v>
      </c>
      <c r="C8730" t="s">
        <v>23490</v>
      </c>
      <c r="D8730" t="str">
        <f>HYPERLINK("https://rhld.insurance.arkansas.gov/NPILookup?Npi=1962707596","1962707596")</f>
        <v>1962707596</v>
      </c>
      <c r="E8730" t="s">
        <v>21693</v>
      </c>
    </row>
    <row r="8731" spans="1:5" x14ac:dyDescent="0.25">
      <c r="A8731" t="s">
        <v>1</v>
      </c>
      <c r="B8731" t="s">
        <v>19</v>
      </c>
      <c r="C8731" t="s">
        <v>23490</v>
      </c>
      <c r="D8731" t="str">
        <f>HYPERLINK("https://rhld.insurance.arkansas.gov/NPILookup?Npi=1962714097","1962714097")</f>
        <v>1962714097</v>
      </c>
      <c r="E8731" t="s">
        <v>3341</v>
      </c>
    </row>
    <row r="8732" spans="1:5" x14ac:dyDescent="0.25">
      <c r="A8732" t="s">
        <v>1</v>
      </c>
      <c r="B8732" t="s">
        <v>19</v>
      </c>
      <c r="C8732" t="s">
        <v>23490</v>
      </c>
      <c r="D8732" t="str">
        <f>HYPERLINK("https://rhld.insurance.arkansas.gov/NPILookup?Npi=1962715854","1962715854")</f>
        <v>1962715854</v>
      </c>
      <c r="E8732" t="s">
        <v>11400</v>
      </c>
    </row>
    <row r="8733" spans="1:5" x14ac:dyDescent="0.25">
      <c r="A8733" t="s">
        <v>1</v>
      </c>
      <c r="B8733" t="s">
        <v>19</v>
      </c>
      <c r="C8733" t="s">
        <v>23490</v>
      </c>
      <c r="D8733" t="str">
        <f>HYPERLINK("https://rhld.insurance.arkansas.gov/NPILookup?Npi=1962762005","1962762005")</f>
        <v>1962762005</v>
      </c>
      <c r="E8733" t="s">
        <v>20177</v>
      </c>
    </row>
    <row r="8734" spans="1:5" x14ac:dyDescent="0.25">
      <c r="A8734" t="s">
        <v>1</v>
      </c>
      <c r="B8734" t="s">
        <v>19</v>
      </c>
      <c r="C8734" t="s">
        <v>23490</v>
      </c>
      <c r="D8734" t="str">
        <f>HYPERLINK("https://rhld.insurance.arkansas.gov/NPILookup?Npi=1962762682","1962762682")</f>
        <v>1962762682</v>
      </c>
      <c r="E8734" t="s">
        <v>20178</v>
      </c>
    </row>
    <row r="8735" spans="1:5" x14ac:dyDescent="0.25">
      <c r="A8735" t="s">
        <v>1</v>
      </c>
      <c r="B8735" t="s">
        <v>19</v>
      </c>
      <c r="C8735" t="s">
        <v>23490</v>
      </c>
      <c r="D8735" t="str">
        <f>HYPERLINK("https://rhld.insurance.arkansas.gov/NPILookup?Npi=1962766840","1962766840")</f>
        <v>1962766840</v>
      </c>
      <c r="E8735" t="s">
        <v>3342</v>
      </c>
    </row>
    <row r="8736" spans="1:5" x14ac:dyDescent="0.25">
      <c r="A8736" t="s">
        <v>1</v>
      </c>
      <c r="B8736" t="s">
        <v>19</v>
      </c>
      <c r="C8736" t="s">
        <v>23490</v>
      </c>
      <c r="D8736" t="str">
        <f>HYPERLINK("https://rhld.insurance.arkansas.gov/NPILookup?Npi=1962769828","1962769828")</f>
        <v>1962769828</v>
      </c>
      <c r="E8736" t="s">
        <v>12941</v>
      </c>
    </row>
    <row r="8737" spans="1:5" x14ac:dyDescent="0.25">
      <c r="A8737" t="s">
        <v>1</v>
      </c>
      <c r="B8737" t="s">
        <v>19</v>
      </c>
      <c r="C8737" t="s">
        <v>23490</v>
      </c>
      <c r="D8737" t="str">
        <f>HYPERLINK("https://rhld.insurance.arkansas.gov/NPILookup?Npi=1962777680","1962777680")</f>
        <v>1962777680</v>
      </c>
      <c r="E8737" t="s">
        <v>3343</v>
      </c>
    </row>
    <row r="8738" spans="1:5" x14ac:dyDescent="0.25">
      <c r="A8738" t="s">
        <v>1</v>
      </c>
      <c r="B8738" t="s">
        <v>19</v>
      </c>
      <c r="C8738" t="s">
        <v>23490</v>
      </c>
      <c r="D8738" t="str">
        <f>HYPERLINK("https://rhld.insurance.arkansas.gov/NPILookup?Npi=1962789826","1962789826")</f>
        <v>1962789826</v>
      </c>
      <c r="E8738" t="s">
        <v>15751</v>
      </c>
    </row>
    <row r="8739" spans="1:5" x14ac:dyDescent="0.25">
      <c r="A8739" t="s">
        <v>1</v>
      </c>
      <c r="B8739" t="s">
        <v>19</v>
      </c>
      <c r="C8739" t="s">
        <v>23490</v>
      </c>
      <c r="D8739" t="str">
        <f>HYPERLINK("https://rhld.insurance.arkansas.gov/NPILookup?Npi=1962792309","1962792309")</f>
        <v>1962792309</v>
      </c>
      <c r="E8739" t="s">
        <v>11401</v>
      </c>
    </row>
    <row r="8740" spans="1:5" x14ac:dyDescent="0.25">
      <c r="A8740" t="s">
        <v>1</v>
      </c>
      <c r="B8740" t="s">
        <v>19</v>
      </c>
      <c r="C8740" t="s">
        <v>23490</v>
      </c>
      <c r="D8740" t="str">
        <f>HYPERLINK("https://rhld.insurance.arkansas.gov/NPILookup?Npi=1962794016","1962794016")</f>
        <v>1962794016</v>
      </c>
      <c r="E8740" t="s">
        <v>15752</v>
      </c>
    </row>
    <row r="8741" spans="1:5" x14ac:dyDescent="0.25">
      <c r="A8741" t="s">
        <v>1</v>
      </c>
      <c r="B8741" t="s">
        <v>19</v>
      </c>
      <c r="C8741" t="s">
        <v>23490</v>
      </c>
      <c r="D8741" t="str">
        <f>HYPERLINK("https://rhld.insurance.arkansas.gov/NPILookup?Npi=1962815456","1962815456")</f>
        <v>1962815456</v>
      </c>
      <c r="E8741" t="s">
        <v>11402</v>
      </c>
    </row>
    <row r="8742" spans="1:5" x14ac:dyDescent="0.25">
      <c r="A8742" t="s">
        <v>1</v>
      </c>
      <c r="B8742" t="s">
        <v>19</v>
      </c>
      <c r="C8742" t="s">
        <v>23490</v>
      </c>
      <c r="D8742" t="str">
        <f>HYPERLINK("https://rhld.insurance.arkansas.gov/NPILookup?Npi=1962819664","1962819664")</f>
        <v>1962819664</v>
      </c>
      <c r="E8742" t="s">
        <v>15753</v>
      </c>
    </row>
    <row r="8743" spans="1:5" x14ac:dyDescent="0.25">
      <c r="A8743" t="s">
        <v>1</v>
      </c>
      <c r="B8743" t="s">
        <v>19</v>
      </c>
      <c r="C8743" t="s">
        <v>23490</v>
      </c>
      <c r="D8743" t="str">
        <f>HYPERLINK("https://rhld.insurance.arkansas.gov/NPILookup?Npi=1962824359","1962824359")</f>
        <v>1962824359</v>
      </c>
      <c r="E8743" t="s">
        <v>15754</v>
      </c>
    </row>
    <row r="8744" spans="1:5" x14ac:dyDescent="0.25">
      <c r="A8744" t="s">
        <v>1</v>
      </c>
      <c r="B8744" t="s">
        <v>19</v>
      </c>
      <c r="C8744" t="s">
        <v>23490</v>
      </c>
      <c r="D8744" t="str">
        <f>HYPERLINK("https://rhld.insurance.arkansas.gov/NPILookup?Npi=1962825562","1962825562")</f>
        <v>1962825562</v>
      </c>
      <c r="E8744" t="s">
        <v>3344</v>
      </c>
    </row>
    <row r="8745" spans="1:5" x14ac:dyDescent="0.25">
      <c r="A8745" t="s">
        <v>1</v>
      </c>
      <c r="B8745" t="s">
        <v>19</v>
      </c>
      <c r="C8745" t="s">
        <v>23490</v>
      </c>
      <c r="D8745" t="str">
        <f>HYPERLINK("https://rhld.insurance.arkansas.gov/NPILookup?Npi=1962826503","1962826503")</f>
        <v>1962826503</v>
      </c>
      <c r="E8745" t="s">
        <v>3345</v>
      </c>
    </row>
    <row r="8746" spans="1:5" x14ac:dyDescent="0.25">
      <c r="A8746" t="s">
        <v>1</v>
      </c>
      <c r="B8746" t="s">
        <v>19</v>
      </c>
      <c r="C8746" t="s">
        <v>23490</v>
      </c>
      <c r="D8746" t="str">
        <f>HYPERLINK("https://rhld.insurance.arkansas.gov/NPILookup?Npi=1962836213","1962836213")</f>
        <v>1962836213</v>
      </c>
      <c r="E8746" t="s">
        <v>3346</v>
      </c>
    </row>
    <row r="8747" spans="1:5" x14ac:dyDescent="0.25">
      <c r="A8747" t="s">
        <v>1</v>
      </c>
      <c r="B8747" t="s">
        <v>19</v>
      </c>
      <c r="C8747" t="s">
        <v>23490</v>
      </c>
      <c r="D8747" t="str">
        <f>HYPERLINK("https://rhld.insurance.arkansas.gov/NPILookup?Npi=1962841155","1962841155")</f>
        <v>1962841155</v>
      </c>
      <c r="E8747" t="s">
        <v>12942</v>
      </c>
    </row>
    <row r="8748" spans="1:5" x14ac:dyDescent="0.25">
      <c r="A8748" t="s">
        <v>1</v>
      </c>
      <c r="B8748" t="s">
        <v>19</v>
      </c>
      <c r="C8748" t="s">
        <v>23490</v>
      </c>
      <c r="D8748" t="str">
        <f>HYPERLINK("https://rhld.insurance.arkansas.gov/NPILookup?Npi=1962842104","1962842104")</f>
        <v>1962842104</v>
      </c>
      <c r="E8748" t="s">
        <v>18192</v>
      </c>
    </row>
    <row r="8749" spans="1:5" x14ac:dyDescent="0.25">
      <c r="A8749" t="s">
        <v>1</v>
      </c>
      <c r="B8749" t="s">
        <v>19</v>
      </c>
      <c r="C8749" t="s">
        <v>23490</v>
      </c>
      <c r="D8749" t="str">
        <f>HYPERLINK("https://rhld.insurance.arkansas.gov/NPILookup?Npi=1962844522","1962844522")</f>
        <v>1962844522</v>
      </c>
      <c r="E8749" t="s">
        <v>3347</v>
      </c>
    </row>
    <row r="8750" spans="1:5" x14ac:dyDescent="0.25">
      <c r="A8750" t="s">
        <v>1</v>
      </c>
      <c r="B8750" t="s">
        <v>19</v>
      </c>
      <c r="C8750" t="s">
        <v>23490</v>
      </c>
      <c r="D8750" t="str">
        <f>HYPERLINK("https://rhld.insurance.arkansas.gov/NPILookup?Npi=1962852749","1962852749")</f>
        <v>1962852749</v>
      </c>
      <c r="E8750" t="s">
        <v>11403</v>
      </c>
    </row>
    <row r="8751" spans="1:5" x14ac:dyDescent="0.25">
      <c r="A8751" t="s">
        <v>1</v>
      </c>
      <c r="B8751" t="s">
        <v>19</v>
      </c>
      <c r="C8751" t="s">
        <v>23490</v>
      </c>
      <c r="D8751" t="str">
        <f>HYPERLINK("https://rhld.insurance.arkansas.gov/NPILookup?Npi=1962857391","1962857391")</f>
        <v>1962857391</v>
      </c>
      <c r="E8751" t="s">
        <v>11404</v>
      </c>
    </row>
    <row r="8752" spans="1:5" x14ac:dyDescent="0.25">
      <c r="A8752" t="s">
        <v>1</v>
      </c>
      <c r="B8752" t="s">
        <v>19</v>
      </c>
      <c r="C8752" t="s">
        <v>23490</v>
      </c>
      <c r="D8752" t="str">
        <f>HYPERLINK("https://rhld.insurance.arkansas.gov/NPILookup?Npi=1962862557","1962862557")</f>
        <v>1962862557</v>
      </c>
      <c r="E8752" t="s">
        <v>11405</v>
      </c>
    </row>
    <row r="8753" spans="1:5" x14ac:dyDescent="0.25">
      <c r="A8753" t="s">
        <v>1</v>
      </c>
      <c r="B8753" t="s">
        <v>19</v>
      </c>
      <c r="C8753" t="s">
        <v>23490</v>
      </c>
      <c r="D8753" t="str">
        <f>HYPERLINK("https://rhld.insurance.arkansas.gov/NPILookup?Npi=1962865659","1962865659")</f>
        <v>1962865659</v>
      </c>
      <c r="E8753" t="s">
        <v>15755</v>
      </c>
    </row>
    <row r="8754" spans="1:5" x14ac:dyDescent="0.25">
      <c r="A8754" t="s">
        <v>1</v>
      </c>
      <c r="B8754" t="s">
        <v>19</v>
      </c>
      <c r="C8754" t="s">
        <v>23490</v>
      </c>
      <c r="D8754" t="str">
        <f>HYPERLINK("https://rhld.insurance.arkansas.gov/NPILookup?Npi=1962868752","1962868752")</f>
        <v>1962868752</v>
      </c>
      <c r="E8754" t="s">
        <v>8946</v>
      </c>
    </row>
    <row r="8755" spans="1:5" x14ac:dyDescent="0.25">
      <c r="A8755" t="s">
        <v>1</v>
      </c>
      <c r="B8755" t="s">
        <v>19</v>
      </c>
      <c r="C8755" t="s">
        <v>23490</v>
      </c>
      <c r="D8755" t="str">
        <f>HYPERLINK("https://rhld.insurance.arkansas.gov/NPILookup?Npi=1962870253","1962870253")</f>
        <v>1962870253</v>
      </c>
      <c r="E8755" t="s">
        <v>15756</v>
      </c>
    </row>
    <row r="8756" spans="1:5" x14ac:dyDescent="0.25">
      <c r="A8756" t="s">
        <v>1</v>
      </c>
      <c r="B8756" t="s">
        <v>19</v>
      </c>
      <c r="C8756" t="s">
        <v>23490</v>
      </c>
      <c r="D8756" t="str">
        <f>HYPERLINK("https://rhld.insurance.arkansas.gov/NPILookup?Npi=1962875054","1962875054")</f>
        <v>1962875054</v>
      </c>
      <c r="E8756" t="s">
        <v>13805</v>
      </c>
    </row>
    <row r="8757" spans="1:5" x14ac:dyDescent="0.25">
      <c r="A8757" t="s">
        <v>1</v>
      </c>
      <c r="B8757" t="s">
        <v>19</v>
      </c>
      <c r="C8757" t="s">
        <v>23490</v>
      </c>
      <c r="D8757" t="str">
        <f>HYPERLINK("https://rhld.insurance.arkansas.gov/NPILookup?Npi=1962876524","1962876524")</f>
        <v>1962876524</v>
      </c>
      <c r="E8757" t="s">
        <v>3348</v>
      </c>
    </row>
    <row r="8758" spans="1:5" x14ac:dyDescent="0.25">
      <c r="A8758" t="s">
        <v>1</v>
      </c>
      <c r="B8758" t="s">
        <v>19</v>
      </c>
      <c r="C8758" t="s">
        <v>23490</v>
      </c>
      <c r="D8758" t="str">
        <f>HYPERLINK("https://rhld.insurance.arkansas.gov/NPILookup?Npi=1962877852","1962877852")</f>
        <v>1962877852</v>
      </c>
      <c r="E8758" t="s">
        <v>11406</v>
      </c>
    </row>
    <row r="8759" spans="1:5" x14ac:dyDescent="0.25">
      <c r="A8759" t="s">
        <v>1</v>
      </c>
      <c r="B8759" t="s">
        <v>19</v>
      </c>
      <c r="C8759" t="s">
        <v>23490</v>
      </c>
      <c r="D8759" t="str">
        <f>HYPERLINK("https://rhld.insurance.arkansas.gov/NPILookup?Npi=1962882902","1962882902")</f>
        <v>1962882902</v>
      </c>
      <c r="E8759" t="s">
        <v>20179</v>
      </c>
    </row>
    <row r="8760" spans="1:5" x14ac:dyDescent="0.25">
      <c r="A8760" t="s">
        <v>1</v>
      </c>
      <c r="B8760" t="s">
        <v>19</v>
      </c>
      <c r="C8760" t="s">
        <v>23490</v>
      </c>
      <c r="D8760" t="str">
        <f>HYPERLINK("https://rhld.insurance.arkansas.gov/NPILookup?Npi=1962898015","1962898015")</f>
        <v>1962898015</v>
      </c>
      <c r="E8760" t="s">
        <v>15757</v>
      </c>
    </row>
    <row r="8761" spans="1:5" x14ac:dyDescent="0.25">
      <c r="A8761" t="s">
        <v>1</v>
      </c>
      <c r="B8761" t="s">
        <v>19</v>
      </c>
      <c r="C8761" t="s">
        <v>23490</v>
      </c>
      <c r="D8761" t="str">
        <f>HYPERLINK("https://rhld.insurance.arkansas.gov/NPILookup?Npi=1962898460","1962898460")</f>
        <v>1962898460</v>
      </c>
      <c r="E8761" t="s">
        <v>3349</v>
      </c>
    </row>
    <row r="8762" spans="1:5" x14ac:dyDescent="0.25">
      <c r="A8762" t="s">
        <v>1</v>
      </c>
      <c r="B8762" t="s">
        <v>19</v>
      </c>
      <c r="C8762" t="s">
        <v>23490</v>
      </c>
      <c r="D8762" t="str">
        <f>HYPERLINK("https://rhld.insurance.arkansas.gov/NPILookup?Npi=1962917922","1962917922")</f>
        <v>1962917922</v>
      </c>
      <c r="E8762" t="s">
        <v>12943</v>
      </c>
    </row>
    <row r="8763" spans="1:5" x14ac:dyDescent="0.25">
      <c r="A8763" t="s">
        <v>1</v>
      </c>
      <c r="B8763" t="s">
        <v>19</v>
      </c>
      <c r="C8763" t="s">
        <v>23490</v>
      </c>
      <c r="D8763" t="str">
        <f>HYPERLINK("https://rhld.insurance.arkansas.gov/NPILookup?Npi=1962919282","1962919282")</f>
        <v>1962919282</v>
      </c>
      <c r="E8763" t="s">
        <v>17060</v>
      </c>
    </row>
    <row r="8764" spans="1:5" x14ac:dyDescent="0.25">
      <c r="A8764" t="s">
        <v>1</v>
      </c>
      <c r="B8764" t="s">
        <v>19</v>
      </c>
      <c r="C8764" t="s">
        <v>23490</v>
      </c>
      <c r="D8764" t="str">
        <f>HYPERLINK("https://rhld.insurance.arkansas.gov/NPILookup?Npi=1962934448","1962934448")</f>
        <v>1962934448</v>
      </c>
      <c r="E8764" t="s">
        <v>11407</v>
      </c>
    </row>
    <row r="8765" spans="1:5" x14ac:dyDescent="0.25">
      <c r="A8765" t="s">
        <v>1</v>
      </c>
      <c r="B8765" t="s">
        <v>19</v>
      </c>
      <c r="C8765" t="s">
        <v>23490</v>
      </c>
      <c r="D8765" t="str">
        <f>HYPERLINK("https://rhld.insurance.arkansas.gov/NPILookup?Npi=1962937102","1962937102")</f>
        <v>1962937102</v>
      </c>
      <c r="E8765" t="s">
        <v>11408</v>
      </c>
    </row>
    <row r="8766" spans="1:5" x14ac:dyDescent="0.25">
      <c r="A8766" t="s">
        <v>1</v>
      </c>
      <c r="B8766" t="s">
        <v>19</v>
      </c>
      <c r="C8766" t="s">
        <v>23490</v>
      </c>
      <c r="D8766" t="str">
        <f>HYPERLINK("https://rhld.insurance.arkansas.gov/NPILookup?Npi=1962938431","1962938431")</f>
        <v>1962938431</v>
      </c>
      <c r="E8766" t="s">
        <v>20180</v>
      </c>
    </row>
    <row r="8767" spans="1:5" x14ac:dyDescent="0.25">
      <c r="A8767" t="s">
        <v>1</v>
      </c>
      <c r="B8767" t="s">
        <v>19</v>
      </c>
      <c r="C8767" t="s">
        <v>23490</v>
      </c>
      <c r="D8767" t="str">
        <f>HYPERLINK("https://rhld.insurance.arkansas.gov/NPILookup?Npi=1962947200","1962947200")</f>
        <v>1962947200</v>
      </c>
      <c r="E8767" t="s">
        <v>21694</v>
      </c>
    </row>
    <row r="8768" spans="1:5" x14ac:dyDescent="0.25">
      <c r="A8768" t="s">
        <v>1</v>
      </c>
      <c r="B8768" t="s">
        <v>19</v>
      </c>
      <c r="C8768" t="s">
        <v>23490</v>
      </c>
      <c r="D8768" t="str">
        <f>HYPERLINK("https://rhld.insurance.arkansas.gov/NPILookup?Npi=1962948075","1962948075")</f>
        <v>1962948075</v>
      </c>
      <c r="E8768" t="s">
        <v>11409</v>
      </c>
    </row>
    <row r="8769" spans="1:5" x14ac:dyDescent="0.25">
      <c r="A8769" t="s">
        <v>1</v>
      </c>
      <c r="B8769" t="s">
        <v>19</v>
      </c>
      <c r="C8769" t="s">
        <v>23490</v>
      </c>
      <c r="D8769" t="str">
        <f>HYPERLINK("https://rhld.insurance.arkansas.gov/NPILookup?Npi=1962961995","1962961995")</f>
        <v>1962961995</v>
      </c>
      <c r="E8769" t="s">
        <v>21073</v>
      </c>
    </row>
    <row r="8770" spans="1:5" x14ac:dyDescent="0.25">
      <c r="A8770" t="s">
        <v>1</v>
      </c>
      <c r="B8770" t="s">
        <v>19</v>
      </c>
      <c r="C8770" t="s">
        <v>23490</v>
      </c>
      <c r="D8770" t="str">
        <f>HYPERLINK("https://rhld.insurance.arkansas.gov/NPILookup?Npi=1962962241","1962962241")</f>
        <v>1962962241</v>
      </c>
      <c r="E8770" t="s">
        <v>20181</v>
      </c>
    </row>
    <row r="8771" spans="1:5" x14ac:dyDescent="0.25">
      <c r="A8771" t="s">
        <v>1</v>
      </c>
      <c r="B8771" t="s">
        <v>19</v>
      </c>
      <c r="C8771" t="s">
        <v>23490</v>
      </c>
      <c r="D8771" t="str">
        <f>HYPERLINK("https://rhld.insurance.arkansas.gov/NPILookup?Npi=1962973412","1962973412")</f>
        <v>1962973412</v>
      </c>
      <c r="E8771" t="s">
        <v>20182</v>
      </c>
    </row>
    <row r="8772" spans="1:5" x14ac:dyDescent="0.25">
      <c r="A8772" t="s">
        <v>1</v>
      </c>
      <c r="B8772" t="s">
        <v>19</v>
      </c>
      <c r="C8772" t="s">
        <v>23490</v>
      </c>
      <c r="D8772" t="str">
        <f>HYPERLINK("https://rhld.insurance.arkansas.gov/NPILookup?Npi=1962980268","1962980268")</f>
        <v>1962980268</v>
      </c>
      <c r="E8772" t="s">
        <v>20183</v>
      </c>
    </row>
    <row r="8773" spans="1:5" x14ac:dyDescent="0.25">
      <c r="A8773" t="s">
        <v>1</v>
      </c>
      <c r="B8773" t="s">
        <v>19</v>
      </c>
      <c r="C8773" t="s">
        <v>23490</v>
      </c>
      <c r="D8773" t="str">
        <f>HYPERLINK("https://rhld.insurance.arkansas.gov/NPILookup?Npi=1962980797","1962980797")</f>
        <v>1962980797</v>
      </c>
      <c r="E8773" t="s">
        <v>13807</v>
      </c>
    </row>
    <row r="8774" spans="1:5" x14ac:dyDescent="0.25">
      <c r="A8774" t="s">
        <v>1</v>
      </c>
      <c r="B8774" t="s">
        <v>19</v>
      </c>
      <c r="C8774" t="s">
        <v>23490</v>
      </c>
      <c r="D8774" t="str">
        <f>HYPERLINK("https://rhld.insurance.arkansas.gov/NPILookup?Npi=1962989871","1962989871")</f>
        <v>1962989871</v>
      </c>
      <c r="E8774" t="s">
        <v>13808</v>
      </c>
    </row>
    <row r="8775" spans="1:5" x14ac:dyDescent="0.25">
      <c r="A8775" t="s">
        <v>1</v>
      </c>
      <c r="B8775" t="s">
        <v>19</v>
      </c>
      <c r="C8775" t="s">
        <v>23490</v>
      </c>
      <c r="D8775" t="str">
        <f>HYPERLINK("https://rhld.insurance.arkansas.gov/NPILookup?Npi=1962996538","1962996538")</f>
        <v>1962996538</v>
      </c>
      <c r="E8775" t="s">
        <v>20184</v>
      </c>
    </row>
    <row r="8776" spans="1:5" x14ac:dyDescent="0.25">
      <c r="A8776" t="s">
        <v>1</v>
      </c>
      <c r="B8776" t="s">
        <v>19</v>
      </c>
      <c r="C8776" t="s">
        <v>23490</v>
      </c>
      <c r="D8776" t="str">
        <f>HYPERLINK("https://rhld.insurance.arkansas.gov/NPILookup?Npi=1972002020","1972002020")</f>
        <v>1972002020</v>
      </c>
      <c r="E8776" t="s">
        <v>20185</v>
      </c>
    </row>
    <row r="8777" spans="1:5" x14ac:dyDescent="0.25">
      <c r="A8777" t="s">
        <v>1</v>
      </c>
      <c r="B8777" t="s">
        <v>19</v>
      </c>
      <c r="C8777" t="s">
        <v>23490</v>
      </c>
      <c r="D8777" t="str">
        <f>HYPERLINK("https://rhld.insurance.arkansas.gov/NPILookup?Npi=1972006542","1972006542")</f>
        <v>1972006542</v>
      </c>
      <c r="E8777" t="s">
        <v>13809</v>
      </c>
    </row>
    <row r="8778" spans="1:5" x14ac:dyDescent="0.25">
      <c r="A8778" t="s">
        <v>1</v>
      </c>
      <c r="B8778" t="s">
        <v>19</v>
      </c>
      <c r="C8778" t="s">
        <v>23490</v>
      </c>
      <c r="D8778" t="str">
        <f>HYPERLINK("https://rhld.insurance.arkansas.gov/NPILookup?Npi=1972012854","1972012854")</f>
        <v>1972012854</v>
      </c>
      <c r="E8778" t="s">
        <v>17499</v>
      </c>
    </row>
    <row r="8779" spans="1:5" x14ac:dyDescent="0.25">
      <c r="A8779" t="s">
        <v>1</v>
      </c>
      <c r="B8779" t="s">
        <v>19</v>
      </c>
      <c r="C8779" t="s">
        <v>23490</v>
      </c>
      <c r="D8779" t="str">
        <f>HYPERLINK("https://rhld.insurance.arkansas.gov/NPILookup?Npi=1972016558","1972016558")</f>
        <v>1972016558</v>
      </c>
      <c r="E8779" t="s">
        <v>12944</v>
      </c>
    </row>
    <row r="8780" spans="1:5" x14ac:dyDescent="0.25">
      <c r="A8780" t="s">
        <v>1</v>
      </c>
      <c r="B8780" t="s">
        <v>19</v>
      </c>
      <c r="C8780" t="s">
        <v>23490</v>
      </c>
      <c r="D8780" t="str">
        <f>HYPERLINK("https://rhld.insurance.arkansas.gov/NPILookup?Npi=1972034759","1972034759")</f>
        <v>1972034759</v>
      </c>
      <c r="E8780" t="s">
        <v>17061</v>
      </c>
    </row>
    <row r="8781" spans="1:5" x14ac:dyDescent="0.25">
      <c r="A8781" t="s">
        <v>1</v>
      </c>
      <c r="B8781" t="s">
        <v>19</v>
      </c>
      <c r="C8781" t="s">
        <v>23490</v>
      </c>
      <c r="D8781" t="str">
        <f>HYPERLINK("https://rhld.insurance.arkansas.gov/NPILookup?Npi=1972036457","1972036457")</f>
        <v>1972036457</v>
      </c>
      <c r="E8781" t="s">
        <v>15758</v>
      </c>
    </row>
    <row r="8782" spans="1:5" x14ac:dyDescent="0.25">
      <c r="A8782" t="s">
        <v>1</v>
      </c>
      <c r="B8782" t="s">
        <v>19</v>
      </c>
      <c r="C8782" t="s">
        <v>23490</v>
      </c>
      <c r="D8782" t="str">
        <f>HYPERLINK("https://rhld.insurance.arkansas.gov/NPILookup?Npi=1972043644","1972043644")</f>
        <v>1972043644</v>
      </c>
      <c r="E8782" t="s">
        <v>15759</v>
      </c>
    </row>
    <row r="8783" spans="1:5" x14ac:dyDescent="0.25">
      <c r="A8783" t="s">
        <v>1</v>
      </c>
      <c r="B8783" t="s">
        <v>19</v>
      </c>
      <c r="C8783" t="s">
        <v>23490</v>
      </c>
      <c r="D8783" t="str">
        <f>HYPERLINK("https://rhld.insurance.arkansas.gov/NPILookup?Npi=1972064277","1972064277")</f>
        <v>1972064277</v>
      </c>
      <c r="E8783" t="s">
        <v>20186</v>
      </c>
    </row>
    <row r="8784" spans="1:5" x14ac:dyDescent="0.25">
      <c r="A8784" t="s">
        <v>1</v>
      </c>
      <c r="B8784" t="s">
        <v>19</v>
      </c>
      <c r="C8784" t="s">
        <v>23490</v>
      </c>
      <c r="D8784" t="str">
        <f>HYPERLINK("https://rhld.insurance.arkansas.gov/NPILookup?Npi=1972094225","1972094225")</f>
        <v>1972094225</v>
      </c>
      <c r="E8784" t="s">
        <v>18193</v>
      </c>
    </row>
    <row r="8785" spans="1:5" x14ac:dyDescent="0.25">
      <c r="A8785" t="s">
        <v>1</v>
      </c>
      <c r="B8785" t="s">
        <v>19</v>
      </c>
      <c r="C8785" t="s">
        <v>23490</v>
      </c>
      <c r="D8785" t="str">
        <f>HYPERLINK("https://rhld.insurance.arkansas.gov/NPILookup?Npi=1972099059","1972099059")</f>
        <v>1972099059</v>
      </c>
      <c r="E8785" t="s">
        <v>13810</v>
      </c>
    </row>
    <row r="8786" spans="1:5" x14ac:dyDescent="0.25">
      <c r="A8786" t="s">
        <v>1</v>
      </c>
      <c r="B8786" t="s">
        <v>19</v>
      </c>
      <c r="C8786" t="s">
        <v>23490</v>
      </c>
      <c r="D8786" t="str">
        <f>HYPERLINK("https://rhld.insurance.arkansas.gov/NPILookup?Npi=1972105054","1972105054")</f>
        <v>1972105054</v>
      </c>
      <c r="E8786" t="s">
        <v>18194</v>
      </c>
    </row>
    <row r="8787" spans="1:5" x14ac:dyDescent="0.25">
      <c r="A8787" t="s">
        <v>1</v>
      </c>
      <c r="B8787" t="s">
        <v>19</v>
      </c>
      <c r="C8787" t="s">
        <v>23490</v>
      </c>
      <c r="D8787" t="str">
        <f>HYPERLINK("https://rhld.insurance.arkansas.gov/NPILookup?Npi=1972112720","1972112720")</f>
        <v>1972112720</v>
      </c>
      <c r="E8787" t="s">
        <v>20187</v>
      </c>
    </row>
    <row r="8788" spans="1:5" x14ac:dyDescent="0.25">
      <c r="A8788" t="s">
        <v>1</v>
      </c>
      <c r="B8788" t="s">
        <v>19</v>
      </c>
      <c r="C8788" t="s">
        <v>23490</v>
      </c>
      <c r="D8788" t="str">
        <f>HYPERLINK("https://rhld.insurance.arkansas.gov/NPILookup?Npi=1972114981","1972114981")</f>
        <v>1972114981</v>
      </c>
      <c r="E8788" t="s">
        <v>18195</v>
      </c>
    </row>
    <row r="8789" spans="1:5" x14ac:dyDescent="0.25">
      <c r="A8789" t="s">
        <v>1</v>
      </c>
      <c r="B8789" t="s">
        <v>19</v>
      </c>
      <c r="C8789" t="s">
        <v>23490</v>
      </c>
      <c r="D8789" t="str">
        <f>HYPERLINK("https://rhld.insurance.arkansas.gov/NPILookup?Npi=1972119295","1972119295")</f>
        <v>1972119295</v>
      </c>
      <c r="E8789" t="s">
        <v>18196</v>
      </c>
    </row>
    <row r="8790" spans="1:5" x14ac:dyDescent="0.25">
      <c r="A8790" t="s">
        <v>1</v>
      </c>
      <c r="B8790" t="s">
        <v>19</v>
      </c>
      <c r="C8790" t="s">
        <v>23490</v>
      </c>
      <c r="D8790" t="str">
        <f>HYPERLINK("https://rhld.insurance.arkansas.gov/NPILookup?Npi=1972127793","1972127793")</f>
        <v>1972127793</v>
      </c>
      <c r="E8790" t="s">
        <v>17500</v>
      </c>
    </row>
    <row r="8791" spans="1:5" x14ac:dyDescent="0.25">
      <c r="A8791" t="s">
        <v>1</v>
      </c>
      <c r="B8791" t="s">
        <v>19</v>
      </c>
      <c r="C8791" t="s">
        <v>23490</v>
      </c>
      <c r="D8791" t="str">
        <f>HYPERLINK("https://rhld.insurance.arkansas.gov/NPILookup?Npi=1972128940","1972128940")</f>
        <v>1972128940</v>
      </c>
      <c r="E8791" t="s">
        <v>8993</v>
      </c>
    </row>
    <row r="8792" spans="1:5" x14ac:dyDescent="0.25">
      <c r="A8792" t="s">
        <v>1</v>
      </c>
      <c r="B8792" t="s">
        <v>19</v>
      </c>
      <c r="C8792" t="s">
        <v>23490</v>
      </c>
      <c r="D8792" t="str">
        <f>HYPERLINK("https://rhld.insurance.arkansas.gov/NPILookup?Npi=1972130078","1972130078")</f>
        <v>1972130078</v>
      </c>
      <c r="E8792" t="s">
        <v>17501</v>
      </c>
    </row>
    <row r="8793" spans="1:5" x14ac:dyDescent="0.25">
      <c r="A8793" t="s">
        <v>1</v>
      </c>
      <c r="B8793" t="s">
        <v>19</v>
      </c>
      <c r="C8793" t="s">
        <v>23490</v>
      </c>
      <c r="D8793" t="str">
        <f>HYPERLINK("https://rhld.insurance.arkansas.gov/NPILookup?Npi=1972140630","1972140630")</f>
        <v>1972140630</v>
      </c>
      <c r="E8793" t="s">
        <v>20188</v>
      </c>
    </row>
    <row r="8794" spans="1:5" x14ac:dyDescent="0.25">
      <c r="A8794" t="s">
        <v>1</v>
      </c>
      <c r="B8794" t="s">
        <v>19</v>
      </c>
      <c r="C8794" t="s">
        <v>23490</v>
      </c>
      <c r="D8794" t="str">
        <f>HYPERLINK("https://rhld.insurance.arkansas.gov/NPILookup?Npi=1972153146","1972153146")</f>
        <v>1972153146</v>
      </c>
      <c r="E8794" t="s">
        <v>20189</v>
      </c>
    </row>
    <row r="8795" spans="1:5" x14ac:dyDescent="0.25">
      <c r="A8795" t="s">
        <v>1</v>
      </c>
      <c r="B8795" t="s">
        <v>19</v>
      </c>
      <c r="C8795" t="s">
        <v>23490</v>
      </c>
      <c r="D8795" t="str">
        <f>HYPERLINK("https://rhld.insurance.arkansas.gov/NPILookup?Npi=1972154185","1972154185")</f>
        <v>1972154185</v>
      </c>
      <c r="E8795" t="s">
        <v>21410</v>
      </c>
    </row>
    <row r="8796" spans="1:5" x14ac:dyDescent="0.25">
      <c r="A8796" t="s">
        <v>1</v>
      </c>
      <c r="B8796" t="s">
        <v>19</v>
      </c>
      <c r="C8796" t="s">
        <v>23490</v>
      </c>
      <c r="D8796" t="str">
        <f>HYPERLINK("https://rhld.insurance.arkansas.gov/NPILookup?Npi=1972156545","1972156545")</f>
        <v>1972156545</v>
      </c>
      <c r="E8796" t="s">
        <v>20190</v>
      </c>
    </row>
    <row r="8797" spans="1:5" x14ac:dyDescent="0.25">
      <c r="A8797" t="s">
        <v>1</v>
      </c>
      <c r="B8797" t="s">
        <v>19</v>
      </c>
      <c r="C8797" t="s">
        <v>23490</v>
      </c>
      <c r="D8797" t="str">
        <f>HYPERLINK("https://rhld.insurance.arkansas.gov/NPILookup?Npi=1972177251","1972177251")</f>
        <v>1972177251</v>
      </c>
      <c r="E8797" t="s">
        <v>20191</v>
      </c>
    </row>
    <row r="8798" spans="1:5" x14ac:dyDescent="0.25">
      <c r="A8798" t="s">
        <v>1</v>
      </c>
      <c r="B8798" t="s">
        <v>19</v>
      </c>
      <c r="C8798" t="s">
        <v>23490</v>
      </c>
      <c r="D8798" t="str">
        <f>HYPERLINK("https://rhld.insurance.arkansas.gov/NPILookup?Npi=1972194678","1972194678")</f>
        <v>1972194678</v>
      </c>
      <c r="E8798" t="s">
        <v>23013</v>
      </c>
    </row>
    <row r="8799" spans="1:5" x14ac:dyDescent="0.25">
      <c r="A8799" t="s">
        <v>1</v>
      </c>
      <c r="B8799" t="s">
        <v>19</v>
      </c>
      <c r="C8799" t="s">
        <v>23490</v>
      </c>
      <c r="D8799" t="str">
        <f>HYPERLINK("https://rhld.insurance.arkansas.gov/NPILookup?Npi=1972215622","1972215622")</f>
        <v>1972215622</v>
      </c>
      <c r="E8799" t="s">
        <v>21695</v>
      </c>
    </row>
    <row r="8800" spans="1:5" x14ac:dyDescent="0.25">
      <c r="A8800" t="s">
        <v>1</v>
      </c>
      <c r="B8800" t="s">
        <v>19</v>
      </c>
      <c r="C8800" t="s">
        <v>23490</v>
      </c>
      <c r="D8800" t="str">
        <f>HYPERLINK("https://rhld.insurance.arkansas.gov/NPILookup?Npi=1972218964","1972218964")</f>
        <v>1972218964</v>
      </c>
      <c r="E8800" t="s">
        <v>21696</v>
      </c>
    </row>
    <row r="8801" spans="1:5" x14ac:dyDescent="0.25">
      <c r="A8801" t="s">
        <v>1</v>
      </c>
      <c r="B8801" t="s">
        <v>19</v>
      </c>
      <c r="C8801" t="s">
        <v>8427</v>
      </c>
      <c r="D8801" t="str">
        <f>HYPERLINK("https://rhld.insurance.arkansas.gov/NPILookup?Npi=1972258721","1972258721")</f>
        <v>1972258721</v>
      </c>
      <c r="E8801" t="s">
        <v>8892</v>
      </c>
    </row>
    <row r="8802" spans="1:5" x14ac:dyDescent="0.25">
      <c r="A8802" t="s">
        <v>1</v>
      </c>
      <c r="B8802" t="s">
        <v>19</v>
      </c>
      <c r="C8802" t="s">
        <v>23490</v>
      </c>
      <c r="D8802" t="str">
        <f>HYPERLINK("https://rhld.insurance.arkansas.gov/NPILookup?Npi=1972269785","1972269785")</f>
        <v>1972269785</v>
      </c>
      <c r="E8802" t="s">
        <v>20192</v>
      </c>
    </row>
    <row r="8803" spans="1:5" x14ac:dyDescent="0.25">
      <c r="A8803" t="s">
        <v>1</v>
      </c>
      <c r="B8803" t="s">
        <v>19</v>
      </c>
      <c r="C8803" t="s">
        <v>23490</v>
      </c>
      <c r="D8803" t="str">
        <f>HYPERLINK("https://rhld.insurance.arkansas.gov/NPILookup?Npi=1972270445","1972270445")</f>
        <v>1972270445</v>
      </c>
      <c r="E8803" t="s">
        <v>20193</v>
      </c>
    </row>
    <row r="8804" spans="1:5" x14ac:dyDescent="0.25">
      <c r="A8804" t="s">
        <v>1</v>
      </c>
      <c r="B8804" t="s">
        <v>19</v>
      </c>
      <c r="C8804" t="s">
        <v>23490</v>
      </c>
      <c r="D8804" t="str">
        <f>HYPERLINK("https://rhld.insurance.arkansas.gov/NPILookup?Npi=1972271369","1972271369")</f>
        <v>1972271369</v>
      </c>
      <c r="E8804" t="s">
        <v>18911</v>
      </c>
    </row>
    <row r="8805" spans="1:5" x14ac:dyDescent="0.25">
      <c r="A8805" t="s">
        <v>1</v>
      </c>
      <c r="B8805" t="s">
        <v>19</v>
      </c>
      <c r="C8805" t="s">
        <v>23490</v>
      </c>
      <c r="D8805" t="str">
        <f>HYPERLINK("https://rhld.insurance.arkansas.gov/NPILookup?Npi=1972501815","1972501815")</f>
        <v>1972501815</v>
      </c>
      <c r="E8805" t="s">
        <v>15760</v>
      </c>
    </row>
    <row r="8806" spans="1:5" x14ac:dyDescent="0.25">
      <c r="A8806" t="s">
        <v>1</v>
      </c>
      <c r="B8806" t="s">
        <v>19</v>
      </c>
      <c r="C8806" t="s">
        <v>23490</v>
      </c>
      <c r="D8806" t="str">
        <f>HYPERLINK("https://rhld.insurance.arkansas.gov/NPILookup?Npi=1972503399","1972503399")</f>
        <v>1972503399</v>
      </c>
      <c r="E8806" t="s">
        <v>3350</v>
      </c>
    </row>
    <row r="8807" spans="1:5" x14ac:dyDescent="0.25">
      <c r="A8807" t="s">
        <v>1</v>
      </c>
      <c r="B8807" t="s">
        <v>19</v>
      </c>
      <c r="C8807" t="s">
        <v>23490</v>
      </c>
      <c r="D8807" t="str">
        <f>HYPERLINK("https://rhld.insurance.arkansas.gov/NPILookup?Npi=1972506533","1972506533")</f>
        <v>1972506533</v>
      </c>
      <c r="E8807" t="s">
        <v>3351</v>
      </c>
    </row>
    <row r="8808" spans="1:5" x14ac:dyDescent="0.25">
      <c r="A8808" t="s">
        <v>1</v>
      </c>
      <c r="B8808" t="s">
        <v>19</v>
      </c>
      <c r="C8808" t="s">
        <v>23490</v>
      </c>
      <c r="D8808" t="str">
        <f>HYPERLINK("https://rhld.insurance.arkansas.gov/NPILookup?Npi=1972508984","1972508984")</f>
        <v>1972508984</v>
      </c>
      <c r="E8808" t="s">
        <v>3352</v>
      </c>
    </row>
    <row r="8809" spans="1:5" x14ac:dyDescent="0.25">
      <c r="A8809" t="s">
        <v>1</v>
      </c>
      <c r="B8809" t="s">
        <v>19</v>
      </c>
      <c r="C8809" t="s">
        <v>23490</v>
      </c>
      <c r="D8809" t="str">
        <f>HYPERLINK("https://rhld.insurance.arkansas.gov/NPILookup?Npi=1972509040","1972509040")</f>
        <v>1972509040</v>
      </c>
      <c r="E8809" t="s">
        <v>3353</v>
      </c>
    </row>
    <row r="8810" spans="1:5" x14ac:dyDescent="0.25">
      <c r="A8810" t="s">
        <v>1</v>
      </c>
      <c r="B8810" t="s">
        <v>19</v>
      </c>
      <c r="C8810" t="s">
        <v>23490</v>
      </c>
      <c r="D8810" t="str">
        <f>HYPERLINK("https://rhld.insurance.arkansas.gov/NPILookup?Npi=1972511020","1972511020")</f>
        <v>1972511020</v>
      </c>
      <c r="E8810" t="s">
        <v>15761</v>
      </c>
    </row>
    <row r="8811" spans="1:5" x14ac:dyDescent="0.25">
      <c r="A8811" t="s">
        <v>1</v>
      </c>
      <c r="B8811" t="s">
        <v>19</v>
      </c>
      <c r="C8811" t="s">
        <v>23490</v>
      </c>
      <c r="D8811" t="str">
        <f>HYPERLINK("https://rhld.insurance.arkansas.gov/NPILookup?Npi=1972532570","1972532570")</f>
        <v>1972532570</v>
      </c>
      <c r="E8811" t="s">
        <v>3354</v>
      </c>
    </row>
    <row r="8812" spans="1:5" x14ac:dyDescent="0.25">
      <c r="A8812" t="s">
        <v>1</v>
      </c>
      <c r="B8812" t="s">
        <v>19</v>
      </c>
      <c r="C8812" t="s">
        <v>23490</v>
      </c>
      <c r="D8812" t="str">
        <f>HYPERLINK("https://rhld.insurance.arkansas.gov/NPILookup?Npi=1972533487","1972533487")</f>
        <v>1972533487</v>
      </c>
      <c r="E8812" t="s">
        <v>15762</v>
      </c>
    </row>
    <row r="8813" spans="1:5" x14ac:dyDescent="0.25">
      <c r="A8813" t="s">
        <v>1</v>
      </c>
      <c r="B8813" t="s">
        <v>19</v>
      </c>
      <c r="C8813" t="s">
        <v>23490</v>
      </c>
      <c r="D8813" t="str">
        <f>HYPERLINK("https://rhld.insurance.arkansas.gov/NPILookup?Npi=1972536068","1972536068")</f>
        <v>1972536068</v>
      </c>
      <c r="E8813" t="s">
        <v>3355</v>
      </c>
    </row>
    <row r="8814" spans="1:5" x14ac:dyDescent="0.25">
      <c r="A8814" t="s">
        <v>1</v>
      </c>
      <c r="B8814" t="s">
        <v>19</v>
      </c>
      <c r="C8814" t="s">
        <v>23490</v>
      </c>
      <c r="D8814" t="str">
        <f>HYPERLINK("https://rhld.insurance.arkansas.gov/NPILookup?Npi=1972538718","1972538718")</f>
        <v>1972538718</v>
      </c>
      <c r="E8814" t="s">
        <v>19238</v>
      </c>
    </row>
    <row r="8815" spans="1:5" x14ac:dyDescent="0.25">
      <c r="A8815" t="s">
        <v>1</v>
      </c>
      <c r="B8815" t="s">
        <v>19</v>
      </c>
      <c r="C8815" t="s">
        <v>23490</v>
      </c>
      <c r="D8815" t="str">
        <f>HYPERLINK("https://rhld.insurance.arkansas.gov/NPILookup?Npi=1972545028","1972545028")</f>
        <v>1972545028</v>
      </c>
      <c r="E8815" t="s">
        <v>3356</v>
      </c>
    </row>
    <row r="8816" spans="1:5" x14ac:dyDescent="0.25">
      <c r="A8816" t="s">
        <v>1</v>
      </c>
      <c r="B8816" t="s">
        <v>19</v>
      </c>
      <c r="C8816" t="s">
        <v>23490</v>
      </c>
      <c r="D8816" t="str">
        <f>HYPERLINK("https://rhld.insurance.arkansas.gov/NPILookup?Npi=1972549020","1972549020")</f>
        <v>1972549020</v>
      </c>
      <c r="E8816" t="s">
        <v>3357</v>
      </c>
    </row>
    <row r="8817" spans="1:5" x14ac:dyDescent="0.25">
      <c r="A8817" t="s">
        <v>1</v>
      </c>
      <c r="B8817" t="s">
        <v>19</v>
      </c>
      <c r="C8817" t="s">
        <v>23490</v>
      </c>
      <c r="D8817" t="str">
        <f>HYPERLINK("https://rhld.insurance.arkansas.gov/NPILookup?Npi=1972551364","1972551364")</f>
        <v>1972551364</v>
      </c>
      <c r="E8817" t="s">
        <v>3358</v>
      </c>
    </row>
    <row r="8818" spans="1:5" x14ac:dyDescent="0.25">
      <c r="A8818" t="s">
        <v>1</v>
      </c>
      <c r="B8818" t="s">
        <v>19</v>
      </c>
      <c r="C8818" t="s">
        <v>23490</v>
      </c>
      <c r="D8818" t="str">
        <f>HYPERLINK("https://rhld.insurance.arkansas.gov/NPILookup?Npi=1972551901","1972551901")</f>
        <v>1972551901</v>
      </c>
      <c r="E8818" t="s">
        <v>3359</v>
      </c>
    </row>
    <row r="8819" spans="1:5" x14ac:dyDescent="0.25">
      <c r="A8819" t="s">
        <v>1</v>
      </c>
      <c r="B8819" t="s">
        <v>19</v>
      </c>
      <c r="C8819" t="s">
        <v>23490</v>
      </c>
      <c r="D8819" t="str">
        <f>HYPERLINK("https://rhld.insurance.arkansas.gov/NPILookup?Npi=1972563773","1972563773")</f>
        <v>1972563773</v>
      </c>
      <c r="E8819" t="s">
        <v>3360</v>
      </c>
    </row>
    <row r="8820" spans="1:5" x14ac:dyDescent="0.25">
      <c r="A8820" t="s">
        <v>1</v>
      </c>
      <c r="B8820" t="s">
        <v>19</v>
      </c>
      <c r="C8820" t="s">
        <v>23490</v>
      </c>
      <c r="D8820" t="str">
        <f>HYPERLINK("https://rhld.insurance.arkansas.gov/NPILookup?Npi=1972564003","1972564003")</f>
        <v>1972564003</v>
      </c>
      <c r="E8820" t="s">
        <v>3361</v>
      </c>
    </row>
    <row r="8821" spans="1:5" x14ac:dyDescent="0.25">
      <c r="A8821" t="s">
        <v>1</v>
      </c>
      <c r="B8821" t="s">
        <v>19</v>
      </c>
      <c r="C8821" t="s">
        <v>23490</v>
      </c>
      <c r="D8821" t="str">
        <f>HYPERLINK("https://rhld.insurance.arkansas.gov/NPILookup?Npi=1972567758","1972567758")</f>
        <v>1972567758</v>
      </c>
      <c r="E8821" t="s">
        <v>3362</v>
      </c>
    </row>
    <row r="8822" spans="1:5" x14ac:dyDescent="0.25">
      <c r="A8822" t="s">
        <v>1</v>
      </c>
      <c r="B8822" t="s">
        <v>19</v>
      </c>
      <c r="C8822" t="s">
        <v>23490</v>
      </c>
      <c r="D8822" t="str">
        <f>HYPERLINK("https://rhld.insurance.arkansas.gov/NPILookup?Npi=1972582120","1972582120")</f>
        <v>1972582120</v>
      </c>
      <c r="E8822" t="s">
        <v>8947</v>
      </c>
    </row>
    <row r="8823" spans="1:5" x14ac:dyDescent="0.25">
      <c r="A8823" t="s">
        <v>1</v>
      </c>
      <c r="B8823" t="s">
        <v>19</v>
      </c>
      <c r="C8823" t="s">
        <v>23490</v>
      </c>
      <c r="D8823" t="str">
        <f>HYPERLINK("https://rhld.insurance.arkansas.gov/NPILookup?Npi=1972582237","1972582237")</f>
        <v>1972582237</v>
      </c>
      <c r="E8823" t="s">
        <v>3363</v>
      </c>
    </row>
    <row r="8824" spans="1:5" x14ac:dyDescent="0.25">
      <c r="A8824" t="s">
        <v>1</v>
      </c>
      <c r="B8824" t="s">
        <v>19</v>
      </c>
      <c r="C8824" t="s">
        <v>23490</v>
      </c>
      <c r="D8824" t="str">
        <f>HYPERLINK("https://rhld.insurance.arkansas.gov/NPILookup?Npi=1972582534","1972582534")</f>
        <v>1972582534</v>
      </c>
      <c r="E8824" t="s">
        <v>3364</v>
      </c>
    </row>
    <row r="8825" spans="1:5" x14ac:dyDescent="0.25">
      <c r="A8825" t="s">
        <v>1</v>
      </c>
      <c r="B8825" t="s">
        <v>19</v>
      </c>
      <c r="C8825" t="s">
        <v>23490</v>
      </c>
      <c r="D8825" t="str">
        <f>HYPERLINK("https://rhld.insurance.arkansas.gov/NPILookup?Npi=1972586527","1972586527")</f>
        <v>1972586527</v>
      </c>
      <c r="E8825" t="s">
        <v>3365</v>
      </c>
    </row>
    <row r="8826" spans="1:5" x14ac:dyDescent="0.25">
      <c r="A8826" t="s">
        <v>1</v>
      </c>
      <c r="B8826" t="s">
        <v>19</v>
      </c>
      <c r="C8826" t="s">
        <v>23490</v>
      </c>
      <c r="D8826" t="str">
        <f>HYPERLINK("https://rhld.insurance.arkansas.gov/NPILookup?Npi=1972588457","1972588457")</f>
        <v>1972588457</v>
      </c>
      <c r="E8826" t="s">
        <v>3366</v>
      </c>
    </row>
    <row r="8827" spans="1:5" x14ac:dyDescent="0.25">
      <c r="A8827" t="s">
        <v>1</v>
      </c>
      <c r="B8827" t="s">
        <v>19</v>
      </c>
      <c r="C8827" t="s">
        <v>23490</v>
      </c>
      <c r="D8827" t="str">
        <f>HYPERLINK("https://rhld.insurance.arkansas.gov/NPILookup?Npi=1972593465","1972593465")</f>
        <v>1972593465</v>
      </c>
      <c r="E8827" t="s">
        <v>11410</v>
      </c>
    </row>
    <row r="8828" spans="1:5" x14ac:dyDescent="0.25">
      <c r="A8828" t="s">
        <v>1</v>
      </c>
      <c r="B8828" t="s">
        <v>19</v>
      </c>
      <c r="C8828" t="s">
        <v>23490</v>
      </c>
      <c r="D8828" t="str">
        <f>HYPERLINK("https://rhld.insurance.arkansas.gov/NPILookup?Npi=1972596542","1972596542")</f>
        <v>1972596542</v>
      </c>
      <c r="E8828" t="s">
        <v>3367</v>
      </c>
    </row>
    <row r="8829" spans="1:5" x14ac:dyDescent="0.25">
      <c r="A8829" t="s">
        <v>1</v>
      </c>
      <c r="B8829" t="s">
        <v>19</v>
      </c>
      <c r="C8829" t="s">
        <v>23490</v>
      </c>
      <c r="D8829" t="str">
        <f>HYPERLINK("https://rhld.insurance.arkansas.gov/NPILookup?Npi=1972598837","1972598837")</f>
        <v>1972598837</v>
      </c>
      <c r="E8829" t="s">
        <v>3368</v>
      </c>
    </row>
    <row r="8830" spans="1:5" x14ac:dyDescent="0.25">
      <c r="A8830" t="s">
        <v>1</v>
      </c>
      <c r="B8830" t="s">
        <v>19</v>
      </c>
      <c r="C8830" t="s">
        <v>23490</v>
      </c>
      <c r="D8830" t="str">
        <f>HYPERLINK("https://rhld.insurance.arkansas.gov/NPILookup?Npi=1972605699","1972605699")</f>
        <v>1972605699</v>
      </c>
      <c r="E8830" t="s">
        <v>3369</v>
      </c>
    </row>
    <row r="8831" spans="1:5" x14ac:dyDescent="0.25">
      <c r="A8831" t="s">
        <v>1</v>
      </c>
      <c r="B8831" t="s">
        <v>19</v>
      </c>
      <c r="C8831" t="s">
        <v>23490</v>
      </c>
      <c r="D8831" t="str">
        <f>HYPERLINK("https://rhld.insurance.arkansas.gov/NPILookup?Npi=1972606358","1972606358")</f>
        <v>1972606358</v>
      </c>
      <c r="E8831" t="s">
        <v>15763</v>
      </c>
    </row>
    <row r="8832" spans="1:5" x14ac:dyDescent="0.25">
      <c r="A8832" t="s">
        <v>1</v>
      </c>
      <c r="B8832" t="s">
        <v>19</v>
      </c>
      <c r="C8832" t="s">
        <v>23490</v>
      </c>
      <c r="D8832" t="str">
        <f>HYPERLINK("https://rhld.insurance.arkansas.gov/NPILookup?Npi=1972612117","1972612117")</f>
        <v>1972612117</v>
      </c>
      <c r="E8832" t="s">
        <v>15764</v>
      </c>
    </row>
    <row r="8833" spans="1:5" x14ac:dyDescent="0.25">
      <c r="A8833" t="s">
        <v>1</v>
      </c>
      <c r="B8833" t="s">
        <v>19</v>
      </c>
      <c r="C8833" t="s">
        <v>23490</v>
      </c>
      <c r="D8833" t="str">
        <f>HYPERLINK("https://rhld.insurance.arkansas.gov/NPILookup?Npi=1972617280","1972617280")</f>
        <v>1972617280</v>
      </c>
      <c r="E8833" t="s">
        <v>442</v>
      </c>
    </row>
    <row r="8834" spans="1:5" x14ac:dyDescent="0.25">
      <c r="A8834" t="s">
        <v>1</v>
      </c>
      <c r="B8834" t="s">
        <v>19</v>
      </c>
      <c r="C8834" t="s">
        <v>23490</v>
      </c>
      <c r="D8834" t="str">
        <f>HYPERLINK("https://rhld.insurance.arkansas.gov/NPILookup?Npi=1972617397","1972617397")</f>
        <v>1972617397</v>
      </c>
      <c r="E8834" t="s">
        <v>3370</v>
      </c>
    </row>
    <row r="8835" spans="1:5" x14ac:dyDescent="0.25">
      <c r="A8835" t="s">
        <v>1</v>
      </c>
      <c r="B8835" t="s">
        <v>19</v>
      </c>
      <c r="C8835" t="s">
        <v>23490</v>
      </c>
      <c r="D8835" t="str">
        <f>HYPERLINK("https://rhld.insurance.arkansas.gov/NPILookup?Npi=1972622652","1972622652")</f>
        <v>1972622652</v>
      </c>
      <c r="E8835" t="s">
        <v>3371</v>
      </c>
    </row>
    <row r="8836" spans="1:5" x14ac:dyDescent="0.25">
      <c r="A8836" t="s">
        <v>1</v>
      </c>
      <c r="B8836" t="s">
        <v>19</v>
      </c>
      <c r="C8836" t="s">
        <v>23490</v>
      </c>
      <c r="D8836" t="str">
        <f>HYPERLINK("https://rhld.insurance.arkansas.gov/NPILookup?Npi=1972645117","1972645117")</f>
        <v>1972645117</v>
      </c>
      <c r="E8836" t="s">
        <v>15765</v>
      </c>
    </row>
    <row r="8837" spans="1:5" x14ac:dyDescent="0.25">
      <c r="A8837" t="s">
        <v>1</v>
      </c>
      <c r="B8837" t="s">
        <v>19</v>
      </c>
      <c r="C8837" t="s">
        <v>23490</v>
      </c>
      <c r="D8837" t="str">
        <f>HYPERLINK("https://rhld.insurance.arkansas.gov/NPILookup?Npi=1972658771","1972658771")</f>
        <v>1972658771</v>
      </c>
      <c r="E8837" t="s">
        <v>3372</v>
      </c>
    </row>
    <row r="8838" spans="1:5" x14ac:dyDescent="0.25">
      <c r="A8838" t="s">
        <v>1</v>
      </c>
      <c r="B8838" t="s">
        <v>19</v>
      </c>
      <c r="C8838" t="s">
        <v>23490</v>
      </c>
      <c r="D8838" t="str">
        <f>HYPERLINK("https://rhld.insurance.arkansas.gov/NPILookup?Npi=1972659241","1972659241")</f>
        <v>1972659241</v>
      </c>
      <c r="E8838" t="s">
        <v>3373</v>
      </c>
    </row>
    <row r="8839" spans="1:5" x14ac:dyDescent="0.25">
      <c r="A8839" t="s">
        <v>1</v>
      </c>
      <c r="B8839" t="s">
        <v>19</v>
      </c>
      <c r="C8839" t="s">
        <v>23490</v>
      </c>
      <c r="D8839" t="str">
        <f>HYPERLINK("https://rhld.insurance.arkansas.gov/NPILookup?Npi=1972666147","1972666147")</f>
        <v>1972666147</v>
      </c>
      <c r="E8839" t="s">
        <v>3374</v>
      </c>
    </row>
    <row r="8840" spans="1:5" x14ac:dyDescent="0.25">
      <c r="A8840" t="s">
        <v>1</v>
      </c>
      <c r="B8840" t="s">
        <v>19</v>
      </c>
      <c r="C8840" t="s">
        <v>23490</v>
      </c>
      <c r="D8840" t="str">
        <f>HYPERLINK("https://rhld.insurance.arkansas.gov/NPILookup?Npi=1972672897","1972672897")</f>
        <v>1972672897</v>
      </c>
      <c r="E8840" t="s">
        <v>3375</v>
      </c>
    </row>
    <row r="8841" spans="1:5" x14ac:dyDescent="0.25">
      <c r="A8841" t="s">
        <v>1</v>
      </c>
      <c r="B8841" t="s">
        <v>19</v>
      </c>
      <c r="C8841" t="s">
        <v>23490</v>
      </c>
      <c r="D8841" t="str">
        <f>HYPERLINK("https://rhld.insurance.arkansas.gov/NPILookup?Npi=1972677730","1972677730")</f>
        <v>1972677730</v>
      </c>
      <c r="E8841" t="s">
        <v>15766</v>
      </c>
    </row>
    <row r="8842" spans="1:5" x14ac:dyDescent="0.25">
      <c r="A8842" t="s">
        <v>1</v>
      </c>
      <c r="B8842" t="s">
        <v>19</v>
      </c>
      <c r="C8842" t="s">
        <v>23490</v>
      </c>
      <c r="D8842" t="str">
        <f>HYPERLINK("https://rhld.insurance.arkansas.gov/NPILookup?Npi=1972690741","1972690741")</f>
        <v>1972690741</v>
      </c>
      <c r="E8842" t="s">
        <v>3376</v>
      </c>
    </row>
    <row r="8843" spans="1:5" x14ac:dyDescent="0.25">
      <c r="A8843" t="s">
        <v>1</v>
      </c>
      <c r="B8843" t="s">
        <v>19</v>
      </c>
      <c r="C8843" t="s">
        <v>23490</v>
      </c>
      <c r="D8843" t="str">
        <f>HYPERLINK("https://rhld.insurance.arkansas.gov/NPILookup?Npi=1972708402","1972708402")</f>
        <v>1972708402</v>
      </c>
      <c r="E8843" t="s">
        <v>15767</v>
      </c>
    </row>
    <row r="8844" spans="1:5" x14ac:dyDescent="0.25">
      <c r="A8844" t="s">
        <v>1</v>
      </c>
      <c r="B8844" t="s">
        <v>19</v>
      </c>
      <c r="C8844" t="s">
        <v>23490</v>
      </c>
      <c r="D8844" t="str">
        <f>HYPERLINK("https://rhld.insurance.arkansas.gov/NPILookup?Npi=1972709418","1972709418")</f>
        <v>1972709418</v>
      </c>
      <c r="E8844" t="s">
        <v>3377</v>
      </c>
    </row>
    <row r="8845" spans="1:5" x14ac:dyDescent="0.25">
      <c r="A8845" t="s">
        <v>1</v>
      </c>
      <c r="B8845" t="s">
        <v>19</v>
      </c>
      <c r="C8845" t="s">
        <v>23490</v>
      </c>
      <c r="D8845" t="str">
        <f>HYPERLINK("https://rhld.insurance.arkansas.gov/NPILookup?Npi=1972727121","1972727121")</f>
        <v>1972727121</v>
      </c>
      <c r="E8845" t="s">
        <v>3378</v>
      </c>
    </row>
    <row r="8846" spans="1:5" x14ac:dyDescent="0.25">
      <c r="A8846" t="s">
        <v>1</v>
      </c>
      <c r="B8846" t="s">
        <v>19</v>
      </c>
      <c r="C8846" t="s">
        <v>23490</v>
      </c>
      <c r="D8846" t="str">
        <f>HYPERLINK("https://rhld.insurance.arkansas.gov/NPILookup?Npi=1972730463","1972730463")</f>
        <v>1972730463</v>
      </c>
      <c r="E8846" t="s">
        <v>17062</v>
      </c>
    </row>
    <row r="8847" spans="1:5" x14ac:dyDescent="0.25">
      <c r="A8847" t="s">
        <v>1</v>
      </c>
      <c r="B8847" t="s">
        <v>19</v>
      </c>
      <c r="C8847" t="s">
        <v>23490</v>
      </c>
      <c r="D8847" t="str">
        <f>HYPERLINK("https://rhld.insurance.arkansas.gov/NPILookup?Npi=1972769016","1972769016")</f>
        <v>1972769016</v>
      </c>
      <c r="E8847" t="s">
        <v>3379</v>
      </c>
    </row>
    <row r="8848" spans="1:5" x14ac:dyDescent="0.25">
      <c r="A8848" t="s">
        <v>1</v>
      </c>
      <c r="B8848" t="s">
        <v>19</v>
      </c>
      <c r="C8848" t="s">
        <v>23490</v>
      </c>
      <c r="D8848" t="str">
        <f>HYPERLINK("https://rhld.insurance.arkansas.gov/NPILookup?Npi=1972771079","1972771079")</f>
        <v>1972771079</v>
      </c>
      <c r="E8848" t="s">
        <v>15768</v>
      </c>
    </row>
    <row r="8849" spans="1:5" x14ac:dyDescent="0.25">
      <c r="A8849" t="s">
        <v>1</v>
      </c>
      <c r="B8849" t="s">
        <v>19</v>
      </c>
      <c r="C8849" t="s">
        <v>23490</v>
      </c>
      <c r="D8849" t="str">
        <f>HYPERLINK("https://rhld.insurance.arkansas.gov/NPILookup?Npi=1972788388","1972788388")</f>
        <v>1972788388</v>
      </c>
      <c r="E8849" t="s">
        <v>11411</v>
      </c>
    </row>
    <row r="8850" spans="1:5" x14ac:dyDescent="0.25">
      <c r="A8850" t="s">
        <v>1</v>
      </c>
      <c r="B8850" t="s">
        <v>19</v>
      </c>
      <c r="C8850" t="s">
        <v>23490</v>
      </c>
      <c r="D8850" t="str">
        <f>HYPERLINK("https://rhld.insurance.arkansas.gov/NPILookup?Npi=1972825545","1972825545")</f>
        <v>1972825545</v>
      </c>
      <c r="E8850" t="s">
        <v>21697</v>
      </c>
    </row>
    <row r="8851" spans="1:5" x14ac:dyDescent="0.25">
      <c r="A8851" t="s">
        <v>1</v>
      </c>
      <c r="B8851" t="s">
        <v>19</v>
      </c>
      <c r="C8851" t="s">
        <v>23490</v>
      </c>
      <c r="D8851" t="str">
        <f>HYPERLINK("https://rhld.insurance.arkansas.gov/NPILookup?Npi=1972838621","1972838621")</f>
        <v>1972838621</v>
      </c>
      <c r="E8851" t="s">
        <v>20194</v>
      </c>
    </row>
    <row r="8852" spans="1:5" x14ac:dyDescent="0.25">
      <c r="A8852" t="s">
        <v>1</v>
      </c>
      <c r="B8852" t="s">
        <v>19</v>
      </c>
      <c r="C8852" t="s">
        <v>23490</v>
      </c>
      <c r="D8852" t="str">
        <f>HYPERLINK("https://rhld.insurance.arkansas.gov/NPILookup?Npi=1972841419","1972841419")</f>
        <v>1972841419</v>
      </c>
      <c r="E8852" t="s">
        <v>15769</v>
      </c>
    </row>
    <row r="8853" spans="1:5" x14ac:dyDescent="0.25">
      <c r="A8853" t="s">
        <v>1</v>
      </c>
      <c r="B8853" t="s">
        <v>19</v>
      </c>
      <c r="C8853" t="s">
        <v>23490</v>
      </c>
      <c r="D8853" t="str">
        <f>HYPERLINK("https://rhld.insurance.arkansas.gov/NPILookup?Npi=1972853125","1972853125")</f>
        <v>1972853125</v>
      </c>
      <c r="E8853" t="s">
        <v>15770</v>
      </c>
    </row>
    <row r="8854" spans="1:5" x14ac:dyDescent="0.25">
      <c r="A8854" t="s">
        <v>1</v>
      </c>
      <c r="B8854" t="s">
        <v>19</v>
      </c>
      <c r="C8854" t="s">
        <v>23490</v>
      </c>
      <c r="D8854" t="str">
        <f>HYPERLINK("https://rhld.insurance.arkansas.gov/NPILookup?Npi=1972855161","1972855161")</f>
        <v>1972855161</v>
      </c>
      <c r="E8854" t="s">
        <v>3380</v>
      </c>
    </row>
    <row r="8855" spans="1:5" x14ac:dyDescent="0.25">
      <c r="A8855" t="s">
        <v>1</v>
      </c>
      <c r="B8855" t="s">
        <v>19</v>
      </c>
      <c r="C8855" t="s">
        <v>23490</v>
      </c>
      <c r="D8855" t="str">
        <f>HYPERLINK("https://rhld.insurance.arkansas.gov/NPILookup?Npi=1972861821","1972861821")</f>
        <v>1972861821</v>
      </c>
      <c r="E8855" t="s">
        <v>20195</v>
      </c>
    </row>
    <row r="8856" spans="1:5" x14ac:dyDescent="0.25">
      <c r="A8856" t="s">
        <v>1</v>
      </c>
      <c r="B8856" t="s">
        <v>19</v>
      </c>
      <c r="C8856" t="s">
        <v>23490</v>
      </c>
      <c r="D8856" t="str">
        <f>HYPERLINK("https://rhld.insurance.arkansas.gov/NPILookup?Npi=1972863231","1972863231")</f>
        <v>1972863231</v>
      </c>
      <c r="E8856" t="s">
        <v>1190</v>
      </c>
    </row>
    <row r="8857" spans="1:5" x14ac:dyDescent="0.25">
      <c r="A8857" t="s">
        <v>1</v>
      </c>
      <c r="B8857" t="s">
        <v>19</v>
      </c>
      <c r="C8857" t="s">
        <v>23490</v>
      </c>
      <c r="D8857" t="str">
        <f>HYPERLINK("https://rhld.insurance.arkansas.gov/NPILookup?Npi=1972869592","1972869592")</f>
        <v>1972869592</v>
      </c>
      <c r="E8857" t="s">
        <v>3381</v>
      </c>
    </row>
    <row r="8858" spans="1:5" x14ac:dyDescent="0.25">
      <c r="A8858" t="s">
        <v>1</v>
      </c>
      <c r="B8858" t="s">
        <v>19</v>
      </c>
      <c r="C8858" t="s">
        <v>23490</v>
      </c>
      <c r="D8858" t="str">
        <f>HYPERLINK("https://rhld.insurance.arkansas.gov/NPILookup?Npi=1972888352","1972888352")</f>
        <v>1972888352</v>
      </c>
      <c r="E8858" t="s">
        <v>13049</v>
      </c>
    </row>
    <row r="8859" spans="1:5" x14ac:dyDescent="0.25">
      <c r="A8859" t="s">
        <v>1</v>
      </c>
      <c r="B8859" t="s">
        <v>19</v>
      </c>
      <c r="C8859" t="s">
        <v>23490</v>
      </c>
      <c r="D8859" t="str">
        <f>HYPERLINK("https://rhld.insurance.arkansas.gov/NPILookup?Npi=1972890283","1972890283")</f>
        <v>1972890283</v>
      </c>
      <c r="E8859" t="s">
        <v>3382</v>
      </c>
    </row>
    <row r="8860" spans="1:5" x14ac:dyDescent="0.25">
      <c r="A8860" t="s">
        <v>1</v>
      </c>
      <c r="B8860" t="s">
        <v>19</v>
      </c>
      <c r="C8860" t="s">
        <v>23490</v>
      </c>
      <c r="D8860" t="str">
        <f>HYPERLINK("https://rhld.insurance.arkansas.gov/NPILookup?Npi=1972903565","1972903565")</f>
        <v>1972903565</v>
      </c>
      <c r="E8860" t="s">
        <v>3383</v>
      </c>
    </row>
    <row r="8861" spans="1:5" x14ac:dyDescent="0.25">
      <c r="A8861" t="s">
        <v>1</v>
      </c>
      <c r="B8861" t="s">
        <v>19</v>
      </c>
      <c r="C8861" t="s">
        <v>23490</v>
      </c>
      <c r="D8861" t="str">
        <f>HYPERLINK("https://rhld.insurance.arkansas.gov/NPILookup?Npi=1972921252","1972921252")</f>
        <v>1972921252</v>
      </c>
      <c r="E8861" t="s">
        <v>13811</v>
      </c>
    </row>
    <row r="8862" spans="1:5" x14ac:dyDescent="0.25">
      <c r="A8862" t="s">
        <v>1</v>
      </c>
      <c r="B8862" t="s">
        <v>19</v>
      </c>
      <c r="C8862" t="s">
        <v>23490</v>
      </c>
      <c r="D8862" t="str">
        <f>HYPERLINK("https://rhld.insurance.arkansas.gov/NPILookup?Npi=1972954600","1972954600")</f>
        <v>1972954600</v>
      </c>
      <c r="E8862" t="s">
        <v>11412</v>
      </c>
    </row>
    <row r="8863" spans="1:5" x14ac:dyDescent="0.25">
      <c r="A8863" t="s">
        <v>1</v>
      </c>
      <c r="B8863" t="s">
        <v>19</v>
      </c>
      <c r="C8863" t="s">
        <v>23490</v>
      </c>
      <c r="D8863" t="str">
        <f>HYPERLINK("https://rhld.insurance.arkansas.gov/NPILookup?Npi=1972955276","1972955276")</f>
        <v>1972955276</v>
      </c>
      <c r="E8863" t="s">
        <v>11413</v>
      </c>
    </row>
    <row r="8864" spans="1:5" x14ac:dyDescent="0.25">
      <c r="A8864" t="s">
        <v>1</v>
      </c>
      <c r="B8864" t="s">
        <v>19</v>
      </c>
      <c r="C8864" t="s">
        <v>23490</v>
      </c>
      <c r="D8864" t="str">
        <f>HYPERLINK("https://rhld.insurance.arkansas.gov/NPILookup?Npi=1972958494","1972958494")</f>
        <v>1972958494</v>
      </c>
      <c r="E8864" t="s">
        <v>21698</v>
      </c>
    </row>
    <row r="8865" spans="1:5" x14ac:dyDescent="0.25">
      <c r="A8865" t="s">
        <v>1</v>
      </c>
      <c r="B8865" t="s">
        <v>19</v>
      </c>
      <c r="C8865" t="s">
        <v>23490</v>
      </c>
      <c r="D8865" t="str">
        <f>HYPERLINK("https://rhld.insurance.arkansas.gov/NPILookup?Npi=1972959625","1972959625")</f>
        <v>1972959625</v>
      </c>
      <c r="E8865" t="s">
        <v>20196</v>
      </c>
    </row>
    <row r="8866" spans="1:5" x14ac:dyDescent="0.25">
      <c r="A8866" t="s">
        <v>1</v>
      </c>
      <c r="B8866" t="s">
        <v>19</v>
      </c>
      <c r="C8866" t="s">
        <v>23490</v>
      </c>
      <c r="D8866" t="str">
        <f>HYPERLINK("https://rhld.insurance.arkansas.gov/NPILookup?Npi=1972976025","1972976025")</f>
        <v>1972976025</v>
      </c>
      <c r="E8866" t="s">
        <v>8948</v>
      </c>
    </row>
    <row r="8867" spans="1:5" x14ac:dyDescent="0.25">
      <c r="A8867" t="s">
        <v>1</v>
      </c>
      <c r="B8867" t="s">
        <v>19</v>
      </c>
      <c r="C8867" t="s">
        <v>23490</v>
      </c>
      <c r="D8867" t="str">
        <f>HYPERLINK("https://rhld.insurance.arkansas.gov/NPILookup?Npi=1972978591","1972978591")</f>
        <v>1972978591</v>
      </c>
      <c r="E8867" t="s">
        <v>8949</v>
      </c>
    </row>
    <row r="8868" spans="1:5" x14ac:dyDescent="0.25">
      <c r="A8868" t="s">
        <v>1</v>
      </c>
      <c r="B8868" t="s">
        <v>19</v>
      </c>
      <c r="C8868" t="s">
        <v>23490</v>
      </c>
      <c r="D8868" t="str">
        <f>HYPERLINK("https://rhld.insurance.arkansas.gov/NPILookup?Npi=1972987824","1972987824")</f>
        <v>1972987824</v>
      </c>
      <c r="E8868" t="s">
        <v>8950</v>
      </c>
    </row>
    <row r="8869" spans="1:5" x14ac:dyDescent="0.25">
      <c r="A8869" t="s">
        <v>1</v>
      </c>
      <c r="B8869" t="s">
        <v>19</v>
      </c>
      <c r="C8869" t="s">
        <v>23490</v>
      </c>
      <c r="D8869" t="str">
        <f>HYPERLINK("https://rhld.insurance.arkansas.gov/NPILookup?Npi=1972988723","1972988723")</f>
        <v>1972988723</v>
      </c>
      <c r="E8869" t="s">
        <v>8951</v>
      </c>
    </row>
    <row r="8870" spans="1:5" x14ac:dyDescent="0.25">
      <c r="A8870" t="s">
        <v>1</v>
      </c>
      <c r="B8870" t="s">
        <v>19</v>
      </c>
      <c r="C8870" t="s">
        <v>23490</v>
      </c>
      <c r="D8870" t="str">
        <f>HYPERLINK("https://rhld.insurance.arkansas.gov/NPILookup?Npi=1982010898","1982010898")</f>
        <v>1982010898</v>
      </c>
      <c r="E8870" t="s">
        <v>3384</v>
      </c>
    </row>
    <row r="8871" spans="1:5" x14ac:dyDescent="0.25">
      <c r="A8871" t="s">
        <v>1</v>
      </c>
      <c r="B8871" t="s">
        <v>19</v>
      </c>
      <c r="C8871" t="s">
        <v>23490</v>
      </c>
      <c r="D8871" t="str">
        <f>HYPERLINK("https://rhld.insurance.arkansas.gov/NPILookup?Npi=1982026084","1982026084")</f>
        <v>1982026084</v>
      </c>
      <c r="E8871" t="s">
        <v>21074</v>
      </c>
    </row>
    <row r="8872" spans="1:5" x14ac:dyDescent="0.25">
      <c r="A8872" t="s">
        <v>1</v>
      </c>
      <c r="B8872" t="s">
        <v>19</v>
      </c>
      <c r="C8872" t="s">
        <v>23490</v>
      </c>
      <c r="D8872" t="str">
        <f>HYPERLINK("https://rhld.insurance.arkansas.gov/NPILookup?Npi=1982026514","1982026514")</f>
        <v>1982026514</v>
      </c>
      <c r="E8872" t="s">
        <v>8952</v>
      </c>
    </row>
    <row r="8873" spans="1:5" x14ac:dyDescent="0.25">
      <c r="A8873" t="s">
        <v>1</v>
      </c>
      <c r="B8873" t="s">
        <v>19</v>
      </c>
      <c r="C8873" t="s">
        <v>23490</v>
      </c>
      <c r="D8873" t="str">
        <f>HYPERLINK("https://rhld.insurance.arkansas.gov/NPILookup?Npi=1982036026","1982036026")</f>
        <v>1982036026</v>
      </c>
      <c r="E8873" t="s">
        <v>17063</v>
      </c>
    </row>
    <row r="8874" spans="1:5" x14ac:dyDescent="0.25">
      <c r="A8874" t="s">
        <v>1</v>
      </c>
      <c r="B8874" t="s">
        <v>19</v>
      </c>
      <c r="C8874" t="s">
        <v>23490</v>
      </c>
      <c r="D8874" t="str">
        <f>HYPERLINK("https://rhld.insurance.arkansas.gov/NPILookup?Npi=1982039848","1982039848")</f>
        <v>1982039848</v>
      </c>
      <c r="E8874" t="s">
        <v>11414</v>
      </c>
    </row>
    <row r="8875" spans="1:5" x14ac:dyDescent="0.25">
      <c r="A8875" t="s">
        <v>1</v>
      </c>
      <c r="B8875" t="s">
        <v>19</v>
      </c>
      <c r="C8875" t="s">
        <v>23490</v>
      </c>
      <c r="D8875" t="str">
        <f>HYPERLINK("https://rhld.insurance.arkansas.gov/NPILookup?Npi=1982047379","1982047379")</f>
        <v>1982047379</v>
      </c>
      <c r="E8875" t="s">
        <v>8953</v>
      </c>
    </row>
    <row r="8876" spans="1:5" x14ac:dyDescent="0.25">
      <c r="A8876" t="s">
        <v>1</v>
      </c>
      <c r="B8876" t="s">
        <v>19</v>
      </c>
      <c r="C8876" t="s">
        <v>23490</v>
      </c>
      <c r="D8876" t="str">
        <f>HYPERLINK("https://rhld.insurance.arkansas.gov/NPILookup?Npi=1982048047","1982048047")</f>
        <v>1982048047</v>
      </c>
      <c r="E8876" t="s">
        <v>3385</v>
      </c>
    </row>
    <row r="8877" spans="1:5" x14ac:dyDescent="0.25">
      <c r="A8877" t="s">
        <v>1</v>
      </c>
      <c r="B8877" t="s">
        <v>19</v>
      </c>
      <c r="C8877" t="s">
        <v>23490</v>
      </c>
      <c r="D8877" t="str">
        <f>HYPERLINK("https://rhld.insurance.arkansas.gov/NPILookup?Npi=1982053286","1982053286")</f>
        <v>1982053286</v>
      </c>
      <c r="E8877" t="s">
        <v>11415</v>
      </c>
    </row>
    <row r="8878" spans="1:5" x14ac:dyDescent="0.25">
      <c r="A8878" t="s">
        <v>1</v>
      </c>
      <c r="B8878" t="s">
        <v>19</v>
      </c>
      <c r="C8878" t="s">
        <v>23490</v>
      </c>
      <c r="D8878" t="str">
        <f>HYPERLINK("https://rhld.insurance.arkansas.gov/NPILookup?Npi=1982054250","1982054250")</f>
        <v>1982054250</v>
      </c>
      <c r="E8878" t="s">
        <v>17064</v>
      </c>
    </row>
    <row r="8879" spans="1:5" x14ac:dyDescent="0.25">
      <c r="A8879" t="s">
        <v>1</v>
      </c>
      <c r="B8879" t="s">
        <v>19</v>
      </c>
      <c r="C8879" t="s">
        <v>23490</v>
      </c>
      <c r="D8879" t="str">
        <f>HYPERLINK("https://rhld.insurance.arkansas.gov/NPILookup?Npi=1982056925","1982056925")</f>
        <v>1982056925</v>
      </c>
      <c r="E8879" t="s">
        <v>8954</v>
      </c>
    </row>
    <row r="8880" spans="1:5" x14ac:dyDescent="0.25">
      <c r="A8880" t="s">
        <v>1</v>
      </c>
      <c r="B8880" t="s">
        <v>19</v>
      </c>
      <c r="C8880" t="s">
        <v>23490</v>
      </c>
      <c r="D8880" t="str">
        <f>HYPERLINK("https://rhld.insurance.arkansas.gov/NPILookup?Npi=1982062857","1982062857")</f>
        <v>1982062857</v>
      </c>
      <c r="E8880" t="s">
        <v>15771</v>
      </c>
    </row>
    <row r="8881" spans="1:5" x14ac:dyDescent="0.25">
      <c r="A8881" t="s">
        <v>1</v>
      </c>
      <c r="B8881" t="s">
        <v>19</v>
      </c>
      <c r="C8881" t="s">
        <v>23490</v>
      </c>
      <c r="D8881" t="str">
        <f>HYPERLINK("https://rhld.insurance.arkansas.gov/NPILookup?Npi=1982068938","1982068938")</f>
        <v>1982068938</v>
      </c>
      <c r="E8881" t="s">
        <v>11416</v>
      </c>
    </row>
    <row r="8882" spans="1:5" x14ac:dyDescent="0.25">
      <c r="A8882" t="s">
        <v>1</v>
      </c>
      <c r="B8882" t="s">
        <v>19</v>
      </c>
      <c r="C8882" t="s">
        <v>23490</v>
      </c>
      <c r="D8882" t="str">
        <f>HYPERLINK("https://rhld.insurance.arkansas.gov/NPILookup?Npi=1982069316","1982069316")</f>
        <v>1982069316</v>
      </c>
      <c r="E8882" t="s">
        <v>17065</v>
      </c>
    </row>
    <row r="8883" spans="1:5" x14ac:dyDescent="0.25">
      <c r="A8883" t="s">
        <v>1</v>
      </c>
      <c r="B8883" t="s">
        <v>19</v>
      </c>
      <c r="C8883" t="s">
        <v>23490</v>
      </c>
      <c r="D8883" t="str">
        <f>HYPERLINK("https://rhld.insurance.arkansas.gov/NPILookup?Npi=1982080255","1982080255")</f>
        <v>1982080255</v>
      </c>
      <c r="E8883" t="s">
        <v>15772</v>
      </c>
    </row>
    <row r="8884" spans="1:5" x14ac:dyDescent="0.25">
      <c r="A8884" t="s">
        <v>1</v>
      </c>
      <c r="B8884" t="s">
        <v>19</v>
      </c>
      <c r="C8884" t="s">
        <v>23490</v>
      </c>
      <c r="D8884" t="str">
        <f>HYPERLINK("https://rhld.insurance.arkansas.gov/NPILookup?Npi=1982101119","1982101119")</f>
        <v>1982101119</v>
      </c>
      <c r="E8884" t="s">
        <v>21699</v>
      </c>
    </row>
    <row r="8885" spans="1:5" x14ac:dyDescent="0.25">
      <c r="A8885" t="s">
        <v>1</v>
      </c>
      <c r="B8885" t="s">
        <v>19</v>
      </c>
      <c r="C8885" t="s">
        <v>23490</v>
      </c>
      <c r="D8885" t="str">
        <f>HYPERLINK("https://rhld.insurance.arkansas.gov/NPILookup?Npi=1982117941","1982117941")</f>
        <v>1982117941</v>
      </c>
      <c r="E8885" t="s">
        <v>20197</v>
      </c>
    </row>
    <row r="8886" spans="1:5" x14ac:dyDescent="0.25">
      <c r="A8886" t="s">
        <v>1</v>
      </c>
      <c r="B8886" t="s">
        <v>19</v>
      </c>
      <c r="C8886" t="s">
        <v>23490</v>
      </c>
      <c r="D8886" t="str">
        <f>HYPERLINK("https://rhld.insurance.arkansas.gov/NPILookup?Npi=1982128096","1982128096")</f>
        <v>1982128096</v>
      </c>
      <c r="E8886" t="s">
        <v>15773</v>
      </c>
    </row>
    <row r="8887" spans="1:5" x14ac:dyDescent="0.25">
      <c r="A8887" t="s">
        <v>1</v>
      </c>
      <c r="B8887" t="s">
        <v>19</v>
      </c>
      <c r="C8887" t="s">
        <v>23490</v>
      </c>
      <c r="D8887" t="str">
        <f>HYPERLINK("https://rhld.insurance.arkansas.gov/NPILookup?Npi=1982133161","1982133161")</f>
        <v>1982133161</v>
      </c>
      <c r="E8887" t="s">
        <v>11417</v>
      </c>
    </row>
    <row r="8888" spans="1:5" x14ac:dyDescent="0.25">
      <c r="A8888" t="s">
        <v>1</v>
      </c>
      <c r="B8888" t="s">
        <v>19</v>
      </c>
      <c r="C8888" t="s">
        <v>23490</v>
      </c>
      <c r="D8888" t="str">
        <f>HYPERLINK("https://rhld.insurance.arkansas.gov/NPILookup?Npi=1982135000","1982135000")</f>
        <v>1982135000</v>
      </c>
      <c r="E8888" t="s">
        <v>20198</v>
      </c>
    </row>
    <row r="8889" spans="1:5" x14ac:dyDescent="0.25">
      <c r="A8889" t="s">
        <v>1</v>
      </c>
      <c r="B8889" t="s">
        <v>19</v>
      </c>
      <c r="C8889" t="s">
        <v>23490</v>
      </c>
      <c r="D8889" t="str">
        <f>HYPERLINK("https://rhld.insurance.arkansas.gov/NPILookup?Npi=1982139333","1982139333")</f>
        <v>1982139333</v>
      </c>
      <c r="E8889" t="s">
        <v>13812</v>
      </c>
    </row>
    <row r="8890" spans="1:5" x14ac:dyDescent="0.25">
      <c r="A8890" t="s">
        <v>1</v>
      </c>
      <c r="B8890" t="s">
        <v>19</v>
      </c>
      <c r="C8890" t="s">
        <v>23490</v>
      </c>
      <c r="D8890" t="str">
        <f>HYPERLINK("https://rhld.insurance.arkansas.gov/NPILookup?Npi=1982147765","1982147765")</f>
        <v>1982147765</v>
      </c>
      <c r="E8890" t="s">
        <v>13813</v>
      </c>
    </row>
    <row r="8891" spans="1:5" x14ac:dyDescent="0.25">
      <c r="A8891" t="s">
        <v>1</v>
      </c>
      <c r="B8891" t="s">
        <v>19</v>
      </c>
      <c r="C8891" t="s">
        <v>23490</v>
      </c>
      <c r="D8891" t="str">
        <f>HYPERLINK("https://rhld.insurance.arkansas.gov/NPILookup?Npi=1982152153","1982152153")</f>
        <v>1982152153</v>
      </c>
      <c r="E8891" t="s">
        <v>11418</v>
      </c>
    </row>
    <row r="8892" spans="1:5" x14ac:dyDescent="0.25">
      <c r="A8892" t="s">
        <v>1</v>
      </c>
      <c r="B8892" t="s">
        <v>19</v>
      </c>
      <c r="C8892" t="s">
        <v>23490</v>
      </c>
      <c r="D8892" t="str">
        <f>HYPERLINK("https://rhld.insurance.arkansas.gov/NPILookup?Npi=1982152401","1982152401")</f>
        <v>1982152401</v>
      </c>
      <c r="E8892" t="s">
        <v>13814</v>
      </c>
    </row>
    <row r="8893" spans="1:5" x14ac:dyDescent="0.25">
      <c r="A8893" t="s">
        <v>1</v>
      </c>
      <c r="B8893" t="s">
        <v>19</v>
      </c>
      <c r="C8893" t="s">
        <v>23490</v>
      </c>
      <c r="D8893" t="str">
        <f>HYPERLINK("https://rhld.insurance.arkansas.gov/NPILookup?Npi=1982154720","1982154720")</f>
        <v>1982154720</v>
      </c>
      <c r="E8893" t="s">
        <v>15774</v>
      </c>
    </row>
    <row r="8894" spans="1:5" x14ac:dyDescent="0.25">
      <c r="A8894" t="s">
        <v>1</v>
      </c>
      <c r="B8894" t="s">
        <v>19</v>
      </c>
      <c r="C8894" t="s">
        <v>8427</v>
      </c>
      <c r="D8894" t="str">
        <f>HYPERLINK("https://rhld.insurance.arkansas.gov/NPILookup?Npi=1982165692","1982165692")</f>
        <v>1982165692</v>
      </c>
      <c r="E8894" t="s">
        <v>23014</v>
      </c>
    </row>
    <row r="8895" spans="1:5" x14ac:dyDescent="0.25">
      <c r="A8895" t="s">
        <v>1</v>
      </c>
      <c r="B8895" t="s">
        <v>19</v>
      </c>
      <c r="C8895" t="s">
        <v>23490</v>
      </c>
      <c r="D8895" t="str">
        <f>HYPERLINK("https://rhld.insurance.arkansas.gov/NPILookup?Npi=1982171203","1982171203")</f>
        <v>1982171203</v>
      </c>
      <c r="E8895" t="s">
        <v>13815</v>
      </c>
    </row>
    <row r="8896" spans="1:5" x14ac:dyDescent="0.25">
      <c r="A8896" t="s">
        <v>1</v>
      </c>
      <c r="B8896" t="s">
        <v>19</v>
      </c>
      <c r="C8896" t="s">
        <v>23490</v>
      </c>
      <c r="D8896" t="str">
        <f>HYPERLINK("https://rhld.insurance.arkansas.gov/NPILookup?Npi=1982171724","1982171724")</f>
        <v>1982171724</v>
      </c>
      <c r="E8896" t="s">
        <v>17502</v>
      </c>
    </row>
    <row r="8897" spans="1:5" x14ac:dyDescent="0.25">
      <c r="A8897" t="s">
        <v>1</v>
      </c>
      <c r="B8897" t="s">
        <v>19</v>
      </c>
      <c r="C8897" t="s">
        <v>23490</v>
      </c>
      <c r="D8897" t="str">
        <f>HYPERLINK("https://rhld.insurance.arkansas.gov/NPILookup?Npi=1982183885","1982183885")</f>
        <v>1982183885</v>
      </c>
      <c r="E8897" t="s">
        <v>13816</v>
      </c>
    </row>
    <row r="8898" spans="1:5" x14ac:dyDescent="0.25">
      <c r="A8898" t="s">
        <v>1</v>
      </c>
      <c r="B8898" t="s">
        <v>19</v>
      </c>
      <c r="C8898" t="s">
        <v>23490</v>
      </c>
      <c r="D8898" t="str">
        <f>HYPERLINK("https://rhld.insurance.arkansas.gov/NPILookup?Npi=1982203444","1982203444")</f>
        <v>1982203444</v>
      </c>
      <c r="E8898" t="s">
        <v>21700</v>
      </c>
    </row>
    <row r="8899" spans="1:5" x14ac:dyDescent="0.25">
      <c r="A8899" t="s">
        <v>1</v>
      </c>
      <c r="B8899" t="s">
        <v>19</v>
      </c>
      <c r="C8899" t="s">
        <v>23490</v>
      </c>
      <c r="D8899" t="str">
        <f>HYPERLINK("https://rhld.insurance.arkansas.gov/NPILookup?Npi=1982215968","1982215968")</f>
        <v>1982215968</v>
      </c>
      <c r="E8899" t="s">
        <v>18197</v>
      </c>
    </row>
    <row r="8900" spans="1:5" x14ac:dyDescent="0.25">
      <c r="A8900" t="s">
        <v>1</v>
      </c>
      <c r="B8900" t="s">
        <v>19</v>
      </c>
      <c r="C8900" t="s">
        <v>23490</v>
      </c>
      <c r="D8900" t="str">
        <f>HYPERLINK("https://rhld.insurance.arkansas.gov/NPILookup?Npi=1982219663","1982219663")</f>
        <v>1982219663</v>
      </c>
      <c r="E8900" t="s">
        <v>18198</v>
      </c>
    </row>
    <row r="8901" spans="1:5" x14ac:dyDescent="0.25">
      <c r="A8901" t="s">
        <v>1</v>
      </c>
      <c r="B8901" t="s">
        <v>19</v>
      </c>
      <c r="C8901" t="s">
        <v>23490</v>
      </c>
      <c r="D8901" t="str">
        <f>HYPERLINK("https://rhld.insurance.arkansas.gov/NPILookup?Npi=1982228995","1982228995")</f>
        <v>1982228995</v>
      </c>
      <c r="E8901" t="s">
        <v>20199</v>
      </c>
    </row>
    <row r="8902" spans="1:5" x14ac:dyDescent="0.25">
      <c r="A8902" t="s">
        <v>1</v>
      </c>
      <c r="B8902" t="s">
        <v>19</v>
      </c>
      <c r="C8902" t="s">
        <v>23490</v>
      </c>
      <c r="D8902" t="str">
        <f>HYPERLINK("https://rhld.insurance.arkansas.gov/NPILookup?Npi=1982230421","1982230421")</f>
        <v>1982230421</v>
      </c>
      <c r="E8902" t="s">
        <v>20200</v>
      </c>
    </row>
    <row r="8903" spans="1:5" x14ac:dyDescent="0.25">
      <c r="A8903" t="s">
        <v>1</v>
      </c>
      <c r="B8903" t="s">
        <v>19</v>
      </c>
      <c r="C8903" t="s">
        <v>23490</v>
      </c>
      <c r="D8903" t="str">
        <f>HYPERLINK("https://rhld.insurance.arkansas.gov/NPILookup?Npi=1982253266","1982253266")</f>
        <v>1982253266</v>
      </c>
      <c r="E8903" t="s">
        <v>17066</v>
      </c>
    </row>
    <row r="8904" spans="1:5" x14ac:dyDescent="0.25">
      <c r="A8904" t="s">
        <v>1</v>
      </c>
      <c r="B8904" t="s">
        <v>19</v>
      </c>
      <c r="C8904" t="s">
        <v>23490</v>
      </c>
      <c r="D8904" t="str">
        <f>HYPERLINK("https://rhld.insurance.arkansas.gov/NPILookup?Npi=1982277505","1982277505")</f>
        <v>1982277505</v>
      </c>
      <c r="E8904" t="s">
        <v>21701</v>
      </c>
    </row>
    <row r="8905" spans="1:5" x14ac:dyDescent="0.25">
      <c r="A8905" t="s">
        <v>1</v>
      </c>
      <c r="B8905" t="s">
        <v>19</v>
      </c>
      <c r="C8905" t="s">
        <v>23490</v>
      </c>
      <c r="D8905" t="str">
        <f>HYPERLINK("https://rhld.insurance.arkansas.gov/NPILookup?Npi=1982288973","1982288973")</f>
        <v>1982288973</v>
      </c>
      <c r="E8905" t="s">
        <v>18199</v>
      </c>
    </row>
    <row r="8906" spans="1:5" x14ac:dyDescent="0.25">
      <c r="A8906" t="s">
        <v>1</v>
      </c>
      <c r="B8906" t="s">
        <v>19</v>
      </c>
      <c r="C8906" t="s">
        <v>23490</v>
      </c>
      <c r="D8906" t="str">
        <f>HYPERLINK("https://rhld.insurance.arkansas.gov/NPILookup?Npi=1982293676","1982293676")</f>
        <v>1982293676</v>
      </c>
      <c r="E8906" t="s">
        <v>18912</v>
      </c>
    </row>
    <row r="8907" spans="1:5" x14ac:dyDescent="0.25">
      <c r="A8907" t="s">
        <v>1</v>
      </c>
      <c r="B8907" t="s">
        <v>19</v>
      </c>
      <c r="C8907" t="s">
        <v>23490</v>
      </c>
      <c r="D8907" t="str">
        <f>HYPERLINK("https://rhld.insurance.arkansas.gov/NPILookup?Npi=1982319067","1982319067")</f>
        <v>1982319067</v>
      </c>
      <c r="E8907" t="s">
        <v>21702</v>
      </c>
    </row>
    <row r="8908" spans="1:5" x14ac:dyDescent="0.25">
      <c r="A8908" t="s">
        <v>1</v>
      </c>
      <c r="B8908" t="s">
        <v>19</v>
      </c>
      <c r="C8908" t="s">
        <v>23490</v>
      </c>
      <c r="D8908" t="str">
        <f>HYPERLINK("https://rhld.insurance.arkansas.gov/NPILookup?Npi=1982604385","1982604385")</f>
        <v>1982604385</v>
      </c>
      <c r="E8908" t="s">
        <v>3386</v>
      </c>
    </row>
    <row r="8909" spans="1:5" x14ac:dyDescent="0.25">
      <c r="A8909" t="s">
        <v>1</v>
      </c>
      <c r="B8909" t="s">
        <v>19</v>
      </c>
      <c r="C8909" t="s">
        <v>23490</v>
      </c>
      <c r="D8909" t="str">
        <f>HYPERLINK("https://rhld.insurance.arkansas.gov/NPILookup?Npi=1982609004","1982609004")</f>
        <v>1982609004</v>
      </c>
      <c r="E8909" t="s">
        <v>15775</v>
      </c>
    </row>
    <row r="8910" spans="1:5" x14ac:dyDescent="0.25">
      <c r="A8910" t="s">
        <v>1</v>
      </c>
      <c r="B8910" t="s">
        <v>19</v>
      </c>
      <c r="C8910" t="s">
        <v>23490</v>
      </c>
      <c r="D8910" t="str">
        <f>HYPERLINK("https://rhld.insurance.arkansas.gov/NPILookup?Npi=1982613469","1982613469")</f>
        <v>1982613469</v>
      </c>
      <c r="E8910" t="s">
        <v>3387</v>
      </c>
    </row>
    <row r="8911" spans="1:5" x14ac:dyDescent="0.25">
      <c r="A8911" t="s">
        <v>1</v>
      </c>
      <c r="B8911" t="s">
        <v>19</v>
      </c>
      <c r="C8911" t="s">
        <v>23490</v>
      </c>
      <c r="D8911" t="str">
        <f>HYPERLINK("https://rhld.insurance.arkansas.gov/NPILookup?Npi=1982616231","1982616231")</f>
        <v>1982616231</v>
      </c>
      <c r="E8911" t="s">
        <v>3388</v>
      </c>
    </row>
    <row r="8912" spans="1:5" x14ac:dyDescent="0.25">
      <c r="A8912" t="s">
        <v>1</v>
      </c>
      <c r="B8912" t="s">
        <v>19</v>
      </c>
      <c r="C8912" t="s">
        <v>23490</v>
      </c>
      <c r="D8912" t="str">
        <f>HYPERLINK("https://rhld.insurance.arkansas.gov/NPILookup?Npi=1982624748","1982624748")</f>
        <v>1982624748</v>
      </c>
      <c r="E8912" t="s">
        <v>3389</v>
      </c>
    </row>
    <row r="8913" spans="1:5" x14ac:dyDescent="0.25">
      <c r="A8913" t="s">
        <v>1</v>
      </c>
      <c r="B8913" t="s">
        <v>19</v>
      </c>
      <c r="C8913" t="s">
        <v>23490</v>
      </c>
      <c r="D8913" t="str">
        <f>HYPERLINK("https://rhld.insurance.arkansas.gov/NPILookup?Npi=1982630174","1982630174")</f>
        <v>1982630174</v>
      </c>
      <c r="E8913" t="s">
        <v>3390</v>
      </c>
    </row>
    <row r="8914" spans="1:5" x14ac:dyDescent="0.25">
      <c r="A8914" t="s">
        <v>1</v>
      </c>
      <c r="B8914" t="s">
        <v>19</v>
      </c>
      <c r="C8914" t="s">
        <v>23490</v>
      </c>
      <c r="D8914" t="str">
        <f>HYPERLINK("https://rhld.insurance.arkansas.gov/NPILookup?Npi=1982631313","1982631313")</f>
        <v>1982631313</v>
      </c>
      <c r="E8914" t="s">
        <v>3391</v>
      </c>
    </row>
    <row r="8915" spans="1:5" x14ac:dyDescent="0.25">
      <c r="A8915" t="s">
        <v>1</v>
      </c>
      <c r="B8915" t="s">
        <v>19</v>
      </c>
      <c r="C8915" t="s">
        <v>23490</v>
      </c>
      <c r="D8915" t="str">
        <f>HYPERLINK("https://rhld.insurance.arkansas.gov/NPILookup?Npi=1982650925","1982650925")</f>
        <v>1982650925</v>
      </c>
      <c r="E8915" t="s">
        <v>3392</v>
      </c>
    </row>
    <row r="8916" spans="1:5" x14ac:dyDescent="0.25">
      <c r="A8916" t="s">
        <v>1</v>
      </c>
      <c r="B8916" t="s">
        <v>19</v>
      </c>
      <c r="C8916" t="s">
        <v>23490</v>
      </c>
      <c r="D8916" t="str">
        <f>HYPERLINK("https://rhld.insurance.arkansas.gov/NPILookup?Npi=1982652624","1982652624")</f>
        <v>1982652624</v>
      </c>
      <c r="E8916" t="s">
        <v>3393</v>
      </c>
    </row>
    <row r="8917" spans="1:5" x14ac:dyDescent="0.25">
      <c r="A8917" t="s">
        <v>1</v>
      </c>
      <c r="B8917" t="s">
        <v>19</v>
      </c>
      <c r="C8917" t="s">
        <v>23490</v>
      </c>
      <c r="D8917" t="str">
        <f>HYPERLINK("https://rhld.insurance.arkansas.gov/NPILookup?Npi=1982653614","1982653614")</f>
        <v>1982653614</v>
      </c>
      <c r="E8917" t="s">
        <v>15776</v>
      </c>
    </row>
    <row r="8918" spans="1:5" x14ac:dyDescent="0.25">
      <c r="A8918" t="s">
        <v>1</v>
      </c>
      <c r="B8918" t="s">
        <v>19</v>
      </c>
      <c r="C8918" t="s">
        <v>23490</v>
      </c>
      <c r="D8918" t="str">
        <f>HYPERLINK("https://rhld.insurance.arkansas.gov/NPILookup?Npi=1982658506","1982658506")</f>
        <v>1982658506</v>
      </c>
      <c r="E8918" t="s">
        <v>3394</v>
      </c>
    </row>
    <row r="8919" spans="1:5" x14ac:dyDescent="0.25">
      <c r="A8919" t="s">
        <v>1</v>
      </c>
      <c r="B8919" t="s">
        <v>19</v>
      </c>
      <c r="C8919" t="s">
        <v>23490</v>
      </c>
      <c r="D8919" t="str">
        <f>HYPERLINK("https://rhld.insurance.arkansas.gov/NPILookup?Npi=1982660627","1982660627")</f>
        <v>1982660627</v>
      </c>
      <c r="E8919" t="s">
        <v>18913</v>
      </c>
    </row>
    <row r="8920" spans="1:5" x14ac:dyDescent="0.25">
      <c r="A8920" t="s">
        <v>1</v>
      </c>
      <c r="B8920" t="s">
        <v>19</v>
      </c>
      <c r="C8920" t="s">
        <v>23490</v>
      </c>
      <c r="D8920" t="str">
        <f>HYPERLINK("https://rhld.insurance.arkansas.gov/NPILookup?Npi=1982660742","1982660742")</f>
        <v>1982660742</v>
      </c>
      <c r="E8920" t="s">
        <v>3395</v>
      </c>
    </row>
    <row r="8921" spans="1:5" x14ac:dyDescent="0.25">
      <c r="A8921" t="s">
        <v>1</v>
      </c>
      <c r="B8921" t="s">
        <v>19</v>
      </c>
      <c r="C8921" t="s">
        <v>23490</v>
      </c>
      <c r="D8921" t="str">
        <f>HYPERLINK("https://rhld.insurance.arkansas.gov/NPILookup?Npi=1982661757","1982661757")</f>
        <v>1982661757</v>
      </c>
      <c r="E8921" t="s">
        <v>20201</v>
      </c>
    </row>
    <row r="8922" spans="1:5" x14ac:dyDescent="0.25">
      <c r="A8922" t="s">
        <v>1</v>
      </c>
      <c r="B8922" t="s">
        <v>19</v>
      </c>
      <c r="C8922" t="s">
        <v>23490</v>
      </c>
      <c r="D8922" t="str">
        <f>HYPERLINK("https://rhld.insurance.arkansas.gov/NPILookup?Npi=1982662961","1982662961")</f>
        <v>1982662961</v>
      </c>
      <c r="E8922" t="s">
        <v>8955</v>
      </c>
    </row>
    <row r="8923" spans="1:5" x14ac:dyDescent="0.25">
      <c r="A8923" t="s">
        <v>1</v>
      </c>
      <c r="B8923" t="s">
        <v>19</v>
      </c>
      <c r="C8923" t="s">
        <v>23490</v>
      </c>
      <c r="D8923" t="str">
        <f>HYPERLINK("https://rhld.insurance.arkansas.gov/NPILookup?Npi=1982671699","1982671699")</f>
        <v>1982671699</v>
      </c>
      <c r="E8923" t="s">
        <v>522</v>
      </c>
    </row>
    <row r="8924" spans="1:5" x14ac:dyDescent="0.25">
      <c r="A8924" t="s">
        <v>1</v>
      </c>
      <c r="B8924" t="s">
        <v>19</v>
      </c>
      <c r="C8924" t="s">
        <v>23490</v>
      </c>
      <c r="D8924" t="str">
        <f>HYPERLINK("https://rhld.insurance.arkansas.gov/NPILookup?Npi=1982691085","1982691085")</f>
        <v>1982691085</v>
      </c>
      <c r="E8924" t="s">
        <v>3397</v>
      </c>
    </row>
    <row r="8925" spans="1:5" x14ac:dyDescent="0.25">
      <c r="A8925" t="s">
        <v>1</v>
      </c>
      <c r="B8925" t="s">
        <v>19</v>
      </c>
      <c r="C8925" t="s">
        <v>23490</v>
      </c>
      <c r="D8925" t="str">
        <f>HYPERLINK("https://rhld.insurance.arkansas.gov/NPILookup?Npi=1982698965","1982698965")</f>
        <v>1982698965</v>
      </c>
      <c r="E8925" t="s">
        <v>3398</v>
      </c>
    </row>
    <row r="8926" spans="1:5" x14ac:dyDescent="0.25">
      <c r="A8926" t="s">
        <v>1</v>
      </c>
      <c r="B8926" t="s">
        <v>19</v>
      </c>
      <c r="C8926" t="s">
        <v>23490</v>
      </c>
      <c r="D8926" t="str">
        <f>HYPERLINK("https://rhld.insurance.arkansas.gov/NPILookup?Npi=1982701280","1982701280")</f>
        <v>1982701280</v>
      </c>
      <c r="E8926" t="s">
        <v>3399</v>
      </c>
    </row>
    <row r="8927" spans="1:5" x14ac:dyDescent="0.25">
      <c r="A8927" t="s">
        <v>1</v>
      </c>
      <c r="B8927" t="s">
        <v>19</v>
      </c>
      <c r="C8927" t="s">
        <v>23490</v>
      </c>
      <c r="D8927" t="str">
        <f>HYPERLINK("https://rhld.insurance.arkansas.gov/NPILookup?Npi=1982706263","1982706263")</f>
        <v>1982706263</v>
      </c>
      <c r="E8927" t="s">
        <v>15777</v>
      </c>
    </row>
    <row r="8928" spans="1:5" x14ac:dyDescent="0.25">
      <c r="A8928" t="s">
        <v>1</v>
      </c>
      <c r="B8928" t="s">
        <v>19</v>
      </c>
      <c r="C8928" t="s">
        <v>23490</v>
      </c>
      <c r="D8928" t="str">
        <f>HYPERLINK("https://rhld.insurance.arkansas.gov/NPILookup?Npi=1982713483","1982713483")</f>
        <v>1982713483</v>
      </c>
      <c r="E8928" t="s">
        <v>3400</v>
      </c>
    </row>
    <row r="8929" spans="1:5" x14ac:dyDescent="0.25">
      <c r="A8929" t="s">
        <v>1</v>
      </c>
      <c r="B8929" t="s">
        <v>19</v>
      </c>
      <c r="C8929" t="s">
        <v>23490</v>
      </c>
      <c r="D8929" t="str">
        <f>HYPERLINK("https://rhld.insurance.arkansas.gov/NPILookup?Npi=1982713657","1982713657")</f>
        <v>1982713657</v>
      </c>
      <c r="E8929" t="s">
        <v>3401</v>
      </c>
    </row>
    <row r="8930" spans="1:5" x14ac:dyDescent="0.25">
      <c r="A8930" t="s">
        <v>1</v>
      </c>
      <c r="B8930" t="s">
        <v>19</v>
      </c>
      <c r="C8930" t="s">
        <v>23490</v>
      </c>
      <c r="D8930" t="str">
        <f>HYPERLINK("https://rhld.insurance.arkansas.gov/NPILookup?Npi=1982726444","1982726444")</f>
        <v>1982726444</v>
      </c>
      <c r="E8930" t="s">
        <v>3402</v>
      </c>
    </row>
    <row r="8931" spans="1:5" x14ac:dyDescent="0.25">
      <c r="A8931" t="s">
        <v>1</v>
      </c>
      <c r="B8931" t="s">
        <v>19</v>
      </c>
      <c r="C8931" t="s">
        <v>23490</v>
      </c>
      <c r="D8931" t="str">
        <f>HYPERLINK("https://rhld.insurance.arkansas.gov/NPILookup?Npi=1982727665","1982727665")</f>
        <v>1982727665</v>
      </c>
      <c r="E8931" t="s">
        <v>15778</v>
      </c>
    </row>
    <row r="8932" spans="1:5" x14ac:dyDescent="0.25">
      <c r="A8932" t="s">
        <v>1</v>
      </c>
      <c r="B8932" t="s">
        <v>19</v>
      </c>
      <c r="C8932" t="s">
        <v>23490</v>
      </c>
      <c r="D8932" t="str">
        <f>HYPERLINK("https://rhld.insurance.arkansas.gov/NPILookup?Npi=1982728853","1982728853")</f>
        <v>1982728853</v>
      </c>
      <c r="E8932" t="s">
        <v>8956</v>
      </c>
    </row>
    <row r="8933" spans="1:5" x14ac:dyDescent="0.25">
      <c r="A8933" t="s">
        <v>1</v>
      </c>
      <c r="B8933" t="s">
        <v>19</v>
      </c>
      <c r="C8933" t="s">
        <v>23490</v>
      </c>
      <c r="D8933" t="str">
        <f>HYPERLINK("https://rhld.insurance.arkansas.gov/NPILookup?Npi=1982766721","1982766721")</f>
        <v>1982766721</v>
      </c>
      <c r="E8933" t="s">
        <v>15779</v>
      </c>
    </row>
    <row r="8934" spans="1:5" x14ac:dyDescent="0.25">
      <c r="A8934" t="s">
        <v>1</v>
      </c>
      <c r="B8934" t="s">
        <v>19</v>
      </c>
      <c r="C8934" t="s">
        <v>23490</v>
      </c>
      <c r="D8934" t="str">
        <f>HYPERLINK("https://rhld.insurance.arkansas.gov/NPILookup?Npi=1982830915","1982830915")</f>
        <v>1982830915</v>
      </c>
      <c r="E8934" t="s">
        <v>3403</v>
      </c>
    </row>
    <row r="8935" spans="1:5" x14ac:dyDescent="0.25">
      <c r="A8935" t="s">
        <v>1</v>
      </c>
      <c r="B8935" t="s">
        <v>19</v>
      </c>
      <c r="C8935" t="s">
        <v>23490</v>
      </c>
      <c r="D8935" t="str">
        <f>HYPERLINK("https://rhld.insurance.arkansas.gov/NPILookup?Npi=1982833489","1982833489")</f>
        <v>1982833489</v>
      </c>
      <c r="E8935" t="s">
        <v>3404</v>
      </c>
    </row>
    <row r="8936" spans="1:5" x14ac:dyDescent="0.25">
      <c r="A8936" t="s">
        <v>1</v>
      </c>
      <c r="B8936" t="s">
        <v>19</v>
      </c>
      <c r="C8936" t="s">
        <v>23490</v>
      </c>
      <c r="D8936" t="str">
        <f>HYPERLINK("https://rhld.insurance.arkansas.gov/NPILookup?Npi=1982845939","1982845939")</f>
        <v>1982845939</v>
      </c>
      <c r="E8936" t="s">
        <v>3405</v>
      </c>
    </row>
    <row r="8937" spans="1:5" x14ac:dyDescent="0.25">
      <c r="A8937" t="s">
        <v>1</v>
      </c>
      <c r="B8937" t="s">
        <v>19</v>
      </c>
      <c r="C8937" t="s">
        <v>23490</v>
      </c>
      <c r="D8937" t="str">
        <f>HYPERLINK("https://rhld.insurance.arkansas.gov/NPILookup?Npi=1982859351","1982859351")</f>
        <v>1982859351</v>
      </c>
      <c r="E8937" t="s">
        <v>3406</v>
      </c>
    </row>
    <row r="8938" spans="1:5" x14ac:dyDescent="0.25">
      <c r="A8938" t="s">
        <v>1</v>
      </c>
      <c r="B8938" t="s">
        <v>19</v>
      </c>
      <c r="C8938" t="s">
        <v>23490</v>
      </c>
      <c r="D8938" t="str">
        <f>HYPERLINK("https://rhld.insurance.arkansas.gov/NPILookup?Npi=1982860060","1982860060")</f>
        <v>1982860060</v>
      </c>
      <c r="E8938" t="s">
        <v>2597</v>
      </c>
    </row>
    <row r="8939" spans="1:5" x14ac:dyDescent="0.25">
      <c r="A8939" t="s">
        <v>1</v>
      </c>
      <c r="B8939" t="s">
        <v>19</v>
      </c>
      <c r="C8939" t="s">
        <v>23490</v>
      </c>
      <c r="D8939" t="str">
        <f>HYPERLINK("https://rhld.insurance.arkansas.gov/NPILookup?Npi=1982861621","1982861621")</f>
        <v>1982861621</v>
      </c>
      <c r="E8939" t="s">
        <v>18914</v>
      </c>
    </row>
    <row r="8940" spans="1:5" x14ac:dyDescent="0.25">
      <c r="A8940" t="s">
        <v>1</v>
      </c>
      <c r="B8940" t="s">
        <v>19</v>
      </c>
      <c r="C8940" t="s">
        <v>23490</v>
      </c>
      <c r="D8940" t="str">
        <f>HYPERLINK("https://rhld.insurance.arkansas.gov/NPILookup?Npi=1982890836","1982890836")</f>
        <v>1982890836</v>
      </c>
      <c r="E8940" t="s">
        <v>3407</v>
      </c>
    </row>
    <row r="8941" spans="1:5" x14ac:dyDescent="0.25">
      <c r="A8941" t="s">
        <v>1</v>
      </c>
      <c r="B8941" t="s">
        <v>19</v>
      </c>
      <c r="C8941" t="s">
        <v>23490</v>
      </c>
      <c r="D8941" t="str">
        <f>HYPERLINK("https://rhld.insurance.arkansas.gov/NPILookup?Npi=1982895363","1982895363")</f>
        <v>1982895363</v>
      </c>
      <c r="E8941" t="s">
        <v>20202</v>
      </c>
    </row>
    <row r="8942" spans="1:5" x14ac:dyDescent="0.25">
      <c r="A8942" t="s">
        <v>1</v>
      </c>
      <c r="B8942" t="s">
        <v>19</v>
      </c>
      <c r="C8942" t="s">
        <v>23490</v>
      </c>
      <c r="D8942" t="str">
        <f>HYPERLINK("https://rhld.insurance.arkansas.gov/NPILookup?Npi=1982898573","1982898573")</f>
        <v>1982898573</v>
      </c>
      <c r="E8942" t="s">
        <v>8957</v>
      </c>
    </row>
    <row r="8943" spans="1:5" x14ac:dyDescent="0.25">
      <c r="A8943" t="s">
        <v>1</v>
      </c>
      <c r="B8943" t="s">
        <v>19</v>
      </c>
      <c r="C8943" t="s">
        <v>23490</v>
      </c>
      <c r="D8943" t="str">
        <f>HYPERLINK("https://rhld.insurance.arkansas.gov/NPILookup?Npi=1982902383","1982902383")</f>
        <v>1982902383</v>
      </c>
      <c r="E8943" t="s">
        <v>20203</v>
      </c>
    </row>
    <row r="8944" spans="1:5" x14ac:dyDescent="0.25">
      <c r="A8944" t="s">
        <v>1</v>
      </c>
      <c r="B8944" t="s">
        <v>19</v>
      </c>
      <c r="C8944" t="s">
        <v>23490</v>
      </c>
      <c r="D8944" t="str">
        <f>HYPERLINK("https://rhld.insurance.arkansas.gov/NPILookup?Npi=1982905444","1982905444")</f>
        <v>1982905444</v>
      </c>
      <c r="E8944" t="s">
        <v>3408</v>
      </c>
    </row>
    <row r="8945" spans="1:5" x14ac:dyDescent="0.25">
      <c r="A8945" t="s">
        <v>1</v>
      </c>
      <c r="B8945" t="s">
        <v>19</v>
      </c>
      <c r="C8945" t="s">
        <v>23490</v>
      </c>
      <c r="D8945" t="str">
        <f>HYPERLINK("https://rhld.insurance.arkansas.gov/NPILookup?Npi=1982912614","1982912614")</f>
        <v>1982912614</v>
      </c>
      <c r="E8945" t="s">
        <v>3409</v>
      </c>
    </row>
    <row r="8946" spans="1:5" x14ac:dyDescent="0.25">
      <c r="A8946" t="s">
        <v>1</v>
      </c>
      <c r="B8946" t="s">
        <v>19</v>
      </c>
      <c r="C8946" t="s">
        <v>23490</v>
      </c>
      <c r="D8946" t="str">
        <f>HYPERLINK("https://rhld.insurance.arkansas.gov/NPILookup?Npi=1982915138","1982915138")</f>
        <v>1982915138</v>
      </c>
      <c r="E8946" t="s">
        <v>11420</v>
      </c>
    </row>
    <row r="8947" spans="1:5" x14ac:dyDescent="0.25">
      <c r="A8947" t="s">
        <v>1</v>
      </c>
      <c r="B8947" t="s">
        <v>19</v>
      </c>
      <c r="C8947" t="s">
        <v>23490</v>
      </c>
      <c r="D8947" t="str">
        <f>HYPERLINK("https://rhld.insurance.arkansas.gov/NPILookup?Npi=1982916896","1982916896")</f>
        <v>1982916896</v>
      </c>
      <c r="E8947" t="s">
        <v>3410</v>
      </c>
    </row>
    <row r="8948" spans="1:5" x14ac:dyDescent="0.25">
      <c r="A8948" t="s">
        <v>1</v>
      </c>
      <c r="B8948" t="s">
        <v>19</v>
      </c>
      <c r="C8948" t="s">
        <v>23490</v>
      </c>
      <c r="D8948" t="str">
        <f>HYPERLINK("https://rhld.insurance.arkansas.gov/NPILookup?Npi=1982920799","1982920799")</f>
        <v>1982920799</v>
      </c>
      <c r="E8948" t="s">
        <v>3411</v>
      </c>
    </row>
    <row r="8949" spans="1:5" x14ac:dyDescent="0.25">
      <c r="A8949" t="s">
        <v>1</v>
      </c>
      <c r="B8949" t="s">
        <v>19</v>
      </c>
      <c r="C8949" t="s">
        <v>23490</v>
      </c>
      <c r="D8949" t="str">
        <f>HYPERLINK("https://rhld.insurance.arkansas.gov/NPILookup?Npi=1982940516","1982940516")</f>
        <v>1982940516</v>
      </c>
      <c r="E8949" t="s">
        <v>3413</v>
      </c>
    </row>
    <row r="8950" spans="1:5" x14ac:dyDescent="0.25">
      <c r="A8950" t="s">
        <v>1</v>
      </c>
      <c r="B8950" t="s">
        <v>19</v>
      </c>
      <c r="C8950" t="s">
        <v>23490</v>
      </c>
      <c r="D8950" t="str">
        <f>HYPERLINK("https://rhld.insurance.arkansas.gov/NPILookup?Npi=1982943502","1982943502")</f>
        <v>1982943502</v>
      </c>
      <c r="E8950" t="s">
        <v>15780</v>
      </c>
    </row>
    <row r="8951" spans="1:5" x14ac:dyDescent="0.25">
      <c r="A8951" t="s">
        <v>1</v>
      </c>
      <c r="B8951" t="s">
        <v>19</v>
      </c>
      <c r="C8951" t="s">
        <v>23490</v>
      </c>
      <c r="D8951" t="str">
        <f>HYPERLINK("https://rhld.insurance.arkansas.gov/NPILookup?Npi=1982948287","1982948287")</f>
        <v>1982948287</v>
      </c>
      <c r="E8951" t="s">
        <v>3414</v>
      </c>
    </row>
    <row r="8952" spans="1:5" x14ac:dyDescent="0.25">
      <c r="A8952" t="s">
        <v>1</v>
      </c>
      <c r="B8952" t="s">
        <v>19</v>
      </c>
      <c r="C8952" t="s">
        <v>23490</v>
      </c>
      <c r="D8952" t="str">
        <f>HYPERLINK("https://rhld.insurance.arkansas.gov/NPILookup?Npi=1982952511","1982952511")</f>
        <v>1982952511</v>
      </c>
      <c r="E8952" t="s">
        <v>15781</v>
      </c>
    </row>
    <row r="8953" spans="1:5" x14ac:dyDescent="0.25">
      <c r="A8953" t="s">
        <v>1</v>
      </c>
      <c r="B8953" t="s">
        <v>19</v>
      </c>
      <c r="C8953" t="s">
        <v>23490</v>
      </c>
      <c r="D8953" t="str">
        <f>HYPERLINK("https://rhld.insurance.arkansas.gov/NPILookup?Npi=1982953097","1982953097")</f>
        <v>1982953097</v>
      </c>
      <c r="E8953" t="s">
        <v>3415</v>
      </c>
    </row>
    <row r="8954" spans="1:5" x14ac:dyDescent="0.25">
      <c r="A8954" t="s">
        <v>1</v>
      </c>
      <c r="B8954" t="s">
        <v>19</v>
      </c>
      <c r="C8954" t="s">
        <v>23490</v>
      </c>
      <c r="D8954" t="str">
        <f>HYPERLINK("https://rhld.insurance.arkansas.gov/NPILookup?Npi=1982961124","1982961124")</f>
        <v>1982961124</v>
      </c>
      <c r="E8954" t="s">
        <v>3416</v>
      </c>
    </row>
    <row r="8955" spans="1:5" x14ac:dyDescent="0.25">
      <c r="A8955" t="s">
        <v>1</v>
      </c>
      <c r="B8955" t="s">
        <v>19</v>
      </c>
      <c r="C8955" t="s">
        <v>23490</v>
      </c>
      <c r="D8955" t="str">
        <f>HYPERLINK("https://rhld.insurance.arkansas.gov/NPILookup?Npi=1982961926","1982961926")</f>
        <v>1982961926</v>
      </c>
      <c r="E8955" t="s">
        <v>3417</v>
      </c>
    </row>
    <row r="8956" spans="1:5" x14ac:dyDescent="0.25">
      <c r="A8956" t="s">
        <v>1</v>
      </c>
      <c r="B8956" t="s">
        <v>19</v>
      </c>
      <c r="C8956" t="s">
        <v>23490</v>
      </c>
      <c r="D8956" t="str">
        <f>HYPERLINK("https://rhld.insurance.arkansas.gov/NPILookup?Npi=1982978532","1982978532")</f>
        <v>1982978532</v>
      </c>
      <c r="E8956" t="s">
        <v>3418</v>
      </c>
    </row>
    <row r="8957" spans="1:5" x14ac:dyDescent="0.25">
      <c r="A8957" t="s">
        <v>1</v>
      </c>
      <c r="B8957" t="s">
        <v>19</v>
      </c>
      <c r="C8957" t="s">
        <v>23490</v>
      </c>
      <c r="D8957" t="str">
        <f>HYPERLINK("https://rhld.insurance.arkansas.gov/NPILookup?Npi=1982982542","1982982542")</f>
        <v>1982982542</v>
      </c>
      <c r="E8957" t="s">
        <v>20204</v>
      </c>
    </row>
    <row r="8958" spans="1:5" x14ac:dyDescent="0.25">
      <c r="A8958" t="s">
        <v>1</v>
      </c>
      <c r="B8958" t="s">
        <v>19</v>
      </c>
      <c r="C8958" t="s">
        <v>23490</v>
      </c>
      <c r="D8958" t="str">
        <f>HYPERLINK("https://rhld.insurance.arkansas.gov/NPILookup?Npi=1982990214","1982990214")</f>
        <v>1982990214</v>
      </c>
      <c r="E8958" t="s">
        <v>15782</v>
      </c>
    </row>
    <row r="8959" spans="1:5" x14ac:dyDescent="0.25">
      <c r="A8959" t="s">
        <v>1</v>
      </c>
      <c r="B8959" t="s">
        <v>19</v>
      </c>
      <c r="C8959" t="s">
        <v>23490</v>
      </c>
      <c r="D8959" t="str">
        <f>HYPERLINK("https://rhld.insurance.arkansas.gov/NPILookup?Npi=1982990396","1982990396")</f>
        <v>1982990396</v>
      </c>
      <c r="E8959" t="s">
        <v>12945</v>
      </c>
    </row>
    <row r="8960" spans="1:5" x14ac:dyDescent="0.25">
      <c r="A8960" t="s">
        <v>1</v>
      </c>
      <c r="B8960" t="s">
        <v>19</v>
      </c>
      <c r="C8960" t="s">
        <v>23490</v>
      </c>
      <c r="D8960" t="str">
        <f>HYPERLINK("https://rhld.insurance.arkansas.gov/NPILookup?Npi=1982992830","1982992830")</f>
        <v>1982992830</v>
      </c>
      <c r="E8960" t="s">
        <v>3420</v>
      </c>
    </row>
    <row r="8961" spans="1:5" x14ac:dyDescent="0.25">
      <c r="A8961" t="s">
        <v>1</v>
      </c>
      <c r="B8961" t="s">
        <v>19</v>
      </c>
      <c r="C8961" t="s">
        <v>23490</v>
      </c>
      <c r="D8961" t="str">
        <f>HYPERLINK("https://rhld.insurance.arkansas.gov/NPILookup?Npi=1982999314","1982999314")</f>
        <v>1982999314</v>
      </c>
      <c r="E8961" t="s">
        <v>15783</v>
      </c>
    </row>
    <row r="8962" spans="1:5" x14ac:dyDescent="0.25">
      <c r="A8962" t="s">
        <v>1</v>
      </c>
      <c r="B8962" t="s">
        <v>19</v>
      </c>
      <c r="C8962" t="s">
        <v>23490</v>
      </c>
      <c r="D8962" t="str">
        <f>HYPERLINK("https://rhld.insurance.arkansas.gov/NPILookup?Npi=1992007447","1992007447")</f>
        <v>1992007447</v>
      </c>
      <c r="E8962" t="s">
        <v>3421</v>
      </c>
    </row>
    <row r="8963" spans="1:5" x14ac:dyDescent="0.25">
      <c r="A8963" t="s">
        <v>1</v>
      </c>
      <c r="B8963" t="s">
        <v>19</v>
      </c>
      <c r="C8963" t="s">
        <v>23490</v>
      </c>
      <c r="D8963" t="str">
        <f>HYPERLINK("https://rhld.insurance.arkansas.gov/NPILookup?Npi=1992016638","1992016638")</f>
        <v>1992016638</v>
      </c>
      <c r="E8963" t="s">
        <v>3422</v>
      </c>
    </row>
    <row r="8964" spans="1:5" x14ac:dyDescent="0.25">
      <c r="A8964" t="s">
        <v>1</v>
      </c>
      <c r="B8964" t="s">
        <v>19</v>
      </c>
      <c r="C8964" t="s">
        <v>23490</v>
      </c>
      <c r="D8964" t="str">
        <f>HYPERLINK("https://rhld.insurance.arkansas.gov/NPILookup?Npi=1992024491","1992024491")</f>
        <v>1992024491</v>
      </c>
      <c r="E8964" t="s">
        <v>21703</v>
      </c>
    </row>
    <row r="8965" spans="1:5" x14ac:dyDescent="0.25">
      <c r="A8965" t="s">
        <v>1</v>
      </c>
      <c r="B8965" t="s">
        <v>19</v>
      </c>
      <c r="C8965" t="s">
        <v>23490</v>
      </c>
      <c r="D8965" t="str">
        <f>HYPERLINK("https://rhld.insurance.arkansas.gov/NPILookup?Npi=1992051213","1992051213")</f>
        <v>1992051213</v>
      </c>
      <c r="E8965" t="s">
        <v>3424</v>
      </c>
    </row>
    <row r="8966" spans="1:5" x14ac:dyDescent="0.25">
      <c r="A8966" t="s">
        <v>1</v>
      </c>
      <c r="B8966" t="s">
        <v>19</v>
      </c>
      <c r="C8966" t="s">
        <v>23490</v>
      </c>
      <c r="D8966" t="str">
        <f>HYPERLINK("https://rhld.insurance.arkansas.gov/NPILookup?Npi=1992059273","1992059273")</f>
        <v>1992059273</v>
      </c>
      <c r="E8966" t="s">
        <v>21704</v>
      </c>
    </row>
    <row r="8967" spans="1:5" x14ac:dyDescent="0.25">
      <c r="A8967" t="s">
        <v>1</v>
      </c>
      <c r="B8967" t="s">
        <v>19</v>
      </c>
      <c r="C8967" t="s">
        <v>23490</v>
      </c>
      <c r="D8967" t="str">
        <f>HYPERLINK("https://rhld.insurance.arkansas.gov/NPILookup?Npi=1992062517","1992062517")</f>
        <v>1992062517</v>
      </c>
      <c r="E8967" t="s">
        <v>11421</v>
      </c>
    </row>
    <row r="8968" spans="1:5" x14ac:dyDescent="0.25">
      <c r="A8968" t="s">
        <v>1</v>
      </c>
      <c r="B8968" t="s">
        <v>19</v>
      </c>
      <c r="C8968" t="s">
        <v>23490</v>
      </c>
      <c r="D8968" t="str">
        <f>HYPERLINK("https://rhld.insurance.arkansas.gov/NPILookup?Npi=1992068563","1992068563")</f>
        <v>1992068563</v>
      </c>
      <c r="E8968" t="s">
        <v>3425</v>
      </c>
    </row>
    <row r="8969" spans="1:5" x14ac:dyDescent="0.25">
      <c r="A8969" t="s">
        <v>1</v>
      </c>
      <c r="B8969" t="s">
        <v>19</v>
      </c>
      <c r="C8969" t="s">
        <v>23490</v>
      </c>
      <c r="D8969" t="str">
        <f>HYPERLINK("https://rhld.insurance.arkansas.gov/NPILookup?Npi=1992110860","1992110860")</f>
        <v>1992110860</v>
      </c>
      <c r="E8969" t="s">
        <v>3426</v>
      </c>
    </row>
    <row r="8970" spans="1:5" x14ac:dyDescent="0.25">
      <c r="A8970" t="s">
        <v>1</v>
      </c>
      <c r="B8970" t="s">
        <v>19</v>
      </c>
      <c r="C8970" t="s">
        <v>23490</v>
      </c>
      <c r="D8970" t="str">
        <f>HYPERLINK("https://rhld.insurance.arkansas.gov/NPILookup?Npi=1992111546","1992111546")</f>
        <v>1992111546</v>
      </c>
      <c r="E8970" t="s">
        <v>3427</v>
      </c>
    </row>
    <row r="8971" spans="1:5" x14ac:dyDescent="0.25">
      <c r="A8971" t="s">
        <v>1</v>
      </c>
      <c r="B8971" t="s">
        <v>19</v>
      </c>
      <c r="C8971" t="s">
        <v>23490</v>
      </c>
      <c r="D8971" t="str">
        <f>HYPERLINK("https://rhld.insurance.arkansas.gov/NPILookup?Npi=1992113294","1992113294")</f>
        <v>1992113294</v>
      </c>
      <c r="E8971" t="s">
        <v>3428</v>
      </c>
    </row>
    <row r="8972" spans="1:5" x14ac:dyDescent="0.25">
      <c r="A8972" t="s">
        <v>1</v>
      </c>
      <c r="B8972" t="s">
        <v>19</v>
      </c>
      <c r="C8972" t="s">
        <v>23490</v>
      </c>
      <c r="D8972" t="str">
        <f>HYPERLINK("https://rhld.insurance.arkansas.gov/NPILookup?Npi=1992115646","1992115646")</f>
        <v>1992115646</v>
      </c>
      <c r="E8972" t="s">
        <v>8958</v>
      </c>
    </row>
    <row r="8973" spans="1:5" x14ac:dyDescent="0.25">
      <c r="A8973" t="s">
        <v>1</v>
      </c>
      <c r="B8973" t="s">
        <v>19</v>
      </c>
      <c r="C8973" t="s">
        <v>23490</v>
      </c>
      <c r="D8973" t="str">
        <f>HYPERLINK("https://rhld.insurance.arkansas.gov/NPILookup?Npi=1992116396","1992116396")</f>
        <v>1992116396</v>
      </c>
      <c r="E8973" t="s">
        <v>11422</v>
      </c>
    </row>
    <row r="8974" spans="1:5" x14ac:dyDescent="0.25">
      <c r="A8974" t="s">
        <v>1</v>
      </c>
      <c r="B8974" t="s">
        <v>19</v>
      </c>
      <c r="C8974" t="s">
        <v>23490</v>
      </c>
      <c r="D8974" t="str">
        <f>HYPERLINK("https://rhld.insurance.arkansas.gov/NPILookup?Npi=1992120158","1992120158")</f>
        <v>1992120158</v>
      </c>
      <c r="E8974" t="s">
        <v>15784</v>
      </c>
    </row>
    <row r="8975" spans="1:5" x14ac:dyDescent="0.25">
      <c r="A8975" t="s">
        <v>1</v>
      </c>
      <c r="B8975" t="s">
        <v>19</v>
      </c>
      <c r="C8975" t="s">
        <v>23490</v>
      </c>
      <c r="D8975" t="str">
        <f>HYPERLINK("https://rhld.insurance.arkansas.gov/NPILookup?Npi=1992121834","1992121834")</f>
        <v>1992121834</v>
      </c>
      <c r="E8975" t="s">
        <v>3429</v>
      </c>
    </row>
    <row r="8976" spans="1:5" x14ac:dyDescent="0.25">
      <c r="A8976" t="s">
        <v>1</v>
      </c>
      <c r="B8976" t="s">
        <v>19</v>
      </c>
      <c r="C8976" t="s">
        <v>23490</v>
      </c>
      <c r="D8976" t="str">
        <f>HYPERLINK("https://rhld.insurance.arkansas.gov/NPILookup?Npi=1992125595","1992125595")</f>
        <v>1992125595</v>
      </c>
      <c r="E8976" t="s">
        <v>20205</v>
      </c>
    </row>
    <row r="8977" spans="1:5" x14ac:dyDescent="0.25">
      <c r="A8977" t="s">
        <v>1</v>
      </c>
      <c r="B8977" t="s">
        <v>19</v>
      </c>
      <c r="C8977" t="s">
        <v>23490</v>
      </c>
      <c r="D8977" t="str">
        <f>HYPERLINK("https://rhld.insurance.arkansas.gov/NPILookup?Npi=1992130777","1992130777")</f>
        <v>1992130777</v>
      </c>
      <c r="E8977" t="s">
        <v>18916</v>
      </c>
    </row>
    <row r="8978" spans="1:5" x14ac:dyDescent="0.25">
      <c r="A8978" t="s">
        <v>1</v>
      </c>
      <c r="B8978" t="s">
        <v>19</v>
      </c>
      <c r="C8978" t="s">
        <v>23490</v>
      </c>
      <c r="D8978" t="str">
        <f>HYPERLINK("https://rhld.insurance.arkansas.gov/NPILookup?Npi=1992134597","1992134597")</f>
        <v>1992134597</v>
      </c>
      <c r="E8978" t="s">
        <v>15785</v>
      </c>
    </row>
    <row r="8979" spans="1:5" x14ac:dyDescent="0.25">
      <c r="A8979" t="s">
        <v>1</v>
      </c>
      <c r="B8979" t="s">
        <v>19</v>
      </c>
      <c r="C8979" t="s">
        <v>23490</v>
      </c>
      <c r="D8979" t="str">
        <f>HYPERLINK("https://rhld.insurance.arkansas.gov/NPILookup?Npi=1992139976","1992139976")</f>
        <v>1992139976</v>
      </c>
      <c r="E8979" t="s">
        <v>15786</v>
      </c>
    </row>
    <row r="8980" spans="1:5" x14ac:dyDescent="0.25">
      <c r="A8980" t="s">
        <v>1</v>
      </c>
      <c r="B8980" t="s">
        <v>19</v>
      </c>
      <c r="C8980" t="s">
        <v>23490</v>
      </c>
      <c r="D8980" t="str">
        <f>HYPERLINK("https://rhld.insurance.arkansas.gov/NPILookup?Npi=1992146088","1992146088")</f>
        <v>1992146088</v>
      </c>
      <c r="E8980" t="s">
        <v>20206</v>
      </c>
    </row>
    <row r="8981" spans="1:5" x14ac:dyDescent="0.25">
      <c r="A8981" t="s">
        <v>1</v>
      </c>
      <c r="B8981" t="s">
        <v>19</v>
      </c>
      <c r="C8981" t="s">
        <v>23490</v>
      </c>
      <c r="D8981" t="str">
        <f>HYPERLINK("https://rhld.insurance.arkansas.gov/NPILookup?Npi=1992150858","1992150858")</f>
        <v>1992150858</v>
      </c>
      <c r="E8981" t="s">
        <v>15787</v>
      </c>
    </row>
    <row r="8982" spans="1:5" x14ac:dyDescent="0.25">
      <c r="A8982" t="s">
        <v>1</v>
      </c>
      <c r="B8982" t="s">
        <v>19</v>
      </c>
      <c r="C8982" t="s">
        <v>23490</v>
      </c>
      <c r="D8982" t="str">
        <f>HYPERLINK("https://rhld.insurance.arkansas.gov/NPILookup?Npi=1992152284","1992152284")</f>
        <v>1992152284</v>
      </c>
      <c r="E8982" t="s">
        <v>15788</v>
      </c>
    </row>
    <row r="8983" spans="1:5" x14ac:dyDescent="0.25">
      <c r="A8983" t="s">
        <v>1</v>
      </c>
      <c r="B8983" t="s">
        <v>19</v>
      </c>
      <c r="C8983" t="s">
        <v>23490</v>
      </c>
      <c r="D8983" t="str">
        <f>HYPERLINK("https://rhld.insurance.arkansas.gov/NPILookup?Npi=1992161301","1992161301")</f>
        <v>1992161301</v>
      </c>
      <c r="E8983" t="s">
        <v>13817</v>
      </c>
    </row>
    <row r="8984" spans="1:5" x14ac:dyDescent="0.25">
      <c r="A8984" t="s">
        <v>1</v>
      </c>
      <c r="B8984" t="s">
        <v>19</v>
      </c>
      <c r="C8984" t="s">
        <v>23490</v>
      </c>
      <c r="D8984" t="str">
        <f>HYPERLINK("https://rhld.insurance.arkansas.gov/NPILookup?Npi=1992162523","1992162523")</f>
        <v>1992162523</v>
      </c>
      <c r="E8984" t="s">
        <v>3251</v>
      </c>
    </row>
    <row r="8985" spans="1:5" x14ac:dyDescent="0.25">
      <c r="A8985" t="s">
        <v>1</v>
      </c>
      <c r="B8985" t="s">
        <v>19</v>
      </c>
      <c r="C8985" t="s">
        <v>23490</v>
      </c>
      <c r="D8985" t="str">
        <f>HYPERLINK("https://rhld.insurance.arkansas.gov/NPILookup?Npi=1992181051","1992181051")</f>
        <v>1992181051</v>
      </c>
      <c r="E8985" t="s">
        <v>18200</v>
      </c>
    </row>
    <row r="8986" spans="1:5" x14ac:dyDescent="0.25">
      <c r="A8986" t="s">
        <v>1</v>
      </c>
      <c r="B8986" t="s">
        <v>19</v>
      </c>
      <c r="C8986" t="s">
        <v>23490</v>
      </c>
      <c r="D8986" t="str">
        <f>HYPERLINK("https://rhld.insurance.arkansas.gov/NPILookup?Npi=1992192769","1992192769")</f>
        <v>1992192769</v>
      </c>
      <c r="E8986" t="s">
        <v>15789</v>
      </c>
    </row>
    <row r="8987" spans="1:5" x14ac:dyDescent="0.25">
      <c r="A8987" t="s">
        <v>1</v>
      </c>
      <c r="B8987" t="s">
        <v>19</v>
      </c>
      <c r="C8987" t="s">
        <v>23490</v>
      </c>
      <c r="D8987" t="str">
        <f>HYPERLINK("https://rhld.insurance.arkansas.gov/NPILookup?Npi=1992196778","1992196778")</f>
        <v>1992196778</v>
      </c>
      <c r="E8987" t="s">
        <v>15790</v>
      </c>
    </row>
    <row r="8988" spans="1:5" x14ac:dyDescent="0.25">
      <c r="A8988" t="s">
        <v>1</v>
      </c>
      <c r="B8988" t="s">
        <v>19</v>
      </c>
      <c r="C8988" t="s">
        <v>23490</v>
      </c>
      <c r="D8988" t="str">
        <f>HYPERLINK("https://rhld.insurance.arkansas.gov/NPILookup?Npi=1992211510","1992211510")</f>
        <v>1992211510</v>
      </c>
      <c r="E8988" t="s">
        <v>8519</v>
      </c>
    </row>
    <row r="8989" spans="1:5" x14ac:dyDescent="0.25">
      <c r="A8989" t="s">
        <v>1</v>
      </c>
      <c r="B8989" t="s">
        <v>19</v>
      </c>
      <c r="C8989" t="s">
        <v>23490</v>
      </c>
      <c r="D8989" t="str">
        <f>HYPERLINK("https://rhld.insurance.arkansas.gov/NPILookup?Npi=1992215354","1992215354")</f>
        <v>1992215354</v>
      </c>
      <c r="E8989" t="s">
        <v>12946</v>
      </c>
    </row>
    <row r="8990" spans="1:5" x14ac:dyDescent="0.25">
      <c r="A8990" t="s">
        <v>1</v>
      </c>
      <c r="B8990" t="s">
        <v>19</v>
      </c>
      <c r="C8990" t="s">
        <v>23490</v>
      </c>
      <c r="D8990" t="str">
        <f>HYPERLINK("https://rhld.insurance.arkansas.gov/NPILookup?Npi=1992223473","1992223473")</f>
        <v>1992223473</v>
      </c>
      <c r="E8990" t="s">
        <v>15791</v>
      </c>
    </row>
    <row r="8991" spans="1:5" x14ac:dyDescent="0.25">
      <c r="A8991" t="s">
        <v>1</v>
      </c>
      <c r="B8991" t="s">
        <v>19</v>
      </c>
      <c r="C8991" t="s">
        <v>23490</v>
      </c>
      <c r="D8991" t="str">
        <f>HYPERLINK("https://rhld.insurance.arkansas.gov/NPILookup?Npi=1992224950","1992224950")</f>
        <v>1992224950</v>
      </c>
      <c r="E8991" t="s">
        <v>17503</v>
      </c>
    </row>
    <row r="8992" spans="1:5" x14ac:dyDescent="0.25">
      <c r="A8992" t="s">
        <v>1</v>
      </c>
      <c r="B8992" t="s">
        <v>19</v>
      </c>
      <c r="C8992" t="s">
        <v>23490</v>
      </c>
      <c r="D8992" t="str">
        <f>HYPERLINK("https://rhld.insurance.arkansas.gov/NPILookup?Npi=1992226153","1992226153")</f>
        <v>1992226153</v>
      </c>
      <c r="E8992" t="s">
        <v>13818</v>
      </c>
    </row>
    <row r="8993" spans="1:5" x14ac:dyDescent="0.25">
      <c r="A8993" t="s">
        <v>1</v>
      </c>
      <c r="B8993" t="s">
        <v>19</v>
      </c>
      <c r="C8993" t="s">
        <v>23490</v>
      </c>
      <c r="D8993" t="str">
        <f>HYPERLINK("https://rhld.insurance.arkansas.gov/NPILookup?Npi=1992243166","1992243166")</f>
        <v>1992243166</v>
      </c>
      <c r="E8993" t="s">
        <v>17067</v>
      </c>
    </row>
    <row r="8994" spans="1:5" x14ac:dyDescent="0.25">
      <c r="A8994" t="s">
        <v>1</v>
      </c>
      <c r="B8994" t="s">
        <v>19</v>
      </c>
      <c r="C8994" t="s">
        <v>23490</v>
      </c>
      <c r="D8994" t="str">
        <f>HYPERLINK("https://rhld.insurance.arkansas.gov/NPILookup?Npi=1992244800","1992244800")</f>
        <v>1992244800</v>
      </c>
      <c r="E8994" t="s">
        <v>20207</v>
      </c>
    </row>
    <row r="8995" spans="1:5" x14ac:dyDescent="0.25">
      <c r="A8995" t="s">
        <v>1</v>
      </c>
      <c r="B8995" t="s">
        <v>19</v>
      </c>
      <c r="C8995" t="s">
        <v>23490</v>
      </c>
      <c r="D8995" t="str">
        <f>HYPERLINK("https://rhld.insurance.arkansas.gov/NPILookup?Npi=1992246938","1992246938")</f>
        <v>1992246938</v>
      </c>
      <c r="E8995" t="s">
        <v>11423</v>
      </c>
    </row>
    <row r="8996" spans="1:5" x14ac:dyDescent="0.25">
      <c r="A8996" t="s">
        <v>1</v>
      </c>
      <c r="B8996" t="s">
        <v>19</v>
      </c>
      <c r="C8996" t="s">
        <v>23490</v>
      </c>
      <c r="D8996" t="str">
        <f>HYPERLINK("https://rhld.insurance.arkansas.gov/NPILookup?Npi=1992250450","1992250450")</f>
        <v>1992250450</v>
      </c>
      <c r="E8996" t="s">
        <v>11424</v>
      </c>
    </row>
    <row r="8997" spans="1:5" x14ac:dyDescent="0.25">
      <c r="A8997" t="s">
        <v>1</v>
      </c>
      <c r="B8997" t="s">
        <v>19</v>
      </c>
      <c r="C8997" t="s">
        <v>23490</v>
      </c>
      <c r="D8997" t="str">
        <f>HYPERLINK("https://rhld.insurance.arkansas.gov/NPILookup?Npi=1992254239","1992254239")</f>
        <v>1992254239</v>
      </c>
      <c r="E8997" t="s">
        <v>15792</v>
      </c>
    </row>
    <row r="8998" spans="1:5" x14ac:dyDescent="0.25">
      <c r="A8998" t="s">
        <v>1</v>
      </c>
      <c r="B8998" t="s">
        <v>19</v>
      </c>
      <c r="C8998" t="s">
        <v>23490</v>
      </c>
      <c r="D8998" t="str">
        <f>HYPERLINK("https://rhld.insurance.arkansas.gov/NPILookup?Npi=1992262802","1992262802")</f>
        <v>1992262802</v>
      </c>
      <c r="E8998" t="s">
        <v>20208</v>
      </c>
    </row>
    <row r="8999" spans="1:5" x14ac:dyDescent="0.25">
      <c r="A8999" t="s">
        <v>1</v>
      </c>
      <c r="B8999" t="s">
        <v>19</v>
      </c>
      <c r="C8999" t="s">
        <v>23490</v>
      </c>
      <c r="D8999" t="str">
        <f>HYPERLINK("https://rhld.insurance.arkansas.gov/NPILookup?Npi=1992281257","1992281257")</f>
        <v>1992281257</v>
      </c>
      <c r="E8999" t="s">
        <v>15793</v>
      </c>
    </row>
    <row r="9000" spans="1:5" x14ac:dyDescent="0.25">
      <c r="A9000" t="s">
        <v>1</v>
      </c>
      <c r="B9000" t="s">
        <v>19</v>
      </c>
      <c r="C9000" t="s">
        <v>23490</v>
      </c>
      <c r="D9000" t="str">
        <f>HYPERLINK("https://rhld.insurance.arkansas.gov/NPILookup?Npi=1992281935","1992281935")</f>
        <v>1992281935</v>
      </c>
      <c r="E9000" t="s">
        <v>18201</v>
      </c>
    </row>
    <row r="9001" spans="1:5" x14ac:dyDescent="0.25">
      <c r="A9001" t="s">
        <v>1</v>
      </c>
      <c r="B9001" t="s">
        <v>19</v>
      </c>
      <c r="C9001" t="s">
        <v>23490</v>
      </c>
      <c r="D9001" t="str">
        <f>HYPERLINK("https://rhld.insurance.arkansas.gov/NPILookup?Npi=1992291520","1992291520")</f>
        <v>1992291520</v>
      </c>
      <c r="E9001" t="s">
        <v>17504</v>
      </c>
    </row>
    <row r="9002" spans="1:5" x14ac:dyDescent="0.25">
      <c r="A9002" t="s">
        <v>1</v>
      </c>
      <c r="B9002" t="s">
        <v>19</v>
      </c>
      <c r="C9002" t="s">
        <v>23490</v>
      </c>
      <c r="D9002" t="str">
        <f>HYPERLINK("https://rhld.insurance.arkansas.gov/NPILookup?Npi=1992313225","1992313225")</f>
        <v>1992313225</v>
      </c>
      <c r="E9002" t="s">
        <v>18202</v>
      </c>
    </row>
    <row r="9003" spans="1:5" x14ac:dyDescent="0.25">
      <c r="A9003" t="s">
        <v>1</v>
      </c>
      <c r="B9003" t="s">
        <v>19</v>
      </c>
      <c r="C9003" t="s">
        <v>23490</v>
      </c>
      <c r="D9003" t="str">
        <f>HYPERLINK("https://rhld.insurance.arkansas.gov/NPILookup?Npi=1992323083","1992323083")</f>
        <v>1992323083</v>
      </c>
      <c r="E9003" t="s">
        <v>18203</v>
      </c>
    </row>
    <row r="9004" spans="1:5" x14ac:dyDescent="0.25">
      <c r="A9004" t="s">
        <v>1</v>
      </c>
      <c r="B9004" t="s">
        <v>19</v>
      </c>
      <c r="C9004" t="s">
        <v>23490</v>
      </c>
      <c r="D9004" t="str">
        <f>HYPERLINK("https://rhld.insurance.arkansas.gov/NPILookup?Npi=1992331714","1992331714")</f>
        <v>1992331714</v>
      </c>
      <c r="E9004" t="s">
        <v>9176</v>
      </c>
    </row>
    <row r="9005" spans="1:5" x14ac:dyDescent="0.25">
      <c r="A9005" t="s">
        <v>1</v>
      </c>
      <c r="B9005" t="s">
        <v>19</v>
      </c>
      <c r="C9005" t="s">
        <v>23490</v>
      </c>
      <c r="D9005" t="str">
        <f>HYPERLINK("https://rhld.insurance.arkansas.gov/NPILookup?Npi=1992334700","1992334700")</f>
        <v>1992334700</v>
      </c>
      <c r="E9005" t="s">
        <v>21705</v>
      </c>
    </row>
    <row r="9006" spans="1:5" x14ac:dyDescent="0.25">
      <c r="A9006" t="s">
        <v>1</v>
      </c>
      <c r="B9006" t="s">
        <v>19</v>
      </c>
      <c r="C9006" t="s">
        <v>23490</v>
      </c>
      <c r="D9006" t="str">
        <f>HYPERLINK("https://rhld.insurance.arkansas.gov/NPILookup?Npi=1992343909","1992343909")</f>
        <v>1992343909</v>
      </c>
      <c r="E9006" t="s">
        <v>20209</v>
      </c>
    </row>
    <row r="9007" spans="1:5" x14ac:dyDescent="0.25">
      <c r="A9007" t="s">
        <v>1</v>
      </c>
      <c r="B9007" t="s">
        <v>19</v>
      </c>
      <c r="C9007" t="s">
        <v>23490</v>
      </c>
      <c r="D9007" t="str">
        <f>HYPERLINK("https://rhld.insurance.arkansas.gov/NPILookup?Npi=1992347132","1992347132")</f>
        <v>1992347132</v>
      </c>
      <c r="E9007" t="s">
        <v>20210</v>
      </c>
    </row>
    <row r="9008" spans="1:5" x14ac:dyDescent="0.25">
      <c r="A9008" t="s">
        <v>1</v>
      </c>
      <c r="B9008" t="s">
        <v>19</v>
      </c>
      <c r="C9008" t="s">
        <v>23490</v>
      </c>
      <c r="D9008" t="str">
        <f>HYPERLINK("https://rhld.insurance.arkansas.gov/NPILookup?Npi=1992350193","1992350193")</f>
        <v>1992350193</v>
      </c>
      <c r="E9008" t="s">
        <v>18917</v>
      </c>
    </row>
    <row r="9009" spans="1:5" x14ac:dyDescent="0.25">
      <c r="A9009" t="s">
        <v>1</v>
      </c>
      <c r="B9009" t="s">
        <v>19</v>
      </c>
      <c r="C9009" t="s">
        <v>23490</v>
      </c>
      <c r="D9009" t="str">
        <f>HYPERLINK("https://rhld.insurance.arkansas.gov/NPILookup?Npi=1992364913","1992364913")</f>
        <v>1992364913</v>
      </c>
      <c r="E9009" t="s">
        <v>20211</v>
      </c>
    </row>
    <row r="9010" spans="1:5" x14ac:dyDescent="0.25">
      <c r="A9010" t="s">
        <v>1</v>
      </c>
      <c r="B9010" t="s">
        <v>19</v>
      </c>
      <c r="C9010" t="s">
        <v>23490</v>
      </c>
      <c r="D9010" t="str">
        <f>HYPERLINK("https://rhld.insurance.arkansas.gov/NPILookup?Npi=1992365019","1992365019")</f>
        <v>1992365019</v>
      </c>
      <c r="E9010" t="s">
        <v>15794</v>
      </c>
    </row>
    <row r="9011" spans="1:5" x14ac:dyDescent="0.25">
      <c r="A9011" t="s">
        <v>1</v>
      </c>
      <c r="B9011" t="s">
        <v>19</v>
      </c>
      <c r="C9011" t="s">
        <v>23490</v>
      </c>
      <c r="D9011" t="str">
        <f>HYPERLINK("https://rhld.insurance.arkansas.gov/NPILookup?Npi=1992395966","1992395966")</f>
        <v>1992395966</v>
      </c>
      <c r="E9011" t="s">
        <v>20212</v>
      </c>
    </row>
    <row r="9012" spans="1:5" x14ac:dyDescent="0.25">
      <c r="A9012" t="s">
        <v>1</v>
      </c>
      <c r="B9012" t="s">
        <v>19</v>
      </c>
      <c r="C9012" t="s">
        <v>23490</v>
      </c>
      <c r="D9012" t="str">
        <f>HYPERLINK("https://rhld.insurance.arkansas.gov/NPILookup?Npi=1992396915","1992396915")</f>
        <v>1992396915</v>
      </c>
      <c r="E9012" t="s">
        <v>18204</v>
      </c>
    </row>
    <row r="9013" spans="1:5" x14ac:dyDescent="0.25">
      <c r="A9013" t="s">
        <v>1</v>
      </c>
      <c r="B9013" t="s">
        <v>19</v>
      </c>
      <c r="C9013" t="s">
        <v>23490</v>
      </c>
      <c r="D9013" t="str">
        <f>HYPERLINK("https://rhld.insurance.arkansas.gov/NPILookup?Npi=1992422851","1992422851")</f>
        <v>1992422851</v>
      </c>
      <c r="E9013" t="s">
        <v>21706</v>
      </c>
    </row>
    <row r="9014" spans="1:5" x14ac:dyDescent="0.25">
      <c r="A9014" t="s">
        <v>1</v>
      </c>
      <c r="B9014" t="s">
        <v>19</v>
      </c>
      <c r="C9014" t="s">
        <v>23490</v>
      </c>
      <c r="D9014" t="str">
        <f>HYPERLINK("https://rhld.insurance.arkansas.gov/NPILookup?Npi=1992468201","1992468201")</f>
        <v>1992468201</v>
      </c>
      <c r="E9014" t="s">
        <v>20213</v>
      </c>
    </row>
    <row r="9015" spans="1:5" x14ac:dyDescent="0.25">
      <c r="A9015" t="s">
        <v>1</v>
      </c>
      <c r="B9015" t="s">
        <v>19</v>
      </c>
      <c r="C9015" t="s">
        <v>8427</v>
      </c>
      <c r="D9015" t="str">
        <f>HYPERLINK("https://rhld.insurance.arkansas.gov/NPILookup?Npi=1992585459","1992585459")</f>
        <v>1992585459</v>
      </c>
      <c r="E9015" t="s">
        <v>18577</v>
      </c>
    </row>
    <row r="9016" spans="1:5" x14ac:dyDescent="0.25">
      <c r="A9016" t="s">
        <v>1</v>
      </c>
      <c r="B9016" t="s">
        <v>19</v>
      </c>
      <c r="C9016" t="s">
        <v>23490</v>
      </c>
      <c r="D9016" t="str">
        <f>HYPERLINK("https://rhld.insurance.arkansas.gov/NPILookup?Npi=1992700587","1992700587")</f>
        <v>1992700587</v>
      </c>
      <c r="E9016" t="s">
        <v>8959</v>
      </c>
    </row>
    <row r="9017" spans="1:5" x14ac:dyDescent="0.25">
      <c r="A9017" t="s">
        <v>1</v>
      </c>
      <c r="B9017" t="s">
        <v>19</v>
      </c>
      <c r="C9017" t="s">
        <v>23490</v>
      </c>
      <c r="D9017" t="str">
        <f>HYPERLINK("https://rhld.insurance.arkansas.gov/NPILookup?Npi=1992706188","1992706188")</f>
        <v>1992706188</v>
      </c>
      <c r="E9017" t="s">
        <v>3430</v>
      </c>
    </row>
    <row r="9018" spans="1:5" x14ac:dyDescent="0.25">
      <c r="A9018" t="s">
        <v>1</v>
      </c>
      <c r="B9018" t="s">
        <v>19</v>
      </c>
      <c r="C9018" t="s">
        <v>23490</v>
      </c>
      <c r="D9018" t="str">
        <f>HYPERLINK("https://rhld.insurance.arkansas.gov/NPILookup?Npi=1992712434","1992712434")</f>
        <v>1992712434</v>
      </c>
      <c r="E9018" t="s">
        <v>3431</v>
      </c>
    </row>
    <row r="9019" spans="1:5" x14ac:dyDescent="0.25">
      <c r="A9019" t="s">
        <v>1</v>
      </c>
      <c r="B9019" t="s">
        <v>19</v>
      </c>
      <c r="C9019" t="s">
        <v>23490</v>
      </c>
      <c r="D9019" t="str">
        <f>HYPERLINK("https://rhld.insurance.arkansas.gov/NPILookup?Npi=1992714505","1992714505")</f>
        <v>1992714505</v>
      </c>
      <c r="E9019" t="s">
        <v>3432</v>
      </c>
    </row>
    <row r="9020" spans="1:5" x14ac:dyDescent="0.25">
      <c r="A9020" t="s">
        <v>1</v>
      </c>
      <c r="B9020" t="s">
        <v>19</v>
      </c>
      <c r="C9020" t="s">
        <v>23490</v>
      </c>
      <c r="D9020" t="str">
        <f>HYPERLINK("https://rhld.insurance.arkansas.gov/NPILookup?Npi=1992720361","1992720361")</f>
        <v>1992720361</v>
      </c>
      <c r="E9020" t="s">
        <v>17068</v>
      </c>
    </row>
    <row r="9021" spans="1:5" x14ac:dyDescent="0.25">
      <c r="A9021" t="s">
        <v>1</v>
      </c>
      <c r="B9021" t="s">
        <v>19</v>
      </c>
      <c r="C9021" t="s">
        <v>23490</v>
      </c>
      <c r="D9021" t="str">
        <f>HYPERLINK("https://rhld.insurance.arkansas.gov/NPILookup?Npi=1992727374","1992727374")</f>
        <v>1992727374</v>
      </c>
      <c r="E9021" t="s">
        <v>15795</v>
      </c>
    </row>
    <row r="9022" spans="1:5" x14ac:dyDescent="0.25">
      <c r="A9022" t="s">
        <v>1</v>
      </c>
      <c r="B9022" t="s">
        <v>19</v>
      </c>
      <c r="C9022" t="s">
        <v>23490</v>
      </c>
      <c r="D9022" t="str">
        <f>HYPERLINK("https://rhld.insurance.arkansas.gov/NPILookup?Npi=1992727473","1992727473")</f>
        <v>1992727473</v>
      </c>
      <c r="E9022" t="s">
        <v>3433</v>
      </c>
    </row>
    <row r="9023" spans="1:5" x14ac:dyDescent="0.25">
      <c r="A9023" t="s">
        <v>1</v>
      </c>
      <c r="B9023" t="s">
        <v>19</v>
      </c>
      <c r="C9023" t="s">
        <v>23490</v>
      </c>
      <c r="D9023" t="str">
        <f>HYPERLINK("https://rhld.insurance.arkansas.gov/NPILookup?Npi=1992730873","1992730873")</f>
        <v>1992730873</v>
      </c>
      <c r="E9023" t="s">
        <v>11426</v>
      </c>
    </row>
    <row r="9024" spans="1:5" x14ac:dyDescent="0.25">
      <c r="A9024" t="s">
        <v>1</v>
      </c>
      <c r="B9024" t="s">
        <v>19</v>
      </c>
      <c r="C9024" t="s">
        <v>23490</v>
      </c>
      <c r="D9024" t="str">
        <f>HYPERLINK("https://rhld.insurance.arkansas.gov/NPILookup?Npi=1992733422","1992733422")</f>
        <v>1992733422</v>
      </c>
      <c r="E9024" t="s">
        <v>3434</v>
      </c>
    </row>
    <row r="9025" spans="1:5" x14ac:dyDescent="0.25">
      <c r="A9025" t="s">
        <v>1</v>
      </c>
      <c r="B9025" t="s">
        <v>19</v>
      </c>
      <c r="C9025" t="s">
        <v>23490</v>
      </c>
      <c r="D9025" t="str">
        <f>HYPERLINK("https://rhld.insurance.arkansas.gov/NPILookup?Npi=1992740260","1992740260")</f>
        <v>1992740260</v>
      </c>
      <c r="E9025" t="s">
        <v>15796</v>
      </c>
    </row>
    <row r="9026" spans="1:5" x14ac:dyDescent="0.25">
      <c r="A9026" t="s">
        <v>1</v>
      </c>
      <c r="B9026" t="s">
        <v>19</v>
      </c>
      <c r="C9026" t="s">
        <v>23490</v>
      </c>
      <c r="D9026" t="str">
        <f>HYPERLINK("https://rhld.insurance.arkansas.gov/NPILookup?Npi=1992742522","1992742522")</f>
        <v>1992742522</v>
      </c>
      <c r="E9026" t="s">
        <v>3435</v>
      </c>
    </row>
    <row r="9027" spans="1:5" x14ac:dyDescent="0.25">
      <c r="A9027" t="s">
        <v>1</v>
      </c>
      <c r="B9027" t="s">
        <v>19</v>
      </c>
      <c r="C9027" t="s">
        <v>23490</v>
      </c>
      <c r="D9027" t="str">
        <f>HYPERLINK("https://rhld.insurance.arkansas.gov/NPILookup?Npi=1992755367","1992755367")</f>
        <v>1992755367</v>
      </c>
      <c r="E9027" t="s">
        <v>3436</v>
      </c>
    </row>
    <row r="9028" spans="1:5" x14ac:dyDescent="0.25">
      <c r="A9028" t="s">
        <v>1</v>
      </c>
      <c r="B9028" t="s">
        <v>19</v>
      </c>
      <c r="C9028" t="s">
        <v>23490</v>
      </c>
      <c r="D9028" t="str">
        <f>HYPERLINK("https://rhld.insurance.arkansas.gov/NPILookup?Npi=1992758387","1992758387")</f>
        <v>1992758387</v>
      </c>
      <c r="E9028" t="s">
        <v>3437</v>
      </c>
    </row>
    <row r="9029" spans="1:5" x14ac:dyDescent="0.25">
      <c r="A9029" t="s">
        <v>1</v>
      </c>
      <c r="B9029" t="s">
        <v>19</v>
      </c>
      <c r="C9029" t="s">
        <v>23490</v>
      </c>
      <c r="D9029" t="str">
        <f>HYPERLINK("https://rhld.insurance.arkansas.gov/NPILookup?Npi=1992758775","1992758775")</f>
        <v>1992758775</v>
      </c>
      <c r="E9029" t="s">
        <v>15797</v>
      </c>
    </row>
    <row r="9030" spans="1:5" x14ac:dyDescent="0.25">
      <c r="A9030" t="s">
        <v>1</v>
      </c>
      <c r="B9030" t="s">
        <v>19</v>
      </c>
      <c r="C9030" t="s">
        <v>23490</v>
      </c>
      <c r="D9030" t="str">
        <f>HYPERLINK("https://rhld.insurance.arkansas.gov/NPILookup?Npi=1992761555","1992761555")</f>
        <v>1992761555</v>
      </c>
      <c r="E9030" t="s">
        <v>3438</v>
      </c>
    </row>
    <row r="9031" spans="1:5" x14ac:dyDescent="0.25">
      <c r="A9031" t="s">
        <v>1</v>
      </c>
      <c r="B9031" t="s">
        <v>19</v>
      </c>
      <c r="C9031" t="s">
        <v>23490</v>
      </c>
      <c r="D9031" t="str">
        <f>HYPERLINK("https://rhld.insurance.arkansas.gov/NPILookup?Npi=1992761860","1992761860")</f>
        <v>1992761860</v>
      </c>
      <c r="E9031" t="s">
        <v>3439</v>
      </c>
    </row>
    <row r="9032" spans="1:5" x14ac:dyDescent="0.25">
      <c r="A9032" t="s">
        <v>1</v>
      </c>
      <c r="B9032" t="s">
        <v>19</v>
      </c>
      <c r="C9032" t="s">
        <v>23490</v>
      </c>
      <c r="D9032" t="str">
        <f>HYPERLINK("https://rhld.insurance.arkansas.gov/NPILookup?Npi=1992762504","1992762504")</f>
        <v>1992762504</v>
      </c>
      <c r="E9032" t="s">
        <v>13819</v>
      </c>
    </row>
    <row r="9033" spans="1:5" x14ac:dyDescent="0.25">
      <c r="A9033" t="s">
        <v>1</v>
      </c>
      <c r="B9033" t="s">
        <v>19</v>
      </c>
      <c r="C9033" t="s">
        <v>23490</v>
      </c>
      <c r="D9033" t="str">
        <f>HYPERLINK("https://rhld.insurance.arkansas.gov/NPILookup?Npi=1992764252","1992764252")</f>
        <v>1992764252</v>
      </c>
      <c r="E9033" t="s">
        <v>3441</v>
      </c>
    </row>
    <row r="9034" spans="1:5" x14ac:dyDescent="0.25">
      <c r="A9034" t="s">
        <v>1</v>
      </c>
      <c r="B9034" t="s">
        <v>19</v>
      </c>
      <c r="C9034" t="s">
        <v>23490</v>
      </c>
      <c r="D9034" t="str">
        <f>HYPERLINK("https://rhld.insurance.arkansas.gov/NPILookup?Npi=1992764518","1992764518")</f>
        <v>1992764518</v>
      </c>
      <c r="E9034" t="s">
        <v>3442</v>
      </c>
    </row>
    <row r="9035" spans="1:5" x14ac:dyDescent="0.25">
      <c r="A9035" t="s">
        <v>1</v>
      </c>
      <c r="B9035" t="s">
        <v>19</v>
      </c>
      <c r="C9035" t="s">
        <v>23490</v>
      </c>
      <c r="D9035" t="str">
        <f>HYPERLINK("https://rhld.insurance.arkansas.gov/NPILookup?Npi=1992765010","1992765010")</f>
        <v>1992765010</v>
      </c>
      <c r="E9035" t="s">
        <v>3443</v>
      </c>
    </row>
    <row r="9036" spans="1:5" x14ac:dyDescent="0.25">
      <c r="A9036" t="s">
        <v>1</v>
      </c>
      <c r="B9036" t="s">
        <v>19</v>
      </c>
      <c r="C9036" t="s">
        <v>23490</v>
      </c>
      <c r="D9036" t="str">
        <f>HYPERLINK("https://rhld.insurance.arkansas.gov/NPILookup?Npi=1992767792","1992767792")</f>
        <v>1992767792</v>
      </c>
      <c r="E9036" t="s">
        <v>3444</v>
      </c>
    </row>
    <row r="9037" spans="1:5" x14ac:dyDescent="0.25">
      <c r="A9037" t="s">
        <v>1</v>
      </c>
      <c r="B9037" t="s">
        <v>19</v>
      </c>
      <c r="C9037" t="s">
        <v>23490</v>
      </c>
      <c r="D9037" t="str">
        <f>HYPERLINK("https://rhld.insurance.arkansas.gov/NPILookup?Npi=1992768105","1992768105")</f>
        <v>1992768105</v>
      </c>
      <c r="E9037" t="s">
        <v>3445</v>
      </c>
    </row>
    <row r="9038" spans="1:5" x14ac:dyDescent="0.25">
      <c r="A9038" t="s">
        <v>1</v>
      </c>
      <c r="B9038" t="s">
        <v>19</v>
      </c>
      <c r="C9038" t="s">
        <v>23490</v>
      </c>
      <c r="D9038" t="str">
        <f>HYPERLINK("https://rhld.insurance.arkansas.gov/NPILookup?Npi=1992769426","1992769426")</f>
        <v>1992769426</v>
      </c>
      <c r="E9038" t="s">
        <v>3446</v>
      </c>
    </row>
    <row r="9039" spans="1:5" x14ac:dyDescent="0.25">
      <c r="A9039" t="s">
        <v>1</v>
      </c>
      <c r="B9039" t="s">
        <v>19</v>
      </c>
      <c r="C9039" t="s">
        <v>23490</v>
      </c>
      <c r="D9039" t="str">
        <f>HYPERLINK("https://rhld.insurance.arkansas.gov/NPILookup?Npi=1992775100","1992775100")</f>
        <v>1992775100</v>
      </c>
      <c r="E9039" t="s">
        <v>3447</v>
      </c>
    </row>
    <row r="9040" spans="1:5" x14ac:dyDescent="0.25">
      <c r="A9040" t="s">
        <v>1</v>
      </c>
      <c r="B9040" t="s">
        <v>19</v>
      </c>
      <c r="C9040" t="s">
        <v>23490</v>
      </c>
      <c r="D9040" t="str">
        <f>HYPERLINK("https://rhld.insurance.arkansas.gov/NPILookup?Npi=1992775878","1992775878")</f>
        <v>1992775878</v>
      </c>
      <c r="E9040" t="s">
        <v>3448</v>
      </c>
    </row>
    <row r="9041" spans="1:5" x14ac:dyDescent="0.25">
      <c r="A9041" t="s">
        <v>1</v>
      </c>
      <c r="B9041" t="s">
        <v>19</v>
      </c>
      <c r="C9041" t="s">
        <v>23490</v>
      </c>
      <c r="D9041" t="str">
        <f>HYPERLINK("https://rhld.insurance.arkansas.gov/NPILookup?Npi=1992781264","1992781264")</f>
        <v>1992781264</v>
      </c>
      <c r="E9041" t="s">
        <v>3449</v>
      </c>
    </row>
    <row r="9042" spans="1:5" x14ac:dyDescent="0.25">
      <c r="A9042" t="s">
        <v>1</v>
      </c>
      <c r="B9042" t="s">
        <v>19</v>
      </c>
      <c r="C9042" t="s">
        <v>23490</v>
      </c>
      <c r="D9042" t="str">
        <f>HYPERLINK("https://rhld.insurance.arkansas.gov/NPILookup?Npi=1992785802","1992785802")</f>
        <v>1992785802</v>
      </c>
      <c r="E9042" t="s">
        <v>3450</v>
      </c>
    </row>
    <row r="9043" spans="1:5" x14ac:dyDescent="0.25">
      <c r="A9043" t="s">
        <v>1</v>
      </c>
      <c r="B9043" t="s">
        <v>19</v>
      </c>
      <c r="C9043" t="s">
        <v>23490</v>
      </c>
      <c r="D9043" t="str">
        <f>HYPERLINK("https://rhld.insurance.arkansas.gov/NPILookup?Npi=1992793293","1992793293")</f>
        <v>1992793293</v>
      </c>
      <c r="E9043" t="s">
        <v>1193</v>
      </c>
    </row>
    <row r="9044" spans="1:5" x14ac:dyDescent="0.25">
      <c r="A9044" t="s">
        <v>1</v>
      </c>
      <c r="B9044" t="s">
        <v>19</v>
      </c>
      <c r="C9044" t="s">
        <v>23490</v>
      </c>
      <c r="D9044" t="str">
        <f>HYPERLINK("https://rhld.insurance.arkansas.gov/NPILookup?Npi=1992810485","1992810485")</f>
        <v>1992810485</v>
      </c>
      <c r="E9044" t="s">
        <v>3451</v>
      </c>
    </row>
    <row r="9045" spans="1:5" x14ac:dyDescent="0.25">
      <c r="A9045" t="s">
        <v>1</v>
      </c>
      <c r="B9045" t="s">
        <v>19</v>
      </c>
      <c r="C9045" t="s">
        <v>23490</v>
      </c>
      <c r="D9045" t="str">
        <f>HYPERLINK("https://rhld.insurance.arkansas.gov/NPILookup?Npi=1992842595","1992842595")</f>
        <v>1992842595</v>
      </c>
      <c r="E9045" t="s">
        <v>3452</v>
      </c>
    </row>
    <row r="9046" spans="1:5" x14ac:dyDescent="0.25">
      <c r="A9046" t="s">
        <v>1</v>
      </c>
      <c r="B9046" t="s">
        <v>19</v>
      </c>
      <c r="C9046" t="s">
        <v>23490</v>
      </c>
      <c r="D9046" t="str">
        <f>HYPERLINK("https://rhld.insurance.arkansas.gov/NPILookup?Npi=1992843809","1992843809")</f>
        <v>1992843809</v>
      </c>
      <c r="E9046" t="s">
        <v>3454</v>
      </c>
    </row>
    <row r="9047" spans="1:5" x14ac:dyDescent="0.25">
      <c r="A9047" t="s">
        <v>1</v>
      </c>
      <c r="B9047" t="s">
        <v>19</v>
      </c>
      <c r="C9047" t="s">
        <v>23490</v>
      </c>
      <c r="D9047" t="str">
        <f>HYPERLINK("https://rhld.insurance.arkansas.gov/NPILookup?Npi=1992848816","1992848816")</f>
        <v>1992848816</v>
      </c>
      <c r="E9047" t="s">
        <v>11427</v>
      </c>
    </row>
    <row r="9048" spans="1:5" x14ac:dyDescent="0.25">
      <c r="A9048" t="s">
        <v>1</v>
      </c>
      <c r="B9048" t="s">
        <v>19</v>
      </c>
      <c r="C9048" t="s">
        <v>23490</v>
      </c>
      <c r="D9048" t="str">
        <f>HYPERLINK("https://rhld.insurance.arkansas.gov/NPILookup?Npi=1992906143","1992906143")</f>
        <v>1992906143</v>
      </c>
      <c r="E9048" t="s">
        <v>18205</v>
      </c>
    </row>
    <row r="9049" spans="1:5" x14ac:dyDescent="0.25">
      <c r="A9049" t="s">
        <v>1</v>
      </c>
      <c r="B9049" t="s">
        <v>19</v>
      </c>
      <c r="C9049" t="s">
        <v>23490</v>
      </c>
      <c r="D9049" t="str">
        <f>HYPERLINK("https://rhld.insurance.arkansas.gov/NPILookup?Npi=1992919054","1992919054")</f>
        <v>1992919054</v>
      </c>
      <c r="E9049" t="s">
        <v>3456</v>
      </c>
    </row>
    <row r="9050" spans="1:5" x14ac:dyDescent="0.25">
      <c r="A9050" t="s">
        <v>1</v>
      </c>
      <c r="B9050" t="s">
        <v>19</v>
      </c>
      <c r="C9050" t="s">
        <v>23490</v>
      </c>
      <c r="D9050" t="str">
        <f>HYPERLINK("https://rhld.insurance.arkansas.gov/NPILookup?Npi=1992964399","1992964399")</f>
        <v>1992964399</v>
      </c>
      <c r="E9050" t="s">
        <v>3457</v>
      </c>
    </row>
    <row r="9051" spans="1:5" x14ac:dyDescent="0.25">
      <c r="A9051" t="s">
        <v>1</v>
      </c>
      <c r="B9051" t="s">
        <v>19</v>
      </c>
      <c r="C9051" t="s">
        <v>23490</v>
      </c>
      <c r="D9051" t="str">
        <f>HYPERLINK("https://rhld.insurance.arkansas.gov/NPILookup?Npi=1992972517","1992972517")</f>
        <v>1992972517</v>
      </c>
      <c r="E9051" t="s">
        <v>20214</v>
      </c>
    </row>
    <row r="9052" spans="1:5" x14ac:dyDescent="0.25">
      <c r="A9052" t="s">
        <v>2</v>
      </c>
      <c r="B9052" t="s">
        <v>3458</v>
      </c>
      <c r="C9052" t="s">
        <v>23490</v>
      </c>
      <c r="D9052" t="str">
        <f>HYPERLINK("https://rhld.insurance.arkansas.gov/NPILookup?Npi=1003015348","1003015348")</f>
        <v>1003015348</v>
      </c>
      <c r="E9052" t="s">
        <v>20</v>
      </c>
    </row>
    <row r="9053" spans="1:5" x14ac:dyDescent="0.25">
      <c r="A9053" t="s">
        <v>2</v>
      </c>
      <c r="B9053" t="s">
        <v>3458</v>
      </c>
      <c r="C9053" t="s">
        <v>23490</v>
      </c>
      <c r="D9053" t="str">
        <f>HYPERLINK("https://rhld.insurance.arkansas.gov/NPILookup?Npi=1003016700","1003016700")</f>
        <v>1003016700</v>
      </c>
      <c r="E9053" t="s">
        <v>13820</v>
      </c>
    </row>
    <row r="9054" spans="1:5" x14ac:dyDescent="0.25">
      <c r="A9054" t="s">
        <v>2</v>
      </c>
      <c r="B9054" t="s">
        <v>3458</v>
      </c>
      <c r="C9054" t="s">
        <v>23490</v>
      </c>
      <c r="D9054" t="str">
        <f>HYPERLINK("https://rhld.insurance.arkansas.gov/NPILookup?Npi=1003038167","1003038167")</f>
        <v>1003038167</v>
      </c>
      <c r="E9054" t="s">
        <v>21</v>
      </c>
    </row>
    <row r="9055" spans="1:5" x14ac:dyDescent="0.25">
      <c r="A9055" t="s">
        <v>2</v>
      </c>
      <c r="B9055" t="s">
        <v>3458</v>
      </c>
      <c r="C9055" t="s">
        <v>23490</v>
      </c>
      <c r="D9055" t="str">
        <f>HYPERLINK("https://rhld.insurance.arkansas.gov/NPILookup?Npi=1003084336","1003084336")</f>
        <v>1003084336</v>
      </c>
      <c r="E9055" t="s">
        <v>23</v>
      </c>
    </row>
    <row r="9056" spans="1:5" x14ac:dyDescent="0.25">
      <c r="A9056" t="s">
        <v>2</v>
      </c>
      <c r="B9056" t="s">
        <v>3458</v>
      </c>
      <c r="C9056" t="s">
        <v>23490</v>
      </c>
      <c r="D9056" t="str">
        <f>HYPERLINK("https://rhld.insurance.arkansas.gov/NPILookup?Npi=1003084617","1003084617")</f>
        <v>1003084617</v>
      </c>
      <c r="E9056" t="s">
        <v>10580</v>
      </c>
    </row>
    <row r="9057" spans="1:5" x14ac:dyDescent="0.25">
      <c r="A9057" t="s">
        <v>2</v>
      </c>
      <c r="B9057" t="s">
        <v>3458</v>
      </c>
      <c r="C9057" t="s">
        <v>23490</v>
      </c>
      <c r="D9057" t="str">
        <f>HYPERLINK("https://rhld.insurance.arkansas.gov/NPILookup?Npi=1003114257","1003114257")</f>
        <v>1003114257</v>
      </c>
      <c r="E9057" t="s">
        <v>14677</v>
      </c>
    </row>
    <row r="9058" spans="1:5" x14ac:dyDescent="0.25">
      <c r="A9058" t="s">
        <v>2</v>
      </c>
      <c r="B9058" t="s">
        <v>3458</v>
      </c>
      <c r="C9058" t="s">
        <v>23490</v>
      </c>
      <c r="D9058" t="str">
        <f>HYPERLINK("https://rhld.insurance.arkansas.gov/NPILookup?Npi=1003137571","1003137571")</f>
        <v>1003137571</v>
      </c>
      <c r="E9058" t="s">
        <v>3459</v>
      </c>
    </row>
    <row r="9059" spans="1:5" x14ac:dyDescent="0.25">
      <c r="A9059" t="s">
        <v>2</v>
      </c>
      <c r="B9059" t="s">
        <v>3458</v>
      </c>
      <c r="C9059" t="s">
        <v>23490</v>
      </c>
      <c r="D9059" t="str">
        <f>HYPERLINK("https://rhld.insurance.arkansas.gov/NPILookup?Npi=1003171968","1003171968")</f>
        <v>1003171968</v>
      </c>
      <c r="E9059" t="s">
        <v>18639</v>
      </c>
    </row>
    <row r="9060" spans="1:5" x14ac:dyDescent="0.25">
      <c r="A9060" t="s">
        <v>2</v>
      </c>
      <c r="B9060" t="s">
        <v>3458</v>
      </c>
      <c r="C9060" t="s">
        <v>23490</v>
      </c>
      <c r="D9060" t="str">
        <f>HYPERLINK("https://rhld.insurance.arkansas.gov/NPILookup?Npi=1003182387","1003182387")</f>
        <v>1003182387</v>
      </c>
      <c r="E9060" t="s">
        <v>25</v>
      </c>
    </row>
    <row r="9061" spans="1:5" x14ac:dyDescent="0.25">
      <c r="A9061" t="s">
        <v>2</v>
      </c>
      <c r="B9061" t="s">
        <v>3458</v>
      </c>
      <c r="C9061" t="s">
        <v>23490</v>
      </c>
      <c r="D9061" t="str">
        <f>HYPERLINK("https://rhld.insurance.arkansas.gov/NPILookup?Npi=1003203274","1003203274")</f>
        <v>1003203274</v>
      </c>
      <c r="E9061" t="s">
        <v>8960</v>
      </c>
    </row>
    <row r="9062" spans="1:5" x14ac:dyDescent="0.25">
      <c r="A9062" t="s">
        <v>2</v>
      </c>
      <c r="B9062" t="s">
        <v>3458</v>
      </c>
      <c r="C9062" t="s">
        <v>23490</v>
      </c>
      <c r="D9062" t="str">
        <f>HYPERLINK("https://rhld.insurance.arkansas.gov/NPILookup?Npi=1003205857","1003205857")</f>
        <v>1003205857</v>
      </c>
      <c r="E9062" t="s">
        <v>26</v>
      </c>
    </row>
    <row r="9063" spans="1:5" x14ac:dyDescent="0.25">
      <c r="A9063" t="s">
        <v>2</v>
      </c>
      <c r="B9063" t="s">
        <v>3458</v>
      </c>
      <c r="C9063" t="s">
        <v>23490</v>
      </c>
      <c r="D9063" t="str">
        <f>HYPERLINK("https://rhld.insurance.arkansas.gov/NPILookup?Npi=1003206657","1003206657")</f>
        <v>1003206657</v>
      </c>
      <c r="E9063" t="s">
        <v>8425</v>
      </c>
    </row>
    <row r="9064" spans="1:5" x14ac:dyDescent="0.25">
      <c r="A9064" t="s">
        <v>2</v>
      </c>
      <c r="B9064" t="s">
        <v>3458</v>
      </c>
      <c r="C9064" t="s">
        <v>23490</v>
      </c>
      <c r="D9064" t="str">
        <f>HYPERLINK("https://rhld.insurance.arkansas.gov/NPILookup?Npi=1003227166","1003227166")</f>
        <v>1003227166</v>
      </c>
      <c r="E9064" t="s">
        <v>10581</v>
      </c>
    </row>
    <row r="9065" spans="1:5" x14ac:dyDescent="0.25">
      <c r="A9065" t="s">
        <v>2</v>
      </c>
      <c r="B9065" t="s">
        <v>3458</v>
      </c>
      <c r="C9065" t="s">
        <v>23490</v>
      </c>
      <c r="D9065" t="str">
        <f>HYPERLINK("https://rhld.insurance.arkansas.gov/NPILookup?Npi=1003234105","1003234105")</f>
        <v>1003234105</v>
      </c>
      <c r="E9065" t="s">
        <v>8426</v>
      </c>
    </row>
    <row r="9066" spans="1:5" x14ac:dyDescent="0.25">
      <c r="A9066" t="s">
        <v>2</v>
      </c>
      <c r="B9066" t="s">
        <v>3458</v>
      </c>
      <c r="C9066" t="s">
        <v>23490</v>
      </c>
      <c r="D9066" t="str">
        <f>HYPERLINK("https://rhld.insurance.arkansas.gov/NPILookup?Npi=1003236217","1003236217")</f>
        <v>1003236217</v>
      </c>
      <c r="E9066" t="s">
        <v>10582</v>
      </c>
    </row>
    <row r="9067" spans="1:5" x14ac:dyDescent="0.25">
      <c r="A9067" t="s">
        <v>2</v>
      </c>
      <c r="B9067" t="s">
        <v>3458</v>
      </c>
      <c r="C9067" t="s">
        <v>23490</v>
      </c>
      <c r="D9067" t="str">
        <f>HYPERLINK("https://rhld.insurance.arkansas.gov/NPILookup?Npi=1003250945","1003250945")</f>
        <v>1003250945</v>
      </c>
      <c r="E9067" t="s">
        <v>10583</v>
      </c>
    </row>
    <row r="9068" spans="1:5" x14ac:dyDescent="0.25">
      <c r="A9068" t="s">
        <v>2</v>
      </c>
      <c r="B9068" t="s">
        <v>3458</v>
      </c>
      <c r="C9068" t="s">
        <v>23490</v>
      </c>
      <c r="D9068" t="str">
        <f>HYPERLINK("https://rhld.insurance.arkansas.gov/NPILookup?Npi=1003260308","1003260308")</f>
        <v>1003260308</v>
      </c>
      <c r="E9068" t="s">
        <v>21412</v>
      </c>
    </row>
    <row r="9069" spans="1:5" x14ac:dyDescent="0.25">
      <c r="A9069" t="s">
        <v>2</v>
      </c>
      <c r="B9069" t="s">
        <v>3458</v>
      </c>
      <c r="C9069" t="s">
        <v>23490</v>
      </c>
      <c r="D9069" t="str">
        <f>HYPERLINK("https://rhld.insurance.arkansas.gov/NPILookup?Npi=1003274275","1003274275")</f>
        <v>1003274275</v>
      </c>
      <c r="E9069" t="s">
        <v>8961</v>
      </c>
    </row>
    <row r="9070" spans="1:5" x14ac:dyDescent="0.25">
      <c r="A9070" t="s">
        <v>2</v>
      </c>
      <c r="B9070" t="s">
        <v>3458</v>
      </c>
      <c r="C9070" t="s">
        <v>23490</v>
      </c>
      <c r="D9070" t="str">
        <f>HYPERLINK("https://rhld.insurance.arkansas.gov/NPILookup?Npi=1003278052","1003278052")</f>
        <v>1003278052</v>
      </c>
      <c r="E9070" t="s">
        <v>17373</v>
      </c>
    </row>
    <row r="9071" spans="1:5" x14ac:dyDescent="0.25">
      <c r="A9071" t="s">
        <v>2</v>
      </c>
      <c r="B9071" t="s">
        <v>3458</v>
      </c>
      <c r="C9071" t="s">
        <v>23490</v>
      </c>
      <c r="D9071" t="str">
        <f>HYPERLINK("https://rhld.insurance.arkansas.gov/NPILookup?Npi=1003278144","1003278144")</f>
        <v>1003278144</v>
      </c>
      <c r="E9071" t="s">
        <v>13327</v>
      </c>
    </row>
    <row r="9072" spans="1:5" x14ac:dyDescent="0.25">
      <c r="A9072" t="s">
        <v>2</v>
      </c>
      <c r="B9072" t="s">
        <v>3458</v>
      </c>
      <c r="C9072" t="s">
        <v>23490</v>
      </c>
      <c r="D9072" t="str">
        <f>HYPERLINK("https://rhld.insurance.arkansas.gov/NPILookup?Npi=1003290826","1003290826")</f>
        <v>1003290826</v>
      </c>
      <c r="E9072" t="s">
        <v>8428</v>
      </c>
    </row>
    <row r="9073" spans="1:5" x14ac:dyDescent="0.25">
      <c r="A9073" t="s">
        <v>2</v>
      </c>
      <c r="B9073" t="s">
        <v>3458</v>
      </c>
      <c r="C9073" t="s">
        <v>23490</v>
      </c>
      <c r="D9073" t="str">
        <f>HYPERLINK("https://rhld.insurance.arkansas.gov/NPILookup?Npi=1003291683","1003291683")</f>
        <v>1003291683</v>
      </c>
      <c r="E9073" t="s">
        <v>14678</v>
      </c>
    </row>
    <row r="9074" spans="1:5" x14ac:dyDescent="0.25">
      <c r="A9074" t="s">
        <v>2</v>
      </c>
      <c r="B9074" t="s">
        <v>3458</v>
      </c>
      <c r="C9074" t="s">
        <v>23490</v>
      </c>
      <c r="D9074" t="str">
        <f>HYPERLINK("https://rhld.insurance.arkansas.gov/NPILookup?Npi=1003331356","1003331356")</f>
        <v>1003331356</v>
      </c>
      <c r="E9074" t="s">
        <v>19311</v>
      </c>
    </row>
    <row r="9075" spans="1:5" x14ac:dyDescent="0.25">
      <c r="A9075" t="s">
        <v>2</v>
      </c>
      <c r="B9075" t="s">
        <v>3458</v>
      </c>
      <c r="C9075" t="s">
        <v>23490</v>
      </c>
      <c r="D9075" t="str">
        <f>HYPERLINK("https://rhld.insurance.arkansas.gov/NPILookup?Npi=1003331893","1003331893")</f>
        <v>1003331893</v>
      </c>
      <c r="E9075" t="s">
        <v>14679</v>
      </c>
    </row>
    <row r="9076" spans="1:5" x14ac:dyDescent="0.25">
      <c r="A9076" t="s">
        <v>2</v>
      </c>
      <c r="B9076" t="s">
        <v>3458</v>
      </c>
      <c r="C9076" t="s">
        <v>23490</v>
      </c>
      <c r="D9076" t="str">
        <f>HYPERLINK("https://rhld.insurance.arkansas.gov/NPILookup?Npi=1003353699","1003353699")</f>
        <v>1003353699</v>
      </c>
      <c r="E9076" t="s">
        <v>14680</v>
      </c>
    </row>
    <row r="9077" spans="1:5" x14ac:dyDescent="0.25">
      <c r="A9077" t="s">
        <v>2</v>
      </c>
      <c r="B9077" t="s">
        <v>3458</v>
      </c>
      <c r="C9077" t="s">
        <v>23490</v>
      </c>
      <c r="D9077" t="str">
        <f>HYPERLINK("https://rhld.insurance.arkansas.gov/NPILookup?Npi=1003354473","1003354473")</f>
        <v>1003354473</v>
      </c>
      <c r="E9077" t="s">
        <v>17374</v>
      </c>
    </row>
    <row r="9078" spans="1:5" x14ac:dyDescent="0.25">
      <c r="A9078" t="s">
        <v>2</v>
      </c>
      <c r="B9078" t="s">
        <v>3458</v>
      </c>
      <c r="C9078" t="s">
        <v>23490</v>
      </c>
      <c r="D9078" t="str">
        <f>HYPERLINK("https://rhld.insurance.arkansas.gov/NPILookup?Npi=1003369901","1003369901")</f>
        <v>1003369901</v>
      </c>
      <c r="E9078" t="s">
        <v>21707</v>
      </c>
    </row>
    <row r="9079" spans="1:5" x14ac:dyDescent="0.25">
      <c r="A9079" t="s">
        <v>2</v>
      </c>
      <c r="B9079" t="s">
        <v>3458</v>
      </c>
      <c r="C9079" t="s">
        <v>23490</v>
      </c>
      <c r="D9079" t="str">
        <f>HYPERLINK("https://rhld.insurance.arkansas.gov/NPILookup?Npi=1003381229","1003381229")</f>
        <v>1003381229</v>
      </c>
      <c r="E9079" t="s">
        <v>13328</v>
      </c>
    </row>
    <row r="9080" spans="1:5" x14ac:dyDescent="0.25">
      <c r="A9080" t="s">
        <v>2</v>
      </c>
      <c r="B9080" t="s">
        <v>3458</v>
      </c>
      <c r="C9080" t="s">
        <v>23490</v>
      </c>
      <c r="D9080" t="str">
        <f>HYPERLINK("https://rhld.insurance.arkansas.gov/NPILookup?Npi=1003406653","1003406653")</f>
        <v>1003406653</v>
      </c>
      <c r="E9080" t="s">
        <v>18641</v>
      </c>
    </row>
    <row r="9081" spans="1:5" x14ac:dyDescent="0.25">
      <c r="A9081" t="s">
        <v>2</v>
      </c>
      <c r="B9081" t="s">
        <v>3458</v>
      </c>
      <c r="C9081" t="s">
        <v>23490</v>
      </c>
      <c r="D9081" t="str">
        <f>HYPERLINK("https://rhld.insurance.arkansas.gov/NPILookup?Npi=1003416421","1003416421")</f>
        <v>1003416421</v>
      </c>
      <c r="E9081" t="s">
        <v>17826</v>
      </c>
    </row>
    <row r="9082" spans="1:5" x14ac:dyDescent="0.25">
      <c r="A9082" t="s">
        <v>2</v>
      </c>
      <c r="B9082" t="s">
        <v>3458</v>
      </c>
      <c r="C9082" t="s">
        <v>23490</v>
      </c>
      <c r="D9082" t="str">
        <f>HYPERLINK("https://rhld.insurance.arkansas.gov/NPILookup?Npi=1003442153","1003442153")</f>
        <v>1003442153</v>
      </c>
      <c r="E9082" t="s">
        <v>21437</v>
      </c>
    </row>
    <row r="9083" spans="1:5" x14ac:dyDescent="0.25">
      <c r="A9083" t="s">
        <v>2</v>
      </c>
      <c r="B9083" t="s">
        <v>3458</v>
      </c>
      <c r="C9083" t="s">
        <v>23490</v>
      </c>
      <c r="D9083" t="str">
        <f>HYPERLINK("https://rhld.insurance.arkansas.gov/NPILookup?Npi=1003465618","1003465618")</f>
        <v>1003465618</v>
      </c>
      <c r="E9083" t="s">
        <v>17375</v>
      </c>
    </row>
    <row r="9084" spans="1:5" x14ac:dyDescent="0.25">
      <c r="A9084" t="s">
        <v>2</v>
      </c>
      <c r="B9084" t="s">
        <v>3458</v>
      </c>
      <c r="C9084" t="s">
        <v>23490</v>
      </c>
      <c r="D9084" t="str">
        <f>HYPERLINK("https://rhld.insurance.arkansas.gov/NPILookup?Npi=1003485178","1003485178")</f>
        <v>1003485178</v>
      </c>
      <c r="E9084" t="s">
        <v>19316</v>
      </c>
    </row>
    <row r="9085" spans="1:5" x14ac:dyDescent="0.25">
      <c r="A9085" t="s">
        <v>2</v>
      </c>
      <c r="B9085" t="s">
        <v>3458</v>
      </c>
      <c r="C9085" t="s">
        <v>23490</v>
      </c>
      <c r="D9085" t="str">
        <f>HYPERLINK("https://rhld.insurance.arkansas.gov/NPILookup?Npi=1003492943","1003492943")</f>
        <v>1003492943</v>
      </c>
      <c r="E9085" t="s">
        <v>18642</v>
      </c>
    </row>
    <row r="9086" spans="1:5" x14ac:dyDescent="0.25">
      <c r="A9086" t="s">
        <v>2</v>
      </c>
      <c r="B9086" t="s">
        <v>3458</v>
      </c>
      <c r="C9086" t="s">
        <v>23490</v>
      </c>
      <c r="D9086" t="str">
        <f>HYPERLINK("https://rhld.insurance.arkansas.gov/NPILookup?Npi=1003541327","1003541327")</f>
        <v>1003541327</v>
      </c>
      <c r="E9086" t="s">
        <v>21438</v>
      </c>
    </row>
    <row r="9087" spans="1:5" x14ac:dyDescent="0.25">
      <c r="A9087" t="s">
        <v>2</v>
      </c>
      <c r="B9087" t="s">
        <v>3458</v>
      </c>
      <c r="C9087" t="s">
        <v>23490</v>
      </c>
      <c r="D9087" t="str">
        <f>HYPERLINK("https://rhld.insurance.arkansas.gov/NPILookup?Npi=1003553520","1003553520")</f>
        <v>1003553520</v>
      </c>
      <c r="E9087" t="s">
        <v>20868</v>
      </c>
    </row>
    <row r="9088" spans="1:5" x14ac:dyDescent="0.25">
      <c r="A9088" t="s">
        <v>2</v>
      </c>
      <c r="B9088" t="s">
        <v>3458</v>
      </c>
      <c r="C9088" t="s">
        <v>23490</v>
      </c>
      <c r="D9088" t="str">
        <f>HYPERLINK("https://rhld.insurance.arkansas.gov/NPILookup?Npi=1003563271","1003563271")</f>
        <v>1003563271</v>
      </c>
      <c r="E9088" t="s">
        <v>20869</v>
      </c>
    </row>
    <row r="9089" spans="1:5" x14ac:dyDescent="0.25">
      <c r="A9089" t="s">
        <v>2</v>
      </c>
      <c r="B9089" t="s">
        <v>3458</v>
      </c>
      <c r="C9089" t="s">
        <v>23490</v>
      </c>
      <c r="D9089" t="str">
        <f>HYPERLINK("https://rhld.insurance.arkansas.gov/NPILookup?Npi=1003564154","1003564154")</f>
        <v>1003564154</v>
      </c>
      <c r="E9089" t="s">
        <v>19317</v>
      </c>
    </row>
    <row r="9090" spans="1:5" x14ac:dyDescent="0.25">
      <c r="A9090" t="s">
        <v>2</v>
      </c>
      <c r="B9090" t="s">
        <v>3458</v>
      </c>
      <c r="C9090" t="s">
        <v>23490</v>
      </c>
      <c r="D9090" t="str">
        <f>HYPERLINK("https://rhld.insurance.arkansas.gov/NPILookup?Npi=1003579418","1003579418")</f>
        <v>1003579418</v>
      </c>
      <c r="E9090" t="s">
        <v>19318</v>
      </c>
    </row>
    <row r="9091" spans="1:5" x14ac:dyDescent="0.25">
      <c r="A9091" t="s">
        <v>2</v>
      </c>
      <c r="B9091" t="s">
        <v>3458</v>
      </c>
      <c r="C9091" t="s">
        <v>23490</v>
      </c>
      <c r="D9091" t="str">
        <f>HYPERLINK("https://rhld.insurance.arkansas.gov/NPILookup?Npi=1003583147","1003583147")</f>
        <v>1003583147</v>
      </c>
      <c r="E9091" t="s">
        <v>19319</v>
      </c>
    </row>
    <row r="9092" spans="1:5" x14ac:dyDescent="0.25">
      <c r="A9092" t="s">
        <v>2</v>
      </c>
      <c r="B9092" t="s">
        <v>3458</v>
      </c>
      <c r="C9092" t="s">
        <v>23490</v>
      </c>
      <c r="D9092" t="str">
        <f>HYPERLINK("https://rhld.insurance.arkansas.gov/NPILookup?Npi=1003802828","1003802828")</f>
        <v>1003802828</v>
      </c>
      <c r="E9092" t="s">
        <v>28</v>
      </c>
    </row>
    <row r="9093" spans="1:5" x14ac:dyDescent="0.25">
      <c r="A9093" t="s">
        <v>2</v>
      </c>
      <c r="B9093" t="s">
        <v>3458</v>
      </c>
      <c r="C9093" t="s">
        <v>23490</v>
      </c>
      <c r="D9093" t="str">
        <f>HYPERLINK("https://rhld.insurance.arkansas.gov/NPILookup?Npi=1003803321","1003803321")</f>
        <v>1003803321</v>
      </c>
      <c r="E9093" t="s">
        <v>29</v>
      </c>
    </row>
    <row r="9094" spans="1:5" x14ac:dyDescent="0.25">
      <c r="A9094" t="s">
        <v>2</v>
      </c>
      <c r="B9094" t="s">
        <v>3458</v>
      </c>
      <c r="C9094" t="s">
        <v>23490</v>
      </c>
      <c r="D9094" t="str">
        <f>HYPERLINK("https://rhld.insurance.arkansas.gov/NPILookup?Npi=1003815192","1003815192")</f>
        <v>1003815192</v>
      </c>
      <c r="E9094" t="s">
        <v>32</v>
      </c>
    </row>
    <row r="9095" spans="1:5" x14ac:dyDescent="0.25">
      <c r="A9095" t="s">
        <v>2</v>
      </c>
      <c r="B9095" t="s">
        <v>3458</v>
      </c>
      <c r="C9095" t="s">
        <v>23490</v>
      </c>
      <c r="D9095" t="str">
        <f>HYPERLINK("https://rhld.insurance.arkansas.gov/NPILookup?Npi=1003820036","1003820036")</f>
        <v>1003820036</v>
      </c>
      <c r="E9095" t="s">
        <v>33</v>
      </c>
    </row>
    <row r="9096" spans="1:5" x14ac:dyDescent="0.25">
      <c r="A9096" t="s">
        <v>2</v>
      </c>
      <c r="B9096" t="s">
        <v>3458</v>
      </c>
      <c r="C9096" t="s">
        <v>23490</v>
      </c>
      <c r="D9096" t="str">
        <f>HYPERLINK("https://rhld.insurance.arkansas.gov/NPILookup?Npi=1003826199","1003826199")</f>
        <v>1003826199</v>
      </c>
      <c r="E9096" t="s">
        <v>34</v>
      </c>
    </row>
    <row r="9097" spans="1:5" x14ac:dyDescent="0.25">
      <c r="A9097" t="s">
        <v>2</v>
      </c>
      <c r="B9097" t="s">
        <v>3458</v>
      </c>
      <c r="C9097" t="s">
        <v>23490</v>
      </c>
      <c r="D9097" t="str">
        <f>HYPERLINK("https://rhld.insurance.arkansas.gov/NPILookup?Npi=1003827205","1003827205")</f>
        <v>1003827205</v>
      </c>
      <c r="E9097" t="s">
        <v>12947</v>
      </c>
    </row>
    <row r="9098" spans="1:5" x14ac:dyDescent="0.25">
      <c r="A9098" t="s">
        <v>2</v>
      </c>
      <c r="B9098" t="s">
        <v>3458</v>
      </c>
      <c r="C9098" t="s">
        <v>23490</v>
      </c>
      <c r="D9098" t="str">
        <f>HYPERLINK("https://rhld.insurance.arkansas.gov/NPILookup?Npi=1003831462","1003831462")</f>
        <v>1003831462</v>
      </c>
      <c r="E9098" t="s">
        <v>35</v>
      </c>
    </row>
    <row r="9099" spans="1:5" x14ac:dyDescent="0.25">
      <c r="A9099" t="s">
        <v>2</v>
      </c>
      <c r="B9099" t="s">
        <v>3458</v>
      </c>
      <c r="C9099" t="s">
        <v>23490</v>
      </c>
      <c r="D9099" t="str">
        <f>HYPERLINK("https://rhld.insurance.arkansas.gov/NPILookup?Npi=1003836669","1003836669")</f>
        <v>1003836669</v>
      </c>
      <c r="E9099" t="s">
        <v>36</v>
      </c>
    </row>
    <row r="9100" spans="1:5" x14ac:dyDescent="0.25">
      <c r="A9100" t="s">
        <v>2</v>
      </c>
      <c r="B9100" t="s">
        <v>3458</v>
      </c>
      <c r="C9100" t="s">
        <v>23490</v>
      </c>
      <c r="D9100" t="str">
        <f>HYPERLINK("https://rhld.insurance.arkansas.gov/NPILookup?Npi=1003867151","1003867151")</f>
        <v>1003867151</v>
      </c>
      <c r="E9100" t="s">
        <v>10584</v>
      </c>
    </row>
    <row r="9101" spans="1:5" x14ac:dyDescent="0.25">
      <c r="A9101" t="s">
        <v>2</v>
      </c>
      <c r="B9101" t="s">
        <v>3458</v>
      </c>
      <c r="C9101" t="s">
        <v>23490</v>
      </c>
      <c r="D9101" t="str">
        <f>HYPERLINK("https://rhld.insurance.arkansas.gov/NPILookup?Npi=1003875501","1003875501")</f>
        <v>1003875501</v>
      </c>
      <c r="E9101" t="s">
        <v>39</v>
      </c>
    </row>
    <row r="9102" spans="1:5" x14ac:dyDescent="0.25">
      <c r="A9102" t="s">
        <v>2</v>
      </c>
      <c r="B9102" t="s">
        <v>3458</v>
      </c>
      <c r="C9102" t="s">
        <v>23490</v>
      </c>
      <c r="D9102" t="str">
        <f>HYPERLINK("https://rhld.insurance.arkansas.gov/NPILookup?Npi=1003881848","1003881848")</f>
        <v>1003881848</v>
      </c>
      <c r="E9102" t="s">
        <v>3460</v>
      </c>
    </row>
    <row r="9103" spans="1:5" x14ac:dyDescent="0.25">
      <c r="A9103" t="s">
        <v>2</v>
      </c>
      <c r="B9103" t="s">
        <v>3458</v>
      </c>
      <c r="C9103" t="s">
        <v>23490</v>
      </c>
      <c r="D9103" t="str">
        <f>HYPERLINK("https://rhld.insurance.arkansas.gov/NPILookup?Npi=1003886169","1003886169")</f>
        <v>1003886169</v>
      </c>
      <c r="E9103" t="s">
        <v>41</v>
      </c>
    </row>
    <row r="9104" spans="1:5" x14ac:dyDescent="0.25">
      <c r="A9104" t="s">
        <v>2</v>
      </c>
      <c r="B9104" t="s">
        <v>3458</v>
      </c>
      <c r="C9104" t="s">
        <v>23490</v>
      </c>
      <c r="D9104" t="str">
        <f>HYPERLINK("https://rhld.insurance.arkansas.gov/NPILookup?Npi=1003893330","1003893330")</f>
        <v>1003893330</v>
      </c>
      <c r="E9104" t="s">
        <v>42</v>
      </c>
    </row>
    <row r="9105" spans="1:5" x14ac:dyDescent="0.25">
      <c r="A9105" t="s">
        <v>2</v>
      </c>
      <c r="B9105" t="s">
        <v>3458</v>
      </c>
      <c r="C9105" t="s">
        <v>23490</v>
      </c>
      <c r="D9105" t="str">
        <f>HYPERLINK("https://rhld.insurance.arkansas.gov/NPILookup?Npi=1003893579","1003893579")</f>
        <v>1003893579</v>
      </c>
      <c r="E9105" t="s">
        <v>43</v>
      </c>
    </row>
    <row r="9106" spans="1:5" x14ac:dyDescent="0.25">
      <c r="A9106" t="s">
        <v>2</v>
      </c>
      <c r="B9106" t="s">
        <v>3458</v>
      </c>
      <c r="C9106" t="s">
        <v>23490</v>
      </c>
      <c r="D9106" t="str">
        <f>HYPERLINK("https://rhld.insurance.arkansas.gov/NPILookup?Npi=1003895541","1003895541")</f>
        <v>1003895541</v>
      </c>
      <c r="E9106" t="s">
        <v>44</v>
      </c>
    </row>
    <row r="9107" spans="1:5" x14ac:dyDescent="0.25">
      <c r="A9107" t="s">
        <v>2</v>
      </c>
      <c r="B9107" t="s">
        <v>3458</v>
      </c>
      <c r="C9107" t="s">
        <v>23490</v>
      </c>
      <c r="D9107" t="str">
        <f>HYPERLINK("https://rhld.insurance.arkansas.gov/NPILookup?Npi=1003900549","1003900549")</f>
        <v>1003900549</v>
      </c>
      <c r="E9107" t="s">
        <v>45</v>
      </c>
    </row>
    <row r="9108" spans="1:5" x14ac:dyDescent="0.25">
      <c r="A9108" t="s">
        <v>2</v>
      </c>
      <c r="B9108" t="s">
        <v>3458</v>
      </c>
      <c r="C9108" t="s">
        <v>23490</v>
      </c>
      <c r="D9108" t="str">
        <f>HYPERLINK("https://rhld.insurance.arkansas.gov/NPILookup?Npi=1003906454","1003906454")</f>
        <v>1003906454</v>
      </c>
      <c r="E9108" t="s">
        <v>46</v>
      </c>
    </row>
    <row r="9109" spans="1:5" x14ac:dyDescent="0.25">
      <c r="A9109" t="s">
        <v>2</v>
      </c>
      <c r="B9109" t="s">
        <v>3458</v>
      </c>
      <c r="C9109" t="s">
        <v>23490</v>
      </c>
      <c r="D9109" t="str">
        <f>HYPERLINK("https://rhld.insurance.arkansas.gov/NPILookup?Npi=1003908476","1003908476")</f>
        <v>1003908476</v>
      </c>
      <c r="E9109" t="s">
        <v>14681</v>
      </c>
    </row>
    <row r="9110" spans="1:5" x14ac:dyDescent="0.25">
      <c r="A9110" t="s">
        <v>2</v>
      </c>
      <c r="B9110" t="s">
        <v>3458</v>
      </c>
      <c r="C9110" t="s">
        <v>23490</v>
      </c>
      <c r="D9110" t="str">
        <f>HYPERLINK("https://rhld.insurance.arkansas.gov/NPILookup?Npi=1003946401","1003946401")</f>
        <v>1003946401</v>
      </c>
      <c r="E9110" t="s">
        <v>3461</v>
      </c>
    </row>
    <row r="9111" spans="1:5" x14ac:dyDescent="0.25">
      <c r="A9111" t="s">
        <v>2</v>
      </c>
      <c r="B9111" t="s">
        <v>3458</v>
      </c>
      <c r="C9111" t="s">
        <v>23490</v>
      </c>
      <c r="D9111" t="str">
        <f>HYPERLINK("https://rhld.insurance.arkansas.gov/NPILookup?Npi=1003953753","1003953753")</f>
        <v>1003953753</v>
      </c>
      <c r="E9111" t="s">
        <v>14682</v>
      </c>
    </row>
    <row r="9112" spans="1:5" x14ac:dyDescent="0.25">
      <c r="A9112" t="s">
        <v>2</v>
      </c>
      <c r="B9112" t="s">
        <v>3458</v>
      </c>
      <c r="C9112" t="s">
        <v>23490</v>
      </c>
      <c r="D9112" t="str">
        <f>HYPERLINK("https://rhld.insurance.arkansas.gov/NPILookup?Npi=1003963208","1003963208")</f>
        <v>1003963208</v>
      </c>
      <c r="E9112" t="s">
        <v>48</v>
      </c>
    </row>
    <row r="9113" spans="1:5" x14ac:dyDescent="0.25">
      <c r="A9113" t="s">
        <v>2</v>
      </c>
      <c r="B9113" t="s">
        <v>3458</v>
      </c>
      <c r="C9113" t="s">
        <v>23490</v>
      </c>
      <c r="D9113" t="str">
        <f>HYPERLINK("https://rhld.insurance.arkansas.gov/NPILookup?Npi=1003967951","1003967951")</f>
        <v>1003967951</v>
      </c>
      <c r="E9113" t="s">
        <v>49</v>
      </c>
    </row>
    <row r="9114" spans="1:5" x14ac:dyDescent="0.25">
      <c r="A9114" t="s">
        <v>2</v>
      </c>
      <c r="B9114" t="s">
        <v>3458</v>
      </c>
      <c r="C9114" t="s">
        <v>23490</v>
      </c>
      <c r="D9114" t="str">
        <f>HYPERLINK("https://rhld.insurance.arkansas.gov/NPILookup?Npi=1003999590","1003999590")</f>
        <v>1003999590</v>
      </c>
      <c r="E9114" t="s">
        <v>12757</v>
      </c>
    </row>
    <row r="9115" spans="1:5" x14ac:dyDescent="0.25">
      <c r="A9115" t="s">
        <v>2</v>
      </c>
      <c r="B9115" t="s">
        <v>3458</v>
      </c>
      <c r="C9115" t="s">
        <v>23490</v>
      </c>
      <c r="D9115" t="str">
        <f>HYPERLINK("https://rhld.insurance.arkansas.gov/NPILookup?Npi=1013004324","1013004324")</f>
        <v>1013004324</v>
      </c>
      <c r="E9115" t="s">
        <v>51</v>
      </c>
    </row>
    <row r="9116" spans="1:5" x14ac:dyDescent="0.25">
      <c r="A9116" t="s">
        <v>2</v>
      </c>
      <c r="B9116" t="s">
        <v>3458</v>
      </c>
      <c r="C9116" t="s">
        <v>23490</v>
      </c>
      <c r="D9116" t="str">
        <f>HYPERLINK("https://rhld.insurance.arkansas.gov/NPILookup?Npi=1013015635","1013015635")</f>
        <v>1013015635</v>
      </c>
      <c r="E9116" t="s">
        <v>53</v>
      </c>
    </row>
    <row r="9117" spans="1:5" x14ac:dyDescent="0.25">
      <c r="A9117" t="s">
        <v>2</v>
      </c>
      <c r="B9117" t="s">
        <v>3458</v>
      </c>
      <c r="C9117" t="s">
        <v>23490</v>
      </c>
      <c r="D9117" t="str">
        <f>HYPERLINK("https://rhld.insurance.arkansas.gov/NPILookup?Npi=1013042985","1013042985")</f>
        <v>1013042985</v>
      </c>
      <c r="E9117" t="s">
        <v>55</v>
      </c>
    </row>
    <row r="9118" spans="1:5" x14ac:dyDescent="0.25">
      <c r="A9118" t="s">
        <v>2</v>
      </c>
      <c r="B9118" t="s">
        <v>3458</v>
      </c>
      <c r="C9118" t="s">
        <v>23490</v>
      </c>
      <c r="D9118" t="str">
        <f>HYPERLINK("https://rhld.insurance.arkansas.gov/NPILookup?Npi=1013057447","1013057447")</f>
        <v>1013057447</v>
      </c>
      <c r="E9118" t="s">
        <v>56</v>
      </c>
    </row>
    <row r="9119" spans="1:5" x14ac:dyDescent="0.25">
      <c r="A9119" t="s">
        <v>2</v>
      </c>
      <c r="B9119" t="s">
        <v>3458</v>
      </c>
      <c r="C9119" t="s">
        <v>23490</v>
      </c>
      <c r="D9119" t="str">
        <f>HYPERLINK("https://rhld.insurance.arkansas.gov/NPILookup?Npi=1013057488","1013057488")</f>
        <v>1013057488</v>
      </c>
      <c r="E9119" t="s">
        <v>10585</v>
      </c>
    </row>
    <row r="9120" spans="1:5" x14ac:dyDescent="0.25">
      <c r="A9120" t="s">
        <v>2</v>
      </c>
      <c r="B9120" t="s">
        <v>3458</v>
      </c>
      <c r="C9120" t="s">
        <v>23490</v>
      </c>
      <c r="D9120" t="str">
        <f>HYPERLINK("https://rhld.insurance.arkansas.gov/NPILookup?Npi=1013083781","1013083781")</f>
        <v>1013083781</v>
      </c>
      <c r="E9120" t="s">
        <v>58</v>
      </c>
    </row>
    <row r="9121" spans="1:5" x14ac:dyDescent="0.25">
      <c r="A9121" t="s">
        <v>2</v>
      </c>
      <c r="B9121" t="s">
        <v>3458</v>
      </c>
      <c r="C9121" t="s">
        <v>23490</v>
      </c>
      <c r="D9121" t="str">
        <f>HYPERLINK("https://rhld.insurance.arkansas.gov/NPILookup?Npi=1013101161","1013101161")</f>
        <v>1013101161</v>
      </c>
      <c r="E9121" t="s">
        <v>59</v>
      </c>
    </row>
    <row r="9122" spans="1:5" x14ac:dyDescent="0.25">
      <c r="A9122" t="s">
        <v>2</v>
      </c>
      <c r="B9122" t="s">
        <v>3458</v>
      </c>
      <c r="C9122" t="s">
        <v>23490</v>
      </c>
      <c r="D9122" t="str">
        <f>HYPERLINK("https://rhld.insurance.arkansas.gov/NPILookup?Npi=1013103449","1013103449")</f>
        <v>1013103449</v>
      </c>
      <c r="E9122" t="s">
        <v>18643</v>
      </c>
    </row>
    <row r="9123" spans="1:5" x14ac:dyDescent="0.25">
      <c r="A9123" t="s">
        <v>2</v>
      </c>
      <c r="B9123" t="s">
        <v>3458</v>
      </c>
      <c r="C9123" t="s">
        <v>23490</v>
      </c>
      <c r="D9123" t="str">
        <f>HYPERLINK("https://rhld.insurance.arkansas.gov/NPILookup?Npi=1013112119","1013112119")</f>
        <v>1013112119</v>
      </c>
      <c r="E9123" t="s">
        <v>60</v>
      </c>
    </row>
    <row r="9124" spans="1:5" x14ac:dyDescent="0.25">
      <c r="A9124" t="s">
        <v>2</v>
      </c>
      <c r="B9124" t="s">
        <v>3458</v>
      </c>
      <c r="C9124" t="s">
        <v>8427</v>
      </c>
      <c r="D9124" t="str">
        <f>HYPERLINK("https://rhld.insurance.arkansas.gov/NPILookup?Npi=1013114610","1013114610")</f>
        <v>1013114610</v>
      </c>
      <c r="E9124" t="s">
        <v>22880</v>
      </c>
    </row>
    <row r="9125" spans="1:5" x14ac:dyDescent="0.25">
      <c r="A9125" t="s">
        <v>2</v>
      </c>
      <c r="B9125" t="s">
        <v>3458</v>
      </c>
      <c r="C9125" t="s">
        <v>23490</v>
      </c>
      <c r="D9125" t="str">
        <f>HYPERLINK("https://rhld.insurance.arkansas.gov/NPILookup?Npi=1013139666","1013139666")</f>
        <v>1013139666</v>
      </c>
      <c r="E9125" t="s">
        <v>3462</v>
      </c>
    </row>
    <row r="9126" spans="1:5" x14ac:dyDescent="0.25">
      <c r="A9126" t="s">
        <v>2</v>
      </c>
      <c r="B9126" t="s">
        <v>3458</v>
      </c>
      <c r="C9126" t="s">
        <v>23490</v>
      </c>
      <c r="D9126" t="str">
        <f>HYPERLINK("https://rhld.insurance.arkansas.gov/NPILookup?Npi=1013141621","1013141621")</f>
        <v>1013141621</v>
      </c>
      <c r="E9126" t="s">
        <v>21439</v>
      </c>
    </row>
    <row r="9127" spans="1:5" x14ac:dyDescent="0.25">
      <c r="A9127" t="s">
        <v>2</v>
      </c>
      <c r="B9127" t="s">
        <v>3458</v>
      </c>
      <c r="C9127" t="s">
        <v>23490</v>
      </c>
      <c r="D9127" t="str">
        <f>HYPERLINK("https://rhld.insurance.arkansas.gov/NPILookup?Npi=1013149798","1013149798")</f>
        <v>1013149798</v>
      </c>
      <c r="E9127" t="s">
        <v>63</v>
      </c>
    </row>
    <row r="9128" spans="1:5" x14ac:dyDescent="0.25">
      <c r="A9128" t="s">
        <v>2</v>
      </c>
      <c r="B9128" t="s">
        <v>3458</v>
      </c>
      <c r="C9128" t="s">
        <v>23490</v>
      </c>
      <c r="D9128" t="str">
        <f>HYPERLINK("https://rhld.insurance.arkansas.gov/NPILookup?Npi=1013159383","1013159383")</f>
        <v>1013159383</v>
      </c>
      <c r="E9128" t="s">
        <v>8429</v>
      </c>
    </row>
    <row r="9129" spans="1:5" x14ac:dyDescent="0.25">
      <c r="A9129" t="s">
        <v>2</v>
      </c>
      <c r="B9129" t="s">
        <v>3458</v>
      </c>
      <c r="C9129" t="s">
        <v>23490</v>
      </c>
      <c r="D9129" t="str">
        <f>HYPERLINK("https://rhld.insurance.arkansas.gov/NPILookup?Npi=1013167352","1013167352")</f>
        <v>1013167352</v>
      </c>
      <c r="E9129" t="s">
        <v>14683</v>
      </c>
    </row>
    <row r="9130" spans="1:5" x14ac:dyDescent="0.25">
      <c r="A9130" t="s">
        <v>2</v>
      </c>
      <c r="B9130" t="s">
        <v>3458</v>
      </c>
      <c r="C9130" t="s">
        <v>23490</v>
      </c>
      <c r="D9130" t="str">
        <f>HYPERLINK("https://rhld.insurance.arkansas.gov/NPILookup?Npi=1013209808","1013209808")</f>
        <v>1013209808</v>
      </c>
      <c r="E9130" t="s">
        <v>3463</v>
      </c>
    </row>
    <row r="9131" spans="1:5" x14ac:dyDescent="0.25">
      <c r="A9131" t="s">
        <v>2</v>
      </c>
      <c r="B9131" t="s">
        <v>3458</v>
      </c>
      <c r="C9131" t="s">
        <v>23490</v>
      </c>
      <c r="D9131" t="str">
        <f>HYPERLINK("https://rhld.insurance.arkansas.gov/NPILookup?Npi=1013223130","1013223130")</f>
        <v>1013223130</v>
      </c>
      <c r="E9131" t="s">
        <v>64</v>
      </c>
    </row>
    <row r="9132" spans="1:5" x14ac:dyDescent="0.25">
      <c r="A9132" t="s">
        <v>2</v>
      </c>
      <c r="B9132" t="s">
        <v>3458</v>
      </c>
      <c r="C9132" t="s">
        <v>23490</v>
      </c>
      <c r="D9132" t="str">
        <f>HYPERLINK("https://rhld.insurance.arkansas.gov/NPILookup?Npi=1013241876","1013241876")</f>
        <v>1013241876</v>
      </c>
      <c r="E9132" t="s">
        <v>65</v>
      </c>
    </row>
    <row r="9133" spans="1:5" x14ac:dyDescent="0.25">
      <c r="A9133" t="s">
        <v>2</v>
      </c>
      <c r="B9133" t="s">
        <v>3458</v>
      </c>
      <c r="C9133" t="s">
        <v>23490</v>
      </c>
      <c r="D9133" t="str">
        <f>HYPERLINK("https://rhld.insurance.arkansas.gov/NPILookup?Npi=1013250166","1013250166")</f>
        <v>1013250166</v>
      </c>
      <c r="E9133" t="s">
        <v>13329</v>
      </c>
    </row>
    <row r="9134" spans="1:5" x14ac:dyDescent="0.25">
      <c r="A9134" t="s">
        <v>2</v>
      </c>
      <c r="B9134" t="s">
        <v>3458</v>
      </c>
      <c r="C9134" t="s">
        <v>23490</v>
      </c>
      <c r="D9134" t="str">
        <f>HYPERLINK("https://rhld.insurance.arkansas.gov/NPILookup?Npi=1013250182","1013250182")</f>
        <v>1013250182</v>
      </c>
      <c r="E9134" t="s">
        <v>8431</v>
      </c>
    </row>
    <row r="9135" spans="1:5" x14ac:dyDescent="0.25">
      <c r="A9135" t="s">
        <v>2</v>
      </c>
      <c r="B9135" t="s">
        <v>3458</v>
      </c>
      <c r="C9135" t="s">
        <v>23490</v>
      </c>
      <c r="D9135" t="str">
        <f>HYPERLINK("https://rhld.insurance.arkansas.gov/NPILookup?Npi=1013262922","1013262922")</f>
        <v>1013262922</v>
      </c>
      <c r="E9135" t="s">
        <v>67</v>
      </c>
    </row>
    <row r="9136" spans="1:5" x14ac:dyDescent="0.25">
      <c r="A9136" t="s">
        <v>2</v>
      </c>
      <c r="B9136" t="s">
        <v>3458</v>
      </c>
      <c r="C9136" t="s">
        <v>23490</v>
      </c>
      <c r="D9136" t="str">
        <f>HYPERLINK("https://rhld.insurance.arkansas.gov/NPILookup?Npi=1013270909","1013270909")</f>
        <v>1013270909</v>
      </c>
      <c r="E9136" t="s">
        <v>68</v>
      </c>
    </row>
    <row r="9137" spans="1:5" x14ac:dyDescent="0.25">
      <c r="A9137" t="s">
        <v>2</v>
      </c>
      <c r="B9137" t="s">
        <v>3458</v>
      </c>
      <c r="C9137" t="s">
        <v>23490</v>
      </c>
      <c r="D9137" t="str">
        <f>HYPERLINK("https://rhld.insurance.arkansas.gov/NPILookup?Npi=1013271485","1013271485")</f>
        <v>1013271485</v>
      </c>
      <c r="E9137" t="s">
        <v>10586</v>
      </c>
    </row>
    <row r="9138" spans="1:5" x14ac:dyDescent="0.25">
      <c r="A9138" t="s">
        <v>2</v>
      </c>
      <c r="B9138" t="s">
        <v>3458</v>
      </c>
      <c r="C9138" t="s">
        <v>23490</v>
      </c>
      <c r="D9138" t="str">
        <f>HYPERLINK("https://rhld.insurance.arkansas.gov/NPILookup?Npi=1013278167","1013278167")</f>
        <v>1013278167</v>
      </c>
      <c r="E9138" t="s">
        <v>69</v>
      </c>
    </row>
    <row r="9139" spans="1:5" x14ac:dyDescent="0.25">
      <c r="A9139" t="s">
        <v>2</v>
      </c>
      <c r="B9139" t="s">
        <v>3458</v>
      </c>
      <c r="C9139" t="s">
        <v>23490</v>
      </c>
      <c r="D9139" t="str">
        <f>HYPERLINK("https://rhld.insurance.arkansas.gov/NPILookup?Npi=1013301936","1013301936")</f>
        <v>1013301936</v>
      </c>
      <c r="E9139" t="s">
        <v>17069</v>
      </c>
    </row>
    <row r="9140" spans="1:5" x14ac:dyDescent="0.25">
      <c r="A9140" t="s">
        <v>2</v>
      </c>
      <c r="B9140" t="s">
        <v>3458</v>
      </c>
      <c r="C9140" t="s">
        <v>23490</v>
      </c>
      <c r="D9140" t="str">
        <f>HYPERLINK("https://rhld.insurance.arkansas.gov/NPILookup?Npi=1013304393","1013304393")</f>
        <v>1013304393</v>
      </c>
      <c r="E9140" t="s">
        <v>10587</v>
      </c>
    </row>
    <row r="9141" spans="1:5" x14ac:dyDescent="0.25">
      <c r="A9141" t="s">
        <v>2</v>
      </c>
      <c r="B9141" t="s">
        <v>3458</v>
      </c>
      <c r="C9141" t="s">
        <v>23490</v>
      </c>
      <c r="D9141" t="str">
        <f>HYPERLINK("https://rhld.insurance.arkansas.gov/NPILookup?Npi=1013308436","1013308436")</f>
        <v>1013308436</v>
      </c>
      <c r="E9141" t="s">
        <v>70</v>
      </c>
    </row>
    <row r="9142" spans="1:5" x14ac:dyDescent="0.25">
      <c r="A9142" t="s">
        <v>2</v>
      </c>
      <c r="B9142" t="s">
        <v>3458</v>
      </c>
      <c r="C9142" t="s">
        <v>23490</v>
      </c>
      <c r="D9142" t="str">
        <f>HYPERLINK("https://rhld.insurance.arkansas.gov/NPILookup?Npi=1013324722","1013324722")</f>
        <v>1013324722</v>
      </c>
      <c r="E9142" t="s">
        <v>10588</v>
      </c>
    </row>
    <row r="9143" spans="1:5" x14ac:dyDescent="0.25">
      <c r="A9143" t="s">
        <v>2</v>
      </c>
      <c r="B9143" t="s">
        <v>3458</v>
      </c>
      <c r="C9143" t="s">
        <v>23490</v>
      </c>
      <c r="D9143" t="str">
        <f>HYPERLINK("https://rhld.insurance.arkansas.gov/NPILookup?Npi=1013329218","1013329218")</f>
        <v>1013329218</v>
      </c>
      <c r="E9143" t="s">
        <v>71</v>
      </c>
    </row>
    <row r="9144" spans="1:5" x14ac:dyDescent="0.25">
      <c r="A9144" t="s">
        <v>2</v>
      </c>
      <c r="B9144" t="s">
        <v>3458</v>
      </c>
      <c r="C9144" t="s">
        <v>23490</v>
      </c>
      <c r="D9144" t="str">
        <f>HYPERLINK("https://rhld.insurance.arkansas.gov/NPILookup?Npi=1013336296","1013336296")</f>
        <v>1013336296</v>
      </c>
      <c r="E9144" t="s">
        <v>10589</v>
      </c>
    </row>
    <row r="9145" spans="1:5" x14ac:dyDescent="0.25">
      <c r="A9145" t="s">
        <v>2</v>
      </c>
      <c r="B9145" t="s">
        <v>3458</v>
      </c>
      <c r="C9145" t="s">
        <v>23490</v>
      </c>
      <c r="D9145" t="str">
        <f>HYPERLINK("https://rhld.insurance.arkansas.gov/NPILookup?Npi=1013358522","1013358522")</f>
        <v>1013358522</v>
      </c>
      <c r="E9145" t="s">
        <v>21708</v>
      </c>
    </row>
    <row r="9146" spans="1:5" x14ac:dyDescent="0.25">
      <c r="A9146" t="s">
        <v>2</v>
      </c>
      <c r="B9146" t="s">
        <v>3458</v>
      </c>
      <c r="C9146" t="s">
        <v>23490</v>
      </c>
      <c r="D9146" t="str">
        <f>HYPERLINK("https://rhld.insurance.arkansas.gov/NPILookup?Npi=1013359769","1013359769")</f>
        <v>1013359769</v>
      </c>
      <c r="E9146" t="s">
        <v>8432</v>
      </c>
    </row>
    <row r="9147" spans="1:5" x14ac:dyDescent="0.25">
      <c r="A9147" t="s">
        <v>2</v>
      </c>
      <c r="B9147" t="s">
        <v>3458</v>
      </c>
      <c r="C9147" t="s">
        <v>23490</v>
      </c>
      <c r="D9147" t="str">
        <f>HYPERLINK("https://rhld.insurance.arkansas.gov/NPILookup?Npi=1013367226","1013367226")</f>
        <v>1013367226</v>
      </c>
      <c r="E9147" t="s">
        <v>10590</v>
      </c>
    </row>
    <row r="9148" spans="1:5" x14ac:dyDescent="0.25">
      <c r="A9148" t="s">
        <v>2</v>
      </c>
      <c r="B9148" t="s">
        <v>3458</v>
      </c>
      <c r="C9148" t="s">
        <v>23490</v>
      </c>
      <c r="D9148" t="str">
        <f>HYPERLINK("https://rhld.insurance.arkansas.gov/NPILookup?Npi=1013376201","1013376201")</f>
        <v>1013376201</v>
      </c>
      <c r="E9148" t="s">
        <v>10591</v>
      </c>
    </row>
    <row r="9149" spans="1:5" x14ac:dyDescent="0.25">
      <c r="A9149" t="s">
        <v>2</v>
      </c>
      <c r="B9149" t="s">
        <v>3458</v>
      </c>
      <c r="C9149" t="s">
        <v>23490</v>
      </c>
      <c r="D9149" t="str">
        <f>HYPERLINK("https://rhld.insurance.arkansas.gov/NPILookup?Npi=1013377415","1013377415")</f>
        <v>1013377415</v>
      </c>
      <c r="E9149" t="s">
        <v>10592</v>
      </c>
    </row>
    <row r="9150" spans="1:5" x14ac:dyDescent="0.25">
      <c r="A9150" t="s">
        <v>2</v>
      </c>
      <c r="B9150" t="s">
        <v>3458</v>
      </c>
      <c r="C9150" t="s">
        <v>23490</v>
      </c>
      <c r="D9150" t="str">
        <f>HYPERLINK("https://rhld.insurance.arkansas.gov/NPILookup?Npi=1013383090","1013383090")</f>
        <v>1013383090</v>
      </c>
      <c r="E9150" t="s">
        <v>72</v>
      </c>
    </row>
    <row r="9151" spans="1:5" x14ac:dyDescent="0.25">
      <c r="A9151" t="s">
        <v>2</v>
      </c>
      <c r="B9151" t="s">
        <v>3458</v>
      </c>
      <c r="C9151" t="s">
        <v>23490</v>
      </c>
      <c r="D9151" t="str">
        <f>HYPERLINK("https://rhld.insurance.arkansas.gov/NPILookup?Npi=1013394287","1013394287")</f>
        <v>1013394287</v>
      </c>
      <c r="E9151" t="s">
        <v>73</v>
      </c>
    </row>
    <row r="9152" spans="1:5" x14ac:dyDescent="0.25">
      <c r="A9152" t="s">
        <v>2</v>
      </c>
      <c r="B9152" t="s">
        <v>3458</v>
      </c>
      <c r="C9152" t="s">
        <v>23490</v>
      </c>
      <c r="D9152" t="str">
        <f>HYPERLINK("https://rhld.insurance.arkansas.gov/NPILookup?Npi=1013415355","1013415355")</f>
        <v>1013415355</v>
      </c>
      <c r="E9152" t="s">
        <v>12758</v>
      </c>
    </row>
    <row r="9153" spans="1:5" x14ac:dyDescent="0.25">
      <c r="A9153" t="s">
        <v>2</v>
      </c>
      <c r="B9153" t="s">
        <v>3458</v>
      </c>
      <c r="C9153" t="s">
        <v>23490</v>
      </c>
      <c r="D9153" t="str">
        <f>HYPERLINK("https://rhld.insurance.arkansas.gov/NPILookup?Npi=1013433127","1013433127")</f>
        <v>1013433127</v>
      </c>
      <c r="E9153" t="s">
        <v>10593</v>
      </c>
    </row>
    <row r="9154" spans="1:5" x14ac:dyDescent="0.25">
      <c r="A9154" t="s">
        <v>2</v>
      </c>
      <c r="B9154" t="s">
        <v>3458</v>
      </c>
      <c r="C9154" t="s">
        <v>23490</v>
      </c>
      <c r="D9154" t="str">
        <f>HYPERLINK("https://rhld.insurance.arkansas.gov/NPILookup?Npi=1013464494","1013464494")</f>
        <v>1013464494</v>
      </c>
      <c r="E9154" t="s">
        <v>14686</v>
      </c>
    </row>
    <row r="9155" spans="1:5" x14ac:dyDescent="0.25">
      <c r="A9155" t="s">
        <v>2</v>
      </c>
      <c r="B9155" t="s">
        <v>3458</v>
      </c>
      <c r="C9155" t="s">
        <v>23490</v>
      </c>
      <c r="D9155" t="str">
        <f>HYPERLINK("https://rhld.insurance.arkansas.gov/NPILookup?Npi=1013489590","1013489590")</f>
        <v>1013489590</v>
      </c>
      <c r="E9155" t="s">
        <v>13330</v>
      </c>
    </row>
    <row r="9156" spans="1:5" x14ac:dyDescent="0.25">
      <c r="A9156" t="s">
        <v>2</v>
      </c>
      <c r="B9156" t="s">
        <v>3458</v>
      </c>
      <c r="C9156" t="s">
        <v>23490</v>
      </c>
      <c r="D9156" t="str">
        <f>HYPERLINK("https://rhld.insurance.arkansas.gov/NPILookup?Npi=1013492248","1013492248")</f>
        <v>1013492248</v>
      </c>
      <c r="E9156" t="s">
        <v>14687</v>
      </c>
    </row>
    <row r="9157" spans="1:5" x14ac:dyDescent="0.25">
      <c r="A9157" t="s">
        <v>2</v>
      </c>
      <c r="B9157" t="s">
        <v>3458</v>
      </c>
      <c r="C9157" t="s">
        <v>23490</v>
      </c>
      <c r="D9157" t="str">
        <f>HYPERLINK("https://rhld.insurance.arkansas.gov/NPILookup?Npi=1013513589","1013513589")</f>
        <v>1013513589</v>
      </c>
      <c r="E9157" t="s">
        <v>17830</v>
      </c>
    </row>
    <row r="9158" spans="1:5" x14ac:dyDescent="0.25">
      <c r="A9158" t="s">
        <v>2</v>
      </c>
      <c r="B9158" t="s">
        <v>3458</v>
      </c>
      <c r="C9158" t="s">
        <v>23490</v>
      </c>
      <c r="D9158" t="str">
        <f>HYPERLINK("https://rhld.insurance.arkansas.gov/NPILookup?Npi=1013528728","1013528728")</f>
        <v>1013528728</v>
      </c>
      <c r="E9158" t="s">
        <v>22882</v>
      </c>
    </row>
    <row r="9159" spans="1:5" x14ac:dyDescent="0.25">
      <c r="A9159" t="s">
        <v>2</v>
      </c>
      <c r="B9159" t="s">
        <v>3458</v>
      </c>
      <c r="C9159" t="s">
        <v>23490</v>
      </c>
      <c r="D9159" t="str">
        <f>HYPERLINK("https://rhld.insurance.arkansas.gov/NPILookup?Npi=1013580448","1013580448")</f>
        <v>1013580448</v>
      </c>
      <c r="E9159" t="s">
        <v>18646</v>
      </c>
    </row>
    <row r="9160" spans="1:5" x14ac:dyDescent="0.25">
      <c r="A9160" t="s">
        <v>2</v>
      </c>
      <c r="B9160" t="s">
        <v>3458</v>
      </c>
      <c r="C9160" t="s">
        <v>23490</v>
      </c>
      <c r="D9160" t="str">
        <f>HYPERLINK("https://rhld.insurance.arkansas.gov/NPILookup?Npi=1013629674","1013629674")</f>
        <v>1013629674</v>
      </c>
      <c r="E9160" t="s">
        <v>21444</v>
      </c>
    </row>
    <row r="9161" spans="1:5" x14ac:dyDescent="0.25">
      <c r="A9161" t="s">
        <v>2</v>
      </c>
      <c r="B9161" t="s">
        <v>3458</v>
      </c>
      <c r="C9161" t="s">
        <v>23490</v>
      </c>
      <c r="D9161" t="str">
        <f>HYPERLINK("https://rhld.insurance.arkansas.gov/NPILookup?Npi=1013636695","1013636695")</f>
        <v>1013636695</v>
      </c>
      <c r="E9161" t="s">
        <v>20871</v>
      </c>
    </row>
    <row r="9162" spans="1:5" x14ac:dyDescent="0.25">
      <c r="A9162" t="s">
        <v>2</v>
      </c>
      <c r="B9162" t="s">
        <v>3458</v>
      </c>
      <c r="C9162" t="s">
        <v>23490</v>
      </c>
      <c r="D9162" t="str">
        <f>HYPERLINK("https://rhld.insurance.arkansas.gov/NPILookup?Npi=1013658822","1013658822")</f>
        <v>1013658822</v>
      </c>
      <c r="E9162" t="s">
        <v>19331</v>
      </c>
    </row>
    <row r="9163" spans="1:5" x14ac:dyDescent="0.25">
      <c r="A9163" t="s">
        <v>2</v>
      </c>
      <c r="B9163" t="s">
        <v>3458</v>
      </c>
      <c r="C9163" t="s">
        <v>23490</v>
      </c>
      <c r="D9163" t="str">
        <f>HYPERLINK("https://rhld.insurance.arkansas.gov/NPILookup?Npi=1013664093","1013664093")</f>
        <v>1013664093</v>
      </c>
      <c r="E9163" t="s">
        <v>21445</v>
      </c>
    </row>
    <row r="9164" spans="1:5" x14ac:dyDescent="0.25">
      <c r="A9164" t="s">
        <v>2</v>
      </c>
      <c r="B9164" t="s">
        <v>3458</v>
      </c>
      <c r="C9164" t="s">
        <v>23490</v>
      </c>
      <c r="D9164" t="str">
        <f>HYPERLINK("https://rhld.insurance.arkansas.gov/NPILookup?Npi=1013901222","1013901222")</f>
        <v>1013901222</v>
      </c>
      <c r="E9164" t="s">
        <v>74</v>
      </c>
    </row>
    <row r="9165" spans="1:5" x14ac:dyDescent="0.25">
      <c r="A9165" t="s">
        <v>2</v>
      </c>
      <c r="B9165" t="s">
        <v>3458</v>
      </c>
      <c r="C9165" t="s">
        <v>23490</v>
      </c>
      <c r="D9165" t="str">
        <f>HYPERLINK("https://rhld.insurance.arkansas.gov/NPILookup?Npi=1013903269","1013903269")</f>
        <v>1013903269</v>
      </c>
      <c r="E9165" t="s">
        <v>75</v>
      </c>
    </row>
    <row r="9166" spans="1:5" x14ac:dyDescent="0.25">
      <c r="A9166" t="s">
        <v>2</v>
      </c>
      <c r="B9166" t="s">
        <v>3458</v>
      </c>
      <c r="C9166" t="s">
        <v>23490</v>
      </c>
      <c r="D9166" t="str">
        <f>HYPERLINK("https://rhld.insurance.arkansas.gov/NPILookup?Npi=1013904895","1013904895")</f>
        <v>1013904895</v>
      </c>
      <c r="E9166" t="s">
        <v>76</v>
      </c>
    </row>
    <row r="9167" spans="1:5" x14ac:dyDescent="0.25">
      <c r="A9167" t="s">
        <v>2</v>
      </c>
      <c r="B9167" t="s">
        <v>3458</v>
      </c>
      <c r="C9167" t="s">
        <v>23490</v>
      </c>
      <c r="D9167" t="str">
        <f>HYPERLINK("https://rhld.insurance.arkansas.gov/NPILookup?Npi=1013908672","1013908672")</f>
        <v>1013908672</v>
      </c>
      <c r="E9167" t="s">
        <v>14688</v>
      </c>
    </row>
    <row r="9168" spans="1:5" x14ac:dyDescent="0.25">
      <c r="A9168" t="s">
        <v>2</v>
      </c>
      <c r="B9168" t="s">
        <v>3458</v>
      </c>
      <c r="C9168" t="s">
        <v>23490</v>
      </c>
      <c r="D9168" t="str">
        <f>HYPERLINK("https://rhld.insurance.arkansas.gov/NPILookup?Npi=1013917905","1013917905")</f>
        <v>1013917905</v>
      </c>
      <c r="E9168" t="s">
        <v>3464</v>
      </c>
    </row>
    <row r="9169" spans="1:5" x14ac:dyDescent="0.25">
      <c r="A9169" t="s">
        <v>2</v>
      </c>
      <c r="B9169" t="s">
        <v>3458</v>
      </c>
      <c r="C9169" t="s">
        <v>23490</v>
      </c>
      <c r="D9169" t="str">
        <f>HYPERLINK("https://rhld.insurance.arkansas.gov/NPILookup?Npi=1013918093","1013918093")</f>
        <v>1013918093</v>
      </c>
      <c r="E9169" t="s">
        <v>78</v>
      </c>
    </row>
    <row r="9170" spans="1:5" x14ac:dyDescent="0.25">
      <c r="A9170" t="s">
        <v>2</v>
      </c>
      <c r="B9170" t="s">
        <v>3458</v>
      </c>
      <c r="C9170" t="s">
        <v>23490</v>
      </c>
      <c r="D9170" t="str">
        <f>HYPERLINK("https://rhld.insurance.arkansas.gov/NPILookup?Npi=1013924315","1013924315")</f>
        <v>1013924315</v>
      </c>
      <c r="E9170" t="s">
        <v>14689</v>
      </c>
    </row>
    <row r="9171" spans="1:5" x14ac:dyDescent="0.25">
      <c r="A9171" t="s">
        <v>2</v>
      </c>
      <c r="B9171" t="s">
        <v>3458</v>
      </c>
      <c r="C9171" t="s">
        <v>23490</v>
      </c>
      <c r="D9171" t="str">
        <f>HYPERLINK("https://rhld.insurance.arkansas.gov/NPILookup?Npi=1013937549","1013937549")</f>
        <v>1013937549</v>
      </c>
      <c r="E9171" t="s">
        <v>3465</v>
      </c>
    </row>
    <row r="9172" spans="1:5" x14ac:dyDescent="0.25">
      <c r="A9172" t="s">
        <v>2</v>
      </c>
      <c r="B9172" t="s">
        <v>3458</v>
      </c>
      <c r="C9172" t="s">
        <v>23490</v>
      </c>
      <c r="D9172" t="str">
        <f>HYPERLINK("https://rhld.insurance.arkansas.gov/NPILookup?Npi=1013945138","1013945138")</f>
        <v>1013945138</v>
      </c>
      <c r="E9172" t="s">
        <v>80</v>
      </c>
    </row>
    <row r="9173" spans="1:5" x14ac:dyDescent="0.25">
      <c r="A9173" t="s">
        <v>2</v>
      </c>
      <c r="B9173" t="s">
        <v>3458</v>
      </c>
      <c r="C9173" t="s">
        <v>23490</v>
      </c>
      <c r="D9173" t="str">
        <f>HYPERLINK("https://rhld.insurance.arkansas.gov/NPILookup?Npi=1013953157","1013953157")</f>
        <v>1013953157</v>
      </c>
      <c r="E9173" t="s">
        <v>81</v>
      </c>
    </row>
    <row r="9174" spans="1:5" x14ac:dyDescent="0.25">
      <c r="A9174" t="s">
        <v>2</v>
      </c>
      <c r="B9174" t="s">
        <v>3458</v>
      </c>
      <c r="C9174" t="s">
        <v>23490</v>
      </c>
      <c r="D9174" t="str">
        <f>HYPERLINK("https://rhld.insurance.arkansas.gov/NPILookup?Npi=1013958008","1013958008")</f>
        <v>1013958008</v>
      </c>
      <c r="E9174" t="s">
        <v>84</v>
      </c>
    </row>
    <row r="9175" spans="1:5" x14ac:dyDescent="0.25">
      <c r="A9175" t="s">
        <v>2</v>
      </c>
      <c r="B9175" t="s">
        <v>3458</v>
      </c>
      <c r="C9175" t="s">
        <v>23490</v>
      </c>
      <c r="D9175" t="str">
        <f>HYPERLINK("https://rhld.insurance.arkansas.gov/NPILookup?Npi=1013973817","1013973817")</f>
        <v>1013973817</v>
      </c>
      <c r="E9175" t="s">
        <v>3466</v>
      </c>
    </row>
    <row r="9176" spans="1:5" x14ac:dyDescent="0.25">
      <c r="A9176" t="s">
        <v>2</v>
      </c>
      <c r="B9176" t="s">
        <v>3458</v>
      </c>
      <c r="C9176" t="s">
        <v>23490</v>
      </c>
      <c r="D9176" t="str">
        <f>HYPERLINK("https://rhld.insurance.arkansas.gov/NPILookup?Npi=1013982974","1013982974")</f>
        <v>1013982974</v>
      </c>
      <c r="E9176" t="s">
        <v>3467</v>
      </c>
    </row>
    <row r="9177" spans="1:5" x14ac:dyDescent="0.25">
      <c r="A9177" t="s">
        <v>2</v>
      </c>
      <c r="B9177" t="s">
        <v>3458</v>
      </c>
      <c r="C9177" t="s">
        <v>23490</v>
      </c>
      <c r="D9177" t="str">
        <f>HYPERLINK("https://rhld.insurance.arkansas.gov/NPILookup?Npi=1013983873","1013983873")</f>
        <v>1013983873</v>
      </c>
      <c r="E9177" t="s">
        <v>86</v>
      </c>
    </row>
    <row r="9178" spans="1:5" x14ac:dyDescent="0.25">
      <c r="A9178" t="s">
        <v>2</v>
      </c>
      <c r="B9178" t="s">
        <v>3458</v>
      </c>
      <c r="C9178" t="s">
        <v>23490</v>
      </c>
      <c r="D9178" t="str">
        <f>HYPERLINK("https://rhld.insurance.arkansas.gov/NPILookup?Npi=1023005360","1023005360")</f>
        <v>1023005360</v>
      </c>
      <c r="E9178" t="s">
        <v>542</v>
      </c>
    </row>
    <row r="9179" spans="1:5" x14ac:dyDescent="0.25">
      <c r="A9179" t="s">
        <v>2</v>
      </c>
      <c r="B9179" t="s">
        <v>3458</v>
      </c>
      <c r="C9179" t="s">
        <v>23490</v>
      </c>
      <c r="D9179" t="str">
        <f>HYPERLINK("https://rhld.insurance.arkansas.gov/NPILookup?Npi=1023005535","1023005535")</f>
        <v>1023005535</v>
      </c>
      <c r="E9179" t="s">
        <v>3468</v>
      </c>
    </row>
    <row r="9180" spans="1:5" x14ac:dyDescent="0.25">
      <c r="A9180" t="s">
        <v>2</v>
      </c>
      <c r="B9180" t="s">
        <v>3458</v>
      </c>
      <c r="C9180" t="s">
        <v>23490</v>
      </c>
      <c r="D9180" t="str">
        <f>HYPERLINK("https://rhld.insurance.arkansas.gov/NPILookup?Npi=1023005725","1023005725")</f>
        <v>1023005725</v>
      </c>
      <c r="E9180" t="s">
        <v>87</v>
      </c>
    </row>
    <row r="9181" spans="1:5" x14ac:dyDescent="0.25">
      <c r="A9181" t="s">
        <v>2</v>
      </c>
      <c r="B9181" t="s">
        <v>3458</v>
      </c>
      <c r="C9181" t="s">
        <v>23490</v>
      </c>
      <c r="D9181" t="str">
        <f>HYPERLINK("https://rhld.insurance.arkansas.gov/NPILookup?Npi=1023018439","1023018439")</f>
        <v>1023018439</v>
      </c>
      <c r="E9181" t="s">
        <v>90</v>
      </c>
    </row>
    <row r="9182" spans="1:5" x14ac:dyDescent="0.25">
      <c r="A9182" t="s">
        <v>2</v>
      </c>
      <c r="B9182" t="s">
        <v>3458</v>
      </c>
      <c r="C9182" t="s">
        <v>23490</v>
      </c>
      <c r="D9182" t="str">
        <f>HYPERLINK("https://rhld.insurance.arkansas.gov/NPILookup?Npi=1023033073","1023033073")</f>
        <v>1023033073</v>
      </c>
      <c r="E9182" t="s">
        <v>10595</v>
      </c>
    </row>
    <row r="9183" spans="1:5" x14ac:dyDescent="0.25">
      <c r="A9183" t="s">
        <v>2</v>
      </c>
      <c r="B9183" t="s">
        <v>3458</v>
      </c>
      <c r="C9183" t="s">
        <v>23490</v>
      </c>
      <c r="D9183" t="str">
        <f>HYPERLINK("https://rhld.insurance.arkansas.gov/NPILookup?Npi=1023053352","1023053352")</f>
        <v>1023053352</v>
      </c>
      <c r="E9183" t="s">
        <v>10596</v>
      </c>
    </row>
    <row r="9184" spans="1:5" x14ac:dyDescent="0.25">
      <c r="A9184" t="s">
        <v>2</v>
      </c>
      <c r="B9184" t="s">
        <v>3458</v>
      </c>
      <c r="C9184" t="s">
        <v>23490</v>
      </c>
      <c r="D9184" t="str">
        <f>HYPERLINK("https://rhld.insurance.arkansas.gov/NPILookup?Npi=1023053733","1023053733")</f>
        <v>1023053733</v>
      </c>
      <c r="E9184" t="s">
        <v>3469</v>
      </c>
    </row>
    <row r="9185" spans="1:5" x14ac:dyDescent="0.25">
      <c r="A9185" t="s">
        <v>2</v>
      </c>
      <c r="B9185" t="s">
        <v>3458</v>
      </c>
      <c r="C9185" t="s">
        <v>23490</v>
      </c>
      <c r="D9185" t="str">
        <f>HYPERLINK("https://rhld.insurance.arkansas.gov/NPILookup?Npi=1023057668","1023057668")</f>
        <v>1023057668</v>
      </c>
      <c r="E9185" t="s">
        <v>94</v>
      </c>
    </row>
    <row r="9186" spans="1:5" x14ac:dyDescent="0.25">
      <c r="A9186" t="s">
        <v>2</v>
      </c>
      <c r="B9186" t="s">
        <v>3458</v>
      </c>
      <c r="C9186" t="s">
        <v>23490</v>
      </c>
      <c r="D9186" t="str">
        <f>HYPERLINK("https://rhld.insurance.arkansas.gov/NPILookup?Npi=1023073624","1023073624")</f>
        <v>1023073624</v>
      </c>
      <c r="E9186" t="s">
        <v>3470</v>
      </c>
    </row>
    <row r="9187" spans="1:5" x14ac:dyDescent="0.25">
      <c r="A9187" t="s">
        <v>2</v>
      </c>
      <c r="B9187" t="s">
        <v>3458</v>
      </c>
      <c r="C9187" t="s">
        <v>23490</v>
      </c>
      <c r="D9187" t="str">
        <f>HYPERLINK("https://rhld.insurance.arkansas.gov/NPILookup?Npi=1023074119","1023074119")</f>
        <v>1023074119</v>
      </c>
      <c r="E9187" t="s">
        <v>96</v>
      </c>
    </row>
    <row r="9188" spans="1:5" x14ac:dyDescent="0.25">
      <c r="A9188" t="s">
        <v>2</v>
      </c>
      <c r="B9188" t="s">
        <v>3458</v>
      </c>
      <c r="C9188" t="s">
        <v>23490</v>
      </c>
      <c r="D9188" t="str">
        <f>HYPERLINK("https://rhld.insurance.arkansas.gov/NPILookup?Npi=1023074382","1023074382")</f>
        <v>1023074382</v>
      </c>
      <c r="E9188" t="s">
        <v>97</v>
      </c>
    </row>
    <row r="9189" spans="1:5" x14ac:dyDescent="0.25">
      <c r="A9189" t="s">
        <v>2</v>
      </c>
      <c r="B9189" t="s">
        <v>3458</v>
      </c>
      <c r="C9189" t="s">
        <v>23490</v>
      </c>
      <c r="D9189" t="str">
        <f>HYPERLINK("https://rhld.insurance.arkansas.gov/NPILookup?Npi=1023076619","1023076619")</f>
        <v>1023076619</v>
      </c>
      <c r="E9189" t="s">
        <v>98</v>
      </c>
    </row>
    <row r="9190" spans="1:5" x14ac:dyDescent="0.25">
      <c r="A9190" t="s">
        <v>2</v>
      </c>
      <c r="B9190" t="s">
        <v>3458</v>
      </c>
      <c r="C9190" t="s">
        <v>23490</v>
      </c>
      <c r="D9190" t="str">
        <f>HYPERLINK("https://rhld.insurance.arkansas.gov/NPILookup?Npi=1023079985","1023079985")</f>
        <v>1023079985</v>
      </c>
      <c r="E9190" t="s">
        <v>99</v>
      </c>
    </row>
    <row r="9191" spans="1:5" x14ac:dyDescent="0.25">
      <c r="A9191" t="s">
        <v>2</v>
      </c>
      <c r="B9191" t="s">
        <v>3458</v>
      </c>
      <c r="C9191" t="s">
        <v>23490</v>
      </c>
      <c r="D9191" t="str">
        <f>HYPERLINK("https://rhld.insurance.arkansas.gov/NPILookup?Npi=1023086873","1023086873")</f>
        <v>1023086873</v>
      </c>
      <c r="E9191" t="s">
        <v>3471</v>
      </c>
    </row>
    <row r="9192" spans="1:5" x14ac:dyDescent="0.25">
      <c r="A9192" t="s">
        <v>2</v>
      </c>
      <c r="B9192" t="s">
        <v>3458</v>
      </c>
      <c r="C9192" t="s">
        <v>23490</v>
      </c>
      <c r="D9192" t="str">
        <f>HYPERLINK("https://rhld.insurance.arkansas.gov/NPILookup?Npi=1023093655","1023093655")</f>
        <v>1023093655</v>
      </c>
      <c r="E9192" t="s">
        <v>100</v>
      </c>
    </row>
    <row r="9193" spans="1:5" x14ac:dyDescent="0.25">
      <c r="A9193" t="s">
        <v>2</v>
      </c>
      <c r="B9193" t="s">
        <v>3458</v>
      </c>
      <c r="C9193" t="s">
        <v>23490</v>
      </c>
      <c r="D9193" t="str">
        <f>HYPERLINK("https://rhld.insurance.arkansas.gov/NPILookup?Npi=1023108503","1023108503")</f>
        <v>1023108503</v>
      </c>
      <c r="E9193" t="s">
        <v>101</v>
      </c>
    </row>
    <row r="9194" spans="1:5" x14ac:dyDescent="0.25">
      <c r="A9194" t="s">
        <v>2</v>
      </c>
      <c r="B9194" t="s">
        <v>3458</v>
      </c>
      <c r="C9194" t="s">
        <v>23490</v>
      </c>
      <c r="D9194" t="str">
        <f>HYPERLINK("https://rhld.insurance.arkansas.gov/NPILookup?Npi=1023129608","1023129608")</f>
        <v>1023129608</v>
      </c>
      <c r="E9194" t="s">
        <v>14691</v>
      </c>
    </row>
    <row r="9195" spans="1:5" x14ac:dyDescent="0.25">
      <c r="A9195" t="s">
        <v>2</v>
      </c>
      <c r="B9195" t="s">
        <v>3458</v>
      </c>
      <c r="C9195" t="s">
        <v>23490</v>
      </c>
      <c r="D9195" t="str">
        <f>HYPERLINK("https://rhld.insurance.arkansas.gov/NPILookup?Npi=1023170305","1023170305")</f>
        <v>1023170305</v>
      </c>
      <c r="E9195" t="s">
        <v>102</v>
      </c>
    </row>
    <row r="9196" spans="1:5" x14ac:dyDescent="0.25">
      <c r="A9196" t="s">
        <v>2</v>
      </c>
      <c r="B9196" t="s">
        <v>3458</v>
      </c>
      <c r="C9196" t="s">
        <v>23490</v>
      </c>
      <c r="D9196" t="str">
        <f>HYPERLINK("https://rhld.insurance.arkansas.gov/NPILookup?Npi=1023181161","1023181161")</f>
        <v>1023181161</v>
      </c>
      <c r="E9196" t="s">
        <v>3472</v>
      </c>
    </row>
    <row r="9197" spans="1:5" x14ac:dyDescent="0.25">
      <c r="A9197" t="s">
        <v>2</v>
      </c>
      <c r="B9197" t="s">
        <v>3458</v>
      </c>
      <c r="C9197" t="s">
        <v>23490</v>
      </c>
      <c r="D9197" t="str">
        <f>HYPERLINK("https://rhld.insurance.arkansas.gov/NPILookup?Npi=1023181864","1023181864")</f>
        <v>1023181864</v>
      </c>
      <c r="E9197" t="s">
        <v>103</v>
      </c>
    </row>
    <row r="9198" spans="1:5" x14ac:dyDescent="0.25">
      <c r="A9198" t="s">
        <v>2</v>
      </c>
      <c r="B9198" t="s">
        <v>3458</v>
      </c>
      <c r="C9198" t="s">
        <v>23490</v>
      </c>
      <c r="D9198" t="str">
        <f>HYPERLINK("https://rhld.insurance.arkansas.gov/NPILookup?Npi=1023214574","1023214574")</f>
        <v>1023214574</v>
      </c>
      <c r="E9198" t="s">
        <v>104</v>
      </c>
    </row>
    <row r="9199" spans="1:5" x14ac:dyDescent="0.25">
      <c r="A9199" t="s">
        <v>2</v>
      </c>
      <c r="B9199" t="s">
        <v>3458</v>
      </c>
      <c r="C9199" t="s">
        <v>23490</v>
      </c>
      <c r="D9199" t="str">
        <f>HYPERLINK("https://rhld.insurance.arkansas.gov/NPILookup?Npi=1023239373","1023239373")</f>
        <v>1023239373</v>
      </c>
      <c r="E9199" t="s">
        <v>3473</v>
      </c>
    </row>
    <row r="9200" spans="1:5" x14ac:dyDescent="0.25">
      <c r="A9200" t="s">
        <v>2</v>
      </c>
      <c r="B9200" t="s">
        <v>3458</v>
      </c>
      <c r="C9200" t="s">
        <v>23490</v>
      </c>
      <c r="D9200" t="str">
        <f>HYPERLINK("https://rhld.insurance.arkansas.gov/NPILookup?Npi=1023251634","1023251634")</f>
        <v>1023251634</v>
      </c>
      <c r="E9200" t="s">
        <v>3474</v>
      </c>
    </row>
    <row r="9201" spans="1:5" x14ac:dyDescent="0.25">
      <c r="A9201" t="s">
        <v>2</v>
      </c>
      <c r="B9201" t="s">
        <v>3458</v>
      </c>
      <c r="C9201" t="s">
        <v>23490</v>
      </c>
      <c r="D9201" t="str">
        <f>HYPERLINK("https://rhld.insurance.arkansas.gov/NPILookup?Npi=1023252756","1023252756")</f>
        <v>1023252756</v>
      </c>
      <c r="E9201" t="s">
        <v>17376</v>
      </c>
    </row>
    <row r="9202" spans="1:5" x14ac:dyDescent="0.25">
      <c r="A9202" t="s">
        <v>2</v>
      </c>
      <c r="B9202" t="s">
        <v>3458</v>
      </c>
      <c r="C9202" t="s">
        <v>23490</v>
      </c>
      <c r="D9202" t="str">
        <f>HYPERLINK("https://rhld.insurance.arkansas.gov/NPILookup?Npi=1023254257","1023254257")</f>
        <v>1023254257</v>
      </c>
      <c r="E9202" t="s">
        <v>108</v>
      </c>
    </row>
    <row r="9203" spans="1:5" x14ac:dyDescent="0.25">
      <c r="A9203" t="s">
        <v>2</v>
      </c>
      <c r="B9203" t="s">
        <v>3458</v>
      </c>
      <c r="C9203" t="s">
        <v>23490</v>
      </c>
      <c r="D9203" t="str">
        <f>HYPERLINK("https://rhld.insurance.arkansas.gov/NPILookup?Npi=1023270790","1023270790")</f>
        <v>1023270790</v>
      </c>
      <c r="E9203" t="s">
        <v>109</v>
      </c>
    </row>
    <row r="9204" spans="1:5" x14ac:dyDescent="0.25">
      <c r="A9204" t="s">
        <v>2</v>
      </c>
      <c r="B9204" t="s">
        <v>3458</v>
      </c>
      <c r="C9204" t="s">
        <v>23490</v>
      </c>
      <c r="D9204" t="str">
        <f>HYPERLINK("https://rhld.insurance.arkansas.gov/NPILookup?Npi=1023278983","1023278983")</f>
        <v>1023278983</v>
      </c>
      <c r="E9204" t="s">
        <v>110</v>
      </c>
    </row>
    <row r="9205" spans="1:5" x14ac:dyDescent="0.25">
      <c r="A9205" t="s">
        <v>2</v>
      </c>
      <c r="B9205" t="s">
        <v>3458</v>
      </c>
      <c r="C9205" t="s">
        <v>23490</v>
      </c>
      <c r="D9205" t="str">
        <f>HYPERLINK("https://rhld.insurance.arkansas.gov/NPILookup?Npi=1023283710","1023283710")</f>
        <v>1023283710</v>
      </c>
      <c r="E9205" t="s">
        <v>111</v>
      </c>
    </row>
    <row r="9206" spans="1:5" x14ac:dyDescent="0.25">
      <c r="A9206" t="s">
        <v>2</v>
      </c>
      <c r="B9206" t="s">
        <v>3458</v>
      </c>
      <c r="C9206" t="s">
        <v>23490</v>
      </c>
      <c r="D9206" t="str">
        <f>HYPERLINK("https://rhld.insurance.arkansas.gov/NPILookup?Npi=1023374279","1023374279")</f>
        <v>1023374279</v>
      </c>
      <c r="E9206" t="s">
        <v>14692</v>
      </c>
    </row>
    <row r="9207" spans="1:5" x14ac:dyDescent="0.25">
      <c r="A9207" t="s">
        <v>2</v>
      </c>
      <c r="B9207" t="s">
        <v>3458</v>
      </c>
      <c r="C9207" t="s">
        <v>23490</v>
      </c>
      <c r="D9207" t="str">
        <f>HYPERLINK("https://rhld.insurance.arkansas.gov/NPILookup?Npi=1023374741","1023374741")</f>
        <v>1023374741</v>
      </c>
      <c r="E9207" t="s">
        <v>1466</v>
      </c>
    </row>
    <row r="9208" spans="1:5" x14ac:dyDescent="0.25">
      <c r="A9208" t="s">
        <v>2</v>
      </c>
      <c r="B9208" t="s">
        <v>3458</v>
      </c>
      <c r="C9208" t="s">
        <v>23490</v>
      </c>
      <c r="D9208" t="str">
        <f>HYPERLINK("https://rhld.insurance.arkansas.gov/NPILookup?Npi=1023378783","1023378783")</f>
        <v>1023378783</v>
      </c>
      <c r="E9208" t="s">
        <v>113</v>
      </c>
    </row>
    <row r="9209" spans="1:5" x14ac:dyDescent="0.25">
      <c r="A9209" t="s">
        <v>2</v>
      </c>
      <c r="B9209" t="s">
        <v>3458</v>
      </c>
      <c r="C9209" t="s">
        <v>23490</v>
      </c>
      <c r="D9209" t="str">
        <f>HYPERLINK("https://rhld.insurance.arkansas.gov/NPILookup?Npi=1023405198","1023405198")</f>
        <v>1023405198</v>
      </c>
      <c r="E9209" t="s">
        <v>114</v>
      </c>
    </row>
    <row r="9210" spans="1:5" x14ac:dyDescent="0.25">
      <c r="A9210" t="s">
        <v>2</v>
      </c>
      <c r="B9210" t="s">
        <v>3458</v>
      </c>
      <c r="C9210" t="s">
        <v>23490</v>
      </c>
      <c r="D9210" t="str">
        <f>HYPERLINK("https://rhld.insurance.arkansas.gov/NPILookup?Npi=1023424413","1023424413")</f>
        <v>1023424413</v>
      </c>
      <c r="E9210" t="s">
        <v>115</v>
      </c>
    </row>
    <row r="9211" spans="1:5" x14ac:dyDescent="0.25">
      <c r="A9211" t="s">
        <v>2</v>
      </c>
      <c r="B9211" t="s">
        <v>3458</v>
      </c>
      <c r="C9211" t="s">
        <v>23490</v>
      </c>
      <c r="D9211" t="str">
        <f>HYPERLINK("https://rhld.insurance.arkansas.gov/NPILookup?Npi=1023431749","1023431749")</f>
        <v>1023431749</v>
      </c>
      <c r="E9211" t="s">
        <v>116</v>
      </c>
    </row>
    <row r="9212" spans="1:5" x14ac:dyDescent="0.25">
      <c r="A9212" t="s">
        <v>2</v>
      </c>
      <c r="B9212" t="s">
        <v>3458</v>
      </c>
      <c r="C9212" t="s">
        <v>23490</v>
      </c>
      <c r="D9212" t="str">
        <f>HYPERLINK("https://rhld.insurance.arkansas.gov/NPILookup?Npi=1023460623","1023460623")</f>
        <v>1023460623</v>
      </c>
      <c r="E9212" t="s">
        <v>8434</v>
      </c>
    </row>
    <row r="9213" spans="1:5" x14ac:dyDescent="0.25">
      <c r="A9213" t="s">
        <v>2</v>
      </c>
      <c r="B9213" t="s">
        <v>3458</v>
      </c>
      <c r="C9213" t="s">
        <v>23490</v>
      </c>
      <c r="D9213" t="str">
        <f>HYPERLINK("https://rhld.insurance.arkansas.gov/NPILookup?Npi=1023489242","1023489242")</f>
        <v>1023489242</v>
      </c>
      <c r="E9213" t="s">
        <v>17377</v>
      </c>
    </row>
    <row r="9214" spans="1:5" x14ac:dyDescent="0.25">
      <c r="A9214" t="s">
        <v>2</v>
      </c>
      <c r="B9214" t="s">
        <v>3458</v>
      </c>
      <c r="C9214" t="s">
        <v>23490</v>
      </c>
      <c r="D9214" t="str">
        <f>HYPERLINK("https://rhld.insurance.arkansas.gov/NPILookup?Npi=1023525490","1023525490")</f>
        <v>1023525490</v>
      </c>
      <c r="E9214" t="s">
        <v>12759</v>
      </c>
    </row>
    <row r="9215" spans="1:5" x14ac:dyDescent="0.25">
      <c r="A9215" t="s">
        <v>2</v>
      </c>
      <c r="B9215" t="s">
        <v>3458</v>
      </c>
      <c r="C9215" t="s">
        <v>23490</v>
      </c>
      <c r="D9215" t="str">
        <f>HYPERLINK("https://rhld.insurance.arkansas.gov/NPILookup?Npi=1023529443","1023529443")</f>
        <v>1023529443</v>
      </c>
      <c r="E9215" t="s">
        <v>14694</v>
      </c>
    </row>
    <row r="9216" spans="1:5" x14ac:dyDescent="0.25">
      <c r="A9216" t="s">
        <v>2</v>
      </c>
      <c r="B9216" t="s">
        <v>3458</v>
      </c>
      <c r="C9216" t="s">
        <v>23490</v>
      </c>
      <c r="D9216" t="str">
        <f>HYPERLINK("https://rhld.insurance.arkansas.gov/NPILookup?Npi=1023535952","1023535952")</f>
        <v>1023535952</v>
      </c>
      <c r="E9216" t="s">
        <v>12760</v>
      </c>
    </row>
    <row r="9217" spans="1:5" x14ac:dyDescent="0.25">
      <c r="A9217" t="s">
        <v>2</v>
      </c>
      <c r="B9217" t="s">
        <v>3458</v>
      </c>
      <c r="C9217" t="s">
        <v>23490</v>
      </c>
      <c r="D9217" t="str">
        <f>HYPERLINK("https://rhld.insurance.arkansas.gov/NPILookup?Npi=1023540275","1023540275")</f>
        <v>1023540275</v>
      </c>
      <c r="E9217" t="s">
        <v>5151</v>
      </c>
    </row>
    <row r="9218" spans="1:5" x14ac:dyDescent="0.25">
      <c r="A9218" t="s">
        <v>2</v>
      </c>
      <c r="B9218" t="s">
        <v>3458</v>
      </c>
      <c r="C9218" t="s">
        <v>23490</v>
      </c>
      <c r="D9218" t="str">
        <f>HYPERLINK("https://rhld.insurance.arkansas.gov/NPILookup?Npi=1023566353","1023566353")</f>
        <v>1023566353</v>
      </c>
      <c r="E9218" t="s">
        <v>10598</v>
      </c>
    </row>
    <row r="9219" spans="1:5" x14ac:dyDescent="0.25">
      <c r="A9219" t="s">
        <v>2</v>
      </c>
      <c r="B9219" t="s">
        <v>3458</v>
      </c>
      <c r="C9219" t="s">
        <v>23490</v>
      </c>
      <c r="D9219" t="str">
        <f>HYPERLINK("https://rhld.insurance.arkansas.gov/NPILookup?Npi=1023577442","1023577442")</f>
        <v>1023577442</v>
      </c>
      <c r="E9219" t="s">
        <v>17832</v>
      </c>
    </row>
    <row r="9220" spans="1:5" x14ac:dyDescent="0.25">
      <c r="A9220" t="s">
        <v>2</v>
      </c>
      <c r="B9220" t="s">
        <v>3458</v>
      </c>
      <c r="C9220" t="s">
        <v>23490</v>
      </c>
      <c r="D9220" t="str">
        <f>HYPERLINK("https://rhld.insurance.arkansas.gov/NPILookup?Npi=1023586906","1023586906")</f>
        <v>1023586906</v>
      </c>
      <c r="E9220" t="s">
        <v>13335</v>
      </c>
    </row>
    <row r="9221" spans="1:5" x14ac:dyDescent="0.25">
      <c r="A9221" t="s">
        <v>2</v>
      </c>
      <c r="B9221" t="s">
        <v>3458</v>
      </c>
      <c r="C9221" t="s">
        <v>23490</v>
      </c>
      <c r="D9221" t="str">
        <f>HYPERLINK("https://rhld.insurance.arkansas.gov/NPILookup?Npi=1023595659","1023595659")</f>
        <v>1023595659</v>
      </c>
      <c r="E9221" t="s">
        <v>13336</v>
      </c>
    </row>
    <row r="9222" spans="1:5" x14ac:dyDescent="0.25">
      <c r="A9222" t="s">
        <v>2</v>
      </c>
      <c r="B9222" t="s">
        <v>3458</v>
      </c>
      <c r="C9222" t="s">
        <v>23490</v>
      </c>
      <c r="D9222" t="str">
        <f>HYPERLINK("https://rhld.insurance.arkansas.gov/NPILookup?Npi=1023614880","1023614880")</f>
        <v>1023614880</v>
      </c>
      <c r="E9222" t="s">
        <v>19346</v>
      </c>
    </row>
    <row r="9223" spans="1:5" x14ac:dyDescent="0.25">
      <c r="A9223" t="s">
        <v>2</v>
      </c>
      <c r="B9223" t="s">
        <v>3458</v>
      </c>
      <c r="C9223" t="s">
        <v>23490</v>
      </c>
      <c r="D9223" t="str">
        <f>HYPERLINK("https://rhld.insurance.arkansas.gov/NPILookup?Npi=1023617594","1023617594")</f>
        <v>1023617594</v>
      </c>
      <c r="E9223" t="s">
        <v>17378</v>
      </c>
    </row>
    <row r="9224" spans="1:5" x14ac:dyDescent="0.25">
      <c r="A9224" t="s">
        <v>2</v>
      </c>
      <c r="B9224" t="s">
        <v>3458</v>
      </c>
      <c r="C9224" t="s">
        <v>23490</v>
      </c>
      <c r="D9224" t="str">
        <f>HYPERLINK("https://rhld.insurance.arkansas.gov/NPILookup?Npi=1023627577","1023627577")</f>
        <v>1023627577</v>
      </c>
      <c r="E9224" t="s">
        <v>17379</v>
      </c>
    </row>
    <row r="9225" spans="1:5" x14ac:dyDescent="0.25">
      <c r="A9225" t="s">
        <v>2</v>
      </c>
      <c r="B9225" t="s">
        <v>3458</v>
      </c>
      <c r="C9225" t="s">
        <v>23490</v>
      </c>
      <c r="D9225" t="str">
        <f>HYPERLINK("https://rhld.insurance.arkansas.gov/NPILookup?Npi=1023688264","1023688264")</f>
        <v>1023688264</v>
      </c>
      <c r="E9225" t="s">
        <v>19347</v>
      </c>
    </row>
    <row r="9226" spans="1:5" x14ac:dyDescent="0.25">
      <c r="A9226" t="s">
        <v>2</v>
      </c>
      <c r="B9226" t="s">
        <v>3458</v>
      </c>
      <c r="C9226" t="s">
        <v>23490</v>
      </c>
      <c r="D9226" t="str">
        <f>HYPERLINK("https://rhld.insurance.arkansas.gov/NPILookup?Npi=1023762069","1023762069")</f>
        <v>1023762069</v>
      </c>
      <c r="E9226" t="s">
        <v>19348</v>
      </c>
    </row>
    <row r="9227" spans="1:5" x14ac:dyDescent="0.25">
      <c r="A9227" t="s">
        <v>2</v>
      </c>
      <c r="B9227" t="s">
        <v>3458</v>
      </c>
      <c r="C9227" t="s">
        <v>23490</v>
      </c>
      <c r="D9227" t="str">
        <f>HYPERLINK("https://rhld.insurance.arkansas.gov/NPILookup?Npi=1023765294","1023765294")</f>
        <v>1023765294</v>
      </c>
      <c r="E9227" t="s">
        <v>19349</v>
      </c>
    </row>
    <row r="9228" spans="1:5" x14ac:dyDescent="0.25">
      <c r="A9228" t="s">
        <v>2</v>
      </c>
      <c r="B9228" t="s">
        <v>3458</v>
      </c>
      <c r="C9228" t="s">
        <v>23490</v>
      </c>
      <c r="D9228" t="str">
        <f>HYPERLINK("https://rhld.insurance.arkansas.gov/NPILookup?Npi=1023781606","1023781606")</f>
        <v>1023781606</v>
      </c>
      <c r="E9228" t="s">
        <v>18647</v>
      </c>
    </row>
    <row r="9229" spans="1:5" x14ac:dyDescent="0.25">
      <c r="A9229" t="s">
        <v>2</v>
      </c>
      <c r="B9229" t="s">
        <v>3458</v>
      </c>
      <c r="C9229" t="s">
        <v>23490</v>
      </c>
      <c r="D9229" t="str">
        <f>HYPERLINK("https://rhld.insurance.arkansas.gov/NPILookup?Npi=1033100433","1033100433")</f>
        <v>1033100433</v>
      </c>
      <c r="E9229" t="s">
        <v>118</v>
      </c>
    </row>
    <row r="9230" spans="1:5" x14ac:dyDescent="0.25">
      <c r="A9230" t="s">
        <v>2</v>
      </c>
      <c r="B9230" t="s">
        <v>3458</v>
      </c>
      <c r="C9230" t="s">
        <v>23490</v>
      </c>
      <c r="D9230" t="str">
        <f>HYPERLINK("https://rhld.insurance.arkansas.gov/NPILookup?Npi=1033102066","1033102066")</f>
        <v>1033102066</v>
      </c>
      <c r="E9230" t="s">
        <v>3475</v>
      </c>
    </row>
    <row r="9231" spans="1:5" x14ac:dyDescent="0.25">
      <c r="A9231" t="s">
        <v>2</v>
      </c>
      <c r="B9231" t="s">
        <v>3458</v>
      </c>
      <c r="C9231" t="s">
        <v>23490</v>
      </c>
      <c r="D9231" t="str">
        <f>HYPERLINK("https://rhld.insurance.arkansas.gov/NPILookup?Npi=1033102637","1033102637")</f>
        <v>1033102637</v>
      </c>
      <c r="E9231" t="s">
        <v>120</v>
      </c>
    </row>
    <row r="9232" spans="1:5" x14ac:dyDescent="0.25">
      <c r="A9232" t="s">
        <v>2</v>
      </c>
      <c r="B9232" t="s">
        <v>3458</v>
      </c>
      <c r="C9232" t="s">
        <v>23490</v>
      </c>
      <c r="D9232" t="str">
        <f>HYPERLINK("https://rhld.insurance.arkansas.gov/NPILookup?Npi=1033105747","1033105747")</f>
        <v>1033105747</v>
      </c>
      <c r="E9232" t="s">
        <v>12948</v>
      </c>
    </row>
    <row r="9233" spans="1:5" x14ac:dyDescent="0.25">
      <c r="A9233" t="s">
        <v>2</v>
      </c>
      <c r="B9233" t="s">
        <v>3458</v>
      </c>
      <c r="C9233" t="s">
        <v>23490</v>
      </c>
      <c r="D9233" t="str">
        <f>HYPERLINK("https://rhld.insurance.arkansas.gov/NPILookup?Npi=1033114566","1033114566")</f>
        <v>1033114566</v>
      </c>
      <c r="E9233" t="s">
        <v>121</v>
      </c>
    </row>
    <row r="9234" spans="1:5" x14ac:dyDescent="0.25">
      <c r="A9234" t="s">
        <v>2</v>
      </c>
      <c r="B9234" t="s">
        <v>3458</v>
      </c>
      <c r="C9234" t="s">
        <v>23490</v>
      </c>
      <c r="D9234" t="str">
        <f>HYPERLINK("https://rhld.insurance.arkansas.gov/NPILookup?Npi=1033115639","1033115639")</f>
        <v>1033115639</v>
      </c>
      <c r="E9234" t="s">
        <v>122</v>
      </c>
    </row>
    <row r="9235" spans="1:5" x14ac:dyDescent="0.25">
      <c r="A9235" t="s">
        <v>2</v>
      </c>
      <c r="B9235" t="s">
        <v>3458</v>
      </c>
      <c r="C9235" t="s">
        <v>23490</v>
      </c>
      <c r="D9235" t="str">
        <f>HYPERLINK("https://rhld.insurance.arkansas.gov/NPILookup?Npi=1033149570","1033149570")</f>
        <v>1033149570</v>
      </c>
      <c r="E9235" t="s">
        <v>15798</v>
      </c>
    </row>
    <row r="9236" spans="1:5" x14ac:dyDescent="0.25">
      <c r="A9236" t="s">
        <v>2</v>
      </c>
      <c r="B9236" t="s">
        <v>3458</v>
      </c>
      <c r="C9236" t="s">
        <v>23490</v>
      </c>
      <c r="D9236" t="str">
        <f>HYPERLINK("https://rhld.insurance.arkansas.gov/NPILookup?Npi=1033167994","1033167994")</f>
        <v>1033167994</v>
      </c>
      <c r="E9236" t="s">
        <v>126</v>
      </c>
    </row>
    <row r="9237" spans="1:5" x14ac:dyDescent="0.25">
      <c r="A9237" t="s">
        <v>2</v>
      </c>
      <c r="B9237" t="s">
        <v>3458</v>
      </c>
      <c r="C9237" t="s">
        <v>23490</v>
      </c>
      <c r="D9237" t="str">
        <f>HYPERLINK("https://rhld.insurance.arkansas.gov/NPILookup?Npi=1033171806","1033171806")</f>
        <v>1033171806</v>
      </c>
      <c r="E9237" t="s">
        <v>3476</v>
      </c>
    </row>
    <row r="9238" spans="1:5" x14ac:dyDescent="0.25">
      <c r="A9238" t="s">
        <v>2</v>
      </c>
      <c r="B9238" t="s">
        <v>3458</v>
      </c>
      <c r="C9238" t="s">
        <v>23490</v>
      </c>
      <c r="D9238" t="str">
        <f>HYPERLINK("https://rhld.insurance.arkansas.gov/NPILookup?Npi=1033180963","1033180963")</f>
        <v>1033180963</v>
      </c>
      <c r="E9238" t="s">
        <v>128</v>
      </c>
    </row>
    <row r="9239" spans="1:5" x14ac:dyDescent="0.25">
      <c r="A9239" t="s">
        <v>2</v>
      </c>
      <c r="B9239" t="s">
        <v>3458</v>
      </c>
      <c r="C9239" t="s">
        <v>23490</v>
      </c>
      <c r="D9239" t="str">
        <f>HYPERLINK("https://rhld.insurance.arkansas.gov/NPILookup?Npi=1033192992","1033192992")</f>
        <v>1033192992</v>
      </c>
      <c r="E9239" t="s">
        <v>129</v>
      </c>
    </row>
    <row r="9240" spans="1:5" x14ac:dyDescent="0.25">
      <c r="A9240" t="s">
        <v>2</v>
      </c>
      <c r="B9240" t="s">
        <v>3458</v>
      </c>
      <c r="C9240" t="s">
        <v>23490</v>
      </c>
      <c r="D9240" t="str">
        <f>HYPERLINK("https://rhld.insurance.arkansas.gov/NPILookup?Npi=1033193966","1033193966")</f>
        <v>1033193966</v>
      </c>
      <c r="E9240" t="s">
        <v>10599</v>
      </c>
    </row>
    <row r="9241" spans="1:5" x14ac:dyDescent="0.25">
      <c r="A9241" t="s">
        <v>2</v>
      </c>
      <c r="B9241" t="s">
        <v>3458</v>
      </c>
      <c r="C9241" t="s">
        <v>23490</v>
      </c>
      <c r="D9241" t="str">
        <f>HYPERLINK("https://rhld.insurance.arkansas.gov/NPILookup?Npi=1033209697","1033209697")</f>
        <v>1033209697</v>
      </c>
      <c r="E9241" t="s">
        <v>3477</v>
      </c>
    </row>
    <row r="9242" spans="1:5" x14ac:dyDescent="0.25">
      <c r="A9242" t="s">
        <v>2</v>
      </c>
      <c r="B9242" t="s">
        <v>3458</v>
      </c>
      <c r="C9242" t="s">
        <v>23490</v>
      </c>
      <c r="D9242" t="str">
        <f>HYPERLINK("https://rhld.insurance.arkansas.gov/NPILookup?Npi=1033220512","1033220512")</f>
        <v>1033220512</v>
      </c>
      <c r="E9242" t="s">
        <v>14695</v>
      </c>
    </row>
    <row r="9243" spans="1:5" x14ac:dyDescent="0.25">
      <c r="A9243" t="s">
        <v>2</v>
      </c>
      <c r="B9243" t="s">
        <v>3458</v>
      </c>
      <c r="C9243" t="s">
        <v>23490</v>
      </c>
      <c r="D9243" t="str">
        <f>HYPERLINK("https://rhld.insurance.arkansas.gov/NPILookup?Npi=1033221353","1033221353")</f>
        <v>1033221353</v>
      </c>
      <c r="E9243" t="s">
        <v>14696</v>
      </c>
    </row>
    <row r="9244" spans="1:5" x14ac:dyDescent="0.25">
      <c r="A9244" t="s">
        <v>2</v>
      </c>
      <c r="B9244" t="s">
        <v>3458</v>
      </c>
      <c r="C9244" t="s">
        <v>23490</v>
      </c>
      <c r="D9244" t="str">
        <f>HYPERLINK("https://rhld.insurance.arkansas.gov/NPILookup?Npi=1033272653","1033272653")</f>
        <v>1033272653</v>
      </c>
      <c r="E9244" t="s">
        <v>12761</v>
      </c>
    </row>
    <row r="9245" spans="1:5" x14ac:dyDescent="0.25">
      <c r="A9245" t="s">
        <v>2</v>
      </c>
      <c r="B9245" t="s">
        <v>3458</v>
      </c>
      <c r="C9245" t="s">
        <v>23490</v>
      </c>
      <c r="D9245" t="str">
        <f>HYPERLINK("https://rhld.insurance.arkansas.gov/NPILookup?Npi=1033283155","1033283155")</f>
        <v>1033283155</v>
      </c>
      <c r="E9245" t="s">
        <v>8436</v>
      </c>
    </row>
    <row r="9246" spans="1:5" x14ac:dyDescent="0.25">
      <c r="A9246" t="s">
        <v>2</v>
      </c>
      <c r="B9246" t="s">
        <v>3458</v>
      </c>
      <c r="C9246" t="s">
        <v>23490</v>
      </c>
      <c r="D9246" t="str">
        <f>HYPERLINK("https://rhld.insurance.arkansas.gov/NPILookup?Npi=1033299987","1033299987")</f>
        <v>1033299987</v>
      </c>
      <c r="E9246" t="s">
        <v>14697</v>
      </c>
    </row>
    <row r="9247" spans="1:5" x14ac:dyDescent="0.25">
      <c r="A9247" t="s">
        <v>2</v>
      </c>
      <c r="B9247" t="s">
        <v>3458</v>
      </c>
      <c r="C9247" t="s">
        <v>23490</v>
      </c>
      <c r="D9247" t="str">
        <f>HYPERLINK("https://rhld.insurance.arkansas.gov/NPILookup?Npi=1033316369","1033316369")</f>
        <v>1033316369</v>
      </c>
      <c r="E9247" t="s">
        <v>3478</v>
      </c>
    </row>
    <row r="9248" spans="1:5" x14ac:dyDescent="0.25">
      <c r="A9248" t="s">
        <v>2</v>
      </c>
      <c r="B9248" t="s">
        <v>3458</v>
      </c>
      <c r="C9248" t="s">
        <v>23490</v>
      </c>
      <c r="D9248" t="str">
        <f>HYPERLINK("https://rhld.insurance.arkansas.gov/NPILookup?Npi=1033326434","1033326434")</f>
        <v>1033326434</v>
      </c>
      <c r="E9248" t="s">
        <v>20215</v>
      </c>
    </row>
    <row r="9249" spans="1:5" x14ac:dyDescent="0.25">
      <c r="A9249" t="s">
        <v>2</v>
      </c>
      <c r="B9249" t="s">
        <v>3458</v>
      </c>
      <c r="C9249" t="s">
        <v>23490</v>
      </c>
      <c r="D9249" t="str">
        <f>HYPERLINK("https://rhld.insurance.arkansas.gov/NPILookup?Npi=1033329701","1033329701")</f>
        <v>1033329701</v>
      </c>
      <c r="E9249" t="s">
        <v>18648</v>
      </c>
    </row>
    <row r="9250" spans="1:5" x14ac:dyDescent="0.25">
      <c r="A9250" t="s">
        <v>2</v>
      </c>
      <c r="B9250" t="s">
        <v>3458</v>
      </c>
      <c r="C9250" t="s">
        <v>23490</v>
      </c>
      <c r="D9250" t="str">
        <f>HYPERLINK("https://rhld.insurance.arkansas.gov/NPILookup?Npi=1033346358","1033346358")</f>
        <v>1033346358</v>
      </c>
      <c r="E9250" t="s">
        <v>132</v>
      </c>
    </row>
    <row r="9251" spans="1:5" x14ac:dyDescent="0.25">
      <c r="A9251" t="s">
        <v>2</v>
      </c>
      <c r="B9251" t="s">
        <v>3458</v>
      </c>
      <c r="C9251" t="s">
        <v>23490</v>
      </c>
      <c r="D9251" t="str">
        <f>HYPERLINK("https://rhld.insurance.arkansas.gov/NPILookup?Npi=1033351507","1033351507")</f>
        <v>1033351507</v>
      </c>
      <c r="E9251" t="s">
        <v>3479</v>
      </c>
    </row>
    <row r="9252" spans="1:5" x14ac:dyDescent="0.25">
      <c r="A9252" t="s">
        <v>2</v>
      </c>
      <c r="B9252" t="s">
        <v>3458</v>
      </c>
      <c r="C9252" t="s">
        <v>23490</v>
      </c>
      <c r="D9252" t="str">
        <f>HYPERLINK("https://rhld.insurance.arkansas.gov/NPILookup?Npi=1033368246","1033368246")</f>
        <v>1033368246</v>
      </c>
      <c r="E9252" t="s">
        <v>133</v>
      </c>
    </row>
    <row r="9253" spans="1:5" x14ac:dyDescent="0.25">
      <c r="A9253" t="s">
        <v>2</v>
      </c>
      <c r="B9253" t="s">
        <v>3458</v>
      </c>
      <c r="C9253" t="s">
        <v>23490</v>
      </c>
      <c r="D9253" t="str">
        <f>HYPERLINK("https://rhld.insurance.arkansas.gov/NPILookup?Npi=1033394804","1033394804")</f>
        <v>1033394804</v>
      </c>
      <c r="E9253" t="s">
        <v>134</v>
      </c>
    </row>
    <row r="9254" spans="1:5" x14ac:dyDescent="0.25">
      <c r="A9254" t="s">
        <v>2</v>
      </c>
      <c r="B9254" t="s">
        <v>3458</v>
      </c>
      <c r="C9254" t="s">
        <v>23490</v>
      </c>
      <c r="D9254" t="str">
        <f>HYPERLINK("https://rhld.insurance.arkansas.gov/NPILookup?Npi=1033418439","1033418439")</f>
        <v>1033418439</v>
      </c>
      <c r="E9254" t="s">
        <v>12762</v>
      </c>
    </row>
    <row r="9255" spans="1:5" x14ac:dyDescent="0.25">
      <c r="A9255" t="s">
        <v>2</v>
      </c>
      <c r="B9255" t="s">
        <v>3458</v>
      </c>
      <c r="C9255" t="s">
        <v>23490</v>
      </c>
      <c r="D9255" t="str">
        <f>HYPERLINK("https://rhld.insurance.arkansas.gov/NPILookup?Npi=1033435011","1033435011")</f>
        <v>1033435011</v>
      </c>
      <c r="E9255" t="s">
        <v>21709</v>
      </c>
    </row>
    <row r="9256" spans="1:5" x14ac:dyDescent="0.25">
      <c r="A9256" t="s">
        <v>2</v>
      </c>
      <c r="B9256" t="s">
        <v>3458</v>
      </c>
      <c r="C9256" t="s">
        <v>23490</v>
      </c>
      <c r="D9256" t="str">
        <f>HYPERLINK("https://rhld.insurance.arkansas.gov/NPILookup?Npi=1033437314","1033437314")</f>
        <v>1033437314</v>
      </c>
      <c r="E9256" t="s">
        <v>15799</v>
      </c>
    </row>
    <row r="9257" spans="1:5" x14ac:dyDescent="0.25">
      <c r="A9257" t="s">
        <v>2</v>
      </c>
      <c r="B9257" t="s">
        <v>3458</v>
      </c>
      <c r="C9257" t="s">
        <v>23490</v>
      </c>
      <c r="D9257" t="str">
        <f>HYPERLINK("https://rhld.insurance.arkansas.gov/NPILookup?Npi=1033452990","1033452990")</f>
        <v>1033452990</v>
      </c>
      <c r="E9257" t="s">
        <v>20216</v>
      </c>
    </row>
    <row r="9258" spans="1:5" x14ac:dyDescent="0.25">
      <c r="A9258" t="s">
        <v>2</v>
      </c>
      <c r="B9258" t="s">
        <v>3458</v>
      </c>
      <c r="C9258" t="s">
        <v>23490</v>
      </c>
      <c r="D9258" t="str">
        <f>HYPERLINK("https://rhld.insurance.arkansas.gov/NPILookup?Npi=1033461447","1033461447")</f>
        <v>1033461447</v>
      </c>
      <c r="E9258" t="s">
        <v>136</v>
      </c>
    </row>
    <row r="9259" spans="1:5" x14ac:dyDescent="0.25">
      <c r="A9259" t="s">
        <v>2</v>
      </c>
      <c r="B9259" t="s">
        <v>3458</v>
      </c>
      <c r="C9259" t="s">
        <v>23490</v>
      </c>
      <c r="D9259" t="str">
        <f>HYPERLINK("https://rhld.insurance.arkansas.gov/NPILookup?Npi=1033479225","1033479225")</f>
        <v>1033479225</v>
      </c>
      <c r="E9259" t="s">
        <v>8438</v>
      </c>
    </row>
    <row r="9260" spans="1:5" x14ac:dyDescent="0.25">
      <c r="A9260" t="s">
        <v>2</v>
      </c>
      <c r="B9260" t="s">
        <v>3458</v>
      </c>
      <c r="C9260" t="s">
        <v>23490</v>
      </c>
      <c r="D9260" t="str">
        <f>HYPERLINK("https://rhld.insurance.arkansas.gov/NPILookup?Npi=1033480116","1033480116")</f>
        <v>1033480116</v>
      </c>
      <c r="E9260" t="s">
        <v>137</v>
      </c>
    </row>
    <row r="9261" spans="1:5" x14ac:dyDescent="0.25">
      <c r="A9261" t="s">
        <v>2</v>
      </c>
      <c r="B9261" t="s">
        <v>3458</v>
      </c>
      <c r="C9261" t="s">
        <v>23490</v>
      </c>
      <c r="D9261" t="str">
        <f>HYPERLINK("https://rhld.insurance.arkansas.gov/NPILookup?Npi=1033483474","1033483474")</f>
        <v>1033483474</v>
      </c>
      <c r="E9261" t="s">
        <v>138</v>
      </c>
    </row>
    <row r="9262" spans="1:5" x14ac:dyDescent="0.25">
      <c r="A9262" t="s">
        <v>2</v>
      </c>
      <c r="B9262" t="s">
        <v>3458</v>
      </c>
      <c r="C9262" t="s">
        <v>23490</v>
      </c>
      <c r="D9262" t="str">
        <f>HYPERLINK("https://rhld.insurance.arkansas.gov/NPILookup?Npi=1033501127","1033501127")</f>
        <v>1033501127</v>
      </c>
      <c r="E9262" t="s">
        <v>8439</v>
      </c>
    </row>
    <row r="9263" spans="1:5" x14ac:dyDescent="0.25">
      <c r="A9263" t="s">
        <v>2</v>
      </c>
      <c r="B9263" t="s">
        <v>3458</v>
      </c>
      <c r="C9263" t="s">
        <v>23490</v>
      </c>
      <c r="D9263" t="str">
        <f>HYPERLINK("https://rhld.insurance.arkansas.gov/NPILookup?Npi=1033523089","1033523089")</f>
        <v>1033523089</v>
      </c>
      <c r="E9263" t="s">
        <v>139</v>
      </c>
    </row>
    <row r="9264" spans="1:5" x14ac:dyDescent="0.25">
      <c r="A9264" t="s">
        <v>2</v>
      </c>
      <c r="B9264" t="s">
        <v>3458</v>
      </c>
      <c r="C9264" t="s">
        <v>23490</v>
      </c>
      <c r="D9264" t="str">
        <f>HYPERLINK("https://rhld.insurance.arkansas.gov/NPILookup?Npi=1033527213","1033527213")</f>
        <v>1033527213</v>
      </c>
      <c r="E9264" t="s">
        <v>140</v>
      </c>
    </row>
    <row r="9265" spans="1:5" x14ac:dyDescent="0.25">
      <c r="A9265" t="s">
        <v>2</v>
      </c>
      <c r="B9265" t="s">
        <v>3458</v>
      </c>
      <c r="C9265" t="s">
        <v>23490</v>
      </c>
      <c r="D9265" t="str">
        <f>HYPERLINK("https://rhld.insurance.arkansas.gov/NPILookup?Npi=1033557145","1033557145")</f>
        <v>1033557145</v>
      </c>
      <c r="E9265" t="s">
        <v>141</v>
      </c>
    </row>
    <row r="9266" spans="1:5" x14ac:dyDescent="0.25">
      <c r="A9266" t="s">
        <v>2</v>
      </c>
      <c r="B9266" t="s">
        <v>3458</v>
      </c>
      <c r="C9266" t="s">
        <v>23490</v>
      </c>
      <c r="D9266" t="str">
        <f>HYPERLINK("https://rhld.insurance.arkansas.gov/NPILookup?Npi=1033571021","1033571021")</f>
        <v>1033571021</v>
      </c>
      <c r="E9266" t="s">
        <v>15800</v>
      </c>
    </row>
    <row r="9267" spans="1:5" x14ac:dyDescent="0.25">
      <c r="A9267" t="s">
        <v>2</v>
      </c>
      <c r="B9267" t="s">
        <v>3458</v>
      </c>
      <c r="C9267" t="s">
        <v>23490</v>
      </c>
      <c r="D9267" t="str">
        <f>HYPERLINK("https://rhld.insurance.arkansas.gov/NPILookup?Npi=1033577234","1033577234")</f>
        <v>1033577234</v>
      </c>
      <c r="E9267" t="s">
        <v>8440</v>
      </c>
    </row>
    <row r="9268" spans="1:5" x14ac:dyDescent="0.25">
      <c r="A9268" t="s">
        <v>2</v>
      </c>
      <c r="B9268" t="s">
        <v>3458</v>
      </c>
      <c r="C9268" t="s">
        <v>23490</v>
      </c>
      <c r="D9268" t="str">
        <f>HYPERLINK("https://rhld.insurance.arkansas.gov/NPILookup?Npi=1033587860","1033587860")</f>
        <v>1033587860</v>
      </c>
      <c r="E9268" t="s">
        <v>8441</v>
      </c>
    </row>
    <row r="9269" spans="1:5" x14ac:dyDescent="0.25">
      <c r="A9269" t="s">
        <v>2</v>
      </c>
      <c r="B9269" t="s">
        <v>3458</v>
      </c>
      <c r="C9269" t="s">
        <v>23490</v>
      </c>
      <c r="D9269" t="str">
        <f>HYPERLINK("https://rhld.insurance.arkansas.gov/NPILookup?Npi=1033596218","1033596218")</f>
        <v>1033596218</v>
      </c>
      <c r="E9269" t="s">
        <v>12949</v>
      </c>
    </row>
    <row r="9270" spans="1:5" x14ac:dyDescent="0.25">
      <c r="A9270" t="s">
        <v>2</v>
      </c>
      <c r="B9270" t="s">
        <v>3458</v>
      </c>
      <c r="C9270" t="s">
        <v>23490</v>
      </c>
      <c r="D9270" t="str">
        <f>HYPERLINK("https://rhld.insurance.arkansas.gov/NPILookup?Npi=1033612585","1033612585")</f>
        <v>1033612585</v>
      </c>
      <c r="E9270" t="s">
        <v>14699</v>
      </c>
    </row>
    <row r="9271" spans="1:5" x14ac:dyDescent="0.25">
      <c r="A9271" t="s">
        <v>2</v>
      </c>
      <c r="B9271" t="s">
        <v>3458</v>
      </c>
      <c r="C9271" t="s">
        <v>23490</v>
      </c>
      <c r="D9271" t="str">
        <f>HYPERLINK("https://rhld.insurance.arkansas.gov/NPILookup?Npi=1033633706","1033633706")</f>
        <v>1033633706</v>
      </c>
      <c r="E9271" t="s">
        <v>14700</v>
      </c>
    </row>
    <row r="9272" spans="1:5" x14ac:dyDescent="0.25">
      <c r="A9272" t="s">
        <v>2</v>
      </c>
      <c r="B9272" t="s">
        <v>3458</v>
      </c>
      <c r="C9272" t="s">
        <v>23490</v>
      </c>
      <c r="D9272" t="str">
        <f>HYPERLINK("https://rhld.insurance.arkansas.gov/NPILookup?Npi=1033635297","1033635297")</f>
        <v>1033635297</v>
      </c>
      <c r="E9272" t="s">
        <v>22884</v>
      </c>
    </row>
    <row r="9273" spans="1:5" x14ac:dyDescent="0.25">
      <c r="A9273" t="s">
        <v>2</v>
      </c>
      <c r="B9273" t="s">
        <v>3458</v>
      </c>
      <c r="C9273" t="s">
        <v>23490</v>
      </c>
      <c r="D9273" t="str">
        <f>HYPERLINK("https://rhld.insurance.arkansas.gov/NPILookup?Npi=1033642228","1033642228")</f>
        <v>1033642228</v>
      </c>
      <c r="E9273" t="s">
        <v>21710</v>
      </c>
    </row>
    <row r="9274" spans="1:5" x14ac:dyDescent="0.25">
      <c r="A9274" t="s">
        <v>2</v>
      </c>
      <c r="B9274" t="s">
        <v>3458</v>
      </c>
      <c r="C9274" t="s">
        <v>23490</v>
      </c>
      <c r="D9274" t="str">
        <f>HYPERLINK("https://rhld.insurance.arkansas.gov/NPILookup?Npi=1033648803","1033648803")</f>
        <v>1033648803</v>
      </c>
      <c r="E9274" t="s">
        <v>14701</v>
      </c>
    </row>
    <row r="9275" spans="1:5" x14ac:dyDescent="0.25">
      <c r="A9275" t="s">
        <v>2</v>
      </c>
      <c r="B9275" t="s">
        <v>3458</v>
      </c>
      <c r="C9275" t="s">
        <v>23490</v>
      </c>
      <c r="D9275" t="str">
        <f>HYPERLINK("https://rhld.insurance.arkansas.gov/NPILookup?Npi=1033652045","1033652045")</f>
        <v>1033652045</v>
      </c>
      <c r="E9275" t="s">
        <v>13340</v>
      </c>
    </row>
    <row r="9276" spans="1:5" x14ac:dyDescent="0.25">
      <c r="A9276" t="s">
        <v>2</v>
      </c>
      <c r="B9276" t="s">
        <v>3458</v>
      </c>
      <c r="C9276" t="s">
        <v>23490</v>
      </c>
      <c r="D9276" t="str">
        <f>HYPERLINK("https://rhld.insurance.arkansas.gov/NPILookup?Npi=1033659677","1033659677")</f>
        <v>1033659677</v>
      </c>
      <c r="E9276" t="s">
        <v>10600</v>
      </c>
    </row>
    <row r="9277" spans="1:5" x14ac:dyDescent="0.25">
      <c r="A9277" t="s">
        <v>2</v>
      </c>
      <c r="B9277" t="s">
        <v>3458</v>
      </c>
      <c r="C9277" t="s">
        <v>23490</v>
      </c>
      <c r="D9277" t="str">
        <f>HYPERLINK("https://rhld.insurance.arkansas.gov/NPILookup?Npi=1033661798","1033661798")</f>
        <v>1033661798</v>
      </c>
      <c r="E9277" t="s">
        <v>10601</v>
      </c>
    </row>
    <row r="9278" spans="1:5" x14ac:dyDescent="0.25">
      <c r="A9278" t="s">
        <v>2</v>
      </c>
      <c r="B9278" t="s">
        <v>3458</v>
      </c>
      <c r="C9278" t="s">
        <v>23490</v>
      </c>
      <c r="D9278" t="str">
        <f>HYPERLINK("https://rhld.insurance.arkansas.gov/NPILookup?Npi=1033670377","1033670377")</f>
        <v>1033670377</v>
      </c>
      <c r="E9278" t="s">
        <v>21413</v>
      </c>
    </row>
    <row r="9279" spans="1:5" x14ac:dyDescent="0.25">
      <c r="A9279" t="s">
        <v>2</v>
      </c>
      <c r="B9279" t="s">
        <v>3458</v>
      </c>
      <c r="C9279" t="s">
        <v>23490</v>
      </c>
      <c r="D9279" t="str">
        <f>HYPERLINK("https://rhld.insurance.arkansas.gov/NPILookup?Npi=1033672555","1033672555")</f>
        <v>1033672555</v>
      </c>
      <c r="E9279" t="s">
        <v>21414</v>
      </c>
    </row>
    <row r="9280" spans="1:5" x14ac:dyDescent="0.25">
      <c r="A9280" t="s">
        <v>2</v>
      </c>
      <c r="B9280" t="s">
        <v>3458</v>
      </c>
      <c r="C9280" t="s">
        <v>23490</v>
      </c>
      <c r="D9280" t="str">
        <f>HYPERLINK("https://rhld.insurance.arkansas.gov/NPILookup?Npi=1033689864","1033689864")</f>
        <v>1033689864</v>
      </c>
      <c r="E9280" t="s">
        <v>17833</v>
      </c>
    </row>
    <row r="9281" spans="1:5" x14ac:dyDescent="0.25">
      <c r="A9281" t="s">
        <v>2</v>
      </c>
      <c r="B9281" t="s">
        <v>3458</v>
      </c>
      <c r="C9281" t="s">
        <v>23490</v>
      </c>
      <c r="D9281" t="str">
        <f>HYPERLINK("https://rhld.insurance.arkansas.gov/NPILookup?Npi=1033704127","1033704127")</f>
        <v>1033704127</v>
      </c>
      <c r="E9281" t="s">
        <v>17834</v>
      </c>
    </row>
    <row r="9282" spans="1:5" x14ac:dyDescent="0.25">
      <c r="A9282" t="s">
        <v>2</v>
      </c>
      <c r="B9282" t="s">
        <v>3458</v>
      </c>
      <c r="C9282" t="s">
        <v>23490</v>
      </c>
      <c r="D9282" t="str">
        <f>HYPERLINK("https://rhld.insurance.arkansas.gov/NPILookup?Npi=1033713482","1033713482")</f>
        <v>1033713482</v>
      </c>
      <c r="E9282" t="s">
        <v>18649</v>
      </c>
    </row>
    <row r="9283" spans="1:5" x14ac:dyDescent="0.25">
      <c r="A9283" t="s">
        <v>2</v>
      </c>
      <c r="B9283" t="s">
        <v>3458</v>
      </c>
      <c r="C9283" t="s">
        <v>23490</v>
      </c>
      <c r="D9283" t="str">
        <f>HYPERLINK("https://rhld.insurance.arkansas.gov/NPILookup?Npi=1033737424","1033737424")</f>
        <v>1033737424</v>
      </c>
      <c r="E9283" t="s">
        <v>19357</v>
      </c>
    </row>
    <row r="9284" spans="1:5" x14ac:dyDescent="0.25">
      <c r="A9284" t="s">
        <v>2</v>
      </c>
      <c r="B9284" t="s">
        <v>3458</v>
      </c>
      <c r="C9284" t="s">
        <v>23490</v>
      </c>
      <c r="D9284" t="str">
        <f>HYPERLINK("https://rhld.insurance.arkansas.gov/NPILookup?Npi=1033765490","1033765490")</f>
        <v>1033765490</v>
      </c>
      <c r="E9284" t="s">
        <v>17835</v>
      </c>
    </row>
    <row r="9285" spans="1:5" x14ac:dyDescent="0.25">
      <c r="A9285" t="s">
        <v>2</v>
      </c>
      <c r="B9285" t="s">
        <v>3458</v>
      </c>
      <c r="C9285" t="s">
        <v>23490</v>
      </c>
      <c r="D9285" t="str">
        <f>HYPERLINK("https://rhld.insurance.arkansas.gov/NPILookup?Npi=1033771969","1033771969")</f>
        <v>1033771969</v>
      </c>
      <c r="E9285" t="s">
        <v>14704</v>
      </c>
    </row>
    <row r="9286" spans="1:5" x14ac:dyDescent="0.25">
      <c r="A9286" t="s">
        <v>2</v>
      </c>
      <c r="B9286" t="s">
        <v>3458</v>
      </c>
      <c r="C9286" t="s">
        <v>23490</v>
      </c>
      <c r="D9286" t="str">
        <f>HYPERLINK("https://rhld.insurance.arkansas.gov/NPILookup?Npi=1033785175","1033785175")</f>
        <v>1033785175</v>
      </c>
      <c r="E9286" t="s">
        <v>18650</v>
      </c>
    </row>
    <row r="9287" spans="1:5" x14ac:dyDescent="0.25">
      <c r="A9287" t="s">
        <v>2</v>
      </c>
      <c r="B9287" t="s">
        <v>3458</v>
      </c>
      <c r="C9287" t="s">
        <v>23490</v>
      </c>
      <c r="D9287" t="str">
        <f>HYPERLINK("https://rhld.insurance.arkansas.gov/NPILookup?Npi=1033788195","1033788195")</f>
        <v>1033788195</v>
      </c>
      <c r="E9287" t="s">
        <v>18651</v>
      </c>
    </row>
    <row r="9288" spans="1:5" x14ac:dyDescent="0.25">
      <c r="A9288" t="s">
        <v>2</v>
      </c>
      <c r="B9288" t="s">
        <v>3458</v>
      </c>
      <c r="C9288" t="s">
        <v>23490</v>
      </c>
      <c r="D9288" t="str">
        <f>HYPERLINK("https://rhld.insurance.arkansas.gov/NPILookup?Npi=1033839931","1033839931")</f>
        <v>1033839931</v>
      </c>
      <c r="E9288" t="s">
        <v>21447</v>
      </c>
    </row>
    <row r="9289" spans="1:5" x14ac:dyDescent="0.25">
      <c r="A9289" t="s">
        <v>2</v>
      </c>
      <c r="B9289" t="s">
        <v>3458</v>
      </c>
      <c r="C9289" t="s">
        <v>23490</v>
      </c>
      <c r="D9289" t="str">
        <f>HYPERLINK("https://rhld.insurance.arkansas.gov/NPILookup?Npi=1033847975","1033847975")</f>
        <v>1033847975</v>
      </c>
      <c r="E9289" t="s">
        <v>23015</v>
      </c>
    </row>
    <row r="9290" spans="1:5" x14ac:dyDescent="0.25">
      <c r="A9290" t="s">
        <v>2</v>
      </c>
      <c r="B9290" t="s">
        <v>3458</v>
      </c>
      <c r="C9290" t="s">
        <v>23490</v>
      </c>
      <c r="D9290" t="str">
        <f>HYPERLINK("https://rhld.insurance.arkansas.gov/NPILookup?Npi=1033857628","1033857628")</f>
        <v>1033857628</v>
      </c>
      <c r="E9290" t="s">
        <v>20873</v>
      </c>
    </row>
    <row r="9291" spans="1:5" x14ac:dyDescent="0.25">
      <c r="A9291" t="s">
        <v>2</v>
      </c>
      <c r="B9291" t="s">
        <v>3458</v>
      </c>
      <c r="C9291" t="s">
        <v>23490</v>
      </c>
      <c r="D9291" t="str">
        <f>HYPERLINK("https://rhld.insurance.arkansas.gov/NPILookup?Npi=1033862883","1033862883")</f>
        <v>1033862883</v>
      </c>
      <c r="E9291" t="s">
        <v>19359</v>
      </c>
    </row>
    <row r="9292" spans="1:5" x14ac:dyDescent="0.25">
      <c r="A9292" t="s">
        <v>2</v>
      </c>
      <c r="B9292" t="s">
        <v>3458</v>
      </c>
      <c r="C9292" t="s">
        <v>23490</v>
      </c>
      <c r="D9292" t="str">
        <f>HYPERLINK("https://rhld.insurance.arkansas.gov/NPILookup?Npi=1033886809","1033886809")</f>
        <v>1033886809</v>
      </c>
      <c r="E9292" t="s">
        <v>18652</v>
      </c>
    </row>
    <row r="9293" spans="1:5" x14ac:dyDescent="0.25">
      <c r="A9293" t="s">
        <v>2</v>
      </c>
      <c r="B9293" t="s">
        <v>3458</v>
      </c>
      <c r="C9293" t="s">
        <v>23490</v>
      </c>
      <c r="D9293" t="str">
        <f>HYPERLINK("https://rhld.insurance.arkansas.gov/NPILookup?Npi=1043201940","1043201940")</f>
        <v>1043201940</v>
      </c>
      <c r="E9293" t="s">
        <v>143</v>
      </c>
    </row>
    <row r="9294" spans="1:5" x14ac:dyDescent="0.25">
      <c r="A9294" t="s">
        <v>2</v>
      </c>
      <c r="B9294" t="s">
        <v>3458</v>
      </c>
      <c r="C9294" t="s">
        <v>23490</v>
      </c>
      <c r="D9294" t="str">
        <f>HYPERLINK("https://rhld.insurance.arkansas.gov/NPILookup?Npi=1043208879","1043208879")</f>
        <v>1043208879</v>
      </c>
      <c r="E9294" t="s">
        <v>145</v>
      </c>
    </row>
    <row r="9295" spans="1:5" x14ac:dyDescent="0.25">
      <c r="A9295" t="s">
        <v>2</v>
      </c>
      <c r="B9295" t="s">
        <v>3458</v>
      </c>
      <c r="C9295" t="s">
        <v>23490</v>
      </c>
      <c r="D9295" t="str">
        <f>HYPERLINK("https://rhld.insurance.arkansas.gov/NPILookup?Npi=1043214653","1043214653")</f>
        <v>1043214653</v>
      </c>
      <c r="E9295" t="s">
        <v>146</v>
      </c>
    </row>
    <row r="9296" spans="1:5" x14ac:dyDescent="0.25">
      <c r="A9296" t="s">
        <v>2</v>
      </c>
      <c r="B9296" t="s">
        <v>3458</v>
      </c>
      <c r="C9296" t="s">
        <v>23490</v>
      </c>
      <c r="D9296" t="str">
        <f>HYPERLINK("https://rhld.insurance.arkansas.gov/NPILookup?Npi=1043217060","1043217060")</f>
        <v>1043217060</v>
      </c>
      <c r="E9296" t="s">
        <v>147</v>
      </c>
    </row>
    <row r="9297" spans="1:5" x14ac:dyDescent="0.25">
      <c r="A9297" t="s">
        <v>2</v>
      </c>
      <c r="B9297" t="s">
        <v>3458</v>
      </c>
      <c r="C9297" t="s">
        <v>23490</v>
      </c>
      <c r="D9297" t="str">
        <f>HYPERLINK("https://rhld.insurance.arkansas.gov/NPILookup?Npi=1043221856","1043221856")</f>
        <v>1043221856</v>
      </c>
      <c r="E9297" t="s">
        <v>14705</v>
      </c>
    </row>
    <row r="9298" spans="1:5" x14ac:dyDescent="0.25">
      <c r="A9298" t="s">
        <v>2</v>
      </c>
      <c r="B9298" t="s">
        <v>3458</v>
      </c>
      <c r="C9298" t="s">
        <v>23490</v>
      </c>
      <c r="D9298" t="str">
        <f>HYPERLINK("https://rhld.insurance.arkansas.gov/NPILookup?Npi=1043232333","1043232333")</f>
        <v>1043232333</v>
      </c>
      <c r="E9298" t="s">
        <v>8443</v>
      </c>
    </row>
    <row r="9299" spans="1:5" x14ac:dyDescent="0.25">
      <c r="A9299" t="s">
        <v>2</v>
      </c>
      <c r="B9299" t="s">
        <v>3458</v>
      </c>
      <c r="C9299" t="s">
        <v>23490</v>
      </c>
      <c r="D9299" t="str">
        <f>HYPERLINK("https://rhld.insurance.arkansas.gov/NPILookup?Npi=1043232580","1043232580")</f>
        <v>1043232580</v>
      </c>
      <c r="E9299" t="s">
        <v>148</v>
      </c>
    </row>
    <row r="9300" spans="1:5" x14ac:dyDescent="0.25">
      <c r="A9300" t="s">
        <v>2</v>
      </c>
      <c r="B9300" t="s">
        <v>3458</v>
      </c>
      <c r="C9300" t="s">
        <v>23490</v>
      </c>
      <c r="D9300" t="str">
        <f>HYPERLINK("https://rhld.insurance.arkansas.gov/NPILookup?Npi=1043232986","1043232986")</f>
        <v>1043232986</v>
      </c>
      <c r="E9300" t="s">
        <v>3480</v>
      </c>
    </row>
    <row r="9301" spans="1:5" x14ac:dyDescent="0.25">
      <c r="A9301" t="s">
        <v>2</v>
      </c>
      <c r="B9301" t="s">
        <v>3458</v>
      </c>
      <c r="C9301" t="s">
        <v>23490</v>
      </c>
      <c r="D9301" t="str">
        <f>HYPERLINK("https://rhld.insurance.arkansas.gov/NPILookup?Npi=1043236748","1043236748")</f>
        <v>1043236748</v>
      </c>
      <c r="E9301" t="s">
        <v>149</v>
      </c>
    </row>
    <row r="9302" spans="1:5" x14ac:dyDescent="0.25">
      <c r="A9302" t="s">
        <v>2</v>
      </c>
      <c r="B9302" t="s">
        <v>3458</v>
      </c>
      <c r="C9302" t="s">
        <v>23490</v>
      </c>
      <c r="D9302" t="str">
        <f>HYPERLINK("https://rhld.insurance.arkansas.gov/NPILookup?Npi=1043239965","1043239965")</f>
        <v>1043239965</v>
      </c>
      <c r="E9302" t="s">
        <v>151</v>
      </c>
    </row>
    <row r="9303" spans="1:5" x14ac:dyDescent="0.25">
      <c r="A9303" t="s">
        <v>2</v>
      </c>
      <c r="B9303" t="s">
        <v>3458</v>
      </c>
      <c r="C9303" t="s">
        <v>23490</v>
      </c>
      <c r="D9303" t="str">
        <f>HYPERLINK("https://rhld.insurance.arkansas.gov/NPILookup?Npi=1043249550","1043249550")</f>
        <v>1043249550</v>
      </c>
      <c r="E9303" t="s">
        <v>3481</v>
      </c>
    </row>
    <row r="9304" spans="1:5" x14ac:dyDescent="0.25">
      <c r="A9304" t="s">
        <v>2</v>
      </c>
      <c r="B9304" t="s">
        <v>3458</v>
      </c>
      <c r="C9304" t="s">
        <v>23490</v>
      </c>
      <c r="D9304" t="str">
        <f>HYPERLINK("https://rhld.insurance.arkansas.gov/NPILookup?Npi=1043265655","1043265655")</f>
        <v>1043265655</v>
      </c>
      <c r="E9304" t="s">
        <v>154</v>
      </c>
    </row>
    <row r="9305" spans="1:5" x14ac:dyDescent="0.25">
      <c r="A9305" t="s">
        <v>2</v>
      </c>
      <c r="B9305" t="s">
        <v>3458</v>
      </c>
      <c r="C9305" t="s">
        <v>23490</v>
      </c>
      <c r="D9305" t="str">
        <f>HYPERLINK("https://rhld.insurance.arkansas.gov/NPILookup?Npi=1043278914","1043278914")</f>
        <v>1043278914</v>
      </c>
      <c r="E9305" t="s">
        <v>156</v>
      </c>
    </row>
    <row r="9306" spans="1:5" x14ac:dyDescent="0.25">
      <c r="A9306" t="s">
        <v>2</v>
      </c>
      <c r="B9306" t="s">
        <v>3458</v>
      </c>
      <c r="C9306" t="s">
        <v>23490</v>
      </c>
      <c r="D9306" t="str">
        <f>HYPERLINK("https://rhld.insurance.arkansas.gov/NPILookup?Npi=1043289879","1043289879")</f>
        <v>1043289879</v>
      </c>
      <c r="E9306" t="s">
        <v>3482</v>
      </c>
    </row>
    <row r="9307" spans="1:5" x14ac:dyDescent="0.25">
      <c r="A9307" t="s">
        <v>2</v>
      </c>
      <c r="B9307" t="s">
        <v>3458</v>
      </c>
      <c r="C9307" t="s">
        <v>23490</v>
      </c>
      <c r="D9307" t="str">
        <f>HYPERLINK("https://rhld.insurance.arkansas.gov/NPILookup?Npi=1043291560","1043291560")</f>
        <v>1043291560</v>
      </c>
      <c r="E9307" t="s">
        <v>158</v>
      </c>
    </row>
    <row r="9308" spans="1:5" x14ac:dyDescent="0.25">
      <c r="A9308" t="s">
        <v>2</v>
      </c>
      <c r="B9308" t="s">
        <v>3458</v>
      </c>
      <c r="C9308" t="s">
        <v>23490</v>
      </c>
      <c r="D9308" t="str">
        <f>HYPERLINK("https://rhld.insurance.arkansas.gov/NPILookup?Npi=1043303019","1043303019")</f>
        <v>1043303019</v>
      </c>
      <c r="E9308" t="s">
        <v>14706</v>
      </c>
    </row>
    <row r="9309" spans="1:5" x14ac:dyDescent="0.25">
      <c r="A9309" t="s">
        <v>2</v>
      </c>
      <c r="B9309" t="s">
        <v>3458</v>
      </c>
      <c r="C9309" t="s">
        <v>23490</v>
      </c>
      <c r="D9309" t="str">
        <f>HYPERLINK("https://rhld.insurance.arkansas.gov/NPILookup?Npi=1043307499","1043307499")</f>
        <v>1043307499</v>
      </c>
      <c r="E9309" t="s">
        <v>159</v>
      </c>
    </row>
    <row r="9310" spans="1:5" x14ac:dyDescent="0.25">
      <c r="A9310" t="s">
        <v>2</v>
      </c>
      <c r="B9310" t="s">
        <v>3458</v>
      </c>
      <c r="C9310" t="s">
        <v>23490</v>
      </c>
      <c r="D9310" t="str">
        <f>HYPERLINK("https://rhld.insurance.arkansas.gov/NPILookup?Npi=1043310121","1043310121")</f>
        <v>1043310121</v>
      </c>
      <c r="E9310" t="s">
        <v>14707</v>
      </c>
    </row>
    <row r="9311" spans="1:5" x14ac:dyDescent="0.25">
      <c r="A9311" t="s">
        <v>2</v>
      </c>
      <c r="B9311" t="s">
        <v>3458</v>
      </c>
      <c r="C9311" t="s">
        <v>23490</v>
      </c>
      <c r="D9311" t="str">
        <f>HYPERLINK("https://rhld.insurance.arkansas.gov/NPILookup?Npi=1043340011","1043340011")</f>
        <v>1043340011</v>
      </c>
      <c r="E9311" t="s">
        <v>161</v>
      </c>
    </row>
    <row r="9312" spans="1:5" x14ac:dyDescent="0.25">
      <c r="A9312" t="s">
        <v>2</v>
      </c>
      <c r="B9312" t="s">
        <v>3458</v>
      </c>
      <c r="C9312" t="s">
        <v>23490</v>
      </c>
      <c r="D9312" t="str">
        <f>HYPERLINK("https://rhld.insurance.arkansas.gov/NPILookup?Npi=1043364201","1043364201")</f>
        <v>1043364201</v>
      </c>
      <c r="E9312" t="s">
        <v>163</v>
      </c>
    </row>
    <row r="9313" spans="1:5" x14ac:dyDescent="0.25">
      <c r="A9313" t="s">
        <v>2</v>
      </c>
      <c r="B9313" t="s">
        <v>3458</v>
      </c>
      <c r="C9313" t="s">
        <v>23490</v>
      </c>
      <c r="D9313" t="str">
        <f>HYPERLINK("https://rhld.insurance.arkansas.gov/NPILookup?Npi=1043401086","1043401086")</f>
        <v>1043401086</v>
      </c>
      <c r="E9313" t="s">
        <v>164</v>
      </c>
    </row>
    <row r="9314" spans="1:5" x14ac:dyDescent="0.25">
      <c r="A9314" t="s">
        <v>2</v>
      </c>
      <c r="B9314" t="s">
        <v>3458</v>
      </c>
      <c r="C9314" t="s">
        <v>23490</v>
      </c>
      <c r="D9314" t="str">
        <f>HYPERLINK("https://rhld.insurance.arkansas.gov/NPILookup?Npi=1043413909","1043413909")</f>
        <v>1043413909</v>
      </c>
      <c r="E9314" t="s">
        <v>3483</v>
      </c>
    </row>
    <row r="9315" spans="1:5" x14ac:dyDescent="0.25">
      <c r="A9315" t="s">
        <v>2</v>
      </c>
      <c r="B9315" t="s">
        <v>3458</v>
      </c>
      <c r="C9315" t="s">
        <v>23490</v>
      </c>
      <c r="D9315" t="str">
        <f>HYPERLINK("https://rhld.insurance.arkansas.gov/NPILookup?Npi=1043416373","1043416373")</f>
        <v>1043416373</v>
      </c>
      <c r="E9315" t="s">
        <v>165</v>
      </c>
    </row>
    <row r="9316" spans="1:5" x14ac:dyDescent="0.25">
      <c r="A9316" t="s">
        <v>2</v>
      </c>
      <c r="B9316" t="s">
        <v>3458</v>
      </c>
      <c r="C9316" t="s">
        <v>23490</v>
      </c>
      <c r="D9316" t="str">
        <f>HYPERLINK("https://rhld.insurance.arkansas.gov/NPILookup?Npi=1043431208","1043431208")</f>
        <v>1043431208</v>
      </c>
      <c r="E9316" t="s">
        <v>10603</v>
      </c>
    </row>
    <row r="9317" spans="1:5" x14ac:dyDescent="0.25">
      <c r="A9317" t="s">
        <v>2</v>
      </c>
      <c r="B9317" t="s">
        <v>3458</v>
      </c>
      <c r="C9317" t="s">
        <v>23490</v>
      </c>
      <c r="D9317" t="str">
        <f>HYPERLINK("https://rhld.insurance.arkansas.gov/NPILookup?Npi=1043456023","1043456023")</f>
        <v>1043456023</v>
      </c>
      <c r="E9317" t="s">
        <v>167</v>
      </c>
    </row>
    <row r="9318" spans="1:5" x14ac:dyDescent="0.25">
      <c r="A9318" t="s">
        <v>2</v>
      </c>
      <c r="B9318" t="s">
        <v>3458</v>
      </c>
      <c r="C9318" t="s">
        <v>23490</v>
      </c>
      <c r="D9318" t="str">
        <f>HYPERLINK("https://rhld.insurance.arkansas.gov/NPILookup?Npi=1043472962","1043472962")</f>
        <v>1043472962</v>
      </c>
      <c r="E9318" t="s">
        <v>168</v>
      </c>
    </row>
    <row r="9319" spans="1:5" x14ac:dyDescent="0.25">
      <c r="A9319" t="s">
        <v>2</v>
      </c>
      <c r="B9319" t="s">
        <v>3458</v>
      </c>
      <c r="C9319" t="s">
        <v>23490</v>
      </c>
      <c r="D9319" t="str">
        <f>HYPERLINK("https://rhld.insurance.arkansas.gov/NPILookup?Npi=1043523228","1043523228")</f>
        <v>1043523228</v>
      </c>
      <c r="E9319" t="s">
        <v>169</v>
      </c>
    </row>
    <row r="9320" spans="1:5" x14ac:dyDescent="0.25">
      <c r="A9320" t="s">
        <v>2</v>
      </c>
      <c r="B9320" t="s">
        <v>3458</v>
      </c>
      <c r="C9320" t="s">
        <v>23490</v>
      </c>
      <c r="D9320" t="str">
        <f>HYPERLINK("https://rhld.insurance.arkansas.gov/NPILookup?Npi=1043527336","1043527336")</f>
        <v>1043527336</v>
      </c>
      <c r="E9320" t="s">
        <v>170</v>
      </c>
    </row>
    <row r="9321" spans="1:5" x14ac:dyDescent="0.25">
      <c r="A9321" t="s">
        <v>2</v>
      </c>
      <c r="B9321" t="s">
        <v>3458</v>
      </c>
      <c r="C9321" t="s">
        <v>23490</v>
      </c>
      <c r="D9321" t="str">
        <f>HYPERLINK("https://rhld.insurance.arkansas.gov/NPILookup?Npi=1043529134","1043529134")</f>
        <v>1043529134</v>
      </c>
      <c r="E9321" t="s">
        <v>171</v>
      </c>
    </row>
    <row r="9322" spans="1:5" x14ac:dyDescent="0.25">
      <c r="A9322" t="s">
        <v>2</v>
      </c>
      <c r="B9322" t="s">
        <v>3458</v>
      </c>
      <c r="C9322" t="s">
        <v>23490</v>
      </c>
      <c r="D9322" t="str">
        <f>HYPERLINK("https://rhld.insurance.arkansas.gov/NPILookup?Npi=1043546930","1043546930")</f>
        <v>1043546930</v>
      </c>
      <c r="E9322" t="s">
        <v>16857</v>
      </c>
    </row>
    <row r="9323" spans="1:5" x14ac:dyDescent="0.25">
      <c r="A9323" t="s">
        <v>2</v>
      </c>
      <c r="B9323" t="s">
        <v>3458</v>
      </c>
      <c r="C9323" t="s">
        <v>23490</v>
      </c>
      <c r="D9323" t="str">
        <f>HYPERLINK("https://rhld.insurance.arkansas.gov/NPILookup?Npi=1043549371","1043549371")</f>
        <v>1043549371</v>
      </c>
      <c r="E9323" t="s">
        <v>3484</v>
      </c>
    </row>
    <row r="9324" spans="1:5" x14ac:dyDescent="0.25">
      <c r="A9324" t="s">
        <v>2</v>
      </c>
      <c r="B9324" t="s">
        <v>3458</v>
      </c>
      <c r="C9324" t="s">
        <v>23490</v>
      </c>
      <c r="D9324" t="str">
        <f>HYPERLINK("https://rhld.insurance.arkansas.gov/NPILookup?Npi=1043553167","1043553167")</f>
        <v>1043553167</v>
      </c>
      <c r="E9324" t="s">
        <v>8445</v>
      </c>
    </row>
    <row r="9325" spans="1:5" x14ac:dyDescent="0.25">
      <c r="A9325" t="s">
        <v>2</v>
      </c>
      <c r="B9325" t="s">
        <v>3458</v>
      </c>
      <c r="C9325" t="s">
        <v>23490</v>
      </c>
      <c r="D9325" t="str">
        <f>HYPERLINK("https://rhld.insurance.arkansas.gov/NPILookup?Npi=1043565047","1043565047")</f>
        <v>1043565047</v>
      </c>
      <c r="E9325" t="s">
        <v>21711</v>
      </c>
    </row>
    <row r="9326" spans="1:5" x14ac:dyDescent="0.25">
      <c r="A9326" t="s">
        <v>2</v>
      </c>
      <c r="B9326" t="s">
        <v>3458</v>
      </c>
      <c r="C9326" t="s">
        <v>23490</v>
      </c>
      <c r="D9326" t="str">
        <f>HYPERLINK("https://rhld.insurance.arkansas.gov/NPILookup?Npi=1043584204","1043584204")</f>
        <v>1043584204</v>
      </c>
      <c r="E9326" t="s">
        <v>14708</v>
      </c>
    </row>
    <row r="9327" spans="1:5" x14ac:dyDescent="0.25">
      <c r="A9327" t="s">
        <v>2</v>
      </c>
      <c r="B9327" t="s">
        <v>3458</v>
      </c>
      <c r="C9327" t="s">
        <v>23490</v>
      </c>
      <c r="D9327" t="str">
        <f>HYPERLINK("https://rhld.insurance.arkansas.gov/NPILookup?Npi=1043609340","1043609340")</f>
        <v>1043609340</v>
      </c>
      <c r="E9327" t="s">
        <v>14709</v>
      </c>
    </row>
    <row r="9328" spans="1:5" x14ac:dyDescent="0.25">
      <c r="A9328" t="s">
        <v>2</v>
      </c>
      <c r="B9328" t="s">
        <v>3458</v>
      </c>
      <c r="C9328" t="s">
        <v>23490</v>
      </c>
      <c r="D9328" t="str">
        <f>HYPERLINK("https://rhld.insurance.arkansas.gov/NPILookup?Npi=1043611502","1043611502")</f>
        <v>1043611502</v>
      </c>
      <c r="E9328" t="s">
        <v>20875</v>
      </c>
    </row>
    <row r="9329" spans="1:5" x14ac:dyDescent="0.25">
      <c r="A9329" t="s">
        <v>2</v>
      </c>
      <c r="B9329" t="s">
        <v>3458</v>
      </c>
      <c r="C9329" t="s">
        <v>23490</v>
      </c>
      <c r="D9329" t="str">
        <f>HYPERLINK("https://rhld.insurance.arkansas.gov/NPILookup?Npi=1043623986","1043623986")</f>
        <v>1043623986</v>
      </c>
      <c r="E9329" t="s">
        <v>12763</v>
      </c>
    </row>
    <row r="9330" spans="1:5" x14ac:dyDescent="0.25">
      <c r="A9330" t="s">
        <v>2</v>
      </c>
      <c r="B9330" t="s">
        <v>3458</v>
      </c>
      <c r="C9330" t="s">
        <v>23490</v>
      </c>
      <c r="D9330" t="str">
        <f>HYPERLINK("https://rhld.insurance.arkansas.gov/NPILookup?Npi=1043633696","1043633696")</f>
        <v>1043633696</v>
      </c>
      <c r="E9330" t="s">
        <v>175</v>
      </c>
    </row>
    <row r="9331" spans="1:5" x14ac:dyDescent="0.25">
      <c r="A9331" t="s">
        <v>2</v>
      </c>
      <c r="B9331" t="s">
        <v>3458</v>
      </c>
      <c r="C9331" t="s">
        <v>23490</v>
      </c>
      <c r="D9331" t="str">
        <f>HYPERLINK("https://rhld.insurance.arkansas.gov/NPILookup?Npi=1043634744","1043634744")</f>
        <v>1043634744</v>
      </c>
      <c r="E9331" t="s">
        <v>13341</v>
      </c>
    </row>
    <row r="9332" spans="1:5" x14ac:dyDescent="0.25">
      <c r="A9332" t="s">
        <v>2</v>
      </c>
      <c r="B9332" t="s">
        <v>3458</v>
      </c>
      <c r="C9332" t="s">
        <v>23490</v>
      </c>
      <c r="D9332" t="str">
        <f>HYPERLINK("https://rhld.insurance.arkansas.gov/NPILookup?Npi=1043653454","1043653454")</f>
        <v>1043653454</v>
      </c>
      <c r="E9332" t="s">
        <v>11430</v>
      </c>
    </row>
    <row r="9333" spans="1:5" x14ac:dyDescent="0.25">
      <c r="A9333" t="s">
        <v>2</v>
      </c>
      <c r="B9333" t="s">
        <v>3458</v>
      </c>
      <c r="C9333" t="s">
        <v>23490</v>
      </c>
      <c r="D9333" t="str">
        <f>HYPERLINK("https://rhld.insurance.arkansas.gov/NPILookup?Npi=1043657646","1043657646")</f>
        <v>1043657646</v>
      </c>
      <c r="E9333" t="s">
        <v>176</v>
      </c>
    </row>
    <row r="9334" spans="1:5" x14ac:dyDescent="0.25">
      <c r="A9334" t="s">
        <v>2</v>
      </c>
      <c r="B9334" t="s">
        <v>3458</v>
      </c>
      <c r="C9334" t="s">
        <v>23490</v>
      </c>
      <c r="D9334" t="str">
        <f>HYPERLINK("https://rhld.insurance.arkansas.gov/NPILookup?Npi=1043660194","1043660194")</f>
        <v>1043660194</v>
      </c>
      <c r="E9334" t="s">
        <v>10605</v>
      </c>
    </row>
    <row r="9335" spans="1:5" x14ac:dyDescent="0.25">
      <c r="A9335" t="s">
        <v>2</v>
      </c>
      <c r="B9335" t="s">
        <v>3458</v>
      </c>
      <c r="C9335" t="s">
        <v>23490</v>
      </c>
      <c r="D9335" t="str">
        <f>HYPERLINK("https://rhld.insurance.arkansas.gov/NPILookup?Npi=1043662398","1043662398")</f>
        <v>1043662398</v>
      </c>
      <c r="E9335" t="s">
        <v>13342</v>
      </c>
    </row>
    <row r="9336" spans="1:5" x14ac:dyDescent="0.25">
      <c r="A9336" t="s">
        <v>2</v>
      </c>
      <c r="B9336" t="s">
        <v>3458</v>
      </c>
      <c r="C9336" t="s">
        <v>23490</v>
      </c>
      <c r="D9336" t="str">
        <f>HYPERLINK("https://rhld.insurance.arkansas.gov/NPILookup?Npi=1043681265","1043681265")</f>
        <v>1043681265</v>
      </c>
      <c r="E9336" t="s">
        <v>14710</v>
      </c>
    </row>
    <row r="9337" spans="1:5" x14ac:dyDescent="0.25">
      <c r="A9337" t="s">
        <v>2</v>
      </c>
      <c r="B9337" t="s">
        <v>3458</v>
      </c>
      <c r="C9337" t="s">
        <v>23490</v>
      </c>
      <c r="D9337" t="str">
        <f>HYPERLINK("https://rhld.insurance.arkansas.gov/NPILookup?Npi=1043682677","1043682677")</f>
        <v>1043682677</v>
      </c>
      <c r="E9337" t="s">
        <v>8446</v>
      </c>
    </row>
    <row r="9338" spans="1:5" x14ac:dyDescent="0.25">
      <c r="A9338" t="s">
        <v>2</v>
      </c>
      <c r="B9338" t="s">
        <v>3458</v>
      </c>
      <c r="C9338" t="s">
        <v>23490</v>
      </c>
      <c r="D9338" t="str">
        <f>HYPERLINK("https://rhld.insurance.arkansas.gov/NPILookup?Npi=1043690985","1043690985")</f>
        <v>1043690985</v>
      </c>
      <c r="E9338" t="s">
        <v>21712</v>
      </c>
    </row>
    <row r="9339" spans="1:5" x14ac:dyDescent="0.25">
      <c r="A9339" t="s">
        <v>2</v>
      </c>
      <c r="B9339" t="s">
        <v>3458</v>
      </c>
      <c r="C9339" t="s">
        <v>23490</v>
      </c>
      <c r="D9339" t="str">
        <f>HYPERLINK("https://rhld.insurance.arkansas.gov/NPILookup?Npi=1043691322","1043691322")</f>
        <v>1043691322</v>
      </c>
      <c r="E9339" t="s">
        <v>177</v>
      </c>
    </row>
    <row r="9340" spans="1:5" x14ac:dyDescent="0.25">
      <c r="A9340" t="s">
        <v>2</v>
      </c>
      <c r="B9340" t="s">
        <v>3458</v>
      </c>
      <c r="C9340" t="s">
        <v>23490</v>
      </c>
      <c r="D9340" t="str">
        <f>HYPERLINK("https://rhld.insurance.arkansas.gov/NPILookup?Npi=1043692080","1043692080")</f>
        <v>1043692080</v>
      </c>
      <c r="E9340" t="s">
        <v>178</v>
      </c>
    </row>
    <row r="9341" spans="1:5" x14ac:dyDescent="0.25">
      <c r="A9341" t="s">
        <v>2</v>
      </c>
      <c r="B9341" t="s">
        <v>3458</v>
      </c>
      <c r="C9341" t="s">
        <v>23490</v>
      </c>
      <c r="D9341" t="str">
        <f>HYPERLINK("https://rhld.insurance.arkansas.gov/NPILookup?Npi=1043692528","1043692528")</f>
        <v>1043692528</v>
      </c>
      <c r="E9341" t="s">
        <v>8447</v>
      </c>
    </row>
    <row r="9342" spans="1:5" x14ac:dyDescent="0.25">
      <c r="A9342" t="s">
        <v>2</v>
      </c>
      <c r="B9342" t="s">
        <v>3458</v>
      </c>
      <c r="C9342" t="s">
        <v>23490</v>
      </c>
      <c r="D9342" t="str">
        <f>HYPERLINK("https://rhld.insurance.arkansas.gov/NPILookup?Npi=1043694243","1043694243")</f>
        <v>1043694243</v>
      </c>
      <c r="E9342" t="s">
        <v>179</v>
      </c>
    </row>
    <row r="9343" spans="1:5" x14ac:dyDescent="0.25">
      <c r="A9343" t="s">
        <v>2</v>
      </c>
      <c r="B9343" t="s">
        <v>3458</v>
      </c>
      <c r="C9343" t="s">
        <v>23490</v>
      </c>
      <c r="D9343" t="str">
        <f>HYPERLINK("https://rhld.insurance.arkansas.gov/NPILookup?Npi=1043704497","1043704497")</f>
        <v>1043704497</v>
      </c>
      <c r="E9343" t="s">
        <v>13343</v>
      </c>
    </row>
    <row r="9344" spans="1:5" x14ac:dyDescent="0.25">
      <c r="A9344" t="s">
        <v>2</v>
      </c>
      <c r="B9344" t="s">
        <v>3458</v>
      </c>
      <c r="C9344" t="s">
        <v>23490</v>
      </c>
      <c r="D9344" t="str">
        <f>HYPERLINK("https://rhld.insurance.arkansas.gov/NPILookup?Npi=1043722119","1043722119")</f>
        <v>1043722119</v>
      </c>
      <c r="E9344" t="s">
        <v>12950</v>
      </c>
    </row>
    <row r="9345" spans="1:5" x14ac:dyDescent="0.25">
      <c r="A9345" t="s">
        <v>2</v>
      </c>
      <c r="B9345" t="s">
        <v>3458</v>
      </c>
      <c r="C9345" t="s">
        <v>23490</v>
      </c>
      <c r="D9345" t="str">
        <f>HYPERLINK("https://rhld.insurance.arkansas.gov/NPILookup?Npi=1043730328","1043730328")</f>
        <v>1043730328</v>
      </c>
      <c r="E9345" t="s">
        <v>10606</v>
      </c>
    </row>
    <row r="9346" spans="1:5" x14ac:dyDescent="0.25">
      <c r="A9346" t="s">
        <v>2</v>
      </c>
      <c r="B9346" t="s">
        <v>3458</v>
      </c>
      <c r="C9346" t="s">
        <v>23490</v>
      </c>
      <c r="D9346" t="str">
        <f>HYPERLINK("https://rhld.insurance.arkansas.gov/NPILookup?Npi=1043752009","1043752009")</f>
        <v>1043752009</v>
      </c>
      <c r="E9346" t="s">
        <v>13344</v>
      </c>
    </row>
    <row r="9347" spans="1:5" x14ac:dyDescent="0.25">
      <c r="A9347" t="s">
        <v>2</v>
      </c>
      <c r="B9347" t="s">
        <v>3458</v>
      </c>
      <c r="C9347" t="s">
        <v>23490</v>
      </c>
      <c r="D9347" t="str">
        <f>HYPERLINK("https://rhld.insurance.arkansas.gov/NPILookup?Npi=1043757271","1043757271")</f>
        <v>1043757271</v>
      </c>
      <c r="E9347" t="s">
        <v>14712</v>
      </c>
    </row>
    <row r="9348" spans="1:5" x14ac:dyDescent="0.25">
      <c r="A9348" t="s">
        <v>2</v>
      </c>
      <c r="B9348" t="s">
        <v>3458</v>
      </c>
      <c r="C9348" t="s">
        <v>23490</v>
      </c>
      <c r="D9348" t="str">
        <f>HYPERLINK("https://rhld.insurance.arkansas.gov/NPILookup?Npi=1043776727","1043776727")</f>
        <v>1043776727</v>
      </c>
      <c r="E9348" t="s">
        <v>17380</v>
      </c>
    </row>
    <row r="9349" spans="1:5" x14ac:dyDescent="0.25">
      <c r="A9349" t="s">
        <v>2</v>
      </c>
      <c r="B9349" t="s">
        <v>3458</v>
      </c>
      <c r="C9349" t="s">
        <v>23490</v>
      </c>
      <c r="D9349" t="str">
        <f>HYPERLINK("https://rhld.insurance.arkansas.gov/NPILookup?Npi=1043793672","1043793672")</f>
        <v>1043793672</v>
      </c>
      <c r="E9349" t="s">
        <v>14713</v>
      </c>
    </row>
    <row r="9350" spans="1:5" x14ac:dyDescent="0.25">
      <c r="A9350" t="s">
        <v>2</v>
      </c>
      <c r="B9350" t="s">
        <v>3458</v>
      </c>
      <c r="C9350" t="s">
        <v>23490</v>
      </c>
      <c r="D9350" t="str">
        <f>HYPERLINK("https://rhld.insurance.arkansas.gov/NPILookup?Npi=1043801855","1043801855")</f>
        <v>1043801855</v>
      </c>
      <c r="E9350" t="s">
        <v>17836</v>
      </c>
    </row>
    <row r="9351" spans="1:5" x14ac:dyDescent="0.25">
      <c r="A9351" t="s">
        <v>2</v>
      </c>
      <c r="B9351" t="s">
        <v>3458</v>
      </c>
      <c r="C9351" t="s">
        <v>23490</v>
      </c>
      <c r="D9351" t="str">
        <f>HYPERLINK("https://rhld.insurance.arkansas.gov/NPILookup?Npi=1043845431","1043845431")</f>
        <v>1043845431</v>
      </c>
      <c r="E9351" t="s">
        <v>19366</v>
      </c>
    </row>
    <row r="9352" spans="1:5" x14ac:dyDescent="0.25">
      <c r="A9352" t="s">
        <v>2</v>
      </c>
      <c r="B9352" t="s">
        <v>3458</v>
      </c>
      <c r="C9352" t="s">
        <v>23490</v>
      </c>
      <c r="D9352" t="str">
        <f>HYPERLINK("https://rhld.insurance.arkansas.gov/NPILookup?Npi=1043938855","1043938855")</f>
        <v>1043938855</v>
      </c>
      <c r="E9352" t="s">
        <v>11723</v>
      </c>
    </row>
    <row r="9353" spans="1:5" x14ac:dyDescent="0.25">
      <c r="A9353" t="s">
        <v>2</v>
      </c>
      <c r="B9353" t="s">
        <v>3458</v>
      </c>
      <c r="C9353" t="s">
        <v>23490</v>
      </c>
      <c r="D9353" t="str">
        <f>HYPERLINK("https://rhld.insurance.arkansas.gov/NPILookup?Npi=1043949563","1043949563")</f>
        <v>1043949563</v>
      </c>
      <c r="E9353" t="s">
        <v>21449</v>
      </c>
    </row>
    <row r="9354" spans="1:5" x14ac:dyDescent="0.25">
      <c r="A9354" t="s">
        <v>2</v>
      </c>
      <c r="B9354" t="s">
        <v>3458</v>
      </c>
      <c r="C9354" t="s">
        <v>23490</v>
      </c>
      <c r="D9354" t="str">
        <f>HYPERLINK("https://rhld.insurance.arkansas.gov/NPILookup?Npi=1043950785","1043950785")</f>
        <v>1043950785</v>
      </c>
      <c r="E9354" t="s">
        <v>20878</v>
      </c>
    </row>
    <row r="9355" spans="1:5" x14ac:dyDescent="0.25">
      <c r="A9355" t="s">
        <v>2</v>
      </c>
      <c r="B9355" t="s">
        <v>3458</v>
      </c>
      <c r="C9355" t="s">
        <v>23490</v>
      </c>
      <c r="D9355" t="str">
        <f>HYPERLINK("https://rhld.insurance.arkansas.gov/NPILookup?Npi=1043979024","1043979024")</f>
        <v>1043979024</v>
      </c>
      <c r="E9355" t="s">
        <v>19367</v>
      </c>
    </row>
    <row r="9356" spans="1:5" x14ac:dyDescent="0.25">
      <c r="A9356" t="s">
        <v>2</v>
      </c>
      <c r="B9356" t="s">
        <v>3458</v>
      </c>
      <c r="C9356" t="s">
        <v>23490</v>
      </c>
      <c r="D9356" t="str">
        <f>HYPERLINK("https://rhld.insurance.arkansas.gov/NPILookup?Npi=1043988728","1043988728")</f>
        <v>1043988728</v>
      </c>
      <c r="E9356" t="s">
        <v>19368</v>
      </c>
    </row>
    <row r="9357" spans="1:5" x14ac:dyDescent="0.25">
      <c r="A9357" t="s">
        <v>2</v>
      </c>
      <c r="B9357" t="s">
        <v>3458</v>
      </c>
      <c r="C9357" t="s">
        <v>23490</v>
      </c>
      <c r="D9357" t="str">
        <f>HYPERLINK("https://rhld.insurance.arkansas.gov/NPILookup?Npi=1053045674","1053045674")</f>
        <v>1053045674</v>
      </c>
      <c r="E9357" t="s">
        <v>21713</v>
      </c>
    </row>
    <row r="9358" spans="1:5" x14ac:dyDescent="0.25">
      <c r="A9358" t="s">
        <v>2</v>
      </c>
      <c r="B9358" t="s">
        <v>3458</v>
      </c>
      <c r="C9358" t="s">
        <v>23490</v>
      </c>
      <c r="D9358" t="str">
        <f>HYPERLINK("https://rhld.insurance.arkansas.gov/NPILookup?Npi=1053047969","1053047969")</f>
        <v>1053047969</v>
      </c>
      <c r="E9358" t="s">
        <v>21452</v>
      </c>
    </row>
    <row r="9359" spans="1:5" x14ac:dyDescent="0.25">
      <c r="A9359" t="s">
        <v>2</v>
      </c>
      <c r="B9359" t="s">
        <v>3458</v>
      </c>
      <c r="C9359" t="s">
        <v>23490</v>
      </c>
      <c r="D9359" t="str">
        <f>HYPERLINK("https://rhld.insurance.arkansas.gov/NPILookup?Npi=1053078907","1053078907")</f>
        <v>1053078907</v>
      </c>
      <c r="E9359" t="s">
        <v>19369</v>
      </c>
    </row>
    <row r="9360" spans="1:5" x14ac:dyDescent="0.25">
      <c r="A9360" t="s">
        <v>2</v>
      </c>
      <c r="B9360" t="s">
        <v>3458</v>
      </c>
      <c r="C9360" t="s">
        <v>23490</v>
      </c>
      <c r="D9360" t="str">
        <f>HYPERLINK("https://rhld.insurance.arkansas.gov/NPILookup?Npi=1053087668","1053087668")</f>
        <v>1053087668</v>
      </c>
      <c r="E9360" t="s">
        <v>18653</v>
      </c>
    </row>
    <row r="9361" spans="1:5" x14ac:dyDescent="0.25">
      <c r="A9361" t="s">
        <v>2</v>
      </c>
      <c r="B9361" t="s">
        <v>3458</v>
      </c>
      <c r="C9361" t="s">
        <v>23490</v>
      </c>
      <c r="D9361" t="str">
        <f>HYPERLINK("https://rhld.insurance.arkansas.gov/NPILookup?Npi=1053300558","1053300558")</f>
        <v>1053300558</v>
      </c>
      <c r="E9361" t="s">
        <v>180</v>
      </c>
    </row>
    <row r="9362" spans="1:5" x14ac:dyDescent="0.25">
      <c r="A9362" t="s">
        <v>2</v>
      </c>
      <c r="B9362" t="s">
        <v>3458</v>
      </c>
      <c r="C9362" t="s">
        <v>23490</v>
      </c>
      <c r="D9362" t="str">
        <f>HYPERLINK("https://rhld.insurance.arkansas.gov/NPILookup?Npi=1053302844","1053302844")</f>
        <v>1053302844</v>
      </c>
      <c r="E9362" t="s">
        <v>181</v>
      </c>
    </row>
    <row r="9363" spans="1:5" x14ac:dyDescent="0.25">
      <c r="A9363" t="s">
        <v>2</v>
      </c>
      <c r="B9363" t="s">
        <v>3458</v>
      </c>
      <c r="C9363" t="s">
        <v>23490</v>
      </c>
      <c r="D9363" t="str">
        <f>HYPERLINK("https://rhld.insurance.arkansas.gov/NPILookup?Npi=1053304758","1053304758")</f>
        <v>1053304758</v>
      </c>
      <c r="E9363" t="s">
        <v>182</v>
      </c>
    </row>
    <row r="9364" spans="1:5" x14ac:dyDescent="0.25">
      <c r="A9364" t="s">
        <v>2</v>
      </c>
      <c r="B9364" t="s">
        <v>3458</v>
      </c>
      <c r="C9364" t="s">
        <v>23490</v>
      </c>
      <c r="D9364" t="str">
        <f>HYPERLINK("https://rhld.insurance.arkansas.gov/NPILookup?Npi=1053305250","1053305250")</f>
        <v>1053305250</v>
      </c>
      <c r="E9364" t="s">
        <v>184</v>
      </c>
    </row>
    <row r="9365" spans="1:5" x14ac:dyDescent="0.25">
      <c r="A9365" t="s">
        <v>2</v>
      </c>
      <c r="B9365" t="s">
        <v>3458</v>
      </c>
      <c r="C9365" t="s">
        <v>23490</v>
      </c>
      <c r="D9365" t="str">
        <f>HYPERLINK("https://rhld.insurance.arkansas.gov/NPILookup?Npi=1053308650","1053308650")</f>
        <v>1053308650</v>
      </c>
      <c r="E9365" t="s">
        <v>3485</v>
      </c>
    </row>
    <row r="9366" spans="1:5" x14ac:dyDescent="0.25">
      <c r="A9366" t="s">
        <v>2</v>
      </c>
      <c r="B9366" t="s">
        <v>3458</v>
      </c>
      <c r="C9366" t="s">
        <v>23490</v>
      </c>
      <c r="D9366" t="str">
        <f>HYPERLINK("https://rhld.insurance.arkansas.gov/NPILookup?Npi=1053308874","1053308874")</f>
        <v>1053308874</v>
      </c>
      <c r="E9366" t="s">
        <v>14715</v>
      </c>
    </row>
    <row r="9367" spans="1:5" x14ac:dyDescent="0.25">
      <c r="A9367" t="s">
        <v>2</v>
      </c>
      <c r="B9367" t="s">
        <v>3458</v>
      </c>
      <c r="C9367" t="s">
        <v>23490</v>
      </c>
      <c r="D9367" t="str">
        <f>HYPERLINK("https://rhld.insurance.arkansas.gov/NPILookup?Npi=1053309898","1053309898")</f>
        <v>1053309898</v>
      </c>
      <c r="E9367" t="s">
        <v>185</v>
      </c>
    </row>
    <row r="9368" spans="1:5" x14ac:dyDescent="0.25">
      <c r="A9368" t="s">
        <v>2</v>
      </c>
      <c r="B9368" t="s">
        <v>3458</v>
      </c>
      <c r="C9368" t="s">
        <v>23490</v>
      </c>
      <c r="D9368" t="str">
        <f>HYPERLINK("https://rhld.insurance.arkansas.gov/NPILookup?Npi=1053314104","1053314104")</f>
        <v>1053314104</v>
      </c>
      <c r="E9368" t="s">
        <v>187</v>
      </c>
    </row>
    <row r="9369" spans="1:5" x14ac:dyDescent="0.25">
      <c r="A9369" t="s">
        <v>2</v>
      </c>
      <c r="B9369" t="s">
        <v>3458</v>
      </c>
      <c r="C9369" t="s">
        <v>23490</v>
      </c>
      <c r="D9369" t="str">
        <f>HYPERLINK("https://rhld.insurance.arkansas.gov/NPILookup?Npi=1053328955","1053328955")</f>
        <v>1053328955</v>
      </c>
      <c r="E9369" t="s">
        <v>189</v>
      </c>
    </row>
    <row r="9370" spans="1:5" x14ac:dyDescent="0.25">
      <c r="A9370" t="s">
        <v>2</v>
      </c>
      <c r="B9370" t="s">
        <v>3458</v>
      </c>
      <c r="C9370" t="s">
        <v>23490</v>
      </c>
      <c r="D9370" t="str">
        <f>HYPERLINK("https://rhld.insurance.arkansas.gov/NPILookup?Npi=1053332825","1053332825")</f>
        <v>1053332825</v>
      </c>
      <c r="E9370" t="s">
        <v>3486</v>
      </c>
    </row>
    <row r="9371" spans="1:5" x14ac:dyDescent="0.25">
      <c r="A9371" t="s">
        <v>2</v>
      </c>
      <c r="B9371" t="s">
        <v>3458</v>
      </c>
      <c r="C9371" t="s">
        <v>23490</v>
      </c>
      <c r="D9371" t="str">
        <f>HYPERLINK("https://rhld.insurance.arkansas.gov/NPILookup?Npi=1053344986","1053344986")</f>
        <v>1053344986</v>
      </c>
      <c r="E9371" t="s">
        <v>190</v>
      </c>
    </row>
    <row r="9372" spans="1:5" x14ac:dyDescent="0.25">
      <c r="A9372" t="s">
        <v>2</v>
      </c>
      <c r="B9372" t="s">
        <v>3458</v>
      </c>
      <c r="C9372" t="s">
        <v>23490</v>
      </c>
      <c r="D9372" t="str">
        <f>HYPERLINK("https://rhld.insurance.arkansas.gov/NPILookup?Npi=1053348870","1053348870")</f>
        <v>1053348870</v>
      </c>
      <c r="E9372" t="s">
        <v>191</v>
      </c>
    </row>
    <row r="9373" spans="1:5" x14ac:dyDescent="0.25">
      <c r="A9373" t="s">
        <v>2</v>
      </c>
      <c r="B9373" t="s">
        <v>3458</v>
      </c>
      <c r="C9373" t="s">
        <v>23490</v>
      </c>
      <c r="D9373" t="str">
        <f>HYPERLINK("https://rhld.insurance.arkansas.gov/NPILookup?Npi=1053352773","1053352773")</f>
        <v>1053352773</v>
      </c>
      <c r="E9373" t="s">
        <v>192</v>
      </c>
    </row>
    <row r="9374" spans="1:5" x14ac:dyDescent="0.25">
      <c r="A9374" t="s">
        <v>2</v>
      </c>
      <c r="B9374" t="s">
        <v>3458</v>
      </c>
      <c r="C9374" t="s">
        <v>23490</v>
      </c>
      <c r="D9374" t="str">
        <f>HYPERLINK("https://rhld.insurance.arkansas.gov/NPILookup?Npi=1053355875","1053355875")</f>
        <v>1053355875</v>
      </c>
      <c r="E9374" t="s">
        <v>3487</v>
      </c>
    </row>
    <row r="9375" spans="1:5" x14ac:dyDescent="0.25">
      <c r="A9375" t="s">
        <v>2</v>
      </c>
      <c r="B9375" t="s">
        <v>3458</v>
      </c>
      <c r="C9375" t="s">
        <v>23490</v>
      </c>
      <c r="D9375" t="str">
        <f>HYPERLINK("https://rhld.insurance.arkansas.gov/NPILookup?Npi=1053357491","1053357491")</f>
        <v>1053357491</v>
      </c>
      <c r="E9375" t="s">
        <v>194</v>
      </c>
    </row>
    <row r="9376" spans="1:5" x14ac:dyDescent="0.25">
      <c r="A9376" t="s">
        <v>2</v>
      </c>
      <c r="B9376" t="s">
        <v>3458</v>
      </c>
      <c r="C9376" t="s">
        <v>23490</v>
      </c>
      <c r="D9376" t="str">
        <f>HYPERLINK("https://rhld.insurance.arkansas.gov/NPILookup?Npi=1053370213","1053370213")</f>
        <v>1053370213</v>
      </c>
      <c r="E9376" t="s">
        <v>195</v>
      </c>
    </row>
    <row r="9377" spans="1:5" x14ac:dyDescent="0.25">
      <c r="A9377" t="s">
        <v>2</v>
      </c>
      <c r="B9377" t="s">
        <v>3458</v>
      </c>
      <c r="C9377" t="s">
        <v>23490</v>
      </c>
      <c r="D9377" t="str">
        <f>HYPERLINK("https://rhld.insurance.arkansas.gov/NPILookup?Npi=1053377226","1053377226")</f>
        <v>1053377226</v>
      </c>
      <c r="E9377" t="s">
        <v>196</v>
      </c>
    </row>
    <row r="9378" spans="1:5" x14ac:dyDescent="0.25">
      <c r="A9378" t="s">
        <v>2</v>
      </c>
      <c r="B9378" t="s">
        <v>3458</v>
      </c>
      <c r="C9378" t="s">
        <v>23490</v>
      </c>
      <c r="D9378" t="str">
        <f>HYPERLINK("https://rhld.insurance.arkansas.gov/NPILookup?Npi=1053381335","1053381335")</f>
        <v>1053381335</v>
      </c>
      <c r="E9378" t="s">
        <v>197</v>
      </c>
    </row>
    <row r="9379" spans="1:5" x14ac:dyDescent="0.25">
      <c r="A9379" t="s">
        <v>2</v>
      </c>
      <c r="B9379" t="s">
        <v>3458</v>
      </c>
      <c r="C9379" t="s">
        <v>23490</v>
      </c>
      <c r="D9379" t="str">
        <f>HYPERLINK("https://rhld.insurance.arkansas.gov/NPILookup?Npi=1053382754","1053382754")</f>
        <v>1053382754</v>
      </c>
      <c r="E9379" t="s">
        <v>14716</v>
      </c>
    </row>
    <row r="9380" spans="1:5" x14ac:dyDescent="0.25">
      <c r="A9380" t="s">
        <v>2</v>
      </c>
      <c r="B9380" t="s">
        <v>3458</v>
      </c>
      <c r="C9380" t="s">
        <v>23490</v>
      </c>
      <c r="D9380" t="str">
        <f>HYPERLINK("https://rhld.insurance.arkansas.gov/NPILookup?Npi=1053390781","1053390781")</f>
        <v>1053390781</v>
      </c>
      <c r="E9380" t="s">
        <v>199</v>
      </c>
    </row>
    <row r="9381" spans="1:5" x14ac:dyDescent="0.25">
      <c r="A9381" t="s">
        <v>2</v>
      </c>
      <c r="B9381" t="s">
        <v>3458</v>
      </c>
      <c r="C9381" t="s">
        <v>23490</v>
      </c>
      <c r="D9381" t="str">
        <f>HYPERLINK("https://rhld.insurance.arkansas.gov/NPILookup?Npi=1053393785","1053393785")</f>
        <v>1053393785</v>
      </c>
      <c r="E9381" t="s">
        <v>6098</v>
      </c>
    </row>
    <row r="9382" spans="1:5" x14ac:dyDescent="0.25">
      <c r="A9382" t="s">
        <v>2</v>
      </c>
      <c r="B9382" t="s">
        <v>3458</v>
      </c>
      <c r="C9382" t="s">
        <v>23490</v>
      </c>
      <c r="D9382" t="str">
        <f>HYPERLINK("https://rhld.insurance.arkansas.gov/NPILookup?Npi=1053396523","1053396523")</f>
        <v>1053396523</v>
      </c>
      <c r="E9382" t="s">
        <v>200</v>
      </c>
    </row>
    <row r="9383" spans="1:5" x14ac:dyDescent="0.25">
      <c r="A9383" t="s">
        <v>2</v>
      </c>
      <c r="B9383" t="s">
        <v>3458</v>
      </c>
      <c r="C9383" t="s">
        <v>23490</v>
      </c>
      <c r="D9383" t="str">
        <f>HYPERLINK("https://rhld.insurance.arkansas.gov/NPILookup?Npi=1053399410","1053399410")</f>
        <v>1053399410</v>
      </c>
      <c r="E9383" t="s">
        <v>3488</v>
      </c>
    </row>
    <row r="9384" spans="1:5" x14ac:dyDescent="0.25">
      <c r="A9384" t="s">
        <v>2</v>
      </c>
      <c r="B9384" t="s">
        <v>3458</v>
      </c>
      <c r="C9384" t="s">
        <v>23490</v>
      </c>
      <c r="D9384" t="str">
        <f>HYPERLINK("https://rhld.insurance.arkansas.gov/NPILookup?Npi=1053399584","1053399584")</f>
        <v>1053399584</v>
      </c>
      <c r="E9384" t="s">
        <v>14717</v>
      </c>
    </row>
    <row r="9385" spans="1:5" x14ac:dyDescent="0.25">
      <c r="A9385" t="s">
        <v>2</v>
      </c>
      <c r="B9385" t="s">
        <v>3458</v>
      </c>
      <c r="C9385" t="s">
        <v>23490</v>
      </c>
      <c r="D9385" t="str">
        <f>HYPERLINK("https://rhld.insurance.arkansas.gov/NPILookup?Npi=1053402610","1053402610")</f>
        <v>1053402610</v>
      </c>
      <c r="E9385" t="s">
        <v>202</v>
      </c>
    </row>
    <row r="9386" spans="1:5" x14ac:dyDescent="0.25">
      <c r="A9386" t="s">
        <v>2</v>
      </c>
      <c r="B9386" t="s">
        <v>3458</v>
      </c>
      <c r="C9386" t="s">
        <v>23490</v>
      </c>
      <c r="D9386" t="str">
        <f>HYPERLINK("https://rhld.insurance.arkansas.gov/NPILookup?Npi=1053408476","1053408476")</f>
        <v>1053408476</v>
      </c>
      <c r="E9386" t="s">
        <v>204</v>
      </c>
    </row>
    <row r="9387" spans="1:5" x14ac:dyDescent="0.25">
      <c r="A9387" t="s">
        <v>2</v>
      </c>
      <c r="B9387" t="s">
        <v>3458</v>
      </c>
      <c r="C9387" t="s">
        <v>23490</v>
      </c>
      <c r="D9387" t="str">
        <f>HYPERLINK("https://rhld.insurance.arkansas.gov/NPILookup?Npi=1053424515","1053424515")</f>
        <v>1053424515</v>
      </c>
      <c r="E9387" t="s">
        <v>205</v>
      </c>
    </row>
    <row r="9388" spans="1:5" x14ac:dyDescent="0.25">
      <c r="A9388" t="s">
        <v>2</v>
      </c>
      <c r="B9388" t="s">
        <v>3458</v>
      </c>
      <c r="C9388" t="s">
        <v>23490</v>
      </c>
      <c r="D9388" t="str">
        <f>HYPERLINK("https://rhld.insurance.arkansas.gov/NPILookup?Npi=1053428060","1053428060")</f>
        <v>1053428060</v>
      </c>
      <c r="E9388" t="s">
        <v>3489</v>
      </c>
    </row>
    <row r="9389" spans="1:5" x14ac:dyDescent="0.25">
      <c r="A9389" t="s">
        <v>2</v>
      </c>
      <c r="B9389" t="s">
        <v>3458</v>
      </c>
      <c r="C9389" t="s">
        <v>23490</v>
      </c>
      <c r="D9389" t="str">
        <f>HYPERLINK("https://rhld.insurance.arkansas.gov/NPILookup?Npi=1053429209","1053429209")</f>
        <v>1053429209</v>
      </c>
      <c r="E9389" t="s">
        <v>206</v>
      </c>
    </row>
    <row r="9390" spans="1:5" x14ac:dyDescent="0.25">
      <c r="A9390" t="s">
        <v>2</v>
      </c>
      <c r="B9390" t="s">
        <v>3458</v>
      </c>
      <c r="C9390" t="s">
        <v>23490</v>
      </c>
      <c r="D9390" t="str">
        <f>HYPERLINK("https://rhld.insurance.arkansas.gov/NPILookup?Npi=1053449694","1053449694")</f>
        <v>1053449694</v>
      </c>
      <c r="E9390" t="s">
        <v>16859</v>
      </c>
    </row>
    <row r="9391" spans="1:5" x14ac:dyDescent="0.25">
      <c r="A9391" t="s">
        <v>2</v>
      </c>
      <c r="B9391" t="s">
        <v>3458</v>
      </c>
      <c r="C9391" t="s">
        <v>23490</v>
      </c>
      <c r="D9391" t="str">
        <f>HYPERLINK("https://rhld.insurance.arkansas.gov/NPILookup?Npi=1053466276","1053466276")</f>
        <v>1053466276</v>
      </c>
      <c r="E9391" t="s">
        <v>209</v>
      </c>
    </row>
    <row r="9392" spans="1:5" x14ac:dyDescent="0.25">
      <c r="A9392" t="s">
        <v>2</v>
      </c>
      <c r="B9392" t="s">
        <v>3458</v>
      </c>
      <c r="C9392" t="s">
        <v>23490</v>
      </c>
      <c r="D9392" t="str">
        <f>HYPERLINK("https://rhld.insurance.arkansas.gov/NPILookup?Npi=1053473231","1053473231")</f>
        <v>1053473231</v>
      </c>
      <c r="E9392" t="s">
        <v>14718</v>
      </c>
    </row>
    <row r="9393" spans="1:5" x14ac:dyDescent="0.25">
      <c r="A9393" t="s">
        <v>2</v>
      </c>
      <c r="B9393" t="s">
        <v>3458</v>
      </c>
      <c r="C9393" t="s">
        <v>23490</v>
      </c>
      <c r="D9393" t="str">
        <f>HYPERLINK("https://rhld.insurance.arkansas.gov/NPILookup?Npi=1053516054","1053516054")</f>
        <v>1053516054</v>
      </c>
      <c r="E9393" t="s">
        <v>20217</v>
      </c>
    </row>
    <row r="9394" spans="1:5" x14ac:dyDescent="0.25">
      <c r="A9394" t="s">
        <v>2</v>
      </c>
      <c r="B9394" t="s">
        <v>3458</v>
      </c>
      <c r="C9394" t="s">
        <v>23490</v>
      </c>
      <c r="D9394" t="str">
        <f>HYPERLINK("https://rhld.insurance.arkansas.gov/NPILookup?Npi=1053528778","1053528778")</f>
        <v>1053528778</v>
      </c>
      <c r="E9394" t="s">
        <v>210</v>
      </c>
    </row>
    <row r="9395" spans="1:5" x14ac:dyDescent="0.25">
      <c r="A9395" t="s">
        <v>2</v>
      </c>
      <c r="B9395" t="s">
        <v>3458</v>
      </c>
      <c r="C9395" t="s">
        <v>23490</v>
      </c>
      <c r="D9395" t="str">
        <f>HYPERLINK("https://rhld.insurance.arkansas.gov/NPILookup?Npi=1053542845","1053542845")</f>
        <v>1053542845</v>
      </c>
      <c r="E9395" t="s">
        <v>211</v>
      </c>
    </row>
    <row r="9396" spans="1:5" x14ac:dyDescent="0.25">
      <c r="A9396" t="s">
        <v>2</v>
      </c>
      <c r="B9396" t="s">
        <v>3458</v>
      </c>
      <c r="C9396" t="s">
        <v>23490</v>
      </c>
      <c r="D9396" t="str">
        <f>HYPERLINK("https://rhld.insurance.arkansas.gov/NPILookup?Npi=1053548461","1053548461")</f>
        <v>1053548461</v>
      </c>
      <c r="E9396" t="s">
        <v>212</v>
      </c>
    </row>
    <row r="9397" spans="1:5" x14ac:dyDescent="0.25">
      <c r="A9397" t="s">
        <v>2</v>
      </c>
      <c r="B9397" t="s">
        <v>3458</v>
      </c>
      <c r="C9397" t="s">
        <v>23490</v>
      </c>
      <c r="D9397" t="str">
        <f>HYPERLINK("https://rhld.insurance.arkansas.gov/NPILookup?Npi=1053553024","1053553024")</f>
        <v>1053553024</v>
      </c>
      <c r="E9397" t="s">
        <v>213</v>
      </c>
    </row>
    <row r="9398" spans="1:5" x14ac:dyDescent="0.25">
      <c r="A9398" t="s">
        <v>2</v>
      </c>
      <c r="B9398" t="s">
        <v>3458</v>
      </c>
      <c r="C9398" t="s">
        <v>23490</v>
      </c>
      <c r="D9398" t="str">
        <f>HYPERLINK("https://rhld.insurance.arkansas.gov/NPILookup?Npi=1053553495","1053553495")</f>
        <v>1053553495</v>
      </c>
      <c r="E9398" t="s">
        <v>20218</v>
      </c>
    </row>
    <row r="9399" spans="1:5" x14ac:dyDescent="0.25">
      <c r="A9399" t="s">
        <v>2</v>
      </c>
      <c r="B9399" t="s">
        <v>3458</v>
      </c>
      <c r="C9399" t="s">
        <v>23490</v>
      </c>
      <c r="D9399" t="str">
        <f>HYPERLINK("https://rhld.insurance.arkansas.gov/NPILookup?Npi=1053556332","1053556332")</f>
        <v>1053556332</v>
      </c>
      <c r="E9399" t="s">
        <v>8450</v>
      </c>
    </row>
    <row r="9400" spans="1:5" x14ac:dyDescent="0.25">
      <c r="A9400" t="s">
        <v>2</v>
      </c>
      <c r="B9400" t="s">
        <v>3458</v>
      </c>
      <c r="C9400" t="s">
        <v>23490</v>
      </c>
      <c r="D9400" t="str">
        <f>HYPERLINK("https://rhld.insurance.arkansas.gov/NPILookup?Npi=1053560979","1053560979")</f>
        <v>1053560979</v>
      </c>
      <c r="E9400" t="s">
        <v>214</v>
      </c>
    </row>
    <row r="9401" spans="1:5" x14ac:dyDescent="0.25">
      <c r="A9401" t="s">
        <v>2</v>
      </c>
      <c r="B9401" t="s">
        <v>3458</v>
      </c>
      <c r="C9401" t="s">
        <v>23490</v>
      </c>
      <c r="D9401" t="str">
        <f>HYPERLINK("https://rhld.insurance.arkansas.gov/NPILookup?Npi=1053569400","1053569400")</f>
        <v>1053569400</v>
      </c>
      <c r="E9401" t="s">
        <v>215</v>
      </c>
    </row>
    <row r="9402" spans="1:5" x14ac:dyDescent="0.25">
      <c r="A9402" t="s">
        <v>2</v>
      </c>
      <c r="B9402" t="s">
        <v>3458</v>
      </c>
      <c r="C9402" t="s">
        <v>23490</v>
      </c>
      <c r="D9402" t="str">
        <f>HYPERLINK("https://rhld.insurance.arkansas.gov/NPILookup?Npi=1053575597","1053575597")</f>
        <v>1053575597</v>
      </c>
      <c r="E9402" t="s">
        <v>216</v>
      </c>
    </row>
    <row r="9403" spans="1:5" x14ac:dyDescent="0.25">
      <c r="A9403" t="s">
        <v>2</v>
      </c>
      <c r="B9403" t="s">
        <v>3458</v>
      </c>
      <c r="C9403" t="s">
        <v>23490</v>
      </c>
      <c r="D9403" t="str">
        <f>HYPERLINK("https://rhld.insurance.arkansas.gov/NPILookup?Npi=1053593509","1053593509")</f>
        <v>1053593509</v>
      </c>
      <c r="E9403" t="s">
        <v>217</v>
      </c>
    </row>
    <row r="9404" spans="1:5" x14ac:dyDescent="0.25">
      <c r="A9404" t="s">
        <v>2</v>
      </c>
      <c r="B9404" t="s">
        <v>3458</v>
      </c>
      <c r="C9404" t="s">
        <v>23490</v>
      </c>
      <c r="D9404" t="str">
        <f>HYPERLINK("https://rhld.insurance.arkansas.gov/NPILookup?Npi=1053606350","1053606350")</f>
        <v>1053606350</v>
      </c>
      <c r="E9404" t="s">
        <v>18127</v>
      </c>
    </row>
    <row r="9405" spans="1:5" x14ac:dyDescent="0.25">
      <c r="A9405" t="s">
        <v>2</v>
      </c>
      <c r="B9405" t="s">
        <v>3458</v>
      </c>
      <c r="C9405" t="s">
        <v>23490</v>
      </c>
      <c r="D9405" t="str">
        <f>HYPERLINK("https://rhld.insurance.arkansas.gov/NPILookup?Npi=1053607028","1053607028")</f>
        <v>1053607028</v>
      </c>
      <c r="E9405" t="s">
        <v>20219</v>
      </c>
    </row>
    <row r="9406" spans="1:5" x14ac:dyDescent="0.25">
      <c r="A9406" t="s">
        <v>2</v>
      </c>
      <c r="B9406" t="s">
        <v>3458</v>
      </c>
      <c r="C9406" t="s">
        <v>23490</v>
      </c>
      <c r="D9406" t="str">
        <f>HYPERLINK("https://rhld.insurance.arkansas.gov/NPILookup?Npi=1053623066","1053623066")</f>
        <v>1053623066</v>
      </c>
      <c r="E9406" t="s">
        <v>218</v>
      </c>
    </row>
    <row r="9407" spans="1:5" x14ac:dyDescent="0.25">
      <c r="A9407" t="s">
        <v>2</v>
      </c>
      <c r="B9407" t="s">
        <v>3458</v>
      </c>
      <c r="C9407" t="s">
        <v>23490</v>
      </c>
      <c r="D9407" t="str">
        <f>HYPERLINK("https://rhld.insurance.arkansas.gov/NPILookup?Npi=1053632273","1053632273")</f>
        <v>1053632273</v>
      </c>
      <c r="E9407" t="s">
        <v>3491</v>
      </c>
    </row>
    <row r="9408" spans="1:5" x14ac:dyDescent="0.25">
      <c r="A9408" t="s">
        <v>2</v>
      </c>
      <c r="B9408" t="s">
        <v>3458</v>
      </c>
      <c r="C9408" t="s">
        <v>23490</v>
      </c>
      <c r="D9408" t="str">
        <f>HYPERLINK("https://rhld.insurance.arkansas.gov/NPILookup?Npi=1053634485","1053634485")</f>
        <v>1053634485</v>
      </c>
      <c r="E9408" t="s">
        <v>219</v>
      </c>
    </row>
    <row r="9409" spans="1:5" x14ac:dyDescent="0.25">
      <c r="A9409" t="s">
        <v>2</v>
      </c>
      <c r="B9409" t="s">
        <v>3458</v>
      </c>
      <c r="C9409" t="s">
        <v>23490</v>
      </c>
      <c r="D9409" t="str">
        <f>HYPERLINK("https://rhld.insurance.arkansas.gov/NPILookup?Npi=1053637447","1053637447")</f>
        <v>1053637447</v>
      </c>
      <c r="E9409" t="s">
        <v>8451</v>
      </c>
    </row>
    <row r="9410" spans="1:5" x14ac:dyDescent="0.25">
      <c r="A9410" t="s">
        <v>2</v>
      </c>
      <c r="B9410" t="s">
        <v>3458</v>
      </c>
      <c r="C9410" t="s">
        <v>23490</v>
      </c>
      <c r="D9410" t="str">
        <f>HYPERLINK("https://rhld.insurance.arkansas.gov/NPILookup?Npi=1053638817","1053638817")</f>
        <v>1053638817</v>
      </c>
      <c r="E9410" t="s">
        <v>8452</v>
      </c>
    </row>
    <row r="9411" spans="1:5" x14ac:dyDescent="0.25">
      <c r="A9411" t="s">
        <v>2</v>
      </c>
      <c r="B9411" t="s">
        <v>3458</v>
      </c>
      <c r="C9411" t="s">
        <v>23490</v>
      </c>
      <c r="D9411" t="str">
        <f>HYPERLINK("https://rhld.insurance.arkansas.gov/NPILookup?Npi=1053654608","1053654608")</f>
        <v>1053654608</v>
      </c>
      <c r="E9411" t="s">
        <v>8453</v>
      </c>
    </row>
    <row r="9412" spans="1:5" x14ac:dyDescent="0.25">
      <c r="A9412" t="s">
        <v>2</v>
      </c>
      <c r="B9412" t="s">
        <v>3458</v>
      </c>
      <c r="C9412" t="s">
        <v>23490</v>
      </c>
      <c r="D9412" t="str">
        <f>HYPERLINK("https://rhld.insurance.arkansas.gov/NPILookup?Npi=1053660860","1053660860")</f>
        <v>1053660860</v>
      </c>
      <c r="E9412" t="s">
        <v>14720</v>
      </c>
    </row>
    <row r="9413" spans="1:5" x14ac:dyDescent="0.25">
      <c r="A9413" t="s">
        <v>2</v>
      </c>
      <c r="B9413" t="s">
        <v>3458</v>
      </c>
      <c r="C9413" t="s">
        <v>23490</v>
      </c>
      <c r="D9413" t="str">
        <f>HYPERLINK("https://rhld.insurance.arkansas.gov/NPILookup?Npi=1053664912","1053664912")</f>
        <v>1053664912</v>
      </c>
      <c r="E9413" t="s">
        <v>14721</v>
      </c>
    </row>
    <row r="9414" spans="1:5" x14ac:dyDescent="0.25">
      <c r="A9414" t="s">
        <v>2</v>
      </c>
      <c r="B9414" t="s">
        <v>3458</v>
      </c>
      <c r="C9414" t="s">
        <v>23490</v>
      </c>
      <c r="D9414" t="str">
        <f>HYPERLINK("https://rhld.insurance.arkansas.gov/NPILookup?Npi=1053711333","1053711333")</f>
        <v>1053711333</v>
      </c>
      <c r="E9414" t="s">
        <v>10608</v>
      </c>
    </row>
    <row r="9415" spans="1:5" x14ac:dyDescent="0.25">
      <c r="A9415" t="s">
        <v>2</v>
      </c>
      <c r="B9415" t="s">
        <v>3458</v>
      </c>
      <c r="C9415" t="s">
        <v>23490</v>
      </c>
      <c r="D9415" t="str">
        <f>HYPERLINK("https://rhld.insurance.arkansas.gov/NPILookup?Npi=1053720342","1053720342")</f>
        <v>1053720342</v>
      </c>
      <c r="E9415" t="s">
        <v>13345</v>
      </c>
    </row>
    <row r="9416" spans="1:5" x14ac:dyDescent="0.25">
      <c r="A9416" t="s">
        <v>2</v>
      </c>
      <c r="B9416" t="s">
        <v>3458</v>
      </c>
      <c r="C9416" t="s">
        <v>23490</v>
      </c>
      <c r="D9416" t="str">
        <f>HYPERLINK("https://rhld.insurance.arkansas.gov/NPILookup?Npi=1053735639","1053735639")</f>
        <v>1053735639</v>
      </c>
      <c r="E9416" t="s">
        <v>221</v>
      </c>
    </row>
    <row r="9417" spans="1:5" x14ac:dyDescent="0.25">
      <c r="A9417" t="s">
        <v>2</v>
      </c>
      <c r="B9417" t="s">
        <v>3458</v>
      </c>
      <c r="C9417" t="s">
        <v>23490</v>
      </c>
      <c r="D9417" t="str">
        <f>HYPERLINK("https://rhld.insurance.arkansas.gov/NPILookup?Npi=1053737452","1053737452")</f>
        <v>1053737452</v>
      </c>
      <c r="E9417" t="s">
        <v>222</v>
      </c>
    </row>
    <row r="9418" spans="1:5" x14ac:dyDescent="0.25">
      <c r="A9418" t="s">
        <v>2</v>
      </c>
      <c r="B9418" t="s">
        <v>3458</v>
      </c>
      <c r="C9418" t="s">
        <v>23490</v>
      </c>
      <c r="D9418" t="str">
        <f>HYPERLINK("https://rhld.insurance.arkansas.gov/NPILookup?Npi=1053744391","1053744391")</f>
        <v>1053744391</v>
      </c>
      <c r="E9418" t="s">
        <v>8454</v>
      </c>
    </row>
    <row r="9419" spans="1:5" x14ac:dyDescent="0.25">
      <c r="A9419" t="s">
        <v>2</v>
      </c>
      <c r="B9419" t="s">
        <v>3458</v>
      </c>
      <c r="C9419" t="s">
        <v>23490</v>
      </c>
      <c r="D9419" t="str">
        <f>HYPERLINK("https://rhld.insurance.arkansas.gov/NPILookup?Npi=1053756312","1053756312")</f>
        <v>1053756312</v>
      </c>
      <c r="E9419" t="s">
        <v>10609</v>
      </c>
    </row>
    <row r="9420" spans="1:5" x14ac:dyDescent="0.25">
      <c r="A9420" t="s">
        <v>2</v>
      </c>
      <c r="B9420" t="s">
        <v>3458</v>
      </c>
      <c r="C9420" t="s">
        <v>23490</v>
      </c>
      <c r="D9420" t="str">
        <f>HYPERLINK("https://rhld.insurance.arkansas.gov/NPILookup?Npi=1053781088","1053781088")</f>
        <v>1053781088</v>
      </c>
      <c r="E9420" t="s">
        <v>10610</v>
      </c>
    </row>
    <row r="9421" spans="1:5" x14ac:dyDescent="0.25">
      <c r="A9421" t="s">
        <v>2</v>
      </c>
      <c r="B9421" t="s">
        <v>3458</v>
      </c>
      <c r="C9421" t="s">
        <v>23490</v>
      </c>
      <c r="D9421" t="str">
        <f>HYPERLINK("https://rhld.insurance.arkansas.gov/NPILookup?Npi=1053808881","1053808881")</f>
        <v>1053808881</v>
      </c>
      <c r="E9421" t="s">
        <v>1861</v>
      </c>
    </row>
    <row r="9422" spans="1:5" x14ac:dyDescent="0.25">
      <c r="A9422" t="s">
        <v>2</v>
      </c>
      <c r="B9422" t="s">
        <v>3458</v>
      </c>
      <c r="C9422" t="s">
        <v>23490</v>
      </c>
      <c r="D9422" t="str">
        <f>HYPERLINK("https://rhld.insurance.arkansas.gov/NPILookup?Npi=1053810101","1053810101")</f>
        <v>1053810101</v>
      </c>
      <c r="E9422" t="s">
        <v>12764</v>
      </c>
    </row>
    <row r="9423" spans="1:5" x14ac:dyDescent="0.25">
      <c r="A9423" t="s">
        <v>2</v>
      </c>
      <c r="B9423" t="s">
        <v>3458</v>
      </c>
      <c r="C9423" t="s">
        <v>23490</v>
      </c>
      <c r="D9423" t="str">
        <f>HYPERLINK("https://rhld.insurance.arkansas.gov/NPILookup?Npi=1053817999","1053817999")</f>
        <v>1053817999</v>
      </c>
      <c r="E9423" t="s">
        <v>21454</v>
      </c>
    </row>
    <row r="9424" spans="1:5" x14ac:dyDescent="0.25">
      <c r="A9424" t="s">
        <v>2</v>
      </c>
      <c r="B9424" t="s">
        <v>3458</v>
      </c>
      <c r="C9424" t="s">
        <v>23490</v>
      </c>
      <c r="D9424" t="str">
        <f>HYPERLINK("https://rhld.insurance.arkansas.gov/NPILookup?Npi=1053819417","1053819417")</f>
        <v>1053819417</v>
      </c>
      <c r="E9424" t="s">
        <v>12951</v>
      </c>
    </row>
    <row r="9425" spans="1:5" x14ac:dyDescent="0.25">
      <c r="A9425" t="s">
        <v>2</v>
      </c>
      <c r="B9425" t="s">
        <v>3458</v>
      </c>
      <c r="C9425" t="s">
        <v>23490</v>
      </c>
      <c r="D9425" t="str">
        <f>HYPERLINK("https://rhld.insurance.arkansas.gov/NPILookup?Npi=1053826842","1053826842")</f>
        <v>1053826842</v>
      </c>
      <c r="E9425" t="s">
        <v>12765</v>
      </c>
    </row>
    <row r="9426" spans="1:5" x14ac:dyDescent="0.25">
      <c r="A9426" t="s">
        <v>2</v>
      </c>
      <c r="B9426" t="s">
        <v>3458</v>
      </c>
      <c r="C9426" t="s">
        <v>23490</v>
      </c>
      <c r="D9426" t="str">
        <f>HYPERLINK("https://rhld.insurance.arkansas.gov/NPILookup?Npi=1053835215","1053835215")</f>
        <v>1053835215</v>
      </c>
      <c r="E9426" t="s">
        <v>17837</v>
      </c>
    </row>
    <row r="9427" spans="1:5" x14ac:dyDescent="0.25">
      <c r="A9427" t="s">
        <v>2</v>
      </c>
      <c r="B9427" t="s">
        <v>3458</v>
      </c>
      <c r="C9427" t="s">
        <v>23490</v>
      </c>
      <c r="D9427" t="str">
        <f>HYPERLINK("https://rhld.insurance.arkansas.gov/NPILookup?Npi=1053836197","1053836197")</f>
        <v>1053836197</v>
      </c>
      <c r="E9427" t="s">
        <v>13821</v>
      </c>
    </row>
    <row r="9428" spans="1:5" x14ac:dyDescent="0.25">
      <c r="A9428" t="s">
        <v>2</v>
      </c>
      <c r="B9428" t="s">
        <v>3458</v>
      </c>
      <c r="C9428" t="s">
        <v>23490</v>
      </c>
      <c r="D9428" t="str">
        <f>HYPERLINK("https://rhld.insurance.arkansas.gov/NPILookup?Npi=1053841155","1053841155")</f>
        <v>1053841155</v>
      </c>
      <c r="E9428" t="s">
        <v>10611</v>
      </c>
    </row>
    <row r="9429" spans="1:5" x14ac:dyDescent="0.25">
      <c r="A9429" t="s">
        <v>2</v>
      </c>
      <c r="B9429" t="s">
        <v>3458</v>
      </c>
      <c r="C9429" t="s">
        <v>23490</v>
      </c>
      <c r="D9429" t="str">
        <f>HYPERLINK("https://rhld.insurance.arkansas.gov/NPILookup?Npi=1053843631","1053843631")</f>
        <v>1053843631</v>
      </c>
      <c r="E9429" t="s">
        <v>10612</v>
      </c>
    </row>
    <row r="9430" spans="1:5" x14ac:dyDescent="0.25">
      <c r="A9430" t="s">
        <v>2</v>
      </c>
      <c r="B9430" t="s">
        <v>3458</v>
      </c>
      <c r="C9430" t="s">
        <v>23490</v>
      </c>
      <c r="D9430" t="str">
        <f>HYPERLINK("https://rhld.insurance.arkansas.gov/NPILookup?Npi=1053845651","1053845651")</f>
        <v>1053845651</v>
      </c>
      <c r="E9430" t="s">
        <v>17381</v>
      </c>
    </row>
    <row r="9431" spans="1:5" x14ac:dyDescent="0.25">
      <c r="A9431" t="s">
        <v>2</v>
      </c>
      <c r="B9431" t="s">
        <v>3458</v>
      </c>
      <c r="C9431" t="s">
        <v>23490</v>
      </c>
      <c r="D9431" t="str">
        <f>HYPERLINK("https://rhld.insurance.arkansas.gov/NPILookup?Npi=1053846154","1053846154")</f>
        <v>1053846154</v>
      </c>
      <c r="E9431" t="s">
        <v>10613</v>
      </c>
    </row>
    <row r="9432" spans="1:5" x14ac:dyDescent="0.25">
      <c r="A9432" t="s">
        <v>2</v>
      </c>
      <c r="B9432" t="s">
        <v>3458</v>
      </c>
      <c r="C9432" t="s">
        <v>23490</v>
      </c>
      <c r="D9432" t="str">
        <f>HYPERLINK("https://rhld.insurance.arkansas.gov/NPILookup?Npi=1053874560","1053874560")</f>
        <v>1053874560</v>
      </c>
      <c r="E9432" t="s">
        <v>19374</v>
      </c>
    </row>
    <row r="9433" spans="1:5" x14ac:dyDescent="0.25">
      <c r="A9433" t="s">
        <v>2</v>
      </c>
      <c r="B9433" t="s">
        <v>3458</v>
      </c>
      <c r="C9433" t="s">
        <v>23490</v>
      </c>
      <c r="D9433" t="str">
        <f>HYPERLINK("https://rhld.insurance.arkansas.gov/NPILookup?Npi=1053887208","1053887208")</f>
        <v>1053887208</v>
      </c>
      <c r="E9433" t="s">
        <v>3648</v>
      </c>
    </row>
    <row r="9434" spans="1:5" x14ac:dyDescent="0.25">
      <c r="A9434" t="s">
        <v>2</v>
      </c>
      <c r="B9434" t="s">
        <v>3458</v>
      </c>
      <c r="C9434" t="s">
        <v>23490</v>
      </c>
      <c r="D9434" t="str">
        <f>HYPERLINK("https://rhld.insurance.arkansas.gov/NPILookup?Npi=1053907931","1053907931")</f>
        <v>1053907931</v>
      </c>
      <c r="E9434" t="s">
        <v>17838</v>
      </c>
    </row>
    <row r="9435" spans="1:5" x14ac:dyDescent="0.25">
      <c r="A9435" t="s">
        <v>2</v>
      </c>
      <c r="B9435" t="s">
        <v>3458</v>
      </c>
      <c r="C9435" t="s">
        <v>23490</v>
      </c>
      <c r="D9435" t="str">
        <f>HYPERLINK("https://rhld.insurance.arkansas.gov/NPILookup?Npi=1053917310","1053917310")</f>
        <v>1053917310</v>
      </c>
      <c r="E9435" t="s">
        <v>71</v>
      </c>
    </row>
    <row r="9436" spans="1:5" x14ac:dyDescent="0.25">
      <c r="A9436" t="s">
        <v>2</v>
      </c>
      <c r="B9436" t="s">
        <v>3458</v>
      </c>
      <c r="C9436" t="s">
        <v>23490</v>
      </c>
      <c r="D9436" t="str">
        <f>HYPERLINK("https://rhld.insurance.arkansas.gov/NPILookup?Npi=1053919563","1053919563")</f>
        <v>1053919563</v>
      </c>
      <c r="E9436" t="s">
        <v>17839</v>
      </c>
    </row>
    <row r="9437" spans="1:5" x14ac:dyDescent="0.25">
      <c r="A9437" t="s">
        <v>2</v>
      </c>
      <c r="B9437" t="s">
        <v>3458</v>
      </c>
      <c r="C9437" t="s">
        <v>23490</v>
      </c>
      <c r="D9437" t="str">
        <f>HYPERLINK("https://rhld.insurance.arkansas.gov/NPILookup?Npi=1053922443","1053922443")</f>
        <v>1053922443</v>
      </c>
      <c r="E9437" t="s">
        <v>19375</v>
      </c>
    </row>
    <row r="9438" spans="1:5" x14ac:dyDescent="0.25">
      <c r="A9438" t="s">
        <v>2</v>
      </c>
      <c r="B9438" t="s">
        <v>3458</v>
      </c>
      <c r="C9438" t="s">
        <v>23490</v>
      </c>
      <c r="D9438" t="str">
        <f>HYPERLINK("https://rhld.insurance.arkansas.gov/NPILookup?Npi=1053932806","1053932806")</f>
        <v>1053932806</v>
      </c>
      <c r="E9438" t="s">
        <v>20879</v>
      </c>
    </row>
    <row r="9439" spans="1:5" x14ac:dyDescent="0.25">
      <c r="A9439" t="s">
        <v>2</v>
      </c>
      <c r="B9439" t="s">
        <v>3458</v>
      </c>
      <c r="C9439" t="s">
        <v>23490</v>
      </c>
      <c r="D9439" t="str">
        <f>HYPERLINK("https://rhld.insurance.arkansas.gov/NPILookup?Npi=1053949586","1053949586")</f>
        <v>1053949586</v>
      </c>
      <c r="E9439" t="s">
        <v>18654</v>
      </c>
    </row>
    <row r="9440" spans="1:5" x14ac:dyDescent="0.25">
      <c r="A9440" t="s">
        <v>2</v>
      </c>
      <c r="B9440" t="s">
        <v>3458</v>
      </c>
      <c r="C9440" t="s">
        <v>23490</v>
      </c>
      <c r="D9440" t="str">
        <f>HYPERLINK("https://rhld.insurance.arkansas.gov/NPILookup?Npi=1053998518","1053998518")</f>
        <v>1053998518</v>
      </c>
      <c r="E9440" t="s">
        <v>18655</v>
      </c>
    </row>
    <row r="9441" spans="1:5" x14ac:dyDescent="0.25">
      <c r="A9441" t="s">
        <v>2</v>
      </c>
      <c r="B9441" t="s">
        <v>3458</v>
      </c>
      <c r="C9441" t="s">
        <v>23490</v>
      </c>
      <c r="D9441" t="str">
        <f>HYPERLINK("https://rhld.insurance.arkansas.gov/NPILookup?Npi=1063010874","1063010874")</f>
        <v>1063010874</v>
      </c>
      <c r="E9441" t="s">
        <v>17841</v>
      </c>
    </row>
    <row r="9442" spans="1:5" x14ac:dyDescent="0.25">
      <c r="A9442" t="s">
        <v>2</v>
      </c>
      <c r="B9442" t="s">
        <v>3458</v>
      </c>
      <c r="C9442" t="s">
        <v>23490</v>
      </c>
      <c r="D9442" t="str">
        <f>HYPERLINK("https://rhld.insurance.arkansas.gov/NPILookup?Npi=1063020469","1063020469")</f>
        <v>1063020469</v>
      </c>
      <c r="E9442" t="s">
        <v>17842</v>
      </c>
    </row>
    <row r="9443" spans="1:5" x14ac:dyDescent="0.25">
      <c r="A9443" t="s">
        <v>2</v>
      </c>
      <c r="B9443" t="s">
        <v>3458</v>
      </c>
      <c r="C9443" t="s">
        <v>23490</v>
      </c>
      <c r="D9443" t="str">
        <f>HYPERLINK("https://rhld.insurance.arkansas.gov/NPILookup?Npi=1063137412","1063137412")</f>
        <v>1063137412</v>
      </c>
      <c r="E9443" t="s">
        <v>21455</v>
      </c>
    </row>
    <row r="9444" spans="1:5" x14ac:dyDescent="0.25">
      <c r="A9444" t="s">
        <v>2</v>
      </c>
      <c r="B9444" t="s">
        <v>3458</v>
      </c>
      <c r="C9444" t="s">
        <v>23490</v>
      </c>
      <c r="D9444" t="str">
        <f>HYPERLINK("https://rhld.insurance.arkansas.gov/NPILookup?Npi=1063142065","1063142065")</f>
        <v>1063142065</v>
      </c>
      <c r="E9444" t="s">
        <v>21714</v>
      </c>
    </row>
    <row r="9445" spans="1:5" x14ac:dyDescent="0.25">
      <c r="A9445" t="s">
        <v>2</v>
      </c>
      <c r="B9445" t="s">
        <v>3458</v>
      </c>
      <c r="C9445" t="s">
        <v>23490</v>
      </c>
      <c r="D9445" t="str">
        <f>HYPERLINK("https://rhld.insurance.arkansas.gov/NPILookup?Npi=1063143329","1063143329")</f>
        <v>1063143329</v>
      </c>
      <c r="E9445" t="s">
        <v>20880</v>
      </c>
    </row>
    <row r="9446" spans="1:5" x14ac:dyDescent="0.25">
      <c r="A9446" t="s">
        <v>2</v>
      </c>
      <c r="B9446" t="s">
        <v>3458</v>
      </c>
      <c r="C9446" t="s">
        <v>23490</v>
      </c>
      <c r="D9446" t="str">
        <f>HYPERLINK("https://rhld.insurance.arkansas.gov/NPILookup?Npi=1063150001","1063150001")</f>
        <v>1063150001</v>
      </c>
      <c r="E9446" t="s">
        <v>20881</v>
      </c>
    </row>
    <row r="9447" spans="1:5" x14ac:dyDescent="0.25">
      <c r="A9447" t="s">
        <v>2</v>
      </c>
      <c r="B9447" t="s">
        <v>3458</v>
      </c>
      <c r="C9447" t="s">
        <v>23490</v>
      </c>
      <c r="D9447" t="str">
        <f>HYPERLINK("https://rhld.insurance.arkansas.gov/NPILookup?Npi=1063162287","1063162287")</f>
        <v>1063162287</v>
      </c>
      <c r="E9447" t="s">
        <v>19378</v>
      </c>
    </row>
    <row r="9448" spans="1:5" x14ac:dyDescent="0.25">
      <c r="A9448" t="s">
        <v>2</v>
      </c>
      <c r="B9448" t="s">
        <v>3458</v>
      </c>
      <c r="C9448" t="s">
        <v>23490</v>
      </c>
      <c r="D9448" t="str">
        <f>HYPERLINK("https://rhld.insurance.arkansas.gov/NPILookup?Npi=1063175693","1063175693")</f>
        <v>1063175693</v>
      </c>
      <c r="E9448" t="s">
        <v>19379</v>
      </c>
    </row>
    <row r="9449" spans="1:5" x14ac:dyDescent="0.25">
      <c r="A9449" t="s">
        <v>2</v>
      </c>
      <c r="B9449" t="s">
        <v>3458</v>
      </c>
      <c r="C9449" t="s">
        <v>23490</v>
      </c>
      <c r="D9449" t="str">
        <f>HYPERLINK("https://rhld.insurance.arkansas.gov/NPILookup?Npi=1063177426","1063177426")</f>
        <v>1063177426</v>
      </c>
      <c r="E9449" t="s">
        <v>22887</v>
      </c>
    </row>
    <row r="9450" spans="1:5" x14ac:dyDescent="0.25">
      <c r="A9450" t="s">
        <v>2</v>
      </c>
      <c r="B9450" t="s">
        <v>3458</v>
      </c>
      <c r="C9450" t="s">
        <v>23490</v>
      </c>
      <c r="D9450" t="str">
        <f>HYPERLINK("https://rhld.insurance.arkansas.gov/NPILookup?Npi=1063402485","1063402485")</f>
        <v>1063402485</v>
      </c>
      <c r="E9450" t="s">
        <v>224</v>
      </c>
    </row>
    <row r="9451" spans="1:5" x14ac:dyDescent="0.25">
      <c r="A9451" t="s">
        <v>2</v>
      </c>
      <c r="B9451" t="s">
        <v>3458</v>
      </c>
      <c r="C9451" t="s">
        <v>23490</v>
      </c>
      <c r="D9451" t="str">
        <f>HYPERLINK("https://rhld.insurance.arkansas.gov/NPILookup?Npi=1063406056","1063406056")</f>
        <v>1063406056</v>
      </c>
      <c r="E9451" t="s">
        <v>14723</v>
      </c>
    </row>
    <row r="9452" spans="1:5" x14ac:dyDescent="0.25">
      <c r="A9452" t="s">
        <v>2</v>
      </c>
      <c r="B9452" t="s">
        <v>3458</v>
      </c>
      <c r="C9452" t="s">
        <v>23490</v>
      </c>
      <c r="D9452" t="str">
        <f>HYPERLINK("https://rhld.insurance.arkansas.gov/NPILookup?Npi=1063406114","1063406114")</f>
        <v>1063406114</v>
      </c>
      <c r="E9452" t="s">
        <v>225</v>
      </c>
    </row>
    <row r="9453" spans="1:5" x14ac:dyDescent="0.25">
      <c r="A9453" t="s">
        <v>2</v>
      </c>
      <c r="B9453" t="s">
        <v>3458</v>
      </c>
      <c r="C9453" t="s">
        <v>23490</v>
      </c>
      <c r="D9453" t="str">
        <f>HYPERLINK("https://rhld.insurance.arkansas.gov/NPILookup?Npi=1063409878","1063409878")</f>
        <v>1063409878</v>
      </c>
      <c r="E9453" t="s">
        <v>227</v>
      </c>
    </row>
    <row r="9454" spans="1:5" x14ac:dyDescent="0.25">
      <c r="A9454" t="s">
        <v>2</v>
      </c>
      <c r="B9454" t="s">
        <v>3458</v>
      </c>
      <c r="C9454" t="s">
        <v>23490</v>
      </c>
      <c r="D9454" t="str">
        <f>HYPERLINK("https://rhld.insurance.arkansas.gov/NPILookup?Npi=1063417822","1063417822")</f>
        <v>1063417822</v>
      </c>
      <c r="E9454" t="s">
        <v>228</v>
      </c>
    </row>
    <row r="9455" spans="1:5" x14ac:dyDescent="0.25">
      <c r="A9455" t="s">
        <v>2</v>
      </c>
      <c r="B9455" t="s">
        <v>3458</v>
      </c>
      <c r="C9455" t="s">
        <v>23490</v>
      </c>
      <c r="D9455" t="str">
        <f>HYPERLINK("https://rhld.insurance.arkansas.gov/NPILookup?Npi=1063421881","1063421881")</f>
        <v>1063421881</v>
      </c>
      <c r="E9455" t="s">
        <v>3492</v>
      </c>
    </row>
    <row r="9456" spans="1:5" x14ac:dyDescent="0.25">
      <c r="A9456" t="s">
        <v>2</v>
      </c>
      <c r="B9456" t="s">
        <v>3458</v>
      </c>
      <c r="C9456" t="s">
        <v>23490</v>
      </c>
      <c r="D9456" t="str">
        <f>HYPERLINK("https://rhld.insurance.arkansas.gov/NPILookup?Npi=1063435444","1063435444")</f>
        <v>1063435444</v>
      </c>
      <c r="E9456" t="s">
        <v>3493</v>
      </c>
    </row>
    <row r="9457" spans="1:5" x14ac:dyDescent="0.25">
      <c r="A9457" t="s">
        <v>2</v>
      </c>
      <c r="B9457" t="s">
        <v>3458</v>
      </c>
      <c r="C9457" t="s">
        <v>23490</v>
      </c>
      <c r="D9457" t="str">
        <f>HYPERLINK("https://rhld.insurance.arkansas.gov/NPILookup?Npi=1063440899","1063440899")</f>
        <v>1063440899</v>
      </c>
      <c r="E9457" t="s">
        <v>229</v>
      </c>
    </row>
    <row r="9458" spans="1:5" x14ac:dyDescent="0.25">
      <c r="A9458" t="s">
        <v>2</v>
      </c>
      <c r="B9458" t="s">
        <v>3458</v>
      </c>
      <c r="C9458" t="s">
        <v>23490</v>
      </c>
      <c r="D9458" t="str">
        <f>HYPERLINK("https://rhld.insurance.arkansas.gov/NPILookup?Npi=1063441632","1063441632")</f>
        <v>1063441632</v>
      </c>
      <c r="E9458" t="s">
        <v>14724</v>
      </c>
    </row>
    <row r="9459" spans="1:5" x14ac:dyDescent="0.25">
      <c r="A9459" t="s">
        <v>2</v>
      </c>
      <c r="B9459" t="s">
        <v>3458</v>
      </c>
      <c r="C9459" t="s">
        <v>23490</v>
      </c>
      <c r="D9459" t="str">
        <f>HYPERLINK("https://rhld.insurance.arkansas.gov/NPILookup?Npi=1063443711","1063443711")</f>
        <v>1063443711</v>
      </c>
      <c r="E9459" t="s">
        <v>21715</v>
      </c>
    </row>
    <row r="9460" spans="1:5" x14ac:dyDescent="0.25">
      <c r="A9460" t="s">
        <v>2</v>
      </c>
      <c r="B9460" t="s">
        <v>3458</v>
      </c>
      <c r="C9460" t="s">
        <v>23490</v>
      </c>
      <c r="D9460" t="str">
        <f>HYPERLINK("https://rhld.insurance.arkansas.gov/NPILookup?Npi=1063446425","1063446425")</f>
        <v>1063446425</v>
      </c>
      <c r="E9460" t="s">
        <v>17382</v>
      </c>
    </row>
    <row r="9461" spans="1:5" x14ac:dyDescent="0.25">
      <c r="A9461" t="s">
        <v>2</v>
      </c>
      <c r="B9461" t="s">
        <v>3458</v>
      </c>
      <c r="C9461" t="s">
        <v>23490</v>
      </c>
      <c r="D9461" t="str">
        <f>HYPERLINK("https://rhld.insurance.arkansas.gov/NPILookup?Npi=1063449007","1063449007")</f>
        <v>1063449007</v>
      </c>
      <c r="E9461" t="s">
        <v>14725</v>
      </c>
    </row>
    <row r="9462" spans="1:5" x14ac:dyDescent="0.25">
      <c r="A9462" t="s">
        <v>2</v>
      </c>
      <c r="B9462" t="s">
        <v>3458</v>
      </c>
      <c r="C9462" t="s">
        <v>23490</v>
      </c>
      <c r="D9462" t="str">
        <f>HYPERLINK("https://rhld.insurance.arkansas.gov/NPILookup?Npi=1063449049","1063449049")</f>
        <v>1063449049</v>
      </c>
      <c r="E9462" t="s">
        <v>20220</v>
      </c>
    </row>
    <row r="9463" spans="1:5" x14ac:dyDescent="0.25">
      <c r="A9463" t="s">
        <v>2</v>
      </c>
      <c r="B9463" t="s">
        <v>3458</v>
      </c>
      <c r="C9463" t="s">
        <v>23490</v>
      </c>
      <c r="D9463" t="str">
        <f>HYPERLINK("https://rhld.insurance.arkansas.gov/NPILookup?Npi=1063450187","1063450187")</f>
        <v>1063450187</v>
      </c>
      <c r="E9463" t="s">
        <v>14726</v>
      </c>
    </row>
    <row r="9464" spans="1:5" x14ac:dyDescent="0.25">
      <c r="A9464" t="s">
        <v>2</v>
      </c>
      <c r="B9464" t="s">
        <v>3458</v>
      </c>
      <c r="C9464" t="s">
        <v>23490</v>
      </c>
      <c r="D9464" t="str">
        <f>HYPERLINK("https://rhld.insurance.arkansas.gov/NPILookup?Npi=1063460335","1063460335")</f>
        <v>1063460335</v>
      </c>
      <c r="E9464" t="s">
        <v>230</v>
      </c>
    </row>
    <row r="9465" spans="1:5" x14ac:dyDescent="0.25">
      <c r="A9465" t="s">
        <v>2</v>
      </c>
      <c r="B9465" t="s">
        <v>3458</v>
      </c>
      <c r="C9465" t="s">
        <v>23490</v>
      </c>
      <c r="D9465" t="str">
        <f>HYPERLINK("https://rhld.insurance.arkansas.gov/NPILookup?Npi=1063461002","1063461002")</f>
        <v>1063461002</v>
      </c>
      <c r="E9465" t="s">
        <v>231</v>
      </c>
    </row>
    <row r="9466" spans="1:5" x14ac:dyDescent="0.25">
      <c r="A9466" t="s">
        <v>2</v>
      </c>
      <c r="B9466" t="s">
        <v>3458</v>
      </c>
      <c r="C9466" t="s">
        <v>23490</v>
      </c>
      <c r="D9466" t="str">
        <f>HYPERLINK("https://rhld.insurance.arkansas.gov/NPILookup?Npi=1063472157","1063472157")</f>
        <v>1063472157</v>
      </c>
      <c r="E9466" t="s">
        <v>10614</v>
      </c>
    </row>
    <row r="9467" spans="1:5" x14ac:dyDescent="0.25">
      <c r="A9467" t="s">
        <v>2</v>
      </c>
      <c r="B9467" t="s">
        <v>3458</v>
      </c>
      <c r="C9467" t="s">
        <v>23490</v>
      </c>
      <c r="D9467" t="str">
        <f>HYPERLINK("https://rhld.insurance.arkansas.gov/NPILookup?Npi=1063475630","1063475630")</f>
        <v>1063475630</v>
      </c>
      <c r="E9467" t="s">
        <v>3494</v>
      </c>
    </row>
    <row r="9468" spans="1:5" x14ac:dyDescent="0.25">
      <c r="A9468" t="s">
        <v>2</v>
      </c>
      <c r="B9468" t="s">
        <v>3458</v>
      </c>
      <c r="C9468" t="s">
        <v>23490</v>
      </c>
      <c r="D9468" t="str">
        <f>HYPERLINK("https://rhld.insurance.arkansas.gov/NPILookup?Npi=1063478493","1063478493")</f>
        <v>1063478493</v>
      </c>
      <c r="E9468" t="s">
        <v>232</v>
      </c>
    </row>
    <row r="9469" spans="1:5" x14ac:dyDescent="0.25">
      <c r="A9469" t="s">
        <v>2</v>
      </c>
      <c r="B9469" t="s">
        <v>3458</v>
      </c>
      <c r="C9469" t="s">
        <v>23490</v>
      </c>
      <c r="D9469" t="str">
        <f>HYPERLINK("https://rhld.insurance.arkansas.gov/NPILookup?Npi=1063482404","1063482404")</f>
        <v>1063482404</v>
      </c>
      <c r="E9469" t="s">
        <v>14727</v>
      </c>
    </row>
    <row r="9470" spans="1:5" x14ac:dyDescent="0.25">
      <c r="A9470" t="s">
        <v>2</v>
      </c>
      <c r="B9470" t="s">
        <v>3458</v>
      </c>
      <c r="C9470" t="s">
        <v>23490</v>
      </c>
      <c r="D9470" t="str">
        <f>HYPERLINK("https://rhld.insurance.arkansas.gov/NPILookup?Npi=1063486413","1063486413")</f>
        <v>1063486413</v>
      </c>
      <c r="E9470" t="s">
        <v>233</v>
      </c>
    </row>
    <row r="9471" spans="1:5" x14ac:dyDescent="0.25">
      <c r="A9471" t="s">
        <v>2</v>
      </c>
      <c r="B9471" t="s">
        <v>3458</v>
      </c>
      <c r="C9471" t="s">
        <v>23490</v>
      </c>
      <c r="D9471" t="str">
        <f>HYPERLINK("https://rhld.insurance.arkansas.gov/NPILookup?Npi=1063491355","1063491355")</f>
        <v>1063491355</v>
      </c>
      <c r="E9471" t="s">
        <v>235</v>
      </c>
    </row>
    <row r="9472" spans="1:5" x14ac:dyDescent="0.25">
      <c r="A9472" t="s">
        <v>2</v>
      </c>
      <c r="B9472" t="s">
        <v>3458</v>
      </c>
      <c r="C9472" t="s">
        <v>23490</v>
      </c>
      <c r="D9472" t="str">
        <f>HYPERLINK("https://rhld.insurance.arkansas.gov/NPILookup?Npi=1063492650","1063492650")</f>
        <v>1063492650</v>
      </c>
      <c r="E9472" t="s">
        <v>20221</v>
      </c>
    </row>
    <row r="9473" spans="1:5" x14ac:dyDescent="0.25">
      <c r="A9473" t="s">
        <v>2</v>
      </c>
      <c r="B9473" t="s">
        <v>3458</v>
      </c>
      <c r="C9473" t="s">
        <v>23490</v>
      </c>
      <c r="D9473" t="str">
        <f>HYPERLINK("https://rhld.insurance.arkansas.gov/NPILookup?Npi=1063499150","1063499150")</f>
        <v>1063499150</v>
      </c>
      <c r="E9473" t="s">
        <v>236</v>
      </c>
    </row>
    <row r="9474" spans="1:5" x14ac:dyDescent="0.25">
      <c r="A9474" t="s">
        <v>2</v>
      </c>
      <c r="B9474" t="s">
        <v>3458</v>
      </c>
      <c r="C9474" t="s">
        <v>23490</v>
      </c>
      <c r="D9474" t="str">
        <f>HYPERLINK("https://rhld.insurance.arkansas.gov/NPILookup?Npi=1063505147","1063505147")</f>
        <v>1063505147</v>
      </c>
      <c r="E9474" t="s">
        <v>12766</v>
      </c>
    </row>
    <row r="9475" spans="1:5" x14ac:dyDescent="0.25">
      <c r="A9475" t="s">
        <v>2</v>
      </c>
      <c r="B9475" t="s">
        <v>3458</v>
      </c>
      <c r="C9475" t="s">
        <v>23490</v>
      </c>
      <c r="D9475" t="str">
        <f>HYPERLINK("https://rhld.insurance.arkansas.gov/NPILookup?Npi=1063505857","1063505857")</f>
        <v>1063505857</v>
      </c>
      <c r="E9475" t="s">
        <v>18656</v>
      </c>
    </row>
    <row r="9476" spans="1:5" x14ac:dyDescent="0.25">
      <c r="A9476" t="s">
        <v>2</v>
      </c>
      <c r="B9476" t="s">
        <v>3458</v>
      </c>
      <c r="C9476" t="s">
        <v>23490</v>
      </c>
      <c r="D9476" t="str">
        <f>HYPERLINK("https://rhld.insurance.arkansas.gov/NPILookup?Npi=1063526606","1063526606")</f>
        <v>1063526606</v>
      </c>
      <c r="E9476" t="s">
        <v>8963</v>
      </c>
    </row>
    <row r="9477" spans="1:5" x14ac:dyDescent="0.25">
      <c r="A9477" t="s">
        <v>2</v>
      </c>
      <c r="B9477" t="s">
        <v>3458</v>
      </c>
      <c r="C9477" t="s">
        <v>23490</v>
      </c>
      <c r="D9477" t="str">
        <f>HYPERLINK("https://rhld.insurance.arkansas.gov/NPILookup?Npi=1063534949","1063534949")</f>
        <v>1063534949</v>
      </c>
      <c r="E9477" t="s">
        <v>3495</v>
      </c>
    </row>
    <row r="9478" spans="1:5" x14ac:dyDescent="0.25">
      <c r="A9478" t="s">
        <v>2</v>
      </c>
      <c r="B9478" t="s">
        <v>3458</v>
      </c>
      <c r="C9478" t="s">
        <v>23490</v>
      </c>
      <c r="D9478" t="str">
        <f>HYPERLINK("https://rhld.insurance.arkansas.gov/NPILookup?Npi=1063547834","1063547834")</f>
        <v>1063547834</v>
      </c>
      <c r="E9478" t="s">
        <v>237</v>
      </c>
    </row>
    <row r="9479" spans="1:5" x14ac:dyDescent="0.25">
      <c r="A9479" t="s">
        <v>2</v>
      </c>
      <c r="B9479" t="s">
        <v>3458</v>
      </c>
      <c r="C9479" t="s">
        <v>23490</v>
      </c>
      <c r="D9479" t="str">
        <f>HYPERLINK("https://rhld.insurance.arkansas.gov/NPILookup?Npi=1063583573","1063583573")</f>
        <v>1063583573</v>
      </c>
      <c r="E9479" t="s">
        <v>14728</v>
      </c>
    </row>
    <row r="9480" spans="1:5" x14ac:dyDescent="0.25">
      <c r="A9480" t="s">
        <v>2</v>
      </c>
      <c r="B9480" t="s">
        <v>3458</v>
      </c>
      <c r="C9480" t="s">
        <v>23490</v>
      </c>
      <c r="D9480" t="str">
        <f>HYPERLINK("https://rhld.insurance.arkansas.gov/NPILookup?Npi=1063597979","1063597979")</f>
        <v>1063597979</v>
      </c>
      <c r="E9480" t="s">
        <v>3496</v>
      </c>
    </row>
    <row r="9481" spans="1:5" x14ac:dyDescent="0.25">
      <c r="A9481" t="s">
        <v>2</v>
      </c>
      <c r="B9481" t="s">
        <v>3458</v>
      </c>
      <c r="C9481" t="s">
        <v>23490</v>
      </c>
      <c r="D9481" t="str">
        <f>HYPERLINK("https://rhld.insurance.arkansas.gov/NPILookup?Npi=1063617835","1063617835")</f>
        <v>1063617835</v>
      </c>
      <c r="E9481" t="s">
        <v>238</v>
      </c>
    </row>
    <row r="9482" spans="1:5" x14ac:dyDescent="0.25">
      <c r="A9482" t="s">
        <v>2</v>
      </c>
      <c r="B9482" t="s">
        <v>3458</v>
      </c>
      <c r="C9482" t="s">
        <v>23490</v>
      </c>
      <c r="D9482" t="str">
        <f>HYPERLINK("https://rhld.insurance.arkansas.gov/NPILookup?Npi=1063622652","1063622652")</f>
        <v>1063622652</v>
      </c>
      <c r="E9482" t="s">
        <v>239</v>
      </c>
    </row>
    <row r="9483" spans="1:5" x14ac:dyDescent="0.25">
      <c r="A9483" t="s">
        <v>2</v>
      </c>
      <c r="B9483" t="s">
        <v>3458</v>
      </c>
      <c r="C9483" t="s">
        <v>23490</v>
      </c>
      <c r="D9483" t="str">
        <f>HYPERLINK("https://rhld.insurance.arkansas.gov/NPILookup?Npi=1063665990","1063665990")</f>
        <v>1063665990</v>
      </c>
      <c r="E9483" t="s">
        <v>3497</v>
      </c>
    </row>
    <row r="9484" spans="1:5" x14ac:dyDescent="0.25">
      <c r="A9484" t="s">
        <v>2</v>
      </c>
      <c r="B9484" t="s">
        <v>3458</v>
      </c>
      <c r="C9484" t="s">
        <v>23490</v>
      </c>
      <c r="D9484" t="str">
        <f>HYPERLINK("https://rhld.insurance.arkansas.gov/NPILookup?Npi=1063666261","1063666261")</f>
        <v>1063666261</v>
      </c>
      <c r="E9484" t="s">
        <v>13349</v>
      </c>
    </row>
    <row r="9485" spans="1:5" x14ac:dyDescent="0.25">
      <c r="A9485" t="s">
        <v>2</v>
      </c>
      <c r="B9485" t="s">
        <v>3458</v>
      </c>
      <c r="C9485" t="s">
        <v>23490</v>
      </c>
      <c r="D9485" t="str">
        <f>HYPERLINK("https://rhld.insurance.arkansas.gov/NPILookup?Npi=1063673119","1063673119")</f>
        <v>1063673119</v>
      </c>
      <c r="E9485" t="s">
        <v>10615</v>
      </c>
    </row>
    <row r="9486" spans="1:5" x14ac:dyDescent="0.25">
      <c r="A9486" t="s">
        <v>2</v>
      </c>
      <c r="B9486" t="s">
        <v>3458</v>
      </c>
      <c r="C9486" t="s">
        <v>23490</v>
      </c>
      <c r="D9486" t="str">
        <f>HYPERLINK("https://rhld.insurance.arkansas.gov/NPILookup?Npi=1063675650","1063675650")</f>
        <v>1063675650</v>
      </c>
      <c r="E9486" t="s">
        <v>240</v>
      </c>
    </row>
    <row r="9487" spans="1:5" x14ac:dyDescent="0.25">
      <c r="A9487" t="s">
        <v>2</v>
      </c>
      <c r="B9487" t="s">
        <v>3458</v>
      </c>
      <c r="C9487" t="s">
        <v>23490</v>
      </c>
      <c r="D9487" t="str">
        <f>HYPERLINK("https://rhld.insurance.arkansas.gov/NPILookup?Npi=1063679827","1063679827")</f>
        <v>1063679827</v>
      </c>
      <c r="E9487" t="s">
        <v>241</v>
      </c>
    </row>
    <row r="9488" spans="1:5" x14ac:dyDescent="0.25">
      <c r="A9488" t="s">
        <v>2</v>
      </c>
      <c r="B9488" t="s">
        <v>3458</v>
      </c>
      <c r="C9488" t="s">
        <v>23490</v>
      </c>
      <c r="D9488" t="str">
        <f>HYPERLINK("https://rhld.insurance.arkansas.gov/NPILookup?Npi=1063710713","1063710713")</f>
        <v>1063710713</v>
      </c>
      <c r="E9488" t="s">
        <v>17844</v>
      </c>
    </row>
    <row r="9489" spans="1:5" x14ac:dyDescent="0.25">
      <c r="A9489" t="s">
        <v>2</v>
      </c>
      <c r="B9489" t="s">
        <v>3458</v>
      </c>
      <c r="C9489" t="s">
        <v>23490</v>
      </c>
      <c r="D9489" t="str">
        <f>HYPERLINK("https://rhld.insurance.arkansas.gov/NPILookup?Npi=1063748101","1063748101")</f>
        <v>1063748101</v>
      </c>
      <c r="E9489" t="s">
        <v>243</v>
      </c>
    </row>
    <row r="9490" spans="1:5" x14ac:dyDescent="0.25">
      <c r="A9490" t="s">
        <v>2</v>
      </c>
      <c r="B9490" t="s">
        <v>3458</v>
      </c>
      <c r="C9490" t="s">
        <v>23490</v>
      </c>
      <c r="D9490" t="str">
        <f>HYPERLINK("https://rhld.insurance.arkansas.gov/NPILookup?Npi=1063760056","1063760056")</f>
        <v>1063760056</v>
      </c>
      <c r="E9490" t="s">
        <v>8457</v>
      </c>
    </row>
    <row r="9491" spans="1:5" x14ac:dyDescent="0.25">
      <c r="A9491" t="s">
        <v>2</v>
      </c>
      <c r="B9491" t="s">
        <v>3458</v>
      </c>
      <c r="C9491" t="s">
        <v>23490</v>
      </c>
      <c r="D9491" t="str">
        <f>HYPERLINK("https://rhld.insurance.arkansas.gov/NPILookup?Npi=1063772515","1063772515")</f>
        <v>1063772515</v>
      </c>
      <c r="E9491" t="s">
        <v>244</v>
      </c>
    </row>
    <row r="9492" spans="1:5" x14ac:dyDescent="0.25">
      <c r="A9492" t="s">
        <v>2</v>
      </c>
      <c r="B9492" t="s">
        <v>3458</v>
      </c>
      <c r="C9492" t="s">
        <v>23490</v>
      </c>
      <c r="D9492" t="str">
        <f>HYPERLINK("https://rhld.insurance.arkansas.gov/NPILookup?Npi=1063811834","1063811834")</f>
        <v>1063811834</v>
      </c>
      <c r="E9492" t="s">
        <v>19384</v>
      </c>
    </row>
    <row r="9493" spans="1:5" x14ac:dyDescent="0.25">
      <c r="A9493" t="s">
        <v>2</v>
      </c>
      <c r="B9493" t="s">
        <v>3458</v>
      </c>
      <c r="C9493" t="s">
        <v>23490</v>
      </c>
      <c r="D9493" t="str">
        <f>HYPERLINK("https://rhld.insurance.arkansas.gov/NPILookup?Npi=1063820421","1063820421")</f>
        <v>1063820421</v>
      </c>
      <c r="E9493" t="s">
        <v>14729</v>
      </c>
    </row>
    <row r="9494" spans="1:5" x14ac:dyDescent="0.25">
      <c r="A9494" t="s">
        <v>2</v>
      </c>
      <c r="B9494" t="s">
        <v>3458</v>
      </c>
      <c r="C9494" t="s">
        <v>23490</v>
      </c>
      <c r="D9494" t="str">
        <f>HYPERLINK("https://rhld.insurance.arkansas.gov/NPILookup?Npi=1063831774","1063831774")</f>
        <v>1063831774</v>
      </c>
      <c r="E9494" t="s">
        <v>21457</v>
      </c>
    </row>
    <row r="9495" spans="1:5" x14ac:dyDescent="0.25">
      <c r="A9495" t="s">
        <v>2</v>
      </c>
      <c r="B9495" t="s">
        <v>3458</v>
      </c>
      <c r="C9495" t="s">
        <v>23490</v>
      </c>
      <c r="D9495" t="str">
        <f>HYPERLINK("https://rhld.insurance.arkansas.gov/NPILookup?Npi=1063836542","1063836542")</f>
        <v>1063836542</v>
      </c>
      <c r="E9495" t="s">
        <v>246</v>
      </c>
    </row>
    <row r="9496" spans="1:5" x14ac:dyDescent="0.25">
      <c r="A9496" t="s">
        <v>2</v>
      </c>
      <c r="B9496" t="s">
        <v>3458</v>
      </c>
      <c r="C9496" t="s">
        <v>23490</v>
      </c>
      <c r="D9496" t="str">
        <f>HYPERLINK("https://rhld.insurance.arkansas.gov/NPILookup?Npi=1063864627","1063864627")</f>
        <v>1063864627</v>
      </c>
      <c r="E9496" t="s">
        <v>16866</v>
      </c>
    </row>
    <row r="9497" spans="1:5" x14ac:dyDescent="0.25">
      <c r="A9497" t="s">
        <v>2</v>
      </c>
      <c r="B9497" t="s">
        <v>3458</v>
      </c>
      <c r="C9497" t="s">
        <v>23490</v>
      </c>
      <c r="D9497" t="str">
        <f>HYPERLINK("https://rhld.insurance.arkansas.gov/NPILookup?Npi=1063867950","1063867950")</f>
        <v>1063867950</v>
      </c>
      <c r="E9497" t="s">
        <v>14730</v>
      </c>
    </row>
    <row r="9498" spans="1:5" x14ac:dyDescent="0.25">
      <c r="A9498" t="s">
        <v>2</v>
      </c>
      <c r="B9498" t="s">
        <v>3458</v>
      </c>
      <c r="C9498" t="s">
        <v>23490</v>
      </c>
      <c r="D9498" t="str">
        <f>HYPERLINK("https://rhld.insurance.arkansas.gov/NPILookup?Npi=1063870467","1063870467")</f>
        <v>1063870467</v>
      </c>
      <c r="E9498" t="s">
        <v>8458</v>
      </c>
    </row>
    <row r="9499" spans="1:5" x14ac:dyDescent="0.25">
      <c r="A9499" t="s">
        <v>2</v>
      </c>
      <c r="B9499" t="s">
        <v>3458</v>
      </c>
      <c r="C9499" t="s">
        <v>23490</v>
      </c>
      <c r="D9499" t="str">
        <f>HYPERLINK("https://rhld.insurance.arkansas.gov/NPILookup?Npi=1063871135","1063871135")</f>
        <v>1063871135</v>
      </c>
      <c r="E9499" t="s">
        <v>8459</v>
      </c>
    </row>
    <row r="9500" spans="1:5" x14ac:dyDescent="0.25">
      <c r="A9500" t="s">
        <v>2</v>
      </c>
      <c r="B9500" t="s">
        <v>3458</v>
      </c>
      <c r="C9500" t="s">
        <v>23490</v>
      </c>
      <c r="D9500" t="str">
        <f>HYPERLINK("https://rhld.insurance.arkansas.gov/NPILookup?Npi=1063882280","1063882280")</f>
        <v>1063882280</v>
      </c>
      <c r="E9500" t="s">
        <v>8460</v>
      </c>
    </row>
    <row r="9501" spans="1:5" x14ac:dyDescent="0.25">
      <c r="A9501" t="s">
        <v>2</v>
      </c>
      <c r="B9501" t="s">
        <v>3458</v>
      </c>
      <c r="C9501" t="s">
        <v>23490</v>
      </c>
      <c r="D9501" t="str">
        <f>HYPERLINK("https://rhld.insurance.arkansas.gov/NPILookup?Npi=1063887958","1063887958")</f>
        <v>1063887958</v>
      </c>
      <c r="E9501" t="s">
        <v>8461</v>
      </c>
    </row>
    <row r="9502" spans="1:5" x14ac:dyDescent="0.25">
      <c r="A9502" t="s">
        <v>2</v>
      </c>
      <c r="B9502" t="s">
        <v>3458</v>
      </c>
      <c r="C9502" t="s">
        <v>23490</v>
      </c>
      <c r="D9502" t="str">
        <f>HYPERLINK("https://rhld.insurance.arkansas.gov/NPILookup?Npi=1063891570","1063891570")</f>
        <v>1063891570</v>
      </c>
      <c r="E9502" t="s">
        <v>13350</v>
      </c>
    </row>
    <row r="9503" spans="1:5" x14ac:dyDescent="0.25">
      <c r="A9503" t="s">
        <v>2</v>
      </c>
      <c r="B9503" t="s">
        <v>3458</v>
      </c>
      <c r="C9503" t="s">
        <v>23490</v>
      </c>
      <c r="D9503" t="str">
        <f>HYPERLINK("https://rhld.insurance.arkansas.gov/NPILookup?Npi=1063911790","1063911790")</f>
        <v>1063911790</v>
      </c>
      <c r="E9503" t="s">
        <v>12952</v>
      </c>
    </row>
    <row r="9504" spans="1:5" x14ac:dyDescent="0.25">
      <c r="A9504" t="s">
        <v>2</v>
      </c>
      <c r="B9504" t="s">
        <v>3458</v>
      </c>
      <c r="C9504" t="s">
        <v>23490</v>
      </c>
      <c r="D9504" t="str">
        <f>HYPERLINK("https://rhld.insurance.arkansas.gov/NPILookup?Npi=1063920452","1063920452")</f>
        <v>1063920452</v>
      </c>
      <c r="E9504" t="s">
        <v>12768</v>
      </c>
    </row>
    <row r="9505" spans="1:5" x14ac:dyDescent="0.25">
      <c r="A9505" t="s">
        <v>2</v>
      </c>
      <c r="B9505" t="s">
        <v>3458</v>
      </c>
      <c r="C9505" t="s">
        <v>23490</v>
      </c>
      <c r="D9505" t="str">
        <f>HYPERLINK("https://rhld.insurance.arkansas.gov/NPILookup?Npi=1063926020","1063926020")</f>
        <v>1063926020</v>
      </c>
      <c r="E9505" t="s">
        <v>14733</v>
      </c>
    </row>
    <row r="9506" spans="1:5" x14ac:dyDescent="0.25">
      <c r="A9506" t="s">
        <v>2</v>
      </c>
      <c r="B9506" t="s">
        <v>3458</v>
      </c>
      <c r="C9506" t="s">
        <v>23490</v>
      </c>
      <c r="D9506" t="str">
        <f>HYPERLINK("https://rhld.insurance.arkansas.gov/NPILookup?Npi=1063930634","1063930634")</f>
        <v>1063930634</v>
      </c>
      <c r="E9506" t="s">
        <v>10616</v>
      </c>
    </row>
    <row r="9507" spans="1:5" x14ac:dyDescent="0.25">
      <c r="A9507" t="s">
        <v>2</v>
      </c>
      <c r="B9507" t="s">
        <v>3458</v>
      </c>
      <c r="C9507" t="s">
        <v>23490</v>
      </c>
      <c r="D9507" t="str">
        <f>HYPERLINK("https://rhld.insurance.arkansas.gov/NPILookup?Npi=1063932283","1063932283")</f>
        <v>1063932283</v>
      </c>
      <c r="E9507" t="s">
        <v>10617</v>
      </c>
    </row>
    <row r="9508" spans="1:5" x14ac:dyDescent="0.25">
      <c r="A9508" t="s">
        <v>2</v>
      </c>
      <c r="B9508" t="s">
        <v>3458</v>
      </c>
      <c r="C9508" t="s">
        <v>23490</v>
      </c>
      <c r="D9508" t="str">
        <f>HYPERLINK("https://rhld.insurance.arkansas.gov/NPILookup?Npi=1063936839","1063936839")</f>
        <v>1063936839</v>
      </c>
      <c r="E9508" t="s">
        <v>10618</v>
      </c>
    </row>
    <row r="9509" spans="1:5" x14ac:dyDescent="0.25">
      <c r="A9509" t="s">
        <v>2</v>
      </c>
      <c r="B9509" t="s">
        <v>3458</v>
      </c>
      <c r="C9509" t="s">
        <v>23490</v>
      </c>
      <c r="D9509" t="str">
        <f>HYPERLINK("https://rhld.insurance.arkansas.gov/NPILookup?Npi=1063949345","1063949345")</f>
        <v>1063949345</v>
      </c>
      <c r="E9509" t="s">
        <v>10619</v>
      </c>
    </row>
    <row r="9510" spans="1:5" x14ac:dyDescent="0.25">
      <c r="A9510" t="s">
        <v>2</v>
      </c>
      <c r="B9510" t="s">
        <v>3458</v>
      </c>
      <c r="C9510" t="s">
        <v>23490</v>
      </c>
      <c r="D9510" t="str">
        <f>HYPERLINK("https://rhld.insurance.arkansas.gov/NPILookup?Npi=1063957546","1063957546")</f>
        <v>1063957546</v>
      </c>
      <c r="E9510" t="s">
        <v>10620</v>
      </c>
    </row>
    <row r="9511" spans="1:5" x14ac:dyDescent="0.25">
      <c r="A9511" t="s">
        <v>2</v>
      </c>
      <c r="B9511" t="s">
        <v>3458</v>
      </c>
      <c r="C9511" t="s">
        <v>23490</v>
      </c>
      <c r="D9511" t="str">
        <f>HYPERLINK("https://rhld.insurance.arkansas.gov/NPILookup?Npi=1063958940","1063958940")</f>
        <v>1063958940</v>
      </c>
      <c r="E9511" t="s">
        <v>13353</v>
      </c>
    </row>
    <row r="9512" spans="1:5" x14ac:dyDescent="0.25">
      <c r="A9512" t="s">
        <v>2</v>
      </c>
      <c r="B9512" t="s">
        <v>3458</v>
      </c>
      <c r="C9512" t="s">
        <v>23490</v>
      </c>
      <c r="D9512" t="str">
        <f>HYPERLINK("https://rhld.insurance.arkansas.gov/NPILookup?Npi=1063965192","1063965192")</f>
        <v>1063965192</v>
      </c>
      <c r="E9512" t="s">
        <v>20222</v>
      </c>
    </row>
    <row r="9513" spans="1:5" x14ac:dyDescent="0.25">
      <c r="A9513" t="s">
        <v>2</v>
      </c>
      <c r="B9513" t="s">
        <v>3458</v>
      </c>
      <c r="C9513" t="s">
        <v>23490</v>
      </c>
      <c r="D9513" t="str">
        <f>HYPERLINK("https://rhld.insurance.arkansas.gov/NPILookup?Npi=1063977965","1063977965")</f>
        <v>1063977965</v>
      </c>
      <c r="E9513" t="s">
        <v>13354</v>
      </c>
    </row>
    <row r="9514" spans="1:5" x14ac:dyDescent="0.25">
      <c r="A9514" t="s">
        <v>2</v>
      </c>
      <c r="B9514" t="s">
        <v>3458</v>
      </c>
      <c r="C9514" t="s">
        <v>23490</v>
      </c>
      <c r="D9514" t="str">
        <f>HYPERLINK("https://rhld.insurance.arkansas.gov/NPILookup?Npi=1063978948","1063978948")</f>
        <v>1063978948</v>
      </c>
      <c r="E9514" t="s">
        <v>19391</v>
      </c>
    </row>
    <row r="9515" spans="1:5" x14ac:dyDescent="0.25">
      <c r="A9515" t="s">
        <v>2</v>
      </c>
      <c r="B9515" t="s">
        <v>3458</v>
      </c>
      <c r="C9515" t="s">
        <v>23490</v>
      </c>
      <c r="D9515" t="str">
        <f>HYPERLINK("https://rhld.insurance.arkansas.gov/NPILookup?Npi=1073004149","1073004149")</f>
        <v>1073004149</v>
      </c>
      <c r="E9515" t="s">
        <v>13355</v>
      </c>
    </row>
    <row r="9516" spans="1:5" x14ac:dyDescent="0.25">
      <c r="A9516" t="s">
        <v>2</v>
      </c>
      <c r="B9516" t="s">
        <v>3458</v>
      </c>
      <c r="C9516" t="s">
        <v>23490</v>
      </c>
      <c r="D9516" t="str">
        <f>HYPERLINK("https://rhld.insurance.arkansas.gov/NPILookup?Npi=1073010138","1073010138")</f>
        <v>1073010138</v>
      </c>
      <c r="E9516" t="s">
        <v>13356</v>
      </c>
    </row>
    <row r="9517" spans="1:5" x14ac:dyDescent="0.25">
      <c r="A9517" t="s">
        <v>2</v>
      </c>
      <c r="B9517" t="s">
        <v>3458</v>
      </c>
      <c r="C9517" t="s">
        <v>23490</v>
      </c>
      <c r="D9517" t="str">
        <f>HYPERLINK("https://rhld.insurance.arkansas.gov/NPILookup?Npi=1073017620","1073017620")</f>
        <v>1073017620</v>
      </c>
      <c r="E9517" t="s">
        <v>12769</v>
      </c>
    </row>
    <row r="9518" spans="1:5" x14ac:dyDescent="0.25">
      <c r="A9518" t="s">
        <v>2</v>
      </c>
      <c r="B9518" t="s">
        <v>3458</v>
      </c>
      <c r="C9518" t="s">
        <v>23490</v>
      </c>
      <c r="D9518" t="str">
        <f>HYPERLINK("https://rhld.insurance.arkansas.gov/NPILookup?Npi=1073023586","1073023586")</f>
        <v>1073023586</v>
      </c>
      <c r="E9518" t="s">
        <v>14734</v>
      </c>
    </row>
    <row r="9519" spans="1:5" x14ac:dyDescent="0.25">
      <c r="A9519" t="s">
        <v>2</v>
      </c>
      <c r="B9519" t="s">
        <v>3458</v>
      </c>
      <c r="C9519" t="s">
        <v>23490</v>
      </c>
      <c r="D9519" t="str">
        <f>HYPERLINK("https://rhld.insurance.arkansas.gov/NPILookup?Npi=1073025623","1073025623")</f>
        <v>1073025623</v>
      </c>
      <c r="E9519" t="s">
        <v>12953</v>
      </c>
    </row>
    <row r="9520" spans="1:5" x14ac:dyDescent="0.25">
      <c r="A9520" t="s">
        <v>2</v>
      </c>
      <c r="B9520" t="s">
        <v>3458</v>
      </c>
      <c r="C9520" t="s">
        <v>23490</v>
      </c>
      <c r="D9520" t="str">
        <f>HYPERLINK("https://rhld.insurance.arkansas.gov/NPILookup?Npi=1073025698","1073025698")</f>
        <v>1073025698</v>
      </c>
      <c r="E9520" t="s">
        <v>12954</v>
      </c>
    </row>
    <row r="9521" spans="1:5" x14ac:dyDescent="0.25">
      <c r="A9521" t="s">
        <v>2</v>
      </c>
      <c r="B9521" t="s">
        <v>3458</v>
      </c>
      <c r="C9521" t="s">
        <v>23490</v>
      </c>
      <c r="D9521" t="str">
        <f>HYPERLINK("https://rhld.insurance.arkansas.gov/NPILookup?Npi=1073031878","1073031878")</f>
        <v>1073031878</v>
      </c>
      <c r="E9521" t="s">
        <v>18657</v>
      </c>
    </row>
    <row r="9522" spans="1:5" x14ac:dyDescent="0.25">
      <c r="A9522" t="s">
        <v>2</v>
      </c>
      <c r="B9522" t="s">
        <v>3458</v>
      </c>
      <c r="C9522" t="s">
        <v>23490</v>
      </c>
      <c r="D9522" t="str">
        <f>HYPERLINK("https://rhld.insurance.arkansas.gov/NPILookup?Npi=1073041042","1073041042")</f>
        <v>1073041042</v>
      </c>
      <c r="E9522" t="s">
        <v>20882</v>
      </c>
    </row>
    <row r="9523" spans="1:5" x14ac:dyDescent="0.25">
      <c r="A9523" t="s">
        <v>2</v>
      </c>
      <c r="B9523" t="s">
        <v>3458</v>
      </c>
      <c r="C9523" t="s">
        <v>23490</v>
      </c>
      <c r="D9523" t="str">
        <f>HYPERLINK("https://rhld.insurance.arkansas.gov/NPILookup?Npi=1073047957","1073047957")</f>
        <v>1073047957</v>
      </c>
      <c r="E9523" t="s">
        <v>17383</v>
      </c>
    </row>
    <row r="9524" spans="1:5" x14ac:dyDescent="0.25">
      <c r="A9524" t="s">
        <v>2</v>
      </c>
      <c r="B9524" t="s">
        <v>3458</v>
      </c>
      <c r="C9524" t="s">
        <v>23490</v>
      </c>
      <c r="D9524" t="str">
        <f>HYPERLINK("https://rhld.insurance.arkansas.gov/NPILookup?Npi=1073051249","1073051249")</f>
        <v>1073051249</v>
      </c>
      <c r="E9524" t="s">
        <v>10622</v>
      </c>
    </row>
    <row r="9525" spans="1:5" x14ac:dyDescent="0.25">
      <c r="A9525" t="s">
        <v>2</v>
      </c>
      <c r="B9525" t="s">
        <v>3458</v>
      </c>
      <c r="C9525" t="s">
        <v>23490</v>
      </c>
      <c r="D9525" t="str">
        <f>HYPERLINK("https://rhld.insurance.arkansas.gov/NPILookup?Npi=1073058749","1073058749")</f>
        <v>1073058749</v>
      </c>
      <c r="E9525" t="s">
        <v>14735</v>
      </c>
    </row>
    <row r="9526" spans="1:5" x14ac:dyDescent="0.25">
      <c r="A9526" t="s">
        <v>2</v>
      </c>
      <c r="B9526" t="s">
        <v>3458</v>
      </c>
      <c r="C9526" t="s">
        <v>23490</v>
      </c>
      <c r="D9526" t="str">
        <f>HYPERLINK("https://rhld.insurance.arkansas.gov/NPILookup?Npi=1073064820","1073064820")</f>
        <v>1073064820</v>
      </c>
      <c r="E9526" t="s">
        <v>14736</v>
      </c>
    </row>
    <row r="9527" spans="1:5" x14ac:dyDescent="0.25">
      <c r="A9527" t="s">
        <v>2</v>
      </c>
      <c r="B9527" t="s">
        <v>3458</v>
      </c>
      <c r="C9527" t="s">
        <v>23490</v>
      </c>
      <c r="D9527" t="str">
        <f>HYPERLINK("https://rhld.insurance.arkansas.gov/NPILookup?Npi=1073068730","1073068730")</f>
        <v>1073068730</v>
      </c>
      <c r="E9527" t="s">
        <v>10623</v>
      </c>
    </row>
    <row r="9528" spans="1:5" x14ac:dyDescent="0.25">
      <c r="A9528" t="s">
        <v>2</v>
      </c>
      <c r="B9528" t="s">
        <v>3458</v>
      </c>
      <c r="C9528" t="s">
        <v>23490</v>
      </c>
      <c r="D9528" t="str">
        <f>HYPERLINK("https://rhld.insurance.arkansas.gov/NPILookup?Npi=1073101630","1073101630")</f>
        <v>1073101630</v>
      </c>
      <c r="E9528" t="s">
        <v>18658</v>
      </c>
    </row>
    <row r="9529" spans="1:5" x14ac:dyDescent="0.25">
      <c r="A9529" t="s">
        <v>2</v>
      </c>
      <c r="B9529" t="s">
        <v>3458</v>
      </c>
      <c r="C9529" t="s">
        <v>23490</v>
      </c>
      <c r="D9529" t="str">
        <f>HYPERLINK("https://rhld.insurance.arkansas.gov/NPILookup?Npi=1073105474","1073105474")</f>
        <v>1073105474</v>
      </c>
      <c r="E9529" t="s">
        <v>19395</v>
      </c>
    </row>
    <row r="9530" spans="1:5" x14ac:dyDescent="0.25">
      <c r="A9530" t="s">
        <v>2</v>
      </c>
      <c r="B9530" t="s">
        <v>3458</v>
      </c>
      <c r="C9530" t="s">
        <v>23490</v>
      </c>
      <c r="D9530" t="str">
        <f>HYPERLINK("https://rhld.insurance.arkansas.gov/NPILookup?Npi=1073173324","1073173324")</f>
        <v>1073173324</v>
      </c>
      <c r="E9530" t="s">
        <v>17848</v>
      </c>
    </row>
    <row r="9531" spans="1:5" x14ac:dyDescent="0.25">
      <c r="A9531" t="s">
        <v>2</v>
      </c>
      <c r="B9531" t="s">
        <v>3458</v>
      </c>
      <c r="C9531" t="s">
        <v>23490</v>
      </c>
      <c r="D9531" t="str">
        <f>HYPERLINK("https://rhld.insurance.arkansas.gov/NPILookup?Npi=1073184727","1073184727")</f>
        <v>1073184727</v>
      </c>
      <c r="E9531" t="s">
        <v>18659</v>
      </c>
    </row>
    <row r="9532" spans="1:5" x14ac:dyDescent="0.25">
      <c r="A9532" t="s">
        <v>2</v>
      </c>
      <c r="B9532" t="s">
        <v>3458</v>
      </c>
      <c r="C9532" t="s">
        <v>23490</v>
      </c>
      <c r="D9532" t="str">
        <f>HYPERLINK("https://rhld.insurance.arkansas.gov/NPILookup?Npi=1073187126","1073187126")</f>
        <v>1073187126</v>
      </c>
      <c r="E9532" t="s">
        <v>18660</v>
      </c>
    </row>
    <row r="9533" spans="1:5" x14ac:dyDescent="0.25">
      <c r="A9533" t="s">
        <v>2</v>
      </c>
      <c r="B9533" t="s">
        <v>3458</v>
      </c>
      <c r="C9533" t="s">
        <v>23490</v>
      </c>
      <c r="D9533" t="str">
        <f>HYPERLINK("https://rhld.insurance.arkansas.gov/NPILookup?Npi=1073257374","1073257374")</f>
        <v>1073257374</v>
      </c>
      <c r="E9533" t="s">
        <v>19397</v>
      </c>
    </row>
    <row r="9534" spans="1:5" x14ac:dyDescent="0.25">
      <c r="A9534" t="s">
        <v>2</v>
      </c>
      <c r="B9534" t="s">
        <v>3458</v>
      </c>
      <c r="C9534" t="s">
        <v>23490</v>
      </c>
      <c r="D9534" t="str">
        <f>HYPERLINK("https://rhld.insurance.arkansas.gov/NPILookup?Npi=1073270633","1073270633")</f>
        <v>1073270633</v>
      </c>
      <c r="E9534" t="s">
        <v>19398</v>
      </c>
    </row>
    <row r="9535" spans="1:5" x14ac:dyDescent="0.25">
      <c r="A9535" t="s">
        <v>2</v>
      </c>
      <c r="B9535" t="s">
        <v>3458</v>
      </c>
      <c r="C9535" t="s">
        <v>23490</v>
      </c>
      <c r="D9535" t="str">
        <f>HYPERLINK("https://rhld.insurance.arkansas.gov/NPILookup?Npi=1073505228","1073505228")</f>
        <v>1073505228</v>
      </c>
      <c r="E9535" t="s">
        <v>10624</v>
      </c>
    </row>
    <row r="9536" spans="1:5" x14ac:dyDescent="0.25">
      <c r="A9536" t="s">
        <v>2</v>
      </c>
      <c r="B9536" t="s">
        <v>3458</v>
      </c>
      <c r="C9536" t="s">
        <v>23490</v>
      </c>
      <c r="D9536" t="str">
        <f>HYPERLINK("https://rhld.insurance.arkansas.gov/NPILookup?Npi=1073506010","1073506010")</f>
        <v>1073506010</v>
      </c>
      <c r="E9536" t="s">
        <v>247</v>
      </c>
    </row>
    <row r="9537" spans="1:5" x14ac:dyDescent="0.25">
      <c r="A9537" t="s">
        <v>2</v>
      </c>
      <c r="B9537" t="s">
        <v>3458</v>
      </c>
      <c r="C9537" t="s">
        <v>23490</v>
      </c>
      <c r="D9537" t="str">
        <f>HYPERLINK("https://rhld.insurance.arkansas.gov/NPILookup?Npi=1073512828","1073512828")</f>
        <v>1073512828</v>
      </c>
      <c r="E9537" t="s">
        <v>248</v>
      </c>
    </row>
    <row r="9538" spans="1:5" x14ac:dyDescent="0.25">
      <c r="A9538" t="s">
        <v>2</v>
      </c>
      <c r="B9538" t="s">
        <v>3458</v>
      </c>
      <c r="C9538" t="s">
        <v>23490</v>
      </c>
      <c r="D9538" t="str">
        <f>HYPERLINK("https://rhld.insurance.arkansas.gov/NPILookup?Npi=1073514022","1073514022")</f>
        <v>1073514022</v>
      </c>
      <c r="E9538" t="s">
        <v>249</v>
      </c>
    </row>
    <row r="9539" spans="1:5" x14ac:dyDescent="0.25">
      <c r="A9539" t="s">
        <v>2</v>
      </c>
      <c r="B9539" t="s">
        <v>3458</v>
      </c>
      <c r="C9539" t="s">
        <v>23490</v>
      </c>
      <c r="D9539" t="str">
        <f>HYPERLINK("https://rhld.insurance.arkansas.gov/NPILookup?Npi=1073516852","1073516852")</f>
        <v>1073516852</v>
      </c>
      <c r="E9539" t="s">
        <v>250</v>
      </c>
    </row>
    <row r="9540" spans="1:5" x14ac:dyDescent="0.25">
      <c r="A9540" t="s">
        <v>2</v>
      </c>
      <c r="B9540" t="s">
        <v>3458</v>
      </c>
      <c r="C9540" t="s">
        <v>23490</v>
      </c>
      <c r="D9540" t="str">
        <f>HYPERLINK("https://rhld.insurance.arkansas.gov/NPILookup?Npi=1073519260","1073519260")</f>
        <v>1073519260</v>
      </c>
      <c r="E9540" t="s">
        <v>14737</v>
      </c>
    </row>
    <row r="9541" spans="1:5" x14ac:dyDescent="0.25">
      <c r="A9541" t="s">
        <v>2</v>
      </c>
      <c r="B9541" t="s">
        <v>3458</v>
      </c>
      <c r="C9541" t="s">
        <v>23490</v>
      </c>
      <c r="D9541" t="str">
        <f>HYPERLINK("https://rhld.insurance.arkansas.gov/NPILookup?Npi=1073520482","1073520482")</f>
        <v>1073520482</v>
      </c>
      <c r="E9541" t="s">
        <v>14738</v>
      </c>
    </row>
    <row r="9542" spans="1:5" x14ac:dyDescent="0.25">
      <c r="A9542" t="s">
        <v>2</v>
      </c>
      <c r="B9542" t="s">
        <v>3458</v>
      </c>
      <c r="C9542" t="s">
        <v>23490</v>
      </c>
      <c r="D9542" t="str">
        <f>HYPERLINK("https://rhld.insurance.arkansas.gov/NPILookup?Npi=1073521282","1073521282")</f>
        <v>1073521282</v>
      </c>
      <c r="E9542" t="s">
        <v>251</v>
      </c>
    </row>
    <row r="9543" spans="1:5" x14ac:dyDescent="0.25">
      <c r="A9543" t="s">
        <v>2</v>
      </c>
      <c r="B9543" t="s">
        <v>3458</v>
      </c>
      <c r="C9543" t="s">
        <v>23490</v>
      </c>
      <c r="D9543" t="str">
        <f>HYPERLINK("https://rhld.insurance.arkansas.gov/NPILookup?Npi=1073525903","1073525903")</f>
        <v>1073525903</v>
      </c>
      <c r="E9543" t="s">
        <v>12955</v>
      </c>
    </row>
    <row r="9544" spans="1:5" x14ac:dyDescent="0.25">
      <c r="A9544" t="s">
        <v>2</v>
      </c>
      <c r="B9544" t="s">
        <v>3458</v>
      </c>
      <c r="C9544" t="s">
        <v>23490</v>
      </c>
      <c r="D9544" t="str">
        <f>HYPERLINK("https://rhld.insurance.arkansas.gov/NPILookup?Npi=1073540084","1073540084")</f>
        <v>1073540084</v>
      </c>
      <c r="E9544" t="s">
        <v>254</v>
      </c>
    </row>
    <row r="9545" spans="1:5" x14ac:dyDescent="0.25">
      <c r="A9545" t="s">
        <v>2</v>
      </c>
      <c r="B9545" t="s">
        <v>3458</v>
      </c>
      <c r="C9545" t="s">
        <v>23490</v>
      </c>
      <c r="D9545" t="str">
        <f>HYPERLINK("https://rhld.insurance.arkansas.gov/NPILookup?Npi=1073555876","1073555876")</f>
        <v>1073555876</v>
      </c>
      <c r="E9545" t="s">
        <v>14739</v>
      </c>
    </row>
    <row r="9546" spans="1:5" x14ac:dyDescent="0.25">
      <c r="A9546" t="s">
        <v>2</v>
      </c>
      <c r="B9546" t="s">
        <v>3458</v>
      </c>
      <c r="C9546" t="s">
        <v>23490</v>
      </c>
      <c r="D9546" t="str">
        <f>HYPERLINK("https://rhld.insurance.arkansas.gov/NPILookup?Npi=1073564050","1073564050")</f>
        <v>1073564050</v>
      </c>
      <c r="E9546" t="s">
        <v>256</v>
      </c>
    </row>
    <row r="9547" spans="1:5" x14ac:dyDescent="0.25">
      <c r="A9547" t="s">
        <v>2</v>
      </c>
      <c r="B9547" t="s">
        <v>3458</v>
      </c>
      <c r="C9547" t="s">
        <v>23490</v>
      </c>
      <c r="D9547" t="str">
        <f>HYPERLINK("https://rhld.insurance.arkansas.gov/NPILookup?Npi=1073571824","1073571824")</f>
        <v>1073571824</v>
      </c>
      <c r="E9547" t="s">
        <v>12770</v>
      </c>
    </row>
    <row r="9548" spans="1:5" x14ac:dyDescent="0.25">
      <c r="A9548" t="s">
        <v>2</v>
      </c>
      <c r="B9548" t="s">
        <v>3458</v>
      </c>
      <c r="C9548" t="s">
        <v>23490</v>
      </c>
      <c r="D9548" t="str">
        <f>HYPERLINK("https://rhld.insurance.arkansas.gov/NPILookup?Npi=1073576955","1073576955")</f>
        <v>1073576955</v>
      </c>
      <c r="E9548" t="s">
        <v>258</v>
      </c>
    </row>
    <row r="9549" spans="1:5" x14ac:dyDescent="0.25">
      <c r="A9549" t="s">
        <v>2</v>
      </c>
      <c r="B9549" t="s">
        <v>3458</v>
      </c>
      <c r="C9549" t="s">
        <v>23490</v>
      </c>
      <c r="D9549" t="str">
        <f>HYPERLINK("https://rhld.insurance.arkansas.gov/NPILookup?Npi=1073578043","1073578043")</f>
        <v>1073578043</v>
      </c>
      <c r="E9549" t="s">
        <v>14740</v>
      </c>
    </row>
    <row r="9550" spans="1:5" x14ac:dyDescent="0.25">
      <c r="A9550" t="s">
        <v>2</v>
      </c>
      <c r="B9550" t="s">
        <v>3458</v>
      </c>
      <c r="C9550" t="s">
        <v>23490</v>
      </c>
      <c r="D9550" t="str">
        <f>HYPERLINK("https://rhld.insurance.arkansas.gov/NPILookup?Npi=1073579322","1073579322")</f>
        <v>1073579322</v>
      </c>
      <c r="E9550" t="s">
        <v>259</v>
      </c>
    </row>
    <row r="9551" spans="1:5" x14ac:dyDescent="0.25">
      <c r="A9551" t="s">
        <v>2</v>
      </c>
      <c r="B9551" t="s">
        <v>3458</v>
      </c>
      <c r="C9551" t="s">
        <v>23490</v>
      </c>
      <c r="D9551" t="str">
        <f>HYPERLINK("https://rhld.insurance.arkansas.gov/NPILookup?Npi=1073582748","1073582748")</f>
        <v>1073582748</v>
      </c>
      <c r="E9551" t="s">
        <v>260</v>
      </c>
    </row>
    <row r="9552" spans="1:5" x14ac:dyDescent="0.25">
      <c r="A9552" t="s">
        <v>2</v>
      </c>
      <c r="B9552" t="s">
        <v>3458</v>
      </c>
      <c r="C9552" t="s">
        <v>23490</v>
      </c>
      <c r="D9552" t="str">
        <f>HYPERLINK("https://rhld.insurance.arkansas.gov/NPILookup?Npi=1073592523","1073592523")</f>
        <v>1073592523</v>
      </c>
      <c r="E9552" t="s">
        <v>261</v>
      </c>
    </row>
    <row r="9553" spans="1:5" x14ac:dyDescent="0.25">
      <c r="A9553" t="s">
        <v>2</v>
      </c>
      <c r="B9553" t="s">
        <v>3458</v>
      </c>
      <c r="C9553" t="s">
        <v>23490</v>
      </c>
      <c r="D9553" t="str">
        <f>HYPERLINK("https://rhld.insurance.arkansas.gov/NPILookup?Npi=1073594909","1073594909")</f>
        <v>1073594909</v>
      </c>
      <c r="E9553" t="s">
        <v>262</v>
      </c>
    </row>
    <row r="9554" spans="1:5" x14ac:dyDescent="0.25">
      <c r="A9554" t="s">
        <v>2</v>
      </c>
      <c r="B9554" t="s">
        <v>3458</v>
      </c>
      <c r="C9554" t="s">
        <v>23490</v>
      </c>
      <c r="D9554" t="str">
        <f>HYPERLINK("https://rhld.insurance.arkansas.gov/NPILookup?Npi=1073603403","1073603403")</f>
        <v>1073603403</v>
      </c>
      <c r="E9554" t="s">
        <v>10625</v>
      </c>
    </row>
    <row r="9555" spans="1:5" x14ac:dyDescent="0.25">
      <c r="A9555" t="s">
        <v>2</v>
      </c>
      <c r="B9555" t="s">
        <v>3458</v>
      </c>
      <c r="C9555" t="s">
        <v>23490</v>
      </c>
      <c r="D9555" t="str">
        <f>HYPERLINK("https://rhld.insurance.arkansas.gov/NPILookup?Npi=1073616934","1073616934")</f>
        <v>1073616934</v>
      </c>
      <c r="E9555" t="s">
        <v>263</v>
      </c>
    </row>
    <row r="9556" spans="1:5" x14ac:dyDescent="0.25">
      <c r="A9556" t="s">
        <v>2</v>
      </c>
      <c r="B9556" t="s">
        <v>3458</v>
      </c>
      <c r="C9556" t="s">
        <v>23490</v>
      </c>
      <c r="D9556" t="str">
        <f>HYPERLINK("https://rhld.insurance.arkansas.gov/NPILookup?Npi=1073621827","1073621827")</f>
        <v>1073621827</v>
      </c>
      <c r="E9556" t="s">
        <v>264</v>
      </c>
    </row>
    <row r="9557" spans="1:5" x14ac:dyDescent="0.25">
      <c r="A9557" t="s">
        <v>2</v>
      </c>
      <c r="B9557" t="s">
        <v>3458</v>
      </c>
      <c r="C9557" t="s">
        <v>23490</v>
      </c>
      <c r="D9557" t="str">
        <f>HYPERLINK("https://rhld.insurance.arkansas.gov/NPILookup?Npi=1073637823","1073637823")</f>
        <v>1073637823</v>
      </c>
      <c r="E9557" t="s">
        <v>17384</v>
      </c>
    </row>
    <row r="9558" spans="1:5" x14ac:dyDescent="0.25">
      <c r="A9558" t="s">
        <v>2</v>
      </c>
      <c r="B9558" t="s">
        <v>3458</v>
      </c>
      <c r="C9558" t="s">
        <v>23490</v>
      </c>
      <c r="D9558" t="str">
        <f>HYPERLINK("https://rhld.insurance.arkansas.gov/NPILookup?Npi=1073687505","1073687505")</f>
        <v>1073687505</v>
      </c>
      <c r="E9558" t="s">
        <v>265</v>
      </c>
    </row>
    <row r="9559" spans="1:5" x14ac:dyDescent="0.25">
      <c r="A9559" t="s">
        <v>2</v>
      </c>
      <c r="B9559" t="s">
        <v>3458</v>
      </c>
      <c r="C9559" t="s">
        <v>23490</v>
      </c>
      <c r="D9559" t="str">
        <f>HYPERLINK("https://rhld.insurance.arkansas.gov/NPILookup?Npi=1073712212","1073712212")</f>
        <v>1073712212</v>
      </c>
      <c r="E9559" t="s">
        <v>266</v>
      </c>
    </row>
    <row r="9560" spans="1:5" x14ac:dyDescent="0.25">
      <c r="A9560" t="s">
        <v>2</v>
      </c>
      <c r="B9560" t="s">
        <v>3458</v>
      </c>
      <c r="C9560" t="s">
        <v>23490</v>
      </c>
      <c r="D9560" t="str">
        <f>HYPERLINK("https://rhld.insurance.arkansas.gov/NPILookup?Npi=1073719944","1073719944")</f>
        <v>1073719944</v>
      </c>
      <c r="E9560" t="s">
        <v>3498</v>
      </c>
    </row>
    <row r="9561" spans="1:5" x14ac:dyDescent="0.25">
      <c r="A9561" t="s">
        <v>2</v>
      </c>
      <c r="B9561" t="s">
        <v>3458</v>
      </c>
      <c r="C9561" t="s">
        <v>23490</v>
      </c>
      <c r="D9561" t="str">
        <f>HYPERLINK("https://rhld.insurance.arkansas.gov/NPILookup?Npi=1073720868","1073720868")</f>
        <v>1073720868</v>
      </c>
      <c r="E9561" t="s">
        <v>3499</v>
      </c>
    </row>
    <row r="9562" spans="1:5" x14ac:dyDescent="0.25">
      <c r="A9562" t="s">
        <v>2</v>
      </c>
      <c r="B9562" t="s">
        <v>3458</v>
      </c>
      <c r="C9562" t="s">
        <v>23490</v>
      </c>
      <c r="D9562" t="str">
        <f>HYPERLINK("https://rhld.insurance.arkansas.gov/NPILookup?Npi=1073733069","1073733069")</f>
        <v>1073733069</v>
      </c>
      <c r="E9562" t="s">
        <v>15801</v>
      </c>
    </row>
    <row r="9563" spans="1:5" x14ac:dyDescent="0.25">
      <c r="A9563" t="s">
        <v>2</v>
      </c>
      <c r="B9563" t="s">
        <v>3458</v>
      </c>
      <c r="C9563" t="s">
        <v>23490</v>
      </c>
      <c r="D9563" t="str">
        <f>HYPERLINK("https://rhld.insurance.arkansas.gov/NPILookup?Npi=1073740387","1073740387")</f>
        <v>1073740387</v>
      </c>
      <c r="E9563" t="s">
        <v>10626</v>
      </c>
    </row>
    <row r="9564" spans="1:5" x14ac:dyDescent="0.25">
      <c r="A9564" t="s">
        <v>2</v>
      </c>
      <c r="B9564" t="s">
        <v>3458</v>
      </c>
      <c r="C9564" t="s">
        <v>23490</v>
      </c>
      <c r="D9564" t="str">
        <f>HYPERLINK("https://rhld.insurance.arkansas.gov/NPILookup?Npi=1073749420","1073749420")</f>
        <v>1073749420</v>
      </c>
      <c r="E9564" t="s">
        <v>268</v>
      </c>
    </row>
    <row r="9565" spans="1:5" x14ac:dyDescent="0.25">
      <c r="A9565" t="s">
        <v>2</v>
      </c>
      <c r="B9565" t="s">
        <v>3458</v>
      </c>
      <c r="C9565" t="s">
        <v>23490</v>
      </c>
      <c r="D9565" t="str">
        <f>HYPERLINK("https://rhld.insurance.arkansas.gov/NPILookup?Npi=1073755807","1073755807")</f>
        <v>1073755807</v>
      </c>
      <c r="E9565" t="s">
        <v>10627</v>
      </c>
    </row>
    <row r="9566" spans="1:5" x14ac:dyDescent="0.25">
      <c r="A9566" t="s">
        <v>2</v>
      </c>
      <c r="B9566" t="s">
        <v>3458</v>
      </c>
      <c r="C9566" t="s">
        <v>23490</v>
      </c>
      <c r="D9566" t="str">
        <f>HYPERLINK("https://rhld.insurance.arkansas.gov/NPILookup?Npi=1073806501","1073806501")</f>
        <v>1073806501</v>
      </c>
      <c r="E9566" t="s">
        <v>3500</v>
      </c>
    </row>
    <row r="9567" spans="1:5" x14ac:dyDescent="0.25">
      <c r="A9567" t="s">
        <v>2</v>
      </c>
      <c r="B9567" t="s">
        <v>3458</v>
      </c>
      <c r="C9567" t="s">
        <v>23490</v>
      </c>
      <c r="D9567" t="str">
        <f>HYPERLINK("https://rhld.insurance.arkansas.gov/NPILookup?Npi=1073809158","1073809158")</f>
        <v>1073809158</v>
      </c>
      <c r="E9567" t="s">
        <v>269</v>
      </c>
    </row>
    <row r="9568" spans="1:5" x14ac:dyDescent="0.25">
      <c r="A9568" t="s">
        <v>2</v>
      </c>
      <c r="B9568" t="s">
        <v>3458</v>
      </c>
      <c r="C9568" t="s">
        <v>23490</v>
      </c>
      <c r="D9568" t="str">
        <f>HYPERLINK("https://rhld.insurance.arkansas.gov/NPILookup?Npi=1073810537","1073810537")</f>
        <v>1073810537</v>
      </c>
      <c r="E9568" t="s">
        <v>10628</v>
      </c>
    </row>
    <row r="9569" spans="1:5" x14ac:dyDescent="0.25">
      <c r="A9569" t="s">
        <v>2</v>
      </c>
      <c r="B9569" t="s">
        <v>3458</v>
      </c>
      <c r="C9569" t="s">
        <v>23490</v>
      </c>
      <c r="D9569" t="str">
        <f>HYPERLINK("https://rhld.insurance.arkansas.gov/NPILookup?Npi=1073836466","1073836466")</f>
        <v>1073836466</v>
      </c>
      <c r="E9569" t="s">
        <v>270</v>
      </c>
    </row>
    <row r="9570" spans="1:5" x14ac:dyDescent="0.25">
      <c r="A9570" t="s">
        <v>2</v>
      </c>
      <c r="B9570" t="s">
        <v>3458</v>
      </c>
      <c r="C9570" t="s">
        <v>23490</v>
      </c>
      <c r="D9570" t="str">
        <f>HYPERLINK("https://rhld.insurance.arkansas.gov/NPILookup?Npi=1073840773","1073840773")</f>
        <v>1073840773</v>
      </c>
      <c r="E9570" t="s">
        <v>15802</v>
      </c>
    </row>
    <row r="9571" spans="1:5" x14ac:dyDescent="0.25">
      <c r="A9571" t="s">
        <v>2</v>
      </c>
      <c r="B9571" t="s">
        <v>3458</v>
      </c>
      <c r="C9571" t="s">
        <v>23490</v>
      </c>
      <c r="D9571" t="str">
        <f>HYPERLINK("https://rhld.insurance.arkansas.gov/NPILookup?Npi=1073852877","1073852877")</f>
        <v>1073852877</v>
      </c>
      <c r="E9571" t="s">
        <v>271</v>
      </c>
    </row>
    <row r="9572" spans="1:5" x14ac:dyDescent="0.25">
      <c r="A9572" t="s">
        <v>2</v>
      </c>
      <c r="B9572" t="s">
        <v>3458</v>
      </c>
      <c r="C9572" t="s">
        <v>23490</v>
      </c>
      <c r="D9572" t="str">
        <f>HYPERLINK("https://rhld.insurance.arkansas.gov/NPILookup?Npi=1073859732","1073859732")</f>
        <v>1073859732</v>
      </c>
      <c r="E9572" t="s">
        <v>8465</v>
      </c>
    </row>
    <row r="9573" spans="1:5" x14ac:dyDescent="0.25">
      <c r="A9573" t="s">
        <v>2</v>
      </c>
      <c r="B9573" t="s">
        <v>3458</v>
      </c>
      <c r="C9573" t="s">
        <v>23490</v>
      </c>
      <c r="D9573" t="str">
        <f>HYPERLINK("https://rhld.insurance.arkansas.gov/NPILookup?Npi=1073863106","1073863106")</f>
        <v>1073863106</v>
      </c>
      <c r="E9573" t="s">
        <v>273</v>
      </c>
    </row>
    <row r="9574" spans="1:5" x14ac:dyDescent="0.25">
      <c r="A9574" t="s">
        <v>2</v>
      </c>
      <c r="B9574" t="s">
        <v>3458</v>
      </c>
      <c r="C9574" t="s">
        <v>23490</v>
      </c>
      <c r="D9574" t="str">
        <f>HYPERLINK("https://rhld.insurance.arkansas.gov/NPILookup?Npi=1073863882","1073863882")</f>
        <v>1073863882</v>
      </c>
      <c r="E9574" t="s">
        <v>19401</v>
      </c>
    </row>
    <row r="9575" spans="1:5" x14ac:dyDescent="0.25">
      <c r="A9575" t="s">
        <v>2</v>
      </c>
      <c r="B9575" t="s">
        <v>3458</v>
      </c>
      <c r="C9575" t="s">
        <v>23490</v>
      </c>
      <c r="D9575" t="str">
        <f>HYPERLINK("https://rhld.insurance.arkansas.gov/NPILookup?Npi=1073882742","1073882742")</f>
        <v>1073882742</v>
      </c>
      <c r="E9575" t="s">
        <v>20885</v>
      </c>
    </row>
    <row r="9576" spans="1:5" x14ac:dyDescent="0.25">
      <c r="A9576" t="s">
        <v>2</v>
      </c>
      <c r="B9576" t="s">
        <v>3458</v>
      </c>
      <c r="C9576" t="s">
        <v>23490</v>
      </c>
      <c r="D9576" t="str">
        <f>HYPERLINK("https://rhld.insurance.arkansas.gov/NPILookup?Npi=1073886446","1073886446")</f>
        <v>1073886446</v>
      </c>
      <c r="E9576" t="s">
        <v>8964</v>
      </c>
    </row>
    <row r="9577" spans="1:5" x14ac:dyDescent="0.25">
      <c r="A9577" t="s">
        <v>2</v>
      </c>
      <c r="B9577" t="s">
        <v>3458</v>
      </c>
      <c r="C9577" t="s">
        <v>23490</v>
      </c>
      <c r="D9577" t="str">
        <f>HYPERLINK("https://rhld.insurance.arkansas.gov/NPILookup?Npi=1073893673","1073893673")</f>
        <v>1073893673</v>
      </c>
      <c r="E9577" t="s">
        <v>275</v>
      </c>
    </row>
    <row r="9578" spans="1:5" x14ac:dyDescent="0.25">
      <c r="A9578" t="s">
        <v>2</v>
      </c>
      <c r="B9578" t="s">
        <v>3458</v>
      </c>
      <c r="C9578" t="s">
        <v>23490</v>
      </c>
      <c r="D9578" t="str">
        <f>HYPERLINK("https://rhld.insurance.arkansas.gov/NPILookup?Npi=1073902276","1073902276")</f>
        <v>1073902276</v>
      </c>
      <c r="E9578" t="s">
        <v>10629</v>
      </c>
    </row>
    <row r="9579" spans="1:5" x14ac:dyDescent="0.25">
      <c r="A9579" t="s">
        <v>2</v>
      </c>
      <c r="B9579" t="s">
        <v>3458</v>
      </c>
      <c r="C9579" t="s">
        <v>23490</v>
      </c>
      <c r="D9579" t="str">
        <f>HYPERLINK("https://rhld.insurance.arkansas.gov/NPILookup?Npi=1073907069","1073907069")</f>
        <v>1073907069</v>
      </c>
      <c r="E9579" t="s">
        <v>10630</v>
      </c>
    </row>
    <row r="9580" spans="1:5" x14ac:dyDescent="0.25">
      <c r="A9580" t="s">
        <v>2</v>
      </c>
      <c r="B9580" t="s">
        <v>3458</v>
      </c>
      <c r="C9580" t="s">
        <v>23490</v>
      </c>
      <c r="D9580" t="str">
        <f>HYPERLINK("https://rhld.insurance.arkansas.gov/NPILookup?Npi=1073921029","1073921029")</f>
        <v>1073921029</v>
      </c>
      <c r="E9580" t="s">
        <v>276</v>
      </c>
    </row>
    <row r="9581" spans="1:5" x14ac:dyDescent="0.25">
      <c r="A9581" t="s">
        <v>2</v>
      </c>
      <c r="B9581" t="s">
        <v>3458</v>
      </c>
      <c r="C9581" t="s">
        <v>23490</v>
      </c>
      <c r="D9581" t="str">
        <f>HYPERLINK("https://rhld.insurance.arkansas.gov/NPILookup?Npi=1073925228","1073925228")</f>
        <v>1073925228</v>
      </c>
      <c r="E9581" t="s">
        <v>11431</v>
      </c>
    </row>
    <row r="9582" spans="1:5" x14ac:dyDescent="0.25">
      <c r="A9582" t="s">
        <v>2</v>
      </c>
      <c r="B9582" t="s">
        <v>3458</v>
      </c>
      <c r="C9582" t="s">
        <v>23490</v>
      </c>
      <c r="D9582" t="str">
        <f>HYPERLINK("https://rhld.insurance.arkansas.gov/NPILookup?Npi=1073966248","1073966248")</f>
        <v>1073966248</v>
      </c>
      <c r="E9582" t="s">
        <v>10631</v>
      </c>
    </row>
    <row r="9583" spans="1:5" x14ac:dyDescent="0.25">
      <c r="A9583" t="s">
        <v>2</v>
      </c>
      <c r="B9583" t="s">
        <v>3458</v>
      </c>
      <c r="C9583" t="s">
        <v>23490</v>
      </c>
      <c r="D9583" t="str">
        <f>HYPERLINK("https://rhld.insurance.arkansas.gov/NPILookup?Npi=1073970166","1073970166")</f>
        <v>1073970166</v>
      </c>
      <c r="E9583" t="s">
        <v>8467</v>
      </c>
    </row>
    <row r="9584" spans="1:5" x14ac:dyDescent="0.25">
      <c r="A9584" t="s">
        <v>2</v>
      </c>
      <c r="B9584" t="s">
        <v>3458</v>
      </c>
      <c r="C9584" t="s">
        <v>23490</v>
      </c>
      <c r="D9584" t="str">
        <f>HYPERLINK("https://rhld.insurance.arkansas.gov/NPILookup?Npi=1073979969","1073979969")</f>
        <v>1073979969</v>
      </c>
      <c r="E9584" t="s">
        <v>10632</v>
      </c>
    </row>
    <row r="9585" spans="1:5" x14ac:dyDescent="0.25">
      <c r="A9585" t="s">
        <v>2</v>
      </c>
      <c r="B9585" t="s">
        <v>3458</v>
      </c>
      <c r="C9585" t="s">
        <v>23490</v>
      </c>
      <c r="D9585" t="str">
        <f>HYPERLINK("https://rhld.insurance.arkansas.gov/NPILookup?Npi=1073994224","1073994224")</f>
        <v>1073994224</v>
      </c>
      <c r="E9585" t="s">
        <v>19403</v>
      </c>
    </row>
    <row r="9586" spans="1:5" x14ac:dyDescent="0.25">
      <c r="A9586" t="s">
        <v>2</v>
      </c>
      <c r="B9586" t="s">
        <v>3458</v>
      </c>
      <c r="C9586" t="s">
        <v>23490</v>
      </c>
      <c r="D9586" t="str">
        <f>HYPERLINK("https://rhld.insurance.arkansas.gov/NPILookup?Npi=1083002364","1083002364")</f>
        <v>1083002364</v>
      </c>
      <c r="E9586" t="s">
        <v>277</v>
      </c>
    </row>
    <row r="9587" spans="1:5" x14ac:dyDescent="0.25">
      <c r="A9587" t="s">
        <v>2</v>
      </c>
      <c r="B9587" t="s">
        <v>3458</v>
      </c>
      <c r="C9587" t="s">
        <v>23490</v>
      </c>
      <c r="D9587" t="str">
        <f>HYPERLINK("https://rhld.insurance.arkansas.gov/NPILookup?Npi=1083009484","1083009484")</f>
        <v>1083009484</v>
      </c>
      <c r="E9587" t="s">
        <v>14743</v>
      </c>
    </row>
    <row r="9588" spans="1:5" x14ac:dyDescent="0.25">
      <c r="A9588" t="s">
        <v>2</v>
      </c>
      <c r="B9588" t="s">
        <v>3458</v>
      </c>
      <c r="C9588" t="s">
        <v>23490</v>
      </c>
      <c r="D9588" t="str">
        <f>HYPERLINK("https://rhld.insurance.arkansas.gov/NPILookup?Npi=1083017313","1083017313")</f>
        <v>1083017313</v>
      </c>
      <c r="E9588" t="s">
        <v>14744</v>
      </c>
    </row>
    <row r="9589" spans="1:5" x14ac:dyDescent="0.25">
      <c r="A9589" t="s">
        <v>2</v>
      </c>
      <c r="B9589" t="s">
        <v>3458</v>
      </c>
      <c r="C9589" t="s">
        <v>23490</v>
      </c>
      <c r="D9589" t="str">
        <f>HYPERLINK("https://rhld.insurance.arkansas.gov/NPILookup?Npi=1083024848","1083024848")</f>
        <v>1083024848</v>
      </c>
      <c r="E9589" t="s">
        <v>10634</v>
      </c>
    </row>
    <row r="9590" spans="1:5" x14ac:dyDescent="0.25">
      <c r="A9590" t="s">
        <v>2</v>
      </c>
      <c r="B9590" t="s">
        <v>3458</v>
      </c>
      <c r="C9590" t="s">
        <v>23490</v>
      </c>
      <c r="D9590" t="str">
        <f>HYPERLINK("https://rhld.insurance.arkansas.gov/NPILookup?Npi=1083046445","1083046445")</f>
        <v>1083046445</v>
      </c>
      <c r="E9590" t="s">
        <v>279</v>
      </c>
    </row>
    <row r="9591" spans="1:5" x14ac:dyDescent="0.25">
      <c r="A9591" t="s">
        <v>2</v>
      </c>
      <c r="B9591" t="s">
        <v>3458</v>
      </c>
      <c r="C9591" t="s">
        <v>23490</v>
      </c>
      <c r="D9591" t="str">
        <f>HYPERLINK("https://rhld.insurance.arkansas.gov/NPILookup?Npi=1083055453","1083055453")</f>
        <v>1083055453</v>
      </c>
      <c r="E9591" t="s">
        <v>10635</v>
      </c>
    </row>
    <row r="9592" spans="1:5" x14ac:dyDescent="0.25">
      <c r="A9592" t="s">
        <v>2</v>
      </c>
      <c r="B9592" t="s">
        <v>3458</v>
      </c>
      <c r="C9592" t="s">
        <v>23490</v>
      </c>
      <c r="D9592" t="str">
        <f>HYPERLINK("https://rhld.insurance.arkansas.gov/NPILookup?Npi=1083055800","1083055800")</f>
        <v>1083055800</v>
      </c>
      <c r="E9592" t="s">
        <v>14745</v>
      </c>
    </row>
    <row r="9593" spans="1:5" x14ac:dyDescent="0.25">
      <c r="A9593" t="s">
        <v>2</v>
      </c>
      <c r="B9593" t="s">
        <v>3458</v>
      </c>
      <c r="C9593" t="s">
        <v>23490</v>
      </c>
      <c r="D9593" t="str">
        <f>HYPERLINK("https://rhld.insurance.arkansas.gov/NPILookup?Npi=1083056386","1083056386")</f>
        <v>1083056386</v>
      </c>
      <c r="E9593" t="s">
        <v>280</v>
      </c>
    </row>
    <row r="9594" spans="1:5" x14ac:dyDescent="0.25">
      <c r="A9594" t="s">
        <v>2</v>
      </c>
      <c r="B9594" t="s">
        <v>3458</v>
      </c>
      <c r="C9594" t="s">
        <v>23490</v>
      </c>
      <c r="D9594" t="str">
        <f>HYPERLINK("https://rhld.insurance.arkansas.gov/NPILookup?Npi=1083065015","1083065015")</f>
        <v>1083065015</v>
      </c>
      <c r="E9594" t="s">
        <v>8468</v>
      </c>
    </row>
    <row r="9595" spans="1:5" x14ac:dyDescent="0.25">
      <c r="A9595" t="s">
        <v>2</v>
      </c>
      <c r="B9595" t="s">
        <v>3458</v>
      </c>
      <c r="C9595" t="s">
        <v>23490</v>
      </c>
      <c r="D9595" t="str">
        <f>HYPERLINK("https://rhld.insurance.arkansas.gov/NPILookup?Npi=1083065049","1083065049")</f>
        <v>1083065049</v>
      </c>
      <c r="E9595" t="s">
        <v>10636</v>
      </c>
    </row>
    <row r="9596" spans="1:5" x14ac:dyDescent="0.25">
      <c r="A9596" t="s">
        <v>2</v>
      </c>
      <c r="B9596" t="s">
        <v>3458</v>
      </c>
      <c r="C9596" t="s">
        <v>23490</v>
      </c>
      <c r="D9596" t="str">
        <f>HYPERLINK("https://rhld.insurance.arkansas.gov/NPILookup?Npi=1083068134","1083068134")</f>
        <v>1083068134</v>
      </c>
      <c r="E9596" t="s">
        <v>18918</v>
      </c>
    </row>
    <row r="9597" spans="1:5" x14ac:dyDescent="0.25">
      <c r="A9597" t="s">
        <v>2</v>
      </c>
      <c r="B9597" t="s">
        <v>3458</v>
      </c>
      <c r="C9597" t="s">
        <v>23490</v>
      </c>
      <c r="D9597" t="str">
        <f>HYPERLINK("https://rhld.insurance.arkansas.gov/NPILookup?Npi=1083071237","1083071237")</f>
        <v>1083071237</v>
      </c>
      <c r="E9597" t="s">
        <v>9240</v>
      </c>
    </row>
    <row r="9598" spans="1:5" x14ac:dyDescent="0.25">
      <c r="A9598" t="s">
        <v>2</v>
      </c>
      <c r="B9598" t="s">
        <v>3458</v>
      </c>
      <c r="C9598" t="s">
        <v>23490</v>
      </c>
      <c r="D9598" t="str">
        <f>HYPERLINK("https://rhld.insurance.arkansas.gov/NPILookup?Npi=1083072086","1083072086")</f>
        <v>1083072086</v>
      </c>
      <c r="E9598" t="s">
        <v>8469</v>
      </c>
    </row>
    <row r="9599" spans="1:5" x14ac:dyDescent="0.25">
      <c r="A9599" t="s">
        <v>2</v>
      </c>
      <c r="B9599" t="s">
        <v>3458</v>
      </c>
      <c r="C9599" t="s">
        <v>23490</v>
      </c>
      <c r="D9599" t="str">
        <f>HYPERLINK("https://rhld.insurance.arkansas.gov/NPILookup?Npi=1083106454","1083106454")</f>
        <v>1083106454</v>
      </c>
      <c r="E9599" t="s">
        <v>10032</v>
      </c>
    </row>
    <row r="9600" spans="1:5" x14ac:dyDescent="0.25">
      <c r="A9600" t="s">
        <v>2</v>
      </c>
      <c r="B9600" t="s">
        <v>3458</v>
      </c>
      <c r="C9600" t="s">
        <v>23490</v>
      </c>
      <c r="D9600" t="str">
        <f>HYPERLINK("https://rhld.insurance.arkansas.gov/NPILookup?Npi=1083116198","1083116198")</f>
        <v>1083116198</v>
      </c>
      <c r="E9600" t="s">
        <v>12956</v>
      </c>
    </row>
    <row r="9601" spans="1:5" x14ac:dyDescent="0.25">
      <c r="A9601" t="s">
        <v>2</v>
      </c>
      <c r="B9601" t="s">
        <v>3458</v>
      </c>
      <c r="C9601" t="s">
        <v>23490</v>
      </c>
      <c r="D9601" t="str">
        <f>HYPERLINK("https://rhld.insurance.arkansas.gov/NPILookup?Npi=1083116917","1083116917")</f>
        <v>1083116917</v>
      </c>
      <c r="E9601" t="s">
        <v>17917</v>
      </c>
    </row>
    <row r="9602" spans="1:5" x14ac:dyDescent="0.25">
      <c r="A9602" t="s">
        <v>2</v>
      </c>
      <c r="B9602" t="s">
        <v>3458</v>
      </c>
      <c r="C9602" t="s">
        <v>23490</v>
      </c>
      <c r="D9602" t="str">
        <f>HYPERLINK("https://rhld.insurance.arkansas.gov/NPILookup?Npi=1083127161","1083127161")</f>
        <v>1083127161</v>
      </c>
      <c r="E9602" t="s">
        <v>12771</v>
      </c>
    </row>
    <row r="9603" spans="1:5" x14ac:dyDescent="0.25">
      <c r="A9603" t="s">
        <v>2</v>
      </c>
      <c r="B9603" t="s">
        <v>3458</v>
      </c>
      <c r="C9603" t="s">
        <v>23490</v>
      </c>
      <c r="D9603" t="str">
        <f>HYPERLINK("https://rhld.insurance.arkansas.gov/NPILookup?Npi=1083129670","1083129670")</f>
        <v>1083129670</v>
      </c>
      <c r="E9603" t="s">
        <v>12957</v>
      </c>
    </row>
    <row r="9604" spans="1:5" x14ac:dyDescent="0.25">
      <c r="A9604" t="s">
        <v>2</v>
      </c>
      <c r="B9604" t="s">
        <v>3458</v>
      </c>
      <c r="C9604" t="s">
        <v>23490</v>
      </c>
      <c r="D9604" t="str">
        <f>HYPERLINK("https://rhld.insurance.arkansas.gov/NPILookup?Npi=1083143580","1083143580")</f>
        <v>1083143580</v>
      </c>
      <c r="E9604" t="s">
        <v>20886</v>
      </c>
    </row>
    <row r="9605" spans="1:5" x14ac:dyDescent="0.25">
      <c r="A9605" t="s">
        <v>2</v>
      </c>
      <c r="B9605" t="s">
        <v>3458</v>
      </c>
      <c r="C9605" t="s">
        <v>23490</v>
      </c>
      <c r="D9605" t="str">
        <f>HYPERLINK("https://rhld.insurance.arkansas.gov/NPILookup?Npi=1083146617","1083146617")</f>
        <v>1083146617</v>
      </c>
      <c r="E9605" t="s">
        <v>10637</v>
      </c>
    </row>
    <row r="9606" spans="1:5" x14ac:dyDescent="0.25">
      <c r="A9606" t="s">
        <v>2</v>
      </c>
      <c r="B9606" t="s">
        <v>3458</v>
      </c>
      <c r="C9606" t="s">
        <v>23490</v>
      </c>
      <c r="D9606" t="str">
        <f>HYPERLINK("https://rhld.insurance.arkansas.gov/NPILookup?Npi=1083150304","1083150304")</f>
        <v>1083150304</v>
      </c>
      <c r="E9606" t="s">
        <v>10639</v>
      </c>
    </row>
    <row r="9607" spans="1:5" x14ac:dyDescent="0.25">
      <c r="A9607" t="s">
        <v>2</v>
      </c>
      <c r="B9607" t="s">
        <v>3458</v>
      </c>
      <c r="C9607" t="s">
        <v>23490</v>
      </c>
      <c r="D9607" t="str">
        <f>HYPERLINK("https://rhld.insurance.arkansas.gov/NPILookup?Npi=1083152821","1083152821")</f>
        <v>1083152821</v>
      </c>
      <c r="E9607" t="s">
        <v>13358</v>
      </c>
    </row>
    <row r="9608" spans="1:5" x14ac:dyDescent="0.25">
      <c r="A9608" t="s">
        <v>2</v>
      </c>
      <c r="B9608" t="s">
        <v>3458</v>
      </c>
      <c r="C9608" t="s">
        <v>23490</v>
      </c>
      <c r="D9608" t="str">
        <f>HYPERLINK("https://rhld.insurance.arkansas.gov/NPILookup?Npi=1083154512","1083154512")</f>
        <v>1083154512</v>
      </c>
      <c r="E9608" t="s">
        <v>10640</v>
      </c>
    </row>
    <row r="9609" spans="1:5" x14ac:dyDescent="0.25">
      <c r="A9609" t="s">
        <v>2</v>
      </c>
      <c r="B9609" t="s">
        <v>3458</v>
      </c>
      <c r="C9609" t="s">
        <v>23490</v>
      </c>
      <c r="D9609" t="str">
        <f>HYPERLINK("https://rhld.insurance.arkansas.gov/NPILookup?Npi=1083163638","1083163638")</f>
        <v>1083163638</v>
      </c>
      <c r="E9609" t="s">
        <v>10641</v>
      </c>
    </row>
    <row r="9610" spans="1:5" x14ac:dyDescent="0.25">
      <c r="A9610" t="s">
        <v>2</v>
      </c>
      <c r="B9610" t="s">
        <v>3458</v>
      </c>
      <c r="C9610" t="s">
        <v>23490</v>
      </c>
      <c r="D9610" t="str">
        <f>HYPERLINK("https://rhld.insurance.arkansas.gov/NPILookup?Npi=1083174502","1083174502")</f>
        <v>1083174502</v>
      </c>
      <c r="E9610" t="s">
        <v>18661</v>
      </c>
    </row>
    <row r="9611" spans="1:5" x14ac:dyDescent="0.25">
      <c r="A9611" t="s">
        <v>2</v>
      </c>
      <c r="B9611" t="s">
        <v>3458</v>
      </c>
      <c r="C9611" t="s">
        <v>23490</v>
      </c>
      <c r="D9611" t="str">
        <f>HYPERLINK("https://rhld.insurance.arkansas.gov/NPILookup?Npi=1083182968","1083182968")</f>
        <v>1083182968</v>
      </c>
      <c r="E9611" t="s">
        <v>14746</v>
      </c>
    </row>
    <row r="9612" spans="1:5" x14ac:dyDescent="0.25">
      <c r="A9612" t="s">
        <v>2</v>
      </c>
      <c r="B9612" t="s">
        <v>3458</v>
      </c>
      <c r="C9612" t="s">
        <v>8427</v>
      </c>
      <c r="D9612" t="str">
        <f>HYPERLINK("https://rhld.insurance.arkansas.gov/NPILookup?Npi=1083190318","1083190318")</f>
        <v>1083190318</v>
      </c>
      <c r="E9612" t="s">
        <v>22888</v>
      </c>
    </row>
    <row r="9613" spans="1:5" x14ac:dyDescent="0.25">
      <c r="A9613" t="s">
        <v>2</v>
      </c>
      <c r="B9613" t="s">
        <v>3458</v>
      </c>
      <c r="C9613" t="s">
        <v>23490</v>
      </c>
      <c r="D9613" t="str">
        <f>HYPERLINK("https://rhld.insurance.arkansas.gov/NPILookup?Npi=1083227128","1083227128")</f>
        <v>1083227128</v>
      </c>
      <c r="E9613" t="s">
        <v>18662</v>
      </c>
    </row>
    <row r="9614" spans="1:5" x14ac:dyDescent="0.25">
      <c r="A9614" t="s">
        <v>2</v>
      </c>
      <c r="B9614" t="s">
        <v>3458</v>
      </c>
      <c r="C9614" t="s">
        <v>23490</v>
      </c>
      <c r="D9614" t="str">
        <f>HYPERLINK("https://rhld.insurance.arkansas.gov/NPILookup?Npi=1083231807","1083231807")</f>
        <v>1083231807</v>
      </c>
      <c r="E9614" t="s">
        <v>20888</v>
      </c>
    </row>
    <row r="9615" spans="1:5" x14ac:dyDescent="0.25">
      <c r="A9615" t="s">
        <v>2</v>
      </c>
      <c r="B9615" t="s">
        <v>3458</v>
      </c>
      <c r="C9615" t="s">
        <v>23490</v>
      </c>
      <c r="D9615" t="str">
        <f>HYPERLINK("https://rhld.insurance.arkansas.gov/NPILookup?Npi=1083268486","1083268486")</f>
        <v>1083268486</v>
      </c>
      <c r="E9615" t="s">
        <v>14747</v>
      </c>
    </row>
    <row r="9616" spans="1:5" x14ac:dyDescent="0.25">
      <c r="A9616" t="s">
        <v>2</v>
      </c>
      <c r="B9616" t="s">
        <v>3458</v>
      </c>
      <c r="C9616" t="s">
        <v>23490</v>
      </c>
      <c r="D9616" t="str">
        <f>HYPERLINK("https://rhld.insurance.arkansas.gov/NPILookup?Npi=1083281562","1083281562")</f>
        <v>1083281562</v>
      </c>
      <c r="E9616" t="s">
        <v>18663</v>
      </c>
    </row>
    <row r="9617" spans="1:5" x14ac:dyDescent="0.25">
      <c r="A9617" t="s">
        <v>2</v>
      </c>
      <c r="B9617" t="s">
        <v>3458</v>
      </c>
      <c r="C9617" t="s">
        <v>23490</v>
      </c>
      <c r="D9617" t="str">
        <f>HYPERLINK("https://rhld.insurance.arkansas.gov/NPILookup?Npi=1083284780","1083284780")</f>
        <v>1083284780</v>
      </c>
      <c r="E9617" t="s">
        <v>20223</v>
      </c>
    </row>
    <row r="9618" spans="1:5" x14ac:dyDescent="0.25">
      <c r="A9618" t="s">
        <v>2</v>
      </c>
      <c r="B9618" t="s">
        <v>3458</v>
      </c>
      <c r="C9618" t="s">
        <v>23490</v>
      </c>
      <c r="D9618" t="str">
        <f>HYPERLINK("https://rhld.insurance.arkansas.gov/NPILookup?Npi=1083297741","1083297741")</f>
        <v>1083297741</v>
      </c>
      <c r="E9618" t="s">
        <v>18664</v>
      </c>
    </row>
    <row r="9619" spans="1:5" x14ac:dyDescent="0.25">
      <c r="A9619" t="s">
        <v>2</v>
      </c>
      <c r="B9619" t="s">
        <v>3458</v>
      </c>
      <c r="C9619" t="s">
        <v>23490</v>
      </c>
      <c r="D9619" t="str">
        <f>HYPERLINK("https://rhld.insurance.arkansas.gov/NPILookup?Npi=1083336382","1083336382")</f>
        <v>1083336382</v>
      </c>
      <c r="E9619" t="s">
        <v>21460</v>
      </c>
    </row>
    <row r="9620" spans="1:5" x14ac:dyDescent="0.25">
      <c r="A9620" t="s">
        <v>2</v>
      </c>
      <c r="B9620" t="s">
        <v>3458</v>
      </c>
      <c r="C9620" t="s">
        <v>8427</v>
      </c>
      <c r="D9620" t="str">
        <f>HYPERLINK("https://rhld.insurance.arkansas.gov/NPILookup?Npi=1083347256","1083347256")</f>
        <v>1083347256</v>
      </c>
      <c r="E9620" t="s">
        <v>22889</v>
      </c>
    </row>
    <row r="9621" spans="1:5" x14ac:dyDescent="0.25">
      <c r="A9621" t="s">
        <v>2</v>
      </c>
      <c r="B9621" t="s">
        <v>3458</v>
      </c>
      <c r="C9621" t="s">
        <v>23490</v>
      </c>
      <c r="D9621" t="str">
        <f>HYPERLINK("https://rhld.insurance.arkansas.gov/NPILookup?Npi=1083361604","1083361604")</f>
        <v>1083361604</v>
      </c>
      <c r="E9621" t="s">
        <v>19407</v>
      </c>
    </row>
    <row r="9622" spans="1:5" x14ac:dyDescent="0.25">
      <c r="A9622" t="s">
        <v>2</v>
      </c>
      <c r="B9622" t="s">
        <v>3458</v>
      </c>
      <c r="C9622" t="s">
        <v>23490</v>
      </c>
      <c r="D9622" t="str">
        <f>HYPERLINK("https://rhld.insurance.arkansas.gov/NPILookup?Npi=1083368351","1083368351")</f>
        <v>1083368351</v>
      </c>
      <c r="E9622" t="s">
        <v>19408</v>
      </c>
    </row>
    <row r="9623" spans="1:5" x14ac:dyDescent="0.25">
      <c r="A9623" t="s">
        <v>2</v>
      </c>
      <c r="B9623" t="s">
        <v>3458</v>
      </c>
      <c r="C9623" t="s">
        <v>23490</v>
      </c>
      <c r="D9623" t="str">
        <f>HYPERLINK("https://rhld.insurance.arkansas.gov/NPILookup?Npi=1083370100","1083370100")</f>
        <v>1083370100</v>
      </c>
      <c r="E9623" t="s">
        <v>19409</v>
      </c>
    </row>
    <row r="9624" spans="1:5" x14ac:dyDescent="0.25">
      <c r="A9624" t="s">
        <v>2</v>
      </c>
      <c r="B9624" t="s">
        <v>3458</v>
      </c>
      <c r="C9624" t="s">
        <v>23490</v>
      </c>
      <c r="D9624" t="str">
        <f>HYPERLINK("https://rhld.insurance.arkansas.gov/NPILookup?Npi=1083371686","1083371686")</f>
        <v>1083371686</v>
      </c>
      <c r="E9624" t="s">
        <v>20889</v>
      </c>
    </row>
    <row r="9625" spans="1:5" x14ac:dyDescent="0.25">
      <c r="A9625" t="s">
        <v>2</v>
      </c>
      <c r="B9625" t="s">
        <v>3458</v>
      </c>
      <c r="C9625" t="s">
        <v>23490</v>
      </c>
      <c r="D9625" t="str">
        <f>HYPERLINK("https://rhld.insurance.arkansas.gov/NPILookup?Npi=1083601538","1083601538")</f>
        <v>1083601538</v>
      </c>
      <c r="E9625" t="s">
        <v>14748</v>
      </c>
    </row>
    <row r="9626" spans="1:5" x14ac:dyDescent="0.25">
      <c r="A9626" t="s">
        <v>2</v>
      </c>
      <c r="B9626" t="s">
        <v>3458</v>
      </c>
      <c r="C9626" t="s">
        <v>23490</v>
      </c>
      <c r="D9626" t="str">
        <f>HYPERLINK("https://rhld.insurance.arkansas.gov/NPILookup?Npi=1083602825","1083602825")</f>
        <v>1083602825</v>
      </c>
      <c r="E9626" t="s">
        <v>281</v>
      </c>
    </row>
    <row r="9627" spans="1:5" x14ac:dyDescent="0.25">
      <c r="A9627" t="s">
        <v>2</v>
      </c>
      <c r="B9627" t="s">
        <v>3458</v>
      </c>
      <c r="C9627" t="s">
        <v>23490</v>
      </c>
      <c r="D9627" t="str">
        <f>HYPERLINK("https://rhld.insurance.arkansas.gov/NPILookup?Npi=1083603369","1083603369")</f>
        <v>1083603369</v>
      </c>
      <c r="E9627" t="s">
        <v>282</v>
      </c>
    </row>
    <row r="9628" spans="1:5" x14ac:dyDescent="0.25">
      <c r="A9628" t="s">
        <v>2</v>
      </c>
      <c r="B9628" t="s">
        <v>3458</v>
      </c>
      <c r="C9628" t="s">
        <v>23490</v>
      </c>
      <c r="D9628" t="str">
        <f>HYPERLINK("https://rhld.insurance.arkansas.gov/NPILookup?Npi=1083611057","1083611057")</f>
        <v>1083611057</v>
      </c>
      <c r="E9628" t="s">
        <v>283</v>
      </c>
    </row>
    <row r="9629" spans="1:5" x14ac:dyDescent="0.25">
      <c r="A9629" t="s">
        <v>2</v>
      </c>
      <c r="B9629" t="s">
        <v>3458</v>
      </c>
      <c r="C9629" t="s">
        <v>23490</v>
      </c>
      <c r="D9629" t="str">
        <f>HYPERLINK("https://rhld.insurance.arkansas.gov/NPILookup?Npi=1083613210","1083613210")</f>
        <v>1083613210</v>
      </c>
      <c r="E9629" t="s">
        <v>14749</v>
      </c>
    </row>
    <row r="9630" spans="1:5" x14ac:dyDescent="0.25">
      <c r="A9630" t="s">
        <v>2</v>
      </c>
      <c r="B9630" t="s">
        <v>3458</v>
      </c>
      <c r="C9630" t="s">
        <v>23490</v>
      </c>
      <c r="D9630" t="str">
        <f>HYPERLINK("https://rhld.insurance.arkansas.gov/NPILookup?Npi=1083615348","1083615348")</f>
        <v>1083615348</v>
      </c>
      <c r="E9630" t="s">
        <v>284</v>
      </c>
    </row>
    <row r="9631" spans="1:5" x14ac:dyDescent="0.25">
      <c r="A9631" t="s">
        <v>2</v>
      </c>
      <c r="B9631" t="s">
        <v>3458</v>
      </c>
      <c r="C9631" t="s">
        <v>23490</v>
      </c>
      <c r="D9631" t="str">
        <f>HYPERLINK("https://rhld.insurance.arkansas.gov/NPILookup?Npi=1083616080","1083616080")</f>
        <v>1083616080</v>
      </c>
      <c r="E9631" t="s">
        <v>285</v>
      </c>
    </row>
    <row r="9632" spans="1:5" x14ac:dyDescent="0.25">
      <c r="A9632" t="s">
        <v>2</v>
      </c>
      <c r="B9632" t="s">
        <v>3458</v>
      </c>
      <c r="C9632" t="s">
        <v>23490</v>
      </c>
      <c r="D9632" t="str">
        <f>HYPERLINK("https://rhld.insurance.arkansas.gov/NPILookup?Npi=1083618953","1083618953")</f>
        <v>1083618953</v>
      </c>
      <c r="E9632" t="s">
        <v>286</v>
      </c>
    </row>
    <row r="9633" spans="1:5" x14ac:dyDescent="0.25">
      <c r="A9633" t="s">
        <v>2</v>
      </c>
      <c r="B9633" t="s">
        <v>3458</v>
      </c>
      <c r="C9633" t="s">
        <v>23490</v>
      </c>
      <c r="D9633" t="str">
        <f>HYPERLINK("https://rhld.insurance.arkansas.gov/NPILookup?Npi=1083626493","1083626493")</f>
        <v>1083626493</v>
      </c>
      <c r="E9633" t="s">
        <v>288</v>
      </c>
    </row>
    <row r="9634" spans="1:5" x14ac:dyDescent="0.25">
      <c r="A9634" t="s">
        <v>2</v>
      </c>
      <c r="B9634" t="s">
        <v>3458</v>
      </c>
      <c r="C9634" t="s">
        <v>23490</v>
      </c>
      <c r="D9634" t="str">
        <f>HYPERLINK("https://rhld.insurance.arkansas.gov/NPILookup?Npi=1083626998","1083626998")</f>
        <v>1083626998</v>
      </c>
      <c r="E9634" t="s">
        <v>289</v>
      </c>
    </row>
    <row r="9635" spans="1:5" x14ac:dyDescent="0.25">
      <c r="A9635" t="s">
        <v>2</v>
      </c>
      <c r="B9635" t="s">
        <v>3458</v>
      </c>
      <c r="C9635" t="s">
        <v>23490</v>
      </c>
      <c r="D9635" t="str">
        <f>HYPERLINK("https://rhld.insurance.arkansas.gov/NPILookup?Npi=1083635577","1083635577")</f>
        <v>1083635577</v>
      </c>
      <c r="E9635" t="s">
        <v>8471</v>
      </c>
    </row>
    <row r="9636" spans="1:5" x14ac:dyDescent="0.25">
      <c r="A9636" t="s">
        <v>2</v>
      </c>
      <c r="B9636" t="s">
        <v>3458</v>
      </c>
      <c r="C9636" t="s">
        <v>23490</v>
      </c>
      <c r="D9636" t="str">
        <f>HYPERLINK("https://rhld.insurance.arkansas.gov/NPILookup?Npi=1083641252","1083641252")</f>
        <v>1083641252</v>
      </c>
      <c r="E9636" t="s">
        <v>8472</v>
      </c>
    </row>
    <row r="9637" spans="1:5" x14ac:dyDescent="0.25">
      <c r="A9637" t="s">
        <v>2</v>
      </c>
      <c r="B9637" t="s">
        <v>3458</v>
      </c>
      <c r="C9637" t="s">
        <v>23490</v>
      </c>
      <c r="D9637" t="str">
        <f>HYPERLINK("https://rhld.insurance.arkansas.gov/NPILookup?Npi=1083642375","1083642375")</f>
        <v>1083642375</v>
      </c>
      <c r="E9637" t="s">
        <v>20224</v>
      </c>
    </row>
    <row r="9638" spans="1:5" x14ac:dyDescent="0.25">
      <c r="A9638" t="s">
        <v>2</v>
      </c>
      <c r="B9638" t="s">
        <v>3458</v>
      </c>
      <c r="C9638" t="s">
        <v>23490</v>
      </c>
      <c r="D9638" t="str">
        <f>HYPERLINK("https://rhld.insurance.arkansas.gov/NPILookup?Npi=1083643506","1083643506")</f>
        <v>1083643506</v>
      </c>
      <c r="E9638" t="s">
        <v>290</v>
      </c>
    </row>
    <row r="9639" spans="1:5" x14ac:dyDescent="0.25">
      <c r="A9639" t="s">
        <v>2</v>
      </c>
      <c r="B9639" t="s">
        <v>3458</v>
      </c>
      <c r="C9639" t="s">
        <v>23490</v>
      </c>
      <c r="D9639" t="str">
        <f>HYPERLINK("https://rhld.insurance.arkansas.gov/NPILookup?Npi=1083651343","1083651343")</f>
        <v>1083651343</v>
      </c>
      <c r="E9639" t="s">
        <v>291</v>
      </c>
    </row>
    <row r="9640" spans="1:5" x14ac:dyDescent="0.25">
      <c r="A9640" t="s">
        <v>2</v>
      </c>
      <c r="B9640" t="s">
        <v>3458</v>
      </c>
      <c r="C9640" t="s">
        <v>23490</v>
      </c>
      <c r="D9640" t="str">
        <f>HYPERLINK("https://rhld.insurance.arkansas.gov/NPILookup?Npi=1083653620","1083653620")</f>
        <v>1083653620</v>
      </c>
      <c r="E9640" t="s">
        <v>3501</v>
      </c>
    </row>
    <row r="9641" spans="1:5" x14ac:dyDescent="0.25">
      <c r="A9641" t="s">
        <v>2</v>
      </c>
      <c r="B9641" t="s">
        <v>3458</v>
      </c>
      <c r="C9641" t="s">
        <v>23490</v>
      </c>
      <c r="D9641" t="str">
        <f>HYPERLINK("https://rhld.insurance.arkansas.gov/NPILookup?Npi=1083664890","1083664890")</f>
        <v>1083664890</v>
      </c>
      <c r="E9641" t="s">
        <v>294</v>
      </c>
    </row>
    <row r="9642" spans="1:5" x14ac:dyDescent="0.25">
      <c r="A9642" t="s">
        <v>2</v>
      </c>
      <c r="B9642" t="s">
        <v>3458</v>
      </c>
      <c r="C9642" t="s">
        <v>23490</v>
      </c>
      <c r="D9642" t="str">
        <f>HYPERLINK("https://rhld.insurance.arkansas.gov/NPILookup?Npi=1083666234","1083666234")</f>
        <v>1083666234</v>
      </c>
      <c r="E9642" t="s">
        <v>295</v>
      </c>
    </row>
    <row r="9643" spans="1:5" x14ac:dyDescent="0.25">
      <c r="A9643" t="s">
        <v>2</v>
      </c>
      <c r="B9643" t="s">
        <v>3458</v>
      </c>
      <c r="C9643" t="s">
        <v>23490</v>
      </c>
      <c r="D9643" t="str">
        <f>HYPERLINK("https://rhld.insurance.arkansas.gov/NPILookup?Npi=1083667232","1083667232")</f>
        <v>1083667232</v>
      </c>
      <c r="E9643" t="s">
        <v>3502</v>
      </c>
    </row>
    <row r="9644" spans="1:5" x14ac:dyDescent="0.25">
      <c r="A9644" t="s">
        <v>2</v>
      </c>
      <c r="B9644" t="s">
        <v>3458</v>
      </c>
      <c r="C9644" t="s">
        <v>23490</v>
      </c>
      <c r="D9644" t="str">
        <f>HYPERLINK("https://rhld.insurance.arkansas.gov/NPILookup?Npi=1083669329","1083669329")</f>
        <v>1083669329</v>
      </c>
      <c r="E9644" t="s">
        <v>3503</v>
      </c>
    </row>
    <row r="9645" spans="1:5" x14ac:dyDescent="0.25">
      <c r="A9645" t="s">
        <v>2</v>
      </c>
      <c r="B9645" t="s">
        <v>3458</v>
      </c>
      <c r="C9645" t="s">
        <v>23490</v>
      </c>
      <c r="D9645" t="str">
        <f>HYPERLINK("https://rhld.insurance.arkansas.gov/NPILookup?Npi=1083670095","1083670095")</f>
        <v>1083670095</v>
      </c>
      <c r="E9645" t="s">
        <v>12772</v>
      </c>
    </row>
    <row r="9646" spans="1:5" x14ac:dyDescent="0.25">
      <c r="A9646" t="s">
        <v>2</v>
      </c>
      <c r="B9646" t="s">
        <v>3458</v>
      </c>
      <c r="C9646" t="s">
        <v>23490</v>
      </c>
      <c r="D9646" t="str">
        <f>HYPERLINK("https://rhld.insurance.arkansas.gov/NPILookup?Npi=1083670566","1083670566")</f>
        <v>1083670566</v>
      </c>
      <c r="E9646" t="s">
        <v>296</v>
      </c>
    </row>
    <row r="9647" spans="1:5" x14ac:dyDescent="0.25">
      <c r="A9647" t="s">
        <v>2</v>
      </c>
      <c r="B9647" t="s">
        <v>3458</v>
      </c>
      <c r="C9647" t="s">
        <v>23490</v>
      </c>
      <c r="D9647" t="str">
        <f>HYPERLINK("https://rhld.insurance.arkansas.gov/NPILookup?Npi=1083670830","1083670830")</f>
        <v>1083670830</v>
      </c>
      <c r="E9647" t="s">
        <v>297</v>
      </c>
    </row>
    <row r="9648" spans="1:5" x14ac:dyDescent="0.25">
      <c r="A9648" t="s">
        <v>2</v>
      </c>
      <c r="B9648" t="s">
        <v>3458</v>
      </c>
      <c r="C9648" t="s">
        <v>23490</v>
      </c>
      <c r="D9648" t="str">
        <f>HYPERLINK("https://rhld.insurance.arkansas.gov/NPILookup?Npi=1083675284","1083675284")</f>
        <v>1083675284</v>
      </c>
      <c r="E9648" t="s">
        <v>298</v>
      </c>
    </row>
    <row r="9649" spans="1:5" x14ac:dyDescent="0.25">
      <c r="A9649" t="s">
        <v>2</v>
      </c>
      <c r="B9649" t="s">
        <v>3458</v>
      </c>
      <c r="C9649" t="s">
        <v>23490</v>
      </c>
      <c r="D9649" t="str">
        <f>HYPERLINK("https://rhld.insurance.arkansas.gov/NPILookup?Npi=1083680862","1083680862")</f>
        <v>1083680862</v>
      </c>
      <c r="E9649" t="s">
        <v>299</v>
      </c>
    </row>
    <row r="9650" spans="1:5" x14ac:dyDescent="0.25">
      <c r="A9650" t="s">
        <v>2</v>
      </c>
      <c r="B9650" t="s">
        <v>3458</v>
      </c>
      <c r="C9650" t="s">
        <v>23490</v>
      </c>
      <c r="D9650" t="str">
        <f>HYPERLINK("https://rhld.insurance.arkansas.gov/NPILookup?Npi=1083685416","1083685416")</f>
        <v>1083685416</v>
      </c>
      <c r="E9650" t="s">
        <v>300</v>
      </c>
    </row>
    <row r="9651" spans="1:5" x14ac:dyDescent="0.25">
      <c r="A9651" t="s">
        <v>2</v>
      </c>
      <c r="B9651" t="s">
        <v>3458</v>
      </c>
      <c r="C9651" t="s">
        <v>23490</v>
      </c>
      <c r="D9651" t="str">
        <f>HYPERLINK("https://rhld.insurance.arkansas.gov/NPILookup?Npi=1083689855","1083689855")</f>
        <v>1083689855</v>
      </c>
      <c r="E9651" t="s">
        <v>301</v>
      </c>
    </row>
    <row r="9652" spans="1:5" x14ac:dyDescent="0.25">
      <c r="A9652" t="s">
        <v>2</v>
      </c>
      <c r="B9652" t="s">
        <v>3458</v>
      </c>
      <c r="C9652" t="s">
        <v>23490</v>
      </c>
      <c r="D9652" t="str">
        <f>HYPERLINK("https://rhld.insurance.arkansas.gov/NPILookup?Npi=1083691760","1083691760")</f>
        <v>1083691760</v>
      </c>
      <c r="E9652" t="s">
        <v>3504</v>
      </c>
    </row>
    <row r="9653" spans="1:5" x14ac:dyDescent="0.25">
      <c r="A9653" t="s">
        <v>2</v>
      </c>
      <c r="B9653" t="s">
        <v>3458</v>
      </c>
      <c r="C9653" t="s">
        <v>23490</v>
      </c>
      <c r="D9653" t="str">
        <f>HYPERLINK("https://rhld.insurance.arkansas.gov/NPILookup?Npi=1083694806","1083694806")</f>
        <v>1083694806</v>
      </c>
      <c r="E9653" t="s">
        <v>10642</v>
      </c>
    </row>
    <row r="9654" spans="1:5" x14ac:dyDescent="0.25">
      <c r="A9654" t="s">
        <v>2</v>
      </c>
      <c r="B9654" t="s">
        <v>3458</v>
      </c>
      <c r="C9654" t="s">
        <v>23490</v>
      </c>
      <c r="D9654" t="str">
        <f>HYPERLINK("https://rhld.insurance.arkansas.gov/NPILookup?Npi=1083703896","1083703896")</f>
        <v>1083703896</v>
      </c>
      <c r="E9654" t="s">
        <v>303</v>
      </c>
    </row>
    <row r="9655" spans="1:5" x14ac:dyDescent="0.25">
      <c r="A9655" t="s">
        <v>2</v>
      </c>
      <c r="B9655" t="s">
        <v>3458</v>
      </c>
      <c r="C9655" t="s">
        <v>23490</v>
      </c>
      <c r="D9655" t="str">
        <f>HYPERLINK("https://rhld.insurance.arkansas.gov/NPILookup?Npi=1083712202","1083712202")</f>
        <v>1083712202</v>
      </c>
      <c r="E9655" t="s">
        <v>14750</v>
      </c>
    </row>
    <row r="9656" spans="1:5" x14ac:dyDescent="0.25">
      <c r="A9656" t="s">
        <v>2</v>
      </c>
      <c r="B9656" t="s">
        <v>3458</v>
      </c>
      <c r="C9656" t="s">
        <v>23490</v>
      </c>
      <c r="D9656" t="str">
        <f>HYPERLINK("https://rhld.insurance.arkansas.gov/NPILookup?Npi=1083719199","1083719199")</f>
        <v>1083719199</v>
      </c>
      <c r="E9656" t="s">
        <v>305</v>
      </c>
    </row>
    <row r="9657" spans="1:5" x14ac:dyDescent="0.25">
      <c r="A9657" t="s">
        <v>2</v>
      </c>
      <c r="B9657" t="s">
        <v>3458</v>
      </c>
      <c r="C9657" t="s">
        <v>23490</v>
      </c>
      <c r="D9657" t="str">
        <f>HYPERLINK("https://rhld.insurance.arkansas.gov/NPILookup?Npi=1083741425","1083741425")</f>
        <v>1083741425</v>
      </c>
      <c r="E9657" t="s">
        <v>15803</v>
      </c>
    </row>
    <row r="9658" spans="1:5" x14ac:dyDescent="0.25">
      <c r="A9658" t="s">
        <v>2</v>
      </c>
      <c r="B9658" t="s">
        <v>3458</v>
      </c>
      <c r="C9658" t="s">
        <v>23490</v>
      </c>
      <c r="D9658" t="str">
        <f>HYPERLINK("https://rhld.insurance.arkansas.gov/NPILookup?Npi=1083756803","1083756803")</f>
        <v>1083756803</v>
      </c>
      <c r="E9658" t="s">
        <v>306</v>
      </c>
    </row>
    <row r="9659" spans="1:5" x14ac:dyDescent="0.25">
      <c r="A9659" t="s">
        <v>2</v>
      </c>
      <c r="B9659" t="s">
        <v>3458</v>
      </c>
      <c r="C9659" t="s">
        <v>23490</v>
      </c>
      <c r="D9659" t="str">
        <f>HYPERLINK("https://rhld.insurance.arkansas.gov/NPILookup?Npi=1083757660","1083757660")</f>
        <v>1083757660</v>
      </c>
      <c r="E9659" t="s">
        <v>14751</v>
      </c>
    </row>
    <row r="9660" spans="1:5" x14ac:dyDescent="0.25">
      <c r="A9660" t="s">
        <v>2</v>
      </c>
      <c r="B9660" t="s">
        <v>3458</v>
      </c>
      <c r="C9660" t="s">
        <v>23490</v>
      </c>
      <c r="D9660" t="str">
        <f>HYPERLINK("https://rhld.insurance.arkansas.gov/NPILookup?Npi=1083768618","1083768618")</f>
        <v>1083768618</v>
      </c>
      <c r="E9660" t="s">
        <v>2588</v>
      </c>
    </row>
    <row r="9661" spans="1:5" x14ac:dyDescent="0.25">
      <c r="A9661" t="s">
        <v>2</v>
      </c>
      <c r="B9661" t="s">
        <v>3458</v>
      </c>
      <c r="C9661" t="s">
        <v>23490</v>
      </c>
      <c r="D9661" t="str">
        <f>HYPERLINK("https://rhld.insurance.arkansas.gov/NPILookup?Npi=1083779235","1083779235")</f>
        <v>1083779235</v>
      </c>
      <c r="E9661" t="s">
        <v>307</v>
      </c>
    </row>
    <row r="9662" spans="1:5" x14ac:dyDescent="0.25">
      <c r="A9662" t="s">
        <v>2</v>
      </c>
      <c r="B9662" t="s">
        <v>3458</v>
      </c>
      <c r="C9662" t="s">
        <v>23490</v>
      </c>
      <c r="D9662" t="str">
        <f>HYPERLINK("https://rhld.insurance.arkansas.gov/NPILookup?Npi=1083783187","1083783187")</f>
        <v>1083783187</v>
      </c>
      <c r="E9662" t="s">
        <v>308</v>
      </c>
    </row>
    <row r="9663" spans="1:5" x14ac:dyDescent="0.25">
      <c r="A9663" t="s">
        <v>2</v>
      </c>
      <c r="B9663" t="s">
        <v>3458</v>
      </c>
      <c r="C9663" t="s">
        <v>23490</v>
      </c>
      <c r="D9663" t="str">
        <f>HYPERLINK("https://rhld.insurance.arkansas.gov/NPILookup?Npi=1083795215","1083795215")</f>
        <v>1083795215</v>
      </c>
      <c r="E9663" t="s">
        <v>12773</v>
      </c>
    </row>
    <row r="9664" spans="1:5" x14ac:dyDescent="0.25">
      <c r="A9664" t="s">
        <v>2</v>
      </c>
      <c r="B9664" t="s">
        <v>3458</v>
      </c>
      <c r="C9664" t="s">
        <v>23490</v>
      </c>
      <c r="D9664" t="str">
        <f>HYPERLINK("https://rhld.insurance.arkansas.gov/NPILookup?Npi=1083808067","1083808067")</f>
        <v>1083808067</v>
      </c>
      <c r="E9664" t="s">
        <v>309</v>
      </c>
    </row>
    <row r="9665" spans="1:5" x14ac:dyDescent="0.25">
      <c r="A9665" t="s">
        <v>2</v>
      </c>
      <c r="B9665" t="s">
        <v>3458</v>
      </c>
      <c r="C9665" t="s">
        <v>23490</v>
      </c>
      <c r="D9665" t="str">
        <f>HYPERLINK("https://rhld.insurance.arkansas.gov/NPILookup?Npi=1083849772","1083849772")</f>
        <v>1083849772</v>
      </c>
      <c r="E9665" t="s">
        <v>311</v>
      </c>
    </row>
    <row r="9666" spans="1:5" x14ac:dyDescent="0.25">
      <c r="A9666" t="s">
        <v>2</v>
      </c>
      <c r="B9666" t="s">
        <v>3458</v>
      </c>
      <c r="C9666" t="s">
        <v>23490</v>
      </c>
      <c r="D9666" t="str">
        <f>HYPERLINK("https://rhld.insurance.arkansas.gov/NPILookup?Npi=1083873590","1083873590")</f>
        <v>1083873590</v>
      </c>
      <c r="E9666" t="s">
        <v>312</v>
      </c>
    </row>
    <row r="9667" spans="1:5" x14ac:dyDescent="0.25">
      <c r="A9667" t="s">
        <v>2</v>
      </c>
      <c r="B9667" t="s">
        <v>3458</v>
      </c>
      <c r="C9667" t="s">
        <v>23490</v>
      </c>
      <c r="D9667" t="str">
        <f>HYPERLINK("https://rhld.insurance.arkansas.gov/NPILookup?Npi=1083875066","1083875066")</f>
        <v>1083875066</v>
      </c>
      <c r="E9667" t="s">
        <v>3505</v>
      </c>
    </row>
    <row r="9668" spans="1:5" x14ac:dyDescent="0.25">
      <c r="A9668" t="s">
        <v>2</v>
      </c>
      <c r="B9668" t="s">
        <v>3458</v>
      </c>
      <c r="C9668" t="s">
        <v>23490</v>
      </c>
      <c r="D9668" t="str">
        <f>HYPERLINK("https://rhld.insurance.arkansas.gov/NPILookup?Npi=1083893036","1083893036")</f>
        <v>1083893036</v>
      </c>
      <c r="E9668" t="s">
        <v>314</v>
      </c>
    </row>
    <row r="9669" spans="1:5" x14ac:dyDescent="0.25">
      <c r="A9669" t="s">
        <v>2</v>
      </c>
      <c r="B9669" t="s">
        <v>3458</v>
      </c>
      <c r="C9669" t="s">
        <v>23490</v>
      </c>
      <c r="D9669" t="str">
        <f>HYPERLINK("https://rhld.insurance.arkansas.gov/NPILookup?Npi=1083898803","1083898803")</f>
        <v>1083898803</v>
      </c>
      <c r="E9669" t="s">
        <v>315</v>
      </c>
    </row>
    <row r="9670" spans="1:5" x14ac:dyDescent="0.25">
      <c r="A9670" t="s">
        <v>2</v>
      </c>
      <c r="B9670" t="s">
        <v>3458</v>
      </c>
      <c r="C9670" t="s">
        <v>23490</v>
      </c>
      <c r="D9670" t="str">
        <f>HYPERLINK("https://rhld.insurance.arkansas.gov/NPILookup?Npi=1083902613","1083902613")</f>
        <v>1083902613</v>
      </c>
      <c r="E9670" t="s">
        <v>23016</v>
      </c>
    </row>
    <row r="9671" spans="1:5" x14ac:dyDescent="0.25">
      <c r="A9671" t="s">
        <v>2</v>
      </c>
      <c r="B9671" t="s">
        <v>3458</v>
      </c>
      <c r="C9671" t="s">
        <v>23490</v>
      </c>
      <c r="D9671" t="str">
        <f>HYPERLINK("https://rhld.insurance.arkansas.gov/NPILookup?Npi=1083902894","1083902894")</f>
        <v>1083902894</v>
      </c>
      <c r="E9671" t="s">
        <v>15804</v>
      </c>
    </row>
    <row r="9672" spans="1:5" x14ac:dyDescent="0.25">
      <c r="A9672" t="s">
        <v>2</v>
      </c>
      <c r="B9672" t="s">
        <v>3458</v>
      </c>
      <c r="C9672" t="s">
        <v>23490</v>
      </c>
      <c r="D9672" t="str">
        <f>HYPERLINK("https://rhld.insurance.arkansas.gov/NPILookup?Npi=1083919583","1083919583")</f>
        <v>1083919583</v>
      </c>
      <c r="E9672" t="s">
        <v>14752</v>
      </c>
    </row>
    <row r="9673" spans="1:5" x14ac:dyDescent="0.25">
      <c r="A9673" t="s">
        <v>2</v>
      </c>
      <c r="B9673" t="s">
        <v>3458</v>
      </c>
      <c r="C9673" t="s">
        <v>23490</v>
      </c>
      <c r="D9673" t="str">
        <f>HYPERLINK("https://rhld.insurance.arkansas.gov/NPILookup?Npi=1083920086","1083920086")</f>
        <v>1083920086</v>
      </c>
      <c r="E9673" t="s">
        <v>17385</v>
      </c>
    </row>
    <row r="9674" spans="1:5" x14ac:dyDescent="0.25">
      <c r="A9674" t="s">
        <v>2</v>
      </c>
      <c r="B9674" t="s">
        <v>3458</v>
      </c>
      <c r="C9674" t="s">
        <v>23490</v>
      </c>
      <c r="D9674" t="str">
        <f>HYPERLINK("https://rhld.insurance.arkansas.gov/NPILookup?Npi=1083920441","1083920441")</f>
        <v>1083920441</v>
      </c>
      <c r="E9674" t="s">
        <v>13359</v>
      </c>
    </row>
    <row r="9675" spans="1:5" x14ac:dyDescent="0.25">
      <c r="A9675" t="s">
        <v>2</v>
      </c>
      <c r="B9675" t="s">
        <v>3458</v>
      </c>
      <c r="C9675" t="s">
        <v>23490</v>
      </c>
      <c r="D9675" t="str">
        <f>HYPERLINK("https://rhld.insurance.arkansas.gov/NPILookup?Npi=1083931331","1083931331")</f>
        <v>1083931331</v>
      </c>
      <c r="E9675" t="s">
        <v>316</v>
      </c>
    </row>
    <row r="9676" spans="1:5" x14ac:dyDescent="0.25">
      <c r="A9676" t="s">
        <v>2</v>
      </c>
      <c r="B9676" t="s">
        <v>3458</v>
      </c>
      <c r="C9676" t="s">
        <v>23490</v>
      </c>
      <c r="D9676" t="str">
        <f>HYPERLINK("https://rhld.insurance.arkansas.gov/NPILookup?Npi=1083934632","1083934632")</f>
        <v>1083934632</v>
      </c>
      <c r="E9676" t="s">
        <v>318</v>
      </c>
    </row>
    <row r="9677" spans="1:5" x14ac:dyDescent="0.25">
      <c r="A9677" t="s">
        <v>2</v>
      </c>
      <c r="B9677" t="s">
        <v>3458</v>
      </c>
      <c r="C9677" t="s">
        <v>23490</v>
      </c>
      <c r="D9677" t="str">
        <f>HYPERLINK("https://rhld.insurance.arkansas.gov/NPILookup?Npi=1083956569","1083956569")</f>
        <v>1083956569</v>
      </c>
      <c r="E9677" t="s">
        <v>20225</v>
      </c>
    </row>
    <row r="9678" spans="1:5" x14ac:dyDescent="0.25">
      <c r="A9678" t="s">
        <v>2</v>
      </c>
      <c r="B9678" t="s">
        <v>3458</v>
      </c>
      <c r="C9678" t="s">
        <v>23490</v>
      </c>
      <c r="D9678" t="str">
        <f>HYPERLINK("https://rhld.insurance.arkansas.gov/NPILookup?Npi=1083956601","1083956601")</f>
        <v>1083956601</v>
      </c>
      <c r="E9678" t="s">
        <v>8474</v>
      </c>
    </row>
    <row r="9679" spans="1:5" x14ac:dyDescent="0.25">
      <c r="A9679" t="s">
        <v>2</v>
      </c>
      <c r="B9679" t="s">
        <v>3458</v>
      </c>
      <c r="C9679" t="s">
        <v>23490</v>
      </c>
      <c r="D9679" t="str">
        <f>HYPERLINK("https://rhld.insurance.arkansas.gov/NPILookup?Npi=1083957880","1083957880")</f>
        <v>1083957880</v>
      </c>
      <c r="E9679" t="s">
        <v>319</v>
      </c>
    </row>
    <row r="9680" spans="1:5" x14ac:dyDescent="0.25">
      <c r="A9680" t="s">
        <v>2</v>
      </c>
      <c r="B9680" t="s">
        <v>3458</v>
      </c>
      <c r="C9680" t="s">
        <v>23490</v>
      </c>
      <c r="D9680" t="str">
        <f>HYPERLINK("https://rhld.insurance.arkansas.gov/NPILookup?Npi=1083959266","1083959266")</f>
        <v>1083959266</v>
      </c>
      <c r="E9680" t="s">
        <v>320</v>
      </c>
    </row>
    <row r="9681" spans="1:5" x14ac:dyDescent="0.25">
      <c r="A9681" t="s">
        <v>2</v>
      </c>
      <c r="B9681" t="s">
        <v>3458</v>
      </c>
      <c r="C9681" t="s">
        <v>23490</v>
      </c>
      <c r="D9681" t="str">
        <f>HYPERLINK("https://rhld.insurance.arkansas.gov/NPILookup?Npi=1083969240","1083969240")</f>
        <v>1083969240</v>
      </c>
      <c r="E9681" t="s">
        <v>3506</v>
      </c>
    </row>
    <row r="9682" spans="1:5" x14ac:dyDescent="0.25">
      <c r="A9682" t="s">
        <v>2</v>
      </c>
      <c r="B9682" t="s">
        <v>3458</v>
      </c>
      <c r="C9682" t="s">
        <v>23490</v>
      </c>
      <c r="D9682" t="str">
        <f>HYPERLINK("https://rhld.insurance.arkansas.gov/NPILookup?Npi=1083975742","1083975742")</f>
        <v>1083975742</v>
      </c>
      <c r="E9682" t="s">
        <v>14753</v>
      </c>
    </row>
    <row r="9683" spans="1:5" x14ac:dyDescent="0.25">
      <c r="A9683" t="s">
        <v>2</v>
      </c>
      <c r="B9683" t="s">
        <v>3458</v>
      </c>
      <c r="C9683" t="s">
        <v>23490</v>
      </c>
      <c r="D9683" t="str">
        <f>HYPERLINK("https://rhld.insurance.arkansas.gov/NPILookup?Npi=1093002313","1093002313")</f>
        <v>1093002313</v>
      </c>
      <c r="E9683" t="s">
        <v>321</v>
      </c>
    </row>
    <row r="9684" spans="1:5" x14ac:dyDescent="0.25">
      <c r="A9684" t="s">
        <v>2</v>
      </c>
      <c r="B9684" t="s">
        <v>3458</v>
      </c>
      <c r="C9684" t="s">
        <v>23490</v>
      </c>
      <c r="D9684" t="str">
        <f>HYPERLINK("https://rhld.insurance.arkansas.gov/NPILookup?Npi=1093002743","1093002743")</f>
        <v>1093002743</v>
      </c>
      <c r="E9684" t="s">
        <v>18665</v>
      </c>
    </row>
    <row r="9685" spans="1:5" x14ac:dyDescent="0.25">
      <c r="A9685" t="s">
        <v>2</v>
      </c>
      <c r="B9685" t="s">
        <v>3458</v>
      </c>
      <c r="C9685" t="s">
        <v>23490</v>
      </c>
      <c r="D9685" t="str">
        <f>HYPERLINK("https://rhld.insurance.arkansas.gov/NPILookup?Npi=1093021826","1093021826")</f>
        <v>1093021826</v>
      </c>
      <c r="E9685" t="s">
        <v>322</v>
      </c>
    </row>
    <row r="9686" spans="1:5" x14ac:dyDescent="0.25">
      <c r="A9686" t="s">
        <v>2</v>
      </c>
      <c r="B9686" t="s">
        <v>3458</v>
      </c>
      <c r="C9686" t="s">
        <v>23490</v>
      </c>
      <c r="D9686" t="str">
        <f>HYPERLINK("https://rhld.insurance.arkansas.gov/NPILookup?Npi=1093023426","1093023426")</f>
        <v>1093023426</v>
      </c>
      <c r="E9686" t="s">
        <v>323</v>
      </c>
    </row>
    <row r="9687" spans="1:5" x14ac:dyDescent="0.25">
      <c r="A9687" t="s">
        <v>2</v>
      </c>
      <c r="B9687" t="s">
        <v>3458</v>
      </c>
      <c r="C9687" t="s">
        <v>23490</v>
      </c>
      <c r="D9687" t="str">
        <f>HYPERLINK("https://rhld.insurance.arkansas.gov/NPILookup?Npi=1093030918","1093030918")</f>
        <v>1093030918</v>
      </c>
      <c r="E9687" t="s">
        <v>324</v>
      </c>
    </row>
    <row r="9688" spans="1:5" x14ac:dyDescent="0.25">
      <c r="A9688" t="s">
        <v>2</v>
      </c>
      <c r="B9688" t="s">
        <v>3458</v>
      </c>
      <c r="C9688" t="s">
        <v>23490</v>
      </c>
      <c r="D9688" t="str">
        <f>HYPERLINK("https://rhld.insurance.arkansas.gov/NPILookup?Npi=1093031619","1093031619")</f>
        <v>1093031619</v>
      </c>
      <c r="E9688" t="s">
        <v>325</v>
      </c>
    </row>
    <row r="9689" spans="1:5" x14ac:dyDescent="0.25">
      <c r="A9689" t="s">
        <v>2</v>
      </c>
      <c r="B9689" t="s">
        <v>3458</v>
      </c>
      <c r="C9689" t="s">
        <v>23490</v>
      </c>
      <c r="D9689" t="str">
        <f>HYPERLINK("https://rhld.insurance.arkansas.gov/NPILookup?Npi=1093054462","1093054462")</f>
        <v>1093054462</v>
      </c>
      <c r="E9689" t="s">
        <v>326</v>
      </c>
    </row>
    <row r="9690" spans="1:5" x14ac:dyDescent="0.25">
      <c r="A9690" t="s">
        <v>2</v>
      </c>
      <c r="B9690" t="s">
        <v>3458</v>
      </c>
      <c r="C9690" t="s">
        <v>23490</v>
      </c>
      <c r="D9690" t="str">
        <f>HYPERLINK("https://rhld.insurance.arkansas.gov/NPILookup?Npi=1093069411","1093069411")</f>
        <v>1093069411</v>
      </c>
      <c r="E9690" t="s">
        <v>15805</v>
      </c>
    </row>
    <row r="9691" spans="1:5" x14ac:dyDescent="0.25">
      <c r="A9691" t="s">
        <v>2</v>
      </c>
      <c r="B9691" t="s">
        <v>3458</v>
      </c>
      <c r="C9691" t="s">
        <v>23490</v>
      </c>
      <c r="D9691" t="str">
        <f>HYPERLINK("https://rhld.insurance.arkansas.gov/NPILookup?Npi=1093072597","1093072597")</f>
        <v>1093072597</v>
      </c>
      <c r="E9691" t="s">
        <v>8965</v>
      </c>
    </row>
    <row r="9692" spans="1:5" x14ac:dyDescent="0.25">
      <c r="A9692" t="s">
        <v>2</v>
      </c>
      <c r="B9692" t="s">
        <v>3458</v>
      </c>
      <c r="C9692" t="s">
        <v>23490</v>
      </c>
      <c r="D9692" t="str">
        <f>HYPERLINK("https://rhld.insurance.arkansas.gov/NPILookup?Npi=1093073280","1093073280")</f>
        <v>1093073280</v>
      </c>
      <c r="E9692" t="s">
        <v>10644</v>
      </c>
    </row>
    <row r="9693" spans="1:5" x14ac:dyDescent="0.25">
      <c r="A9693" t="s">
        <v>2</v>
      </c>
      <c r="B9693" t="s">
        <v>3458</v>
      </c>
      <c r="C9693" t="s">
        <v>23490</v>
      </c>
      <c r="D9693" t="str">
        <f>HYPERLINK("https://rhld.insurance.arkansas.gov/NPILookup?Npi=1093088023","1093088023")</f>
        <v>1093088023</v>
      </c>
      <c r="E9693" t="s">
        <v>13361</v>
      </c>
    </row>
    <row r="9694" spans="1:5" x14ac:dyDescent="0.25">
      <c r="A9694" t="s">
        <v>2</v>
      </c>
      <c r="B9694" t="s">
        <v>3458</v>
      </c>
      <c r="C9694" t="s">
        <v>23490</v>
      </c>
      <c r="D9694" t="str">
        <f>HYPERLINK("https://rhld.insurance.arkansas.gov/NPILookup?Npi=1093095523","1093095523")</f>
        <v>1093095523</v>
      </c>
      <c r="E9694" t="s">
        <v>14754</v>
      </c>
    </row>
    <row r="9695" spans="1:5" x14ac:dyDescent="0.25">
      <c r="A9695" t="s">
        <v>2</v>
      </c>
      <c r="B9695" t="s">
        <v>3458</v>
      </c>
      <c r="C9695" t="s">
        <v>23490</v>
      </c>
      <c r="D9695" t="str">
        <f>HYPERLINK("https://rhld.insurance.arkansas.gov/NPILookup?Npi=1093104895","1093104895")</f>
        <v>1093104895</v>
      </c>
      <c r="E9695" t="s">
        <v>327</v>
      </c>
    </row>
    <row r="9696" spans="1:5" x14ac:dyDescent="0.25">
      <c r="A9696" t="s">
        <v>2</v>
      </c>
      <c r="B9696" t="s">
        <v>3458</v>
      </c>
      <c r="C9696" t="s">
        <v>23490</v>
      </c>
      <c r="D9696" t="str">
        <f>HYPERLINK("https://rhld.insurance.arkansas.gov/NPILookup?Npi=1093105918","1093105918")</f>
        <v>1093105918</v>
      </c>
      <c r="E9696" t="s">
        <v>328</v>
      </c>
    </row>
    <row r="9697" spans="1:5" x14ac:dyDescent="0.25">
      <c r="A9697" t="s">
        <v>2</v>
      </c>
      <c r="B9697" t="s">
        <v>3458</v>
      </c>
      <c r="C9697" t="s">
        <v>23490</v>
      </c>
      <c r="D9697" t="str">
        <f>HYPERLINK("https://rhld.insurance.arkansas.gov/NPILookup?Npi=1093106072","1093106072")</f>
        <v>1093106072</v>
      </c>
      <c r="E9697" t="s">
        <v>12774</v>
      </c>
    </row>
    <row r="9698" spans="1:5" x14ac:dyDescent="0.25">
      <c r="A9698" t="s">
        <v>2</v>
      </c>
      <c r="B9698" t="s">
        <v>3458</v>
      </c>
      <c r="C9698" t="s">
        <v>23490</v>
      </c>
      <c r="D9698" t="str">
        <f>HYPERLINK("https://rhld.insurance.arkansas.gov/NPILookup?Npi=1093127284","1093127284")</f>
        <v>1093127284</v>
      </c>
      <c r="E9698" t="s">
        <v>10645</v>
      </c>
    </row>
    <row r="9699" spans="1:5" x14ac:dyDescent="0.25">
      <c r="A9699" t="s">
        <v>2</v>
      </c>
      <c r="B9699" t="s">
        <v>3458</v>
      </c>
      <c r="C9699" t="s">
        <v>23490</v>
      </c>
      <c r="D9699" t="str">
        <f>HYPERLINK("https://rhld.insurance.arkansas.gov/NPILookup?Npi=1093130098","1093130098")</f>
        <v>1093130098</v>
      </c>
      <c r="E9699" t="s">
        <v>10646</v>
      </c>
    </row>
    <row r="9700" spans="1:5" x14ac:dyDescent="0.25">
      <c r="A9700" t="s">
        <v>2</v>
      </c>
      <c r="B9700" t="s">
        <v>3458</v>
      </c>
      <c r="C9700" t="s">
        <v>23490</v>
      </c>
      <c r="D9700" t="str">
        <f>HYPERLINK("https://rhld.insurance.arkansas.gov/NPILookup?Npi=1093132367","1093132367")</f>
        <v>1093132367</v>
      </c>
      <c r="E9700" t="s">
        <v>14755</v>
      </c>
    </row>
    <row r="9701" spans="1:5" x14ac:dyDescent="0.25">
      <c r="A9701" t="s">
        <v>2</v>
      </c>
      <c r="B9701" t="s">
        <v>3458</v>
      </c>
      <c r="C9701" t="s">
        <v>23490</v>
      </c>
      <c r="D9701" t="str">
        <f>HYPERLINK("https://rhld.insurance.arkansas.gov/NPILookup?Npi=1093139214","1093139214")</f>
        <v>1093139214</v>
      </c>
      <c r="E9701" t="s">
        <v>329</v>
      </c>
    </row>
    <row r="9702" spans="1:5" x14ac:dyDescent="0.25">
      <c r="A9702" t="s">
        <v>2</v>
      </c>
      <c r="B9702" t="s">
        <v>3458</v>
      </c>
      <c r="C9702" t="s">
        <v>23490</v>
      </c>
      <c r="D9702" t="str">
        <f>HYPERLINK("https://rhld.insurance.arkansas.gov/NPILookup?Npi=1093161069","1093161069")</f>
        <v>1093161069</v>
      </c>
      <c r="E9702" t="s">
        <v>8476</v>
      </c>
    </row>
    <row r="9703" spans="1:5" x14ac:dyDescent="0.25">
      <c r="A9703" t="s">
        <v>2</v>
      </c>
      <c r="B9703" t="s">
        <v>3458</v>
      </c>
      <c r="C9703" t="s">
        <v>23490</v>
      </c>
      <c r="D9703" t="str">
        <f>HYPERLINK("https://rhld.insurance.arkansas.gov/NPILookup?Npi=1093165953","1093165953")</f>
        <v>1093165953</v>
      </c>
      <c r="E9703" t="s">
        <v>18666</v>
      </c>
    </row>
    <row r="9704" spans="1:5" x14ac:dyDescent="0.25">
      <c r="A9704" t="s">
        <v>2</v>
      </c>
      <c r="B9704" t="s">
        <v>3458</v>
      </c>
      <c r="C9704" t="s">
        <v>23490</v>
      </c>
      <c r="D9704" t="str">
        <f>HYPERLINK("https://rhld.insurance.arkansas.gov/NPILookup?Npi=1093173643","1093173643")</f>
        <v>1093173643</v>
      </c>
      <c r="E9704" t="s">
        <v>10647</v>
      </c>
    </row>
    <row r="9705" spans="1:5" x14ac:dyDescent="0.25">
      <c r="A9705" t="s">
        <v>2</v>
      </c>
      <c r="B9705" t="s">
        <v>3458</v>
      </c>
      <c r="C9705" t="s">
        <v>23490</v>
      </c>
      <c r="D9705" t="str">
        <f>HYPERLINK("https://rhld.insurance.arkansas.gov/NPILookup?Npi=1093174278","1093174278")</f>
        <v>1093174278</v>
      </c>
      <c r="E9705" t="s">
        <v>8477</v>
      </c>
    </row>
    <row r="9706" spans="1:5" x14ac:dyDescent="0.25">
      <c r="A9706" t="s">
        <v>2</v>
      </c>
      <c r="B9706" t="s">
        <v>3458</v>
      </c>
      <c r="C9706" t="s">
        <v>23490</v>
      </c>
      <c r="D9706" t="str">
        <f>HYPERLINK("https://rhld.insurance.arkansas.gov/NPILookup?Npi=1093174716","1093174716")</f>
        <v>1093174716</v>
      </c>
      <c r="E9706" t="s">
        <v>8478</v>
      </c>
    </row>
    <row r="9707" spans="1:5" x14ac:dyDescent="0.25">
      <c r="A9707" t="s">
        <v>2</v>
      </c>
      <c r="B9707" t="s">
        <v>3458</v>
      </c>
      <c r="C9707" t="s">
        <v>23490</v>
      </c>
      <c r="D9707" t="str">
        <f>HYPERLINK("https://rhld.insurance.arkansas.gov/NPILookup?Npi=1093178915","1093178915")</f>
        <v>1093178915</v>
      </c>
      <c r="E9707" t="s">
        <v>20226</v>
      </c>
    </row>
    <row r="9708" spans="1:5" x14ac:dyDescent="0.25">
      <c r="A9708" t="s">
        <v>2</v>
      </c>
      <c r="B9708" t="s">
        <v>3458</v>
      </c>
      <c r="C9708" t="s">
        <v>23490</v>
      </c>
      <c r="D9708" t="str">
        <f>HYPERLINK("https://rhld.insurance.arkansas.gov/NPILookup?Npi=1093190365","1093190365")</f>
        <v>1093190365</v>
      </c>
      <c r="E9708" t="s">
        <v>330</v>
      </c>
    </row>
    <row r="9709" spans="1:5" x14ac:dyDescent="0.25">
      <c r="A9709" t="s">
        <v>2</v>
      </c>
      <c r="B9709" t="s">
        <v>3458</v>
      </c>
      <c r="C9709" t="s">
        <v>23490</v>
      </c>
      <c r="D9709" t="str">
        <f>HYPERLINK("https://rhld.insurance.arkansas.gov/NPILookup?Npi=1093191025","1093191025")</f>
        <v>1093191025</v>
      </c>
      <c r="E9709" t="s">
        <v>4658</v>
      </c>
    </row>
    <row r="9710" spans="1:5" x14ac:dyDescent="0.25">
      <c r="A9710" t="s">
        <v>2</v>
      </c>
      <c r="B9710" t="s">
        <v>3458</v>
      </c>
      <c r="C9710" t="s">
        <v>23490</v>
      </c>
      <c r="D9710" t="str">
        <f>HYPERLINK("https://rhld.insurance.arkansas.gov/NPILookup?Npi=1093191819","1093191819")</f>
        <v>1093191819</v>
      </c>
      <c r="E9710" t="s">
        <v>10648</v>
      </c>
    </row>
    <row r="9711" spans="1:5" x14ac:dyDescent="0.25">
      <c r="A9711" t="s">
        <v>2</v>
      </c>
      <c r="B9711" t="s">
        <v>3458</v>
      </c>
      <c r="C9711" t="s">
        <v>23490</v>
      </c>
      <c r="D9711" t="str">
        <f>HYPERLINK("https://rhld.insurance.arkansas.gov/NPILookup?Npi=1093211773","1093211773")</f>
        <v>1093211773</v>
      </c>
      <c r="E9711" t="s">
        <v>21368</v>
      </c>
    </row>
    <row r="9712" spans="1:5" x14ac:dyDescent="0.25">
      <c r="A9712" t="s">
        <v>2</v>
      </c>
      <c r="B9712" t="s">
        <v>3458</v>
      </c>
      <c r="C9712" t="s">
        <v>23490</v>
      </c>
      <c r="D9712" t="str">
        <f>HYPERLINK("https://rhld.insurance.arkansas.gov/NPILookup?Npi=1093225815","1093225815")</f>
        <v>1093225815</v>
      </c>
      <c r="E9712" t="s">
        <v>17851</v>
      </c>
    </row>
    <row r="9713" spans="1:5" x14ac:dyDescent="0.25">
      <c r="A9713" t="s">
        <v>2</v>
      </c>
      <c r="B9713" t="s">
        <v>3458</v>
      </c>
      <c r="C9713" t="s">
        <v>23490</v>
      </c>
      <c r="D9713" t="str">
        <f>HYPERLINK("https://rhld.insurance.arkansas.gov/NPILookup?Npi=1093227423","1093227423")</f>
        <v>1093227423</v>
      </c>
      <c r="E9713" t="s">
        <v>13260</v>
      </c>
    </row>
    <row r="9714" spans="1:5" x14ac:dyDescent="0.25">
      <c r="A9714" t="s">
        <v>2</v>
      </c>
      <c r="B9714" t="s">
        <v>3458</v>
      </c>
      <c r="C9714" t="s">
        <v>23490</v>
      </c>
      <c r="D9714" t="str">
        <f>HYPERLINK("https://rhld.insurance.arkansas.gov/NPILookup?Npi=1093227688","1093227688")</f>
        <v>1093227688</v>
      </c>
      <c r="E9714" t="s">
        <v>14756</v>
      </c>
    </row>
    <row r="9715" spans="1:5" x14ac:dyDescent="0.25">
      <c r="A9715" t="s">
        <v>2</v>
      </c>
      <c r="B9715" t="s">
        <v>3458</v>
      </c>
      <c r="C9715" t="s">
        <v>23490</v>
      </c>
      <c r="D9715" t="str">
        <f>HYPERLINK("https://rhld.insurance.arkansas.gov/NPILookup?Npi=1093229395","1093229395")</f>
        <v>1093229395</v>
      </c>
      <c r="E9715" t="s">
        <v>13363</v>
      </c>
    </row>
    <row r="9716" spans="1:5" x14ac:dyDescent="0.25">
      <c r="A9716" t="s">
        <v>2</v>
      </c>
      <c r="B9716" t="s">
        <v>3458</v>
      </c>
      <c r="C9716" t="s">
        <v>23490</v>
      </c>
      <c r="D9716" t="str">
        <f>HYPERLINK("https://rhld.insurance.arkansas.gov/NPILookup?Npi=1093238875","1093238875")</f>
        <v>1093238875</v>
      </c>
      <c r="E9716" t="s">
        <v>10649</v>
      </c>
    </row>
    <row r="9717" spans="1:5" x14ac:dyDescent="0.25">
      <c r="A9717" t="s">
        <v>2</v>
      </c>
      <c r="B9717" t="s">
        <v>3458</v>
      </c>
      <c r="C9717" t="s">
        <v>23490</v>
      </c>
      <c r="D9717" t="str">
        <f>HYPERLINK("https://rhld.insurance.arkansas.gov/NPILookup?Npi=1093241051","1093241051")</f>
        <v>1093241051</v>
      </c>
      <c r="E9717" t="s">
        <v>12775</v>
      </c>
    </row>
    <row r="9718" spans="1:5" x14ac:dyDescent="0.25">
      <c r="A9718" t="s">
        <v>2</v>
      </c>
      <c r="B9718" t="s">
        <v>3458</v>
      </c>
      <c r="C9718" t="s">
        <v>23490</v>
      </c>
      <c r="D9718" t="str">
        <f>HYPERLINK("https://rhld.insurance.arkansas.gov/NPILookup?Npi=1093252777","1093252777")</f>
        <v>1093252777</v>
      </c>
      <c r="E9718" t="s">
        <v>14757</v>
      </c>
    </row>
    <row r="9719" spans="1:5" x14ac:dyDescent="0.25">
      <c r="A9719" t="s">
        <v>2</v>
      </c>
      <c r="B9719" t="s">
        <v>3458</v>
      </c>
      <c r="C9719" t="s">
        <v>23490</v>
      </c>
      <c r="D9719" t="str">
        <f>HYPERLINK("https://rhld.insurance.arkansas.gov/NPILookup?Npi=1093254294","1093254294")</f>
        <v>1093254294</v>
      </c>
      <c r="E9719" t="s">
        <v>10650</v>
      </c>
    </row>
    <row r="9720" spans="1:5" x14ac:dyDescent="0.25">
      <c r="A9720" t="s">
        <v>2</v>
      </c>
      <c r="B9720" t="s">
        <v>3458</v>
      </c>
      <c r="C9720" t="s">
        <v>23490</v>
      </c>
      <c r="D9720" t="str">
        <f>HYPERLINK("https://rhld.insurance.arkansas.gov/NPILookup?Npi=1093255325","1093255325")</f>
        <v>1093255325</v>
      </c>
      <c r="E9720" t="s">
        <v>13364</v>
      </c>
    </row>
    <row r="9721" spans="1:5" x14ac:dyDescent="0.25">
      <c r="A9721" t="s">
        <v>2</v>
      </c>
      <c r="B9721" t="s">
        <v>3458</v>
      </c>
      <c r="C9721" t="s">
        <v>23490</v>
      </c>
      <c r="D9721" t="str">
        <f>HYPERLINK("https://rhld.insurance.arkansas.gov/NPILookup?Npi=1093271082","1093271082")</f>
        <v>1093271082</v>
      </c>
      <c r="E9721" t="s">
        <v>17386</v>
      </c>
    </row>
    <row r="9722" spans="1:5" x14ac:dyDescent="0.25">
      <c r="A9722" t="s">
        <v>2</v>
      </c>
      <c r="B9722" t="s">
        <v>3458</v>
      </c>
      <c r="C9722" t="s">
        <v>23490</v>
      </c>
      <c r="D9722" t="str">
        <f>HYPERLINK("https://rhld.insurance.arkansas.gov/NPILookup?Npi=1093273195","1093273195")</f>
        <v>1093273195</v>
      </c>
      <c r="E9722" t="s">
        <v>13365</v>
      </c>
    </row>
    <row r="9723" spans="1:5" x14ac:dyDescent="0.25">
      <c r="A9723" t="s">
        <v>2</v>
      </c>
      <c r="B9723" t="s">
        <v>3458</v>
      </c>
      <c r="C9723" t="s">
        <v>23490</v>
      </c>
      <c r="D9723" t="str">
        <f>HYPERLINK("https://rhld.insurance.arkansas.gov/NPILookup?Npi=1093280661","1093280661")</f>
        <v>1093280661</v>
      </c>
      <c r="E9723" t="s">
        <v>13366</v>
      </c>
    </row>
    <row r="9724" spans="1:5" x14ac:dyDescent="0.25">
      <c r="A9724" t="s">
        <v>2</v>
      </c>
      <c r="B9724" t="s">
        <v>3458</v>
      </c>
      <c r="C9724" t="s">
        <v>23490</v>
      </c>
      <c r="D9724" t="str">
        <f>HYPERLINK("https://rhld.insurance.arkansas.gov/NPILookup?Npi=1093280935","1093280935")</f>
        <v>1093280935</v>
      </c>
      <c r="E9724" t="s">
        <v>14758</v>
      </c>
    </row>
    <row r="9725" spans="1:5" x14ac:dyDescent="0.25">
      <c r="A9725" t="s">
        <v>2</v>
      </c>
      <c r="B9725" t="s">
        <v>3458</v>
      </c>
      <c r="C9725" t="s">
        <v>23490</v>
      </c>
      <c r="D9725" t="str">
        <f>HYPERLINK("https://rhld.insurance.arkansas.gov/NPILookup?Npi=1093314973","1093314973")</f>
        <v>1093314973</v>
      </c>
      <c r="E9725" t="s">
        <v>17853</v>
      </c>
    </row>
    <row r="9726" spans="1:5" x14ac:dyDescent="0.25">
      <c r="A9726" t="s">
        <v>2</v>
      </c>
      <c r="B9726" t="s">
        <v>3458</v>
      </c>
      <c r="C9726" t="s">
        <v>23490</v>
      </c>
      <c r="D9726" t="str">
        <f>HYPERLINK("https://rhld.insurance.arkansas.gov/NPILookup?Npi=1093335879","1093335879")</f>
        <v>1093335879</v>
      </c>
      <c r="E9726" t="s">
        <v>17854</v>
      </c>
    </row>
    <row r="9727" spans="1:5" x14ac:dyDescent="0.25">
      <c r="A9727" t="s">
        <v>2</v>
      </c>
      <c r="B9727" t="s">
        <v>3458</v>
      </c>
      <c r="C9727" t="s">
        <v>23490</v>
      </c>
      <c r="D9727" t="str">
        <f>HYPERLINK("https://rhld.insurance.arkansas.gov/NPILookup?Npi=1093385858","1093385858")</f>
        <v>1093385858</v>
      </c>
      <c r="E9727" t="s">
        <v>546</v>
      </c>
    </row>
    <row r="9728" spans="1:5" x14ac:dyDescent="0.25">
      <c r="A9728" t="s">
        <v>2</v>
      </c>
      <c r="B9728" t="s">
        <v>3458</v>
      </c>
      <c r="C9728" t="s">
        <v>23490</v>
      </c>
      <c r="D9728" t="str">
        <f>HYPERLINK("https://rhld.insurance.arkansas.gov/NPILookup?Npi=1093430225","1093430225")</f>
        <v>1093430225</v>
      </c>
      <c r="E9728" t="s">
        <v>21462</v>
      </c>
    </row>
    <row r="9729" spans="1:5" x14ac:dyDescent="0.25">
      <c r="A9729" t="s">
        <v>2</v>
      </c>
      <c r="B9729" t="s">
        <v>3458</v>
      </c>
      <c r="C9729" t="s">
        <v>23490</v>
      </c>
      <c r="D9729" t="str">
        <f>HYPERLINK("https://rhld.insurance.arkansas.gov/NPILookup?Npi=1093435869","1093435869")</f>
        <v>1093435869</v>
      </c>
      <c r="E9729" t="s">
        <v>21716</v>
      </c>
    </row>
    <row r="9730" spans="1:5" x14ac:dyDescent="0.25">
      <c r="A9730" t="s">
        <v>2</v>
      </c>
      <c r="B9730" t="s">
        <v>3458</v>
      </c>
      <c r="C9730" t="s">
        <v>23490</v>
      </c>
      <c r="D9730" t="str">
        <f>HYPERLINK("https://rhld.insurance.arkansas.gov/NPILookup?Npi=1093470213","1093470213")</f>
        <v>1093470213</v>
      </c>
      <c r="E9730" t="s">
        <v>19417</v>
      </c>
    </row>
    <row r="9731" spans="1:5" x14ac:dyDescent="0.25">
      <c r="A9731" t="s">
        <v>2</v>
      </c>
      <c r="B9731" t="s">
        <v>3458</v>
      </c>
      <c r="C9731" t="s">
        <v>23490</v>
      </c>
      <c r="D9731" t="str">
        <f>HYPERLINK("https://rhld.insurance.arkansas.gov/NPILookup?Npi=1093483562","1093483562")</f>
        <v>1093483562</v>
      </c>
      <c r="E9731" t="s">
        <v>19419</v>
      </c>
    </row>
    <row r="9732" spans="1:5" x14ac:dyDescent="0.25">
      <c r="A9732" t="s">
        <v>2</v>
      </c>
      <c r="B9732" t="s">
        <v>3458</v>
      </c>
      <c r="C9732" t="s">
        <v>23490</v>
      </c>
      <c r="D9732" t="str">
        <f>HYPERLINK("https://rhld.insurance.arkansas.gov/NPILookup?Npi=1093710113","1093710113")</f>
        <v>1093710113</v>
      </c>
      <c r="E9732" t="s">
        <v>333</v>
      </c>
    </row>
    <row r="9733" spans="1:5" x14ac:dyDescent="0.25">
      <c r="A9733" t="s">
        <v>2</v>
      </c>
      <c r="B9733" t="s">
        <v>3458</v>
      </c>
      <c r="C9733" t="s">
        <v>23490</v>
      </c>
      <c r="D9733" t="str">
        <f>HYPERLINK("https://rhld.insurance.arkansas.gov/NPILookup?Npi=1093715203","1093715203")</f>
        <v>1093715203</v>
      </c>
      <c r="E9733" t="s">
        <v>335</v>
      </c>
    </row>
    <row r="9734" spans="1:5" x14ac:dyDescent="0.25">
      <c r="A9734" t="s">
        <v>2</v>
      </c>
      <c r="B9734" t="s">
        <v>3458</v>
      </c>
      <c r="C9734" t="s">
        <v>23490</v>
      </c>
      <c r="D9734" t="str">
        <f>HYPERLINK("https://rhld.insurance.arkansas.gov/NPILookup?Npi=1093715641","1093715641")</f>
        <v>1093715641</v>
      </c>
      <c r="E9734" t="s">
        <v>336</v>
      </c>
    </row>
    <row r="9735" spans="1:5" x14ac:dyDescent="0.25">
      <c r="A9735" t="s">
        <v>2</v>
      </c>
      <c r="B9735" t="s">
        <v>3458</v>
      </c>
      <c r="C9735" t="s">
        <v>23490</v>
      </c>
      <c r="D9735" t="str">
        <f>HYPERLINK("https://rhld.insurance.arkansas.gov/NPILookup?Npi=1093717696","1093717696")</f>
        <v>1093717696</v>
      </c>
      <c r="E9735" t="s">
        <v>18667</v>
      </c>
    </row>
    <row r="9736" spans="1:5" x14ac:dyDescent="0.25">
      <c r="A9736" t="s">
        <v>2</v>
      </c>
      <c r="B9736" t="s">
        <v>3458</v>
      </c>
      <c r="C9736" t="s">
        <v>23490</v>
      </c>
      <c r="D9736" t="str">
        <f>HYPERLINK("https://rhld.insurance.arkansas.gov/NPILookup?Npi=1093721151","1093721151")</f>
        <v>1093721151</v>
      </c>
      <c r="E9736" t="s">
        <v>14759</v>
      </c>
    </row>
    <row r="9737" spans="1:5" x14ac:dyDescent="0.25">
      <c r="A9737" t="s">
        <v>2</v>
      </c>
      <c r="B9737" t="s">
        <v>3458</v>
      </c>
      <c r="C9737" t="s">
        <v>23490</v>
      </c>
      <c r="D9737" t="str">
        <f>HYPERLINK("https://rhld.insurance.arkansas.gov/NPILookup?Npi=1093726333","1093726333")</f>
        <v>1093726333</v>
      </c>
      <c r="E9737" t="s">
        <v>337</v>
      </c>
    </row>
    <row r="9738" spans="1:5" x14ac:dyDescent="0.25">
      <c r="A9738" t="s">
        <v>2</v>
      </c>
      <c r="B9738" t="s">
        <v>3458</v>
      </c>
      <c r="C9738" t="s">
        <v>23490</v>
      </c>
      <c r="D9738" t="str">
        <f>HYPERLINK("https://rhld.insurance.arkansas.gov/NPILookup?Npi=1093726887","1093726887")</f>
        <v>1093726887</v>
      </c>
      <c r="E9738" t="s">
        <v>3507</v>
      </c>
    </row>
    <row r="9739" spans="1:5" x14ac:dyDescent="0.25">
      <c r="A9739" t="s">
        <v>2</v>
      </c>
      <c r="B9739" t="s">
        <v>3458</v>
      </c>
      <c r="C9739" t="s">
        <v>23490</v>
      </c>
      <c r="D9739" t="str">
        <f>HYPERLINK("https://rhld.insurance.arkansas.gov/NPILookup?Npi=1093732950","1093732950")</f>
        <v>1093732950</v>
      </c>
      <c r="E9739" t="s">
        <v>3508</v>
      </c>
    </row>
    <row r="9740" spans="1:5" x14ac:dyDescent="0.25">
      <c r="A9740" t="s">
        <v>2</v>
      </c>
      <c r="B9740" t="s">
        <v>3458</v>
      </c>
      <c r="C9740" t="s">
        <v>23490</v>
      </c>
      <c r="D9740" t="str">
        <f>HYPERLINK("https://rhld.insurance.arkansas.gov/NPILookup?Npi=1093735961","1093735961")</f>
        <v>1093735961</v>
      </c>
      <c r="E9740" t="s">
        <v>3509</v>
      </c>
    </row>
    <row r="9741" spans="1:5" x14ac:dyDescent="0.25">
      <c r="A9741" t="s">
        <v>2</v>
      </c>
      <c r="B9741" t="s">
        <v>3458</v>
      </c>
      <c r="C9741" t="s">
        <v>23490</v>
      </c>
      <c r="D9741" t="str">
        <f>HYPERLINK("https://rhld.insurance.arkansas.gov/NPILookup?Npi=1093737439","1093737439")</f>
        <v>1093737439</v>
      </c>
      <c r="E9741" t="s">
        <v>338</v>
      </c>
    </row>
    <row r="9742" spans="1:5" x14ac:dyDescent="0.25">
      <c r="A9742" t="s">
        <v>2</v>
      </c>
      <c r="B9742" t="s">
        <v>3458</v>
      </c>
      <c r="C9742" t="s">
        <v>23490</v>
      </c>
      <c r="D9742" t="str">
        <f>HYPERLINK("https://rhld.insurance.arkansas.gov/NPILookup?Npi=1093741910","1093741910")</f>
        <v>1093741910</v>
      </c>
      <c r="E9742" t="s">
        <v>339</v>
      </c>
    </row>
    <row r="9743" spans="1:5" x14ac:dyDescent="0.25">
      <c r="A9743" t="s">
        <v>2</v>
      </c>
      <c r="B9743" t="s">
        <v>3458</v>
      </c>
      <c r="C9743" t="s">
        <v>23490</v>
      </c>
      <c r="D9743" t="str">
        <f>HYPERLINK("https://rhld.insurance.arkansas.gov/NPILookup?Npi=1093750671","1093750671")</f>
        <v>1093750671</v>
      </c>
      <c r="E9743" t="s">
        <v>342</v>
      </c>
    </row>
    <row r="9744" spans="1:5" x14ac:dyDescent="0.25">
      <c r="A9744" t="s">
        <v>2</v>
      </c>
      <c r="B9744" t="s">
        <v>3458</v>
      </c>
      <c r="C9744" t="s">
        <v>23490</v>
      </c>
      <c r="D9744" t="str">
        <f>HYPERLINK("https://rhld.insurance.arkansas.gov/NPILookup?Npi=1093752198","1093752198")</f>
        <v>1093752198</v>
      </c>
      <c r="E9744" t="s">
        <v>344</v>
      </c>
    </row>
    <row r="9745" spans="1:5" x14ac:dyDescent="0.25">
      <c r="A9745" t="s">
        <v>2</v>
      </c>
      <c r="B9745" t="s">
        <v>3458</v>
      </c>
      <c r="C9745" t="s">
        <v>23490</v>
      </c>
      <c r="D9745" t="str">
        <f>HYPERLINK("https://rhld.insurance.arkansas.gov/NPILookup?Npi=1093756017","1093756017")</f>
        <v>1093756017</v>
      </c>
      <c r="E9745" t="s">
        <v>345</v>
      </c>
    </row>
    <row r="9746" spans="1:5" x14ac:dyDescent="0.25">
      <c r="A9746" t="s">
        <v>2</v>
      </c>
      <c r="B9746" t="s">
        <v>3458</v>
      </c>
      <c r="C9746" t="s">
        <v>23490</v>
      </c>
      <c r="D9746" t="str">
        <f>HYPERLINK("https://rhld.insurance.arkansas.gov/NPILookup?Npi=1093759581","1093759581")</f>
        <v>1093759581</v>
      </c>
      <c r="E9746" t="s">
        <v>346</v>
      </c>
    </row>
    <row r="9747" spans="1:5" x14ac:dyDescent="0.25">
      <c r="A9747" t="s">
        <v>2</v>
      </c>
      <c r="B9747" t="s">
        <v>3458</v>
      </c>
      <c r="C9747" t="s">
        <v>23490</v>
      </c>
      <c r="D9747" t="str">
        <f>HYPERLINK("https://rhld.insurance.arkansas.gov/NPILookup?Npi=1093759607","1093759607")</f>
        <v>1093759607</v>
      </c>
      <c r="E9747" t="s">
        <v>3510</v>
      </c>
    </row>
    <row r="9748" spans="1:5" x14ac:dyDescent="0.25">
      <c r="A9748" t="s">
        <v>2</v>
      </c>
      <c r="B9748" t="s">
        <v>3458</v>
      </c>
      <c r="C9748" t="s">
        <v>23490</v>
      </c>
      <c r="D9748" t="str">
        <f>HYPERLINK("https://rhld.insurance.arkansas.gov/NPILookup?Npi=1093763807","1093763807")</f>
        <v>1093763807</v>
      </c>
      <c r="E9748" t="s">
        <v>348</v>
      </c>
    </row>
    <row r="9749" spans="1:5" x14ac:dyDescent="0.25">
      <c r="A9749" t="s">
        <v>2</v>
      </c>
      <c r="B9749" t="s">
        <v>3458</v>
      </c>
      <c r="C9749" t="s">
        <v>23490</v>
      </c>
      <c r="D9749" t="str">
        <f>HYPERLINK("https://rhld.insurance.arkansas.gov/NPILookup?Npi=1093770133","1093770133")</f>
        <v>1093770133</v>
      </c>
      <c r="E9749" t="s">
        <v>12958</v>
      </c>
    </row>
    <row r="9750" spans="1:5" x14ac:dyDescent="0.25">
      <c r="A9750" t="s">
        <v>2</v>
      </c>
      <c r="B9750" t="s">
        <v>3458</v>
      </c>
      <c r="C9750" t="s">
        <v>23490</v>
      </c>
      <c r="D9750" t="str">
        <f>HYPERLINK("https://rhld.insurance.arkansas.gov/NPILookup?Npi=1093772592","1093772592")</f>
        <v>1093772592</v>
      </c>
      <c r="E9750" t="s">
        <v>350</v>
      </c>
    </row>
    <row r="9751" spans="1:5" x14ac:dyDescent="0.25">
      <c r="A9751" t="s">
        <v>2</v>
      </c>
      <c r="B9751" t="s">
        <v>3458</v>
      </c>
      <c r="C9751" t="s">
        <v>23490</v>
      </c>
      <c r="D9751" t="str">
        <f>HYPERLINK("https://rhld.insurance.arkansas.gov/NPILookup?Npi=1093778136","1093778136")</f>
        <v>1093778136</v>
      </c>
      <c r="E9751" t="s">
        <v>351</v>
      </c>
    </row>
    <row r="9752" spans="1:5" x14ac:dyDescent="0.25">
      <c r="A9752" t="s">
        <v>2</v>
      </c>
      <c r="B9752" t="s">
        <v>3458</v>
      </c>
      <c r="C9752" t="s">
        <v>23490</v>
      </c>
      <c r="D9752" t="str">
        <f>HYPERLINK("https://rhld.insurance.arkansas.gov/NPILookup?Npi=1093778169","1093778169")</f>
        <v>1093778169</v>
      </c>
      <c r="E9752" t="s">
        <v>352</v>
      </c>
    </row>
    <row r="9753" spans="1:5" x14ac:dyDescent="0.25">
      <c r="A9753" t="s">
        <v>2</v>
      </c>
      <c r="B9753" t="s">
        <v>3458</v>
      </c>
      <c r="C9753" t="s">
        <v>23490</v>
      </c>
      <c r="D9753" t="str">
        <f>HYPERLINK("https://rhld.insurance.arkansas.gov/NPILookup?Npi=1093779324","1093779324")</f>
        <v>1093779324</v>
      </c>
      <c r="E9753" t="s">
        <v>22898</v>
      </c>
    </row>
    <row r="9754" spans="1:5" x14ac:dyDescent="0.25">
      <c r="A9754" t="s">
        <v>2</v>
      </c>
      <c r="B9754" t="s">
        <v>3458</v>
      </c>
      <c r="C9754" t="s">
        <v>23490</v>
      </c>
      <c r="D9754" t="str">
        <f>HYPERLINK("https://rhld.insurance.arkansas.gov/NPILookup?Npi=1093779415","1093779415")</f>
        <v>1093779415</v>
      </c>
      <c r="E9754" t="s">
        <v>3511</v>
      </c>
    </row>
    <row r="9755" spans="1:5" x14ac:dyDescent="0.25">
      <c r="A9755" t="s">
        <v>2</v>
      </c>
      <c r="B9755" t="s">
        <v>3458</v>
      </c>
      <c r="C9755" t="s">
        <v>23490</v>
      </c>
      <c r="D9755" t="str">
        <f>HYPERLINK("https://rhld.insurance.arkansas.gov/NPILookup?Npi=1093784209","1093784209")</f>
        <v>1093784209</v>
      </c>
      <c r="E9755" t="s">
        <v>15806</v>
      </c>
    </row>
    <row r="9756" spans="1:5" x14ac:dyDescent="0.25">
      <c r="A9756" t="s">
        <v>2</v>
      </c>
      <c r="B9756" t="s">
        <v>3458</v>
      </c>
      <c r="C9756" t="s">
        <v>23490</v>
      </c>
      <c r="D9756" t="str">
        <f>HYPERLINK("https://rhld.insurance.arkansas.gov/NPILookup?Npi=1093796534","1093796534")</f>
        <v>1093796534</v>
      </c>
      <c r="E9756" t="s">
        <v>354</v>
      </c>
    </row>
    <row r="9757" spans="1:5" x14ac:dyDescent="0.25">
      <c r="A9757" t="s">
        <v>2</v>
      </c>
      <c r="B9757" t="s">
        <v>3458</v>
      </c>
      <c r="C9757" t="s">
        <v>23490</v>
      </c>
      <c r="D9757" t="str">
        <f>HYPERLINK("https://rhld.insurance.arkansas.gov/NPILookup?Npi=1093804288","1093804288")</f>
        <v>1093804288</v>
      </c>
      <c r="E9757" t="s">
        <v>11433</v>
      </c>
    </row>
    <row r="9758" spans="1:5" x14ac:dyDescent="0.25">
      <c r="A9758" t="s">
        <v>2</v>
      </c>
      <c r="B9758" t="s">
        <v>3458</v>
      </c>
      <c r="C9758" t="s">
        <v>23490</v>
      </c>
      <c r="D9758" t="str">
        <f>HYPERLINK("https://rhld.insurance.arkansas.gov/NPILookup?Npi=1093804718","1093804718")</f>
        <v>1093804718</v>
      </c>
      <c r="E9758" t="s">
        <v>355</v>
      </c>
    </row>
    <row r="9759" spans="1:5" x14ac:dyDescent="0.25">
      <c r="A9759" t="s">
        <v>2</v>
      </c>
      <c r="B9759" t="s">
        <v>3458</v>
      </c>
      <c r="C9759" t="s">
        <v>23490</v>
      </c>
      <c r="D9759" t="str">
        <f>HYPERLINK("https://rhld.insurance.arkansas.gov/NPILookup?Npi=1093807638","1093807638")</f>
        <v>1093807638</v>
      </c>
      <c r="E9759" t="s">
        <v>356</v>
      </c>
    </row>
    <row r="9760" spans="1:5" x14ac:dyDescent="0.25">
      <c r="A9760" t="s">
        <v>2</v>
      </c>
      <c r="B9760" t="s">
        <v>3458</v>
      </c>
      <c r="C9760" t="s">
        <v>23490</v>
      </c>
      <c r="D9760" t="str">
        <f>HYPERLINK("https://rhld.insurance.arkansas.gov/NPILookup?Npi=1093813644","1093813644")</f>
        <v>1093813644</v>
      </c>
      <c r="E9760" t="s">
        <v>357</v>
      </c>
    </row>
    <row r="9761" spans="1:5" x14ac:dyDescent="0.25">
      <c r="A9761" t="s">
        <v>2</v>
      </c>
      <c r="B9761" t="s">
        <v>3458</v>
      </c>
      <c r="C9761" t="s">
        <v>23490</v>
      </c>
      <c r="D9761" t="str">
        <f>HYPERLINK("https://rhld.insurance.arkansas.gov/NPILookup?Npi=1093814980","1093814980")</f>
        <v>1093814980</v>
      </c>
      <c r="E9761" t="s">
        <v>15807</v>
      </c>
    </row>
    <row r="9762" spans="1:5" x14ac:dyDescent="0.25">
      <c r="A9762" t="s">
        <v>2</v>
      </c>
      <c r="B9762" t="s">
        <v>3458</v>
      </c>
      <c r="C9762" t="s">
        <v>23490</v>
      </c>
      <c r="D9762" t="str">
        <f>HYPERLINK("https://rhld.insurance.arkansas.gov/NPILookup?Npi=1093815268","1093815268")</f>
        <v>1093815268</v>
      </c>
      <c r="E9762" t="s">
        <v>358</v>
      </c>
    </row>
    <row r="9763" spans="1:5" x14ac:dyDescent="0.25">
      <c r="A9763" t="s">
        <v>2</v>
      </c>
      <c r="B9763" t="s">
        <v>3458</v>
      </c>
      <c r="C9763" t="s">
        <v>23490</v>
      </c>
      <c r="D9763" t="str">
        <f>HYPERLINK("https://rhld.insurance.arkansas.gov/NPILookup?Npi=1093818031","1093818031")</f>
        <v>1093818031</v>
      </c>
      <c r="E9763" t="s">
        <v>14760</v>
      </c>
    </row>
    <row r="9764" spans="1:5" x14ac:dyDescent="0.25">
      <c r="A9764" t="s">
        <v>2</v>
      </c>
      <c r="B9764" t="s">
        <v>3458</v>
      </c>
      <c r="C9764" t="s">
        <v>23490</v>
      </c>
      <c r="D9764" t="str">
        <f>HYPERLINK("https://rhld.insurance.arkansas.gov/NPILookup?Npi=1093821811","1093821811")</f>
        <v>1093821811</v>
      </c>
      <c r="E9764" t="s">
        <v>359</v>
      </c>
    </row>
    <row r="9765" spans="1:5" x14ac:dyDescent="0.25">
      <c r="A9765" t="s">
        <v>2</v>
      </c>
      <c r="B9765" t="s">
        <v>3458</v>
      </c>
      <c r="C9765" t="s">
        <v>23490</v>
      </c>
      <c r="D9765" t="str">
        <f>HYPERLINK("https://rhld.insurance.arkansas.gov/NPILookup?Npi=1093875411","1093875411")</f>
        <v>1093875411</v>
      </c>
      <c r="E9765" t="s">
        <v>14761</v>
      </c>
    </row>
    <row r="9766" spans="1:5" x14ac:dyDescent="0.25">
      <c r="A9766" t="s">
        <v>2</v>
      </c>
      <c r="B9766" t="s">
        <v>3458</v>
      </c>
      <c r="C9766" t="s">
        <v>23490</v>
      </c>
      <c r="D9766" t="str">
        <f>HYPERLINK("https://rhld.insurance.arkansas.gov/NPILookup?Npi=1093883167","1093883167")</f>
        <v>1093883167</v>
      </c>
      <c r="E9766" t="s">
        <v>14762</v>
      </c>
    </row>
    <row r="9767" spans="1:5" x14ac:dyDescent="0.25">
      <c r="A9767" t="s">
        <v>2</v>
      </c>
      <c r="B9767" t="s">
        <v>3458</v>
      </c>
      <c r="C9767" t="s">
        <v>23490</v>
      </c>
      <c r="D9767" t="str">
        <f>HYPERLINK("https://rhld.insurance.arkansas.gov/NPILookup?Npi=1093883795","1093883795")</f>
        <v>1093883795</v>
      </c>
      <c r="E9767" t="s">
        <v>14763</v>
      </c>
    </row>
    <row r="9768" spans="1:5" x14ac:dyDescent="0.25">
      <c r="A9768" t="s">
        <v>2</v>
      </c>
      <c r="B9768" t="s">
        <v>3458</v>
      </c>
      <c r="C9768" t="s">
        <v>23490</v>
      </c>
      <c r="D9768" t="str">
        <f>HYPERLINK("https://rhld.insurance.arkansas.gov/NPILookup?Npi=1093896201","1093896201")</f>
        <v>1093896201</v>
      </c>
      <c r="E9768" t="s">
        <v>360</v>
      </c>
    </row>
    <row r="9769" spans="1:5" x14ac:dyDescent="0.25">
      <c r="A9769" t="s">
        <v>2</v>
      </c>
      <c r="B9769" t="s">
        <v>3458</v>
      </c>
      <c r="C9769" t="s">
        <v>23490</v>
      </c>
      <c r="D9769" t="str">
        <f>HYPERLINK("https://rhld.insurance.arkansas.gov/NPILookup?Npi=1093916256","1093916256")</f>
        <v>1093916256</v>
      </c>
      <c r="E9769" t="s">
        <v>361</v>
      </c>
    </row>
    <row r="9770" spans="1:5" x14ac:dyDescent="0.25">
      <c r="A9770" t="s">
        <v>2</v>
      </c>
      <c r="B9770" t="s">
        <v>3458</v>
      </c>
      <c r="C9770" t="s">
        <v>23490</v>
      </c>
      <c r="D9770" t="str">
        <f>HYPERLINK("https://rhld.insurance.arkansas.gov/NPILookup?Npi=1093921835","1093921835")</f>
        <v>1093921835</v>
      </c>
      <c r="E9770" t="s">
        <v>8480</v>
      </c>
    </row>
    <row r="9771" spans="1:5" x14ac:dyDescent="0.25">
      <c r="A9771" t="s">
        <v>2</v>
      </c>
      <c r="B9771" t="s">
        <v>3458</v>
      </c>
      <c r="C9771" t="s">
        <v>23490</v>
      </c>
      <c r="D9771" t="str">
        <f>HYPERLINK("https://rhld.insurance.arkansas.gov/NPILookup?Npi=1093940942","1093940942")</f>
        <v>1093940942</v>
      </c>
      <c r="E9771" t="s">
        <v>18206</v>
      </c>
    </row>
    <row r="9772" spans="1:5" x14ac:dyDescent="0.25">
      <c r="A9772" t="s">
        <v>2</v>
      </c>
      <c r="B9772" t="s">
        <v>3458</v>
      </c>
      <c r="C9772" t="s">
        <v>23490</v>
      </c>
      <c r="D9772" t="str">
        <f>HYPERLINK("https://rhld.insurance.arkansas.gov/NPILookup?Npi=1093948796","1093948796")</f>
        <v>1093948796</v>
      </c>
      <c r="E9772" t="s">
        <v>17855</v>
      </c>
    </row>
    <row r="9773" spans="1:5" x14ac:dyDescent="0.25">
      <c r="A9773" t="s">
        <v>2</v>
      </c>
      <c r="B9773" t="s">
        <v>3458</v>
      </c>
      <c r="C9773" t="s">
        <v>23490</v>
      </c>
      <c r="D9773" t="str">
        <f>HYPERLINK("https://rhld.insurance.arkansas.gov/NPILookup?Npi=1093964223","1093964223")</f>
        <v>1093964223</v>
      </c>
      <c r="E9773" t="s">
        <v>20227</v>
      </c>
    </row>
    <row r="9774" spans="1:5" x14ac:dyDescent="0.25">
      <c r="A9774" t="s">
        <v>2</v>
      </c>
      <c r="B9774" t="s">
        <v>3458</v>
      </c>
      <c r="C9774" t="s">
        <v>23490</v>
      </c>
      <c r="D9774" t="str">
        <f>HYPERLINK("https://rhld.insurance.arkansas.gov/NPILookup?Npi=1093996134","1093996134")</f>
        <v>1093996134</v>
      </c>
      <c r="E9774" t="s">
        <v>3615</v>
      </c>
    </row>
    <row r="9775" spans="1:5" x14ac:dyDescent="0.25">
      <c r="A9775" t="s">
        <v>2</v>
      </c>
      <c r="B9775" t="s">
        <v>3458</v>
      </c>
      <c r="C9775" t="s">
        <v>23490</v>
      </c>
      <c r="D9775" t="str">
        <f>HYPERLINK("https://rhld.insurance.arkansas.gov/NPILookup?Npi=1104000553","1104000553")</f>
        <v>1104000553</v>
      </c>
      <c r="E9775" t="s">
        <v>16873</v>
      </c>
    </row>
    <row r="9776" spans="1:5" x14ac:dyDescent="0.25">
      <c r="A9776" t="s">
        <v>2</v>
      </c>
      <c r="B9776" t="s">
        <v>3458</v>
      </c>
      <c r="C9776" t="s">
        <v>23490</v>
      </c>
      <c r="D9776" t="str">
        <f>HYPERLINK("https://rhld.insurance.arkansas.gov/NPILookup?Npi=1104016732","1104016732")</f>
        <v>1104016732</v>
      </c>
      <c r="E9776" t="s">
        <v>363</v>
      </c>
    </row>
    <row r="9777" spans="1:5" x14ac:dyDescent="0.25">
      <c r="A9777" t="s">
        <v>2</v>
      </c>
      <c r="B9777" t="s">
        <v>3458</v>
      </c>
      <c r="C9777" t="s">
        <v>23490</v>
      </c>
      <c r="D9777" t="str">
        <f>HYPERLINK("https://rhld.insurance.arkansas.gov/NPILookup?Npi=1104024231","1104024231")</f>
        <v>1104024231</v>
      </c>
      <c r="E9777" t="s">
        <v>14764</v>
      </c>
    </row>
    <row r="9778" spans="1:5" x14ac:dyDescent="0.25">
      <c r="A9778" t="s">
        <v>2</v>
      </c>
      <c r="B9778" t="s">
        <v>3458</v>
      </c>
      <c r="C9778" t="s">
        <v>23490</v>
      </c>
      <c r="D9778" t="str">
        <f>HYPERLINK("https://rhld.insurance.arkansas.gov/NPILookup?Npi=1104029453","1104029453")</f>
        <v>1104029453</v>
      </c>
      <c r="E9778" t="s">
        <v>364</v>
      </c>
    </row>
    <row r="9779" spans="1:5" x14ac:dyDescent="0.25">
      <c r="A9779" t="s">
        <v>2</v>
      </c>
      <c r="B9779" t="s">
        <v>3458</v>
      </c>
      <c r="C9779" t="s">
        <v>23490</v>
      </c>
      <c r="D9779" t="str">
        <f>HYPERLINK("https://rhld.insurance.arkansas.gov/NPILookup?Npi=1104030634","1104030634")</f>
        <v>1104030634</v>
      </c>
      <c r="E9779" t="s">
        <v>365</v>
      </c>
    </row>
    <row r="9780" spans="1:5" x14ac:dyDescent="0.25">
      <c r="A9780" t="s">
        <v>2</v>
      </c>
      <c r="B9780" t="s">
        <v>3458</v>
      </c>
      <c r="C9780" t="s">
        <v>23490</v>
      </c>
      <c r="D9780" t="str">
        <f>HYPERLINK("https://rhld.insurance.arkansas.gov/NPILookup?Npi=1104050541","1104050541")</f>
        <v>1104050541</v>
      </c>
      <c r="E9780" t="s">
        <v>11434</v>
      </c>
    </row>
    <row r="9781" spans="1:5" x14ac:dyDescent="0.25">
      <c r="A9781" t="s">
        <v>2</v>
      </c>
      <c r="B9781" t="s">
        <v>3458</v>
      </c>
      <c r="C9781" t="s">
        <v>23490</v>
      </c>
      <c r="D9781" t="str">
        <f>HYPERLINK("https://rhld.insurance.arkansas.gov/NPILookup?Npi=1104101716","1104101716")</f>
        <v>1104101716</v>
      </c>
      <c r="E9781" t="s">
        <v>367</v>
      </c>
    </row>
    <row r="9782" spans="1:5" x14ac:dyDescent="0.25">
      <c r="A9782" t="s">
        <v>2</v>
      </c>
      <c r="B9782" t="s">
        <v>3458</v>
      </c>
      <c r="C9782" t="s">
        <v>23490</v>
      </c>
      <c r="D9782" t="str">
        <f>HYPERLINK("https://rhld.insurance.arkansas.gov/NPILookup?Npi=1104115153","1104115153")</f>
        <v>1104115153</v>
      </c>
      <c r="E9782" t="s">
        <v>12776</v>
      </c>
    </row>
    <row r="9783" spans="1:5" x14ac:dyDescent="0.25">
      <c r="A9783" t="s">
        <v>2</v>
      </c>
      <c r="B9783" t="s">
        <v>3458</v>
      </c>
      <c r="C9783" t="s">
        <v>23490</v>
      </c>
      <c r="D9783" t="str">
        <f>HYPERLINK("https://rhld.insurance.arkansas.gov/NPILookup?Npi=1104122803","1104122803")</f>
        <v>1104122803</v>
      </c>
      <c r="E9783" t="s">
        <v>368</v>
      </c>
    </row>
    <row r="9784" spans="1:5" x14ac:dyDescent="0.25">
      <c r="A9784" t="s">
        <v>2</v>
      </c>
      <c r="B9784" t="s">
        <v>3458</v>
      </c>
      <c r="C9784" t="s">
        <v>23490</v>
      </c>
      <c r="D9784" t="str">
        <f>HYPERLINK("https://rhld.insurance.arkansas.gov/NPILookup?Npi=1104141472","1104141472")</f>
        <v>1104141472</v>
      </c>
      <c r="E9784" t="s">
        <v>370</v>
      </c>
    </row>
    <row r="9785" spans="1:5" x14ac:dyDescent="0.25">
      <c r="A9785" t="s">
        <v>2</v>
      </c>
      <c r="B9785" t="s">
        <v>3458</v>
      </c>
      <c r="C9785" t="s">
        <v>23490</v>
      </c>
      <c r="D9785" t="str">
        <f>HYPERLINK("https://rhld.insurance.arkansas.gov/NPILookup?Npi=1104168178","1104168178")</f>
        <v>1104168178</v>
      </c>
      <c r="E9785" t="s">
        <v>14765</v>
      </c>
    </row>
    <row r="9786" spans="1:5" x14ac:dyDescent="0.25">
      <c r="A9786" t="s">
        <v>2</v>
      </c>
      <c r="B9786" t="s">
        <v>3458</v>
      </c>
      <c r="C9786" t="s">
        <v>23490</v>
      </c>
      <c r="D9786" t="str">
        <f>HYPERLINK("https://rhld.insurance.arkansas.gov/NPILookup?Npi=1104182641","1104182641")</f>
        <v>1104182641</v>
      </c>
      <c r="E9786" t="s">
        <v>10651</v>
      </c>
    </row>
    <row r="9787" spans="1:5" x14ac:dyDescent="0.25">
      <c r="A9787" t="s">
        <v>2</v>
      </c>
      <c r="B9787" t="s">
        <v>3458</v>
      </c>
      <c r="C9787" t="s">
        <v>23490</v>
      </c>
      <c r="D9787" t="str">
        <f>HYPERLINK("https://rhld.insurance.arkansas.gov/NPILookup?Npi=1104184241","1104184241")</f>
        <v>1104184241</v>
      </c>
      <c r="E9787" t="s">
        <v>14450</v>
      </c>
    </row>
    <row r="9788" spans="1:5" x14ac:dyDescent="0.25">
      <c r="A9788" t="s">
        <v>2</v>
      </c>
      <c r="B9788" t="s">
        <v>3458</v>
      </c>
      <c r="C9788" t="s">
        <v>23490</v>
      </c>
      <c r="D9788" t="str">
        <f>HYPERLINK("https://rhld.insurance.arkansas.gov/NPILookup?Npi=1104192053","1104192053")</f>
        <v>1104192053</v>
      </c>
      <c r="E9788" t="s">
        <v>8483</v>
      </c>
    </row>
    <row r="9789" spans="1:5" x14ac:dyDescent="0.25">
      <c r="A9789" t="s">
        <v>2</v>
      </c>
      <c r="B9789" t="s">
        <v>3458</v>
      </c>
      <c r="C9789" t="s">
        <v>23490</v>
      </c>
      <c r="D9789" t="str">
        <f>HYPERLINK("https://rhld.insurance.arkansas.gov/NPILookup?Npi=1104209915","1104209915")</f>
        <v>1104209915</v>
      </c>
      <c r="E9789" t="s">
        <v>373</v>
      </c>
    </row>
    <row r="9790" spans="1:5" x14ac:dyDescent="0.25">
      <c r="A9790" t="s">
        <v>2</v>
      </c>
      <c r="B9790" t="s">
        <v>3458</v>
      </c>
      <c r="C9790" t="s">
        <v>23490</v>
      </c>
      <c r="D9790" t="str">
        <f>HYPERLINK("https://rhld.insurance.arkansas.gov/NPILookup?Npi=1104213289","1104213289")</f>
        <v>1104213289</v>
      </c>
      <c r="E9790" t="s">
        <v>14766</v>
      </c>
    </row>
    <row r="9791" spans="1:5" x14ac:dyDescent="0.25">
      <c r="A9791" t="s">
        <v>2</v>
      </c>
      <c r="B9791" t="s">
        <v>3458</v>
      </c>
      <c r="C9791" t="s">
        <v>23490</v>
      </c>
      <c r="D9791" t="str">
        <f>HYPERLINK("https://rhld.insurance.arkansas.gov/NPILookup?Npi=1104215854","1104215854")</f>
        <v>1104215854</v>
      </c>
      <c r="E9791" t="s">
        <v>14767</v>
      </c>
    </row>
    <row r="9792" spans="1:5" x14ac:dyDescent="0.25">
      <c r="A9792" t="s">
        <v>2</v>
      </c>
      <c r="B9792" t="s">
        <v>3458</v>
      </c>
      <c r="C9792" t="s">
        <v>23490</v>
      </c>
      <c r="D9792" t="str">
        <f>HYPERLINK("https://rhld.insurance.arkansas.gov/NPILookup?Npi=1104223551","1104223551")</f>
        <v>1104223551</v>
      </c>
      <c r="E9792" t="s">
        <v>13367</v>
      </c>
    </row>
    <row r="9793" spans="1:5" x14ac:dyDescent="0.25">
      <c r="A9793" t="s">
        <v>2</v>
      </c>
      <c r="B9793" t="s">
        <v>3458</v>
      </c>
      <c r="C9793" t="s">
        <v>23490</v>
      </c>
      <c r="D9793" t="str">
        <f>HYPERLINK("https://rhld.insurance.arkansas.gov/NPILookup?Npi=1104225317","1104225317")</f>
        <v>1104225317</v>
      </c>
      <c r="E9793" t="s">
        <v>8484</v>
      </c>
    </row>
    <row r="9794" spans="1:5" x14ac:dyDescent="0.25">
      <c r="A9794" t="s">
        <v>2</v>
      </c>
      <c r="B9794" t="s">
        <v>3458</v>
      </c>
      <c r="C9794" t="s">
        <v>23490</v>
      </c>
      <c r="D9794" t="str">
        <f>HYPERLINK("https://rhld.insurance.arkansas.gov/NPILookup?Npi=1104231695","1104231695")</f>
        <v>1104231695</v>
      </c>
      <c r="E9794" t="s">
        <v>10652</v>
      </c>
    </row>
    <row r="9795" spans="1:5" x14ac:dyDescent="0.25">
      <c r="A9795" t="s">
        <v>2</v>
      </c>
      <c r="B9795" t="s">
        <v>3458</v>
      </c>
      <c r="C9795" t="s">
        <v>23490</v>
      </c>
      <c r="D9795" t="str">
        <f>HYPERLINK("https://rhld.insurance.arkansas.gov/NPILookup?Npi=1104239268","1104239268")</f>
        <v>1104239268</v>
      </c>
      <c r="E9795" t="s">
        <v>13368</v>
      </c>
    </row>
    <row r="9796" spans="1:5" x14ac:dyDescent="0.25">
      <c r="A9796" t="s">
        <v>2</v>
      </c>
      <c r="B9796" t="s">
        <v>3458</v>
      </c>
      <c r="C9796" t="s">
        <v>23490</v>
      </c>
      <c r="D9796" t="str">
        <f>HYPERLINK("https://rhld.insurance.arkansas.gov/NPILookup?Npi=1104245745","1104245745")</f>
        <v>1104245745</v>
      </c>
      <c r="E9796" t="s">
        <v>13369</v>
      </c>
    </row>
    <row r="9797" spans="1:5" x14ac:dyDescent="0.25">
      <c r="A9797" t="s">
        <v>2</v>
      </c>
      <c r="B9797" t="s">
        <v>3458</v>
      </c>
      <c r="C9797" t="s">
        <v>23490</v>
      </c>
      <c r="D9797" t="str">
        <f>HYPERLINK("https://rhld.insurance.arkansas.gov/NPILookup?Npi=1104260090","1104260090")</f>
        <v>1104260090</v>
      </c>
      <c r="E9797" t="s">
        <v>14769</v>
      </c>
    </row>
    <row r="9798" spans="1:5" x14ac:dyDescent="0.25">
      <c r="A9798" t="s">
        <v>2</v>
      </c>
      <c r="B9798" t="s">
        <v>3458</v>
      </c>
      <c r="C9798" t="s">
        <v>23490</v>
      </c>
      <c r="D9798" t="str">
        <f>HYPERLINK("https://rhld.insurance.arkansas.gov/NPILookup?Npi=1104262625","1104262625")</f>
        <v>1104262625</v>
      </c>
      <c r="E9798" t="s">
        <v>8485</v>
      </c>
    </row>
    <row r="9799" spans="1:5" x14ac:dyDescent="0.25">
      <c r="A9799" t="s">
        <v>2</v>
      </c>
      <c r="B9799" t="s">
        <v>3458</v>
      </c>
      <c r="C9799" t="s">
        <v>23490</v>
      </c>
      <c r="D9799" t="str">
        <f>HYPERLINK("https://rhld.insurance.arkansas.gov/NPILookup?Npi=1104265081","1104265081")</f>
        <v>1104265081</v>
      </c>
      <c r="E9799" t="s">
        <v>8486</v>
      </c>
    </row>
    <row r="9800" spans="1:5" x14ac:dyDescent="0.25">
      <c r="A9800" t="s">
        <v>2</v>
      </c>
      <c r="B9800" t="s">
        <v>3458</v>
      </c>
      <c r="C9800" t="s">
        <v>23490</v>
      </c>
      <c r="D9800" t="str">
        <f>HYPERLINK("https://rhld.insurance.arkansas.gov/NPILookup?Npi=1104266204","1104266204")</f>
        <v>1104266204</v>
      </c>
      <c r="E9800" t="s">
        <v>10653</v>
      </c>
    </row>
    <row r="9801" spans="1:5" x14ac:dyDescent="0.25">
      <c r="A9801" t="s">
        <v>2</v>
      </c>
      <c r="B9801" t="s">
        <v>3458</v>
      </c>
      <c r="C9801" t="s">
        <v>23490</v>
      </c>
      <c r="D9801" t="str">
        <f>HYPERLINK("https://rhld.insurance.arkansas.gov/NPILookup?Npi=1104313386","1104313386")</f>
        <v>1104313386</v>
      </c>
      <c r="E9801" t="s">
        <v>12959</v>
      </c>
    </row>
    <row r="9802" spans="1:5" x14ac:dyDescent="0.25">
      <c r="A9802" t="s">
        <v>2</v>
      </c>
      <c r="B9802" t="s">
        <v>3458</v>
      </c>
      <c r="C9802" t="s">
        <v>23490</v>
      </c>
      <c r="D9802" t="str">
        <f>HYPERLINK("https://rhld.insurance.arkansas.gov/NPILookup?Npi=1104319136","1104319136")</f>
        <v>1104319136</v>
      </c>
      <c r="E9802" t="s">
        <v>18668</v>
      </c>
    </row>
    <row r="9803" spans="1:5" x14ac:dyDescent="0.25">
      <c r="A9803" t="s">
        <v>2</v>
      </c>
      <c r="B9803" t="s">
        <v>3458</v>
      </c>
      <c r="C9803" t="s">
        <v>23490</v>
      </c>
      <c r="D9803" t="str">
        <f>HYPERLINK("https://rhld.insurance.arkansas.gov/NPILookup?Npi=1104320225","1104320225")</f>
        <v>1104320225</v>
      </c>
      <c r="E9803" t="s">
        <v>20228</v>
      </c>
    </row>
    <row r="9804" spans="1:5" x14ac:dyDescent="0.25">
      <c r="A9804" t="s">
        <v>2</v>
      </c>
      <c r="B9804" t="s">
        <v>3458</v>
      </c>
      <c r="C9804" t="s">
        <v>23490</v>
      </c>
      <c r="D9804" t="str">
        <f>HYPERLINK("https://rhld.insurance.arkansas.gov/NPILookup?Npi=1104327667","1104327667")</f>
        <v>1104327667</v>
      </c>
      <c r="E9804" t="s">
        <v>14771</v>
      </c>
    </row>
    <row r="9805" spans="1:5" x14ac:dyDescent="0.25">
      <c r="A9805" t="s">
        <v>2</v>
      </c>
      <c r="B9805" t="s">
        <v>3458</v>
      </c>
      <c r="C9805" t="s">
        <v>23490</v>
      </c>
      <c r="D9805" t="str">
        <f>HYPERLINK("https://rhld.insurance.arkansas.gov/NPILookup?Npi=1104342799","1104342799")</f>
        <v>1104342799</v>
      </c>
      <c r="E9805" t="s">
        <v>13370</v>
      </c>
    </row>
    <row r="9806" spans="1:5" x14ac:dyDescent="0.25">
      <c r="A9806" t="s">
        <v>2</v>
      </c>
      <c r="B9806" t="s">
        <v>3458</v>
      </c>
      <c r="C9806" t="s">
        <v>23490</v>
      </c>
      <c r="D9806" t="str">
        <f>HYPERLINK("https://rhld.insurance.arkansas.gov/NPILookup?Npi=1104358688","1104358688")</f>
        <v>1104358688</v>
      </c>
      <c r="E9806" t="s">
        <v>17387</v>
      </c>
    </row>
    <row r="9807" spans="1:5" x14ac:dyDescent="0.25">
      <c r="A9807" t="s">
        <v>2</v>
      </c>
      <c r="B9807" t="s">
        <v>3458</v>
      </c>
      <c r="C9807" t="s">
        <v>23490</v>
      </c>
      <c r="D9807" t="str">
        <f>HYPERLINK("https://rhld.insurance.arkansas.gov/NPILookup?Npi=1104358704","1104358704")</f>
        <v>1104358704</v>
      </c>
      <c r="E9807" t="s">
        <v>17857</v>
      </c>
    </row>
    <row r="9808" spans="1:5" x14ac:dyDescent="0.25">
      <c r="A9808" t="s">
        <v>2</v>
      </c>
      <c r="B9808" t="s">
        <v>3458</v>
      </c>
      <c r="C9808" t="s">
        <v>23490</v>
      </c>
      <c r="D9808" t="str">
        <f>HYPERLINK("https://rhld.insurance.arkansas.gov/NPILookup?Npi=1104363944","1104363944")</f>
        <v>1104363944</v>
      </c>
      <c r="E9808" t="s">
        <v>10654</v>
      </c>
    </row>
    <row r="9809" spans="1:5" x14ac:dyDescent="0.25">
      <c r="A9809" t="s">
        <v>2</v>
      </c>
      <c r="B9809" t="s">
        <v>3458</v>
      </c>
      <c r="C9809" t="s">
        <v>23490</v>
      </c>
      <c r="D9809" t="str">
        <f>HYPERLINK("https://rhld.insurance.arkansas.gov/NPILookup?Npi=1104368406","1104368406")</f>
        <v>1104368406</v>
      </c>
      <c r="E9809" t="s">
        <v>10655</v>
      </c>
    </row>
    <row r="9810" spans="1:5" x14ac:dyDescent="0.25">
      <c r="A9810" t="s">
        <v>2</v>
      </c>
      <c r="B9810" t="s">
        <v>3458</v>
      </c>
      <c r="C9810" t="s">
        <v>23490</v>
      </c>
      <c r="D9810" t="str">
        <f>HYPERLINK("https://rhld.insurance.arkansas.gov/NPILookup?Npi=1104410604","1104410604")</f>
        <v>1104410604</v>
      </c>
      <c r="E9810" t="s">
        <v>20893</v>
      </c>
    </row>
    <row r="9811" spans="1:5" x14ac:dyDescent="0.25">
      <c r="A9811" t="s">
        <v>2</v>
      </c>
      <c r="B9811" t="s">
        <v>3458</v>
      </c>
      <c r="C9811" t="s">
        <v>23490</v>
      </c>
      <c r="D9811" t="str">
        <f>HYPERLINK("https://rhld.insurance.arkansas.gov/NPILookup?Npi=1104425586","1104425586")</f>
        <v>1104425586</v>
      </c>
      <c r="E9811" t="s">
        <v>18669</v>
      </c>
    </row>
    <row r="9812" spans="1:5" x14ac:dyDescent="0.25">
      <c r="A9812" t="s">
        <v>2</v>
      </c>
      <c r="B9812" t="s">
        <v>3458</v>
      </c>
      <c r="C9812" t="s">
        <v>23490</v>
      </c>
      <c r="D9812" t="str">
        <f>HYPERLINK("https://rhld.insurance.arkansas.gov/NPILookup?Npi=1104426261","1104426261")</f>
        <v>1104426261</v>
      </c>
      <c r="E9812" t="s">
        <v>21075</v>
      </c>
    </row>
    <row r="9813" spans="1:5" x14ac:dyDescent="0.25">
      <c r="A9813" t="s">
        <v>2</v>
      </c>
      <c r="B9813" t="s">
        <v>3458</v>
      </c>
      <c r="C9813" t="s">
        <v>23490</v>
      </c>
      <c r="D9813" t="str">
        <f>HYPERLINK("https://rhld.insurance.arkansas.gov/NPILookup?Npi=1104459478","1104459478")</f>
        <v>1104459478</v>
      </c>
      <c r="E9813" t="s">
        <v>17505</v>
      </c>
    </row>
    <row r="9814" spans="1:5" x14ac:dyDescent="0.25">
      <c r="A9814" t="s">
        <v>2</v>
      </c>
      <c r="B9814" t="s">
        <v>3458</v>
      </c>
      <c r="C9814" t="s">
        <v>23490</v>
      </c>
      <c r="D9814" t="str">
        <f>HYPERLINK("https://rhld.insurance.arkansas.gov/NPILookup?Npi=1104462712","1104462712")</f>
        <v>1104462712</v>
      </c>
      <c r="E9814" t="s">
        <v>17859</v>
      </c>
    </row>
    <row r="9815" spans="1:5" x14ac:dyDescent="0.25">
      <c r="A9815" t="s">
        <v>2</v>
      </c>
      <c r="B9815" t="s">
        <v>3458</v>
      </c>
      <c r="C9815" t="s">
        <v>23490</v>
      </c>
      <c r="D9815" t="str">
        <f>HYPERLINK("https://rhld.insurance.arkansas.gov/NPILookup?Npi=1104478585","1104478585")</f>
        <v>1104478585</v>
      </c>
      <c r="E9815" t="s">
        <v>14773</v>
      </c>
    </row>
    <row r="9816" spans="1:5" x14ac:dyDescent="0.25">
      <c r="A9816" t="s">
        <v>2</v>
      </c>
      <c r="B9816" t="s">
        <v>3458</v>
      </c>
      <c r="C9816" t="s">
        <v>23490</v>
      </c>
      <c r="D9816" t="str">
        <f>HYPERLINK("https://rhld.insurance.arkansas.gov/NPILookup?Npi=1104492255","1104492255")</f>
        <v>1104492255</v>
      </c>
      <c r="E9816" t="s">
        <v>18670</v>
      </c>
    </row>
    <row r="9817" spans="1:5" x14ac:dyDescent="0.25">
      <c r="A9817" t="s">
        <v>2</v>
      </c>
      <c r="B9817" t="s">
        <v>3458</v>
      </c>
      <c r="C9817" t="s">
        <v>8427</v>
      </c>
      <c r="D9817" t="str">
        <f>HYPERLINK("https://rhld.insurance.arkansas.gov/NPILookup?Npi=1104526573","1104526573")</f>
        <v>1104526573</v>
      </c>
      <c r="E9817" t="s">
        <v>22892</v>
      </c>
    </row>
    <row r="9818" spans="1:5" x14ac:dyDescent="0.25">
      <c r="A9818" t="s">
        <v>2</v>
      </c>
      <c r="B9818" t="s">
        <v>3458</v>
      </c>
      <c r="C9818" t="s">
        <v>23490</v>
      </c>
      <c r="D9818" t="str">
        <f>HYPERLINK("https://rhld.insurance.arkansas.gov/NPILookup?Npi=1104592955","1104592955")</f>
        <v>1104592955</v>
      </c>
      <c r="E9818" t="s">
        <v>19425</v>
      </c>
    </row>
    <row r="9819" spans="1:5" x14ac:dyDescent="0.25">
      <c r="A9819" t="s">
        <v>2</v>
      </c>
      <c r="B9819" t="s">
        <v>3458</v>
      </c>
      <c r="C9819" t="s">
        <v>23490</v>
      </c>
      <c r="D9819" t="str">
        <f>HYPERLINK("https://rhld.insurance.arkansas.gov/NPILookup?Npi=1104810126","1104810126")</f>
        <v>1104810126</v>
      </c>
      <c r="E9819" t="s">
        <v>3513</v>
      </c>
    </row>
    <row r="9820" spans="1:5" x14ac:dyDescent="0.25">
      <c r="A9820" t="s">
        <v>2</v>
      </c>
      <c r="B9820" t="s">
        <v>3458</v>
      </c>
      <c r="C9820" t="s">
        <v>23490</v>
      </c>
      <c r="D9820" t="str">
        <f>HYPERLINK("https://rhld.insurance.arkansas.gov/NPILookup?Npi=1104810704","1104810704")</f>
        <v>1104810704</v>
      </c>
      <c r="E9820" t="s">
        <v>374</v>
      </c>
    </row>
    <row r="9821" spans="1:5" x14ac:dyDescent="0.25">
      <c r="A9821" t="s">
        <v>2</v>
      </c>
      <c r="B9821" t="s">
        <v>3458</v>
      </c>
      <c r="C9821" t="s">
        <v>23490</v>
      </c>
      <c r="D9821" t="str">
        <f>HYPERLINK("https://rhld.insurance.arkansas.gov/NPILookup?Npi=1104811108","1104811108")</f>
        <v>1104811108</v>
      </c>
      <c r="E9821" t="s">
        <v>375</v>
      </c>
    </row>
    <row r="9822" spans="1:5" x14ac:dyDescent="0.25">
      <c r="A9822" t="s">
        <v>2</v>
      </c>
      <c r="B9822" t="s">
        <v>3458</v>
      </c>
      <c r="C9822" t="s">
        <v>23490</v>
      </c>
      <c r="D9822" t="str">
        <f>HYPERLINK("https://rhld.insurance.arkansas.gov/NPILookup?Npi=1104820612","1104820612")</f>
        <v>1104820612</v>
      </c>
      <c r="E9822" t="s">
        <v>377</v>
      </c>
    </row>
    <row r="9823" spans="1:5" x14ac:dyDescent="0.25">
      <c r="A9823" t="s">
        <v>2</v>
      </c>
      <c r="B9823" t="s">
        <v>3458</v>
      </c>
      <c r="C9823" t="s">
        <v>23490</v>
      </c>
      <c r="D9823" t="str">
        <f>HYPERLINK("https://rhld.insurance.arkansas.gov/NPILookup?Npi=1104822634","1104822634")</f>
        <v>1104822634</v>
      </c>
      <c r="E9823" t="s">
        <v>378</v>
      </c>
    </row>
    <row r="9824" spans="1:5" x14ac:dyDescent="0.25">
      <c r="A9824" t="s">
        <v>2</v>
      </c>
      <c r="B9824" t="s">
        <v>3458</v>
      </c>
      <c r="C9824" t="s">
        <v>23490</v>
      </c>
      <c r="D9824" t="str">
        <f>HYPERLINK("https://rhld.insurance.arkansas.gov/NPILookup?Npi=1104823020","1104823020")</f>
        <v>1104823020</v>
      </c>
      <c r="E9824" t="s">
        <v>379</v>
      </c>
    </row>
    <row r="9825" spans="1:5" x14ac:dyDescent="0.25">
      <c r="A9825" t="s">
        <v>2</v>
      </c>
      <c r="B9825" t="s">
        <v>3458</v>
      </c>
      <c r="C9825" t="s">
        <v>23490</v>
      </c>
      <c r="D9825" t="str">
        <f>HYPERLINK("https://rhld.insurance.arkansas.gov/NPILookup?Npi=1104824838","1104824838")</f>
        <v>1104824838</v>
      </c>
      <c r="E9825" t="s">
        <v>3514</v>
      </c>
    </row>
    <row r="9826" spans="1:5" x14ac:dyDescent="0.25">
      <c r="A9826" t="s">
        <v>2</v>
      </c>
      <c r="B9826" t="s">
        <v>3458</v>
      </c>
      <c r="C9826" t="s">
        <v>23490</v>
      </c>
      <c r="D9826" t="str">
        <f>HYPERLINK("https://rhld.insurance.arkansas.gov/NPILookup?Npi=1104826320","1104826320")</f>
        <v>1104826320</v>
      </c>
      <c r="E9826" t="s">
        <v>380</v>
      </c>
    </row>
    <row r="9827" spans="1:5" x14ac:dyDescent="0.25">
      <c r="A9827" t="s">
        <v>2</v>
      </c>
      <c r="B9827" t="s">
        <v>3458</v>
      </c>
      <c r="C9827" t="s">
        <v>23490</v>
      </c>
      <c r="D9827" t="str">
        <f>HYPERLINK("https://rhld.insurance.arkansas.gov/NPILookup?Npi=1104838945","1104838945")</f>
        <v>1104838945</v>
      </c>
      <c r="E9827" t="s">
        <v>10656</v>
      </c>
    </row>
    <row r="9828" spans="1:5" x14ac:dyDescent="0.25">
      <c r="A9828" t="s">
        <v>2</v>
      </c>
      <c r="B9828" t="s">
        <v>3458</v>
      </c>
      <c r="C9828" t="s">
        <v>23490</v>
      </c>
      <c r="D9828" t="str">
        <f>HYPERLINK("https://rhld.insurance.arkansas.gov/NPILookup?Npi=1104851641","1104851641")</f>
        <v>1104851641</v>
      </c>
      <c r="E9828" t="s">
        <v>383</v>
      </c>
    </row>
    <row r="9829" spans="1:5" x14ac:dyDescent="0.25">
      <c r="A9829" t="s">
        <v>2</v>
      </c>
      <c r="B9829" t="s">
        <v>3458</v>
      </c>
      <c r="C9829" t="s">
        <v>23490</v>
      </c>
      <c r="D9829" t="str">
        <f>HYPERLINK("https://rhld.insurance.arkansas.gov/NPILookup?Npi=1104853860","1104853860")</f>
        <v>1104853860</v>
      </c>
      <c r="E9829" t="s">
        <v>384</v>
      </c>
    </row>
    <row r="9830" spans="1:5" x14ac:dyDescent="0.25">
      <c r="A9830" t="s">
        <v>2</v>
      </c>
      <c r="B9830" t="s">
        <v>3458</v>
      </c>
      <c r="C9830" t="s">
        <v>23490</v>
      </c>
      <c r="D9830" t="str">
        <f>HYPERLINK("https://rhld.insurance.arkansas.gov/NPILookup?Npi=1104856384","1104856384")</f>
        <v>1104856384</v>
      </c>
      <c r="E9830" t="s">
        <v>14774</v>
      </c>
    </row>
    <row r="9831" spans="1:5" x14ac:dyDescent="0.25">
      <c r="A9831" t="s">
        <v>2</v>
      </c>
      <c r="B9831" t="s">
        <v>3458</v>
      </c>
      <c r="C9831" t="s">
        <v>23490</v>
      </c>
      <c r="D9831" t="str">
        <f>HYPERLINK("https://rhld.insurance.arkansas.gov/NPILookup?Npi=1104860824","1104860824")</f>
        <v>1104860824</v>
      </c>
      <c r="E9831" t="s">
        <v>385</v>
      </c>
    </row>
    <row r="9832" spans="1:5" x14ac:dyDescent="0.25">
      <c r="A9832" t="s">
        <v>2</v>
      </c>
      <c r="B9832" t="s">
        <v>3458</v>
      </c>
      <c r="C9832" t="s">
        <v>23490</v>
      </c>
      <c r="D9832" t="str">
        <f>HYPERLINK("https://rhld.insurance.arkansas.gov/NPILookup?Npi=1104872969","1104872969")</f>
        <v>1104872969</v>
      </c>
      <c r="E9832" t="s">
        <v>386</v>
      </c>
    </row>
    <row r="9833" spans="1:5" x14ac:dyDescent="0.25">
      <c r="A9833" t="s">
        <v>2</v>
      </c>
      <c r="B9833" t="s">
        <v>3458</v>
      </c>
      <c r="C9833" t="s">
        <v>23490</v>
      </c>
      <c r="D9833" t="str">
        <f>HYPERLINK("https://rhld.insurance.arkansas.gov/NPILookup?Npi=1104875509","1104875509")</f>
        <v>1104875509</v>
      </c>
      <c r="E9833" t="s">
        <v>3515</v>
      </c>
    </row>
    <row r="9834" spans="1:5" x14ac:dyDescent="0.25">
      <c r="A9834" t="s">
        <v>2</v>
      </c>
      <c r="B9834" t="s">
        <v>3458</v>
      </c>
      <c r="C9834" t="s">
        <v>23490</v>
      </c>
      <c r="D9834" t="str">
        <f>HYPERLINK("https://rhld.insurance.arkansas.gov/NPILookup?Npi=1104878164","1104878164")</f>
        <v>1104878164</v>
      </c>
      <c r="E9834" t="s">
        <v>3516</v>
      </c>
    </row>
    <row r="9835" spans="1:5" x14ac:dyDescent="0.25">
      <c r="A9835" t="s">
        <v>2</v>
      </c>
      <c r="B9835" t="s">
        <v>3458</v>
      </c>
      <c r="C9835" t="s">
        <v>23490</v>
      </c>
      <c r="D9835" t="str">
        <f>HYPERLINK("https://rhld.insurance.arkansas.gov/NPILookup?Npi=1104887215","1104887215")</f>
        <v>1104887215</v>
      </c>
      <c r="E9835" t="s">
        <v>387</v>
      </c>
    </row>
    <row r="9836" spans="1:5" x14ac:dyDescent="0.25">
      <c r="A9836" t="s">
        <v>2</v>
      </c>
      <c r="B9836" t="s">
        <v>3458</v>
      </c>
      <c r="C9836" t="s">
        <v>23490</v>
      </c>
      <c r="D9836" t="str">
        <f>HYPERLINK("https://rhld.insurance.arkansas.gov/NPILookup?Npi=1104899129","1104899129")</f>
        <v>1104899129</v>
      </c>
      <c r="E9836" t="s">
        <v>14775</v>
      </c>
    </row>
    <row r="9837" spans="1:5" x14ac:dyDescent="0.25">
      <c r="A9837" t="s">
        <v>2</v>
      </c>
      <c r="B9837" t="s">
        <v>3458</v>
      </c>
      <c r="C9837" t="s">
        <v>23490</v>
      </c>
      <c r="D9837" t="str">
        <f>HYPERLINK("https://rhld.insurance.arkansas.gov/NPILookup?Npi=1104968171","1104968171")</f>
        <v>1104968171</v>
      </c>
      <c r="E9837" t="s">
        <v>23017</v>
      </c>
    </row>
    <row r="9838" spans="1:5" x14ac:dyDescent="0.25">
      <c r="A9838" t="s">
        <v>2</v>
      </c>
      <c r="B9838" t="s">
        <v>3458</v>
      </c>
      <c r="C9838" t="s">
        <v>23490</v>
      </c>
      <c r="D9838" t="str">
        <f>HYPERLINK("https://rhld.insurance.arkansas.gov/NPILookup?Npi=1104971373","1104971373")</f>
        <v>1104971373</v>
      </c>
      <c r="E9838" t="s">
        <v>393</v>
      </c>
    </row>
    <row r="9839" spans="1:5" x14ac:dyDescent="0.25">
      <c r="A9839" t="s">
        <v>2</v>
      </c>
      <c r="B9839" t="s">
        <v>3458</v>
      </c>
      <c r="C9839" t="s">
        <v>23490</v>
      </c>
      <c r="D9839" t="str">
        <f>HYPERLINK("https://rhld.insurance.arkansas.gov/NPILookup?Npi=1114017555","1114017555")</f>
        <v>1114017555</v>
      </c>
      <c r="E9839" t="s">
        <v>10657</v>
      </c>
    </row>
    <row r="9840" spans="1:5" x14ac:dyDescent="0.25">
      <c r="A9840" t="s">
        <v>2</v>
      </c>
      <c r="B9840" t="s">
        <v>3458</v>
      </c>
      <c r="C9840" t="s">
        <v>23490</v>
      </c>
      <c r="D9840" t="str">
        <f>HYPERLINK("https://rhld.insurance.arkansas.gov/NPILookup?Npi=1114027356","1114027356")</f>
        <v>1114027356</v>
      </c>
      <c r="E9840" t="s">
        <v>10658</v>
      </c>
    </row>
    <row r="9841" spans="1:5" x14ac:dyDescent="0.25">
      <c r="A9841" t="s">
        <v>2</v>
      </c>
      <c r="B9841" t="s">
        <v>3458</v>
      </c>
      <c r="C9841" t="s">
        <v>23490</v>
      </c>
      <c r="D9841" t="str">
        <f>HYPERLINK("https://rhld.insurance.arkansas.gov/NPILookup?Npi=1114029238","1114029238")</f>
        <v>1114029238</v>
      </c>
      <c r="E9841" t="s">
        <v>3667</v>
      </c>
    </row>
    <row r="9842" spans="1:5" x14ac:dyDescent="0.25">
      <c r="A9842" t="s">
        <v>2</v>
      </c>
      <c r="B9842" t="s">
        <v>3458</v>
      </c>
      <c r="C9842" t="s">
        <v>23490</v>
      </c>
      <c r="D9842" t="str">
        <f>HYPERLINK("https://rhld.insurance.arkansas.gov/NPILookup?Npi=1114055845","1114055845")</f>
        <v>1114055845</v>
      </c>
      <c r="E9842" t="s">
        <v>8490</v>
      </c>
    </row>
    <row r="9843" spans="1:5" x14ac:dyDescent="0.25">
      <c r="A9843" t="s">
        <v>2</v>
      </c>
      <c r="B9843" t="s">
        <v>3458</v>
      </c>
      <c r="C9843" t="s">
        <v>23490</v>
      </c>
      <c r="D9843" t="str">
        <f>HYPERLINK("https://rhld.insurance.arkansas.gov/NPILookup?Npi=1114074523","1114074523")</f>
        <v>1114074523</v>
      </c>
      <c r="E9843" t="s">
        <v>394</v>
      </c>
    </row>
    <row r="9844" spans="1:5" x14ac:dyDescent="0.25">
      <c r="A9844" t="s">
        <v>2</v>
      </c>
      <c r="B9844" t="s">
        <v>3458</v>
      </c>
      <c r="C9844" t="s">
        <v>23490</v>
      </c>
      <c r="D9844" t="str">
        <f>HYPERLINK("https://rhld.insurance.arkansas.gov/NPILookup?Npi=1114083490","1114083490")</f>
        <v>1114083490</v>
      </c>
      <c r="E9844" t="s">
        <v>3517</v>
      </c>
    </row>
    <row r="9845" spans="1:5" x14ac:dyDescent="0.25">
      <c r="A9845" t="s">
        <v>2</v>
      </c>
      <c r="B9845" t="s">
        <v>3458</v>
      </c>
      <c r="C9845" t="s">
        <v>23490</v>
      </c>
      <c r="D9845" t="str">
        <f>HYPERLINK("https://rhld.insurance.arkansas.gov/NPILookup?Npi=1114085768","1114085768")</f>
        <v>1114085768</v>
      </c>
      <c r="E9845" t="s">
        <v>395</v>
      </c>
    </row>
    <row r="9846" spans="1:5" x14ac:dyDescent="0.25">
      <c r="A9846" t="s">
        <v>2</v>
      </c>
      <c r="B9846" t="s">
        <v>3458</v>
      </c>
      <c r="C9846" t="s">
        <v>23490</v>
      </c>
      <c r="D9846" t="str">
        <f>HYPERLINK("https://rhld.insurance.arkansas.gov/NPILookup?Npi=1114111978","1114111978")</f>
        <v>1114111978</v>
      </c>
      <c r="E9846" t="s">
        <v>14776</v>
      </c>
    </row>
    <row r="9847" spans="1:5" x14ac:dyDescent="0.25">
      <c r="A9847" t="s">
        <v>2</v>
      </c>
      <c r="B9847" t="s">
        <v>3458</v>
      </c>
      <c r="C9847" t="s">
        <v>23490</v>
      </c>
      <c r="D9847" t="str">
        <f>HYPERLINK("https://rhld.insurance.arkansas.gov/NPILookup?Npi=1114131083","1114131083")</f>
        <v>1114131083</v>
      </c>
      <c r="E9847" t="s">
        <v>13823</v>
      </c>
    </row>
    <row r="9848" spans="1:5" x14ac:dyDescent="0.25">
      <c r="A9848" t="s">
        <v>2</v>
      </c>
      <c r="B9848" t="s">
        <v>3458</v>
      </c>
      <c r="C9848" t="s">
        <v>23490</v>
      </c>
      <c r="D9848" t="str">
        <f>HYPERLINK("https://rhld.insurance.arkansas.gov/NPILookup?Npi=1114145893","1114145893")</f>
        <v>1114145893</v>
      </c>
      <c r="E9848" t="s">
        <v>10659</v>
      </c>
    </row>
    <row r="9849" spans="1:5" x14ac:dyDescent="0.25">
      <c r="A9849" t="s">
        <v>2</v>
      </c>
      <c r="B9849" t="s">
        <v>3458</v>
      </c>
      <c r="C9849" t="s">
        <v>23490</v>
      </c>
      <c r="D9849" t="str">
        <f>HYPERLINK("https://rhld.insurance.arkansas.gov/NPILookup?Npi=1114149093","1114149093")</f>
        <v>1114149093</v>
      </c>
      <c r="E9849" t="s">
        <v>14777</v>
      </c>
    </row>
    <row r="9850" spans="1:5" x14ac:dyDescent="0.25">
      <c r="A9850" t="s">
        <v>2</v>
      </c>
      <c r="B9850" t="s">
        <v>3458</v>
      </c>
      <c r="C9850" t="s">
        <v>23490</v>
      </c>
      <c r="D9850" t="str">
        <f>HYPERLINK("https://rhld.insurance.arkansas.gov/NPILookup?Npi=1114199130","1114199130")</f>
        <v>1114199130</v>
      </c>
      <c r="E9850" t="s">
        <v>21076</v>
      </c>
    </row>
    <row r="9851" spans="1:5" x14ac:dyDescent="0.25">
      <c r="A9851" t="s">
        <v>2</v>
      </c>
      <c r="B9851" t="s">
        <v>3458</v>
      </c>
      <c r="C9851" t="s">
        <v>23490</v>
      </c>
      <c r="D9851" t="str">
        <f>HYPERLINK("https://rhld.insurance.arkansas.gov/NPILookup?Npi=1114232865","1114232865")</f>
        <v>1114232865</v>
      </c>
      <c r="E9851" t="s">
        <v>8491</v>
      </c>
    </row>
    <row r="9852" spans="1:5" x14ac:dyDescent="0.25">
      <c r="A9852" t="s">
        <v>2</v>
      </c>
      <c r="B9852" t="s">
        <v>3458</v>
      </c>
      <c r="C9852" t="s">
        <v>23490</v>
      </c>
      <c r="D9852" t="str">
        <f>HYPERLINK("https://rhld.insurance.arkansas.gov/NPILookup?Npi=1114256872","1114256872")</f>
        <v>1114256872</v>
      </c>
      <c r="E9852" t="s">
        <v>2648</v>
      </c>
    </row>
    <row r="9853" spans="1:5" x14ac:dyDescent="0.25">
      <c r="A9853" t="s">
        <v>2</v>
      </c>
      <c r="B9853" t="s">
        <v>3458</v>
      </c>
      <c r="C9853" t="s">
        <v>23490</v>
      </c>
      <c r="D9853" t="str">
        <f>HYPERLINK("https://rhld.insurance.arkansas.gov/NPILookup?Npi=1114281060","1114281060")</f>
        <v>1114281060</v>
      </c>
      <c r="E9853" t="s">
        <v>400</v>
      </c>
    </row>
    <row r="9854" spans="1:5" x14ac:dyDescent="0.25">
      <c r="A9854" t="s">
        <v>2</v>
      </c>
      <c r="B9854" t="s">
        <v>3458</v>
      </c>
      <c r="C9854" t="s">
        <v>23490</v>
      </c>
      <c r="D9854" t="str">
        <f>HYPERLINK("https://rhld.insurance.arkansas.gov/NPILookup?Npi=1114289899","1114289899")</f>
        <v>1114289899</v>
      </c>
      <c r="E9854" t="s">
        <v>401</v>
      </c>
    </row>
    <row r="9855" spans="1:5" x14ac:dyDescent="0.25">
      <c r="A9855" t="s">
        <v>2</v>
      </c>
      <c r="B9855" t="s">
        <v>3458</v>
      </c>
      <c r="C9855" t="s">
        <v>23490</v>
      </c>
      <c r="D9855" t="str">
        <f>HYPERLINK("https://rhld.insurance.arkansas.gov/NPILookup?Npi=1114300092","1114300092")</f>
        <v>1114300092</v>
      </c>
      <c r="E9855" t="s">
        <v>8492</v>
      </c>
    </row>
    <row r="9856" spans="1:5" x14ac:dyDescent="0.25">
      <c r="A9856" t="s">
        <v>2</v>
      </c>
      <c r="B9856" t="s">
        <v>3458</v>
      </c>
      <c r="C9856" t="s">
        <v>23490</v>
      </c>
      <c r="D9856" t="str">
        <f>HYPERLINK("https://rhld.insurance.arkansas.gov/NPILookup?Npi=1114305828","1114305828")</f>
        <v>1114305828</v>
      </c>
      <c r="E9856" t="s">
        <v>19426</v>
      </c>
    </row>
    <row r="9857" spans="1:5" x14ac:dyDescent="0.25">
      <c r="A9857" t="s">
        <v>2</v>
      </c>
      <c r="B9857" t="s">
        <v>3458</v>
      </c>
      <c r="C9857" t="s">
        <v>23490</v>
      </c>
      <c r="D9857" t="str">
        <f>HYPERLINK("https://rhld.insurance.arkansas.gov/NPILookup?Npi=1114305901","1114305901")</f>
        <v>1114305901</v>
      </c>
      <c r="E9857" t="s">
        <v>13824</v>
      </c>
    </row>
    <row r="9858" spans="1:5" x14ac:dyDescent="0.25">
      <c r="A9858" t="s">
        <v>2</v>
      </c>
      <c r="B9858" t="s">
        <v>3458</v>
      </c>
      <c r="C9858" t="s">
        <v>23490</v>
      </c>
      <c r="D9858" t="str">
        <f>HYPERLINK("https://rhld.insurance.arkansas.gov/NPILookup?Npi=1114308707","1114308707")</f>
        <v>1114308707</v>
      </c>
      <c r="E9858" t="s">
        <v>3218</v>
      </c>
    </row>
    <row r="9859" spans="1:5" x14ac:dyDescent="0.25">
      <c r="A9859" t="s">
        <v>2</v>
      </c>
      <c r="B9859" t="s">
        <v>3458</v>
      </c>
      <c r="C9859" t="s">
        <v>23490</v>
      </c>
      <c r="D9859" t="str">
        <f>HYPERLINK("https://rhld.insurance.arkansas.gov/NPILookup?Npi=1114310711","1114310711")</f>
        <v>1114310711</v>
      </c>
      <c r="E9859" t="s">
        <v>403</v>
      </c>
    </row>
    <row r="9860" spans="1:5" x14ac:dyDescent="0.25">
      <c r="A9860" t="s">
        <v>2</v>
      </c>
      <c r="B9860" t="s">
        <v>3458</v>
      </c>
      <c r="C9860" t="s">
        <v>23490</v>
      </c>
      <c r="D9860" t="str">
        <f>HYPERLINK("https://rhld.insurance.arkansas.gov/NPILookup?Npi=1114310877","1114310877")</f>
        <v>1114310877</v>
      </c>
      <c r="E9860" t="s">
        <v>1856</v>
      </c>
    </row>
    <row r="9861" spans="1:5" x14ac:dyDescent="0.25">
      <c r="A9861" t="s">
        <v>2</v>
      </c>
      <c r="B9861" t="s">
        <v>3458</v>
      </c>
      <c r="C9861" t="s">
        <v>23490</v>
      </c>
      <c r="D9861" t="str">
        <f>HYPERLINK("https://rhld.insurance.arkansas.gov/NPILookup?Npi=1114317054","1114317054")</f>
        <v>1114317054</v>
      </c>
      <c r="E9861" t="s">
        <v>14778</v>
      </c>
    </row>
    <row r="9862" spans="1:5" x14ac:dyDescent="0.25">
      <c r="A9862" t="s">
        <v>2</v>
      </c>
      <c r="B9862" t="s">
        <v>3458</v>
      </c>
      <c r="C9862" t="s">
        <v>23490</v>
      </c>
      <c r="D9862" t="str">
        <f>HYPERLINK("https://rhld.insurance.arkansas.gov/NPILookup?Npi=1114318532","1114318532")</f>
        <v>1114318532</v>
      </c>
      <c r="E9862" t="s">
        <v>404</v>
      </c>
    </row>
    <row r="9863" spans="1:5" x14ac:dyDescent="0.25">
      <c r="A9863" t="s">
        <v>2</v>
      </c>
      <c r="B9863" t="s">
        <v>3458</v>
      </c>
      <c r="C9863" t="s">
        <v>23490</v>
      </c>
      <c r="D9863" t="str">
        <f>HYPERLINK("https://rhld.insurance.arkansas.gov/NPILookup?Npi=1114318987","1114318987")</f>
        <v>1114318987</v>
      </c>
      <c r="E9863" t="s">
        <v>13825</v>
      </c>
    </row>
    <row r="9864" spans="1:5" x14ac:dyDescent="0.25">
      <c r="A9864" t="s">
        <v>2</v>
      </c>
      <c r="B9864" t="s">
        <v>3458</v>
      </c>
      <c r="C9864" t="s">
        <v>23490</v>
      </c>
      <c r="D9864" t="str">
        <f>HYPERLINK("https://rhld.insurance.arkansas.gov/NPILookup?Npi=1114319605","1114319605")</f>
        <v>1114319605</v>
      </c>
      <c r="E9864" t="s">
        <v>405</v>
      </c>
    </row>
    <row r="9865" spans="1:5" x14ac:dyDescent="0.25">
      <c r="A9865" t="s">
        <v>2</v>
      </c>
      <c r="B9865" t="s">
        <v>3458</v>
      </c>
      <c r="C9865" t="s">
        <v>23490</v>
      </c>
      <c r="D9865" t="str">
        <f>HYPERLINK("https://rhld.insurance.arkansas.gov/NPILookup?Npi=1114329497","1114329497")</f>
        <v>1114329497</v>
      </c>
      <c r="E9865" t="s">
        <v>406</v>
      </c>
    </row>
    <row r="9866" spans="1:5" x14ac:dyDescent="0.25">
      <c r="A9866" t="s">
        <v>2</v>
      </c>
      <c r="B9866" t="s">
        <v>3458</v>
      </c>
      <c r="C9866" t="s">
        <v>23490</v>
      </c>
      <c r="D9866" t="str">
        <f>HYPERLINK("https://rhld.insurance.arkansas.gov/NPILookup?Npi=1114330420","1114330420")</f>
        <v>1114330420</v>
      </c>
      <c r="E9866" t="s">
        <v>13374</v>
      </c>
    </row>
    <row r="9867" spans="1:5" x14ac:dyDescent="0.25">
      <c r="A9867" t="s">
        <v>2</v>
      </c>
      <c r="B9867" t="s">
        <v>3458</v>
      </c>
      <c r="C9867" t="s">
        <v>23490</v>
      </c>
      <c r="D9867" t="str">
        <f>HYPERLINK("https://rhld.insurance.arkansas.gov/NPILookup?Npi=1114330552","1114330552")</f>
        <v>1114330552</v>
      </c>
      <c r="E9867" t="s">
        <v>10661</v>
      </c>
    </row>
    <row r="9868" spans="1:5" x14ac:dyDescent="0.25">
      <c r="A9868" t="s">
        <v>2</v>
      </c>
      <c r="B9868" t="s">
        <v>3458</v>
      </c>
      <c r="C9868" t="s">
        <v>23490</v>
      </c>
      <c r="D9868" t="str">
        <f>HYPERLINK("https://rhld.insurance.arkansas.gov/NPILookup?Npi=1114336278","1114336278")</f>
        <v>1114336278</v>
      </c>
      <c r="E9868" t="s">
        <v>407</v>
      </c>
    </row>
    <row r="9869" spans="1:5" x14ac:dyDescent="0.25">
      <c r="A9869" t="s">
        <v>2</v>
      </c>
      <c r="B9869" t="s">
        <v>3458</v>
      </c>
      <c r="C9869" t="s">
        <v>23490</v>
      </c>
      <c r="D9869" t="str">
        <f>HYPERLINK("https://rhld.insurance.arkansas.gov/NPILookup?Npi=1114347366","1114347366")</f>
        <v>1114347366</v>
      </c>
      <c r="E9869" t="s">
        <v>408</v>
      </c>
    </row>
    <row r="9870" spans="1:5" x14ac:dyDescent="0.25">
      <c r="A9870" t="s">
        <v>2</v>
      </c>
      <c r="B9870" t="s">
        <v>3458</v>
      </c>
      <c r="C9870" t="s">
        <v>23490</v>
      </c>
      <c r="D9870" t="str">
        <f>HYPERLINK("https://rhld.insurance.arkansas.gov/NPILookup?Npi=1114359379","1114359379")</f>
        <v>1114359379</v>
      </c>
      <c r="E9870" t="s">
        <v>8493</v>
      </c>
    </row>
    <row r="9871" spans="1:5" x14ac:dyDescent="0.25">
      <c r="A9871" t="s">
        <v>2</v>
      </c>
      <c r="B9871" t="s">
        <v>3458</v>
      </c>
      <c r="C9871" t="s">
        <v>23490</v>
      </c>
      <c r="D9871" t="str">
        <f>HYPERLINK("https://rhld.insurance.arkansas.gov/NPILookup?Npi=1114365905","1114365905")</f>
        <v>1114365905</v>
      </c>
      <c r="E9871" t="s">
        <v>14779</v>
      </c>
    </row>
    <row r="9872" spans="1:5" x14ac:dyDescent="0.25">
      <c r="A9872" t="s">
        <v>2</v>
      </c>
      <c r="B9872" t="s">
        <v>3458</v>
      </c>
      <c r="C9872" t="s">
        <v>23490</v>
      </c>
      <c r="D9872" t="str">
        <f>HYPERLINK("https://rhld.insurance.arkansas.gov/NPILookup?Npi=1114366010","1114366010")</f>
        <v>1114366010</v>
      </c>
      <c r="E9872" t="s">
        <v>8494</v>
      </c>
    </row>
    <row r="9873" spans="1:5" x14ac:dyDescent="0.25">
      <c r="A9873" t="s">
        <v>2</v>
      </c>
      <c r="B9873" t="s">
        <v>3458</v>
      </c>
      <c r="C9873" t="s">
        <v>23490</v>
      </c>
      <c r="D9873" t="str">
        <f>HYPERLINK("https://rhld.insurance.arkansas.gov/NPILookup?Npi=1114381472","1114381472")</f>
        <v>1114381472</v>
      </c>
      <c r="E9873" t="s">
        <v>8495</v>
      </c>
    </row>
    <row r="9874" spans="1:5" x14ac:dyDescent="0.25">
      <c r="A9874" t="s">
        <v>2</v>
      </c>
      <c r="B9874" t="s">
        <v>3458</v>
      </c>
      <c r="C9874" t="s">
        <v>23490</v>
      </c>
      <c r="D9874" t="str">
        <f>HYPERLINK("https://rhld.insurance.arkansas.gov/NPILookup?Npi=1114385374","1114385374")</f>
        <v>1114385374</v>
      </c>
      <c r="E9874" t="s">
        <v>8496</v>
      </c>
    </row>
    <row r="9875" spans="1:5" x14ac:dyDescent="0.25">
      <c r="A9875" t="s">
        <v>2</v>
      </c>
      <c r="B9875" t="s">
        <v>3458</v>
      </c>
      <c r="C9875" t="s">
        <v>23490</v>
      </c>
      <c r="D9875" t="str">
        <f>HYPERLINK("https://rhld.insurance.arkansas.gov/NPILookup?Npi=1114390937","1114390937")</f>
        <v>1114390937</v>
      </c>
      <c r="E9875" t="s">
        <v>8497</v>
      </c>
    </row>
    <row r="9876" spans="1:5" x14ac:dyDescent="0.25">
      <c r="A9876" t="s">
        <v>2</v>
      </c>
      <c r="B9876" t="s">
        <v>3458</v>
      </c>
      <c r="C9876" t="s">
        <v>23490</v>
      </c>
      <c r="D9876" t="str">
        <f>HYPERLINK("https://rhld.insurance.arkansas.gov/NPILookup?Npi=1114424736","1114424736")</f>
        <v>1114424736</v>
      </c>
      <c r="E9876" t="s">
        <v>18671</v>
      </c>
    </row>
    <row r="9877" spans="1:5" x14ac:dyDescent="0.25">
      <c r="A9877" t="s">
        <v>2</v>
      </c>
      <c r="B9877" t="s">
        <v>3458</v>
      </c>
      <c r="C9877" t="s">
        <v>23490</v>
      </c>
      <c r="D9877" t="str">
        <f>HYPERLINK("https://rhld.insurance.arkansas.gov/NPILookup?Npi=1114454048","1114454048")</f>
        <v>1114454048</v>
      </c>
      <c r="E9877" t="s">
        <v>12960</v>
      </c>
    </row>
    <row r="9878" spans="1:5" x14ac:dyDescent="0.25">
      <c r="A9878" t="s">
        <v>2</v>
      </c>
      <c r="B9878" t="s">
        <v>3458</v>
      </c>
      <c r="C9878" t="s">
        <v>23490</v>
      </c>
      <c r="D9878" t="str">
        <f>HYPERLINK("https://rhld.insurance.arkansas.gov/NPILookup?Npi=1114491966","1114491966")</f>
        <v>1114491966</v>
      </c>
      <c r="E9878" t="s">
        <v>13375</v>
      </c>
    </row>
    <row r="9879" spans="1:5" x14ac:dyDescent="0.25">
      <c r="A9879" t="s">
        <v>2</v>
      </c>
      <c r="B9879" t="s">
        <v>3458</v>
      </c>
      <c r="C9879" t="s">
        <v>23490</v>
      </c>
      <c r="D9879" t="str">
        <f>HYPERLINK("https://rhld.insurance.arkansas.gov/NPILookup?Npi=1114495322","1114495322")</f>
        <v>1114495322</v>
      </c>
      <c r="E9879" t="s">
        <v>22893</v>
      </c>
    </row>
    <row r="9880" spans="1:5" x14ac:dyDescent="0.25">
      <c r="A9880" t="s">
        <v>2</v>
      </c>
      <c r="B9880" t="s">
        <v>3458</v>
      </c>
      <c r="C9880" t="s">
        <v>23490</v>
      </c>
      <c r="D9880" t="str">
        <f>HYPERLINK("https://rhld.insurance.arkansas.gov/NPILookup?Npi=1114502176","1114502176")</f>
        <v>1114502176</v>
      </c>
      <c r="E9880" t="s">
        <v>17860</v>
      </c>
    </row>
    <row r="9881" spans="1:5" x14ac:dyDescent="0.25">
      <c r="A9881" t="s">
        <v>2</v>
      </c>
      <c r="B9881" t="s">
        <v>3458</v>
      </c>
      <c r="C9881" t="s">
        <v>23490</v>
      </c>
      <c r="D9881" t="str">
        <f>HYPERLINK("https://rhld.insurance.arkansas.gov/NPILookup?Npi=1114503430","1114503430")</f>
        <v>1114503430</v>
      </c>
      <c r="E9881" t="s">
        <v>18672</v>
      </c>
    </row>
    <row r="9882" spans="1:5" x14ac:dyDescent="0.25">
      <c r="A9882" t="s">
        <v>2</v>
      </c>
      <c r="B9882" t="s">
        <v>3458</v>
      </c>
      <c r="C9882" t="s">
        <v>23490</v>
      </c>
      <c r="D9882" t="str">
        <f>HYPERLINK("https://rhld.insurance.arkansas.gov/NPILookup?Npi=1114520491","1114520491")</f>
        <v>1114520491</v>
      </c>
      <c r="E9882" t="s">
        <v>22894</v>
      </c>
    </row>
    <row r="9883" spans="1:5" x14ac:dyDescent="0.25">
      <c r="A9883" t="s">
        <v>2</v>
      </c>
      <c r="B9883" t="s">
        <v>3458</v>
      </c>
      <c r="C9883" t="s">
        <v>23490</v>
      </c>
      <c r="D9883" t="str">
        <f>HYPERLINK("https://rhld.insurance.arkansas.gov/NPILookup?Npi=1114524436","1114524436")</f>
        <v>1114524436</v>
      </c>
      <c r="E9883" t="s">
        <v>15829</v>
      </c>
    </row>
    <row r="9884" spans="1:5" x14ac:dyDescent="0.25">
      <c r="A9884" t="s">
        <v>2</v>
      </c>
      <c r="B9884" t="s">
        <v>3458</v>
      </c>
      <c r="C9884" t="s">
        <v>23490</v>
      </c>
      <c r="D9884" t="str">
        <f>HYPERLINK("https://rhld.insurance.arkansas.gov/NPILookup?Npi=1114534070","1114534070")</f>
        <v>1114534070</v>
      </c>
      <c r="E9884" t="s">
        <v>17388</v>
      </c>
    </row>
    <row r="9885" spans="1:5" x14ac:dyDescent="0.25">
      <c r="A9885" t="s">
        <v>2</v>
      </c>
      <c r="B9885" t="s">
        <v>3458</v>
      </c>
      <c r="C9885" t="s">
        <v>23490</v>
      </c>
      <c r="D9885" t="str">
        <f>HYPERLINK("https://rhld.insurance.arkansas.gov/NPILookup?Npi=1114534369","1114534369")</f>
        <v>1114534369</v>
      </c>
      <c r="E9885" t="s">
        <v>17861</v>
      </c>
    </row>
    <row r="9886" spans="1:5" x14ac:dyDescent="0.25">
      <c r="A9886" t="s">
        <v>2</v>
      </c>
      <c r="B9886" t="s">
        <v>3458</v>
      </c>
      <c r="C9886" t="s">
        <v>23490</v>
      </c>
      <c r="D9886" t="str">
        <f>HYPERLINK("https://rhld.insurance.arkansas.gov/NPILookup?Npi=1114569928","1114569928")</f>
        <v>1114569928</v>
      </c>
      <c r="E9886" t="s">
        <v>17389</v>
      </c>
    </row>
    <row r="9887" spans="1:5" x14ac:dyDescent="0.25">
      <c r="A9887" t="s">
        <v>2</v>
      </c>
      <c r="B9887" t="s">
        <v>3458</v>
      </c>
      <c r="C9887" t="s">
        <v>23490</v>
      </c>
      <c r="D9887" t="str">
        <f>HYPERLINK("https://rhld.insurance.arkansas.gov/NPILookup?Npi=1114571072","1114571072")</f>
        <v>1114571072</v>
      </c>
      <c r="E9887" t="s">
        <v>19430</v>
      </c>
    </row>
    <row r="9888" spans="1:5" x14ac:dyDescent="0.25">
      <c r="A9888" t="s">
        <v>2</v>
      </c>
      <c r="B9888" t="s">
        <v>3458</v>
      </c>
      <c r="C9888" t="s">
        <v>23490</v>
      </c>
      <c r="D9888" t="str">
        <f>HYPERLINK("https://rhld.insurance.arkansas.gov/NPILookup?Npi=1114650322","1114650322")</f>
        <v>1114650322</v>
      </c>
      <c r="E9888" t="s">
        <v>21468</v>
      </c>
    </row>
    <row r="9889" spans="1:5" x14ac:dyDescent="0.25">
      <c r="A9889" t="s">
        <v>2</v>
      </c>
      <c r="B9889" t="s">
        <v>3458</v>
      </c>
      <c r="C9889" t="s">
        <v>23490</v>
      </c>
      <c r="D9889" t="str">
        <f>HYPERLINK("https://rhld.insurance.arkansas.gov/NPILookup?Npi=1114658291","1114658291")</f>
        <v>1114658291</v>
      </c>
      <c r="E9889" t="s">
        <v>21469</v>
      </c>
    </row>
    <row r="9890" spans="1:5" x14ac:dyDescent="0.25">
      <c r="A9890" t="s">
        <v>2</v>
      </c>
      <c r="B9890" t="s">
        <v>3458</v>
      </c>
      <c r="C9890" t="s">
        <v>23490</v>
      </c>
      <c r="D9890" t="str">
        <f>HYPERLINK("https://rhld.insurance.arkansas.gov/NPILookup?Npi=1114681053","1114681053")</f>
        <v>1114681053</v>
      </c>
      <c r="E9890" t="s">
        <v>19431</v>
      </c>
    </row>
    <row r="9891" spans="1:5" x14ac:dyDescent="0.25">
      <c r="A9891" t="s">
        <v>2</v>
      </c>
      <c r="B9891" t="s">
        <v>3458</v>
      </c>
      <c r="C9891" t="s">
        <v>23490</v>
      </c>
      <c r="D9891" t="str">
        <f>HYPERLINK("https://rhld.insurance.arkansas.gov/NPILookup?Npi=1114687316","1114687316")</f>
        <v>1114687316</v>
      </c>
      <c r="E9891" t="s">
        <v>19432</v>
      </c>
    </row>
    <row r="9892" spans="1:5" x14ac:dyDescent="0.25">
      <c r="A9892" t="s">
        <v>2</v>
      </c>
      <c r="B9892" t="s">
        <v>3458</v>
      </c>
      <c r="C9892" t="s">
        <v>23490</v>
      </c>
      <c r="D9892" t="str">
        <f>HYPERLINK("https://rhld.insurance.arkansas.gov/NPILookup?Npi=1114903879","1114903879")</f>
        <v>1114903879</v>
      </c>
      <c r="E9892" t="s">
        <v>409</v>
      </c>
    </row>
    <row r="9893" spans="1:5" x14ac:dyDescent="0.25">
      <c r="A9893" t="s">
        <v>2</v>
      </c>
      <c r="B9893" t="s">
        <v>3458</v>
      </c>
      <c r="C9893" t="s">
        <v>23490</v>
      </c>
      <c r="D9893" t="str">
        <f>HYPERLINK("https://rhld.insurance.arkansas.gov/NPILookup?Npi=1114909124","1114909124")</f>
        <v>1114909124</v>
      </c>
      <c r="E9893" t="s">
        <v>3518</v>
      </c>
    </row>
    <row r="9894" spans="1:5" x14ac:dyDescent="0.25">
      <c r="A9894" t="s">
        <v>2</v>
      </c>
      <c r="B9894" t="s">
        <v>3458</v>
      </c>
      <c r="C9894" t="s">
        <v>23490</v>
      </c>
      <c r="D9894" t="str">
        <f>HYPERLINK("https://rhld.insurance.arkansas.gov/NPILookup?Npi=1114913555","1114913555")</f>
        <v>1114913555</v>
      </c>
      <c r="E9894" t="s">
        <v>410</v>
      </c>
    </row>
    <row r="9895" spans="1:5" x14ac:dyDescent="0.25">
      <c r="A9895" t="s">
        <v>2</v>
      </c>
      <c r="B9895" t="s">
        <v>3458</v>
      </c>
      <c r="C9895" t="s">
        <v>23490</v>
      </c>
      <c r="D9895" t="str">
        <f>HYPERLINK("https://rhld.insurance.arkansas.gov/NPILookup?Npi=1114920972","1114920972")</f>
        <v>1114920972</v>
      </c>
      <c r="E9895" t="s">
        <v>411</v>
      </c>
    </row>
    <row r="9896" spans="1:5" x14ac:dyDescent="0.25">
      <c r="A9896" t="s">
        <v>2</v>
      </c>
      <c r="B9896" t="s">
        <v>3458</v>
      </c>
      <c r="C9896" t="s">
        <v>23490</v>
      </c>
      <c r="D9896" t="str">
        <f>HYPERLINK("https://rhld.insurance.arkansas.gov/NPILookup?Npi=1114928439","1114928439")</f>
        <v>1114928439</v>
      </c>
      <c r="E9896" t="s">
        <v>17862</v>
      </c>
    </row>
    <row r="9897" spans="1:5" x14ac:dyDescent="0.25">
      <c r="A9897" t="s">
        <v>2</v>
      </c>
      <c r="B9897" t="s">
        <v>3458</v>
      </c>
      <c r="C9897" t="s">
        <v>23490</v>
      </c>
      <c r="D9897" t="str">
        <f>HYPERLINK("https://rhld.insurance.arkansas.gov/NPILookup?Npi=1114928793","1114928793")</f>
        <v>1114928793</v>
      </c>
      <c r="E9897" t="s">
        <v>412</v>
      </c>
    </row>
    <row r="9898" spans="1:5" x14ac:dyDescent="0.25">
      <c r="A9898" t="s">
        <v>2</v>
      </c>
      <c r="B9898" t="s">
        <v>3458</v>
      </c>
      <c r="C9898" t="s">
        <v>23490</v>
      </c>
      <c r="D9898" t="str">
        <f>HYPERLINK("https://rhld.insurance.arkansas.gov/NPILookup?Npi=1114935020","1114935020")</f>
        <v>1114935020</v>
      </c>
      <c r="E9898" t="s">
        <v>3519</v>
      </c>
    </row>
    <row r="9899" spans="1:5" x14ac:dyDescent="0.25">
      <c r="A9899" t="s">
        <v>2</v>
      </c>
      <c r="B9899" t="s">
        <v>3458</v>
      </c>
      <c r="C9899" t="s">
        <v>23490</v>
      </c>
      <c r="D9899" t="str">
        <f>HYPERLINK("https://rhld.insurance.arkansas.gov/NPILookup?Npi=1114960218","1114960218")</f>
        <v>1114960218</v>
      </c>
      <c r="E9899" t="s">
        <v>3520</v>
      </c>
    </row>
    <row r="9900" spans="1:5" x14ac:dyDescent="0.25">
      <c r="A9900" t="s">
        <v>2</v>
      </c>
      <c r="B9900" t="s">
        <v>3458</v>
      </c>
      <c r="C9900" t="s">
        <v>23490</v>
      </c>
      <c r="D9900" t="str">
        <f>HYPERLINK("https://rhld.insurance.arkansas.gov/NPILookup?Npi=1114960473","1114960473")</f>
        <v>1114960473</v>
      </c>
      <c r="E9900" t="s">
        <v>414</v>
      </c>
    </row>
    <row r="9901" spans="1:5" x14ac:dyDescent="0.25">
      <c r="A9901" t="s">
        <v>2</v>
      </c>
      <c r="B9901" t="s">
        <v>3458</v>
      </c>
      <c r="C9901" t="s">
        <v>23490</v>
      </c>
      <c r="D9901" t="str">
        <f>HYPERLINK("https://rhld.insurance.arkansas.gov/NPILookup?Npi=1114960671","1114960671")</f>
        <v>1114960671</v>
      </c>
      <c r="E9901" t="s">
        <v>14780</v>
      </c>
    </row>
    <row r="9902" spans="1:5" x14ac:dyDescent="0.25">
      <c r="A9902" t="s">
        <v>2</v>
      </c>
      <c r="B9902" t="s">
        <v>3458</v>
      </c>
      <c r="C9902" t="s">
        <v>23490</v>
      </c>
      <c r="D9902" t="str">
        <f>HYPERLINK("https://rhld.insurance.arkansas.gov/NPILookup?Npi=1114968070","1114968070")</f>
        <v>1114968070</v>
      </c>
      <c r="E9902" t="s">
        <v>15808</v>
      </c>
    </row>
    <row r="9903" spans="1:5" x14ac:dyDescent="0.25">
      <c r="A9903" t="s">
        <v>2</v>
      </c>
      <c r="B9903" t="s">
        <v>3458</v>
      </c>
      <c r="C9903" t="s">
        <v>23490</v>
      </c>
      <c r="D9903" t="str">
        <f>HYPERLINK("https://rhld.insurance.arkansas.gov/NPILookup?Npi=1114970084","1114970084")</f>
        <v>1114970084</v>
      </c>
      <c r="E9903" t="s">
        <v>415</v>
      </c>
    </row>
    <row r="9904" spans="1:5" x14ac:dyDescent="0.25">
      <c r="A9904" t="s">
        <v>2</v>
      </c>
      <c r="B9904" t="s">
        <v>3458</v>
      </c>
      <c r="C9904" t="s">
        <v>23490</v>
      </c>
      <c r="D9904" t="str">
        <f>HYPERLINK("https://rhld.insurance.arkansas.gov/NPILookup?Npi=1114970704","1114970704")</f>
        <v>1114970704</v>
      </c>
      <c r="E9904" t="s">
        <v>416</v>
      </c>
    </row>
    <row r="9905" spans="1:5" x14ac:dyDescent="0.25">
      <c r="A9905" t="s">
        <v>2</v>
      </c>
      <c r="B9905" t="s">
        <v>3458</v>
      </c>
      <c r="C9905" t="s">
        <v>23490</v>
      </c>
      <c r="D9905" t="str">
        <f>HYPERLINK("https://rhld.insurance.arkansas.gov/NPILookup?Npi=1114974086","1114974086")</f>
        <v>1114974086</v>
      </c>
      <c r="E9905" t="s">
        <v>15809</v>
      </c>
    </row>
    <row r="9906" spans="1:5" x14ac:dyDescent="0.25">
      <c r="A9906" t="s">
        <v>2</v>
      </c>
      <c r="B9906" t="s">
        <v>3458</v>
      </c>
      <c r="C9906" t="s">
        <v>23490</v>
      </c>
      <c r="D9906" t="str">
        <f>HYPERLINK("https://rhld.insurance.arkansas.gov/NPILookup?Npi=1114975117","1114975117")</f>
        <v>1114975117</v>
      </c>
      <c r="E9906" t="s">
        <v>3521</v>
      </c>
    </row>
    <row r="9907" spans="1:5" x14ac:dyDescent="0.25">
      <c r="A9907" t="s">
        <v>2</v>
      </c>
      <c r="B9907" t="s">
        <v>3458</v>
      </c>
      <c r="C9907" t="s">
        <v>23490</v>
      </c>
      <c r="D9907" t="str">
        <f>HYPERLINK("https://rhld.insurance.arkansas.gov/NPILookup?Npi=1114981560","1114981560")</f>
        <v>1114981560</v>
      </c>
      <c r="E9907" t="s">
        <v>14781</v>
      </c>
    </row>
    <row r="9908" spans="1:5" x14ac:dyDescent="0.25">
      <c r="A9908" t="s">
        <v>2</v>
      </c>
      <c r="B9908" t="s">
        <v>3458</v>
      </c>
      <c r="C9908" t="s">
        <v>23490</v>
      </c>
      <c r="D9908" t="str">
        <f>HYPERLINK("https://rhld.insurance.arkansas.gov/NPILookup?Npi=1114985801","1114985801")</f>
        <v>1114985801</v>
      </c>
      <c r="E9908" t="s">
        <v>3522</v>
      </c>
    </row>
    <row r="9909" spans="1:5" x14ac:dyDescent="0.25">
      <c r="A9909" t="s">
        <v>2</v>
      </c>
      <c r="B9909" t="s">
        <v>3458</v>
      </c>
      <c r="C9909" t="s">
        <v>23490</v>
      </c>
      <c r="D9909" t="str">
        <f>HYPERLINK("https://rhld.insurance.arkansas.gov/NPILookup?Npi=1114989530","1114989530")</f>
        <v>1114989530</v>
      </c>
      <c r="E9909" t="s">
        <v>417</v>
      </c>
    </row>
    <row r="9910" spans="1:5" x14ac:dyDescent="0.25">
      <c r="A9910" t="s">
        <v>2</v>
      </c>
      <c r="B9910" t="s">
        <v>3458</v>
      </c>
      <c r="C9910" t="s">
        <v>23490</v>
      </c>
      <c r="D9910" t="str">
        <f>HYPERLINK("https://rhld.insurance.arkansas.gov/NPILookup?Npi=1114992732","1114992732")</f>
        <v>1114992732</v>
      </c>
      <c r="E9910" t="s">
        <v>418</v>
      </c>
    </row>
    <row r="9911" spans="1:5" x14ac:dyDescent="0.25">
      <c r="A9911" t="s">
        <v>2</v>
      </c>
      <c r="B9911" t="s">
        <v>3458</v>
      </c>
      <c r="C9911" t="s">
        <v>23490</v>
      </c>
      <c r="D9911" t="str">
        <f>HYPERLINK("https://rhld.insurance.arkansas.gov/NPILookup?Npi=1114994035","1114994035")</f>
        <v>1114994035</v>
      </c>
      <c r="E9911" t="s">
        <v>419</v>
      </c>
    </row>
    <row r="9912" spans="1:5" x14ac:dyDescent="0.25">
      <c r="A9912" t="s">
        <v>2</v>
      </c>
      <c r="B9912" t="s">
        <v>3458</v>
      </c>
      <c r="C9912" t="s">
        <v>23490</v>
      </c>
      <c r="D9912" t="str">
        <f>HYPERLINK("https://rhld.insurance.arkansas.gov/NPILookup?Npi=1114995354","1114995354")</f>
        <v>1114995354</v>
      </c>
      <c r="E9912" t="s">
        <v>8498</v>
      </c>
    </row>
    <row r="9913" spans="1:5" x14ac:dyDescent="0.25">
      <c r="A9913" t="s">
        <v>2</v>
      </c>
      <c r="B9913" t="s">
        <v>3458</v>
      </c>
      <c r="C9913" t="s">
        <v>23490</v>
      </c>
      <c r="D9913" t="str">
        <f>HYPERLINK("https://rhld.insurance.arkansas.gov/NPILookup?Npi=1114996907","1114996907")</f>
        <v>1114996907</v>
      </c>
      <c r="E9913" t="s">
        <v>14782</v>
      </c>
    </row>
    <row r="9914" spans="1:5" x14ac:dyDescent="0.25">
      <c r="A9914" t="s">
        <v>2</v>
      </c>
      <c r="B9914" t="s">
        <v>3458</v>
      </c>
      <c r="C9914" t="s">
        <v>23490</v>
      </c>
      <c r="D9914" t="str">
        <f>HYPERLINK("https://rhld.insurance.arkansas.gov/NPILookup?Npi=1124003785","1124003785")</f>
        <v>1124003785</v>
      </c>
      <c r="E9914" t="s">
        <v>14783</v>
      </c>
    </row>
    <row r="9915" spans="1:5" x14ac:dyDescent="0.25">
      <c r="A9915" t="s">
        <v>2</v>
      </c>
      <c r="B9915" t="s">
        <v>3458</v>
      </c>
      <c r="C9915" t="s">
        <v>23490</v>
      </c>
      <c r="D9915" t="str">
        <f>HYPERLINK("https://rhld.insurance.arkansas.gov/NPILookup?Npi=1124010301","1124010301")</f>
        <v>1124010301</v>
      </c>
      <c r="E9915" t="s">
        <v>420</v>
      </c>
    </row>
    <row r="9916" spans="1:5" x14ac:dyDescent="0.25">
      <c r="A9916" t="s">
        <v>2</v>
      </c>
      <c r="B9916" t="s">
        <v>3458</v>
      </c>
      <c r="C9916" t="s">
        <v>23490</v>
      </c>
      <c r="D9916" t="str">
        <f>HYPERLINK("https://rhld.insurance.arkansas.gov/NPILookup?Npi=1124011747","1124011747")</f>
        <v>1124011747</v>
      </c>
      <c r="E9916" t="s">
        <v>421</v>
      </c>
    </row>
    <row r="9917" spans="1:5" x14ac:dyDescent="0.25">
      <c r="A9917" t="s">
        <v>2</v>
      </c>
      <c r="B9917" t="s">
        <v>3458</v>
      </c>
      <c r="C9917" t="s">
        <v>23490</v>
      </c>
      <c r="D9917" t="str">
        <f>HYPERLINK("https://rhld.insurance.arkansas.gov/NPILookup?Npi=1124011754","1124011754")</f>
        <v>1124011754</v>
      </c>
      <c r="E9917" t="s">
        <v>8499</v>
      </c>
    </row>
    <row r="9918" spans="1:5" x14ac:dyDescent="0.25">
      <c r="A9918" t="s">
        <v>2</v>
      </c>
      <c r="B9918" t="s">
        <v>3458</v>
      </c>
      <c r="C9918" t="s">
        <v>23490</v>
      </c>
      <c r="D9918" t="str">
        <f>HYPERLINK("https://rhld.insurance.arkansas.gov/NPILookup?Npi=1124024864","1124024864")</f>
        <v>1124024864</v>
      </c>
      <c r="E9918" t="s">
        <v>10664</v>
      </c>
    </row>
    <row r="9919" spans="1:5" x14ac:dyDescent="0.25">
      <c r="A9919" t="s">
        <v>2</v>
      </c>
      <c r="B9919" t="s">
        <v>3458</v>
      </c>
      <c r="C9919" t="s">
        <v>23490</v>
      </c>
      <c r="D9919" t="str">
        <f>HYPERLINK("https://rhld.insurance.arkansas.gov/NPILookup?Npi=1124026166","1124026166")</f>
        <v>1124026166</v>
      </c>
      <c r="E9919" t="s">
        <v>3523</v>
      </c>
    </row>
    <row r="9920" spans="1:5" x14ac:dyDescent="0.25">
      <c r="A9920" t="s">
        <v>2</v>
      </c>
      <c r="B9920" t="s">
        <v>3458</v>
      </c>
      <c r="C9920" t="s">
        <v>23490</v>
      </c>
      <c r="D9920" t="str">
        <f>HYPERLINK("https://rhld.insurance.arkansas.gov/NPILookup?Npi=1124028949","1124028949")</f>
        <v>1124028949</v>
      </c>
      <c r="E9920" t="s">
        <v>425</v>
      </c>
    </row>
    <row r="9921" spans="1:5" x14ac:dyDescent="0.25">
      <c r="A9921" t="s">
        <v>2</v>
      </c>
      <c r="B9921" t="s">
        <v>3458</v>
      </c>
      <c r="C9921" t="s">
        <v>23490</v>
      </c>
      <c r="D9921" t="str">
        <f>HYPERLINK("https://rhld.insurance.arkansas.gov/NPILookup?Npi=1124029624","1124029624")</f>
        <v>1124029624</v>
      </c>
      <c r="E9921" t="s">
        <v>426</v>
      </c>
    </row>
    <row r="9922" spans="1:5" x14ac:dyDescent="0.25">
      <c r="A9922" t="s">
        <v>2</v>
      </c>
      <c r="B9922" t="s">
        <v>3458</v>
      </c>
      <c r="C9922" t="s">
        <v>23490</v>
      </c>
      <c r="D9922" t="str">
        <f>HYPERLINK("https://rhld.insurance.arkansas.gov/NPILookup?Npi=1124031414","1124031414")</f>
        <v>1124031414</v>
      </c>
      <c r="E9922" t="s">
        <v>14784</v>
      </c>
    </row>
    <row r="9923" spans="1:5" x14ac:dyDescent="0.25">
      <c r="A9923" t="s">
        <v>2</v>
      </c>
      <c r="B9923" t="s">
        <v>3458</v>
      </c>
      <c r="C9923" t="s">
        <v>23490</v>
      </c>
      <c r="D9923" t="str">
        <f>HYPERLINK("https://rhld.insurance.arkansas.gov/NPILookup?Npi=1124035993","1124035993")</f>
        <v>1124035993</v>
      </c>
      <c r="E9923" t="s">
        <v>428</v>
      </c>
    </row>
    <row r="9924" spans="1:5" x14ac:dyDescent="0.25">
      <c r="A9924" t="s">
        <v>2</v>
      </c>
      <c r="B9924" t="s">
        <v>3458</v>
      </c>
      <c r="C9924" t="s">
        <v>23490</v>
      </c>
      <c r="D9924" t="str">
        <f>HYPERLINK("https://rhld.insurance.arkansas.gov/NPILookup?Npi=1124045638","1124045638")</f>
        <v>1124045638</v>
      </c>
      <c r="E9924" t="s">
        <v>14785</v>
      </c>
    </row>
    <row r="9925" spans="1:5" x14ac:dyDescent="0.25">
      <c r="A9925" t="s">
        <v>2</v>
      </c>
      <c r="B9925" t="s">
        <v>3458</v>
      </c>
      <c r="C9925" t="s">
        <v>23490</v>
      </c>
      <c r="D9925" t="str">
        <f>HYPERLINK("https://rhld.insurance.arkansas.gov/NPILookup?Npi=1124046172","1124046172")</f>
        <v>1124046172</v>
      </c>
      <c r="E9925" t="s">
        <v>14786</v>
      </c>
    </row>
    <row r="9926" spans="1:5" x14ac:dyDescent="0.25">
      <c r="A9926" t="s">
        <v>2</v>
      </c>
      <c r="B9926" t="s">
        <v>3458</v>
      </c>
      <c r="C9926" t="s">
        <v>23490</v>
      </c>
      <c r="D9926" t="str">
        <f>HYPERLINK("https://rhld.insurance.arkansas.gov/NPILookup?Npi=1124055074","1124055074")</f>
        <v>1124055074</v>
      </c>
      <c r="E9926" t="s">
        <v>14787</v>
      </c>
    </row>
    <row r="9927" spans="1:5" x14ac:dyDescent="0.25">
      <c r="A9927" t="s">
        <v>2</v>
      </c>
      <c r="B9927" t="s">
        <v>3458</v>
      </c>
      <c r="C9927" t="s">
        <v>23490</v>
      </c>
      <c r="D9927" t="str">
        <f>HYPERLINK("https://rhld.insurance.arkansas.gov/NPILookup?Npi=1124074489","1124074489")</f>
        <v>1124074489</v>
      </c>
      <c r="E9927" t="s">
        <v>429</v>
      </c>
    </row>
    <row r="9928" spans="1:5" x14ac:dyDescent="0.25">
      <c r="A9928" t="s">
        <v>2</v>
      </c>
      <c r="B9928" t="s">
        <v>3458</v>
      </c>
      <c r="C9928" t="s">
        <v>23490</v>
      </c>
      <c r="D9928" t="str">
        <f>HYPERLINK("https://rhld.insurance.arkansas.gov/NPILookup?Npi=1124076922","1124076922")</f>
        <v>1124076922</v>
      </c>
      <c r="E9928" t="s">
        <v>430</v>
      </c>
    </row>
    <row r="9929" spans="1:5" x14ac:dyDescent="0.25">
      <c r="A9929" t="s">
        <v>2</v>
      </c>
      <c r="B9929" t="s">
        <v>3458</v>
      </c>
      <c r="C9929" t="s">
        <v>23490</v>
      </c>
      <c r="D9929" t="str">
        <f>HYPERLINK("https://rhld.insurance.arkansas.gov/NPILookup?Npi=1124078944","1124078944")</f>
        <v>1124078944</v>
      </c>
      <c r="E9929" t="s">
        <v>8500</v>
      </c>
    </row>
    <row r="9930" spans="1:5" x14ac:dyDescent="0.25">
      <c r="A9930" t="s">
        <v>2</v>
      </c>
      <c r="B9930" t="s">
        <v>3458</v>
      </c>
      <c r="C9930" t="s">
        <v>23490</v>
      </c>
      <c r="D9930" t="str">
        <f>HYPERLINK("https://rhld.insurance.arkansas.gov/NPILookup?Npi=1124089297","1124089297")</f>
        <v>1124089297</v>
      </c>
      <c r="E9930" t="s">
        <v>432</v>
      </c>
    </row>
    <row r="9931" spans="1:5" x14ac:dyDescent="0.25">
      <c r="A9931" t="s">
        <v>2</v>
      </c>
      <c r="B9931" t="s">
        <v>3458</v>
      </c>
      <c r="C9931" t="s">
        <v>23490</v>
      </c>
      <c r="D9931" t="str">
        <f>HYPERLINK("https://rhld.insurance.arkansas.gov/NPILookup?Npi=1124090618","1124090618")</f>
        <v>1124090618</v>
      </c>
      <c r="E9931" t="s">
        <v>14788</v>
      </c>
    </row>
    <row r="9932" spans="1:5" x14ac:dyDescent="0.25">
      <c r="A9932" t="s">
        <v>2</v>
      </c>
      <c r="B9932" t="s">
        <v>3458</v>
      </c>
      <c r="C9932" t="s">
        <v>23490</v>
      </c>
      <c r="D9932" t="str">
        <f>HYPERLINK("https://rhld.insurance.arkansas.gov/NPILookup?Npi=1124095120","1124095120")</f>
        <v>1124095120</v>
      </c>
      <c r="E9932" t="s">
        <v>434</v>
      </c>
    </row>
    <row r="9933" spans="1:5" x14ac:dyDescent="0.25">
      <c r="A9933" t="s">
        <v>2</v>
      </c>
      <c r="B9933" t="s">
        <v>3458</v>
      </c>
      <c r="C9933" t="s">
        <v>23490</v>
      </c>
      <c r="D9933" t="str">
        <f>HYPERLINK("https://rhld.insurance.arkansas.gov/NPILookup?Npi=1124098488","1124098488")</f>
        <v>1124098488</v>
      </c>
      <c r="E9933" t="s">
        <v>14789</v>
      </c>
    </row>
    <row r="9934" spans="1:5" x14ac:dyDescent="0.25">
      <c r="A9934" t="s">
        <v>2</v>
      </c>
      <c r="B9934" t="s">
        <v>3458</v>
      </c>
      <c r="C9934" t="s">
        <v>23490</v>
      </c>
      <c r="D9934" t="str">
        <f>HYPERLINK("https://rhld.insurance.arkansas.gov/NPILookup?Npi=1124098587","1124098587")</f>
        <v>1124098587</v>
      </c>
      <c r="E9934" t="s">
        <v>435</v>
      </c>
    </row>
    <row r="9935" spans="1:5" x14ac:dyDescent="0.25">
      <c r="A9935" t="s">
        <v>2</v>
      </c>
      <c r="B9935" t="s">
        <v>3458</v>
      </c>
      <c r="C9935" t="s">
        <v>23490</v>
      </c>
      <c r="D9935" t="str">
        <f>HYPERLINK("https://rhld.insurance.arkansas.gov/NPILookup?Npi=1124098603","1124098603")</f>
        <v>1124098603</v>
      </c>
      <c r="E9935" t="s">
        <v>11084</v>
      </c>
    </row>
    <row r="9936" spans="1:5" x14ac:dyDescent="0.25">
      <c r="A9936" t="s">
        <v>2</v>
      </c>
      <c r="B9936" t="s">
        <v>3458</v>
      </c>
      <c r="C9936" t="s">
        <v>23490</v>
      </c>
      <c r="D9936" t="str">
        <f>HYPERLINK("https://rhld.insurance.arkansas.gov/NPILookup?Npi=1124120548","1124120548")</f>
        <v>1124120548</v>
      </c>
      <c r="E9936" t="s">
        <v>437</v>
      </c>
    </row>
    <row r="9937" spans="1:5" x14ac:dyDescent="0.25">
      <c r="A9937" t="s">
        <v>2</v>
      </c>
      <c r="B9937" t="s">
        <v>3458</v>
      </c>
      <c r="C9937" t="s">
        <v>23490</v>
      </c>
      <c r="D9937" t="str">
        <f>HYPERLINK("https://rhld.insurance.arkansas.gov/NPILookup?Npi=1124126081","1124126081")</f>
        <v>1124126081</v>
      </c>
      <c r="E9937" t="s">
        <v>3524</v>
      </c>
    </row>
    <row r="9938" spans="1:5" x14ac:dyDescent="0.25">
      <c r="A9938" t="s">
        <v>2</v>
      </c>
      <c r="B9938" t="s">
        <v>3458</v>
      </c>
      <c r="C9938" t="s">
        <v>23490</v>
      </c>
      <c r="D9938" t="str">
        <f>HYPERLINK("https://rhld.insurance.arkansas.gov/NPILookup?Npi=1124132485","1124132485")</f>
        <v>1124132485</v>
      </c>
      <c r="E9938" t="s">
        <v>439</v>
      </c>
    </row>
    <row r="9939" spans="1:5" x14ac:dyDescent="0.25">
      <c r="A9939" t="s">
        <v>2</v>
      </c>
      <c r="B9939" t="s">
        <v>3458</v>
      </c>
      <c r="C9939" t="s">
        <v>23490</v>
      </c>
      <c r="D9939" t="str">
        <f>HYPERLINK("https://rhld.insurance.arkansas.gov/NPILookup?Npi=1124132550","1124132550")</f>
        <v>1124132550</v>
      </c>
      <c r="E9939" t="s">
        <v>440</v>
      </c>
    </row>
    <row r="9940" spans="1:5" x14ac:dyDescent="0.25">
      <c r="A9940" t="s">
        <v>2</v>
      </c>
      <c r="B9940" t="s">
        <v>3458</v>
      </c>
      <c r="C9940" t="s">
        <v>23490</v>
      </c>
      <c r="D9940" t="str">
        <f>HYPERLINK("https://rhld.insurance.arkansas.gov/NPILookup?Npi=1124137252","1124137252")</f>
        <v>1124137252</v>
      </c>
      <c r="E9940" t="s">
        <v>15810</v>
      </c>
    </row>
    <row r="9941" spans="1:5" x14ac:dyDescent="0.25">
      <c r="A9941" t="s">
        <v>2</v>
      </c>
      <c r="B9941" t="s">
        <v>3458</v>
      </c>
      <c r="C9941" t="s">
        <v>23490</v>
      </c>
      <c r="D9941" t="str">
        <f>HYPERLINK("https://rhld.insurance.arkansas.gov/NPILookup?Npi=1124162979","1124162979")</f>
        <v>1124162979</v>
      </c>
      <c r="E9941" t="s">
        <v>10665</v>
      </c>
    </row>
    <row r="9942" spans="1:5" x14ac:dyDescent="0.25">
      <c r="A9942" t="s">
        <v>2</v>
      </c>
      <c r="B9942" t="s">
        <v>3458</v>
      </c>
      <c r="C9942" t="s">
        <v>23490</v>
      </c>
      <c r="D9942" t="str">
        <f>HYPERLINK("https://rhld.insurance.arkansas.gov/NPILookup?Npi=1124192695","1124192695")</f>
        <v>1124192695</v>
      </c>
      <c r="E9942" t="s">
        <v>441</v>
      </c>
    </row>
    <row r="9943" spans="1:5" x14ac:dyDescent="0.25">
      <c r="A9943" t="s">
        <v>2</v>
      </c>
      <c r="B9943" t="s">
        <v>3458</v>
      </c>
      <c r="C9943" t="s">
        <v>23490</v>
      </c>
      <c r="D9943" t="str">
        <f>HYPERLINK("https://rhld.insurance.arkansas.gov/NPILookup?Npi=1124195698","1124195698")</f>
        <v>1124195698</v>
      </c>
      <c r="E9943" t="s">
        <v>443</v>
      </c>
    </row>
    <row r="9944" spans="1:5" x14ac:dyDescent="0.25">
      <c r="A9944" t="s">
        <v>2</v>
      </c>
      <c r="B9944" t="s">
        <v>3458</v>
      </c>
      <c r="C9944" t="s">
        <v>23490</v>
      </c>
      <c r="D9944" t="str">
        <f>HYPERLINK("https://rhld.insurance.arkansas.gov/NPILookup?Npi=1124203195","1124203195")</f>
        <v>1124203195</v>
      </c>
      <c r="E9944" t="s">
        <v>444</v>
      </c>
    </row>
    <row r="9945" spans="1:5" x14ac:dyDescent="0.25">
      <c r="A9945" t="s">
        <v>2</v>
      </c>
      <c r="B9945" t="s">
        <v>3458</v>
      </c>
      <c r="C9945" t="s">
        <v>23490</v>
      </c>
      <c r="D9945" t="str">
        <f>HYPERLINK("https://rhld.insurance.arkansas.gov/NPILookup?Npi=1124220025","1124220025")</f>
        <v>1124220025</v>
      </c>
      <c r="E9945" t="s">
        <v>14790</v>
      </c>
    </row>
    <row r="9946" spans="1:5" x14ac:dyDescent="0.25">
      <c r="A9946" t="s">
        <v>2</v>
      </c>
      <c r="B9946" t="s">
        <v>3458</v>
      </c>
      <c r="C9946" t="s">
        <v>23490</v>
      </c>
      <c r="D9946" t="str">
        <f>HYPERLINK("https://rhld.insurance.arkansas.gov/NPILookup?Npi=1124228382","1124228382")</f>
        <v>1124228382</v>
      </c>
      <c r="E9946" t="s">
        <v>445</v>
      </c>
    </row>
    <row r="9947" spans="1:5" x14ac:dyDescent="0.25">
      <c r="A9947" t="s">
        <v>2</v>
      </c>
      <c r="B9947" t="s">
        <v>3458</v>
      </c>
      <c r="C9947" t="s">
        <v>23490</v>
      </c>
      <c r="D9947" t="str">
        <f>HYPERLINK("https://rhld.insurance.arkansas.gov/NPILookup?Npi=1124238951","1124238951")</f>
        <v>1124238951</v>
      </c>
      <c r="E9947" t="s">
        <v>4876</v>
      </c>
    </row>
    <row r="9948" spans="1:5" x14ac:dyDescent="0.25">
      <c r="A9948" t="s">
        <v>2</v>
      </c>
      <c r="B9948" t="s">
        <v>3458</v>
      </c>
      <c r="C9948" t="s">
        <v>23490</v>
      </c>
      <c r="D9948" t="str">
        <f>HYPERLINK("https://rhld.insurance.arkansas.gov/NPILookup?Npi=1124250741","1124250741")</f>
        <v>1124250741</v>
      </c>
      <c r="E9948" t="s">
        <v>447</v>
      </c>
    </row>
    <row r="9949" spans="1:5" x14ac:dyDescent="0.25">
      <c r="A9949" t="s">
        <v>2</v>
      </c>
      <c r="B9949" t="s">
        <v>3458</v>
      </c>
      <c r="C9949" t="s">
        <v>23490</v>
      </c>
      <c r="D9949" t="str">
        <f>HYPERLINK("https://rhld.insurance.arkansas.gov/NPILookup?Npi=1124254404","1124254404")</f>
        <v>1124254404</v>
      </c>
      <c r="E9949" t="s">
        <v>8501</v>
      </c>
    </row>
    <row r="9950" spans="1:5" x14ac:dyDescent="0.25">
      <c r="A9950" t="s">
        <v>2</v>
      </c>
      <c r="B9950" t="s">
        <v>3458</v>
      </c>
      <c r="C9950" t="s">
        <v>23490</v>
      </c>
      <c r="D9950" t="str">
        <f>HYPERLINK("https://rhld.insurance.arkansas.gov/NPILookup?Npi=1124258553","1124258553")</f>
        <v>1124258553</v>
      </c>
      <c r="E9950" t="s">
        <v>448</v>
      </c>
    </row>
    <row r="9951" spans="1:5" x14ac:dyDescent="0.25">
      <c r="A9951" t="s">
        <v>2</v>
      </c>
      <c r="B9951" t="s">
        <v>3458</v>
      </c>
      <c r="C9951" t="s">
        <v>23490</v>
      </c>
      <c r="D9951" t="str">
        <f>HYPERLINK("https://rhld.insurance.arkansas.gov/NPILookup?Npi=1124274709","1124274709")</f>
        <v>1124274709</v>
      </c>
      <c r="E9951" t="s">
        <v>449</v>
      </c>
    </row>
    <row r="9952" spans="1:5" x14ac:dyDescent="0.25">
      <c r="A9952" t="s">
        <v>2</v>
      </c>
      <c r="B9952" t="s">
        <v>3458</v>
      </c>
      <c r="C9952" t="s">
        <v>23490</v>
      </c>
      <c r="D9952" t="str">
        <f>HYPERLINK("https://rhld.insurance.arkansas.gov/NPILookup?Npi=1124281563","1124281563")</f>
        <v>1124281563</v>
      </c>
      <c r="E9952" t="s">
        <v>451</v>
      </c>
    </row>
    <row r="9953" spans="1:5" x14ac:dyDescent="0.25">
      <c r="A9953" t="s">
        <v>2</v>
      </c>
      <c r="B9953" t="s">
        <v>3458</v>
      </c>
      <c r="C9953" t="s">
        <v>23490</v>
      </c>
      <c r="D9953" t="str">
        <f>HYPERLINK("https://rhld.insurance.arkansas.gov/NPILookup?Npi=1124289764","1124289764")</f>
        <v>1124289764</v>
      </c>
      <c r="E9953" t="s">
        <v>452</v>
      </c>
    </row>
    <row r="9954" spans="1:5" x14ac:dyDescent="0.25">
      <c r="A9954" t="s">
        <v>2</v>
      </c>
      <c r="B9954" t="s">
        <v>3458</v>
      </c>
      <c r="C9954" t="s">
        <v>23490</v>
      </c>
      <c r="D9954" t="str">
        <f>HYPERLINK("https://rhld.insurance.arkansas.gov/NPILookup?Npi=1124291240","1124291240")</f>
        <v>1124291240</v>
      </c>
      <c r="E9954" t="s">
        <v>453</v>
      </c>
    </row>
    <row r="9955" spans="1:5" x14ac:dyDescent="0.25">
      <c r="A9955" t="s">
        <v>2</v>
      </c>
      <c r="B9955" t="s">
        <v>3458</v>
      </c>
      <c r="C9955" t="s">
        <v>23490</v>
      </c>
      <c r="D9955" t="str">
        <f>HYPERLINK("https://rhld.insurance.arkansas.gov/NPILookup?Npi=1124317284","1124317284")</f>
        <v>1124317284</v>
      </c>
      <c r="E9955" t="s">
        <v>14791</v>
      </c>
    </row>
    <row r="9956" spans="1:5" x14ac:dyDescent="0.25">
      <c r="A9956" t="s">
        <v>2</v>
      </c>
      <c r="B9956" t="s">
        <v>3458</v>
      </c>
      <c r="C9956" t="s">
        <v>23490</v>
      </c>
      <c r="D9956" t="str">
        <f>HYPERLINK("https://rhld.insurance.arkansas.gov/NPILookup?Npi=1124323001","1124323001")</f>
        <v>1124323001</v>
      </c>
      <c r="E9956" t="s">
        <v>14792</v>
      </c>
    </row>
    <row r="9957" spans="1:5" x14ac:dyDescent="0.25">
      <c r="A9957" t="s">
        <v>2</v>
      </c>
      <c r="B9957" t="s">
        <v>3458</v>
      </c>
      <c r="C9957" t="s">
        <v>23490</v>
      </c>
      <c r="D9957" t="str">
        <f>HYPERLINK("https://rhld.insurance.arkansas.gov/NPILookup?Npi=1124325907","1124325907")</f>
        <v>1124325907</v>
      </c>
      <c r="E9957" t="s">
        <v>14793</v>
      </c>
    </row>
    <row r="9958" spans="1:5" x14ac:dyDescent="0.25">
      <c r="A9958" t="s">
        <v>2</v>
      </c>
      <c r="B9958" t="s">
        <v>3458</v>
      </c>
      <c r="C9958" t="s">
        <v>23490</v>
      </c>
      <c r="D9958" t="str">
        <f>HYPERLINK("https://rhld.insurance.arkansas.gov/NPILookup?Npi=1124329016","1124329016")</f>
        <v>1124329016</v>
      </c>
      <c r="E9958" t="s">
        <v>3525</v>
      </c>
    </row>
    <row r="9959" spans="1:5" x14ac:dyDescent="0.25">
      <c r="A9959" t="s">
        <v>2</v>
      </c>
      <c r="B9959" t="s">
        <v>3458</v>
      </c>
      <c r="C9959" t="s">
        <v>23490</v>
      </c>
      <c r="D9959" t="str">
        <f>HYPERLINK("https://rhld.insurance.arkansas.gov/NPILookup?Npi=1124342605","1124342605")</f>
        <v>1124342605</v>
      </c>
      <c r="E9959" t="s">
        <v>16880</v>
      </c>
    </row>
    <row r="9960" spans="1:5" x14ac:dyDescent="0.25">
      <c r="A9960" t="s">
        <v>2</v>
      </c>
      <c r="B9960" t="s">
        <v>3458</v>
      </c>
      <c r="C9960" t="s">
        <v>23490</v>
      </c>
      <c r="D9960" t="str">
        <f>HYPERLINK("https://rhld.insurance.arkansas.gov/NPILookup?Npi=1124343074","1124343074")</f>
        <v>1124343074</v>
      </c>
      <c r="E9960" t="s">
        <v>21717</v>
      </c>
    </row>
    <row r="9961" spans="1:5" x14ac:dyDescent="0.25">
      <c r="A9961" t="s">
        <v>2</v>
      </c>
      <c r="B9961" t="s">
        <v>3458</v>
      </c>
      <c r="C9961" t="s">
        <v>23490</v>
      </c>
      <c r="D9961" t="str">
        <f>HYPERLINK("https://rhld.insurance.arkansas.gov/NPILookup?Npi=1124355623","1124355623")</f>
        <v>1124355623</v>
      </c>
      <c r="E9961" t="s">
        <v>12778</v>
      </c>
    </row>
    <row r="9962" spans="1:5" x14ac:dyDescent="0.25">
      <c r="A9962" t="s">
        <v>2</v>
      </c>
      <c r="B9962" t="s">
        <v>3458</v>
      </c>
      <c r="C9962" t="s">
        <v>23490</v>
      </c>
      <c r="D9962" t="str">
        <f>HYPERLINK("https://rhld.insurance.arkansas.gov/NPILookup?Npi=1124364724","1124364724")</f>
        <v>1124364724</v>
      </c>
      <c r="E9962" t="s">
        <v>20895</v>
      </c>
    </row>
    <row r="9963" spans="1:5" x14ac:dyDescent="0.25">
      <c r="A9963" t="s">
        <v>2</v>
      </c>
      <c r="B9963" t="s">
        <v>3458</v>
      </c>
      <c r="C9963" t="s">
        <v>23490</v>
      </c>
      <c r="D9963" t="str">
        <f>HYPERLINK("https://rhld.insurance.arkansas.gov/NPILookup?Npi=1124366943","1124366943")</f>
        <v>1124366943</v>
      </c>
      <c r="E9963" t="s">
        <v>8502</v>
      </c>
    </row>
    <row r="9964" spans="1:5" x14ac:dyDescent="0.25">
      <c r="A9964" t="s">
        <v>2</v>
      </c>
      <c r="B9964" t="s">
        <v>3458</v>
      </c>
      <c r="C9964" t="s">
        <v>23490</v>
      </c>
      <c r="D9964" t="str">
        <f>HYPERLINK("https://rhld.insurance.arkansas.gov/NPILookup?Npi=1124376546","1124376546")</f>
        <v>1124376546</v>
      </c>
      <c r="E9964" t="s">
        <v>15811</v>
      </c>
    </row>
    <row r="9965" spans="1:5" x14ac:dyDescent="0.25">
      <c r="A9965" t="s">
        <v>2</v>
      </c>
      <c r="B9965" t="s">
        <v>3458</v>
      </c>
      <c r="C9965" t="s">
        <v>23490</v>
      </c>
      <c r="D9965" t="str">
        <f>HYPERLINK("https://rhld.insurance.arkansas.gov/NPILookup?Npi=1124377593","1124377593")</f>
        <v>1124377593</v>
      </c>
      <c r="E9965" t="s">
        <v>455</v>
      </c>
    </row>
    <row r="9966" spans="1:5" x14ac:dyDescent="0.25">
      <c r="A9966" t="s">
        <v>2</v>
      </c>
      <c r="B9966" t="s">
        <v>3458</v>
      </c>
      <c r="C9966" t="s">
        <v>23490</v>
      </c>
      <c r="D9966" t="str">
        <f>HYPERLINK("https://rhld.insurance.arkansas.gov/NPILookup?Npi=1124382536","1124382536")</f>
        <v>1124382536</v>
      </c>
      <c r="E9966" t="s">
        <v>19436</v>
      </c>
    </row>
    <row r="9967" spans="1:5" x14ac:dyDescent="0.25">
      <c r="A9967" t="s">
        <v>2</v>
      </c>
      <c r="B9967" t="s">
        <v>3458</v>
      </c>
      <c r="C9967" t="s">
        <v>23490</v>
      </c>
      <c r="D9967" t="str">
        <f>HYPERLINK("https://rhld.insurance.arkansas.gov/NPILookup?Npi=1124382593","1124382593")</f>
        <v>1124382593</v>
      </c>
      <c r="E9967" t="s">
        <v>14794</v>
      </c>
    </row>
    <row r="9968" spans="1:5" x14ac:dyDescent="0.25">
      <c r="A9968" t="s">
        <v>2</v>
      </c>
      <c r="B9968" t="s">
        <v>3458</v>
      </c>
      <c r="C9968" t="s">
        <v>23490</v>
      </c>
      <c r="D9968" t="str">
        <f>HYPERLINK("https://rhld.insurance.arkansas.gov/NPILookup?Npi=1124387139","1124387139")</f>
        <v>1124387139</v>
      </c>
      <c r="E9968" t="s">
        <v>10666</v>
      </c>
    </row>
    <row r="9969" spans="1:5" x14ac:dyDescent="0.25">
      <c r="A9969" t="s">
        <v>2</v>
      </c>
      <c r="B9969" t="s">
        <v>3458</v>
      </c>
      <c r="C9969" t="s">
        <v>23490</v>
      </c>
      <c r="D9969" t="str">
        <f>HYPERLINK("https://rhld.insurance.arkansas.gov/NPILookup?Npi=1124396833","1124396833")</f>
        <v>1124396833</v>
      </c>
      <c r="E9969" t="s">
        <v>10667</v>
      </c>
    </row>
    <row r="9970" spans="1:5" x14ac:dyDescent="0.25">
      <c r="A9970" t="s">
        <v>2</v>
      </c>
      <c r="B9970" t="s">
        <v>3458</v>
      </c>
      <c r="C9970" t="s">
        <v>23490</v>
      </c>
      <c r="D9970" t="str">
        <f>HYPERLINK("https://rhld.insurance.arkansas.gov/NPILookup?Npi=1124403944","1124403944")</f>
        <v>1124403944</v>
      </c>
      <c r="E9970" t="s">
        <v>14795</v>
      </c>
    </row>
    <row r="9971" spans="1:5" x14ac:dyDescent="0.25">
      <c r="A9971" t="s">
        <v>2</v>
      </c>
      <c r="B9971" t="s">
        <v>3458</v>
      </c>
      <c r="C9971" t="s">
        <v>23490</v>
      </c>
      <c r="D9971" t="str">
        <f>HYPERLINK("https://rhld.insurance.arkansas.gov/NPILookup?Npi=1124404173","1124404173")</f>
        <v>1124404173</v>
      </c>
      <c r="E9971" t="s">
        <v>8503</v>
      </c>
    </row>
    <row r="9972" spans="1:5" x14ac:dyDescent="0.25">
      <c r="A9972" t="s">
        <v>2</v>
      </c>
      <c r="B9972" t="s">
        <v>3458</v>
      </c>
      <c r="C9972" t="s">
        <v>23490</v>
      </c>
      <c r="D9972" t="str">
        <f>HYPERLINK("https://rhld.insurance.arkansas.gov/NPILookup?Npi=1124406921","1124406921")</f>
        <v>1124406921</v>
      </c>
      <c r="E9972" t="s">
        <v>13378</v>
      </c>
    </row>
    <row r="9973" spans="1:5" x14ac:dyDescent="0.25">
      <c r="A9973" t="s">
        <v>2</v>
      </c>
      <c r="B9973" t="s">
        <v>3458</v>
      </c>
      <c r="C9973" t="s">
        <v>23490</v>
      </c>
      <c r="D9973" t="str">
        <f>HYPERLINK("https://rhld.insurance.arkansas.gov/NPILookup?Npi=1124410873","1124410873")</f>
        <v>1124410873</v>
      </c>
      <c r="E9973" t="s">
        <v>13826</v>
      </c>
    </row>
    <row r="9974" spans="1:5" x14ac:dyDescent="0.25">
      <c r="A9974" t="s">
        <v>2</v>
      </c>
      <c r="B9974" t="s">
        <v>3458</v>
      </c>
      <c r="C9974" t="s">
        <v>23490</v>
      </c>
      <c r="D9974" t="str">
        <f>HYPERLINK("https://rhld.insurance.arkansas.gov/NPILookup?Npi=1124413596","1124413596")</f>
        <v>1124413596</v>
      </c>
      <c r="E9974" t="s">
        <v>10668</v>
      </c>
    </row>
    <row r="9975" spans="1:5" x14ac:dyDescent="0.25">
      <c r="A9975" t="s">
        <v>2</v>
      </c>
      <c r="B9975" t="s">
        <v>3458</v>
      </c>
      <c r="C9975" t="s">
        <v>23490</v>
      </c>
      <c r="D9975" t="str">
        <f>HYPERLINK("https://rhld.insurance.arkansas.gov/NPILookup?Npi=1124417142","1124417142")</f>
        <v>1124417142</v>
      </c>
      <c r="E9975" t="s">
        <v>456</v>
      </c>
    </row>
    <row r="9976" spans="1:5" x14ac:dyDescent="0.25">
      <c r="A9976" t="s">
        <v>2</v>
      </c>
      <c r="B9976" t="s">
        <v>3458</v>
      </c>
      <c r="C9976" t="s">
        <v>23490</v>
      </c>
      <c r="D9976" t="str">
        <f>HYPERLINK("https://rhld.insurance.arkansas.gov/NPILookup?Npi=1124418637","1124418637")</f>
        <v>1124418637</v>
      </c>
      <c r="E9976" t="s">
        <v>457</v>
      </c>
    </row>
    <row r="9977" spans="1:5" x14ac:dyDescent="0.25">
      <c r="A9977" t="s">
        <v>2</v>
      </c>
      <c r="B9977" t="s">
        <v>3458</v>
      </c>
      <c r="C9977" t="s">
        <v>23490</v>
      </c>
      <c r="D9977" t="str">
        <f>HYPERLINK("https://rhld.insurance.arkansas.gov/NPILookup?Npi=1124418769","1124418769")</f>
        <v>1124418769</v>
      </c>
      <c r="E9977" t="s">
        <v>458</v>
      </c>
    </row>
    <row r="9978" spans="1:5" x14ac:dyDescent="0.25">
      <c r="A9978" t="s">
        <v>2</v>
      </c>
      <c r="B9978" t="s">
        <v>3458</v>
      </c>
      <c r="C9978" t="s">
        <v>23490</v>
      </c>
      <c r="D9978" t="str">
        <f>HYPERLINK("https://rhld.insurance.arkansas.gov/NPILookup?Npi=1124432455","1124432455")</f>
        <v>1124432455</v>
      </c>
      <c r="E9978" t="s">
        <v>459</v>
      </c>
    </row>
    <row r="9979" spans="1:5" x14ac:dyDescent="0.25">
      <c r="A9979" t="s">
        <v>2</v>
      </c>
      <c r="B9979" t="s">
        <v>3458</v>
      </c>
      <c r="C9979" t="s">
        <v>23490</v>
      </c>
      <c r="D9979" t="str">
        <f>HYPERLINK("https://rhld.insurance.arkansas.gov/NPILookup?Npi=1124469887","1124469887")</f>
        <v>1124469887</v>
      </c>
      <c r="E9979" t="s">
        <v>460</v>
      </c>
    </row>
    <row r="9980" spans="1:5" x14ac:dyDescent="0.25">
      <c r="A9980" t="s">
        <v>2</v>
      </c>
      <c r="B9980" t="s">
        <v>3458</v>
      </c>
      <c r="C9980" t="s">
        <v>23490</v>
      </c>
      <c r="D9980" t="str">
        <f>HYPERLINK("https://rhld.insurance.arkansas.gov/NPILookup?Npi=1124479597","1124479597")</f>
        <v>1124479597</v>
      </c>
      <c r="E9980" t="s">
        <v>10670</v>
      </c>
    </row>
    <row r="9981" spans="1:5" x14ac:dyDescent="0.25">
      <c r="A9981" t="s">
        <v>2</v>
      </c>
      <c r="B9981" t="s">
        <v>3458</v>
      </c>
      <c r="C9981" t="s">
        <v>23490</v>
      </c>
      <c r="D9981" t="str">
        <f>HYPERLINK("https://rhld.insurance.arkansas.gov/NPILookup?Npi=1124508908","1124508908")</f>
        <v>1124508908</v>
      </c>
      <c r="E9981" t="s">
        <v>13379</v>
      </c>
    </row>
    <row r="9982" spans="1:5" x14ac:dyDescent="0.25">
      <c r="A9982" t="s">
        <v>2</v>
      </c>
      <c r="B9982" t="s">
        <v>3458</v>
      </c>
      <c r="C9982" t="s">
        <v>23490</v>
      </c>
      <c r="D9982" t="str">
        <f>HYPERLINK("https://rhld.insurance.arkansas.gov/NPILookup?Npi=1124514328","1124514328")</f>
        <v>1124514328</v>
      </c>
      <c r="E9982" t="s">
        <v>13380</v>
      </c>
    </row>
    <row r="9983" spans="1:5" x14ac:dyDescent="0.25">
      <c r="A9983" t="s">
        <v>2</v>
      </c>
      <c r="B9983" t="s">
        <v>3458</v>
      </c>
      <c r="C9983" t="s">
        <v>23490</v>
      </c>
      <c r="D9983" t="str">
        <f>HYPERLINK("https://rhld.insurance.arkansas.gov/NPILookup?Npi=1124529904","1124529904")</f>
        <v>1124529904</v>
      </c>
      <c r="E9983" t="s">
        <v>13381</v>
      </c>
    </row>
    <row r="9984" spans="1:5" x14ac:dyDescent="0.25">
      <c r="A9984" t="s">
        <v>2</v>
      </c>
      <c r="B9984" t="s">
        <v>3458</v>
      </c>
      <c r="C9984" t="s">
        <v>23490</v>
      </c>
      <c r="D9984" t="str">
        <f>HYPERLINK("https://rhld.insurance.arkansas.gov/NPILookup?Npi=1124537162","1124537162")</f>
        <v>1124537162</v>
      </c>
      <c r="E9984" t="s">
        <v>14797</v>
      </c>
    </row>
    <row r="9985" spans="1:5" x14ac:dyDescent="0.25">
      <c r="A9985" t="s">
        <v>2</v>
      </c>
      <c r="B9985" t="s">
        <v>3458</v>
      </c>
      <c r="C9985" t="s">
        <v>23490</v>
      </c>
      <c r="D9985" t="str">
        <f>HYPERLINK("https://rhld.insurance.arkansas.gov/NPILookup?Npi=1124550041","1124550041")</f>
        <v>1124550041</v>
      </c>
      <c r="E9985" t="s">
        <v>10672</v>
      </c>
    </row>
    <row r="9986" spans="1:5" x14ac:dyDescent="0.25">
      <c r="A9986" t="s">
        <v>2</v>
      </c>
      <c r="B9986" t="s">
        <v>3458</v>
      </c>
      <c r="C9986" t="s">
        <v>23490</v>
      </c>
      <c r="D9986" t="str">
        <f>HYPERLINK("https://rhld.insurance.arkansas.gov/NPILookup?Npi=1124616933","1124616933")</f>
        <v>1124616933</v>
      </c>
      <c r="E9986" t="s">
        <v>18127</v>
      </c>
    </row>
    <row r="9987" spans="1:5" x14ac:dyDescent="0.25">
      <c r="A9987" t="s">
        <v>2</v>
      </c>
      <c r="B9987" t="s">
        <v>3458</v>
      </c>
      <c r="C9987" t="s">
        <v>23490</v>
      </c>
      <c r="D9987" t="str">
        <f>HYPERLINK("https://rhld.insurance.arkansas.gov/NPILookup?Npi=1124617105","1124617105")</f>
        <v>1124617105</v>
      </c>
      <c r="E9987" t="s">
        <v>17864</v>
      </c>
    </row>
    <row r="9988" spans="1:5" x14ac:dyDescent="0.25">
      <c r="A9988" t="s">
        <v>2</v>
      </c>
      <c r="B9988" t="s">
        <v>3458</v>
      </c>
      <c r="C9988" t="s">
        <v>23490</v>
      </c>
      <c r="D9988" t="str">
        <f>HYPERLINK("https://rhld.insurance.arkansas.gov/NPILookup?Npi=1124636915","1124636915")</f>
        <v>1124636915</v>
      </c>
      <c r="E9988" t="s">
        <v>17390</v>
      </c>
    </row>
    <row r="9989" spans="1:5" x14ac:dyDescent="0.25">
      <c r="A9989" t="s">
        <v>2</v>
      </c>
      <c r="B9989" t="s">
        <v>3458</v>
      </c>
      <c r="C9989" t="s">
        <v>8427</v>
      </c>
      <c r="D9989" t="str">
        <f>HYPERLINK("https://rhld.insurance.arkansas.gov/NPILookup?Npi=1124641816","1124641816")</f>
        <v>1124641816</v>
      </c>
      <c r="E9989" t="s">
        <v>22895</v>
      </c>
    </row>
    <row r="9990" spans="1:5" x14ac:dyDescent="0.25">
      <c r="A9990" t="s">
        <v>2</v>
      </c>
      <c r="B9990" t="s">
        <v>3458</v>
      </c>
      <c r="C9990" t="s">
        <v>23490</v>
      </c>
      <c r="D9990" t="str">
        <f>HYPERLINK("https://rhld.insurance.arkansas.gov/NPILookup?Npi=1124666482","1124666482")</f>
        <v>1124666482</v>
      </c>
      <c r="E9990" t="s">
        <v>18673</v>
      </c>
    </row>
    <row r="9991" spans="1:5" x14ac:dyDescent="0.25">
      <c r="A9991" t="s">
        <v>2</v>
      </c>
      <c r="B9991" t="s">
        <v>3458</v>
      </c>
      <c r="C9991" t="s">
        <v>8427</v>
      </c>
      <c r="D9991" t="str">
        <f>HYPERLINK("https://rhld.insurance.arkansas.gov/NPILookup?Npi=1124673439","1124673439")</f>
        <v>1124673439</v>
      </c>
      <c r="E9991" t="s">
        <v>5951</v>
      </c>
    </row>
    <row r="9992" spans="1:5" x14ac:dyDescent="0.25">
      <c r="A9992" t="s">
        <v>2</v>
      </c>
      <c r="B9992" t="s">
        <v>3458</v>
      </c>
      <c r="C9992" t="s">
        <v>23490</v>
      </c>
      <c r="D9992" t="str">
        <f>HYPERLINK("https://rhld.insurance.arkansas.gov/NPILookup?Npi=1124681465","1124681465")</f>
        <v>1124681465</v>
      </c>
      <c r="E9992" t="s">
        <v>14799</v>
      </c>
    </row>
    <row r="9993" spans="1:5" x14ac:dyDescent="0.25">
      <c r="A9993" t="s">
        <v>2</v>
      </c>
      <c r="B9993" t="s">
        <v>3458</v>
      </c>
      <c r="C9993" t="s">
        <v>23490</v>
      </c>
      <c r="D9993" t="str">
        <f>HYPERLINK("https://rhld.insurance.arkansas.gov/NPILookup?Npi=1124697891","1124697891")</f>
        <v>1124697891</v>
      </c>
      <c r="E9993" t="s">
        <v>18674</v>
      </c>
    </row>
    <row r="9994" spans="1:5" x14ac:dyDescent="0.25">
      <c r="A9994" t="s">
        <v>2</v>
      </c>
      <c r="B9994" t="s">
        <v>3458</v>
      </c>
      <c r="C9994" t="s">
        <v>23490</v>
      </c>
      <c r="D9994" t="str">
        <f>HYPERLINK("https://rhld.insurance.arkansas.gov/NPILookup?Npi=1124740428","1124740428")</f>
        <v>1124740428</v>
      </c>
      <c r="E9994" t="s">
        <v>20899</v>
      </c>
    </row>
    <row r="9995" spans="1:5" x14ac:dyDescent="0.25">
      <c r="A9995" t="s">
        <v>2</v>
      </c>
      <c r="B9995" t="s">
        <v>3458</v>
      </c>
      <c r="C9995" t="s">
        <v>23490</v>
      </c>
      <c r="D9995" t="str">
        <f>HYPERLINK("https://rhld.insurance.arkansas.gov/NPILookup?Npi=1124744321","1124744321")</f>
        <v>1124744321</v>
      </c>
      <c r="E9995" t="s">
        <v>21718</v>
      </c>
    </row>
    <row r="9996" spans="1:5" x14ac:dyDescent="0.25">
      <c r="A9996" t="s">
        <v>2</v>
      </c>
      <c r="B9996" t="s">
        <v>3458</v>
      </c>
      <c r="C9996" t="s">
        <v>23490</v>
      </c>
      <c r="D9996" t="str">
        <f>HYPERLINK("https://rhld.insurance.arkansas.gov/NPILookup?Npi=1124782453","1124782453")</f>
        <v>1124782453</v>
      </c>
      <c r="E9996" t="s">
        <v>19440</v>
      </c>
    </row>
    <row r="9997" spans="1:5" x14ac:dyDescent="0.25">
      <c r="A9997" t="s">
        <v>2</v>
      </c>
      <c r="B9997" t="s">
        <v>3458</v>
      </c>
      <c r="C9997" t="s">
        <v>23490</v>
      </c>
      <c r="D9997" t="str">
        <f>HYPERLINK("https://rhld.insurance.arkansas.gov/NPILookup?Npi=1124782719","1124782719")</f>
        <v>1124782719</v>
      </c>
      <c r="E9997" t="s">
        <v>21473</v>
      </c>
    </row>
    <row r="9998" spans="1:5" x14ac:dyDescent="0.25">
      <c r="A9998" t="s">
        <v>2</v>
      </c>
      <c r="B9998" t="s">
        <v>3458</v>
      </c>
      <c r="C9998" t="s">
        <v>23490</v>
      </c>
      <c r="D9998" t="str">
        <f>HYPERLINK("https://rhld.insurance.arkansas.gov/NPILookup?Npi=1124799580","1124799580")</f>
        <v>1124799580</v>
      </c>
      <c r="E9998" t="s">
        <v>19441</v>
      </c>
    </row>
    <row r="9999" spans="1:5" x14ac:dyDescent="0.25">
      <c r="A9999" t="s">
        <v>2</v>
      </c>
      <c r="B9999" t="s">
        <v>3458</v>
      </c>
      <c r="C9999" t="s">
        <v>8427</v>
      </c>
      <c r="D9999" t="str">
        <f>HYPERLINK("https://rhld.insurance.arkansas.gov/NPILookup?Npi=1124806450","1124806450")</f>
        <v>1124806450</v>
      </c>
      <c r="E9999" t="s">
        <v>22896</v>
      </c>
    </row>
    <row r="10000" spans="1:5" x14ac:dyDescent="0.25">
      <c r="A10000" t="s">
        <v>2</v>
      </c>
      <c r="B10000" t="s">
        <v>3458</v>
      </c>
      <c r="C10000" t="s">
        <v>23490</v>
      </c>
      <c r="D10000" t="str">
        <f>HYPERLINK("https://rhld.insurance.arkansas.gov/NPILookup?Npi=1134126410","1134126410")</f>
        <v>1134126410</v>
      </c>
      <c r="E10000" t="s">
        <v>462</v>
      </c>
    </row>
    <row r="10001" spans="1:5" x14ac:dyDescent="0.25">
      <c r="A10001" t="s">
        <v>2</v>
      </c>
      <c r="B10001" t="s">
        <v>3458</v>
      </c>
      <c r="C10001" t="s">
        <v>23490</v>
      </c>
      <c r="D10001" t="str">
        <f>HYPERLINK("https://rhld.insurance.arkansas.gov/NPILookup?Npi=1134126600","1134126600")</f>
        <v>1134126600</v>
      </c>
      <c r="E10001" t="s">
        <v>8504</v>
      </c>
    </row>
    <row r="10002" spans="1:5" x14ac:dyDescent="0.25">
      <c r="A10002" t="s">
        <v>2</v>
      </c>
      <c r="B10002" t="s">
        <v>3458</v>
      </c>
      <c r="C10002" t="s">
        <v>23490</v>
      </c>
      <c r="D10002" t="str">
        <f>HYPERLINK("https://rhld.insurance.arkansas.gov/NPILookup?Npi=1134139355","1134139355")</f>
        <v>1134139355</v>
      </c>
      <c r="E10002" t="s">
        <v>15812</v>
      </c>
    </row>
    <row r="10003" spans="1:5" x14ac:dyDescent="0.25">
      <c r="A10003" t="s">
        <v>2</v>
      </c>
      <c r="B10003" t="s">
        <v>3458</v>
      </c>
      <c r="C10003" t="s">
        <v>23490</v>
      </c>
      <c r="D10003" t="str">
        <f>HYPERLINK("https://rhld.insurance.arkansas.gov/NPILookup?Npi=1134145931","1134145931")</f>
        <v>1134145931</v>
      </c>
      <c r="E10003" t="s">
        <v>3526</v>
      </c>
    </row>
    <row r="10004" spans="1:5" x14ac:dyDescent="0.25">
      <c r="A10004" t="s">
        <v>2</v>
      </c>
      <c r="B10004" t="s">
        <v>3458</v>
      </c>
      <c r="C10004" t="s">
        <v>23490</v>
      </c>
      <c r="D10004" t="str">
        <f>HYPERLINK("https://rhld.insurance.arkansas.gov/NPILookup?Npi=1134152895","1134152895")</f>
        <v>1134152895</v>
      </c>
      <c r="E10004" t="s">
        <v>3527</v>
      </c>
    </row>
    <row r="10005" spans="1:5" x14ac:dyDescent="0.25">
      <c r="A10005" t="s">
        <v>2</v>
      </c>
      <c r="B10005" t="s">
        <v>3458</v>
      </c>
      <c r="C10005" t="s">
        <v>23490</v>
      </c>
      <c r="D10005" t="str">
        <f>HYPERLINK("https://rhld.insurance.arkansas.gov/NPILookup?Npi=1134156250","1134156250")</f>
        <v>1134156250</v>
      </c>
      <c r="E10005" t="s">
        <v>19444</v>
      </c>
    </row>
    <row r="10006" spans="1:5" x14ac:dyDescent="0.25">
      <c r="A10006" t="s">
        <v>2</v>
      </c>
      <c r="B10006" t="s">
        <v>3458</v>
      </c>
      <c r="C10006" t="s">
        <v>23490</v>
      </c>
      <c r="D10006" t="str">
        <f>HYPERLINK("https://rhld.insurance.arkansas.gov/NPILookup?Npi=1134164734","1134164734")</f>
        <v>1134164734</v>
      </c>
      <c r="E10006" t="s">
        <v>3528</v>
      </c>
    </row>
    <row r="10007" spans="1:5" x14ac:dyDescent="0.25">
      <c r="A10007" t="s">
        <v>2</v>
      </c>
      <c r="B10007" t="s">
        <v>3458</v>
      </c>
      <c r="C10007" t="s">
        <v>23490</v>
      </c>
      <c r="D10007" t="str">
        <f>HYPERLINK("https://rhld.insurance.arkansas.gov/NPILookup?Npi=1134174329","1134174329")</f>
        <v>1134174329</v>
      </c>
      <c r="E10007" t="s">
        <v>466</v>
      </c>
    </row>
    <row r="10008" spans="1:5" x14ac:dyDescent="0.25">
      <c r="A10008" t="s">
        <v>2</v>
      </c>
      <c r="B10008" t="s">
        <v>3458</v>
      </c>
      <c r="C10008" t="s">
        <v>23490</v>
      </c>
      <c r="D10008" t="str">
        <f>HYPERLINK("https://rhld.insurance.arkansas.gov/NPILookup?Npi=1134178841","1134178841")</f>
        <v>1134178841</v>
      </c>
      <c r="E10008" t="s">
        <v>467</v>
      </c>
    </row>
    <row r="10009" spans="1:5" x14ac:dyDescent="0.25">
      <c r="A10009" t="s">
        <v>2</v>
      </c>
      <c r="B10009" t="s">
        <v>3458</v>
      </c>
      <c r="C10009" t="s">
        <v>23490</v>
      </c>
      <c r="D10009" t="str">
        <f>HYPERLINK("https://rhld.insurance.arkansas.gov/NPILookup?Npi=1134180938","1134180938")</f>
        <v>1134180938</v>
      </c>
      <c r="E10009" t="s">
        <v>15813</v>
      </c>
    </row>
    <row r="10010" spans="1:5" x14ac:dyDescent="0.25">
      <c r="A10010" t="s">
        <v>2</v>
      </c>
      <c r="B10010" t="s">
        <v>3458</v>
      </c>
      <c r="C10010" t="s">
        <v>23490</v>
      </c>
      <c r="D10010" t="str">
        <f>HYPERLINK("https://rhld.insurance.arkansas.gov/NPILookup?Npi=1134182751","1134182751")</f>
        <v>1134182751</v>
      </c>
      <c r="E10010" t="s">
        <v>468</v>
      </c>
    </row>
    <row r="10011" spans="1:5" x14ac:dyDescent="0.25">
      <c r="A10011" t="s">
        <v>2</v>
      </c>
      <c r="B10011" t="s">
        <v>3458</v>
      </c>
      <c r="C10011" t="s">
        <v>23490</v>
      </c>
      <c r="D10011" t="str">
        <f>HYPERLINK("https://rhld.insurance.arkansas.gov/NPILookup?Npi=1134184484","1134184484")</f>
        <v>1134184484</v>
      </c>
      <c r="E10011" t="s">
        <v>469</v>
      </c>
    </row>
    <row r="10012" spans="1:5" x14ac:dyDescent="0.25">
      <c r="A10012" t="s">
        <v>2</v>
      </c>
      <c r="B10012" t="s">
        <v>3458</v>
      </c>
      <c r="C10012" t="s">
        <v>23490</v>
      </c>
      <c r="D10012" t="str">
        <f>HYPERLINK("https://rhld.insurance.arkansas.gov/NPILookup?Npi=1134185317","1134185317")</f>
        <v>1134185317</v>
      </c>
      <c r="E10012" t="s">
        <v>3530</v>
      </c>
    </row>
    <row r="10013" spans="1:5" x14ac:dyDescent="0.25">
      <c r="A10013" t="s">
        <v>2</v>
      </c>
      <c r="B10013" t="s">
        <v>3458</v>
      </c>
      <c r="C10013" t="s">
        <v>23490</v>
      </c>
      <c r="D10013" t="str">
        <f>HYPERLINK("https://rhld.insurance.arkansas.gov/NPILookup?Npi=1134187156","1134187156")</f>
        <v>1134187156</v>
      </c>
      <c r="E10013" t="s">
        <v>3531</v>
      </c>
    </row>
    <row r="10014" spans="1:5" x14ac:dyDescent="0.25">
      <c r="A10014" t="s">
        <v>2</v>
      </c>
      <c r="B10014" t="s">
        <v>3458</v>
      </c>
      <c r="C10014" t="s">
        <v>23490</v>
      </c>
      <c r="D10014" t="str">
        <f>HYPERLINK("https://rhld.insurance.arkansas.gov/NPILookup?Npi=1134187925","1134187925")</f>
        <v>1134187925</v>
      </c>
      <c r="E10014" t="s">
        <v>470</v>
      </c>
    </row>
    <row r="10015" spans="1:5" x14ac:dyDescent="0.25">
      <c r="A10015" t="s">
        <v>2</v>
      </c>
      <c r="B10015" t="s">
        <v>3458</v>
      </c>
      <c r="C10015" t="s">
        <v>23490</v>
      </c>
      <c r="D10015" t="str">
        <f>HYPERLINK("https://rhld.insurance.arkansas.gov/NPILookup?Npi=1134188063","1134188063")</f>
        <v>1134188063</v>
      </c>
      <c r="E10015" t="s">
        <v>471</v>
      </c>
    </row>
    <row r="10016" spans="1:5" x14ac:dyDescent="0.25">
      <c r="A10016" t="s">
        <v>2</v>
      </c>
      <c r="B10016" t="s">
        <v>3458</v>
      </c>
      <c r="C10016" t="s">
        <v>23490</v>
      </c>
      <c r="D10016" t="str">
        <f>HYPERLINK("https://rhld.insurance.arkansas.gov/NPILookup?Npi=1134215288","1134215288")</f>
        <v>1134215288</v>
      </c>
      <c r="E10016" t="s">
        <v>473</v>
      </c>
    </row>
    <row r="10017" spans="1:5" x14ac:dyDescent="0.25">
      <c r="A10017" t="s">
        <v>2</v>
      </c>
      <c r="B10017" t="s">
        <v>3458</v>
      </c>
      <c r="C10017" t="s">
        <v>23490</v>
      </c>
      <c r="D10017" t="str">
        <f>HYPERLINK("https://rhld.insurance.arkansas.gov/NPILookup?Npi=1134219280","1134219280")</f>
        <v>1134219280</v>
      </c>
      <c r="E10017" t="s">
        <v>3532</v>
      </c>
    </row>
    <row r="10018" spans="1:5" x14ac:dyDescent="0.25">
      <c r="A10018" t="s">
        <v>2</v>
      </c>
      <c r="B10018" t="s">
        <v>3458</v>
      </c>
      <c r="C10018" t="s">
        <v>23490</v>
      </c>
      <c r="D10018" t="str">
        <f>HYPERLINK("https://rhld.insurance.arkansas.gov/NPILookup?Npi=1134219637","1134219637")</f>
        <v>1134219637</v>
      </c>
      <c r="E10018" t="s">
        <v>3533</v>
      </c>
    </row>
    <row r="10019" spans="1:5" x14ac:dyDescent="0.25">
      <c r="A10019" t="s">
        <v>2</v>
      </c>
      <c r="B10019" t="s">
        <v>3458</v>
      </c>
      <c r="C10019" t="s">
        <v>23490</v>
      </c>
      <c r="D10019" t="str">
        <f>HYPERLINK("https://rhld.insurance.arkansas.gov/NPILookup?Npi=1134235146","1134235146")</f>
        <v>1134235146</v>
      </c>
      <c r="E10019" t="s">
        <v>476</v>
      </c>
    </row>
    <row r="10020" spans="1:5" x14ac:dyDescent="0.25">
      <c r="A10020" t="s">
        <v>2</v>
      </c>
      <c r="B10020" t="s">
        <v>3458</v>
      </c>
      <c r="C10020" t="s">
        <v>23490</v>
      </c>
      <c r="D10020" t="str">
        <f>HYPERLINK("https://rhld.insurance.arkansas.gov/NPILookup?Npi=1134255078","1134255078")</f>
        <v>1134255078</v>
      </c>
      <c r="E10020" t="s">
        <v>12320</v>
      </c>
    </row>
    <row r="10021" spans="1:5" x14ac:dyDescent="0.25">
      <c r="A10021" t="s">
        <v>2</v>
      </c>
      <c r="B10021" t="s">
        <v>3458</v>
      </c>
      <c r="C10021" t="s">
        <v>23490</v>
      </c>
      <c r="D10021" t="str">
        <f>HYPERLINK("https://rhld.insurance.arkansas.gov/NPILookup?Npi=1134257629","1134257629")</f>
        <v>1134257629</v>
      </c>
      <c r="E10021" t="s">
        <v>14801</v>
      </c>
    </row>
    <row r="10022" spans="1:5" x14ac:dyDescent="0.25">
      <c r="A10022" t="s">
        <v>2</v>
      </c>
      <c r="B10022" t="s">
        <v>3458</v>
      </c>
      <c r="C10022" t="s">
        <v>23490</v>
      </c>
      <c r="D10022" t="str">
        <f>HYPERLINK("https://rhld.insurance.arkansas.gov/NPILookup?Npi=1134257967","1134257967")</f>
        <v>1134257967</v>
      </c>
      <c r="E10022" t="s">
        <v>478</v>
      </c>
    </row>
    <row r="10023" spans="1:5" x14ac:dyDescent="0.25">
      <c r="A10023" t="s">
        <v>2</v>
      </c>
      <c r="B10023" t="s">
        <v>3458</v>
      </c>
      <c r="C10023" t="s">
        <v>23490</v>
      </c>
      <c r="D10023" t="str">
        <f>HYPERLINK("https://rhld.insurance.arkansas.gov/NPILookup?Npi=1134282999","1134282999")</f>
        <v>1134282999</v>
      </c>
      <c r="E10023" t="s">
        <v>479</v>
      </c>
    </row>
    <row r="10024" spans="1:5" x14ac:dyDescent="0.25">
      <c r="A10024" t="s">
        <v>2</v>
      </c>
      <c r="B10024" t="s">
        <v>3458</v>
      </c>
      <c r="C10024" t="s">
        <v>23490</v>
      </c>
      <c r="D10024" t="str">
        <f>HYPERLINK("https://rhld.insurance.arkansas.gov/NPILookup?Npi=1134284524","1134284524")</f>
        <v>1134284524</v>
      </c>
      <c r="E10024" t="s">
        <v>14802</v>
      </c>
    </row>
    <row r="10025" spans="1:5" x14ac:dyDescent="0.25">
      <c r="A10025" t="s">
        <v>2</v>
      </c>
      <c r="B10025" t="s">
        <v>3458</v>
      </c>
      <c r="C10025" t="s">
        <v>23490</v>
      </c>
      <c r="D10025" t="str">
        <f>HYPERLINK("https://rhld.insurance.arkansas.gov/NPILookup?Npi=1134295009","1134295009")</f>
        <v>1134295009</v>
      </c>
      <c r="E10025" t="s">
        <v>14803</v>
      </c>
    </row>
    <row r="10026" spans="1:5" x14ac:dyDescent="0.25">
      <c r="A10026" t="s">
        <v>2</v>
      </c>
      <c r="B10026" t="s">
        <v>3458</v>
      </c>
      <c r="C10026" t="s">
        <v>23490</v>
      </c>
      <c r="D10026" t="str">
        <f>HYPERLINK("https://rhld.insurance.arkansas.gov/NPILookup?Npi=1134316250","1134316250")</f>
        <v>1134316250</v>
      </c>
      <c r="E10026" t="s">
        <v>8506</v>
      </c>
    </row>
    <row r="10027" spans="1:5" x14ac:dyDescent="0.25">
      <c r="A10027" t="s">
        <v>2</v>
      </c>
      <c r="B10027" t="s">
        <v>3458</v>
      </c>
      <c r="C10027" t="s">
        <v>23490</v>
      </c>
      <c r="D10027" t="str">
        <f>HYPERLINK("https://rhld.insurance.arkansas.gov/NPILookup?Npi=1134340276","1134340276")</f>
        <v>1134340276</v>
      </c>
      <c r="E10027" t="s">
        <v>480</v>
      </c>
    </row>
    <row r="10028" spans="1:5" x14ac:dyDescent="0.25">
      <c r="A10028" t="s">
        <v>2</v>
      </c>
      <c r="B10028" t="s">
        <v>3458</v>
      </c>
      <c r="C10028" t="s">
        <v>23490</v>
      </c>
      <c r="D10028" t="str">
        <f>HYPERLINK("https://rhld.insurance.arkansas.gov/NPILookup?Npi=1134349699","1134349699")</f>
        <v>1134349699</v>
      </c>
      <c r="E10028" t="s">
        <v>12314</v>
      </c>
    </row>
    <row r="10029" spans="1:5" x14ac:dyDescent="0.25">
      <c r="A10029" t="s">
        <v>2</v>
      </c>
      <c r="B10029" t="s">
        <v>3458</v>
      </c>
      <c r="C10029" t="s">
        <v>23490</v>
      </c>
      <c r="D10029" t="str">
        <f>HYPERLINK("https://rhld.insurance.arkansas.gov/NPILookup?Npi=1134351141","1134351141")</f>
        <v>1134351141</v>
      </c>
      <c r="E10029" t="s">
        <v>481</v>
      </c>
    </row>
    <row r="10030" spans="1:5" x14ac:dyDescent="0.25">
      <c r="A10030" t="s">
        <v>2</v>
      </c>
      <c r="B10030" t="s">
        <v>3458</v>
      </c>
      <c r="C10030" t="s">
        <v>23490</v>
      </c>
      <c r="D10030" t="str">
        <f>HYPERLINK("https://rhld.insurance.arkansas.gov/NPILookup?Npi=1134351299","1134351299")</f>
        <v>1134351299</v>
      </c>
      <c r="E10030" t="s">
        <v>482</v>
      </c>
    </row>
    <row r="10031" spans="1:5" x14ac:dyDescent="0.25">
      <c r="A10031" t="s">
        <v>2</v>
      </c>
      <c r="B10031" t="s">
        <v>3458</v>
      </c>
      <c r="C10031" t="s">
        <v>23490</v>
      </c>
      <c r="D10031" t="str">
        <f>HYPERLINK("https://rhld.insurance.arkansas.gov/NPILookup?Npi=1134354293","1134354293")</f>
        <v>1134354293</v>
      </c>
      <c r="E10031" t="s">
        <v>8507</v>
      </c>
    </row>
    <row r="10032" spans="1:5" x14ac:dyDescent="0.25">
      <c r="A10032" t="s">
        <v>2</v>
      </c>
      <c r="B10032" t="s">
        <v>3458</v>
      </c>
      <c r="C10032" t="s">
        <v>23490</v>
      </c>
      <c r="D10032" t="str">
        <f>HYPERLINK("https://rhld.insurance.arkansas.gov/NPILookup?Npi=1134355217","1134355217")</f>
        <v>1134355217</v>
      </c>
      <c r="E10032" t="s">
        <v>483</v>
      </c>
    </row>
    <row r="10033" spans="1:5" x14ac:dyDescent="0.25">
      <c r="A10033" t="s">
        <v>2</v>
      </c>
      <c r="B10033" t="s">
        <v>3458</v>
      </c>
      <c r="C10033" t="s">
        <v>23490</v>
      </c>
      <c r="D10033" t="str">
        <f>HYPERLINK("https://rhld.insurance.arkansas.gov/NPILookup?Npi=1134356942","1134356942")</f>
        <v>1134356942</v>
      </c>
      <c r="E10033" t="s">
        <v>19445</v>
      </c>
    </row>
    <row r="10034" spans="1:5" x14ac:dyDescent="0.25">
      <c r="A10034" t="s">
        <v>2</v>
      </c>
      <c r="B10034" t="s">
        <v>3458</v>
      </c>
      <c r="C10034" t="s">
        <v>23490</v>
      </c>
      <c r="D10034" t="str">
        <f>HYPERLINK("https://rhld.insurance.arkansas.gov/NPILookup?Npi=1134368848","1134368848")</f>
        <v>1134368848</v>
      </c>
      <c r="E10034" t="s">
        <v>485</v>
      </c>
    </row>
    <row r="10035" spans="1:5" x14ac:dyDescent="0.25">
      <c r="A10035" t="s">
        <v>2</v>
      </c>
      <c r="B10035" t="s">
        <v>3458</v>
      </c>
      <c r="C10035" t="s">
        <v>23490</v>
      </c>
      <c r="D10035" t="str">
        <f>HYPERLINK("https://rhld.insurance.arkansas.gov/NPILookup?Npi=1134383276","1134383276")</f>
        <v>1134383276</v>
      </c>
      <c r="E10035" t="s">
        <v>19446</v>
      </c>
    </row>
    <row r="10036" spans="1:5" x14ac:dyDescent="0.25">
      <c r="A10036" t="s">
        <v>2</v>
      </c>
      <c r="B10036" t="s">
        <v>3458</v>
      </c>
      <c r="C10036" t="s">
        <v>23490</v>
      </c>
      <c r="D10036" t="str">
        <f>HYPERLINK("https://rhld.insurance.arkansas.gov/NPILookup?Npi=1134403884","1134403884")</f>
        <v>1134403884</v>
      </c>
      <c r="E10036" t="s">
        <v>487</v>
      </c>
    </row>
    <row r="10037" spans="1:5" x14ac:dyDescent="0.25">
      <c r="A10037" t="s">
        <v>2</v>
      </c>
      <c r="B10037" t="s">
        <v>3458</v>
      </c>
      <c r="C10037" t="s">
        <v>23490</v>
      </c>
      <c r="D10037" t="str">
        <f>HYPERLINK("https://rhld.insurance.arkansas.gov/NPILookup?Npi=1134415417","1134415417")</f>
        <v>1134415417</v>
      </c>
      <c r="E10037" t="s">
        <v>10673</v>
      </c>
    </row>
    <row r="10038" spans="1:5" x14ac:dyDescent="0.25">
      <c r="A10038" t="s">
        <v>2</v>
      </c>
      <c r="B10038" t="s">
        <v>3458</v>
      </c>
      <c r="C10038" t="s">
        <v>23490</v>
      </c>
      <c r="D10038" t="str">
        <f>HYPERLINK("https://rhld.insurance.arkansas.gov/NPILookup?Npi=1134458243","1134458243")</f>
        <v>1134458243</v>
      </c>
      <c r="E10038" t="s">
        <v>19448</v>
      </c>
    </row>
    <row r="10039" spans="1:5" x14ac:dyDescent="0.25">
      <c r="A10039" t="s">
        <v>2</v>
      </c>
      <c r="B10039" t="s">
        <v>3458</v>
      </c>
      <c r="C10039" t="s">
        <v>23490</v>
      </c>
      <c r="D10039" t="str">
        <f>HYPERLINK("https://rhld.insurance.arkansas.gov/NPILookup?Npi=1134474661","1134474661")</f>
        <v>1134474661</v>
      </c>
      <c r="E10039" t="s">
        <v>488</v>
      </c>
    </row>
    <row r="10040" spans="1:5" x14ac:dyDescent="0.25">
      <c r="A10040" t="s">
        <v>2</v>
      </c>
      <c r="B10040" t="s">
        <v>3458</v>
      </c>
      <c r="C10040" t="s">
        <v>23490</v>
      </c>
      <c r="D10040" t="str">
        <f>HYPERLINK("https://rhld.insurance.arkansas.gov/NPILookup?Npi=1134479272","1134479272")</f>
        <v>1134479272</v>
      </c>
      <c r="E10040" t="s">
        <v>489</v>
      </c>
    </row>
    <row r="10041" spans="1:5" x14ac:dyDescent="0.25">
      <c r="A10041" t="s">
        <v>2</v>
      </c>
      <c r="B10041" t="s">
        <v>3458</v>
      </c>
      <c r="C10041" t="s">
        <v>23490</v>
      </c>
      <c r="D10041" t="str">
        <f>HYPERLINK("https://rhld.insurance.arkansas.gov/NPILookup?Npi=1134481914","1134481914")</f>
        <v>1134481914</v>
      </c>
      <c r="E10041" t="s">
        <v>10674</v>
      </c>
    </row>
    <row r="10042" spans="1:5" x14ac:dyDescent="0.25">
      <c r="A10042" t="s">
        <v>2</v>
      </c>
      <c r="B10042" t="s">
        <v>3458</v>
      </c>
      <c r="C10042" t="s">
        <v>23490</v>
      </c>
      <c r="D10042" t="str">
        <f>HYPERLINK("https://rhld.insurance.arkansas.gov/NPILookup?Npi=1134495088","1134495088")</f>
        <v>1134495088</v>
      </c>
      <c r="E10042" t="s">
        <v>490</v>
      </c>
    </row>
    <row r="10043" spans="1:5" x14ac:dyDescent="0.25">
      <c r="A10043" t="s">
        <v>2</v>
      </c>
      <c r="B10043" t="s">
        <v>3458</v>
      </c>
      <c r="C10043" t="s">
        <v>23490</v>
      </c>
      <c r="D10043" t="str">
        <f>HYPERLINK("https://rhld.insurance.arkansas.gov/NPILookup?Npi=1134501695","1134501695")</f>
        <v>1134501695</v>
      </c>
      <c r="E10043" t="s">
        <v>14805</v>
      </c>
    </row>
    <row r="10044" spans="1:5" x14ac:dyDescent="0.25">
      <c r="A10044" t="s">
        <v>2</v>
      </c>
      <c r="B10044" t="s">
        <v>3458</v>
      </c>
      <c r="C10044" t="s">
        <v>23490</v>
      </c>
      <c r="D10044" t="str">
        <f>HYPERLINK("https://rhld.insurance.arkansas.gov/NPILookup?Npi=1134517014","1134517014")</f>
        <v>1134517014</v>
      </c>
      <c r="E10044" t="s">
        <v>491</v>
      </c>
    </row>
    <row r="10045" spans="1:5" x14ac:dyDescent="0.25">
      <c r="A10045" t="s">
        <v>2</v>
      </c>
      <c r="B10045" t="s">
        <v>3458</v>
      </c>
      <c r="C10045" t="s">
        <v>23490</v>
      </c>
      <c r="D10045" t="str">
        <f>HYPERLINK("https://rhld.insurance.arkansas.gov/NPILookup?Npi=1134531106","1134531106")</f>
        <v>1134531106</v>
      </c>
      <c r="E10045" t="s">
        <v>12961</v>
      </c>
    </row>
    <row r="10046" spans="1:5" x14ac:dyDescent="0.25">
      <c r="A10046" t="s">
        <v>2</v>
      </c>
      <c r="B10046" t="s">
        <v>3458</v>
      </c>
      <c r="C10046" t="s">
        <v>8427</v>
      </c>
      <c r="D10046" t="str">
        <f>HYPERLINK("https://rhld.insurance.arkansas.gov/NPILookup?Npi=1134534282","1134534282")</f>
        <v>1134534282</v>
      </c>
      <c r="E10046" t="s">
        <v>22897</v>
      </c>
    </row>
    <row r="10047" spans="1:5" x14ac:dyDescent="0.25">
      <c r="A10047" t="s">
        <v>2</v>
      </c>
      <c r="B10047" t="s">
        <v>3458</v>
      </c>
      <c r="C10047" t="s">
        <v>23490</v>
      </c>
      <c r="D10047" t="str">
        <f>HYPERLINK("https://rhld.insurance.arkansas.gov/NPILookup?Npi=1134548258","1134548258")</f>
        <v>1134548258</v>
      </c>
      <c r="E10047" t="s">
        <v>10675</v>
      </c>
    </row>
    <row r="10048" spans="1:5" x14ac:dyDescent="0.25">
      <c r="A10048" t="s">
        <v>2</v>
      </c>
      <c r="B10048" t="s">
        <v>3458</v>
      </c>
      <c r="C10048" t="s">
        <v>23490</v>
      </c>
      <c r="D10048" t="str">
        <f>HYPERLINK("https://rhld.insurance.arkansas.gov/NPILookup?Npi=1134549447","1134549447")</f>
        <v>1134549447</v>
      </c>
      <c r="E10048" t="s">
        <v>10676</v>
      </c>
    </row>
    <row r="10049" spans="1:5" x14ac:dyDescent="0.25">
      <c r="A10049" t="s">
        <v>2</v>
      </c>
      <c r="B10049" t="s">
        <v>3458</v>
      </c>
      <c r="C10049" t="s">
        <v>23490</v>
      </c>
      <c r="D10049" t="str">
        <f>HYPERLINK("https://rhld.insurance.arkansas.gov/NPILookup?Npi=1134579758","1134579758")</f>
        <v>1134579758</v>
      </c>
      <c r="E10049" t="s">
        <v>10677</v>
      </c>
    </row>
    <row r="10050" spans="1:5" x14ac:dyDescent="0.25">
      <c r="A10050" t="s">
        <v>2</v>
      </c>
      <c r="B10050" t="s">
        <v>3458</v>
      </c>
      <c r="C10050" t="s">
        <v>23490</v>
      </c>
      <c r="D10050" t="str">
        <f>HYPERLINK("https://rhld.insurance.arkansas.gov/NPILookup?Npi=1134594294","1134594294")</f>
        <v>1134594294</v>
      </c>
      <c r="E10050" t="s">
        <v>10678</v>
      </c>
    </row>
    <row r="10051" spans="1:5" x14ac:dyDescent="0.25">
      <c r="A10051" t="s">
        <v>2</v>
      </c>
      <c r="B10051" t="s">
        <v>3458</v>
      </c>
      <c r="C10051" t="s">
        <v>23490</v>
      </c>
      <c r="D10051" t="str">
        <f>HYPERLINK("https://rhld.insurance.arkansas.gov/NPILookup?Npi=1134596125","1134596125")</f>
        <v>1134596125</v>
      </c>
      <c r="E10051" t="s">
        <v>493</v>
      </c>
    </row>
    <row r="10052" spans="1:5" x14ac:dyDescent="0.25">
      <c r="A10052" t="s">
        <v>2</v>
      </c>
      <c r="B10052" t="s">
        <v>3458</v>
      </c>
      <c r="C10052" t="s">
        <v>23490</v>
      </c>
      <c r="D10052" t="str">
        <f>HYPERLINK("https://rhld.insurance.arkansas.gov/NPILookup?Npi=1134613326","1134613326")</f>
        <v>1134613326</v>
      </c>
      <c r="E10052" t="s">
        <v>19450</v>
      </c>
    </row>
    <row r="10053" spans="1:5" x14ac:dyDescent="0.25">
      <c r="A10053" t="s">
        <v>2</v>
      </c>
      <c r="B10053" t="s">
        <v>3458</v>
      </c>
      <c r="C10053" t="s">
        <v>23490</v>
      </c>
      <c r="D10053" t="str">
        <f>HYPERLINK("https://rhld.insurance.arkansas.gov/NPILookup?Npi=1134622806","1134622806")</f>
        <v>1134622806</v>
      </c>
      <c r="E10053" t="s">
        <v>12779</v>
      </c>
    </row>
    <row r="10054" spans="1:5" x14ac:dyDescent="0.25">
      <c r="A10054" t="s">
        <v>2</v>
      </c>
      <c r="B10054" t="s">
        <v>3458</v>
      </c>
      <c r="C10054" t="s">
        <v>23490</v>
      </c>
      <c r="D10054" t="str">
        <f>HYPERLINK("https://rhld.insurance.arkansas.gov/NPILookup?Npi=1134638034","1134638034")</f>
        <v>1134638034</v>
      </c>
      <c r="E10054" t="s">
        <v>14806</v>
      </c>
    </row>
    <row r="10055" spans="1:5" x14ac:dyDescent="0.25">
      <c r="A10055" t="s">
        <v>2</v>
      </c>
      <c r="B10055" t="s">
        <v>3458</v>
      </c>
      <c r="C10055" t="s">
        <v>23490</v>
      </c>
      <c r="D10055" t="str">
        <f>HYPERLINK("https://rhld.insurance.arkansas.gov/NPILookup?Npi=1134643190","1134643190")</f>
        <v>1134643190</v>
      </c>
      <c r="E10055" t="s">
        <v>10679</v>
      </c>
    </row>
    <row r="10056" spans="1:5" x14ac:dyDescent="0.25">
      <c r="A10056" t="s">
        <v>2</v>
      </c>
      <c r="B10056" t="s">
        <v>3458</v>
      </c>
      <c r="C10056" t="s">
        <v>23490</v>
      </c>
      <c r="D10056" t="str">
        <f>HYPERLINK("https://rhld.insurance.arkansas.gov/NPILookup?Npi=1134644982","1134644982")</f>
        <v>1134644982</v>
      </c>
      <c r="E10056" t="s">
        <v>13386</v>
      </c>
    </row>
    <row r="10057" spans="1:5" x14ac:dyDescent="0.25">
      <c r="A10057" t="s">
        <v>2</v>
      </c>
      <c r="B10057" t="s">
        <v>3458</v>
      </c>
      <c r="C10057" t="s">
        <v>23490</v>
      </c>
      <c r="D10057" t="str">
        <f>HYPERLINK("https://rhld.insurance.arkansas.gov/NPILookup?Npi=1134651276","1134651276")</f>
        <v>1134651276</v>
      </c>
      <c r="E10057" t="s">
        <v>10680</v>
      </c>
    </row>
    <row r="10058" spans="1:5" x14ac:dyDescent="0.25">
      <c r="A10058" t="s">
        <v>2</v>
      </c>
      <c r="B10058" t="s">
        <v>3458</v>
      </c>
      <c r="C10058" t="s">
        <v>23490</v>
      </c>
      <c r="D10058" t="str">
        <f>HYPERLINK("https://rhld.insurance.arkansas.gov/NPILookup?Npi=1134657836","1134657836")</f>
        <v>1134657836</v>
      </c>
      <c r="E10058" t="s">
        <v>12780</v>
      </c>
    </row>
    <row r="10059" spans="1:5" x14ac:dyDescent="0.25">
      <c r="A10059" t="s">
        <v>2</v>
      </c>
      <c r="B10059" t="s">
        <v>3458</v>
      </c>
      <c r="C10059" t="s">
        <v>23490</v>
      </c>
      <c r="D10059" t="str">
        <f>HYPERLINK("https://rhld.insurance.arkansas.gov/NPILookup?Npi=1134659428","1134659428")</f>
        <v>1134659428</v>
      </c>
      <c r="E10059" t="s">
        <v>17865</v>
      </c>
    </row>
    <row r="10060" spans="1:5" x14ac:dyDescent="0.25">
      <c r="A10060" t="s">
        <v>2</v>
      </c>
      <c r="B10060" t="s">
        <v>3458</v>
      </c>
      <c r="C10060" t="s">
        <v>23490</v>
      </c>
      <c r="D10060" t="str">
        <f>HYPERLINK("https://rhld.insurance.arkansas.gov/NPILookup?Npi=1134705916","1134705916")</f>
        <v>1134705916</v>
      </c>
      <c r="E10060" t="s">
        <v>18675</v>
      </c>
    </row>
    <row r="10061" spans="1:5" x14ac:dyDescent="0.25">
      <c r="A10061" t="s">
        <v>2</v>
      </c>
      <c r="B10061" t="s">
        <v>3458</v>
      </c>
      <c r="C10061" t="s">
        <v>23490</v>
      </c>
      <c r="D10061" t="str">
        <f>HYPERLINK("https://rhld.insurance.arkansas.gov/NPILookup?Npi=1134730005","1134730005")</f>
        <v>1134730005</v>
      </c>
      <c r="E10061" t="s">
        <v>17391</v>
      </c>
    </row>
    <row r="10062" spans="1:5" x14ac:dyDescent="0.25">
      <c r="A10062" t="s">
        <v>2</v>
      </c>
      <c r="B10062" t="s">
        <v>3458</v>
      </c>
      <c r="C10062" t="s">
        <v>23490</v>
      </c>
      <c r="D10062" t="str">
        <f>HYPERLINK("https://rhld.insurance.arkansas.gov/NPILookup?Npi=1134730450","1134730450")</f>
        <v>1134730450</v>
      </c>
      <c r="E10062" t="s">
        <v>19455</v>
      </c>
    </row>
    <row r="10063" spans="1:5" x14ac:dyDescent="0.25">
      <c r="A10063" t="s">
        <v>2</v>
      </c>
      <c r="B10063" t="s">
        <v>3458</v>
      </c>
      <c r="C10063" t="s">
        <v>23490</v>
      </c>
      <c r="D10063" t="str">
        <f>HYPERLINK("https://rhld.insurance.arkansas.gov/NPILookup?Npi=1134734817","1134734817")</f>
        <v>1134734817</v>
      </c>
      <c r="E10063" t="s">
        <v>17868</v>
      </c>
    </row>
    <row r="10064" spans="1:5" x14ac:dyDescent="0.25">
      <c r="A10064" t="s">
        <v>2</v>
      </c>
      <c r="B10064" t="s">
        <v>3458</v>
      </c>
      <c r="C10064" t="s">
        <v>23490</v>
      </c>
      <c r="D10064" t="str">
        <f>HYPERLINK("https://rhld.insurance.arkansas.gov/NPILookup?Npi=1134767627","1134767627")</f>
        <v>1134767627</v>
      </c>
      <c r="E10064" t="s">
        <v>19456</v>
      </c>
    </row>
    <row r="10065" spans="1:5" x14ac:dyDescent="0.25">
      <c r="A10065" t="s">
        <v>2</v>
      </c>
      <c r="B10065" t="s">
        <v>3458</v>
      </c>
      <c r="C10065" t="s">
        <v>23490</v>
      </c>
      <c r="D10065" t="str">
        <f>HYPERLINK("https://rhld.insurance.arkansas.gov/NPILookup?Npi=1134852817","1134852817")</f>
        <v>1134852817</v>
      </c>
      <c r="E10065" t="s">
        <v>1288</v>
      </c>
    </row>
    <row r="10066" spans="1:5" x14ac:dyDescent="0.25">
      <c r="A10066" t="s">
        <v>2</v>
      </c>
      <c r="B10066" t="s">
        <v>3458</v>
      </c>
      <c r="C10066" t="s">
        <v>23490</v>
      </c>
      <c r="D10066" t="str">
        <f>HYPERLINK("https://rhld.insurance.arkansas.gov/NPILookup?Npi=1134883663","1134883663")</f>
        <v>1134883663</v>
      </c>
      <c r="E10066" t="s">
        <v>19457</v>
      </c>
    </row>
    <row r="10067" spans="1:5" x14ac:dyDescent="0.25">
      <c r="A10067" t="s">
        <v>2</v>
      </c>
      <c r="B10067" t="s">
        <v>3458</v>
      </c>
      <c r="C10067" t="s">
        <v>23490</v>
      </c>
      <c r="D10067" t="str">
        <f>HYPERLINK("https://rhld.insurance.arkansas.gov/NPILookup?Npi=1134895170","1134895170")</f>
        <v>1134895170</v>
      </c>
      <c r="E10067" t="s">
        <v>19458</v>
      </c>
    </row>
    <row r="10068" spans="1:5" x14ac:dyDescent="0.25">
      <c r="A10068" t="s">
        <v>2</v>
      </c>
      <c r="B10068" t="s">
        <v>3458</v>
      </c>
      <c r="C10068" t="s">
        <v>23490</v>
      </c>
      <c r="D10068" t="str">
        <f>HYPERLINK("https://rhld.insurance.arkansas.gov/NPILookup?Npi=1134895394","1134895394")</f>
        <v>1134895394</v>
      </c>
      <c r="E10068" t="s">
        <v>18676</v>
      </c>
    </row>
    <row r="10069" spans="1:5" x14ac:dyDescent="0.25">
      <c r="A10069" t="s">
        <v>2</v>
      </c>
      <c r="B10069" t="s">
        <v>3458</v>
      </c>
      <c r="C10069" t="s">
        <v>23490</v>
      </c>
      <c r="D10069" t="str">
        <f>HYPERLINK("https://rhld.insurance.arkansas.gov/NPILookup?Npi=1144214164","1144214164")</f>
        <v>1144214164</v>
      </c>
      <c r="E10069" t="s">
        <v>3534</v>
      </c>
    </row>
    <row r="10070" spans="1:5" x14ac:dyDescent="0.25">
      <c r="A10070" t="s">
        <v>2</v>
      </c>
      <c r="B10070" t="s">
        <v>3458</v>
      </c>
      <c r="C10070" t="s">
        <v>23490</v>
      </c>
      <c r="D10070" t="str">
        <f>HYPERLINK("https://rhld.insurance.arkansas.gov/NPILookup?Npi=1144221268","1144221268")</f>
        <v>1144221268</v>
      </c>
      <c r="E10070" t="s">
        <v>3535</v>
      </c>
    </row>
    <row r="10071" spans="1:5" x14ac:dyDescent="0.25">
      <c r="A10071" t="s">
        <v>2</v>
      </c>
      <c r="B10071" t="s">
        <v>3458</v>
      </c>
      <c r="C10071" t="s">
        <v>23490</v>
      </c>
      <c r="D10071" t="str">
        <f>HYPERLINK("https://rhld.insurance.arkansas.gov/NPILookup?Npi=1144225020","1144225020")</f>
        <v>1144225020</v>
      </c>
      <c r="E10071" t="s">
        <v>496</v>
      </c>
    </row>
    <row r="10072" spans="1:5" x14ac:dyDescent="0.25">
      <c r="A10072" t="s">
        <v>2</v>
      </c>
      <c r="B10072" t="s">
        <v>3458</v>
      </c>
      <c r="C10072" t="s">
        <v>23490</v>
      </c>
      <c r="D10072" t="str">
        <f>HYPERLINK("https://rhld.insurance.arkansas.gov/NPILookup?Npi=1144226010","1144226010")</f>
        <v>1144226010</v>
      </c>
      <c r="E10072" t="s">
        <v>497</v>
      </c>
    </row>
    <row r="10073" spans="1:5" x14ac:dyDescent="0.25">
      <c r="A10073" t="s">
        <v>2</v>
      </c>
      <c r="B10073" t="s">
        <v>3458</v>
      </c>
      <c r="C10073" t="s">
        <v>23490</v>
      </c>
      <c r="D10073" t="str">
        <f>HYPERLINK("https://rhld.insurance.arkansas.gov/NPILookup?Npi=1144228669","1144228669")</f>
        <v>1144228669</v>
      </c>
      <c r="E10073" t="s">
        <v>498</v>
      </c>
    </row>
    <row r="10074" spans="1:5" x14ac:dyDescent="0.25">
      <c r="A10074" t="s">
        <v>2</v>
      </c>
      <c r="B10074" t="s">
        <v>3458</v>
      </c>
      <c r="C10074" t="s">
        <v>23490</v>
      </c>
      <c r="D10074" t="str">
        <f>HYPERLINK("https://rhld.insurance.arkansas.gov/NPILookup?Npi=1144229196","1144229196")</f>
        <v>1144229196</v>
      </c>
      <c r="E10074" t="s">
        <v>499</v>
      </c>
    </row>
    <row r="10075" spans="1:5" x14ac:dyDescent="0.25">
      <c r="A10075" t="s">
        <v>2</v>
      </c>
      <c r="B10075" t="s">
        <v>3458</v>
      </c>
      <c r="C10075" t="s">
        <v>23490</v>
      </c>
      <c r="D10075" t="str">
        <f>HYPERLINK("https://rhld.insurance.arkansas.gov/NPILookup?Npi=1144240011","1144240011")</f>
        <v>1144240011</v>
      </c>
      <c r="E10075" t="s">
        <v>3536</v>
      </c>
    </row>
    <row r="10076" spans="1:5" x14ac:dyDescent="0.25">
      <c r="A10076" t="s">
        <v>2</v>
      </c>
      <c r="B10076" t="s">
        <v>3458</v>
      </c>
      <c r="C10076" t="s">
        <v>23490</v>
      </c>
      <c r="D10076" t="str">
        <f>HYPERLINK("https://rhld.insurance.arkansas.gov/NPILookup?Npi=1144242892","1144242892")</f>
        <v>1144242892</v>
      </c>
      <c r="E10076" t="s">
        <v>502</v>
      </c>
    </row>
    <row r="10077" spans="1:5" x14ac:dyDescent="0.25">
      <c r="A10077" t="s">
        <v>2</v>
      </c>
      <c r="B10077" t="s">
        <v>3458</v>
      </c>
      <c r="C10077" t="s">
        <v>23490</v>
      </c>
      <c r="D10077" t="str">
        <f>HYPERLINK("https://rhld.insurance.arkansas.gov/NPILookup?Npi=1144243726","1144243726")</f>
        <v>1144243726</v>
      </c>
      <c r="E10077" t="s">
        <v>8966</v>
      </c>
    </row>
    <row r="10078" spans="1:5" x14ac:dyDescent="0.25">
      <c r="A10078" t="s">
        <v>2</v>
      </c>
      <c r="B10078" t="s">
        <v>3458</v>
      </c>
      <c r="C10078" t="s">
        <v>23490</v>
      </c>
      <c r="D10078" t="str">
        <f>HYPERLINK("https://rhld.insurance.arkansas.gov/NPILookup?Npi=1144249475","1144249475")</f>
        <v>1144249475</v>
      </c>
      <c r="E10078" t="s">
        <v>503</v>
      </c>
    </row>
    <row r="10079" spans="1:5" x14ac:dyDescent="0.25">
      <c r="A10079" t="s">
        <v>2</v>
      </c>
      <c r="B10079" t="s">
        <v>3458</v>
      </c>
      <c r="C10079" t="s">
        <v>23490</v>
      </c>
      <c r="D10079" t="str">
        <f>HYPERLINK("https://rhld.insurance.arkansas.gov/NPILookup?Npi=1144256157","1144256157")</f>
        <v>1144256157</v>
      </c>
      <c r="E10079" t="s">
        <v>14807</v>
      </c>
    </row>
    <row r="10080" spans="1:5" x14ac:dyDescent="0.25">
      <c r="A10080" t="s">
        <v>2</v>
      </c>
      <c r="B10080" t="s">
        <v>3458</v>
      </c>
      <c r="C10080" t="s">
        <v>23490</v>
      </c>
      <c r="D10080" t="str">
        <f>HYPERLINK("https://rhld.insurance.arkansas.gov/NPILookup?Npi=1144266727","1144266727")</f>
        <v>1144266727</v>
      </c>
      <c r="E10080" t="s">
        <v>14808</v>
      </c>
    </row>
    <row r="10081" spans="1:5" x14ac:dyDescent="0.25">
      <c r="A10081" t="s">
        <v>2</v>
      </c>
      <c r="B10081" t="s">
        <v>3458</v>
      </c>
      <c r="C10081" t="s">
        <v>23490</v>
      </c>
      <c r="D10081" t="str">
        <f>HYPERLINK("https://rhld.insurance.arkansas.gov/NPILookup?Npi=1144274200","1144274200")</f>
        <v>1144274200</v>
      </c>
      <c r="E10081" t="s">
        <v>504</v>
      </c>
    </row>
    <row r="10082" spans="1:5" x14ac:dyDescent="0.25">
      <c r="A10082" t="s">
        <v>2</v>
      </c>
      <c r="B10082" t="s">
        <v>3458</v>
      </c>
      <c r="C10082" t="s">
        <v>23490</v>
      </c>
      <c r="D10082" t="str">
        <f>HYPERLINK("https://rhld.insurance.arkansas.gov/NPILookup?Npi=1144287863","1144287863")</f>
        <v>1144287863</v>
      </c>
      <c r="E10082" t="s">
        <v>3537</v>
      </c>
    </row>
    <row r="10083" spans="1:5" x14ac:dyDescent="0.25">
      <c r="A10083" t="s">
        <v>2</v>
      </c>
      <c r="B10083" t="s">
        <v>3458</v>
      </c>
      <c r="C10083" t="s">
        <v>23490</v>
      </c>
      <c r="D10083" t="str">
        <f>HYPERLINK("https://rhld.insurance.arkansas.gov/NPILookup?Npi=1144288317","1144288317")</f>
        <v>1144288317</v>
      </c>
      <c r="E10083" t="s">
        <v>505</v>
      </c>
    </row>
    <row r="10084" spans="1:5" x14ac:dyDescent="0.25">
      <c r="A10084" t="s">
        <v>2</v>
      </c>
      <c r="B10084" t="s">
        <v>3458</v>
      </c>
      <c r="C10084" t="s">
        <v>23490</v>
      </c>
      <c r="D10084" t="str">
        <f>HYPERLINK("https://rhld.insurance.arkansas.gov/NPILookup?Npi=1144291816","1144291816")</f>
        <v>1144291816</v>
      </c>
      <c r="E10084" t="s">
        <v>506</v>
      </c>
    </row>
    <row r="10085" spans="1:5" x14ac:dyDescent="0.25">
      <c r="A10085" t="s">
        <v>2</v>
      </c>
      <c r="B10085" t="s">
        <v>3458</v>
      </c>
      <c r="C10085" t="s">
        <v>23490</v>
      </c>
      <c r="D10085" t="str">
        <f>HYPERLINK("https://rhld.insurance.arkansas.gov/NPILookup?Npi=1144291907","1144291907")</f>
        <v>1144291907</v>
      </c>
      <c r="E10085" t="s">
        <v>507</v>
      </c>
    </row>
    <row r="10086" spans="1:5" x14ac:dyDescent="0.25">
      <c r="A10086" t="s">
        <v>2</v>
      </c>
      <c r="B10086" t="s">
        <v>3458</v>
      </c>
      <c r="C10086" t="s">
        <v>23490</v>
      </c>
      <c r="D10086" t="str">
        <f>HYPERLINK("https://rhld.insurance.arkansas.gov/NPILookup?Npi=1144294299","1144294299")</f>
        <v>1144294299</v>
      </c>
      <c r="E10086" t="s">
        <v>508</v>
      </c>
    </row>
    <row r="10087" spans="1:5" x14ac:dyDescent="0.25">
      <c r="A10087" t="s">
        <v>2</v>
      </c>
      <c r="B10087" t="s">
        <v>3458</v>
      </c>
      <c r="C10087" t="s">
        <v>23490</v>
      </c>
      <c r="D10087" t="str">
        <f>HYPERLINK("https://rhld.insurance.arkansas.gov/NPILookup?Npi=1144294646","1144294646")</f>
        <v>1144294646</v>
      </c>
      <c r="E10087" t="s">
        <v>509</v>
      </c>
    </row>
    <row r="10088" spans="1:5" x14ac:dyDescent="0.25">
      <c r="A10088" t="s">
        <v>2</v>
      </c>
      <c r="B10088" t="s">
        <v>3458</v>
      </c>
      <c r="C10088" t="s">
        <v>23490</v>
      </c>
      <c r="D10088" t="str">
        <f>HYPERLINK("https://rhld.insurance.arkansas.gov/NPILookup?Npi=1144294992","1144294992")</f>
        <v>1144294992</v>
      </c>
      <c r="E10088" t="s">
        <v>510</v>
      </c>
    </row>
    <row r="10089" spans="1:5" x14ac:dyDescent="0.25">
      <c r="A10089" t="s">
        <v>2</v>
      </c>
      <c r="B10089" t="s">
        <v>3458</v>
      </c>
      <c r="C10089" t="s">
        <v>23490</v>
      </c>
      <c r="D10089" t="str">
        <f>HYPERLINK("https://rhld.insurance.arkansas.gov/NPILookup?Npi=1144297490","1144297490")</f>
        <v>1144297490</v>
      </c>
      <c r="E10089" t="s">
        <v>3538</v>
      </c>
    </row>
    <row r="10090" spans="1:5" x14ac:dyDescent="0.25">
      <c r="A10090" t="s">
        <v>2</v>
      </c>
      <c r="B10090" t="s">
        <v>3458</v>
      </c>
      <c r="C10090" t="s">
        <v>23490</v>
      </c>
      <c r="D10090" t="str">
        <f>HYPERLINK("https://rhld.insurance.arkansas.gov/NPILookup?Npi=1144310707","1144310707")</f>
        <v>1144310707</v>
      </c>
      <c r="E10090" t="s">
        <v>3539</v>
      </c>
    </row>
    <row r="10091" spans="1:5" x14ac:dyDescent="0.25">
      <c r="A10091" t="s">
        <v>2</v>
      </c>
      <c r="B10091" t="s">
        <v>3458</v>
      </c>
      <c r="C10091" t="s">
        <v>23490</v>
      </c>
      <c r="D10091" t="str">
        <f>HYPERLINK("https://rhld.insurance.arkansas.gov/NPILookup?Npi=1144329798","1144329798")</f>
        <v>1144329798</v>
      </c>
      <c r="E10091" t="s">
        <v>511</v>
      </c>
    </row>
    <row r="10092" spans="1:5" x14ac:dyDescent="0.25">
      <c r="A10092" t="s">
        <v>2</v>
      </c>
      <c r="B10092" t="s">
        <v>3458</v>
      </c>
      <c r="C10092" t="s">
        <v>23490</v>
      </c>
      <c r="D10092" t="str">
        <f>HYPERLINK("https://rhld.insurance.arkansas.gov/NPILookup?Npi=1144332842","1144332842")</f>
        <v>1144332842</v>
      </c>
      <c r="E10092" t="s">
        <v>3540</v>
      </c>
    </row>
    <row r="10093" spans="1:5" x14ac:dyDescent="0.25">
      <c r="A10093" t="s">
        <v>2</v>
      </c>
      <c r="B10093" t="s">
        <v>3458</v>
      </c>
      <c r="C10093" t="s">
        <v>23490</v>
      </c>
      <c r="D10093" t="str">
        <f>HYPERLINK("https://rhld.insurance.arkansas.gov/NPILookup?Npi=1144334863","1144334863")</f>
        <v>1144334863</v>
      </c>
      <c r="E10093" t="s">
        <v>513</v>
      </c>
    </row>
    <row r="10094" spans="1:5" x14ac:dyDescent="0.25">
      <c r="A10094" t="s">
        <v>2</v>
      </c>
      <c r="B10094" t="s">
        <v>3458</v>
      </c>
      <c r="C10094" t="s">
        <v>23490</v>
      </c>
      <c r="D10094" t="str">
        <f>HYPERLINK("https://rhld.insurance.arkansas.gov/NPILookup?Npi=1144337155","1144337155")</f>
        <v>1144337155</v>
      </c>
      <c r="E10094" t="s">
        <v>3541</v>
      </c>
    </row>
    <row r="10095" spans="1:5" x14ac:dyDescent="0.25">
      <c r="A10095" t="s">
        <v>2</v>
      </c>
      <c r="B10095" t="s">
        <v>3458</v>
      </c>
      <c r="C10095" t="s">
        <v>23490</v>
      </c>
      <c r="D10095" t="str">
        <f>HYPERLINK("https://rhld.insurance.arkansas.gov/NPILookup?Npi=1144356890","1144356890")</f>
        <v>1144356890</v>
      </c>
      <c r="E10095" t="s">
        <v>14809</v>
      </c>
    </row>
    <row r="10096" spans="1:5" x14ac:dyDescent="0.25">
      <c r="A10096" t="s">
        <v>2</v>
      </c>
      <c r="B10096" t="s">
        <v>3458</v>
      </c>
      <c r="C10096" t="s">
        <v>23490</v>
      </c>
      <c r="D10096" t="str">
        <f>HYPERLINK("https://rhld.insurance.arkansas.gov/NPILookup?Npi=1144358722","1144358722")</f>
        <v>1144358722</v>
      </c>
      <c r="E10096" t="s">
        <v>514</v>
      </c>
    </row>
    <row r="10097" spans="1:5" x14ac:dyDescent="0.25">
      <c r="A10097" t="s">
        <v>2</v>
      </c>
      <c r="B10097" t="s">
        <v>3458</v>
      </c>
      <c r="C10097" t="s">
        <v>23490</v>
      </c>
      <c r="D10097" t="str">
        <f>HYPERLINK("https://rhld.insurance.arkansas.gov/NPILookup?Npi=1144393273","1144393273")</f>
        <v>1144393273</v>
      </c>
      <c r="E10097" t="s">
        <v>3542</v>
      </c>
    </row>
    <row r="10098" spans="1:5" x14ac:dyDescent="0.25">
      <c r="A10098" t="s">
        <v>2</v>
      </c>
      <c r="B10098" t="s">
        <v>3458</v>
      </c>
      <c r="C10098" t="s">
        <v>23490</v>
      </c>
      <c r="D10098" t="str">
        <f>HYPERLINK("https://rhld.insurance.arkansas.gov/NPILookup?Npi=1144395682","1144395682")</f>
        <v>1144395682</v>
      </c>
      <c r="E10098" t="s">
        <v>515</v>
      </c>
    </row>
    <row r="10099" spans="1:5" x14ac:dyDescent="0.25">
      <c r="A10099" t="s">
        <v>2</v>
      </c>
      <c r="B10099" t="s">
        <v>3458</v>
      </c>
      <c r="C10099" t="s">
        <v>23490</v>
      </c>
      <c r="D10099" t="str">
        <f>HYPERLINK("https://rhld.insurance.arkansas.gov/NPILookup?Npi=1144424656","1144424656")</f>
        <v>1144424656</v>
      </c>
      <c r="E10099" t="s">
        <v>18207</v>
      </c>
    </row>
    <row r="10100" spans="1:5" x14ac:dyDescent="0.25">
      <c r="A10100" t="s">
        <v>2</v>
      </c>
      <c r="B10100" t="s">
        <v>3458</v>
      </c>
      <c r="C10100" t="s">
        <v>23490</v>
      </c>
      <c r="D10100" t="str">
        <f>HYPERLINK("https://rhld.insurance.arkansas.gov/NPILookup?Npi=1144451774","1144451774")</f>
        <v>1144451774</v>
      </c>
      <c r="E10100" t="s">
        <v>517</v>
      </c>
    </row>
    <row r="10101" spans="1:5" x14ac:dyDescent="0.25">
      <c r="A10101" t="s">
        <v>2</v>
      </c>
      <c r="B10101" t="s">
        <v>3458</v>
      </c>
      <c r="C10101" t="s">
        <v>23490</v>
      </c>
      <c r="D10101" t="str">
        <f>HYPERLINK("https://rhld.insurance.arkansas.gov/NPILookup?Npi=1144459231","1144459231")</f>
        <v>1144459231</v>
      </c>
      <c r="E10101" t="s">
        <v>17070</v>
      </c>
    </row>
    <row r="10102" spans="1:5" x14ac:dyDescent="0.25">
      <c r="A10102" t="s">
        <v>2</v>
      </c>
      <c r="B10102" t="s">
        <v>3458</v>
      </c>
      <c r="C10102" t="s">
        <v>23490</v>
      </c>
      <c r="D10102" t="str">
        <f>HYPERLINK("https://rhld.insurance.arkansas.gov/NPILookup?Npi=1144462383","1144462383")</f>
        <v>1144462383</v>
      </c>
      <c r="E10102" t="s">
        <v>3543</v>
      </c>
    </row>
    <row r="10103" spans="1:5" x14ac:dyDescent="0.25">
      <c r="A10103" t="s">
        <v>2</v>
      </c>
      <c r="B10103" t="s">
        <v>3458</v>
      </c>
      <c r="C10103" t="s">
        <v>23490</v>
      </c>
      <c r="D10103" t="str">
        <f>HYPERLINK("https://rhld.insurance.arkansas.gov/NPILookup?Npi=1144483090","1144483090")</f>
        <v>1144483090</v>
      </c>
      <c r="E10103" t="s">
        <v>14810</v>
      </c>
    </row>
    <row r="10104" spans="1:5" x14ac:dyDescent="0.25">
      <c r="A10104" t="s">
        <v>2</v>
      </c>
      <c r="B10104" t="s">
        <v>3458</v>
      </c>
      <c r="C10104" t="s">
        <v>23490</v>
      </c>
      <c r="D10104" t="str">
        <f>HYPERLINK("https://rhld.insurance.arkansas.gov/NPILookup?Npi=1144485129","1144485129")</f>
        <v>1144485129</v>
      </c>
      <c r="E10104" t="s">
        <v>519</v>
      </c>
    </row>
    <row r="10105" spans="1:5" x14ac:dyDescent="0.25">
      <c r="A10105" t="s">
        <v>2</v>
      </c>
      <c r="B10105" t="s">
        <v>3458</v>
      </c>
      <c r="C10105" t="s">
        <v>23490</v>
      </c>
      <c r="D10105" t="str">
        <f>HYPERLINK("https://rhld.insurance.arkansas.gov/NPILookup?Npi=1144496233","1144496233")</f>
        <v>1144496233</v>
      </c>
      <c r="E10105" t="s">
        <v>521</v>
      </c>
    </row>
    <row r="10106" spans="1:5" x14ac:dyDescent="0.25">
      <c r="A10106" t="s">
        <v>2</v>
      </c>
      <c r="B10106" t="s">
        <v>3458</v>
      </c>
      <c r="C10106" t="s">
        <v>23490</v>
      </c>
      <c r="D10106" t="str">
        <f>HYPERLINK("https://rhld.insurance.arkansas.gov/NPILookup?Npi=1144517129","1144517129")</f>
        <v>1144517129</v>
      </c>
      <c r="E10106" t="s">
        <v>12781</v>
      </c>
    </row>
    <row r="10107" spans="1:5" x14ac:dyDescent="0.25">
      <c r="A10107" t="s">
        <v>2</v>
      </c>
      <c r="B10107" t="s">
        <v>3458</v>
      </c>
      <c r="C10107" t="s">
        <v>23490</v>
      </c>
      <c r="D10107" t="str">
        <f>HYPERLINK("https://rhld.insurance.arkansas.gov/NPILookup?Npi=1144519570","1144519570")</f>
        <v>1144519570</v>
      </c>
      <c r="E10107" t="s">
        <v>523</v>
      </c>
    </row>
    <row r="10108" spans="1:5" x14ac:dyDescent="0.25">
      <c r="A10108" t="s">
        <v>2</v>
      </c>
      <c r="B10108" t="s">
        <v>3458</v>
      </c>
      <c r="C10108" t="s">
        <v>23490</v>
      </c>
      <c r="D10108" t="str">
        <f>HYPERLINK("https://rhld.insurance.arkansas.gov/NPILookup?Npi=1144530114","1144530114")</f>
        <v>1144530114</v>
      </c>
      <c r="E10108" t="s">
        <v>13827</v>
      </c>
    </row>
    <row r="10109" spans="1:5" x14ac:dyDescent="0.25">
      <c r="A10109" t="s">
        <v>2</v>
      </c>
      <c r="B10109" t="s">
        <v>3458</v>
      </c>
      <c r="C10109" t="s">
        <v>23490</v>
      </c>
      <c r="D10109" t="str">
        <f>HYPERLINK("https://rhld.insurance.arkansas.gov/NPILookup?Npi=1144540683","1144540683")</f>
        <v>1144540683</v>
      </c>
      <c r="E10109" t="s">
        <v>14812</v>
      </c>
    </row>
    <row r="10110" spans="1:5" x14ac:dyDescent="0.25">
      <c r="A10110" t="s">
        <v>2</v>
      </c>
      <c r="B10110" t="s">
        <v>3458</v>
      </c>
      <c r="C10110" t="s">
        <v>23490</v>
      </c>
      <c r="D10110" t="str">
        <f>HYPERLINK("https://rhld.insurance.arkansas.gov/NPILookup?Npi=1144553538","1144553538")</f>
        <v>1144553538</v>
      </c>
      <c r="E10110" t="s">
        <v>525</v>
      </c>
    </row>
    <row r="10111" spans="1:5" x14ac:dyDescent="0.25">
      <c r="A10111" t="s">
        <v>2</v>
      </c>
      <c r="B10111" t="s">
        <v>3458</v>
      </c>
      <c r="C10111" t="s">
        <v>23490</v>
      </c>
      <c r="D10111" t="str">
        <f>HYPERLINK("https://rhld.insurance.arkansas.gov/NPILookup?Npi=1144556515","1144556515")</f>
        <v>1144556515</v>
      </c>
      <c r="E10111" t="s">
        <v>527</v>
      </c>
    </row>
    <row r="10112" spans="1:5" x14ac:dyDescent="0.25">
      <c r="A10112" t="s">
        <v>2</v>
      </c>
      <c r="B10112" t="s">
        <v>3458</v>
      </c>
      <c r="C10112" t="s">
        <v>23490</v>
      </c>
      <c r="D10112" t="str">
        <f>HYPERLINK("https://rhld.insurance.arkansas.gov/NPILookup?Npi=1144558834","1144558834")</f>
        <v>1144558834</v>
      </c>
      <c r="E10112" t="s">
        <v>3544</v>
      </c>
    </row>
    <row r="10113" spans="1:5" x14ac:dyDescent="0.25">
      <c r="A10113" t="s">
        <v>2</v>
      </c>
      <c r="B10113" t="s">
        <v>3458</v>
      </c>
      <c r="C10113" t="s">
        <v>23490</v>
      </c>
      <c r="D10113" t="str">
        <f>HYPERLINK("https://rhld.insurance.arkansas.gov/NPILookup?Npi=1144560749","1144560749")</f>
        <v>1144560749</v>
      </c>
      <c r="E10113" t="s">
        <v>14813</v>
      </c>
    </row>
    <row r="10114" spans="1:5" x14ac:dyDescent="0.25">
      <c r="A10114" t="s">
        <v>2</v>
      </c>
      <c r="B10114" t="s">
        <v>3458</v>
      </c>
      <c r="C10114" t="s">
        <v>23490</v>
      </c>
      <c r="D10114" t="str">
        <f>HYPERLINK("https://rhld.insurance.arkansas.gov/NPILookup?Npi=1144563073","1144563073")</f>
        <v>1144563073</v>
      </c>
      <c r="E10114" t="s">
        <v>528</v>
      </c>
    </row>
    <row r="10115" spans="1:5" x14ac:dyDescent="0.25">
      <c r="A10115" t="s">
        <v>2</v>
      </c>
      <c r="B10115" t="s">
        <v>3458</v>
      </c>
      <c r="C10115" t="s">
        <v>23490</v>
      </c>
      <c r="D10115" t="str">
        <f>HYPERLINK("https://rhld.insurance.arkansas.gov/NPILookup?Npi=1144595570","1144595570")</f>
        <v>1144595570</v>
      </c>
      <c r="E10115" t="s">
        <v>530</v>
      </c>
    </row>
    <row r="10116" spans="1:5" x14ac:dyDescent="0.25">
      <c r="A10116" t="s">
        <v>2</v>
      </c>
      <c r="B10116" t="s">
        <v>3458</v>
      </c>
      <c r="C10116" t="s">
        <v>23490</v>
      </c>
      <c r="D10116" t="str">
        <f>HYPERLINK("https://rhld.insurance.arkansas.gov/NPILookup?Npi=1144607268","1144607268")</f>
        <v>1144607268</v>
      </c>
      <c r="E10116" t="s">
        <v>12962</v>
      </c>
    </row>
    <row r="10117" spans="1:5" x14ac:dyDescent="0.25">
      <c r="A10117" t="s">
        <v>2</v>
      </c>
      <c r="B10117" t="s">
        <v>3458</v>
      </c>
      <c r="C10117" t="s">
        <v>23490</v>
      </c>
      <c r="D10117" t="str">
        <f>HYPERLINK("https://rhld.insurance.arkansas.gov/NPILookup?Npi=1144611922","1144611922")</f>
        <v>1144611922</v>
      </c>
      <c r="E10117" t="s">
        <v>20901</v>
      </c>
    </row>
    <row r="10118" spans="1:5" x14ac:dyDescent="0.25">
      <c r="A10118" t="s">
        <v>2</v>
      </c>
      <c r="B10118" t="s">
        <v>3458</v>
      </c>
      <c r="C10118" t="s">
        <v>23490</v>
      </c>
      <c r="D10118" t="str">
        <f>HYPERLINK("https://rhld.insurance.arkansas.gov/NPILookup?Npi=1144614033","1144614033")</f>
        <v>1144614033</v>
      </c>
      <c r="E10118" t="s">
        <v>13828</v>
      </c>
    </row>
    <row r="10119" spans="1:5" x14ac:dyDescent="0.25">
      <c r="A10119" t="s">
        <v>2</v>
      </c>
      <c r="B10119" t="s">
        <v>3458</v>
      </c>
      <c r="C10119" t="s">
        <v>23490</v>
      </c>
      <c r="D10119" t="str">
        <f>HYPERLINK("https://rhld.insurance.arkansas.gov/NPILookup?Npi=1144617697","1144617697")</f>
        <v>1144617697</v>
      </c>
      <c r="E10119" t="s">
        <v>14814</v>
      </c>
    </row>
    <row r="10120" spans="1:5" x14ac:dyDescent="0.25">
      <c r="A10120" t="s">
        <v>2</v>
      </c>
      <c r="B10120" t="s">
        <v>3458</v>
      </c>
      <c r="C10120" t="s">
        <v>23490</v>
      </c>
      <c r="D10120" t="str">
        <f>HYPERLINK("https://rhld.insurance.arkansas.gov/NPILookup?Npi=1144623356","1144623356")</f>
        <v>1144623356</v>
      </c>
      <c r="E10120" t="s">
        <v>13388</v>
      </c>
    </row>
    <row r="10121" spans="1:5" x14ac:dyDescent="0.25">
      <c r="A10121" t="s">
        <v>2</v>
      </c>
      <c r="B10121" t="s">
        <v>3458</v>
      </c>
      <c r="C10121" t="s">
        <v>23490</v>
      </c>
      <c r="D10121" t="str">
        <f>HYPERLINK("https://rhld.insurance.arkansas.gov/NPILookup?Npi=1144630955","1144630955")</f>
        <v>1144630955</v>
      </c>
      <c r="E10121" t="s">
        <v>10683</v>
      </c>
    </row>
    <row r="10122" spans="1:5" x14ac:dyDescent="0.25">
      <c r="A10122" t="s">
        <v>2</v>
      </c>
      <c r="B10122" t="s">
        <v>3458</v>
      </c>
      <c r="C10122" t="s">
        <v>23490</v>
      </c>
      <c r="D10122" t="str">
        <f>HYPERLINK("https://rhld.insurance.arkansas.gov/NPILookup?Npi=1144636119","1144636119")</f>
        <v>1144636119</v>
      </c>
      <c r="E10122" t="s">
        <v>14816</v>
      </c>
    </row>
    <row r="10123" spans="1:5" x14ac:dyDescent="0.25">
      <c r="A10123" t="s">
        <v>2</v>
      </c>
      <c r="B10123" t="s">
        <v>3458</v>
      </c>
      <c r="C10123" t="s">
        <v>23490</v>
      </c>
      <c r="D10123" t="str">
        <f>HYPERLINK("https://rhld.insurance.arkansas.gov/NPILookup?Npi=1144644246","1144644246")</f>
        <v>1144644246</v>
      </c>
      <c r="E10123" t="s">
        <v>14817</v>
      </c>
    </row>
    <row r="10124" spans="1:5" x14ac:dyDescent="0.25">
      <c r="A10124" t="s">
        <v>2</v>
      </c>
      <c r="B10124" t="s">
        <v>3458</v>
      </c>
      <c r="C10124" t="s">
        <v>23490</v>
      </c>
      <c r="D10124" t="str">
        <f>HYPERLINK("https://rhld.insurance.arkansas.gov/NPILookup?Npi=1144649021","1144649021")</f>
        <v>1144649021</v>
      </c>
      <c r="E10124" t="s">
        <v>18919</v>
      </c>
    </row>
    <row r="10125" spans="1:5" x14ac:dyDescent="0.25">
      <c r="A10125" t="s">
        <v>2</v>
      </c>
      <c r="B10125" t="s">
        <v>3458</v>
      </c>
      <c r="C10125" t="s">
        <v>23490</v>
      </c>
      <c r="D10125" t="str">
        <f>HYPERLINK("https://rhld.insurance.arkansas.gov/NPILookup?Npi=1144664384","1144664384")</f>
        <v>1144664384</v>
      </c>
      <c r="E10125" t="s">
        <v>8510</v>
      </c>
    </row>
    <row r="10126" spans="1:5" x14ac:dyDescent="0.25">
      <c r="A10126" t="s">
        <v>2</v>
      </c>
      <c r="B10126" t="s">
        <v>3458</v>
      </c>
      <c r="C10126" t="s">
        <v>23490</v>
      </c>
      <c r="D10126" t="str">
        <f>HYPERLINK("https://rhld.insurance.arkansas.gov/NPILookup?Npi=1144669458","1144669458")</f>
        <v>1144669458</v>
      </c>
      <c r="E10126" t="s">
        <v>15814</v>
      </c>
    </row>
    <row r="10127" spans="1:5" x14ac:dyDescent="0.25">
      <c r="A10127" t="s">
        <v>2</v>
      </c>
      <c r="B10127" t="s">
        <v>3458</v>
      </c>
      <c r="C10127" t="s">
        <v>23490</v>
      </c>
      <c r="D10127" t="str">
        <f>HYPERLINK("https://rhld.insurance.arkansas.gov/NPILookup?Npi=1144672056","1144672056")</f>
        <v>1144672056</v>
      </c>
      <c r="E10127" t="s">
        <v>8511</v>
      </c>
    </row>
    <row r="10128" spans="1:5" x14ac:dyDescent="0.25">
      <c r="A10128" t="s">
        <v>2</v>
      </c>
      <c r="B10128" t="s">
        <v>3458</v>
      </c>
      <c r="C10128" t="s">
        <v>23490</v>
      </c>
      <c r="D10128" t="str">
        <f>HYPERLINK("https://rhld.insurance.arkansas.gov/NPILookup?Npi=1144681883","1144681883")</f>
        <v>1144681883</v>
      </c>
      <c r="E10128" t="s">
        <v>8512</v>
      </c>
    </row>
    <row r="10129" spans="1:5" x14ac:dyDescent="0.25">
      <c r="A10129" t="s">
        <v>2</v>
      </c>
      <c r="B10129" t="s">
        <v>3458</v>
      </c>
      <c r="C10129" t="s">
        <v>23490</v>
      </c>
      <c r="D10129" t="str">
        <f>HYPERLINK("https://rhld.insurance.arkansas.gov/NPILookup?Npi=1144682113","1144682113")</f>
        <v>1144682113</v>
      </c>
      <c r="E10129" t="s">
        <v>15815</v>
      </c>
    </row>
    <row r="10130" spans="1:5" x14ac:dyDescent="0.25">
      <c r="A10130" t="s">
        <v>2</v>
      </c>
      <c r="B10130" t="s">
        <v>3458</v>
      </c>
      <c r="C10130" t="s">
        <v>23490</v>
      </c>
      <c r="D10130" t="str">
        <f>HYPERLINK("https://rhld.insurance.arkansas.gov/NPILookup?Npi=1144685611","1144685611")</f>
        <v>1144685611</v>
      </c>
      <c r="E10130" t="s">
        <v>12782</v>
      </c>
    </row>
    <row r="10131" spans="1:5" x14ac:dyDescent="0.25">
      <c r="A10131" t="s">
        <v>2</v>
      </c>
      <c r="B10131" t="s">
        <v>3458</v>
      </c>
      <c r="C10131" t="s">
        <v>23490</v>
      </c>
      <c r="D10131" t="str">
        <f>HYPERLINK("https://rhld.insurance.arkansas.gov/NPILookup?Npi=1144691320","1144691320")</f>
        <v>1144691320</v>
      </c>
      <c r="E10131" t="s">
        <v>8513</v>
      </c>
    </row>
    <row r="10132" spans="1:5" x14ac:dyDescent="0.25">
      <c r="A10132" t="s">
        <v>2</v>
      </c>
      <c r="B10132" t="s">
        <v>3458</v>
      </c>
      <c r="C10132" t="s">
        <v>23490</v>
      </c>
      <c r="D10132" t="str">
        <f>HYPERLINK("https://rhld.insurance.arkansas.gov/NPILookup?Npi=1144693979","1144693979")</f>
        <v>1144693979</v>
      </c>
      <c r="E10132" t="s">
        <v>19463</v>
      </c>
    </row>
    <row r="10133" spans="1:5" x14ac:dyDescent="0.25">
      <c r="A10133" t="s">
        <v>2</v>
      </c>
      <c r="B10133" t="s">
        <v>3458</v>
      </c>
      <c r="C10133" t="s">
        <v>23490</v>
      </c>
      <c r="D10133" t="str">
        <f>HYPERLINK("https://rhld.insurance.arkansas.gov/NPILookup?Npi=1144698580","1144698580")</f>
        <v>1144698580</v>
      </c>
      <c r="E10133" t="s">
        <v>532</v>
      </c>
    </row>
    <row r="10134" spans="1:5" x14ac:dyDescent="0.25">
      <c r="A10134" t="s">
        <v>2</v>
      </c>
      <c r="B10134" t="s">
        <v>3458</v>
      </c>
      <c r="C10134" t="s">
        <v>23490</v>
      </c>
      <c r="D10134" t="str">
        <f>HYPERLINK("https://rhld.insurance.arkansas.gov/NPILookup?Npi=1144727108","1144727108")</f>
        <v>1144727108</v>
      </c>
      <c r="E10134" t="s">
        <v>13390</v>
      </c>
    </row>
    <row r="10135" spans="1:5" x14ac:dyDescent="0.25">
      <c r="A10135" t="s">
        <v>2</v>
      </c>
      <c r="B10135" t="s">
        <v>3458</v>
      </c>
      <c r="C10135" t="s">
        <v>23490</v>
      </c>
      <c r="D10135" t="str">
        <f>HYPERLINK("https://rhld.insurance.arkansas.gov/NPILookup?Npi=1144731985","1144731985")</f>
        <v>1144731985</v>
      </c>
      <c r="E10135" t="s">
        <v>14819</v>
      </c>
    </row>
    <row r="10136" spans="1:5" x14ac:dyDescent="0.25">
      <c r="A10136" t="s">
        <v>2</v>
      </c>
      <c r="B10136" t="s">
        <v>3458</v>
      </c>
      <c r="C10136" t="s">
        <v>23490</v>
      </c>
      <c r="D10136" t="str">
        <f>HYPERLINK("https://rhld.insurance.arkansas.gov/NPILookup?Npi=1144738964","1144738964")</f>
        <v>1144738964</v>
      </c>
      <c r="E10136" t="s">
        <v>13392</v>
      </c>
    </row>
    <row r="10137" spans="1:5" x14ac:dyDescent="0.25">
      <c r="A10137" t="s">
        <v>2</v>
      </c>
      <c r="B10137" t="s">
        <v>3458</v>
      </c>
      <c r="C10137" t="s">
        <v>23490</v>
      </c>
      <c r="D10137" t="str">
        <f>HYPERLINK("https://rhld.insurance.arkansas.gov/NPILookup?Npi=1144740796","1144740796")</f>
        <v>1144740796</v>
      </c>
      <c r="E10137" t="s">
        <v>10685</v>
      </c>
    </row>
    <row r="10138" spans="1:5" x14ac:dyDescent="0.25">
      <c r="A10138" t="s">
        <v>2</v>
      </c>
      <c r="B10138" t="s">
        <v>3458</v>
      </c>
      <c r="C10138" t="s">
        <v>23490</v>
      </c>
      <c r="D10138" t="str">
        <f>HYPERLINK("https://rhld.insurance.arkansas.gov/NPILookup?Npi=1144753302","1144753302")</f>
        <v>1144753302</v>
      </c>
      <c r="E10138" t="s">
        <v>10686</v>
      </c>
    </row>
    <row r="10139" spans="1:5" x14ac:dyDescent="0.25">
      <c r="A10139" t="s">
        <v>2</v>
      </c>
      <c r="B10139" t="s">
        <v>3458</v>
      </c>
      <c r="C10139" t="s">
        <v>23490</v>
      </c>
      <c r="D10139" t="str">
        <f>HYPERLINK("https://rhld.insurance.arkansas.gov/NPILookup?Npi=1144760687","1144760687")</f>
        <v>1144760687</v>
      </c>
      <c r="E10139" t="s">
        <v>10687</v>
      </c>
    </row>
    <row r="10140" spans="1:5" x14ac:dyDescent="0.25">
      <c r="A10140" t="s">
        <v>2</v>
      </c>
      <c r="B10140" t="s">
        <v>3458</v>
      </c>
      <c r="C10140" t="s">
        <v>23490</v>
      </c>
      <c r="D10140" t="str">
        <f>HYPERLINK("https://rhld.insurance.arkansas.gov/NPILookup?Npi=1144766288","1144766288")</f>
        <v>1144766288</v>
      </c>
      <c r="E10140" t="s">
        <v>50</v>
      </c>
    </row>
    <row r="10141" spans="1:5" x14ac:dyDescent="0.25">
      <c r="A10141" t="s">
        <v>2</v>
      </c>
      <c r="B10141" t="s">
        <v>3458</v>
      </c>
      <c r="C10141" t="s">
        <v>23490</v>
      </c>
      <c r="D10141" t="str">
        <f>HYPERLINK("https://rhld.insurance.arkansas.gov/NPILookup?Npi=1144804022","1144804022")</f>
        <v>1144804022</v>
      </c>
      <c r="E10141" t="s">
        <v>18677</v>
      </c>
    </row>
    <row r="10142" spans="1:5" x14ac:dyDescent="0.25">
      <c r="A10142" t="s">
        <v>2</v>
      </c>
      <c r="B10142" t="s">
        <v>3458</v>
      </c>
      <c r="C10142" t="s">
        <v>23490</v>
      </c>
      <c r="D10142" t="str">
        <f>HYPERLINK("https://rhld.insurance.arkansas.gov/NPILookup?Npi=1144807488","1144807488")</f>
        <v>1144807488</v>
      </c>
      <c r="E10142" t="s">
        <v>18678</v>
      </c>
    </row>
    <row r="10143" spans="1:5" x14ac:dyDescent="0.25">
      <c r="A10143" t="s">
        <v>2</v>
      </c>
      <c r="B10143" t="s">
        <v>3458</v>
      </c>
      <c r="C10143" t="s">
        <v>23490</v>
      </c>
      <c r="D10143" t="str">
        <f>HYPERLINK("https://rhld.insurance.arkansas.gov/NPILookup?Npi=1144816430","1144816430")</f>
        <v>1144816430</v>
      </c>
      <c r="E10143" t="s">
        <v>18679</v>
      </c>
    </row>
    <row r="10144" spans="1:5" x14ac:dyDescent="0.25">
      <c r="A10144" t="s">
        <v>2</v>
      </c>
      <c r="B10144" t="s">
        <v>3458</v>
      </c>
      <c r="C10144" t="s">
        <v>23490</v>
      </c>
      <c r="D10144" t="str">
        <f>HYPERLINK("https://rhld.insurance.arkansas.gov/NPILookup?Npi=1144836347","1144836347")</f>
        <v>1144836347</v>
      </c>
      <c r="E10144" t="s">
        <v>18680</v>
      </c>
    </row>
    <row r="10145" spans="1:5" x14ac:dyDescent="0.25">
      <c r="A10145" t="s">
        <v>2</v>
      </c>
      <c r="B10145" t="s">
        <v>3458</v>
      </c>
      <c r="C10145" t="s">
        <v>23490</v>
      </c>
      <c r="D10145" t="str">
        <f>HYPERLINK("https://rhld.insurance.arkansas.gov/NPILookup?Npi=1144836909","1144836909")</f>
        <v>1144836909</v>
      </c>
      <c r="E10145" t="s">
        <v>17392</v>
      </c>
    </row>
    <row r="10146" spans="1:5" x14ac:dyDescent="0.25">
      <c r="A10146" t="s">
        <v>2</v>
      </c>
      <c r="B10146" t="s">
        <v>3458</v>
      </c>
      <c r="C10146" t="s">
        <v>23490</v>
      </c>
      <c r="D10146" t="str">
        <f>HYPERLINK("https://rhld.insurance.arkansas.gov/NPILookup?Npi=1144898057","1144898057")</f>
        <v>1144898057</v>
      </c>
      <c r="E10146" t="s">
        <v>18681</v>
      </c>
    </row>
    <row r="10147" spans="1:5" x14ac:dyDescent="0.25">
      <c r="A10147" t="s">
        <v>2</v>
      </c>
      <c r="B10147" t="s">
        <v>3458</v>
      </c>
      <c r="C10147" t="s">
        <v>8427</v>
      </c>
      <c r="D10147" t="str">
        <f>HYPERLINK("https://rhld.insurance.arkansas.gov/NPILookup?Npi=1144920281","1144920281")</f>
        <v>1144920281</v>
      </c>
      <c r="E10147" t="s">
        <v>22899</v>
      </c>
    </row>
    <row r="10148" spans="1:5" x14ac:dyDescent="0.25">
      <c r="A10148" t="s">
        <v>2</v>
      </c>
      <c r="B10148" t="s">
        <v>3458</v>
      </c>
      <c r="C10148" t="s">
        <v>23490</v>
      </c>
      <c r="D10148" t="str">
        <f>HYPERLINK("https://rhld.insurance.arkansas.gov/NPILookup?Npi=1144955139","1144955139")</f>
        <v>1144955139</v>
      </c>
      <c r="E10148" t="s">
        <v>21374</v>
      </c>
    </row>
    <row r="10149" spans="1:5" x14ac:dyDescent="0.25">
      <c r="A10149" t="s">
        <v>2</v>
      </c>
      <c r="B10149" t="s">
        <v>3458</v>
      </c>
      <c r="C10149" t="s">
        <v>23490</v>
      </c>
      <c r="D10149" t="str">
        <f>HYPERLINK("https://rhld.insurance.arkansas.gov/NPILookup?Npi=1144974320","1144974320")</f>
        <v>1144974320</v>
      </c>
      <c r="E10149" t="s">
        <v>19471</v>
      </c>
    </row>
    <row r="10150" spans="1:5" x14ac:dyDescent="0.25">
      <c r="A10150" t="s">
        <v>2</v>
      </c>
      <c r="B10150" t="s">
        <v>3458</v>
      </c>
      <c r="C10150" t="s">
        <v>23490</v>
      </c>
      <c r="D10150" t="str">
        <f>HYPERLINK("https://rhld.insurance.arkansas.gov/NPILookup?Npi=1144989500","1144989500")</f>
        <v>1144989500</v>
      </c>
      <c r="E10150" t="s">
        <v>20902</v>
      </c>
    </row>
    <row r="10151" spans="1:5" x14ac:dyDescent="0.25">
      <c r="A10151" t="s">
        <v>2</v>
      </c>
      <c r="B10151" t="s">
        <v>3458</v>
      </c>
      <c r="C10151" t="s">
        <v>23490</v>
      </c>
      <c r="D10151" t="str">
        <f>HYPERLINK("https://rhld.insurance.arkansas.gov/NPILookup?Npi=1144990623","1144990623")</f>
        <v>1144990623</v>
      </c>
      <c r="E10151" t="s">
        <v>18682</v>
      </c>
    </row>
    <row r="10152" spans="1:5" x14ac:dyDescent="0.25">
      <c r="A10152" t="s">
        <v>2</v>
      </c>
      <c r="B10152" t="s">
        <v>3458</v>
      </c>
      <c r="C10152" t="s">
        <v>23490</v>
      </c>
      <c r="D10152" t="str">
        <f>HYPERLINK("https://rhld.insurance.arkansas.gov/NPILookup?Npi=1154058816","1154058816")</f>
        <v>1154058816</v>
      </c>
      <c r="E10152" t="s">
        <v>20903</v>
      </c>
    </row>
    <row r="10153" spans="1:5" x14ac:dyDescent="0.25">
      <c r="A10153" t="s">
        <v>2</v>
      </c>
      <c r="B10153" t="s">
        <v>3458</v>
      </c>
      <c r="C10153" t="s">
        <v>23490</v>
      </c>
      <c r="D10153" t="str">
        <f>HYPERLINK("https://rhld.insurance.arkansas.gov/NPILookup?Npi=1154300705","1154300705")</f>
        <v>1154300705</v>
      </c>
      <c r="E10153" t="s">
        <v>533</v>
      </c>
    </row>
    <row r="10154" spans="1:5" x14ac:dyDescent="0.25">
      <c r="A10154" t="s">
        <v>2</v>
      </c>
      <c r="B10154" t="s">
        <v>3458</v>
      </c>
      <c r="C10154" t="s">
        <v>23490</v>
      </c>
      <c r="D10154" t="str">
        <f>HYPERLINK("https://rhld.insurance.arkansas.gov/NPILookup?Npi=1154311595","1154311595")</f>
        <v>1154311595</v>
      </c>
      <c r="E10154" t="s">
        <v>534</v>
      </c>
    </row>
    <row r="10155" spans="1:5" x14ac:dyDescent="0.25">
      <c r="A10155" t="s">
        <v>2</v>
      </c>
      <c r="B10155" t="s">
        <v>3458</v>
      </c>
      <c r="C10155" t="s">
        <v>23490</v>
      </c>
      <c r="D10155" t="str">
        <f>HYPERLINK("https://rhld.insurance.arkansas.gov/NPILookup?Npi=1154314110","1154314110")</f>
        <v>1154314110</v>
      </c>
      <c r="E10155" t="s">
        <v>3545</v>
      </c>
    </row>
    <row r="10156" spans="1:5" x14ac:dyDescent="0.25">
      <c r="A10156" t="s">
        <v>2</v>
      </c>
      <c r="B10156" t="s">
        <v>3458</v>
      </c>
      <c r="C10156" t="s">
        <v>23490</v>
      </c>
      <c r="D10156" t="str">
        <f>HYPERLINK("https://rhld.insurance.arkansas.gov/NPILookup?Npi=1154314771","1154314771")</f>
        <v>1154314771</v>
      </c>
      <c r="E10156" t="s">
        <v>535</v>
      </c>
    </row>
    <row r="10157" spans="1:5" x14ac:dyDescent="0.25">
      <c r="A10157" t="s">
        <v>2</v>
      </c>
      <c r="B10157" t="s">
        <v>3458</v>
      </c>
      <c r="C10157" t="s">
        <v>23490</v>
      </c>
      <c r="D10157" t="str">
        <f>HYPERLINK("https://rhld.insurance.arkansas.gov/NPILookup?Npi=1154321255","1154321255")</f>
        <v>1154321255</v>
      </c>
      <c r="E10157" t="s">
        <v>3546</v>
      </c>
    </row>
    <row r="10158" spans="1:5" x14ac:dyDescent="0.25">
      <c r="A10158" t="s">
        <v>2</v>
      </c>
      <c r="B10158" t="s">
        <v>3458</v>
      </c>
      <c r="C10158" t="s">
        <v>23490</v>
      </c>
      <c r="D10158" t="str">
        <f>HYPERLINK("https://rhld.insurance.arkansas.gov/NPILookup?Npi=1154326544","1154326544")</f>
        <v>1154326544</v>
      </c>
      <c r="E10158" t="s">
        <v>10688</v>
      </c>
    </row>
    <row r="10159" spans="1:5" x14ac:dyDescent="0.25">
      <c r="A10159" t="s">
        <v>2</v>
      </c>
      <c r="B10159" t="s">
        <v>3458</v>
      </c>
      <c r="C10159" t="s">
        <v>23490</v>
      </c>
      <c r="D10159" t="str">
        <f>HYPERLINK("https://rhld.insurance.arkansas.gov/NPILookup?Npi=1154327237","1154327237")</f>
        <v>1154327237</v>
      </c>
      <c r="E10159" t="s">
        <v>537</v>
      </c>
    </row>
    <row r="10160" spans="1:5" x14ac:dyDescent="0.25">
      <c r="A10160" t="s">
        <v>2</v>
      </c>
      <c r="B10160" t="s">
        <v>3458</v>
      </c>
      <c r="C10160" t="s">
        <v>23490</v>
      </c>
      <c r="D10160" t="str">
        <f>HYPERLINK("https://rhld.insurance.arkansas.gov/NPILookup?Npi=1154329878","1154329878")</f>
        <v>1154329878</v>
      </c>
      <c r="E10160" t="s">
        <v>538</v>
      </c>
    </row>
    <row r="10161" spans="1:5" x14ac:dyDescent="0.25">
      <c r="A10161" t="s">
        <v>2</v>
      </c>
      <c r="B10161" t="s">
        <v>3458</v>
      </c>
      <c r="C10161" t="s">
        <v>23490</v>
      </c>
      <c r="D10161" t="str">
        <f>HYPERLINK("https://rhld.insurance.arkansas.gov/NPILookup?Npi=1154339752","1154339752")</f>
        <v>1154339752</v>
      </c>
      <c r="E10161" t="s">
        <v>539</v>
      </c>
    </row>
    <row r="10162" spans="1:5" x14ac:dyDescent="0.25">
      <c r="A10162" t="s">
        <v>2</v>
      </c>
      <c r="B10162" t="s">
        <v>3458</v>
      </c>
      <c r="C10162" t="s">
        <v>23490</v>
      </c>
      <c r="D10162" t="str">
        <f>HYPERLINK("https://rhld.insurance.arkansas.gov/NPILookup?Npi=1154343481","1154343481")</f>
        <v>1154343481</v>
      </c>
      <c r="E10162" t="s">
        <v>14820</v>
      </c>
    </row>
    <row r="10163" spans="1:5" x14ac:dyDescent="0.25">
      <c r="A10163" t="s">
        <v>2</v>
      </c>
      <c r="B10163" t="s">
        <v>3458</v>
      </c>
      <c r="C10163" t="s">
        <v>23490</v>
      </c>
      <c r="D10163" t="str">
        <f>HYPERLINK("https://rhld.insurance.arkansas.gov/NPILookup?Npi=1154344810","1154344810")</f>
        <v>1154344810</v>
      </c>
      <c r="E10163" t="s">
        <v>540</v>
      </c>
    </row>
    <row r="10164" spans="1:5" x14ac:dyDescent="0.25">
      <c r="A10164" t="s">
        <v>2</v>
      </c>
      <c r="B10164" t="s">
        <v>3458</v>
      </c>
      <c r="C10164" t="s">
        <v>23490</v>
      </c>
      <c r="D10164" t="str">
        <f>HYPERLINK("https://rhld.insurance.arkansas.gov/NPILookup?Npi=1154360410","1154360410")</f>
        <v>1154360410</v>
      </c>
      <c r="E10164" t="s">
        <v>542</v>
      </c>
    </row>
    <row r="10165" spans="1:5" x14ac:dyDescent="0.25">
      <c r="A10165" t="s">
        <v>2</v>
      </c>
      <c r="B10165" t="s">
        <v>3458</v>
      </c>
      <c r="C10165" t="s">
        <v>23490</v>
      </c>
      <c r="D10165" t="str">
        <f>HYPERLINK("https://rhld.insurance.arkansas.gov/NPILookup?Npi=1154365732","1154365732")</f>
        <v>1154365732</v>
      </c>
      <c r="E10165" t="s">
        <v>543</v>
      </c>
    </row>
    <row r="10166" spans="1:5" x14ac:dyDescent="0.25">
      <c r="A10166" t="s">
        <v>2</v>
      </c>
      <c r="B10166" t="s">
        <v>3458</v>
      </c>
      <c r="C10166" t="s">
        <v>23490</v>
      </c>
      <c r="D10166" t="str">
        <f>HYPERLINK("https://rhld.insurance.arkansas.gov/NPILookup?Npi=1154371524","1154371524")</f>
        <v>1154371524</v>
      </c>
      <c r="E10166" t="s">
        <v>14821</v>
      </c>
    </row>
    <row r="10167" spans="1:5" x14ac:dyDescent="0.25">
      <c r="A10167" t="s">
        <v>2</v>
      </c>
      <c r="B10167" t="s">
        <v>3458</v>
      </c>
      <c r="C10167" t="s">
        <v>23490</v>
      </c>
      <c r="D10167" t="str">
        <f>HYPERLINK("https://rhld.insurance.arkansas.gov/NPILookup?Npi=1154371946","1154371946")</f>
        <v>1154371946</v>
      </c>
      <c r="E10167" t="s">
        <v>545</v>
      </c>
    </row>
    <row r="10168" spans="1:5" x14ac:dyDescent="0.25">
      <c r="A10168" t="s">
        <v>2</v>
      </c>
      <c r="B10168" t="s">
        <v>3458</v>
      </c>
      <c r="C10168" t="s">
        <v>23490</v>
      </c>
      <c r="D10168" t="str">
        <f>HYPERLINK("https://rhld.insurance.arkansas.gov/NPILookup?Npi=1154374932","1154374932")</f>
        <v>1154374932</v>
      </c>
      <c r="E10168" t="s">
        <v>442</v>
      </c>
    </row>
    <row r="10169" spans="1:5" x14ac:dyDescent="0.25">
      <c r="A10169" t="s">
        <v>2</v>
      </c>
      <c r="B10169" t="s">
        <v>3458</v>
      </c>
      <c r="C10169" t="s">
        <v>23490</v>
      </c>
      <c r="D10169" t="str">
        <f>HYPERLINK("https://rhld.insurance.arkansas.gov/NPILookup?Npi=1154382992","1154382992")</f>
        <v>1154382992</v>
      </c>
      <c r="E10169" t="s">
        <v>547</v>
      </c>
    </row>
    <row r="10170" spans="1:5" x14ac:dyDescent="0.25">
      <c r="A10170" t="s">
        <v>2</v>
      </c>
      <c r="B10170" t="s">
        <v>3458</v>
      </c>
      <c r="C10170" t="s">
        <v>23490</v>
      </c>
      <c r="D10170" t="str">
        <f>HYPERLINK("https://rhld.insurance.arkansas.gov/NPILookup?Npi=1154383958","1154383958")</f>
        <v>1154383958</v>
      </c>
      <c r="E10170" t="s">
        <v>13829</v>
      </c>
    </row>
    <row r="10171" spans="1:5" x14ac:dyDescent="0.25">
      <c r="A10171" t="s">
        <v>2</v>
      </c>
      <c r="B10171" t="s">
        <v>3458</v>
      </c>
      <c r="C10171" t="s">
        <v>23490</v>
      </c>
      <c r="D10171" t="str">
        <f>HYPERLINK("https://rhld.insurance.arkansas.gov/NPILookup?Npi=1154385615","1154385615")</f>
        <v>1154385615</v>
      </c>
      <c r="E10171" t="s">
        <v>14822</v>
      </c>
    </row>
    <row r="10172" spans="1:5" x14ac:dyDescent="0.25">
      <c r="A10172" t="s">
        <v>2</v>
      </c>
      <c r="B10172" t="s">
        <v>3458</v>
      </c>
      <c r="C10172" t="s">
        <v>23490</v>
      </c>
      <c r="D10172" t="str">
        <f>HYPERLINK("https://rhld.insurance.arkansas.gov/NPILookup?Npi=1154386076","1154386076")</f>
        <v>1154386076</v>
      </c>
      <c r="E10172" t="s">
        <v>13830</v>
      </c>
    </row>
    <row r="10173" spans="1:5" x14ac:dyDescent="0.25">
      <c r="A10173" t="s">
        <v>2</v>
      </c>
      <c r="B10173" t="s">
        <v>3458</v>
      </c>
      <c r="C10173" t="s">
        <v>23490</v>
      </c>
      <c r="D10173" t="str">
        <f>HYPERLINK("https://rhld.insurance.arkansas.gov/NPILookup?Npi=1154388031","1154388031")</f>
        <v>1154388031</v>
      </c>
      <c r="E10173" t="s">
        <v>548</v>
      </c>
    </row>
    <row r="10174" spans="1:5" x14ac:dyDescent="0.25">
      <c r="A10174" t="s">
        <v>2</v>
      </c>
      <c r="B10174" t="s">
        <v>3458</v>
      </c>
      <c r="C10174" t="s">
        <v>23490</v>
      </c>
      <c r="D10174" t="str">
        <f>HYPERLINK("https://rhld.insurance.arkansas.gov/NPILookup?Npi=1154388056","1154388056")</f>
        <v>1154388056</v>
      </c>
      <c r="E10174" t="s">
        <v>549</v>
      </c>
    </row>
    <row r="10175" spans="1:5" x14ac:dyDescent="0.25">
      <c r="A10175" t="s">
        <v>2</v>
      </c>
      <c r="B10175" t="s">
        <v>3458</v>
      </c>
      <c r="C10175" t="s">
        <v>23490</v>
      </c>
      <c r="D10175" t="str">
        <f>HYPERLINK("https://rhld.insurance.arkansas.gov/NPILookup?Npi=1154389294","1154389294")</f>
        <v>1154389294</v>
      </c>
      <c r="E10175" t="s">
        <v>3547</v>
      </c>
    </row>
    <row r="10176" spans="1:5" x14ac:dyDescent="0.25">
      <c r="A10176" t="s">
        <v>2</v>
      </c>
      <c r="B10176" t="s">
        <v>3458</v>
      </c>
      <c r="C10176" t="s">
        <v>23490</v>
      </c>
      <c r="D10176" t="str">
        <f>HYPERLINK("https://rhld.insurance.arkansas.gov/NPILookup?Npi=1154391514","1154391514")</f>
        <v>1154391514</v>
      </c>
      <c r="E10176" t="s">
        <v>550</v>
      </c>
    </row>
    <row r="10177" spans="1:5" x14ac:dyDescent="0.25">
      <c r="A10177" t="s">
        <v>2</v>
      </c>
      <c r="B10177" t="s">
        <v>3458</v>
      </c>
      <c r="C10177" t="s">
        <v>23490</v>
      </c>
      <c r="D10177" t="str">
        <f>HYPERLINK("https://rhld.insurance.arkansas.gov/NPILookup?Npi=1154402444","1154402444")</f>
        <v>1154402444</v>
      </c>
      <c r="E10177" t="s">
        <v>552</v>
      </c>
    </row>
    <row r="10178" spans="1:5" x14ac:dyDescent="0.25">
      <c r="A10178" t="s">
        <v>2</v>
      </c>
      <c r="B10178" t="s">
        <v>3458</v>
      </c>
      <c r="C10178" t="s">
        <v>23490</v>
      </c>
      <c r="D10178" t="str">
        <f>HYPERLINK("https://rhld.insurance.arkansas.gov/NPILookup?Npi=1154406486","1154406486")</f>
        <v>1154406486</v>
      </c>
      <c r="E10178" t="s">
        <v>10689</v>
      </c>
    </row>
    <row r="10179" spans="1:5" x14ac:dyDescent="0.25">
      <c r="A10179" t="s">
        <v>2</v>
      </c>
      <c r="B10179" t="s">
        <v>3458</v>
      </c>
      <c r="C10179" t="s">
        <v>23490</v>
      </c>
      <c r="D10179" t="str">
        <f>HYPERLINK("https://rhld.insurance.arkansas.gov/NPILookup?Npi=1154411379","1154411379")</f>
        <v>1154411379</v>
      </c>
      <c r="E10179" t="s">
        <v>553</v>
      </c>
    </row>
    <row r="10180" spans="1:5" x14ac:dyDescent="0.25">
      <c r="A10180" t="s">
        <v>2</v>
      </c>
      <c r="B10180" t="s">
        <v>3458</v>
      </c>
      <c r="C10180" t="s">
        <v>23490</v>
      </c>
      <c r="D10180" t="str">
        <f>HYPERLINK("https://rhld.insurance.arkansas.gov/NPILookup?Npi=1154411718","1154411718")</f>
        <v>1154411718</v>
      </c>
      <c r="E10180" t="s">
        <v>3548</v>
      </c>
    </row>
    <row r="10181" spans="1:5" x14ac:dyDescent="0.25">
      <c r="A10181" t="s">
        <v>2</v>
      </c>
      <c r="B10181" t="s">
        <v>3458</v>
      </c>
      <c r="C10181" t="s">
        <v>23490</v>
      </c>
      <c r="D10181" t="str">
        <f>HYPERLINK("https://rhld.insurance.arkansas.gov/NPILookup?Npi=1154446532","1154446532")</f>
        <v>1154446532</v>
      </c>
      <c r="E10181" t="s">
        <v>554</v>
      </c>
    </row>
    <row r="10182" spans="1:5" x14ac:dyDescent="0.25">
      <c r="A10182" t="s">
        <v>2</v>
      </c>
      <c r="B10182" t="s">
        <v>3458</v>
      </c>
      <c r="C10182" t="s">
        <v>23490</v>
      </c>
      <c r="D10182" t="str">
        <f>HYPERLINK("https://rhld.insurance.arkansas.gov/NPILookup?Npi=1154465466","1154465466")</f>
        <v>1154465466</v>
      </c>
      <c r="E10182" t="s">
        <v>12783</v>
      </c>
    </row>
    <row r="10183" spans="1:5" x14ac:dyDescent="0.25">
      <c r="A10183" t="s">
        <v>2</v>
      </c>
      <c r="B10183" t="s">
        <v>3458</v>
      </c>
      <c r="C10183" t="s">
        <v>23490</v>
      </c>
      <c r="D10183" t="str">
        <f>HYPERLINK("https://rhld.insurance.arkansas.gov/NPILookup?Npi=1154471670","1154471670")</f>
        <v>1154471670</v>
      </c>
      <c r="E10183" t="s">
        <v>555</v>
      </c>
    </row>
    <row r="10184" spans="1:5" x14ac:dyDescent="0.25">
      <c r="A10184" t="s">
        <v>2</v>
      </c>
      <c r="B10184" t="s">
        <v>3458</v>
      </c>
      <c r="C10184" t="s">
        <v>23490</v>
      </c>
      <c r="D10184" t="str">
        <f>HYPERLINK("https://rhld.insurance.arkansas.gov/NPILookup?Npi=1154484723","1154484723")</f>
        <v>1154484723</v>
      </c>
      <c r="E10184" t="s">
        <v>1724</v>
      </c>
    </row>
    <row r="10185" spans="1:5" x14ac:dyDescent="0.25">
      <c r="A10185" t="s">
        <v>2</v>
      </c>
      <c r="B10185" t="s">
        <v>3458</v>
      </c>
      <c r="C10185" t="s">
        <v>23490</v>
      </c>
      <c r="D10185" t="str">
        <f>HYPERLINK("https://rhld.insurance.arkansas.gov/NPILookup?Npi=1154498491","1154498491")</f>
        <v>1154498491</v>
      </c>
      <c r="E10185" t="s">
        <v>3549</v>
      </c>
    </row>
    <row r="10186" spans="1:5" x14ac:dyDescent="0.25">
      <c r="A10186" t="s">
        <v>2</v>
      </c>
      <c r="B10186" t="s">
        <v>3458</v>
      </c>
      <c r="C10186" t="s">
        <v>23490</v>
      </c>
      <c r="D10186" t="str">
        <f>HYPERLINK("https://rhld.insurance.arkansas.gov/NPILookup?Npi=1154519478","1154519478")</f>
        <v>1154519478</v>
      </c>
      <c r="E10186" t="s">
        <v>15816</v>
      </c>
    </row>
    <row r="10187" spans="1:5" x14ac:dyDescent="0.25">
      <c r="A10187" t="s">
        <v>2</v>
      </c>
      <c r="B10187" t="s">
        <v>3458</v>
      </c>
      <c r="C10187" t="s">
        <v>23490</v>
      </c>
      <c r="D10187" t="str">
        <f>HYPERLINK("https://rhld.insurance.arkansas.gov/NPILookup?Npi=1154526515","1154526515")</f>
        <v>1154526515</v>
      </c>
      <c r="E10187" t="s">
        <v>556</v>
      </c>
    </row>
    <row r="10188" spans="1:5" x14ac:dyDescent="0.25">
      <c r="A10188" t="s">
        <v>2</v>
      </c>
      <c r="B10188" t="s">
        <v>3458</v>
      </c>
      <c r="C10188" t="s">
        <v>23490</v>
      </c>
      <c r="D10188" t="str">
        <f>HYPERLINK("https://rhld.insurance.arkansas.gov/NPILookup?Npi=1154538247","1154538247")</f>
        <v>1154538247</v>
      </c>
      <c r="E10188" t="s">
        <v>557</v>
      </c>
    </row>
    <row r="10189" spans="1:5" x14ac:dyDescent="0.25">
      <c r="A10189" t="s">
        <v>2</v>
      </c>
      <c r="B10189" t="s">
        <v>3458</v>
      </c>
      <c r="C10189" t="s">
        <v>23490</v>
      </c>
      <c r="D10189" t="str">
        <f>HYPERLINK("https://rhld.insurance.arkansas.gov/NPILookup?Npi=1154592640","1154592640")</f>
        <v>1154592640</v>
      </c>
      <c r="E10189" t="s">
        <v>3550</v>
      </c>
    </row>
    <row r="10190" spans="1:5" x14ac:dyDescent="0.25">
      <c r="A10190" t="s">
        <v>2</v>
      </c>
      <c r="B10190" t="s">
        <v>3458</v>
      </c>
      <c r="C10190" t="s">
        <v>23490</v>
      </c>
      <c r="D10190" t="str">
        <f>HYPERLINK("https://rhld.insurance.arkansas.gov/NPILookup?Npi=1154595098","1154595098")</f>
        <v>1154595098</v>
      </c>
      <c r="E10190" t="s">
        <v>559</v>
      </c>
    </row>
    <row r="10191" spans="1:5" x14ac:dyDescent="0.25">
      <c r="A10191" t="s">
        <v>2</v>
      </c>
      <c r="B10191" t="s">
        <v>3458</v>
      </c>
      <c r="C10191" t="s">
        <v>23490</v>
      </c>
      <c r="D10191" t="str">
        <f>HYPERLINK("https://rhld.insurance.arkansas.gov/NPILookup?Npi=1154599900","1154599900")</f>
        <v>1154599900</v>
      </c>
      <c r="E10191" t="s">
        <v>10691</v>
      </c>
    </row>
    <row r="10192" spans="1:5" x14ac:dyDescent="0.25">
      <c r="A10192" t="s">
        <v>2</v>
      </c>
      <c r="B10192" t="s">
        <v>3458</v>
      </c>
      <c r="C10192" t="s">
        <v>23490</v>
      </c>
      <c r="D10192" t="str">
        <f>HYPERLINK("https://rhld.insurance.arkansas.gov/NPILookup?Npi=1154619492","1154619492")</f>
        <v>1154619492</v>
      </c>
      <c r="E10192" t="s">
        <v>560</v>
      </c>
    </row>
    <row r="10193" spans="1:5" x14ac:dyDescent="0.25">
      <c r="A10193" t="s">
        <v>2</v>
      </c>
      <c r="B10193" t="s">
        <v>3458</v>
      </c>
      <c r="C10193" t="s">
        <v>23490</v>
      </c>
      <c r="D10193" t="str">
        <f>HYPERLINK("https://rhld.insurance.arkansas.gov/NPILookup?Npi=1154628113","1154628113")</f>
        <v>1154628113</v>
      </c>
      <c r="E10193" t="s">
        <v>561</v>
      </c>
    </row>
    <row r="10194" spans="1:5" x14ac:dyDescent="0.25">
      <c r="A10194" t="s">
        <v>2</v>
      </c>
      <c r="B10194" t="s">
        <v>3458</v>
      </c>
      <c r="C10194" t="s">
        <v>23490</v>
      </c>
      <c r="D10194" t="str">
        <f>HYPERLINK("https://rhld.insurance.arkansas.gov/NPILookup?Npi=1154647238","1154647238")</f>
        <v>1154647238</v>
      </c>
      <c r="E10194" t="s">
        <v>11435</v>
      </c>
    </row>
    <row r="10195" spans="1:5" x14ac:dyDescent="0.25">
      <c r="A10195" t="s">
        <v>2</v>
      </c>
      <c r="B10195" t="s">
        <v>3458</v>
      </c>
      <c r="C10195" t="s">
        <v>23490</v>
      </c>
      <c r="D10195" t="str">
        <f>HYPERLINK("https://rhld.insurance.arkansas.gov/NPILookup?Npi=1154654937","1154654937")</f>
        <v>1154654937</v>
      </c>
      <c r="E10195" t="s">
        <v>562</v>
      </c>
    </row>
    <row r="10196" spans="1:5" x14ac:dyDescent="0.25">
      <c r="A10196" t="s">
        <v>2</v>
      </c>
      <c r="B10196" t="s">
        <v>3458</v>
      </c>
      <c r="C10196" t="s">
        <v>23490</v>
      </c>
      <c r="D10196" t="str">
        <f>HYPERLINK("https://rhld.insurance.arkansas.gov/NPILookup?Npi=1154657468","1154657468")</f>
        <v>1154657468</v>
      </c>
      <c r="E10196" t="s">
        <v>12963</v>
      </c>
    </row>
    <row r="10197" spans="1:5" x14ac:dyDescent="0.25">
      <c r="A10197" t="s">
        <v>2</v>
      </c>
      <c r="B10197" t="s">
        <v>3458</v>
      </c>
      <c r="C10197" t="s">
        <v>23490</v>
      </c>
      <c r="D10197" t="str">
        <f>HYPERLINK("https://rhld.insurance.arkansas.gov/NPILookup?Npi=1154659100","1154659100")</f>
        <v>1154659100</v>
      </c>
      <c r="E10197" t="s">
        <v>10692</v>
      </c>
    </row>
    <row r="10198" spans="1:5" x14ac:dyDescent="0.25">
      <c r="A10198" t="s">
        <v>2</v>
      </c>
      <c r="B10198" t="s">
        <v>3458</v>
      </c>
      <c r="C10198" t="s">
        <v>23490</v>
      </c>
      <c r="D10198" t="str">
        <f>HYPERLINK("https://rhld.insurance.arkansas.gov/NPILookup?Npi=1154664316","1154664316")</f>
        <v>1154664316</v>
      </c>
      <c r="E10198" t="s">
        <v>8515</v>
      </c>
    </row>
    <row r="10199" spans="1:5" x14ac:dyDescent="0.25">
      <c r="A10199" t="s">
        <v>2</v>
      </c>
      <c r="B10199" t="s">
        <v>3458</v>
      </c>
      <c r="C10199" t="s">
        <v>23490</v>
      </c>
      <c r="D10199" t="str">
        <f>HYPERLINK("https://rhld.insurance.arkansas.gov/NPILookup?Npi=1154684355","1154684355")</f>
        <v>1154684355</v>
      </c>
      <c r="E10199" t="s">
        <v>10693</v>
      </c>
    </row>
    <row r="10200" spans="1:5" x14ac:dyDescent="0.25">
      <c r="A10200" t="s">
        <v>2</v>
      </c>
      <c r="B10200" t="s">
        <v>3458</v>
      </c>
      <c r="C10200" t="s">
        <v>23490</v>
      </c>
      <c r="D10200" t="str">
        <f>HYPERLINK("https://rhld.insurance.arkansas.gov/NPILookup?Npi=1154687432","1154687432")</f>
        <v>1154687432</v>
      </c>
      <c r="E10200" t="s">
        <v>3551</v>
      </c>
    </row>
    <row r="10201" spans="1:5" x14ac:dyDescent="0.25">
      <c r="A10201" t="s">
        <v>2</v>
      </c>
      <c r="B10201" t="s">
        <v>3458</v>
      </c>
      <c r="C10201" t="s">
        <v>23490</v>
      </c>
      <c r="D10201" t="str">
        <f>HYPERLINK("https://rhld.insurance.arkansas.gov/NPILookup?Npi=1154688059","1154688059")</f>
        <v>1154688059</v>
      </c>
      <c r="E10201" t="s">
        <v>8516</v>
      </c>
    </row>
    <row r="10202" spans="1:5" x14ac:dyDescent="0.25">
      <c r="A10202" t="s">
        <v>2</v>
      </c>
      <c r="B10202" t="s">
        <v>3458</v>
      </c>
      <c r="C10202" t="s">
        <v>23490</v>
      </c>
      <c r="D10202" t="str">
        <f>HYPERLINK("https://rhld.insurance.arkansas.gov/NPILookup?Npi=1154696607","1154696607")</f>
        <v>1154696607</v>
      </c>
      <c r="E10202" t="s">
        <v>563</v>
      </c>
    </row>
    <row r="10203" spans="1:5" x14ac:dyDescent="0.25">
      <c r="A10203" t="s">
        <v>2</v>
      </c>
      <c r="B10203" t="s">
        <v>3458</v>
      </c>
      <c r="C10203" t="s">
        <v>23490</v>
      </c>
      <c r="D10203" t="str">
        <f>HYPERLINK("https://rhld.insurance.arkansas.gov/NPILookup?Npi=1154697829","1154697829")</f>
        <v>1154697829</v>
      </c>
      <c r="E10203" t="s">
        <v>564</v>
      </c>
    </row>
    <row r="10204" spans="1:5" x14ac:dyDescent="0.25">
      <c r="A10204" t="s">
        <v>2</v>
      </c>
      <c r="B10204" t="s">
        <v>3458</v>
      </c>
      <c r="C10204" t="s">
        <v>23490</v>
      </c>
      <c r="D10204" t="str">
        <f>HYPERLINK("https://rhld.insurance.arkansas.gov/NPILookup?Npi=1154701456","1154701456")</f>
        <v>1154701456</v>
      </c>
      <c r="E10204" t="s">
        <v>12784</v>
      </c>
    </row>
    <row r="10205" spans="1:5" x14ac:dyDescent="0.25">
      <c r="A10205" t="s">
        <v>2</v>
      </c>
      <c r="B10205" t="s">
        <v>3458</v>
      </c>
      <c r="C10205" t="s">
        <v>23490</v>
      </c>
      <c r="D10205" t="str">
        <f>HYPERLINK("https://rhld.insurance.arkansas.gov/NPILookup?Npi=1154711943","1154711943")</f>
        <v>1154711943</v>
      </c>
      <c r="E10205" t="s">
        <v>8517</v>
      </c>
    </row>
    <row r="10206" spans="1:5" x14ac:dyDescent="0.25">
      <c r="A10206" t="s">
        <v>2</v>
      </c>
      <c r="B10206" t="s">
        <v>3458</v>
      </c>
      <c r="C10206" t="s">
        <v>23490</v>
      </c>
      <c r="D10206" t="str">
        <f>HYPERLINK("https://rhld.insurance.arkansas.gov/NPILookup?Npi=1154716793","1154716793")</f>
        <v>1154716793</v>
      </c>
      <c r="E10206" t="s">
        <v>13831</v>
      </c>
    </row>
    <row r="10207" spans="1:5" x14ac:dyDescent="0.25">
      <c r="A10207" t="s">
        <v>2</v>
      </c>
      <c r="B10207" t="s">
        <v>3458</v>
      </c>
      <c r="C10207" t="s">
        <v>23490</v>
      </c>
      <c r="D10207" t="str">
        <f>HYPERLINK("https://rhld.insurance.arkansas.gov/NPILookup?Npi=1154727378","1154727378")</f>
        <v>1154727378</v>
      </c>
      <c r="E10207" t="s">
        <v>565</v>
      </c>
    </row>
    <row r="10208" spans="1:5" x14ac:dyDescent="0.25">
      <c r="A10208" t="s">
        <v>2</v>
      </c>
      <c r="B10208" t="s">
        <v>3458</v>
      </c>
      <c r="C10208" t="s">
        <v>23490</v>
      </c>
      <c r="D10208" t="str">
        <f>HYPERLINK("https://rhld.insurance.arkansas.gov/NPILookup?Npi=1154730166","1154730166")</f>
        <v>1154730166</v>
      </c>
      <c r="E10208" t="s">
        <v>566</v>
      </c>
    </row>
    <row r="10209" spans="1:5" x14ac:dyDescent="0.25">
      <c r="A10209" t="s">
        <v>2</v>
      </c>
      <c r="B10209" t="s">
        <v>3458</v>
      </c>
      <c r="C10209" t="s">
        <v>23490</v>
      </c>
      <c r="D10209" t="str">
        <f>HYPERLINK("https://rhld.insurance.arkansas.gov/NPILookup?Npi=1154733806","1154733806")</f>
        <v>1154733806</v>
      </c>
      <c r="E10209" t="s">
        <v>14824</v>
      </c>
    </row>
    <row r="10210" spans="1:5" x14ac:dyDescent="0.25">
      <c r="A10210" t="s">
        <v>2</v>
      </c>
      <c r="B10210" t="s">
        <v>3458</v>
      </c>
      <c r="C10210" t="s">
        <v>23490</v>
      </c>
      <c r="D10210" t="str">
        <f>HYPERLINK("https://rhld.insurance.arkansas.gov/NPILookup?Npi=1154736262","1154736262")</f>
        <v>1154736262</v>
      </c>
      <c r="E10210" t="s">
        <v>567</v>
      </c>
    </row>
    <row r="10211" spans="1:5" x14ac:dyDescent="0.25">
      <c r="A10211" t="s">
        <v>2</v>
      </c>
      <c r="B10211" t="s">
        <v>3458</v>
      </c>
      <c r="C10211" t="s">
        <v>23490</v>
      </c>
      <c r="D10211" t="str">
        <f>HYPERLINK("https://rhld.insurance.arkansas.gov/NPILookup?Npi=1154748143","1154748143")</f>
        <v>1154748143</v>
      </c>
      <c r="E10211" t="s">
        <v>12785</v>
      </c>
    </row>
    <row r="10212" spans="1:5" x14ac:dyDescent="0.25">
      <c r="A10212" t="s">
        <v>2</v>
      </c>
      <c r="B10212" t="s">
        <v>3458</v>
      </c>
      <c r="C10212" t="s">
        <v>23490</v>
      </c>
      <c r="D10212" t="str">
        <f>HYPERLINK("https://rhld.insurance.arkansas.gov/NPILookup?Npi=1154764397","1154764397")</f>
        <v>1154764397</v>
      </c>
      <c r="E10212" t="s">
        <v>11436</v>
      </c>
    </row>
    <row r="10213" spans="1:5" x14ac:dyDescent="0.25">
      <c r="A10213" t="s">
        <v>2</v>
      </c>
      <c r="B10213" t="s">
        <v>3458</v>
      </c>
      <c r="C10213" t="s">
        <v>23490</v>
      </c>
      <c r="D10213" t="str">
        <f>HYPERLINK("https://rhld.insurance.arkansas.gov/NPILookup?Npi=1154784320","1154784320")</f>
        <v>1154784320</v>
      </c>
      <c r="E10213" t="s">
        <v>13832</v>
      </c>
    </row>
    <row r="10214" spans="1:5" x14ac:dyDescent="0.25">
      <c r="A10214" t="s">
        <v>2</v>
      </c>
      <c r="B10214" t="s">
        <v>3458</v>
      </c>
      <c r="C10214" t="s">
        <v>23490</v>
      </c>
      <c r="D10214" t="str">
        <f>HYPERLINK("https://rhld.insurance.arkansas.gov/NPILookup?Npi=1154810612","1154810612")</f>
        <v>1154810612</v>
      </c>
      <c r="E10214" t="s">
        <v>13393</v>
      </c>
    </row>
    <row r="10215" spans="1:5" x14ac:dyDescent="0.25">
      <c r="A10215" t="s">
        <v>2</v>
      </c>
      <c r="B10215" t="s">
        <v>3458</v>
      </c>
      <c r="C10215" t="s">
        <v>23490</v>
      </c>
      <c r="D10215" t="str">
        <f>HYPERLINK("https://rhld.insurance.arkansas.gov/NPILookup?Npi=1154815843","1154815843")</f>
        <v>1154815843</v>
      </c>
      <c r="E10215" t="s">
        <v>18683</v>
      </c>
    </row>
    <row r="10216" spans="1:5" x14ac:dyDescent="0.25">
      <c r="A10216" t="s">
        <v>2</v>
      </c>
      <c r="B10216" t="s">
        <v>3458</v>
      </c>
      <c r="C10216" t="s">
        <v>23490</v>
      </c>
      <c r="D10216" t="str">
        <f>HYPERLINK("https://rhld.insurance.arkansas.gov/NPILookup?Npi=1154816098","1154816098")</f>
        <v>1154816098</v>
      </c>
      <c r="E10216" t="s">
        <v>19474</v>
      </c>
    </row>
    <row r="10217" spans="1:5" x14ac:dyDescent="0.25">
      <c r="A10217" t="s">
        <v>2</v>
      </c>
      <c r="B10217" t="s">
        <v>3458</v>
      </c>
      <c r="C10217" t="s">
        <v>23490</v>
      </c>
      <c r="D10217" t="str">
        <f>HYPERLINK("https://rhld.insurance.arkansas.gov/NPILookup?Npi=1154869139","1154869139")</f>
        <v>1154869139</v>
      </c>
      <c r="E10217" t="s">
        <v>10696</v>
      </c>
    </row>
    <row r="10218" spans="1:5" x14ac:dyDescent="0.25">
      <c r="A10218" t="s">
        <v>2</v>
      </c>
      <c r="B10218" t="s">
        <v>3458</v>
      </c>
      <c r="C10218" t="s">
        <v>23490</v>
      </c>
      <c r="D10218" t="str">
        <f>HYPERLINK("https://rhld.insurance.arkansas.gov/NPILookup?Npi=1154873545","1154873545")</f>
        <v>1154873545</v>
      </c>
      <c r="E10218" t="s">
        <v>13833</v>
      </c>
    </row>
    <row r="10219" spans="1:5" x14ac:dyDescent="0.25">
      <c r="A10219" t="s">
        <v>2</v>
      </c>
      <c r="B10219" t="s">
        <v>3458</v>
      </c>
      <c r="C10219" t="s">
        <v>23490</v>
      </c>
      <c r="D10219" t="str">
        <f>HYPERLINK("https://rhld.insurance.arkansas.gov/NPILookup?Npi=1154876365","1154876365")</f>
        <v>1154876365</v>
      </c>
      <c r="E10219" t="s">
        <v>8518</v>
      </c>
    </row>
    <row r="10220" spans="1:5" x14ac:dyDescent="0.25">
      <c r="A10220" t="s">
        <v>2</v>
      </c>
      <c r="B10220" t="s">
        <v>3458</v>
      </c>
      <c r="C10220" t="s">
        <v>23490</v>
      </c>
      <c r="D10220" t="str">
        <f>HYPERLINK("https://rhld.insurance.arkansas.gov/NPILookup?Npi=1154882793","1154882793")</f>
        <v>1154882793</v>
      </c>
      <c r="E10220" t="s">
        <v>18208</v>
      </c>
    </row>
    <row r="10221" spans="1:5" x14ac:dyDescent="0.25">
      <c r="A10221" t="s">
        <v>2</v>
      </c>
      <c r="B10221" t="s">
        <v>3458</v>
      </c>
      <c r="C10221" t="s">
        <v>23490</v>
      </c>
      <c r="D10221" t="str">
        <f>HYPERLINK("https://rhld.insurance.arkansas.gov/NPILookup?Npi=1154897486","1154897486")</f>
        <v>1154897486</v>
      </c>
      <c r="E10221" t="s">
        <v>18684</v>
      </c>
    </row>
    <row r="10222" spans="1:5" x14ac:dyDescent="0.25">
      <c r="A10222" t="s">
        <v>2</v>
      </c>
      <c r="B10222" t="s">
        <v>3458</v>
      </c>
      <c r="C10222" t="s">
        <v>23490</v>
      </c>
      <c r="D10222" t="str">
        <f>HYPERLINK("https://rhld.insurance.arkansas.gov/NPILookup?Npi=1154915007","1154915007")</f>
        <v>1154915007</v>
      </c>
      <c r="E10222" t="s">
        <v>18685</v>
      </c>
    </row>
    <row r="10223" spans="1:5" x14ac:dyDescent="0.25">
      <c r="A10223" t="s">
        <v>2</v>
      </c>
      <c r="B10223" t="s">
        <v>3458</v>
      </c>
      <c r="C10223" t="s">
        <v>23490</v>
      </c>
      <c r="D10223" t="str">
        <f>HYPERLINK("https://rhld.insurance.arkansas.gov/NPILookup?Npi=1154935757","1154935757")</f>
        <v>1154935757</v>
      </c>
      <c r="E10223" t="s">
        <v>17877</v>
      </c>
    </row>
    <row r="10224" spans="1:5" x14ac:dyDescent="0.25">
      <c r="A10224" t="s">
        <v>2</v>
      </c>
      <c r="B10224" t="s">
        <v>3458</v>
      </c>
      <c r="C10224" t="s">
        <v>23490</v>
      </c>
      <c r="D10224" t="str">
        <f>HYPERLINK("https://rhld.insurance.arkansas.gov/NPILookup?Npi=1154959211","1154959211")</f>
        <v>1154959211</v>
      </c>
      <c r="E10224" t="s">
        <v>21487</v>
      </c>
    </row>
    <row r="10225" spans="1:5" x14ac:dyDescent="0.25">
      <c r="A10225" t="s">
        <v>2</v>
      </c>
      <c r="B10225" t="s">
        <v>3458</v>
      </c>
      <c r="C10225" t="s">
        <v>23490</v>
      </c>
      <c r="D10225" t="str">
        <f>HYPERLINK("https://rhld.insurance.arkansas.gov/NPILookup?Npi=1154964559","1154964559")</f>
        <v>1154964559</v>
      </c>
      <c r="E10225" t="s">
        <v>17878</v>
      </c>
    </row>
    <row r="10226" spans="1:5" x14ac:dyDescent="0.25">
      <c r="A10226" t="s">
        <v>2</v>
      </c>
      <c r="B10226" t="s">
        <v>3458</v>
      </c>
      <c r="C10226" t="s">
        <v>23490</v>
      </c>
      <c r="D10226" t="str">
        <f>HYPERLINK("https://rhld.insurance.arkansas.gov/NPILookup?Npi=1154994911","1154994911")</f>
        <v>1154994911</v>
      </c>
      <c r="E10226" t="s">
        <v>19479</v>
      </c>
    </row>
    <row r="10227" spans="1:5" x14ac:dyDescent="0.25">
      <c r="A10227" t="s">
        <v>2</v>
      </c>
      <c r="B10227" t="s">
        <v>3458</v>
      </c>
      <c r="C10227" t="s">
        <v>23490</v>
      </c>
      <c r="D10227" t="str">
        <f>HYPERLINK("https://rhld.insurance.arkansas.gov/NPILookup?Npi=1164044228","1164044228")</f>
        <v>1164044228</v>
      </c>
      <c r="E10227" t="s">
        <v>17880</v>
      </c>
    </row>
    <row r="10228" spans="1:5" x14ac:dyDescent="0.25">
      <c r="A10228" t="s">
        <v>2</v>
      </c>
      <c r="B10228" t="s">
        <v>3458</v>
      </c>
      <c r="C10228" t="s">
        <v>23490</v>
      </c>
      <c r="D10228" t="str">
        <f>HYPERLINK("https://rhld.insurance.arkansas.gov/NPILookup?Npi=1164048088","1164048088")</f>
        <v>1164048088</v>
      </c>
      <c r="E10228" t="s">
        <v>17394</v>
      </c>
    </row>
    <row r="10229" spans="1:5" x14ac:dyDescent="0.25">
      <c r="A10229" t="s">
        <v>2</v>
      </c>
      <c r="B10229" t="s">
        <v>3458</v>
      </c>
      <c r="C10229" t="s">
        <v>23490</v>
      </c>
      <c r="D10229" t="str">
        <f>HYPERLINK("https://rhld.insurance.arkansas.gov/NPILookup?Npi=1164052742","1164052742")</f>
        <v>1164052742</v>
      </c>
      <c r="E10229" t="s">
        <v>17395</v>
      </c>
    </row>
    <row r="10230" spans="1:5" x14ac:dyDescent="0.25">
      <c r="A10230" t="s">
        <v>2</v>
      </c>
      <c r="B10230" t="s">
        <v>3458</v>
      </c>
      <c r="C10230" t="s">
        <v>23490</v>
      </c>
      <c r="D10230" t="str">
        <f>HYPERLINK("https://rhld.insurance.arkansas.gov/NPILookup?Npi=1164081337","1164081337")</f>
        <v>1164081337</v>
      </c>
      <c r="E10230" t="s">
        <v>18686</v>
      </c>
    </row>
    <row r="10231" spans="1:5" x14ac:dyDescent="0.25">
      <c r="A10231" t="s">
        <v>2</v>
      </c>
      <c r="B10231" t="s">
        <v>3458</v>
      </c>
      <c r="C10231" t="s">
        <v>23490</v>
      </c>
      <c r="D10231" t="str">
        <f>HYPERLINK("https://rhld.insurance.arkansas.gov/NPILookup?Npi=1164086559","1164086559")</f>
        <v>1164086559</v>
      </c>
      <c r="E10231" t="s">
        <v>21488</v>
      </c>
    </row>
    <row r="10232" spans="1:5" x14ac:dyDescent="0.25">
      <c r="A10232" t="s">
        <v>2</v>
      </c>
      <c r="B10232" t="s">
        <v>3458</v>
      </c>
      <c r="C10232" t="s">
        <v>23490</v>
      </c>
      <c r="D10232" t="str">
        <f>HYPERLINK("https://rhld.insurance.arkansas.gov/NPILookup?Npi=1164098216","1164098216")</f>
        <v>1164098216</v>
      </c>
      <c r="E10232" t="s">
        <v>19480</v>
      </c>
    </row>
    <row r="10233" spans="1:5" x14ac:dyDescent="0.25">
      <c r="A10233" t="s">
        <v>2</v>
      </c>
      <c r="B10233" t="s">
        <v>3458</v>
      </c>
      <c r="C10233" t="s">
        <v>8427</v>
      </c>
      <c r="D10233" t="str">
        <f>HYPERLINK("https://rhld.insurance.arkansas.gov/NPILookup?Npi=1164125795","1164125795")</f>
        <v>1164125795</v>
      </c>
      <c r="E10233" t="s">
        <v>22901</v>
      </c>
    </row>
    <row r="10234" spans="1:5" x14ac:dyDescent="0.25">
      <c r="A10234" t="s">
        <v>2</v>
      </c>
      <c r="B10234" t="s">
        <v>3458</v>
      </c>
      <c r="C10234" t="s">
        <v>23490</v>
      </c>
      <c r="D10234" t="str">
        <f>HYPERLINK("https://rhld.insurance.arkansas.gov/NPILookup?Npi=1164175303","1164175303")</f>
        <v>1164175303</v>
      </c>
      <c r="E10234" t="s">
        <v>21489</v>
      </c>
    </row>
    <row r="10235" spans="1:5" x14ac:dyDescent="0.25">
      <c r="A10235" t="s">
        <v>2</v>
      </c>
      <c r="B10235" t="s">
        <v>3458</v>
      </c>
      <c r="C10235" t="s">
        <v>23490</v>
      </c>
      <c r="D10235" t="str">
        <f>HYPERLINK("https://rhld.insurance.arkansas.gov/NPILookup?Npi=1164189411","1164189411")</f>
        <v>1164189411</v>
      </c>
      <c r="E10235" t="s">
        <v>20904</v>
      </c>
    </row>
    <row r="10236" spans="1:5" x14ac:dyDescent="0.25">
      <c r="A10236" t="s">
        <v>2</v>
      </c>
      <c r="B10236" t="s">
        <v>3458</v>
      </c>
      <c r="C10236" t="s">
        <v>23490</v>
      </c>
      <c r="D10236" t="str">
        <f>HYPERLINK("https://rhld.insurance.arkansas.gov/NPILookup?Npi=1164401832","1164401832")</f>
        <v>1164401832</v>
      </c>
      <c r="E10236" t="s">
        <v>10697</v>
      </c>
    </row>
    <row r="10237" spans="1:5" x14ac:dyDescent="0.25">
      <c r="A10237" t="s">
        <v>2</v>
      </c>
      <c r="B10237" t="s">
        <v>3458</v>
      </c>
      <c r="C10237" t="s">
        <v>23490</v>
      </c>
      <c r="D10237" t="str">
        <f>HYPERLINK("https://rhld.insurance.arkansas.gov/NPILookup?Npi=1164410353","1164410353")</f>
        <v>1164410353</v>
      </c>
      <c r="E10237" t="s">
        <v>568</v>
      </c>
    </row>
    <row r="10238" spans="1:5" x14ac:dyDescent="0.25">
      <c r="A10238" t="s">
        <v>2</v>
      </c>
      <c r="B10238" t="s">
        <v>3458</v>
      </c>
      <c r="C10238" t="s">
        <v>23490</v>
      </c>
      <c r="D10238" t="str">
        <f>HYPERLINK("https://rhld.insurance.arkansas.gov/NPILookup?Npi=1164416368","1164416368")</f>
        <v>1164416368</v>
      </c>
      <c r="E10238" t="s">
        <v>569</v>
      </c>
    </row>
    <row r="10239" spans="1:5" x14ac:dyDescent="0.25">
      <c r="A10239" t="s">
        <v>2</v>
      </c>
      <c r="B10239" t="s">
        <v>3458</v>
      </c>
      <c r="C10239" t="s">
        <v>23490</v>
      </c>
      <c r="D10239" t="str">
        <f>HYPERLINK("https://rhld.insurance.arkansas.gov/NPILookup?Npi=1164418679","1164418679")</f>
        <v>1164418679</v>
      </c>
      <c r="E10239" t="s">
        <v>570</v>
      </c>
    </row>
    <row r="10240" spans="1:5" x14ac:dyDescent="0.25">
      <c r="A10240" t="s">
        <v>2</v>
      </c>
      <c r="B10240" t="s">
        <v>3458</v>
      </c>
      <c r="C10240" t="s">
        <v>23490</v>
      </c>
      <c r="D10240" t="str">
        <f>HYPERLINK("https://rhld.insurance.arkansas.gov/NPILookup?Npi=1164420501","1164420501")</f>
        <v>1164420501</v>
      </c>
      <c r="E10240" t="s">
        <v>13394</v>
      </c>
    </row>
    <row r="10241" spans="1:5" x14ac:dyDescent="0.25">
      <c r="A10241" t="s">
        <v>2</v>
      </c>
      <c r="B10241" t="s">
        <v>3458</v>
      </c>
      <c r="C10241" t="s">
        <v>23490</v>
      </c>
      <c r="D10241" t="str">
        <f>HYPERLINK("https://rhld.insurance.arkansas.gov/NPILookup?Npi=1164422663","1164422663")</f>
        <v>1164422663</v>
      </c>
      <c r="E10241" t="s">
        <v>10698</v>
      </c>
    </row>
    <row r="10242" spans="1:5" x14ac:dyDescent="0.25">
      <c r="A10242" t="s">
        <v>2</v>
      </c>
      <c r="B10242" t="s">
        <v>3458</v>
      </c>
      <c r="C10242" t="s">
        <v>23490</v>
      </c>
      <c r="D10242" t="str">
        <f>HYPERLINK("https://rhld.insurance.arkansas.gov/NPILookup?Npi=1164429981","1164429981")</f>
        <v>1164429981</v>
      </c>
      <c r="E10242" t="s">
        <v>571</v>
      </c>
    </row>
    <row r="10243" spans="1:5" x14ac:dyDescent="0.25">
      <c r="A10243" t="s">
        <v>2</v>
      </c>
      <c r="B10243" t="s">
        <v>3458</v>
      </c>
      <c r="C10243" t="s">
        <v>23490</v>
      </c>
      <c r="D10243" t="str">
        <f>HYPERLINK("https://rhld.insurance.arkansas.gov/NPILookup?Npi=1164442034","1164442034")</f>
        <v>1164442034</v>
      </c>
      <c r="E10243" t="s">
        <v>3552</v>
      </c>
    </row>
    <row r="10244" spans="1:5" x14ac:dyDescent="0.25">
      <c r="A10244" t="s">
        <v>2</v>
      </c>
      <c r="B10244" t="s">
        <v>3458</v>
      </c>
      <c r="C10244" t="s">
        <v>23490</v>
      </c>
      <c r="D10244" t="str">
        <f>HYPERLINK("https://rhld.insurance.arkansas.gov/NPILookup?Npi=1164448858","1164448858")</f>
        <v>1164448858</v>
      </c>
      <c r="E10244" t="s">
        <v>574</v>
      </c>
    </row>
    <row r="10245" spans="1:5" x14ac:dyDescent="0.25">
      <c r="A10245" t="s">
        <v>2</v>
      </c>
      <c r="B10245" t="s">
        <v>3458</v>
      </c>
      <c r="C10245" t="s">
        <v>23490</v>
      </c>
      <c r="D10245" t="str">
        <f>HYPERLINK("https://rhld.insurance.arkansas.gov/NPILookup?Npi=1164450730","1164450730")</f>
        <v>1164450730</v>
      </c>
      <c r="E10245" t="s">
        <v>14826</v>
      </c>
    </row>
    <row r="10246" spans="1:5" x14ac:dyDescent="0.25">
      <c r="A10246" t="s">
        <v>2</v>
      </c>
      <c r="B10246" t="s">
        <v>3458</v>
      </c>
      <c r="C10246" t="s">
        <v>23490</v>
      </c>
      <c r="D10246" t="str">
        <f>HYPERLINK("https://rhld.insurance.arkansas.gov/NPILookup?Npi=1164462602","1164462602")</f>
        <v>1164462602</v>
      </c>
      <c r="E10246" t="s">
        <v>14827</v>
      </c>
    </row>
    <row r="10247" spans="1:5" x14ac:dyDescent="0.25">
      <c r="A10247" t="s">
        <v>2</v>
      </c>
      <c r="B10247" t="s">
        <v>3458</v>
      </c>
      <c r="C10247" t="s">
        <v>23490</v>
      </c>
      <c r="D10247" t="str">
        <f>HYPERLINK("https://rhld.insurance.arkansas.gov/NPILookup?Npi=1164466603","1164466603")</f>
        <v>1164466603</v>
      </c>
      <c r="E10247" t="s">
        <v>576</v>
      </c>
    </row>
    <row r="10248" spans="1:5" x14ac:dyDescent="0.25">
      <c r="A10248" t="s">
        <v>2</v>
      </c>
      <c r="B10248" t="s">
        <v>3458</v>
      </c>
      <c r="C10248" t="s">
        <v>23490</v>
      </c>
      <c r="D10248" t="str">
        <f>HYPERLINK("https://rhld.insurance.arkansas.gov/NPILookup?Npi=1164467379","1164467379")</f>
        <v>1164467379</v>
      </c>
      <c r="E10248" t="s">
        <v>15817</v>
      </c>
    </row>
    <row r="10249" spans="1:5" x14ac:dyDescent="0.25">
      <c r="A10249" t="s">
        <v>2</v>
      </c>
      <c r="B10249" t="s">
        <v>3458</v>
      </c>
      <c r="C10249" t="s">
        <v>23490</v>
      </c>
      <c r="D10249" t="str">
        <f>HYPERLINK("https://rhld.insurance.arkansas.gov/NPILookup?Npi=1164472908","1164472908")</f>
        <v>1164472908</v>
      </c>
      <c r="E10249" t="s">
        <v>578</v>
      </c>
    </row>
    <row r="10250" spans="1:5" x14ac:dyDescent="0.25">
      <c r="A10250" t="s">
        <v>2</v>
      </c>
      <c r="B10250" t="s">
        <v>3458</v>
      </c>
      <c r="C10250" t="s">
        <v>23490</v>
      </c>
      <c r="D10250" t="str">
        <f>HYPERLINK("https://rhld.insurance.arkansas.gov/NPILookup?Npi=1164480109","1164480109")</f>
        <v>1164480109</v>
      </c>
      <c r="E10250" t="s">
        <v>14828</v>
      </c>
    </row>
    <row r="10251" spans="1:5" x14ac:dyDescent="0.25">
      <c r="A10251" t="s">
        <v>2</v>
      </c>
      <c r="B10251" t="s">
        <v>3458</v>
      </c>
      <c r="C10251" t="s">
        <v>23490</v>
      </c>
      <c r="D10251" t="str">
        <f>HYPERLINK("https://rhld.insurance.arkansas.gov/NPILookup?Npi=1164482162","1164482162")</f>
        <v>1164482162</v>
      </c>
      <c r="E10251" t="s">
        <v>579</v>
      </c>
    </row>
    <row r="10252" spans="1:5" x14ac:dyDescent="0.25">
      <c r="A10252" t="s">
        <v>2</v>
      </c>
      <c r="B10252" t="s">
        <v>3458</v>
      </c>
      <c r="C10252" t="s">
        <v>23490</v>
      </c>
      <c r="D10252" t="str">
        <f>HYPERLINK("https://rhld.insurance.arkansas.gov/NPILookup?Npi=1164482592","1164482592")</f>
        <v>1164482592</v>
      </c>
      <c r="E10252" t="s">
        <v>580</v>
      </c>
    </row>
    <row r="10253" spans="1:5" x14ac:dyDescent="0.25">
      <c r="A10253" t="s">
        <v>2</v>
      </c>
      <c r="B10253" t="s">
        <v>3458</v>
      </c>
      <c r="C10253" t="s">
        <v>23490</v>
      </c>
      <c r="D10253" t="str">
        <f>HYPERLINK("https://rhld.insurance.arkansas.gov/NPILookup?Npi=1164487146","1164487146")</f>
        <v>1164487146</v>
      </c>
      <c r="E10253" t="s">
        <v>582</v>
      </c>
    </row>
    <row r="10254" spans="1:5" x14ac:dyDescent="0.25">
      <c r="A10254" t="s">
        <v>2</v>
      </c>
      <c r="B10254" t="s">
        <v>3458</v>
      </c>
      <c r="C10254" t="s">
        <v>23490</v>
      </c>
      <c r="D10254" t="str">
        <f>HYPERLINK("https://rhld.insurance.arkansas.gov/NPILookup?Npi=1164496105","1164496105")</f>
        <v>1164496105</v>
      </c>
      <c r="E10254" t="s">
        <v>583</v>
      </c>
    </row>
    <row r="10255" spans="1:5" x14ac:dyDescent="0.25">
      <c r="A10255" t="s">
        <v>2</v>
      </c>
      <c r="B10255" t="s">
        <v>3458</v>
      </c>
      <c r="C10255" t="s">
        <v>23490</v>
      </c>
      <c r="D10255" t="str">
        <f>HYPERLINK("https://rhld.insurance.arkansas.gov/NPILookup?Npi=1164497327","1164497327")</f>
        <v>1164497327</v>
      </c>
      <c r="E10255" t="s">
        <v>22902</v>
      </c>
    </row>
    <row r="10256" spans="1:5" x14ac:dyDescent="0.25">
      <c r="A10256" t="s">
        <v>2</v>
      </c>
      <c r="B10256" t="s">
        <v>3458</v>
      </c>
      <c r="C10256" t="s">
        <v>23490</v>
      </c>
      <c r="D10256" t="str">
        <f>HYPERLINK("https://rhld.insurance.arkansas.gov/NPILookup?Npi=1164499935","1164499935")</f>
        <v>1164499935</v>
      </c>
      <c r="E10256" t="s">
        <v>584</v>
      </c>
    </row>
    <row r="10257" spans="1:5" x14ac:dyDescent="0.25">
      <c r="A10257" t="s">
        <v>2</v>
      </c>
      <c r="B10257" t="s">
        <v>3458</v>
      </c>
      <c r="C10257" t="s">
        <v>23490</v>
      </c>
      <c r="D10257" t="str">
        <f>HYPERLINK("https://rhld.insurance.arkansas.gov/NPILookup?Npi=1164504890","1164504890")</f>
        <v>1164504890</v>
      </c>
      <c r="E10257" t="s">
        <v>20905</v>
      </c>
    </row>
    <row r="10258" spans="1:5" x14ac:dyDescent="0.25">
      <c r="A10258" t="s">
        <v>2</v>
      </c>
      <c r="B10258" t="s">
        <v>3458</v>
      </c>
      <c r="C10258" t="s">
        <v>23490</v>
      </c>
      <c r="D10258" t="str">
        <f>HYPERLINK("https://rhld.insurance.arkansas.gov/NPILookup?Npi=1164509766","1164509766")</f>
        <v>1164509766</v>
      </c>
      <c r="E10258" t="s">
        <v>14829</v>
      </c>
    </row>
    <row r="10259" spans="1:5" x14ac:dyDescent="0.25">
      <c r="A10259" t="s">
        <v>2</v>
      </c>
      <c r="B10259" t="s">
        <v>3458</v>
      </c>
      <c r="C10259" t="s">
        <v>23490</v>
      </c>
      <c r="D10259" t="str">
        <f>HYPERLINK("https://rhld.insurance.arkansas.gov/NPILookup?Npi=1164511085","1164511085")</f>
        <v>1164511085</v>
      </c>
      <c r="E10259" t="s">
        <v>3553</v>
      </c>
    </row>
    <row r="10260" spans="1:5" x14ac:dyDescent="0.25">
      <c r="A10260" t="s">
        <v>2</v>
      </c>
      <c r="B10260" t="s">
        <v>3458</v>
      </c>
      <c r="C10260" t="s">
        <v>23490</v>
      </c>
      <c r="D10260" t="str">
        <f>HYPERLINK("https://rhld.insurance.arkansas.gov/NPILookup?Npi=1164519211","1164519211")</f>
        <v>1164519211</v>
      </c>
      <c r="E10260" t="s">
        <v>8520</v>
      </c>
    </row>
    <row r="10261" spans="1:5" x14ac:dyDescent="0.25">
      <c r="A10261" t="s">
        <v>2</v>
      </c>
      <c r="B10261" t="s">
        <v>3458</v>
      </c>
      <c r="C10261" t="s">
        <v>23490</v>
      </c>
      <c r="D10261" t="str">
        <f>HYPERLINK("https://rhld.insurance.arkansas.gov/NPILookup?Npi=1164530911","1164530911")</f>
        <v>1164530911</v>
      </c>
      <c r="E10261" t="s">
        <v>585</v>
      </c>
    </row>
    <row r="10262" spans="1:5" x14ac:dyDescent="0.25">
      <c r="A10262" t="s">
        <v>2</v>
      </c>
      <c r="B10262" t="s">
        <v>3458</v>
      </c>
      <c r="C10262" t="s">
        <v>23490</v>
      </c>
      <c r="D10262" t="str">
        <f>HYPERLINK("https://rhld.insurance.arkansas.gov/NPILookup?Npi=1164534491","1164534491")</f>
        <v>1164534491</v>
      </c>
      <c r="E10262" t="s">
        <v>586</v>
      </c>
    </row>
    <row r="10263" spans="1:5" x14ac:dyDescent="0.25">
      <c r="A10263" t="s">
        <v>2</v>
      </c>
      <c r="B10263" t="s">
        <v>3458</v>
      </c>
      <c r="C10263" t="s">
        <v>23490</v>
      </c>
      <c r="D10263" t="str">
        <f>HYPERLINK("https://rhld.insurance.arkansas.gov/NPILookup?Npi=1164539599","1164539599")</f>
        <v>1164539599</v>
      </c>
      <c r="E10263" t="s">
        <v>14830</v>
      </c>
    </row>
    <row r="10264" spans="1:5" x14ac:dyDescent="0.25">
      <c r="A10264" t="s">
        <v>2</v>
      </c>
      <c r="B10264" t="s">
        <v>3458</v>
      </c>
      <c r="C10264" t="s">
        <v>23490</v>
      </c>
      <c r="D10264" t="str">
        <f>HYPERLINK("https://rhld.insurance.arkansas.gov/NPILookup?Npi=1164544045","1164544045")</f>
        <v>1164544045</v>
      </c>
      <c r="E10264" t="s">
        <v>587</v>
      </c>
    </row>
    <row r="10265" spans="1:5" x14ac:dyDescent="0.25">
      <c r="A10265" t="s">
        <v>2</v>
      </c>
      <c r="B10265" t="s">
        <v>3458</v>
      </c>
      <c r="C10265" t="s">
        <v>23490</v>
      </c>
      <c r="D10265" t="str">
        <f>HYPERLINK("https://rhld.insurance.arkansas.gov/NPILookup?Npi=1164556460","1164556460")</f>
        <v>1164556460</v>
      </c>
      <c r="E10265" t="s">
        <v>588</v>
      </c>
    </row>
    <row r="10266" spans="1:5" x14ac:dyDescent="0.25">
      <c r="A10266" t="s">
        <v>2</v>
      </c>
      <c r="B10266" t="s">
        <v>3458</v>
      </c>
      <c r="C10266" t="s">
        <v>23490</v>
      </c>
      <c r="D10266" t="str">
        <f>HYPERLINK("https://rhld.insurance.arkansas.gov/NPILookup?Npi=1164580668","1164580668")</f>
        <v>1164580668</v>
      </c>
      <c r="E10266" t="s">
        <v>3554</v>
      </c>
    </row>
    <row r="10267" spans="1:5" x14ac:dyDescent="0.25">
      <c r="A10267" t="s">
        <v>2</v>
      </c>
      <c r="B10267" t="s">
        <v>3458</v>
      </c>
      <c r="C10267" t="s">
        <v>23490</v>
      </c>
      <c r="D10267" t="str">
        <f>HYPERLINK("https://rhld.insurance.arkansas.gov/NPILookup?Npi=1164595922","1164595922")</f>
        <v>1164595922</v>
      </c>
      <c r="E10267" t="s">
        <v>3555</v>
      </c>
    </row>
    <row r="10268" spans="1:5" x14ac:dyDescent="0.25">
      <c r="A10268" t="s">
        <v>2</v>
      </c>
      <c r="B10268" t="s">
        <v>3458</v>
      </c>
      <c r="C10268" t="s">
        <v>23490</v>
      </c>
      <c r="D10268" t="str">
        <f>HYPERLINK("https://rhld.insurance.arkansas.gov/NPILookup?Npi=1164608519","1164608519")</f>
        <v>1164608519</v>
      </c>
      <c r="E10268" t="s">
        <v>590</v>
      </c>
    </row>
    <row r="10269" spans="1:5" x14ac:dyDescent="0.25">
      <c r="A10269" t="s">
        <v>2</v>
      </c>
      <c r="B10269" t="s">
        <v>3458</v>
      </c>
      <c r="C10269" t="s">
        <v>23490</v>
      </c>
      <c r="D10269" t="str">
        <f>HYPERLINK("https://rhld.insurance.arkansas.gov/NPILookup?Npi=1164656294","1164656294")</f>
        <v>1164656294</v>
      </c>
      <c r="E10269" t="s">
        <v>591</v>
      </c>
    </row>
    <row r="10270" spans="1:5" x14ac:dyDescent="0.25">
      <c r="A10270" t="s">
        <v>2</v>
      </c>
      <c r="B10270" t="s">
        <v>3458</v>
      </c>
      <c r="C10270" t="s">
        <v>23490</v>
      </c>
      <c r="D10270" t="str">
        <f>HYPERLINK("https://rhld.insurance.arkansas.gov/NPILookup?Npi=1164661591","1164661591")</f>
        <v>1164661591</v>
      </c>
      <c r="E10270" t="s">
        <v>14831</v>
      </c>
    </row>
    <row r="10271" spans="1:5" x14ac:dyDescent="0.25">
      <c r="A10271" t="s">
        <v>2</v>
      </c>
      <c r="B10271" t="s">
        <v>3458</v>
      </c>
      <c r="C10271" t="s">
        <v>23490</v>
      </c>
      <c r="D10271" t="str">
        <f>HYPERLINK("https://rhld.insurance.arkansas.gov/NPILookup?Npi=1164664066","1164664066")</f>
        <v>1164664066</v>
      </c>
      <c r="E10271" t="s">
        <v>592</v>
      </c>
    </row>
    <row r="10272" spans="1:5" x14ac:dyDescent="0.25">
      <c r="A10272" t="s">
        <v>2</v>
      </c>
      <c r="B10272" t="s">
        <v>3458</v>
      </c>
      <c r="C10272" t="s">
        <v>23490</v>
      </c>
      <c r="D10272" t="str">
        <f>HYPERLINK("https://rhld.insurance.arkansas.gov/NPILookup?Npi=1164664116","1164664116")</f>
        <v>1164664116</v>
      </c>
      <c r="E10272" t="s">
        <v>14832</v>
      </c>
    </row>
    <row r="10273" spans="1:5" x14ac:dyDescent="0.25">
      <c r="A10273" t="s">
        <v>2</v>
      </c>
      <c r="B10273" t="s">
        <v>3458</v>
      </c>
      <c r="C10273" t="s">
        <v>23490</v>
      </c>
      <c r="D10273" t="str">
        <f>HYPERLINK("https://rhld.insurance.arkansas.gov/NPILookup?Npi=1164665832","1164665832")</f>
        <v>1164665832</v>
      </c>
      <c r="E10273" t="s">
        <v>593</v>
      </c>
    </row>
    <row r="10274" spans="1:5" x14ac:dyDescent="0.25">
      <c r="A10274" t="s">
        <v>2</v>
      </c>
      <c r="B10274" t="s">
        <v>3458</v>
      </c>
      <c r="C10274" t="s">
        <v>23490</v>
      </c>
      <c r="D10274" t="str">
        <f>HYPERLINK("https://rhld.insurance.arkansas.gov/NPILookup?Npi=1164675518","1164675518")</f>
        <v>1164675518</v>
      </c>
      <c r="E10274" t="s">
        <v>594</v>
      </c>
    </row>
    <row r="10275" spans="1:5" x14ac:dyDescent="0.25">
      <c r="A10275" t="s">
        <v>2</v>
      </c>
      <c r="B10275" t="s">
        <v>3458</v>
      </c>
      <c r="C10275" t="s">
        <v>23490</v>
      </c>
      <c r="D10275" t="str">
        <f>HYPERLINK("https://rhld.insurance.arkansas.gov/NPILookup?Npi=1164715512","1164715512")</f>
        <v>1164715512</v>
      </c>
      <c r="E10275" t="s">
        <v>10699</v>
      </c>
    </row>
    <row r="10276" spans="1:5" x14ac:dyDescent="0.25">
      <c r="A10276" t="s">
        <v>2</v>
      </c>
      <c r="B10276" t="s">
        <v>3458</v>
      </c>
      <c r="C10276" t="s">
        <v>23490</v>
      </c>
      <c r="D10276" t="str">
        <f>HYPERLINK("https://rhld.insurance.arkansas.gov/NPILookup?Npi=1164728739","1164728739")</f>
        <v>1164728739</v>
      </c>
      <c r="E10276" t="s">
        <v>12786</v>
      </c>
    </row>
    <row r="10277" spans="1:5" x14ac:dyDescent="0.25">
      <c r="A10277" t="s">
        <v>2</v>
      </c>
      <c r="B10277" t="s">
        <v>3458</v>
      </c>
      <c r="C10277" t="s">
        <v>23490</v>
      </c>
      <c r="D10277" t="str">
        <f>HYPERLINK("https://rhld.insurance.arkansas.gov/NPILookup?Npi=1164739314","1164739314")</f>
        <v>1164739314</v>
      </c>
      <c r="E10277" t="s">
        <v>13396</v>
      </c>
    </row>
    <row r="10278" spans="1:5" x14ac:dyDescent="0.25">
      <c r="A10278" t="s">
        <v>2</v>
      </c>
      <c r="B10278" t="s">
        <v>3458</v>
      </c>
      <c r="C10278" t="s">
        <v>23490</v>
      </c>
      <c r="D10278" t="str">
        <f>HYPERLINK("https://rhld.insurance.arkansas.gov/NPILookup?Npi=1164740452","1164740452")</f>
        <v>1164740452</v>
      </c>
      <c r="E10278" t="s">
        <v>597</v>
      </c>
    </row>
    <row r="10279" spans="1:5" x14ac:dyDescent="0.25">
      <c r="A10279" t="s">
        <v>2</v>
      </c>
      <c r="B10279" t="s">
        <v>3458</v>
      </c>
      <c r="C10279" t="s">
        <v>23490</v>
      </c>
      <c r="D10279" t="str">
        <f>HYPERLINK("https://rhld.insurance.arkansas.gov/NPILookup?Npi=1164745998","1164745998")</f>
        <v>1164745998</v>
      </c>
      <c r="E10279" t="s">
        <v>598</v>
      </c>
    </row>
    <row r="10280" spans="1:5" x14ac:dyDescent="0.25">
      <c r="A10280" t="s">
        <v>2</v>
      </c>
      <c r="B10280" t="s">
        <v>3458</v>
      </c>
      <c r="C10280" t="s">
        <v>23490</v>
      </c>
      <c r="D10280" t="str">
        <f>HYPERLINK("https://rhld.insurance.arkansas.gov/NPILookup?Npi=1164748315","1164748315")</f>
        <v>1164748315</v>
      </c>
      <c r="E10280" t="s">
        <v>20229</v>
      </c>
    </row>
    <row r="10281" spans="1:5" x14ac:dyDescent="0.25">
      <c r="A10281" t="s">
        <v>2</v>
      </c>
      <c r="B10281" t="s">
        <v>3458</v>
      </c>
      <c r="C10281" t="s">
        <v>23490</v>
      </c>
      <c r="D10281" t="str">
        <f>HYPERLINK("https://rhld.insurance.arkansas.gov/NPILookup?Npi=1164758496","1164758496")</f>
        <v>1164758496</v>
      </c>
      <c r="E10281" t="s">
        <v>10700</v>
      </c>
    </row>
    <row r="10282" spans="1:5" x14ac:dyDescent="0.25">
      <c r="A10282" t="s">
        <v>2</v>
      </c>
      <c r="B10282" t="s">
        <v>3458</v>
      </c>
      <c r="C10282" t="s">
        <v>23490</v>
      </c>
      <c r="D10282" t="str">
        <f>HYPERLINK("https://rhld.insurance.arkansas.gov/NPILookup?Npi=1164804209","1164804209")</f>
        <v>1164804209</v>
      </c>
      <c r="E10282" t="s">
        <v>600</v>
      </c>
    </row>
    <row r="10283" spans="1:5" x14ac:dyDescent="0.25">
      <c r="A10283" t="s">
        <v>2</v>
      </c>
      <c r="B10283" t="s">
        <v>3458</v>
      </c>
      <c r="C10283" t="s">
        <v>23490</v>
      </c>
      <c r="D10283" t="str">
        <f>HYPERLINK("https://rhld.insurance.arkansas.gov/NPILookup?Npi=1164832085","1164832085")</f>
        <v>1164832085</v>
      </c>
      <c r="E10283" t="s">
        <v>8521</v>
      </c>
    </row>
    <row r="10284" spans="1:5" x14ac:dyDescent="0.25">
      <c r="A10284" t="s">
        <v>2</v>
      </c>
      <c r="B10284" t="s">
        <v>3458</v>
      </c>
      <c r="C10284" t="s">
        <v>23490</v>
      </c>
      <c r="D10284" t="str">
        <f>HYPERLINK("https://rhld.insurance.arkansas.gov/NPILookup?Npi=1164836862","1164836862")</f>
        <v>1164836862</v>
      </c>
      <c r="E10284" t="s">
        <v>18687</v>
      </c>
    </row>
    <row r="10285" spans="1:5" x14ac:dyDescent="0.25">
      <c r="A10285" t="s">
        <v>2</v>
      </c>
      <c r="B10285" t="s">
        <v>3458</v>
      </c>
      <c r="C10285" t="s">
        <v>23490</v>
      </c>
      <c r="D10285" t="str">
        <f>HYPERLINK("https://rhld.insurance.arkansas.gov/NPILookup?Npi=1164845814","1164845814")</f>
        <v>1164845814</v>
      </c>
      <c r="E10285" t="s">
        <v>21490</v>
      </c>
    </row>
    <row r="10286" spans="1:5" x14ac:dyDescent="0.25">
      <c r="A10286" t="s">
        <v>2</v>
      </c>
      <c r="B10286" t="s">
        <v>3458</v>
      </c>
      <c r="C10286" t="s">
        <v>23490</v>
      </c>
      <c r="D10286" t="str">
        <f>HYPERLINK("https://rhld.insurance.arkansas.gov/NPILookup?Npi=1164846119","1164846119")</f>
        <v>1164846119</v>
      </c>
      <c r="E10286" t="s">
        <v>8522</v>
      </c>
    </row>
    <row r="10287" spans="1:5" x14ac:dyDescent="0.25">
      <c r="A10287" t="s">
        <v>2</v>
      </c>
      <c r="B10287" t="s">
        <v>3458</v>
      </c>
      <c r="C10287" t="s">
        <v>23490</v>
      </c>
      <c r="D10287" t="str">
        <f>HYPERLINK("https://rhld.insurance.arkansas.gov/NPILookup?Npi=1164862637","1164862637")</f>
        <v>1164862637</v>
      </c>
      <c r="E10287" t="s">
        <v>19481</v>
      </c>
    </row>
    <row r="10288" spans="1:5" x14ac:dyDescent="0.25">
      <c r="A10288" t="s">
        <v>2</v>
      </c>
      <c r="B10288" t="s">
        <v>3458</v>
      </c>
      <c r="C10288" t="s">
        <v>23490</v>
      </c>
      <c r="D10288" t="str">
        <f>HYPERLINK("https://rhld.insurance.arkansas.gov/NPILookup?Npi=1164869988","1164869988")</f>
        <v>1164869988</v>
      </c>
      <c r="E10288" t="s">
        <v>17882</v>
      </c>
    </row>
    <row r="10289" spans="1:5" x14ac:dyDescent="0.25">
      <c r="A10289" t="s">
        <v>2</v>
      </c>
      <c r="B10289" t="s">
        <v>3458</v>
      </c>
      <c r="C10289" t="s">
        <v>23490</v>
      </c>
      <c r="D10289" t="str">
        <f>HYPERLINK("https://rhld.insurance.arkansas.gov/NPILookup?Npi=1164873360","1164873360")</f>
        <v>1164873360</v>
      </c>
      <c r="E10289" t="s">
        <v>14833</v>
      </c>
    </row>
    <row r="10290" spans="1:5" x14ac:dyDescent="0.25">
      <c r="A10290" t="s">
        <v>2</v>
      </c>
      <c r="B10290" t="s">
        <v>3458</v>
      </c>
      <c r="C10290" t="s">
        <v>23490</v>
      </c>
      <c r="D10290" t="str">
        <f>HYPERLINK("https://rhld.insurance.arkansas.gov/NPILookup?Npi=1164889002","1164889002")</f>
        <v>1164889002</v>
      </c>
      <c r="E10290" t="s">
        <v>22903</v>
      </c>
    </row>
    <row r="10291" spans="1:5" x14ac:dyDescent="0.25">
      <c r="A10291" t="s">
        <v>2</v>
      </c>
      <c r="B10291" t="s">
        <v>3458</v>
      </c>
      <c r="C10291" t="s">
        <v>23490</v>
      </c>
      <c r="D10291" t="str">
        <f>HYPERLINK("https://rhld.insurance.arkansas.gov/NPILookup?Npi=1164897823","1164897823")</f>
        <v>1164897823</v>
      </c>
      <c r="E10291" t="s">
        <v>21491</v>
      </c>
    </row>
    <row r="10292" spans="1:5" x14ac:dyDescent="0.25">
      <c r="A10292" t="s">
        <v>2</v>
      </c>
      <c r="B10292" t="s">
        <v>3458</v>
      </c>
      <c r="C10292" t="s">
        <v>23490</v>
      </c>
      <c r="D10292" t="str">
        <f>HYPERLINK("https://rhld.insurance.arkansas.gov/NPILookup?Npi=1164907283","1164907283")</f>
        <v>1164907283</v>
      </c>
      <c r="E10292" t="s">
        <v>17396</v>
      </c>
    </row>
    <row r="10293" spans="1:5" x14ac:dyDescent="0.25">
      <c r="A10293" t="s">
        <v>2</v>
      </c>
      <c r="B10293" t="s">
        <v>3458</v>
      </c>
      <c r="C10293" t="s">
        <v>23490</v>
      </c>
      <c r="D10293" t="str">
        <f>HYPERLINK("https://rhld.insurance.arkansas.gov/NPILookup?Npi=1164908034","1164908034")</f>
        <v>1164908034</v>
      </c>
      <c r="E10293" t="s">
        <v>13397</v>
      </c>
    </row>
    <row r="10294" spans="1:5" x14ac:dyDescent="0.25">
      <c r="A10294" t="s">
        <v>2</v>
      </c>
      <c r="B10294" t="s">
        <v>3458</v>
      </c>
      <c r="C10294" t="s">
        <v>23490</v>
      </c>
      <c r="D10294" t="str">
        <f>HYPERLINK("https://rhld.insurance.arkansas.gov/NPILookup?Npi=1164910501","1164910501")</f>
        <v>1164910501</v>
      </c>
      <c r="E10294" t="s">
        <v>18688</v>
      </c>
    </row>
    <row r="10295" spans="1:5" x14ac:dyDescent="0.25">
      <c r="A10295" t="s">
        <v>2</v>
      </c>
      <c r="B10295" t="s">
        <v>3458</v>
      </c>
      <c r="C10295" t="s">
        <v>23490</v>
      </c>
      <c r="D10295" t="str">
        <f>HYPERLINK("https://rhld.insurance.arkansas.gov/NPILookup?Npi=1164917852","1164917852")</f>
        <v>1164917852</v>
      </c>
      <c r="E10295" t="s">
        <v>13398</v>
      </c>
    </row>
    <row r="10296" spans="1:5" x14ac:dyDescent="0.25">
      <c r="A10296" t="s">
        <v>2</v>
      </c>
      <c r="B10296" t="s">
        <v>3458</v>
      </c>
      <c r="C10296" t="s">
        <v>23490</v>
      </c>
      <c r="D10296" t="str">
        <f>HYPERLINK("https://rhld.insurance.arkansas.gov/NPILookup?Npi=1164923066","1164923066")</f>
        <v>1164923066</v>
      </c>
      <c r="E10296" t="s">
        <v>12787</v>
      </c>
    </row>
    <row r="10297" spans="1:5" x14ac:dyDescent="0.25">
      <c r="A10297" t="s">
        <v>2</v>
      </c>
      <c r="B10297" t="s">
        <v>3458</v>
      </c>
      <c r="C10297" t="s">
        <v>23490</v>
      </c>
      <c r="D10297" t="str">
        <f>HYPERLINK("https://rhld.insurance.arkansas.gov/NPILookup?Npi=1164951117","1164951117")</f>
        <v>1164951117</v>
      </c>
      <c r="E10297" t="s">
        <v>14835</v>
      </c>
    </row>
    <row r="10298" spans="1:5" x14ac:dyDescent="0.25">
      <c r="A10298" t="s">
        <v>2</v>
      </c>
      <c r="B10298" t="s">
        <v>3458</v>
      </c>
      <c r="C10298" t="s">
        <v>23490</v>
      </c>
      <c r="D10298" t="str">
        <f>HYPERLINK("https://rhld.insurance.arkansas.gov/NPILookup?Npi=1164956884","1164956884")</f>
        <v>1164956884</v>
      </c>
      <c r="E10298" t="s">
        <v>10703</v>
      </c>
    </row>
    <row r="10299" spans="1:5" x14ac:dyDescent="0.25">
      <c r="A10299" t="s">
        <v>2</v>
      </c>
      <c r="B10299" t="s">
        <v>3458</v>
      </c>
      <c r="C10299" t="s">
        <v>23490</v>
      </c>
      <c r="D10299" t="str">
        <f>HYPERLINK("https://rhld.insurance.arkansas.gov/NPILookup?Npi=1164958013","1164958013")</f>
        <v>1164958013</v>
      </c>
      <c r="E10299" t="s">
        <v>10704</v>
      </c>
    </row>
    <row r="10300" spans="1:5" x14ac:dyDescent="0.25">
      <c r="A10300" t="s">
        <v>2</v>
      </c>
      <c r="B10300" t="s">
        <v>3458</v>
      </c>
      <c r="C10300" t="s">
        <v>23490</v>
      </c>
      <c r="D10300" t="str">
        <f>HYPERLINK("https://rhld.insurance.arkansas.gov/NPILookup?Npi=1164978151","1164978151")</f>
        <v>1164978151</v>
      </c>
      <c r="E10300" t="s">
        <v>15818</v>
      </c>
    </row>
    <row r="10301" spans="1:5" x14ac:dyDescent="0.25">
      <c r="A10301" t="s">
        <v>2</v>
      </c>
      <c r="B10301" t="s">
        <v>3458</v>
      </c>
      <c r="C10301" t="s">
        <v>23490</v>
      </c>
      <c r="D10301" t="str">
        <f>HYPERLINK("https://rhld.insurance.arkansas.gov/NPILookup?Npi=1164998084","1164998084")</f>
        <v>1164998084</v>
      </c>
      <c r="E10301" t="s">
        <v>14836</v>
      </c>
    </row>
    <row r="10302" spans="1:5" x14ac:dyDescent="0.25">
      <c r="A10302" t="s">
        <v>2</v>
      </c>
      <c r="B10302" t="s">
        <v>3458</v>
      </c>
      <c r="C10302" t="s">
        <v>23490</v>
      </c>
      <c r="D10302" t="str">
        <f>HYPERLINK("https://rhld.insurance.arkansas.gov/NPILookup?Npi=1174001382","1174001382")</f>
        <v>1174001382</v>
      </c>
      <c r="E10302" t="s">
        <v>13399</v>
      </c>
    </row>
    <row r="10303" spans="1:5" x14ac:dyDescent="0.25">
      <c r="A10303" t="s">
        <v>2</v>
      </c>
      <c r="B10303" t="s">
        <v>3458</v>
      </c>
      <c r="C10303" t="s">
        <v>23490</v>
      </c>
      <c r="D10303" t="str">
        <f>HYPERLINK("https://rhld.insurance.arkansas.gov/NPILookup?Npi=1174028534","1174028534")</f>
        <v>1174028534</v>
      </c>
      <c r="E10303" t="s">
        <v>21719</v>
      </c>
    </row>
    <row r="10304" spans="1:5" x14ac:dyDescent="0.25">
      <c r="A10304" t="s">
        <v>2</v>
      </c>
      <c r="B10304" t="s">
        <v>3458</v>
      </c>
      <c r="C10304" t="s">
        <v>23490</v>
      </c>
      <c r="D10304" t="str">
        <f>HYPERLINK("https://rhld.insurance.arkansas.gov/NPILookup?Npi=1174041818","1174041818")</f>
        <v>1174041818</v>
      </c>
      <c r="E10304" t="s">
        <v>10706</v>
      </c>
    </row>
    <row r="10305" spans="1:5" x14ac:dyDescent="0.25">
      <c r="A10305" t="s">
        <v>2</v>
      </c>
      <c r="B10305" t="s">
        <v>3458</v>
      </c>
      <c r="C10305" t="s">
        <v>23490</v>
      </c>
      <c r="D10305" t="str">
        <f>HYPERLINK("https://rhld.insurance.arkansas.gov/NPILookup?Npi=1174044531","1174044531")</f>
        <v>1174044531</v>
      </c>
      <c r="E10305" t="s">
        <v>12788</v>
      </c>
    </row>
    <row r="10306" spans="1:5" x14ac:dyDescent="0.25">
      <c r="A10306" t="s">
        <v>2</v>
      </c>
      <c r="B10306" t="s">
        <v>3458</v>
      </c>
      <c r="C10306" t="s">
        <v>23490</v>
      </c>
      <c r="D10306" t="str">
        <f>HYPERLINK("https://rhld.insurance.arkansas.gov/NPILookup?Npi=1174046940","1174046940")</f>
        <v>1174046940</v>
      </c>
      <c r="E10306" t="s">
        <v>10707</v>
      </c>
    </row>
    <row r="10307" spans="1:5" x14ac:dyDescent="0.25">
      <c r="A10307" t="s">
        <v>2</v>
      </c>
      <c r="B10307" t="s">
        <v>3458</v>
      </c>
      <c r="C10307" t="s">
        <v>23490</v>
      </c>
      <c r="D10307" t="str">
        <f>HYPERLINK("https://rhld.insurance.arkansas.gov/NPILookup?Npi=1174048201","1174048201")</f>
        <v>1174048201</v>
      </c>
      <c r="E10307" t="s">
        <v>12789</v>
      </c>
    </row>
    <row r="10308" spans="1:5" x14ac:dyDescent="0.25">
      <c r="A10308" t="s">
        <v>2</v>
      </c>
      <c r="B10308" t="s">
        <v>3458</v>
      </c>
      <c r="C10308" t="s">
        <v>23490</v>
      </c>
      <c r="D10308" t="str">
        <f>HYPERLINK("https://rhld.insurance.arkansas.gov/NPILookup?Npi=1174057376","1174057376")</f>
        <v>1174057376</v>
      </c>
      <c r="E10308" t="s">
        <v>10709</v>
      </c>
    </row>
    <row r="10309" spans="1:5" x14ac:dyDescent="0.25">
      <c r="A10309" t="s">
        <v>2</v>
      </c>
      <c r="B10309" t="s">
        <v>3458</v>
      </c>
      <c r="C10309" t="s">
        <v>23490</v>
      </c>
      <c r="D10309" t="str">
        <f>HYPERLINK("https://rhld.insurance.arkansas.gov/NPILookup?Npi=1174075220","1174075220")</f>
        <v>1174075220</v>
      </c>
      <c r="E10309" t="s">
        <v>14837</v>
      </c>
    </row>
    <row r="10310" spans="1:5" x14ac:dyDescent="0.25">
      <c r="A10310" t="s">
        <v>2</v>
      </c>
      <c r="B10310" t="s">
        <v>3458</v>
      </c>
      <c r="C10310" t="s">
        <v>23490</v>
      </c>
      <c r="D10310" t="str">
        <f>HYPERLINK("https://rhld.insurance.arkansas.gov/NPILookup?Npi=1174085047","1174085047")</f>
        <v>1174085047</v>
      </c>
      <c r="E10310" t="s">
        <v>21720</v>
      </c>
    </row>
    <row r="10311" spans="1:5" x14ac:dyDescent="0.25">
      <c r="A10311" t="s">
        <v>2</v>
      </c>
      <c r="B10311" t="s">
        <v>3458</v>
      </c>
      <c r="C10311" t="s">
        <v>23490</v>
      </c>
      <c r="D10311" t="str">
        <f>HYPERLINK("https://rhld.insurance.arkansas.gov/NPILookup?Npi=1174122121","1174122121")</f>
        <v>1174122121</v>
      </c>
      <c r="E10311" t="s">
        <v>7426</v>
      </c>
    </row>
    <row r="10312" spans="1:5" x14ac:dyDescent="0.25">
      <c r="A10312" t="s">
        <v>2</v>
      </c>
      <c r="B10312" t="s">
        <v>3458</v>
      </c>
      <c r="C10312" t="s">
        <v>23490</v>
      </c>
      <c r="D10312" t="str">
        <f>HYPERLINK("https://rhld.insurance.arkansas.gov/NPILookup?Npi=1174132948","1174132948")</f>
        <v>1174132948</v>
      </c>
      <c r="E10312" t="s">
        <v>18689</v>
      </c>
    </row>
    <row r="10313" spans="1:5" x14ac:dyDescent="0.25">
      <c r="A10313" t="s">
        <v>2</v>
      </c>
      <c r="B10313" t="s">
        <v>3458</v>
      </c>
      <c r="C10313" t="s">
        <v>23490</v>
      </c>
      <c r="D10313" t="str">
        <f>HYPERLINK("https://rhld.insurance.arkansas.gov/NPILookup?Npi=1174134019","1174134019")</f>
        <v>1174134019</v>
      </c>
      <c r="E10313" t="s">
        <v>17397</v>
      </c>
    </row>
    <row r="10314" spans="1:5" x14ac:dyDescent="0.25">
      <c r="A10314" t="s">
        <v>2</v>
      </c>
      <c r="B10314" t="s">
        <v>3458</v>
      </c>
      <c r="C10314" t="s">
        <v>23490</v>
      </c>
      <c r="D10314" t="str">
        <f>HYPERLINK("https://rhld.insurance.arkansas.gov/NPILookup?Npi=1174157879","1174157879")</f>
        <v>1174157879</v>
      </c>
      <c r="E10314" t="s">
        <v>17885</v>
      </c>
    </row>
    <row r="10315" spans="1:5" x14ac:dyDescent="0.25">
      <c r="A10315" t="s">
        <v>2</v>
      </c>
      <c r="B10315" t="s">
        <v>3458</v>
      </c>
      <c r="C10315" t="s">
        <v>23490</v>
      </c>
      <c r="D10315" t="str">
        <f>HYPERLINK("https://rhld.insurance.arkansas.gov/NPILookup?Npi=1174160089","1174160089")</f>
        <v>1174160089</v>
      </c>
      <c r="E10315" t="s">
        <v>19488</v>
      </c>
    </row>
    <row r="10316" spans="1:5" x14ac:dyDescent="0.25">
      <c r="A10316" t="s">
        <v>2</v>
      </c>
      <c r="B10316" t="s">
        <v>3458</v>
      </c>
      <c r="C10316" t="s">
        <v>23490</v>
      </c>
      <c r="D10316" t="str">
        <f>HYPERLINK("https://rhld.insurance.arkansas.gov/NPILookup?Npi=1174256770","1174256770")</f>
        <v>1174256770</v>
      </c>
      <c r="E10316" t="s">
        <v>20906</v>
      </c>
    </row>
    <row r="10317" spans="1:5" x14ac:dyDescent="0.25">
      <c r="A10317" t="s">
        <v>2</v>
      </c>
      <c r="B10317" t="s">
        <v>3458</v>
      </c>
      <c r="C10317" t="s">
        <v>23490</v>
      </c>
      <c r="D10317" t="str">
        <f>HYPERLINK("https://rhld.insurance.arkansas.gov/NPILookup?Npi=1174259295","1174259295")</f>
        <v>1174259295</v>
      </c>
      <c r="E10317" t="s">
        <v>20907</v>
      </c>
    </row>
    <row r="10318" spans="1:5" x14ac:dyDescent="0.25">
      <c r="A10318" t="s">
        <v>2</v>
      </c>
      <c r="B10318" t="s">
        <v>3458</v>
      </c>
      <c r="C10318" t="s">
        <v>23490</v>
      </c>
      <c r="D10318" t="str">
        <f>HYPERLINK("https://rhld.insurance.arkansas.gov/NPILookup?Npi=1174294094","1174294094")</f>
        <v>1174294094</v>
      </c>
      <c r="E10318" t="s">
        <v>19489</v>
      </c>
    </row>
    <row r="10319" spans="1:5" x14ac:dyDescent="0.25">
      <c r="A10319" t="s">
        <v>2</v>
      </c>
      <c r="B10319" t="s">
        <v>3458</v>
      </c>
      <c r="C10319" t="s">
        <v>23490</v>
      </c>
      <c r="D10319" t="str">
        <f>HYPERLINK("https://rhld.insurance.arkansas.gov/NPILookup?Npi=1174298038","1174298038")</f>
        <v>1174298038</v>
      </c>
      <c r="E10319" t="s">
        <v>18690</v>
      </c>
    </row>
    <row r="10320" spans="1:5" x14ac:dyDescent="0.25">
      <c r="A10320" t="s">
        <v>2</v>
      </c>
      <c r="B10320" t="s">
        <v>3458</v>
      </c>
      <c r="C10320" t="s">
        <v>23490</v>
      </c>
      <c r="D10320" t="str">
        <f>HYPERLINK("https://rhld.insurance.arkansas.gov/NPILookup?Npi=1174501449","1174501449")</f>
        <v>1174501449</v>
      </c>
      <c r="E10320" t="s">
        <v>601</v>
      </c>
    </row>
    <row r="10321" spans="1:5" x14ac:dyDescent="0.25">
      <c r="A10321" t="s">
        <v>2</v>
      </c>
      <c r="B10321" t="s">
        <v>3458</v>
      </c>
      <c r="C10321" t="s">
        <v>23490</v>
      </c>
      <c r="D10321" t="str">
        <f>HYPERLINK("https://rhld.insurance.arkansas.gov/NPILookup?Npi=1174501563","1174501563")</f>
        <v>1174501563</v>
      </c>
      <c r="E10321" t="s">
        <v>3556</v>
      </c>
    </row>
    <row r="10322" spans="1:5" x14ac:dyDescent="0.25">
      <c r="A10322" t="s">
        <v>2</v>
      </c>
      <c r="B10322" t="s">
        <v>3458</v>
      </c>
      <c r="C10322" t="s">
        <v>23490</v>
      </c>
      <c r="D10322" t="str">
        <f>HYPERLINK("https://rhld.insurance.arkansas.gov/NPILookup?Npi=1174502710","1174502710")</f>
        <v>1174502710</v>
      </c>
      <c r="E10322" t="s">
        <v>602</v>
      </c>
    </row>
    <row r="10323" spans="1:5" x14ac:dyDescent="0.25">
      <c r="A10323" t="s">
        <v>2</v>
      </c>
      <c r="B10323" t="s">
        <v>3458</v>
      </c>
      <c r="C10323" t="s">
        <v>23490</v>
      </c>
      <c r="D10323" t="str">
        <f>HYPERLINK("https://rhld.insurance.arkansas.gov/NPILookup?Npi=1174504641","1174504641")</f>
        <v>1174504641</v>
      </c>
      <c r="E10323" t="s">
        <v>604</v>
      </c>
    </row>
    <row r="10324" spans="1:5" x14ac:dyDescent="0.25">
      <c r="A10324" t="s">
        <v>2</v>
      </c>
      <c r="B10324" t="s">
        <v>3458</v>
      </c>
      <c r="C10324" t="s">
        <v>23490</v>
      </c>
      <c r="D10324" t="str">
        <f>HYPERLINK("https://rhld.insurance.arkansas.gov/NPILookup?Npi=1174507578","1174507578")</f>
        <v>1174507578</v>
      </c>
      <c r="E10324" t="s">
        <v>18691</v>
      </c>
    </row>
    <row r="10325" spans="1:5" x14ac:dyDescent="0.25">
      <c r="A10325" t="s">
        <v>2</v>
      </c>
      <c r="B10325" t="s">
        <v>3458</v>
      </c>
      <c r="C10325" t="s">
        <v>23490</v>
      </c>
      <c r="D10325" t="str">
        <f>HYPERLINK("https://rhld.insurance.arkansas.gov/NPILookup?Npi=1174508386","1174508386")</f>
        <v>1174508386</v>
      </c>
      <c r="E10325" t="s">
        <v>605</v>
      </c>
    </row>
    <row r="10326" spans="1:5" x14ac:dyDescent="0.25">
      <c r="A10326" t="s">
        <v>2</v>
      </c>
      <c r="B10326" t="s">
        <v>3458</v>
      </c>
      <c r="C10326" t="s">
        <v>23490</v>
      </c>
      <c r="D10326" t="str">
        <f>HYPERLINK("https://rhld.insurance.arkansas.gov/NPILookup?Npi=1174510085","1174510085")</f>
        <v>1174510085</v>
      </c>
      <c r="E10326" t="s">
        <v>3557</v>
      </c>
    </row>
    <row r="10327" spans="1:5" x14ac:dyDescent="0.25">
      <c r="A10327" t="s">
        <v>2</v>
      </c>
      <c r="B10327" t="s">
        <v>3458</v>
      </c>
      <c r="C10327" t="s">
        <v>23490</v>
      </c>
      <c r="D10327" t="str">
        <f>HYPERLINK("https://rhld.insurance.arkansas.gov/NPILookup?Npi=1174512404","1174512404")</f>
        <v>1174512404</v>
      </c>
      <c r="E10327" t="s">
        <v>606</v>
      </c>
    </row>
    <row r="10328" spans="1:5" x14ac:dyDescent="0.25">
      <c r="A10328" t="s">
        <v>2</v>
      </c>
      <c r="B10328" t="s">
        <v>3458</v>
      </c>
      <c r="C10328" t="s">
        <v>23490</v>
      </c>
      <c r="D10328" t="str">
        <f>HYPERLINK("https://rhld.insurance.arkansas.gov/NPILookup?Npi=1174517056","1174517056")</f>
        <v>1174517056</v>
      </c>
      <c r="E10328" t="s">
        <v>607</v>
      </c>
    </row>
    <row r="10329" spans="1:5" x14ac:dyDescent="0.25">
      <c r="A10329" t="s">
        <v>2</v>
      </c>
      <c r="B10329" t="s">
        <v>3458</v>
      </c>
      <c r="C10329" t="s">
        <v>23490</v>
      </c>
      <c r="D10329" t="str">
        <f>HYPERLINK("https://rhld.insurance.arkansas.gov/NPILookup?Npi=1174518229","1174518229")</f>
        <v>1174518229</v>
      </c>
      <c r="E10329" t="s">
        <v>608</v>
      </c>
    </row>
    <row r="10330" spans="1:5" x14ac:dyDescent="0.25">
      <c r="A10330" t="s">
        <v>2</v>
      </c>
      <c r="B10330" t="s">
        <v>3458</v>
      </c>
      <c r="C10330" t="s">
        <v>23490</v>
      </c>
      <c r="D10330" t="str">
        <f>HYPERLINK("https://rhld.insurance.arkansas.gov/NPILookup?Npi=1174520688","1174520688")</f>
        <v>1174520688</v>
      </c>
      <c r="E10330" t="s">
        <v>609</v>
      </c>
    </row>
    <row r="10331" spans="1:5" x14ac:dyDescent="0.25">
      <c r="A10331" t="s">
        <v>2</v>
      </c>
      <c r="B10331" t="s">
        <v>3458</v>
      </c>
      <c r="C10331" t="s">
        <v>23490</v>
      </c>
      <c r="D10331" t="str">
        <f>HYPERLINK("https://rhld.insurance.arkansas.gov/NPILookup?Npi=1174521702","1174521702")</f>
        <v>1174521702</v>
      </c>
      <c r="E10331" t="s">
        <v>20908</v>
      </c>
    </row>
    <row r="10332" spans="1:5" x14ac:dyDescent="0.25">
      <c r="A10332" t="s">
        <v>2</v>
      </c>
      <c r="B10332" t="s">
        <v>3458</v>
      </c>
      <c r="C10332" t="s">
        <v>23490</v>
      </c>
      <c r="D10332" t="str">
        <f>HYPERLINK("https://rhld.insurance.arkansas.gov/NPILookup?Npi=1174521785","1174521785")</f>
        <v>1174521785</v>
      </c>
      <c r="E10332" t="s">
        <v>2796</v>
      </c>
    </row>
    <row r="10333" spans="1:5" x14ac:dyDescent="0.25">
      <c r="A10333" t="s">
        <v>2</v>
      </c>
      <c r="B10333" t="s">
        <v>3458</v>
      </c>
      <c r="C10333" t="s">
        <v>23490</v>
      </c>
      <c r="D10333" t="str">
        <f>HYPERLINK("https://rhld.insurance.arkansas.gov/NPILookup?Npi=1174523260","1174523260")</f>
        <v>1174523260</v>
      </c>
      <c r="E10333" t="s">
        <v>611</v>
      </c>
    </row>
    <row r="10334" spans="1:5" x14ac:dyDescent="0.25">
      <c r="A10334" t="s">
        <v>2</v>
      </c>
      <c r="B10334" t="s">
        <v>3458</v>
      </c>
      <c r="C10334" t="s">
        <v>23490</v>
      </c>
      <c r="D10334" t="str">
        <f>HYPERLINK("https://rhld.insurance.arkansas.gov/NPILookup?Npi=1174524086","1174524086")</f>
        <v>1174524086</v>
      </c>
      <c r="E10334" t="s">
        <v>612</v>
      </c>
    </row>
    <row r="10335" spans="1:5" x14ac:dyDescent="0.25">
      <c r="A10335" t="s">
        <v>2</v>
      </c>
      <c r="B10335" t="s">
        <v>3458</v>
      </c>
      <c r="C10335" t="s">
        <v>23490</v>
      </c>
      <c r="D10335" t="str">
        <f>HYPERLINK("https://rhld.insurance.arkansas.gov/NPILookup?Npi=1174529630","1174529630")</f>
        <v>1174529630</v>
      </c>
      <c r="E10335" t="s">
        <v>3558</v>
      </c>
    </row>
    <row r="10336" spans="1:5" x14ac:dyDescent="0.25">
      <c r="A10336" t="s">
        <v>2</v>
      </c>
      <c r="B10336" t="s">
        <v>3458</v>
      </c>
      <c r="C10336" t="s">
        <v>23490</v>
      </c>
      <c r="D10336" t="str">
        <f>HYPERLINK("https://rhld.insurance.arkansas.gov/NPILookup?Npi=1174529887","1174529887")</f>
        <v>1174529887</v>
      </c>
      <c r="E10336" t="s">
        <v>613</v>
      </c>
    </row>
    <row r="10337" spans="1:5" x14ac:dyDescent="0.25">
      <c r="A10337" t="s">
        <v>2</v>
      </c>
      <c r="B10337" t="s">
        <v>3458</v>
      </c>
      <c r="C10337" t="s">
        <v>23490</v>
      </c>
      <c r="D10337" t="str">
        <f>HYPERLINK("https://rhld.insurance.arkansas.gov/NPILookup?Npi=1174552210","1174552210")</f>
        <v>1174552210</v>
      </c>
      <c r="E10337" t="s">
        <v>617</v>
      </c>
    </row>
    <row r="10338" spans="1:5" x14ac:dyDescent="0.25">
      <c r="A10338" t="s">
        <v>2</v>
      </c>
      <c r="B10338" t="s">
        <v>3458</v>
      </c>
      <c r="C10338" t="s">
        <v>23490</v>
      </c>
      <c r="D10338" t="str">
        <f>HYPERLINK("https://rhld.insurance.arkansas.gov/NPILookup?Npi=1174560965","1174560965")</f>
        <v>1174560965</v>
      </c>
      <c r="E10338" t="s">
        <v>618</v>
      </c>
    </row>
    <row r="10339" spans="1:5" x14ac:dyDescent="0.25">
      <c r="A10339" t="s">
        <v>2</v>
      </c>
      <c r="B10339" t="s">
        <v>3458</v>
      </c>
      <c r="C10339" t="s">
        <v>23490</v>
      </c>
      <c r="D10339" t="str">
        <f>HYPERLINK("https://rhld.insurance.arkansas.gov/NPILookup?Npi=1174562219","1174562219")</f>
        <v>1174562219</v>
      </c>
      <c r="E10339" t="s">
        <v>14838</v>
      </c>
    </row>
    <row r="10340" spans="1:5" x14ac:dyDescent="0.25">
      <c r="A10340" t="s">
        <v>2</v>
      </c>
      <c r="B10340" t="s">
        <v>3458</v>
      </c>
      <c r="C10340" t="s">
        <v>23490</v>
      </c>
      <c r="D10340" t="str">
        <f>HYPERLINK("https://rhld.insurance.arkansas.gov/NPILookup?Npi=1174566574","1174566574")</f>
        <v>1174566574</v>
      </c>
      <c r="E10340" t="s">
        <v>619</v>
      </c>
    </row>
    <row r="10341" spans="1:5" x14ac:dyDescent="0.25">
      <c r="A10341" t="s">
        <v>2</v>
      </c>
      <c r="B10341" t="s">
        <v>3458</v>
      </c>
      <c r="C10341" t="s">
        <v>23490</v>
      </c>
      <c r="D10341" t="str">
        <f>HYPERLINK("https://rhld.insurance.arkansas.gov/NPILookup?Npi=1174572895","1174572895")</f>
        <v>1174572895</v>
      </c>
      <c r="E10341" t="s">
        <v>14839</v>
      </c>
    </row>
    <row r="10342" spans="1:5" x14ac:dyDescent="0.25">
      <c r="A10342" t="s">
        <v>2</v>
      </c>
      <c r="B10342" t="s">
        <v>3458</v>
      </c>
      <c r="C10342" t="s">
        <v>23490</v>
      </c>
      <c r="D10342" t="str">
        <f>HYPERLINK("https://rhld.insurance.arkansas.gov/NPILookup?Npi=1174573026","1174573026")</f>
        <v>1174573026</v>
      </c>
      <c r="E10342" t="s">
        <v>620</v>
      </c>
    </row>
    <row r="10343" spans="1:5" x14ac:dyDescent="0.25">
      <c r="A10343" t="s">
        <v>2</v>
      </c>
      <c r="B10343" t="s">
        <v>3458</v>
      </c>
      <c r="C10343" t="s">
        <v>23490</v>
      </c>
      <c r="D10343" t="str">
        <f>HYPERLINK("https://rhld.insurance.arkansas.gov/NPILookup?Npi=1174580765","1174580765")</f>
        <v>1174580765</v>
      </c>
      <c r="E10343" t="s">
        <v>621</v>
      </c>
    </row>
    <row r="10344" spans="1:5" x14ac:dyDescent="0.25">
      <c r="A10344" t="s">
        <v>2</v>
      </c>
      <c r="B10344" t="s">
        <v>3458</v>
      </c>
      <c r="C10344" t="s">
        <v>23490</v>
      </c>
      <c r="D10344" t="str">
        <f>HYPERLINK("https://rhld.insurance.arkansas.gov/NPILookup?Npi=1174582407","1174582407")</f>
        <v>1174582407</v>
      </c>
      <c r="E10344" t="s">
        <v>622</v>
      </c>
    </row>
    <row r="10345" spans="1:5" x14ac:dyDescent="0.25">
      <c r="A10345" t="s">
        <v>2</v>
      </c>
      <c r="B10345" t="s">
        <v>3458</v>
      </c>
      <c r="C10345" t="s">
        <v>23490</v>
      </c>
      <c r="D10345" t="str">
        <f>HYPERLINK("https://rhld.insurance.arkansas.gov/NPILookup?Npi=1174586275","1174586275")</f>
        <v>1174586275</v>
      </c>
      <c r="E10345" t="s">
        <v>14840</v>
      </c>
    </row>
    <row r="10346" spans="1:5" x14ac:dyDescent="0.25">
      <c r="A10346" t="s">
        <v>2</v>
      </c>
      <c r="B10346" t="s">
        <v>3458</v>
      </c>
      <c r="C10346" t="s">
        <v>23490</v>
      </c>
      <c r="D10346" t="str">
        <f>HYPERLINK("https://rhld.insurance.arkansas.gov/NPILookup?Npi=1174587463","1174587463")</f>
        <v>1174587463</v>
      </c>
      <c r="E10346" t="s">
        <v>623</v>
      </c>
    </row>
    <row r="10347" spans="1:5" x14ac:dyDescent="0.25">
      <c r="A10347" t="s">
        <v>2</v>
      </c>
      <c r="B10347" t="s">
        <v>3458</v>
      </c>
      <c r="C10347" t="s">
        <v>23490</v>
      </c>
      <c r="D10347" t="str">
        <f>HYPERLINK("https://rhld.insurance.arkansas.gov/NPILookup?Npi=1174593446","1174593446")</f>
        <v>1174593446</v>
      </c>
      <c r="E10347" t="s">
        <v>625</v>
      </c>
    </row>
    <row r="10348" spans="1:5" x14ac:dyDescent="0.25">
      <c r="A10348" t="s">
        <v>2</v>
      </c>
      <c r="B10348" t="s">
        <v>3458</v>
      </c>
      <c r="C10348" t="s">
        <v>23490</v>
      </c>
      <c r="D10348" t="str">
        <f>HYPERLINK("https://rhld.insurance.arkansas.gov/NPILookup?Npi=1174613657","1174613657")</f>
        <v>1174613657</v>
      </c>
      <c r="E10348" t="s">
        <v>627</v>
      </c>
    </row>
    <row r="10349" spans="1:5" x14ac:dyDescent="0.25">
      <c r="A10349" t="s">
        <v>2</v>
      </c>
      <c r="B10349" t="s">
        <v>3458</v>
      </c>
      <c r="C10349" t="s">
        <v>23490</v>
      </c>
      <c r="D10349" t="str">
        <f>HYPERLINK("https://rhld.insurance.arkansas.gov/NPILookup?Npi=1174613962","1174613962")</f>
        <v>1174613962</v>
      </c>
      <c r="E10349" t="s">
        <v>12790</v>
      </c>
    </row>
    <row r="10350" spans="1:5" x14ac:dyDescent="0.25">
      <c r="A10350" t="s">
        <v>2</v>
      </c>
      <c r="B10350" t="s">
        <v>3458</v>
      </c>
      <c r="C10350" t="s">
        <v>23490</v>
      </c>
      <c r="D10350" t="str">
        <f>HYPERLINK("https://rhld.insurance.arkansas.gov/NPILookup?Npi=1174685465","1174685465")</f>
        <v>1174685465</v>
      </c>
      <c r="E10350" t="s">
        <v>10713</v>
      </c>
    </row>
    <row r="10351" spans="1:5" x14ac:dyDescent="0.25">
      <c r="A10351" t="s">
        <v>2</v>
      </c>
      <c r="B10351" t="s">
        <v>3458</v>
      </c>
      <c r="C10351" t="s">
        <v>23490</v>
      </c>
      <c r="D10351" t="str">
        <f>HYPERLINK("https://rhld.insurance.arkansas.gov/NPILookup?Npi=1174696595","1174696595")</f>
        <v>1174696595</v>
      </c>
      <c r="E10351" t="s">
        <v>628</v>
      </c>
    </row>
    <row r="10352" spans="1:5" x14ac:dyDescent="0.25">
      <c r="A10352" t="s">
        <v>2</v>
      </c>
      <c r="B10352" t="s">
        <v>3458</v>
      </c>
      <c r="C10352" t="s">
        <v>23490</v>
      </c>
      <c r="D10352" t="str">
        <f>HYPERLINK("https://rhld.insurance.arkansas.gov/NPILookup?Npi=1174729735","1174729735")</f>
        <v>1174729735</v>
      </c>
      <c r="E10352" t="s">
        <v>630</v>
      </c>
    </row>
    <row r="10353" spans="1:5" x14ac:dyDescent="0.25">
      <c r="A10353" t="s">
        <v>2</v>
      </c>
      <c r="B10353" t="s">
        <v>3458</v>
      </c>
      <c r="C10353" t="s">
        <v>23490</v>
      </c>
      <c r="D10353" t="str">
        <f>HYPERLINK("https://rhld.insurance.arkansas.gov/NPILookup?Npi=1174729875","1174729875")</f>
        <v>1174729875</v>
      </c>
      <c r="E10353" t="s">
        <v>3559</v>
      </c>
    </row>
    <row r="10354" spans="1:5" x14ac:dyDescent="0.25">
      <c r="A10354" t="s">
        <v>2</v>
      </c>
      <c r="B10354" t="s">
        <v>3458</v>
      </c>
      <c r="C10354" t="s">
        <v>23490</v>
      </c>
      <c r="D10354" t="str">
        <f>HYPERLINK("https://rhld.insurance.arkansas.gov/NPILookup?Npi=1174734818","1174734818")</f>
        <v>1174734818</v>
      </c>
      <c r="E10354" t="s">
        <v>3560</v>
      </c>
    </row>
    <row r="10355" spans="1:5" x14ac:dyDescent="0.25">
      <c r="A10355" t="s">
        <v>2</v>
      </c>
      <c r="B10355" t="s">
        <v>3458</v>
      </c>
      <c r="C10355" t="s">
        <v>23490</v>
      </c>
      <c r="D10355" t="str">
        <f>HYPERLINK("https://rhld.insurance.arkansas.gov/NPILookup?Npi=1174748412","1174748412")</f>
        <v>1174748412</v>
      </c>
      <c r="E10355" t="s">
        <v>631</v>
      </c>
    </row>
    <row r="10356" spans="1:5" x14ac:dyDescent="0.25">
      <c r="A10356" t="s">
        <v>2</v>
      </c>
      <c r="B10356" t="s">
        <v>3458</v>
      </c>
      <c r="C10356" t="s">
        <v>23490</v>
      </c>
      <c r="D10356" t="str">
        <f>HYPERLINK("https://rhld.insurance.arkansas.gov/NPILookup?Npi=1174750962","1174750962")</f>
        <v>1174750962</v>
      </c>
      <c r="E10356" t="s">
        <v>632</v>
      </c>
    </row>
    <row r="10357" spans="1:5" x14ac:dyDescent="0.25">
      <c r="A10357" t="s">
        <v>2</v>
      </c>
      <c r="B10357" t="s">
        <v>3458</v>
      </c>
      <c r="C10357" t="s">
        <v>23490</v>
      </c>
      <c r="D10357" t="str">
        <f>HYPERLINK("https://rhld.insurance.arkansas.gov/NPILookup?Npi=1174771349","1174771349")</f>
        <v>1174771349</v>
      </c>
      <c r="E10357" t="s">
        <v>8524</v>
      </c>
    </row>
    <row r="10358" spans="1:5" x14ac:dyDescent="0.25">
      <c r="A10358" t="s">
        <v>2</v>
      </c>
      <c r="B10358" t="s">
        <v>3458</v>
      </c>
      <c r="C10358" t="s">
        <v>23490</v>
      </c>
      <c r="D10358" t="str">
        <f>HYPERLINK("https://rhld.insurance.arkansas.gov/NPILookup?Npi=1174788368","1174788368")</f>
        <v>1174788368</v>
      </c>
      <c r="E10358" t="s">
        <v>3561</v>
      </c>
    </row>
    <row r="10359" spans="1:5" x14ac:dyDescent="0.25">
      <c r="A10359" t="s">
        <v>2</v>
      </c>
      <c r="B10359" t="s">
        <v>3458</v>
      </c>
      <c r="C10359" t="s">
        <v>23490</v>
      </c>
      <c r="D10359" t="str">
        <f>HYPERLINK("https://rhld.insurance.arkansas.gov/NPILookup?Npi=1174791784","1174791784")</f>
        <v>1174791784</v>
      </c>
      <c r="E10359" t="s">
        <v>634</v>
      </c>
    </row>
    <row r="10360" spans="1:5" x14ac:dyDescent="0.25">
      <c r="A10360" t="s">
        <v>2</v>
      </c>
      <c r="B10360" t="s">
        <v>3458</v>
      </c>
      <c r="C10360" t="s">
        <v>23490</v>
      </c>
      <c r="D10360" t="str">
        <f>HYPERLINK("https://rhld.insurance.arkansas.gov/NPILookup?Npi=1174799258","1174799258")</f>
        <v>1174799258</v>
      </c>
      <c r="E10360" t="s">
        <v>635</v>
      </c>
    </row>
    <row r="10361" spans="1:5" x14ac:dyDescent="0.25">
      <c r="A10361" t="s">
        <v>2</v>
      </c>
      <c r="B10361" t="s">
        <v>3458</v>
      </c>
      <c r="C10361" t="s">
        <v>23490</v>
      </c>
      <c r="D10361" t="str">
        <f>HYPERLINK("https://rhld.insurance.arkansas.gov/NPILookup?Npi=1174815609","1174815609")</f>
        <v>1174815609</v>
      </c>
      <c r="E10361" t="s">
        <v>11437</v>
      </c>
    </row>
    <row r="10362" spans="1:5" x14ac:dyDescent="0.25">
      <c r="A10362" t="s">
        <v>2</v>
      </c>
      <c r="B10362" t="s">
        <v>3458</v>
      </c>
      <c r="C10362" t="s">
        <v>23490</v>
      </c>
      <c r="D10362" t="str">
        <f>HYPERLINK("https://rhld.insurance.arkansas.gov/NPILookup?Npi=1174879720","1174879720")</f>
        <v>1174879720</v>
      </c>
      <c r="E10362" t="s">
        <v>14842</v>
      </c>
    </row>
    <row r="10363" spans="1:5" x14ac:dyDescent="0.25">
      <c r="A10363" t="s">
        <v>2</v>
      </c>
      <c r="B10363" t="s">
        <v>3458</v>
      </c>
      <c r="C10363" t="s">
        <v>23490</v>
      </c>
      <c r="D10363" t="str">
        <f>HYPERLINK("https://rhld.insurance.arkansas.gov/NPILookup?Npi=1174881478","1174881478")</f>
        <v>1174881478</v>
      </c>
      <c r="E10363" t="s">
        <v>638</v>
      </c>
    </row>
    <row r="10364" spans="1:5" x14ac:dyDescent="0.25">
      <c r="A10364" t="s">
        <v>2</v>
      </c>
      <c r="B10364" t="s">
        <v>3458</v>
      </c>
      <c r="C10364" t="s">
        <v>23490</v>
      </c>
      <c r="D10364" t="str">
        <f>HYPERLINK("https://rhld.insurance.arkansas.gov/NPILookup?Npi=1174890065","1174890065")</f>
        <v>1174890065</v>
      </c>
      <c r="E10364" t="s">
        <v>639</v>
      </c>
    </row>
    <row r="10365" spans="1:5" x14ac:dyDescent="0.25">
      <c r="A10365" t="s">
        <v>2</v>
      </c>
      <c r="B10365" t="s">
        <v>3458</v>
      </c>
      <c r="C10365" t="s">
        <v>23490</v>
      </c>
      <c r="D10365" t="str">
        <f>HYPERLINK("https://rhld.insurance.arkansas.gov/NPILookup?Npi=1174902795","1174902795")</f>
        <v>1174902795</v>
      </c>
      <c r="E10365" t="s">
        <v>640</v>
      </c>
    </row>
    <row r="10366" spans="1:5" x14ac:dyDescent="0.25">
      <c r="A10366" t="s">
        <v>2</v>
      </c>
      <c r="B10366" t="s">
        <v>3458</v>
      </c>
      <c r="C10366" t="s">
        <v>23490</v>
      </c>
      <c r="D10366" t="str">
        <f>HYPERLINK("https://rhld.insurance.arkansas.gov/NPILookup?Npi=1174903389","1174903389")</f>
        <v>1174903389</v>
      </c>
      <c r="E10366" t="s">
        <v>13402</v>
      </c>
    </row>
    <row r="10367" spans="1:5" x14ac:dyDescent="0.25">
      <c r="A10367" t="s">
        <v>2</v>
      </c>
      <c r="B10367" t="s">
        <v>3458</v>
      </c>
      <c r="C10367" t="s">
        <v>23490</v>
      </c>
      <c r="D10367" t="str">
        <f>HYPERLINK("https://rhld.insurance.arkansas.gov/NPILookup?Npi=1174904510","1174904510")</f>
        <v>1174904510</v>
      </c>
      <c r="E10367" t="s">
        <v>14843</v>
      </c>
    </row>
    <row r="10368" spans="1:5" x14ac:dyDescent="0.25">
      <c r="A10368" t="s">
        <v>2</v>
      </c>
      <c r="B10368" t="s">
        <v>3458</v>
      </c>
      <c r="C10368" t="s">
        <v>23490</v>
      </c>
      <c r="D10368" t="str">
        <f>HYPERLINK("https://rhld.insurance.arkansas.gov/NPILookup?Npi=1174907679","1174907679")</f>
        <v>1174907679</v>
      </c>
      <c r="E10368" t="s">
        <v>8525</v>
      </c>
    </row>
    <row r="10369" spans="1:5" x14ac:dyDescent="0.25">
      <c r="A10369" t="s">
        <v>2</v>
      </c>
      <c r="B10369" t="s">
        <v>3458</v>
      </c>
      <c r="C10369" t="s">
        <v>23490</v>
      </c>
      <c r="D10369" t="str">
        <f>HYPERLINK("https://rhld.insurance.arkansas.gov/NPILookup?Npi=1174910210","1174910210")</f>
        <v>1174910210</v>
      </c>
      <c r="E10369" t="s">
        <v>13403</v>
      </c>
    </row>
    <row r="10370" spans="1:5" x14ac:dyDescent="0.25">
      <c r="A10370" t="s">
        <v>2</v>
      </c>
      <c r="B10370" t="s">
        <v>3458</v>
      </c>
      <c r="C10370" t="s">
        <v>23490</v>
      </c>
      <c r="D10370" t="str">
        <f>HYPERLINK("https://rhld.insurance.arkansas.gov/NPILookup?Npi=1174930747","1174930747")</f>
        <v>1174930747</v>
      </c>
      <c r="E10370" t="s">
        <v>10714</v>
      </c>
    </row>
    <row r="10371" spans="1:5" x14ac:dyDescent="0.25">
      <c r="A10371" t="s">
        <v>2</v>
      </c>
      <c r="B10371" t="s">
        <v>3458</v>
      </c>
      <c r="C10371" t="s">
        <v>23490</v>
      </c>
      <c r="D10371" t="str">
        <f>HYPERLINK("https://rhld.insurance.arkansas.gov/NPILookup?Npi=1174949747","1174949747")</f>
        <v>1174949747</v>
      </c>
      <c r="E10371" t="s">
        <v>641</v>
      </c>
    </row>
    <row r="10372" spans="1:5" x14ac:dyDescent="0.25">
      <c r="A10372" t="s">
        <v>2</v>
      </c>
      <c r="B10372" t="s">
        <v>3458</v>
      </c>
      <c r="C10372" t="s">
        <v>23490</v>
      </c>
      <c r="D10372" t="str">
        <f>HYPERLINK("https://rhld.insurance.arkansas.gov/NPILookup?Npi=1174973317","1174973317")</f>
        <v>1174973317</v>
      </c>
      <c r="E10372" t="s">
        <v>18692</v>
      </c>
    </row>
    <row r="10373" spans="1:5" x14ac:dyDescent="0.25">
      <c r="A10373" t="s">
        <v>2</v>
      </c>
      <c r="B10373" t="s">
        <v>3458</v>
      </c>
      <c r="C10373" t="s">
        <v>23490</v>
      </c>
      <c r="D10373" t="str">
        <f>HYPERLINK("https://rhld.insurance.arkansas.gov/NPILookup?Npi=1174978985","1174978985")</f>
        <v>1174978985</v>
      </c>
      <c r="E10373" t="s">
        <v>8526</v>
      </c>
    </row>
    <row r="10374" spans="1:5" x14ac:dyDescent="0.25">
      <c r="A10374" t="s">
        <v>2</v>
      </c>
      <c r="B10374" t="s">
        <v>3458</v>
      </c>
      <c r="C10374" t="s">
        <v>23490</v>
      </c>
      <c r="D10374" t="str">
        <f>HYPERLINK("https://rhld.insurance.arkansas.gov/NPILookup?Npi=1174981104","1174981104")</f>
        <v>1174981104</v>
      </c>
      <c r="E10374" t="s">
        <v>10715</v>
      </c>
    </row>
    <row r="10375" spans="1:5" x14ac:dyDescent="0.25">
      <c r="A10375" t="s">
        <v>2</v>
      </c>
      <c r="B10375" t="s">
        <v>3458</v>
      </c>
      <c r="C10375" t="s">
        <v>23490</v>
      </c>
      <c r="D10375" t="str">
        <f>HYPERLINK("https://rhld.insurance.arkansas.gov/NPILookup?Npi=1184003964","1184003964")</f>
        <v>1184003964</v>
      </c>
      <c r="E10375" t="s">
        <v>8527</v>
      </c>
    </row>
    <row r="10376" spans="1:5" x14ac:dyDescent="0.25">
      <c r="A10376" t="s">
        <v>2</v>
      </c>
      <c r="B10376" t="s">
        <v>3458</v>
      </c>
      <c r="C10376" t="s">
        <v>23490</v>
      </c>
      <c r="D10376" t="str">
        <f>HYPERLINK("https://rhld.insurance.arkansas.gov/NPILookup?Npi=1184005159","1184005159")</f>
        <v>1184005159</v>
      </c>
      <c r="E10376" t="s">
        <v>20230</v>
      </c>
    </row>
    <row r="10377" spans="1:5" x14ac:dyDescent="0.25">
      <c r="A10377" t="s">
        <v>2</v>
      </c>
      <c r="B10377" t="s">
        <v>3458</v>
      </c>
      <c r="C10377" t="s">
        <v>23490</v>
      </c>
      <c r="D10377" t="str">
        <f>HYPERLINK("https://rhld.insurance.arkansas.gov/NPILookup?Npi=1184007734","1184007734")</f>
        <v>1184007734</v>
      </c>
      <c r="E10377" t="s">
        <v>21721</v>
      </c>
    </row>
    <row r="10378" spans="1:5" x14ac:dyDescent="0.25">
      <c r="A10378" t="s">
        <v>2</v>
      </c>
      <c r="B10378" t="s">
        <v>3458</v>
      </c>
      <c r="C10378" t="s">
        <v>23490</v>
      </c>
      <c r="D10378" t="str">
        <f>HYPERLINK("https://rhld.insurance.arkansas.gov/NPILookup?Npi=1184010340","1184010340")</f>
        <v>1184010340</v>
      </c>
      <c r="E10378" t="s">
        <v>8528</v>
      </c>
    </row>
    <row r="10379" spans="1:5" x14ac:dyDescent="0.25">
      <c r="A10379" t="s">
        <v>2</v>
      </c>
      <c r="B10379" t="s">
        <v>3458</v>
      </c>
      <c r="C10379" t="s">
        <v>23490</v>
      </c>
      <c r="D10379" t="str">
        <f>HYPERLINK("https://rhld.insurance.arkansas.gov/NPILookup?Npi=1184015422","1184015422")</f>
        <v>1184015422</v>
      </c>
      <c r="E10379" t="s">
        <v>642</v>
      </c>
    </row>
    <row r="10380" spans="1:5" x14ac:dyDescent="0.25">
      <c r="A10380" t="s">
        <v>2</v>
      </c>
      <c r="B10380" t="s">
        <v>3458</v>
      </c>
      <c r="C10380" t="s">
        <v>23490</v>
      </c>
      <c r="D10380" t="str">
        <f>HYPERLINK("https://rhld.insurance.arkansas.gov/NPILookup?Npi=1184016842","1184016842")</f>
        <v>1184016842</v>
      </c>
      <c r="E10380" t="s">
        <v>643</v>
      </c>
    </row>
    <row r="10381" spans="1:5" x14ac:dyDescent="0.25">
      <c r="A10381" t="s">
        <v>2</v>
      </c>
      <c r="B10381" t="s">
        <v>3458</v>
      </c>
      <c r="C10381" t="s">
        <v>23490</v>
      </c>
      <c r="D10381" t="str">
        <f>HYPERLINK("https://rhld.insurance.arkansas.gov/NPILookup?Npi=1184019309","1184019309")</f>
        <v>1184019309</v>
      </c>
      <c r="E10381" t="s">
        <v>20231</v>
      </c>
    </row>
    <row r="10382" spans="1:5" x14ac:dyDescent="0.25">
      <c r="A10382" t="s">
        <v>2</v>
      </c>
      <c r="B10382" t="s">
        <v>3458</v>
      </c>
      <c r="C10382" t="s">
        <v>23490</v>
      </c>
      <c r="D10382" t="str">
        <f>HYPERLINK("https://rhld.insurance.arkansas.gov/NPILookup?Npi=1184030496","1184030496")</f>
        <v>1184030496</v>
      </c>
      <c r="E10382" t="s">
        <v>11438</v>
      </c>
    </row>
    <row r="10383" spans="1:5" x14ac:dyDescent="0.25">
      <c r="A10383" t="s">
        <v>2</v>
      </c>
      <c r="B10383" t="s">
        <v>3458</v>
      </c>
      <c r="C10383" t="s">
        <v>23490</v>
      </c>
      <c r="D10383" t="str">
        <f>HYPERLINK("https://rhld.insurance.arkansas.gov/NPILookup?Npi=1184034522","1184034522")</f>
        <v>1184034522</v>
      </c>
      <c r="E10383" t="s">
        <v>645</v>
      </c>
    </row>
    <row r="10384" spans="1:5" x14ac:dyDescent="0.25">
      <c r="A10384" t="s">
        <v>2</v>
      </c>
      <c r="B10384" t="s">
        <v>3458</v>
      </c>
      <c r="C10384" t="s">
        <v>23490</v>
      </c>
      <c r="D10384" t="str">
        <f>HYPERLINK("https://rhld.insurance.arkansas.gov/NPILookup?Npi=1184038598","1184038598")</f>
        <v>1184038598</v>
      </c>
      <c r="E10384" t="s">
        <v>14323</v>
      </c>
    </row>
    <row r="10385" spans="1:5" x14ac:dyDescent="0.25">
      <c r="A10385" t="s">
        <v>2</v>
      </c>
      <c r="B10385" t="s">
        <v>3458</v>
      </c>
      <c r="C10385" t="s">
        <v>23490</v>
      </c>
      <c r="D10385" t="str">
        <f>HYPERLINK("https://rhld.insurance.arkansas.gov/NPILookup?Npi=1184039471","1184039471")</f>
        <v>1184039471</v>
      </c>
      <c r="E10385" t="s">
        <v>13405</v>
      </c>
    </row>
    <row r="10386" spans="1:5" x14ac:dyDescent="0.25">
      <c r="A10386" t="s">
        <v>2</v>
      </c>
      <c r="B10386" t="s">
        <v>3458</v>
      </c>
      <c r="C10386" t="s">
        <v>23490</v>
      </c>
      <c r="D10386" t="str">
        <f>HYPERLINK("https://rhld.insurance.arkansas.gov/NPILookup?Npi=1184047730","1184047730")</f>
        <v>1184047730</v>
      </c>
      <c r="E10386" t="s">
        <v>646</v>
      </c>
    </row>
    <row r="10387" spans="1:5" x14ac:dyDescent="0.25">
      <c r="A10387" t="s">
        <v>2</v>
      </c>
      <c r="B10387" t="s">
        <v>3458</v>
      </c>
      <c r="C10387" t="s">
        <v>23490</v>
      </c>
      <c r="D10387" t="str">
        <f>HYPERLINK("https://rhld.insurance.arkansas.gov/NPILookup?Npi=1184069015","1184069015")</f>
        <v>1184069015</v>
      </c>
      <c r="E10387" t="s">
        <v>8529</v>
      </c>
    </row>
    <row r="10388" spans="1:5" x14ac:dyDescent="0.25">
      <c r="A10388" t="s">
        <v>2</v>
      </c>
      <c r="B10388" t="s">
        <v>3458</v>
      </c>
      <c r="C10388" t="s">
        <v>23490</v>
      </c>
      <c r="D10388" t="str">
        <f>HYPERLINK("https://rhld.insurance.arkansas.gov/NPILookup?Npi=1184072258","1184072258")</f>
        <v>1184072258</v>
      </c>
      <c r="E10388" t="s">
        <v>8530</v>
      </c>
    </row>
    <row r="10389" spans="1:5" x14ac:dyDescent="0.25">
      <c r="A10389" t="s">
        <v>2</v>
      </c>
      <c r="B10389" t="s">
        <v>3458</v>
      </c>
      <c r="C10389" t="s">
        <v>23490</v>
      </c>
      <c r="D10389" t="str">
        <f>HYPERLINK("https://rhld.insurance.arkansas.gov/NPILookup?Npi=1184074197","1184074197")</f>
        <v>1184074197</v>
      </c>
      <c r="E10389" t="s">
        <v>10716</v>
      </c>
    </row>
    <row r="10390" spans="1:5" x14ac:dyDescent="0.25">
      <c r="A10390" t="s">
        <v>2</v>
      </c>
      <c r="B10390" t="s">
        <v>3458</v>
      </c>
      <c r="C10390" t="s">
        <v>23490</v>
      </c>
      <c r="D10390" t="str">
        <f>HYPERLINK("https://rhld.insurance.arkansas.gov/NPILookup?Npi=1184077802","1184077802")</f>
        <v>1184077802</v>
      </c>
      <c r="E10390" t="s">
        <v>15819</v>
      </c>
    </row>
    <row r="10391" spans="1:5" x14ac:dyDescent="0.25">
      <c r="A10391" t="s">
        <v>2</v>
      </c>
      <c r="B10391" t="s">
        <v>3458</v>
      </c>
      <c r="C10391" t="s">
        <v>23490</v>
      </c>
      <c r="D10391" t="str">
        <f>HYPERLINK("https://rhld.insurance.arkansas.gov/NPILookup?Npi=1184079246","1184079246")</f>
        <v>1184079246</v>
      </c>
      <c r="E10391" t="s">
        <v>17887</v>
      </c>
    </row>
    <row r="10392" spans="1:5" x14ac:dyDescent="0.25">
      <c r="A10392" t="s">
        <v>2</v>
      </c>
      <c r="B10392" t="s">
        <v>3458</v>
      </c>
      <c r="C10392" t="s">
        <v>23490</v>
      </c>
      <c r="D10392" t="str">
        <f>HYPERLINK("https://rhld.insurance.arkansas.gov/NPILookup?Npi=1184082273","1184082273")</f>
        <v>1184082273</v>
      </c>
      <c r="E10392" t="s">
        <v>8531</v>
      </c>
    </row>
    <row r="10393" spans="1:5" x14ac:dyDescent="0.25">
      <c r="A10393" t="s">
        <v>2</v>
      </c>
      <c r="B10393" t="s">
        <v>3458</v>
      </c>
      <c r="C10393" t="s">
        <v>23490</v>
      </c>
      <c r="D10393" t="str">
        <f>HYPERLINK("https://rhld.insurance.arkansas.gov/NPILookup?Npi=1184083263","1184083263")</f>
        <v>1184083263</v>
      </c>
      <c r="E10393" t="s">
        <v>10717</v>
      </c>
    </row>
    <row r="10394" spans="1:5" x14ac:dyDescent="0.25">
      <c r="A10394" t="s">
        <v>2</v>
      </c>
      <c r="B10394" t="s">
        <v>3458</v>
      </c>
      <c r="C10394" t="s">
        <v>23490</v>
      </c>
      <c r="D10394" t="str">
        <f>HYPERLINK("https://rhld.insurance.arkansas.gov/NPILookup?Npi=1184091407","1184091407")</f>
        <v>1184091407</v>
      </c>
      <c r="E10394" t="s">
        <v>14845</v>
      </c>
    </row>
    <row r="10395" spans="1:5" x14ac:dyDescent="0.25">
      <c r="A10395" t="s">
        <v>2</v>
      </c>
      <c r="B10395" t="s">
        <v>3458</v>
      </c>
      <c r="C10395" t="s">
        <v>23490</v>
      </c>
      <c r="D10395" t="str">
        <f>HYPERLINK("https://rhld.insurance.arkansas.gov/NPILookup?Npi=1184091415","1184091415")</f>
        <v>1184091415</v>
      </c>
      <c r="E10395" t="s">
        <v>647</v>
      </c>
    </row>
    <row r="10396" spans="1:5" x14ac:dyDescent="0.25">
      <c r="A10396" t="s">
        <v>2</v>
      </c>
      <c r="B10396" t="s">
        <v>3458</v>
      </c>
      <c r="C10396" t="s">
        <v>23490</v>
      </c>
      <c r="D10396" t="str">
        <f>HYPERLINK("https://rhld.insurance.arkansas.gov/NPILookup?Npi=1184096745","1184096745")</f>
        <v>1184096745</v>
      </c>
      <c r="E10396" t="s">
        <v>648</v>
      </c>
    </row>
    <row r="10397" spans="1:5" x14ac:dyDescent="0.25">
      <c r="A10397" t="s">
        <v>2</v>
      </c>
      <c r="B10397" t="s">
        <v>3458</v>
      </c>
      <c r="C10397" t="s">
        <v>23490</v>
      </c>
      <c r="D10397" t="str">
        <f>HYPERLINK("https://rhld.insurance.arkansas.gov/NPILookup?Npi=1184101099","1184101099")</f>
        <v>1184101099</v>
      </c>
      <c r="E10397" t="s">
        <v>13834</v>
      </c>
    </row>
    <row r="10398" spans="1:5" x14ac:dyDescent="0.25">
      <c r="A10398" t="s">
        <v>2</v>
      </c>
      <c r="B10398" t="s">
        <v>3458</v>
      </c>
      <c r="C10398" t="s">
        <v>23490</v>
      </c>
      <c r="D10398" t="str">
        <f>HYPERLINK("https://rhld.insurance.arkansas.gov/NPILookup?Npi=1184102303","1184102303")</f>
        <v>1184102303</v>
      </c>
      <c r="E10398" t="s">
        <v>13406</v>
      </c>
    </row>
    <row r="10399" spans="1:5" x14ac:dyDescent="0.25">
      <c r="A10399" t="s">
        <v>2</v>
      </c>
      <c r="B10399" t="s">
        <v>3458</v>
      </c>
      <c r="C10399" t="s">
        <v>23490</v>
      </c>
      <c r="D10399" t="str">
        <f>HYPERLINK("https://rhld.insurance.arkansas.gov/NPILookup?Npi=1184107104","1184107104")</f>
        <v>1184107104</v>
      </c>
      <c r="E10399" t="s">
        <v>13407</v>
      </c>
    </row>
    <row r="10400" spans="1:5" x14ac:dyDescent="0.25">
      <c r="A10400" t="s">
        <v>2</v>
      </c>
      <c r="B10400" t="s">
        <v>3458</v>
      </c>
      <c r="C10400" t="s">
        <v>23490</v>
      </c>
      <c r="D10400" t="str">
        <f>HYPERLINK("https://rhld.insurance.arkansas.gov/NPILookup?Npi=1184107138","1184107138")</f>
        <v>1184107138</v>
      </c>
      <c r="E10400" t="s">
        <v>14846</v>
      </c>
    </row>
    <row r="10401" spans="1:5" x14ac:dyDescent="0.25">
      <c r="A10401" t="s">
        <v>2</v>
      </c>
      <c r="B10401" t="s">
        <v>3458</v>
      </c>
      <c r="C10401" t="s">
        <v>23490</v>
      </c>
      <c r="D10401" t="str">
        <f>HYPERLINK("https://rhld.insurance.arkansas.gov/NPILookup?Npi=1184108318","1184108318")</f>
        <v>1184108318</v>
      </c>
      <c r="E10401" t="s">
        <v>15820</v>
      </c>
    </row>
    <row r="10402" spans="1:5" x14ac:dyDescent="0.25">
      <c r="A10402" t="s">
        <v>2</v>
      </c>
      <c r="B10402" t="s">
        <v>3458</v>
      </c>
      <c r="C10402" t="s">
        <v>8427</v>
      </c>
      <c r="D10402" t="str">
        <f>HYPERLINK("https://rhld.insurance.arkansas.gov/NPILookup?Npi=1184118051","1184118051")</f>
        <v>1184118051</v>
      </c>
      <c r="E10402" t="s">
        <v>8470</v>
      </c>
    </row>
    <row r="10403" spans="1:5" x14ac:dyDescent="0.25">
      <c r="A10403" t="s">
        <v>2</v>
      </c>
      <c r="B10403" t="s">
        <v>3458</v>
      </c>
      <c r="C10403" t="s">
        <v>23490</v>
      </c>
      <c r="D10403" t="str">
        <f>HYPERLINK("https://rhld.insurance.arkansas.gov/NPILookup?Npi=1184123002","1184123002")</f>
        <v>1184123002</v>
      </c>
      <c r="E10403" t="s">
        <v>12964</v>
      </c>
    </row>
    <row r="10404" spans="1:5" x14ac:dyDescent="0.25">
      <c r="A10404" t="s">
        <v>2</v>
      </c>
      <c r="B10404" t="s">
        <v>3458</v>
      </c>
      <c r="C10404" t="s">
        <v>23490</v>
      </c>
      <c r="D10404" t="str">
        <f>HYPERLINK("https://rhld.insurance.arkansas.gov/NPILookup?Npi=1184127292","1184127292")</f>
        <v>1184127292</v>
      </c>
      <c r="E10404" t="s">
        <v>12965</v>
      </c>
    </row>
    <row r="10405" spans="1:5" x14ac:dyDescent="0.25">
      <c r="A10405" t="s">
        <v>2</v>
      </c>
      <c r="B10405" t="s">
        <v>3458</v>
      </c>
      <c r="C10405" t="s">
        <v>23490</v>
      </c>
      <c r="D10405" t="str">
        <f>HYPERLINK("https://rhld.insurance.arkansas.gov/NPILookup?Npi=1184134660","1184134660")</f>
        <v>1184134660</v>
      </c>
      <c r="E10405" t="s">
        <v>12966</v>
      </c>
    </row>
    <row r="10406" spans="1:5" x14ac:dyDescent="0.25">
      <c r="A10406" t="s">
        <v>2</v>
      </c>
      <c r="B10406" t="s">
        <v>3458</v>
      </c>
      <c r="C10406" t="s">
        <v>23490</v>
      </c>
      <c r="D10406" t="str">
        <f>HYPERLINK("https://rhld.insurance.arkansas.gov/NPILookup?Npi=1184161895","1184161895")</f>
        <v>1184161895</v>
      </c>
      <c r="E10406" t="s">
        <v>10718</v>
      </c>
    </row>
    <row r="10407" spans="1:5" x14ac:dyDescent="0.25">
      <c r="A10407" t="s">
        <v>2</v>
      </c>
      <c r="B10407" t="s">
        <v>3458</v>
      </c>
      <c r="C10407" t="s">
        <v>23490</v>
      </c>
      <c r="D10407" t="str">
        <f>HYPERLINK("https://rhld.insurance.arkansas.gov/NPILookup?Npi=1184165441","1184165441")</f>
        <v>1184165441</v>
      </c>
      <c r="E10407" t="s">
        <v>10719</v>
      </c>
    </row>
    <row r="10408" spans="1:5" x14ac:dyDescent="0.25">
      <c r="A10408" t="s">
        <v>2</v>
      </c>
      <c r="B10408" t="s">
        <v>3458</v>
      </c>
      <c r="C10408" t="s">
        <v>23490</v>
      </c>
      <c r="D10408" t="str">
        <f>HYPERLINK("https://rhld.insurance.arkansas.gov/NPILookup?Npi=1184173247","1184173247")</f>
        <v>1184173247</v>
      </c>
      <c r="E10408" t="s">
        <v>14847</v>
      </c>
    </row>
    <row r="10409" spans="1:5" x14ac:dyDescent="0.25">
      <c r="A10409" t="s">
        <v>2</v>
      </c>
      <c r="B10409" t="s">
        <v>3458</v>
      </c>
      <c r="C10409" t="s">
        <v>23490</v>
      </c>
      <c r="D10409" t="str">
        <f>HYPERLINK("https://rhld.insurance.arkansas.gov/NPILookup?Npi=1184199119","1184199119")</f>
        <v>1184199119</v>
      </c>
      <c r="E10409" t="s">
        <v>13409</v>
      </c>
    </row>
    <row r="10410" spans="1:5" x14ac:dyDescent="0.25">
      <c r="A10410" t="s">
        <v>2</v>
      </c>
      <c r="B10410" t="s">
        <v>3458</v>
      </c>
      <c r="C10410" t="s">
        <v>23490</v>
      </c>
      <c r="D10410" t="str">
        <f>HYPERLINK("https://rhld.insurance.arkansas.gov/NPILookup?Npi=1184225096","1184225096")</f>
        <v>1184225096</v>
      </c>
      <c r="E10410" t="s">
        <v>17888</v>
      </c>
    </row>
    <row r="10411" spans="1:5" x14ac:dyDescent="0.25">
      <c r="A10411" t="s">
        <v>2</v>
      </c>
      <c r="B10411" t="s">
        <v>3458</v>
      </c>
      <c r="C10411" t="s">
        <v>23490</v>
      </c>
      <c r="D10411" t="str">
        <f>HYPERLINK("https://rhld.insurance.arkansas.gov/NPILookup?Npi=1184230286","1184230286")</f>
        <v>1184230286</v>
      </c>
      <c r="E10411" t="s">
        <v>17889</v>
      </c>
    </row>
    <row r="10412" spans="1:5" x14ac:dyDescent="0.25">
      <c r="A10412" t="s">
        <v>2</v>
      </c>
      <c r="B10412" t="s">
        <v>3458</v>
      </c>
      <c r="C10412" t="s">
        <v>23490</v>
      </c>
      <c r="D10412" t="str">
        <f>HYPERLINK("https://rhld.insurance.arkansas.gov/NPILookup?Npi=1184284473","1184284473")</f>
        <v>1184284473</v>
      </c>
      <c r="E10412" t="s">
        <v>17893</v>
      </c>
    </row>
    <row r="10413" spans="1:5" x14ac:dyDescent="0.25">
      <c r="A10413" t="s">
        <v>2</v>
      </c>
      <c r="B10413" t="s">
        <v>3458</v>
      </c>
      <c r="C10413" t="s">
        <v>23490</v>
      </c>
      <c r="D10413" t="str">
        <f>HYPERLINK("https://rhld.insurance.arkansas.gov/NPILookup?Npi=1184292880","1184292880")</f>
        <v>1184292880</v>
      </c>
      <c r="E10413" t="s">
        <v>18693</v>
      </c>
    </row>
    <row r="10414" spans="1:5" x14ac:dyDescent="0.25">
      <c r="A10414" t="s">
        <v>2</v>
      </c>
      <c r="B10414" t="s">
        <v>3458</v>
      </c>
      <c r="C10414" t="s">
        <v>23490</v>
      </c>
      <c r="D10414" t="str">
        <f>HYPERLINK("https://rhld.insurance.arkansas.gov/NPILookup?Npi=1184293383","1184293383")</f>
        <v>1184293383</v>
      </c>
      <c r="E10414" t="s">
        <v>18694</v>
      </c>
    </row>
    <row r="10415" spans="1:5" x14ac:dyDescent="0.25">
      <c r="A10415" t="s">
        <v>2</v>
      </c>
      <c r="B10415" t="s">
        <v>3458</v>
      </c>
      <c r="C10415" t="s">
        <v>23490</v>
      </c>
      <c r="D10415" t="str">
        <f>HYPERLINK("https://rhld.insurance.arkansas.gov/NPILookup?Npi=1184324113","1184324113")</f>
        <v>1184324113</v>
      </c>
      <c r="E10415" t="s">
        <v>21493</v>
      </c>
    </row>
    <row r="10416" spans="1:5" x14ac:dyDescent="0.25">
      <c r="A10416" t="s">
        <v>2</v>
      </c>
      <c r="B10416" t="s">
        <v>3458</v>
      </c>
      <c r="C10416" t="s">
        <v>23490</v>
      </c>
      <c r="D10416" t="str">
        <f>HYPERLINK("https://rhld.insurance.arkansas.gov/NPILookup?Npi=1184336844","1184336844")</f>
        <v>1184336844</v>
      </c>
      <c r="E10416" t="s">
        <v>21722</v>
      </c>
    </row>
    <row r="10417" spans="1:5" x14ac:dyDescent="0.25">
      <c r="A10417" t="s">
        <v>2</v>
      </c>
      <c r="B10417" t="s">
        <v>3458</v>
      </c>
      <c r="C10417" t="s">
        <v>23490</v>
      </c>
      <c r="D10417" t="str">
        <f>HYPERLINK("https://rhld.insurance.arkansas.gov/NPILookup?Npi=1184356248","1184356248")</f>
        <v>1184356248</v>
      </c>
      <c r="E10417" t="s">
        <v>20910</v>
      </c>
    </row>
    <row r="10418" spans="1:5" x14ac:dyDescent="0.25">
      <c r="A10418" t="s">
        <v>2</v>
      </c>
      <c r="B10418" t="s">
        <v>3458</v>
      </c>
      <c r="C10418" t="s">
        <v>23490</v>
      </c>
      <c r="D10418" t="str">
        <f>HYPERLINK("https://rhld.insurance.arkansas.gov/NPILookup?Npi=1184603805","1184603805")</f>
        <v>1184603805</v>
      </c>
      <c r="E10418" t="s">
        <v>14849</v>
      </c>
    </row>
    <row r="10419" spans="1:5" x14ac:dyDescent="0.25">
      <c r="A10419" t="s">
        <v>2</v>
      </c>
      <c r="B10419" t="s">
        <v>3458</v>
      </c>
      <c r="C10419" t="s">
        <v>23490</v>
      </c>
      <c r="D10419" t="str">
        <f>HYPERLINK("https://rhld.insurance.arkansas.gov/NPILookup?Npi=1184608754","1184608754")</f>
        <v>1184608754</v>
      </c>
      <c r="E10419" t="s">
        <v>10720</v>
      </c>
    </row>
    <row r="10420" spans="1:5" x14ac:dyDescent="0.25">
      <c r="A10420" t="s">
        <v>2</v>
      </c>
      <c r="B10420" t="s">
        <v>3458</v>
      </c>
      <c r="C10420" t="s">
        <v>23490</v>
      </c>
      <c r="D10420" t="str">
        <f>HYPERLINK("https://rhld.insurance.arkansas.gov/NPILookup?Npi=1184610792","1184610792")</f>
        <v>1184610792</v>
      </c>
      <c r="E10420" t="s">
        <v>649</v>
      </c>
    </row>
    <row r="10421" spans="1:5" x14ac:dyDescent="0.25">
      <c r="A10421" t="s">
        <v>2</v>
      </c>
      <c r="B10421" t="s">
        <v>3458</v>
      </c>
      <c r="C10421" t="s">
        <v>23490</v>
      </c>
      <c r="D10421" t="str">
        <f>HYPERLINK("https://rhld.insurance.arkansas.gov/NPILookup?Npi=1184621294","1184621294")</f>
        <v>1184621294</v>
      </c>
      <c r="E10421" t="s">
        <v>650</v>
      </c>
    </row>
    <row r="10422" spans="1:5" x14ac:dyDescent="0.25">
      <c r="A10422" t="s">
        <v>2</v>
      </c>
      <c r="B10422" t="s">
        <v>3458</v>
      </c>
      <c r="C10422" t="s">
        <v>23490</v>
      </c>
      <c r="D10422" t="str">
        <f>HYPERLINK("https://rhld.insurance.arkansas.gov/NPILookup?Npi=1184622037","1184622037")</f>
        <v>1184622037</v>
      </c>
      <c r="E10422" t="s">
        <v>14850</v>
      </c>
    </row>
    <row r="10423" spans="1:5" x14ac:dyDescent="0.25">
      <c r="A10423" t="s">
        <v>2</v>
      </c>
      <c r="B10423" t="s">
        <v>3458</v>
      </c>
      <c r="C10423" t="s">
        <v>23490</v>
      </c>
      <c r="D10423" t="str">
        <f>HYPERLINK("https://rhld.insurance.arkansas.gov/NPILookup?Npi=1184626020","1184626020")</f>
        <v>1184626020</v>
      </c>
      <c r="E10423" t="s">
        <v>10721</v>
      </c>
    </row>
    <row r="10424" spans="1:5" x14ac:dyDescent="0.25">
      <c r="A10424" t="s">
        <v>2</v>
      </c>
      <c r="B10424" t="s">
        <v>3458</v>
      </c>
      <c r="C10424" t="s">
        <v>23490</v>
      </c>
      <c r="D10424" t="str">
        <f>HYPERLINK("https://rhld.insurance.arkansas.gov/NPILookup?Npi=1184630212","1184630212")</f>
        <v>1184630212</v>
      </c>
      <c r="E10424" t="s">
        <v>651</v>
      </c>
    </row>
    <row r="10425" spans="1:5" x14ac:dyDescent="0.25">
      <c r="A10425" t="s">
        <v>2</v>
      </c>
      <c r="B10425" t="s">
        <v>3458</v>
      </c>
      <c r="C10425" t="s">
        <v>23490</v>
      </c>
      <c r="D10425" t="str">
        <f>HYPERLINK("https://rhld.insurance.arkansas.gov/NPILookup?Npi=1184631376","1184631376")</f>
        <v>1184631376</v>
      </c>
      <c r="E10425" t="s">
        <v>652</v>
      </c>
    </row>
    <row r="10426" spans="1:5" x14ac:dyDescent="0.25">
      <c r="A10426" t="s">
        <v>2</v>
      </c>
      <c r="B10426" t="s">
        <v>3458</v>
      </c>
      <c r="C10426" t="s">
        <v>23490</v>
      </c>
      <c r="D10426" t="str">
        <f>HYPERLINK("https://rhld.insurance.arkansas.gov/NPILookup?Npi=1184631798","1184631798")</f>
        <v>1184631798</v>
      </c>
      <c r="E10426" t="s">
        <v>653</v>
      </c>
    </row>
    <row r="10427" spans="1:5" x14ac:dyDescent="0.25">
      <c r="A10427" t="s">
        <v>2</v>
      </c>
      <c r="B10427" t="s">
        <v>3458</v>
      </c>
      <c r="C10427" t="s">
        <v>23490</v>
      </c>
      <c r="D10427" t="str">
        <f>HYPERLINK("https://rhld.insurance.arkansas.gov/NPILookup?Npi=1184647166","1184647166")</f>
        <v>1184647166</v>
      </c>
      <c r="E10427" t="s">
        <v>656</v>
      </c>
    </row>
    <row r="10428" spans="1:5" x14ac:dyDescent="0.25">
      <c r="A10428" t="s">
        <v>2</v>
      </c>
      <c r="B10428" t="s">
        <v>3458</v>
      </c>
      <c r="C10428" t="s">
        <v>23490</v>
      </c>
      <c r="D10428" t="str">
        <f>HYPERLINK("https://rhld.insurance.arkansas.gov/NPILookup?Npi=1184650616","1184650616")</f>
        <v>1184650616</v>
      </c>
      <c r="E10428" t="s">
        <v>657</v>
      </c>
    </row>
    <row r="10429" spans="1:5" x14ac:dyDescent="0.25">
      <c r="A10429" t="s">
        <v>2</v>
      </c>
      <c r="B10429" t="s">
        <v>3458</v>
      </c>
      <c r="C10429" t="s">
        <v>23490</v>
      </c>
      <c r="D10429" t="str">
        <f>HYPERLINK("https://rhld.insurance.arkansas.gov/NPILookup?Npi=1184660698","1184660698")</f>
        <v>1184660698</v>
      </c>
      <c r="E10429" t="s">
        <v>14852</v>
      </c>
    </row>
    <row r="10430" spans="1:5" x14ac:dyDescent="0.25">
      <c r="A10430" t="s">
        <v>2</v>
      </c>
      <c r="B10430" t="s">
        <v>3458</v>
      </c>
      <c r="C10430" t="s">
        <v>23490</v>
      </c>
      <c r="D10430" t="str">
        <f>HYPERLINK("https://rhld.insurance.arkansas.gov/NPILookup?Npi=1184661431","1184661431")</f>
        <v>1184661431</v>
      </c>
      <c r="E10430" t="s">
        <v>659</v>
      </c>
    </row>
    <row r="10431" spans="1:5" x14ac:dyDescent="0.25">
      <c r="A10431" t="s">
        <v>2</v>
      </c>
      <c r="B10431" t="s">
        <v>3458</v>
      </c>
      <c r="C10431" t="s">
        <v>23490</v>
      </c>
      <c r="D10431" t="str">
        <f>HYPERLINK("https://rhld.insurance.arkansas.gov/NPILookup?Npi=1184663528","1184663528")</f>
        <v>1184663528</v>
      </c>
      <c r="E10431" t="s">
        <v>3562</v>
      </c>
    </row>
    <row r="10432" spans="1:5" x14ac:dyDescent="0.25">
      <c r="A10432" t="s">
        <v>2</v>
      </c>
      <c r="B10432" t="s">
        <v>3458</v>
      </c>
      <c r="C10432" t="s">
        <v>23490</v>
      </c>
      <c r="D10432" t="str">
        <f>HYPERLINK("https://rhld.insurance.arkansas.gov/NPILookup?Npi=1184675332","1184675332")</f>
        <v>1184675332</v>
      </c>
      <c r="E10432" t="s">
        <v>660</v>
      </c>
    </row>
    <row r="10433" spans="1:5" x14ac:dyDescent="0.25">
      <c r="A10433" t="s">
        <v>2</v>
      </c>
      <c r="B10433" t="s">
        <v>3458</v>
      </c>
      <c r="C10433" t="s">
        <v>23490</v>
      </c>
      <c r="D10433" t="str">
        <f>HYPERLINK("https://rhld.insurance.arkansas.gov/NPILookup?Npi=1184676041","1184676041")</f>
        <v>1184676041</v>
      </c>
      <c r="E10433" t="s">
        <v>661</v>
      </c>
    </row>
    <row r="10434" spans="1:5" x14ac:dyDescent="0.25">
      <c r="A10434" t="s">
        <v>2</v>
      </c>
      <c r="B10434" t="s">
        <v>3458</v>
      </c>
      <c r="C10434" t="s">
        <v>23490</v>
      </c>
      <c r="D10434" t="str">
        <f>HYPERLINK("https://rhld.insurance.arkansas.gov/NPILookup?Npi=1184680530","1184680530")</f>
        <v>1184680530</v>
      </c>
      <c r="E10434" t="s">
        <v>662</v>
      </c>
    </row>
    <row r="10435" spans="1:5" x14ac:dyDescent="0.25">
      <c r="A10435" t="s">
        <v>2</v>
      </c>
      <c r="B10435" t="s">
        <v>3458</v>
      </c>
      <c r="C10435" t="s">
        <v>23490</v>
      </c>
      <c r="D10435" t="str">
        <f>HYPERLINK("https://rhld.insurance.arkansas.gov/NPILookup?Npi=1184682866","1184682866")</f>
        <v>1184682866</v>
      </c>
      <c r="E10435" t="s">
        <v>663</v>
      </c>
    </row>
    <row r="10436" spans="1:5" x14ac:dyDescent="0.25">
      <c r="A10436" t="s">
        <v>2</v>
      </c>
      <c r="B10436" t="s">
        <v>3458</v>
      </c>
      <c r="C10436" t="s">
        <v>23490</v>
      </c>
      <c r="D10436" t="str">
        <f>HYPERLINK("https://rhld.insurance.arkansas.gov/NPILookup?Npi=1184684912","1184684912")</f>
        <v>1184684912</v>
      </c>
      <c r="E10436" t="s">
        <v>14853</v>
      </c>
    </row>
    <row r="10437" spans="1:5" x14ac:dyDescent="0.25">
      <c r="A10437" t="s">
        <v>2</v>
      </c>
      <c r="B10437" t="s">
        <v>3458</v>
      </c>
      <c r="C10437" t="s">
        <v>23490</v>
      </c>
      <c r="D10437" t="str">
        <f>HYPERLINK("https://rhld.insurance.arkansas.gov/NPILookup?Npi=1184690455","1184690455")</f>
        <v>1184690455</v>
      </c>
      <c r="E10437" t="s">
        <v>666</v>
      </c>
    </row>
    <row r="10438" spans="1:5" x14ac:dyDescent="0.25">
      <c r="A10438" t="s">
        <v>2</v>
      </c>
      <c r="B10438" t="s">
        <v>3458</v>
      </c>
      <c r="C10438" t="s">
        <v>23490</v>
      </c>
      <c r="D10438" t="str">
        <f>HYPERLINK("https://rhld.insurance.arkansas.gov/NPILookup?Npi=1184692683","1184692683")</f>
        <v>1184692683</v>
      </c>
      <c r="E10438" t="s">
        <v>3563</v>
      </c>
    </row>
    <row r="10439" spans="1:5" x14ac:dyDescent="0.25">
      <c r="A10439" t="s">
        <v>2</v>
      </c>
      <c r="B10439" t="s">
        <v>3458</v>
      </c>
      <c r="C10439" t="s">
        <v>23490</v>
      </c>
      <c r="D10439" t="str">
        <f>HYPERLINK("https://rhld.insurance.arkansas.gov/NPILookup?Npi=1184697203","1184697203")</f>
        <v>1184697203</v>
      </c>
      <c r="E10439" t="s">
        <v>667</v>
      </c>
    </row>
    <row r="10440" spans="1:5" x14ac:dyDescent="0.25">
      <c r="A10440" t="s">
        <v>2</v>
      </c>
      <c r="B10440" t="s">
        <v>3458</v>
      </c>
      <c r="C10440" t="s">
        <v>23490</v>
      </c>
      <c r="D10440" t="str">
        <f>HYPERLINK("https://rhld.insurance.arkansas.gov/NPILookup?Npi=1184734998","1184734998")</f>
        <v>1184734998</v>
      </c>
      <c r="E10440" t="s">
        <v>3564</v>
      </c>
    </row>
    <row r="10441" spans="1:5" x14ac:dyDescent="0.25">
      <c r="A10441" t="s">
        <v>2</v>
      </c>
      <c r="B10441" t="s">
        <v>3458</v>
      </c>
      <c r="C10441" t="s">
        <v>23490</v>
      </c>
      <c r="D10441" t="str">
        <f>HYPERLINK("https://rhld.insurance.arkansas.gov/NPILookup?Npi=1184848343","1184848343")</f>
        <v>1184848343</v>
      </c>
      <c r="E10441" t="s">
        <v>674</v>
      </c>
    </row>
    <row r="10442" spans="1:5" x14ac:dyDescent="0.25">
      <c r="A10442" t="s">
        <v>2</v>
      </c>
      <c r="B10442" t="s">
        <v>3458</v>
      </c>
      <c r="C10442" t="s">
        <v>23490</v>
      </c>
      <c r="D10442" t="str">
        <f>HYPERLINK("https://rhld.insurance.arkansas.gov/NPILookup?Npi=1184855686","1184855686")</f>
        <v>1184855686</v>
      </c>
      <c r="E10442" t="s">
        <v>3565</v>
      </c>
    </row>
    <row r="10443" spans="1:5" x14ac:dyDescent="0.25">
      <c r="A10443" t="s">
        <v>2</v>
      </c>
      <c r="B10443" t="s">
        <v>3458</v>
      </c>
      <c r="C10443" t="s">
        <v>23490</v>
      </c>
      <c r="D10443" t="str">
        <f>HYPERLINK("https://rhld.insurance.arkansas.gov/NPILookup?Npi=1184857690","1184857690")</f>
        <v>1184857690</v>
      </c>
      <c r="E10443" t="s">
        <v>675</v>
      </c>
    </row>
    <row r="10444" spans="1:5" x14ac:dyDescent="0.25">
      <c r="A10444" t="s">
        <v>2</v>
      </c>
      <c r="B10444" t="s">
        <v>3458</v>
      </c>
      <c r="C10444" t="s">
        <v>23490</v>
      </c>
      <c r="D10444" t="str">
        <f>HYPERLINK("https://rhld.insurance.arkansas.gov/NPILookup?Npi=1184865164","1184865164")</f>
        <v>1184865164</v>
      </c>
      <c r="E10444" t="s">
        <v>677</v>
      </c>
    </row>
    <row r="10445" spans="1:5" x14ac:dyDescent="0.25">
      <c r="A10445" t="s">
        <v>2</v>
      </c>
      <c r="B10445" t="s">
        <v>3458</v>
      </c>
      <c r="C10445" t="s">
        <v>23490</v>
      </c>
      <c r="D10445" t="str">
        <f>HYPERLINK("https://rhld.insurance.arkansas.gov/NPILookup?Npi=1184867012","1184867012")</f>
        <v>1184867012</v>
      </c>
      <c r="E10445" t="s">
        <v>3566</v>
      </c>
    </row>
    <row r="10446" spans="1:5" x14ac:dyDescent="0.25">
      <c r="A10446" t="s">
        <v>2</v>
      </c>
      <c r="B10446" t="s">
        <v>3458</v>
      </c>
      <c r="C10446" t="s">
        <v>23490</v>
      </c>
      <c r="D10446" t="str">
        <f>HYPERLINK("https://rhld.insurance.arkansas.gov/NPILookup?Npi=1184868945","1184868945")</f>
        <v>1184868945</v>
      </c>
      <c r="E10446" t="s">
        <v>3567</v>
      </c>
    </row>
    <row r="10447" spans="1:5" x14ac:dyDescent="0.25">
      <c r="A10447" t="s">
        <v>2</v>
      </c>
      <c r="B10447" t="s">
        <v>3458</v>
      </c>
      <c r="C10447" t="s">
        <v>23490</v>
      </c>
      <c r="D10447" t="str">
        <f>HYPERLINK("https://rhld.insurance.arkansas.gov/NPILookup?Npi=1184886137","1184886137")</f>
        <v>1184886137</v>
      </c>
      <c r="E10447" t="s">
        <v>678</v>
      </c>
    </row>
    <row r="10448" spans="1:5" x14ac:dyDescent="0.25">
      <c r="A10448" t="s">
        <v>2</v>
      </c>
      <c r="B10448" t="s">
        <v>3458</v>
      </c>
      <c r="C10448" t="s">
        <v>23490</v>
      </c>
      <c r="D10448" t="str">
        <f>HYPERLINK("https://rhld.insurance.arkansas.gov/NPILookup?Npi=1184935678","1184935678")</f>
        <v>1184935678</v>
      </c>
      <c r="E10448" t="s">
        <v>3568</v>
      </c>
    </row>
    <row r="10449" spans="1:5" x14ac:dyDescent="0.25">
      <c r="A10449" t="s">
        <v>2</v>
      </c>
      <c r="B10449" t="s">
        <v>3458</v>
      </c>
      <c r="C10449" t="s">
        <v>23490</v>
      </c>
      <c r="D10449" t="str">
        <f>HYPERLINK("https://rhld.insurance.arkansas.gov/NPILookup?Npi=1184935827","1184935827")</f>
        <v>1184935827</v>
      </c>
      <c r="E10449" t="s">
        <v>681</v>
      </c>
    </row>
    <row r="10450" spans="1:5" x14ac:dyDescent="0.25">
      <c r="A10450" t="s">
        <v>2</v>
      </c>
      <c r="B10450" t="s">
        <v>3458</v>
      </c>
      <c r="C10450" t="s">
        <v>23490</v>
      </c>
      <c r="D10450" t="str">
        <f>HYPERLINK("https://rhld.insurance.arkansas.gov/NPILookup?Npi=1184937328","1184937328")</f>
        <v>1184937328</v>
      </c>
      <c r="E10450" t="s">
        <v>21723</v>
      </c>
    </row>
    <row r="10451" spans="1:5" x14ac:dyDescent="0.25">
      <c r="A10451" t="s">
        <v>2</v>
      </c>
      <c r="B10451" t="s">
        <v>3458</v>
      </c>
      <c r="C10451" t="s">
        <v>23490</v>
      </c>
      <c r="D10451" t="str">
        <f>HYPERLINK("https://rhld.insurance.arkansas.gov/NPILookup?Npi=1184954034","1184954034")</f>
        <v>1184954034</v>
      </c>
      <c r="E10451" t="s">
        <v>21495</v>
      </c>
    </row>
    <row r="10452" spans="1:5" x14ac:dyDescent="0.25">
      <c r="A10452" t="s">
        <v>2</v>
      </c>
      <c r="B10452" t="s">
        <v>3458</v>
      </c>
      <c r="C10452" t="s">
        <v>23490</v>
      </c>
      <c r="D10452" t="str">
        <f>HYPERLINK("https://rhld.insurance.arkansas.gov/NPILookup?Npi=1184965113","1184965113")</f>
        <v>1184965113</v>
      </c>
      <c r="E10452" t="s">
        <v>19497</v>
      </c>
    </row>
    <row r="10453" spans="1:5" x14ac:dyDescent="0.25">
      <c r="A10453" t="s">
        <v>2</v>
      </c>
      <c r="B10453" t="s">
        <v>3458</v>
      </c>
      <c r="C10453" t="s">
        <v>23490</v>
      </c>
      <c r="D10453" t="str">
        <f>HYPERLINK("https://rhld.insurance.arkansas.gov/NPILookup?Npi=1184967945","1184967945")</f>
        <v>1184967945</v>
      </c>
      <c r="E10453" t="s">
        <v>12791</v>
      </c>
    </row>
    <row r="10454" spans="1:5" x14ac:dyDescent="0.25">
      <c r="A10454" t="s">
        <v>2</v>
      </c>
      <c r="B10454" t="s">
        <v>3458</v>
      </c>
      <c r="C10454" t="s">
        <v>23490</v>
      </c>
      <c r="D10454" t="str">
        <f>HYPERLINK("https://rhld.insurance.arkansas.gov/NPILookup?Npi=1184978421","1184978421")</f>
        <v>1184978421</v>
      </c>
      <c r="E10454" t="s">
        <v>683</v>
      </c>
    </row>
    <row r="10455" spans="1:5" x14ac:dyDescent="0.25">
      <c r="A10455" t="s">
        <v>2</v>
      </c>
      <c r="B10455" t="s">
        <v>3458</v>
      </c>
      <c r="C10455" t="s">
        <v>23490</v>
      </c>
      <c r="D10455" t="str">
        <f>HYPERLINK("https://rhld.insurance.arkansas.gov/NPILookup?Npi=1194040865","1194040865")</f>
        <v>1194040865</v>
      </c>
      <c r="E10455" t="s">
        <v>686</v>
      </c>
    </row>
    <row r="10456" spans="1:5" x14ac:dyDescent="0.25">
      <c r="A10456" t="s">
        <v>2</v>
      </c>
      <c r="B10456" t="s">
        <v>3458</v>
      </c>
      <c r="C10456" t="s">
        <v>23490</v>
      </c>
      <c r="D10456" t="str">
        <f>HYPERLINK("https://rhld.insurance.arkansas.gov/NPILookup?Npi=1194043661","1194043661")</f>
        <v>1194043661</v>
      </c>
      <c r="E10456" t="s">
        <v>3569</v>
      </c>
    </row>
    <row r="10457" spans="1:5" x14ac:dyDescent="0.25">
      <c r="A10457" t="s">
        <v>2</v>
      </c>
      <c r="B10457" t="s">
        <v>3458</v>
      </c>
      <c r="C10457" t="s">
        <v>23490</v>
      </c>
      <c r="D10457" t="str">
        <f>HYPERLINK("https://rhld.insurance.arkansas.gov/NPILookup?Npi=1194067769","1194067769")</f>
        <v>1194067769</v>
      </c>
      <c r="E10457" t="s">
        <v>11439</v>
      </c>
    </row>
    <row r="10458" spans="1:5" x14ac:dyDescent="0.25">
      <c r="A10458" t="s">
        <v>2</v>
      </c>
      <c r="B10458" t="s">
        <v>3458</v>
      </c>
      <c r="C10458" t="s">
        <v>23490</v>
      </c>
      <c r="D10458" t="str">
        <f>HYPERLINK("https://rhld.insurance.arkansas.gov/NPILookup?Npi=1194086926","1194086926")</f>
        <v>1194086926</v>
      </c>
      <c r="E10458" t="s">
        <v>8533</v>
      </c>
    </row>
    <row r="10459" spans="1:5" x14ac:dyDescent="0.25">
      <c r="A10459" t="s">
        <v>2</v>
      </c>
      <c r="B10459" t="s">
        <v>3458</v>
      </c>
      <c r="C10459" t="s">
        <v>23490</v>
      </c>
      <c r="D10459" t="str">
        <f>HYPERLINK("https://rhld.insurance.arkansas.gov/NPILookup?Npi=1194088054","1194088054")</f>
        <v>1194088054</v>
      </c>
      <c r="E10459" t="s">
        <v>687</v>
      </c>
    </row>
    <row r="10460" spans="1:5" x14ac:dyDescent="0.25">
      <c r="A10460" t="s">
        <v>2</v>
      </c>
      <c r="B10460" t="s">
        <v>3458</v>
      </c>
      <c r="C10460" t="s">
        <v>23490</v>
      </c>
      <c r="D10460" t="str">
        <f>HYPERLINK("https://rhld.insurance.arkansas.gov/NPILookup?Npi=1194089763","1194089763")</f>
        <v>1194089763</v>
      </c>
      <c r="E10460" t="s">
        <v>688</v>
      </c>
    </row>
    <row r="10461" spans="1:5" x14ac:dyDescent="0.25">
      <c r="A10461" t="s">
        <v>2</v>
      </c>
      <c r="B10461" t="s">
        <v>3458</v>
      </c>
      <c r="C10461" t="s">
        <v>23490</v>
      </c>
      <c r="D10461" t="str">
        <f>HYPERLINK("https://rhld.insurance.arkansas.gov/NPILookup?Npi=1194090787","1194090787")</f>
        <v>1194090787</v>
      </c>
      <c r="E10461" t="s">
        <v>19221</v>
      </c>
    </row>
    <row r="10462" spans="1:5" x14ac:dyDescent="0.25">
      <c r="A10462" t="s">
        <v>2</v>
      </c>
      <c r="B10462" t="s">
        <v>3458</v>
      </c>
      <c r="C10462" t="s">
        <v>23490</v>
      </c>
      <c r="D10462" t="str">
        <f>HYPERLINK("https://rhld.insurance.arkansas.gov/NPILookup?Npi=1194108597","1194108597")</f>
        <v>1194108597</v>
      </c>
      <c r="E10462" t="s">
        <v>19500</v>
      </c>
    </row>
    <row r="10463" spans="1:5" x14ac:dyDescent="0.25">
      <c r="A10463" t="s">
        <v>2</v>
      </c>
      <c r="B10463" t="s">
        <v>3458</v>
      </c>
      <c r="C10463" t="s">
        <v>23490</v>
      </c>
      <c r="D10463" t="str">
        <f>HYPERLINK("https://rhld.insurance.arkansas.gov/NPILookup?Npi=1194115691","1194115691")</f>
        <v>1194115691</v>
      </c>
      <c r="E10463" t="s">
        <v>689</v>
      </c>
    </row>
    <row r="10464" spans="1:5" x14ac:dyDescent="0.25">
      <c r="A10464" t="s">
        <v>2</v>
      </c>
      <c r="B10464" t="s">
        <v>3458</v>
      </c>
      <c r="C10464" t="s">
        <v>23490</v>
      </c>
      <c r="D10464" t="str">
        <f>HYPERLINK("https://rhld.insurance.arkansas.gov/NPILookup?Npi=1194118588","1194118588")</f>
        <v>1194118588</v>
      </c>
      <c r="E10464" t="s">
        <v>14855</v>
      </c>
    </row>
    <row r="10465" spans="1:5" x14ac:dyDescent="0.25">
      <c r="A10465" t="s">
        <v>2</v>
      </c>
      <c r="B10465" t="s">
        <v>3458</v>
      </c>
      <c r="C10465" t="s">
        <v>23490</v>
      </c>
      <c r="D10465" t="str">
        <f>HYPERLINK("https://rhld.insurance.arkansas.gov/NPILookup?Npi=1194121624","1194121624")</f>
        <v>1194121624</v>
      </c>
      <c r="E10465" t="s">
        <v>19501</v>
      </c>
    </row>
    <row r="10466" spans="1:5" x14ac:dyDescent="0.25">
      <c r="A10466" t="s">
        <v>2</v>
      </c>
      <c r="B10466" t="s">
        <v>3458</v>
      </c>
      <c r="C10466" t="s">
        <v>23490</v>
      </c>
      <c r="D10466" t="str">
        <f>HYPERLINK("https://rhld.insurance.arkansas.gov/NPILookup?Npi=1194141267","1194141267")</f>
        <v>1194141267</v>
      </c>
      <c r="E10466" t="s">
        <v>10724</v>
      </c>
    </row>
    <row r="10467" spans="1:5" x14ac:dyDescent="0.25">
      <c r="A10467" t="s">
        <v>2</v>
      </c>
      <c r="B10467" t="s">
        <v>3458</v>
      </c>
      <c r="C10467" t="s">
        <v>23490</v>
      </c>
      <c r="D10467" t="str">
        <f>HYPERLINK("https://rhld.insurance.arkansas.gov/NPILookup?Npi=1194144964","1194144964")</f>
        <v>1194144964</v>
      </c>
      <c r="E10467" t="s">
        <v>691</v>
      </c>
    </row>
    <row r="10468" spans="1:5" x14ac:dyDescent="0.25">
      <c r="A10468" t="s">
        <v>2</v>
      </c>
      <c r="B10468" t="s">
        <v>3458</v>
      </c>
      <c r="C10468" t="s">
        <v>23490</v>
      </c>
      <c r="D10468" t="str">
        <f>HYPERLINK("https://rhld.insurance.arkansas.gov/NPILookup?Npi=1194145599","1194145599")</f>
        <v>1194145599</v>
      </c>
      <c r="E10468" t="s">
        <v>15821</v>
      </c>
    </row>
    <row r="10469" spans="1:5" x14ac:dyDescent="0.25">
      <c r="A10469" t="s">
        <v>2</v>
      </c>
      <c r="B10469" t="s">
        <v>3458</v>
      </c>
      <c r="C10469" t="s">
        <v>23490</v>
      </c>
      <c r="D10469" t="str">
        <f>HYPERLINK("https://rhld.insurance.arkansas.gov/NPILookup?Npi=1194145607","1194145607")</f>
        <v>1194145607</v>
      </c>
      <c r="E10469" t="s">
        <v>14856</v>
      </c>
    </row>
    <row r="10470" spans="1:5" x14ac:dyDescent="0.25">
      <c r="A10470" t="s">
        <v>2</v>
      </c>
      <c r="B10470" t="s">
        <v>3458</v>
      </c>
      <c r="C10470" t="s">
        <v>23490</v>
      </c>
      <c r="D10470" t="str">
        <f>HYPERLINK("https://rhld.insurance.arkansas.gov/NPILookup?Npi=1194148197","1194148197")</f>
        <v>1194148197</v>
      </c>
      <c r="E10470" t="s">
        <v>692</v>
      </c>
    </row>
    <row r="10471" spans="1:5" x14ac:dyDescent="0.25">
      <c r="A10471" t="s">
        <v>2</v>
      </c>
      <c r="B10471" t="s">
        <v>3458</v>
      </c>
      <c r="C10471" t="s">
        <v>23490</v>
      </c>
      <c r="D10471" t="str">
        <f>HYPERLINK("https://rhld.insurance.arkansas.gov/NPILookup?Npi=1194162180","1194162180")</f>
        <v>1194162180</v>
      </c>
      <c r="E10471" t="s">
        <v>8534</v>
      </c>
    </row>
    <row r="10472" spans="1:5" x14ac:dyDescent="0.25">
      <c r="A10472" t="s">
        <v>2</v>
      </c>
      <c r="B10472" t="s">
        <v>3458</v>
      </c>
      <c r="C10472" t="s">
        <v>23490</v>
      </c>
      <c r="D10472" t="str">
        <f>HYPERLINK("https://rhld.insurance.arkansas.gov/NPILookup?Npi=1194166199","1194166199")</f>
        <v>1194166199</v>
      </c>
      <c r="E10472" t="s">
        <v>18765</v>
      </c>
    </row>
    <row r="10473" spans="1:5" x14ac:dyDescent="0.25">
      <c r="A10473" t="s">
        <v>2</v>
      </c>
      <c r="B10473" t="s">
        <v>3458</v>
      </c>
      <c r="C10473" t="s">
        <v>23490</v>
      </c>
      <c r="D10473" t="str">
        <f>HYPERLINK("https://rhld.insurance.arkansas.gov/NPILookup?Npi=1194166850","1194166850")</f>
        <v>1194166850</v>
      </c>
      <c r="E10473" t="s">
        <v>17398</v>
      </c>
    </row>
    <row r="10474" spans="1:5" x14ac:dyDescent="0.25">
      <c r="A10474" t="s">
        <v>2</v>
      </c>
      <c r="B10474" t="s">
        <v>3458</v>
      </c>
      <c r="C10474" t="s">
        <v>23490</v>
      </c>
      <c r="D10474" t="str">
        <f>HYPERLINK("https://rhld.insurance.arkansas.gov/NPILookup?Npi=1194178376","1194178376")</f>
        <v>1194178376</v>
      </c>
      <c r="E10474" t="s">
        <v>10725</v>
      </c>
    </row>
    <row r="10475" spans="1:5" x14ac:dyDescent="0.25">
      <c r="A10475" t="s">
        <v>2</v>
      </c>
      <c r="B10475" t="s">
        <v>3458</v>
      </c>
      <c r="C10475" t="s">
        <v>23490</v>
      </c>
      <c r="D10475" t="str">
        <f>HYPERLINK("https://rhld.insurance.arkansas.gov/NPILookup?Npi=1194178475","1194178475")</f>
        <v>1194178475</v>
      </c>
      <c r="E10475" t="s">
        <v>14858</v>
      </c>
    </row>
    <row r="10476" spans="1:5" x14ac:dyDescent="0.25">
      <c r="A10476" t="s">
        <v>2</v>
      </c>
      <c r="B10476" t="s">
        <v>3458</v>
      </c>
      <c r="C10476" t="s">
        <v>23490</v>
      </c>
      <c r="D10476" t="str">
        <f>HYPERLINK("https://rhld.insurance.arkansas.gov/NPILookup?Npi=1194182832","1194182832")</f>
        <v>1194182832</v>
      </c>
      <c r="E10476" t="s">
        <v>12792</v>
      </c>
    </row>
    <row r="10477" spans="1:5" x14ac:dyDescent="0.25">
      <c r="A10477" t="s">
        <v>2</v>
      </c>
      <c r="B10477" t="s">
        <v>3458</v>
      </c>
      <c r="C10477" t="s">
        <v>23490</v>
      </c>
      <c r="D10477" t="str">
        <f>HYPERLINK("https://rhld.insurance.arkansas.gov/NPILookup?Npi=1194183137","1194183137")</f>
        <v>1194183137</v>
      </c>
      <c r="E10477" t="s">
        <v>14860</v>
      </c>
    </row>
    <row r="10478" spans="1:5" x14ac:dyDescent="0.25">
      <c r="A10478" t="s">
        <v>2</v>
      </c>
      <c r="B10478" t="s">
        <v>3458</v>
      </c>
      <c r="C10478" t="s">
        <v>23490</v>
      </c>
      <c r="D10478" t="str">
        <f>HYPERLINK("https://rhld.insurance.arkansas.gov/NPILookup?Npi=1194210070","1194210070")</f>
        <v>1194210070</v>
      </c>
      <c r="E10478" t="s">
        <v>13411</v>
      </c>
    </row>
    <row r="10479" spans="1:5" x14ac:dyDescent="0.25">
      <c r="A10479" t="s">
        <v>2</v>
      </c>
      <c r="B10479" t="s">
        <v>3458</v>
      </c>
      <c r="C10479" t="s">
        <v>23490</v>
      </c>
      <c r="D10479" t="str">
        <f>HYPERLINK("https://rhld.insurance.arkansas.gov/NPILookup?Npi=1194215814","1194215814")</f>
        <v>1194215814</v>
      </c>
      <c r="E10479" t="s">
        <v>4429</v>
      </c>
    </row>
    <row r="10480" spans="1:5" x14ac:dyDescent="0.25">
      <c r="A10480" t="s">
        <v>2</v>
      </c>
      <c r="B10480" t="s">
        <v>3458</v>
      </c>
      <c r="C10480" t="s">
        <v>23490</v>
      </c>
      <c r="D10480" t="str">
        <f>HYPERLINK("https://rhld.insurance.arkansas.gov/NPILookup?Npi=1194220186","1194220186")</f>
        <v>1194220186</v>
      </c>
      <c r="E10480" t="s">
        <v>17895</v>
      </c>
    </row>
    <row r="10481" spans="1:5" x14ac:dyDescent="0.25">
      <c r="A10481" t="s">
        <v>2</v>
      </c>
      <c r="B10481" t="s">
        <v>3458</v>
      </c>
      <c r="C10481" t="s">
        <v>23490</v>
      </c>
      <c r="D10481" t="str">
        <f>HYPERLINK("https://rhld.insurance.arkansas.gov/NPILookup?Npi=1194232439","1194232439")</f>
        <v>1194232439</v>
      </c>
      <c r="E10481" t="s">
        <v>12793</v>
      </c>
    </row>
    <row r="10482" spans="1:5" x14ac:dyDescent="0.25">
      <c r="A10482" t="s">
        <v>2</v>
      </c>
      <c r="B10482" t="s">
        <v>3458</v>
      </c>
      <c r="C10482" t="s">
        <v>23490</v>
      </c>
      <c r="D10482" t="str">
        <f>HYPERLINK("https://rhld.insurance.arkansas.gov/NPILookup?Npi=1194254664","1194254664")</f>
        <v>1194254664</v>
      </c>
      <c r="E10482" t="s">
        <v>10726</v>
      </c>
    </row>
    <row r="10483" spans="1:5" x14ac:dyDescent="0.25">
      <c r="A10483" t="s">
        <v>2</v>
      </c>
      <c r="B10483" t="s">
        <v>3458</v>
      </c>
      <c r="C10483" t="s">
        <v>23490</v>
      </c>
      <c r="D10483" t="str">
        <f>HYPERLINK("https://rhld.insurance.arkansas.gov/NPILookup?Npi=1194257378","1194257378")</f>
        <v>1194257378</v>
      </c>
      <c r="E10483" t="s">
        <v>13412</v>
      </c>
    </row>
    <row r="10484" spans="1:5" x14ac:dyDescent="0.25">
      <c r="A10484" t="s">
        <v>2</v>
      </c>
      <c r="B10484" t="s">
        <v>3458</v>
      </c>
      <c r="C10484" t="s">
        <v>23490</v>
      </c>
      <c r="D10484" t="str">
        <f>HYPERLINK("https://rhld.insurance.arkansas.gov/NPILookup?Npi=1194263863","1194263863")</f>
        <v>1194263863</v>
      </c>
      <c r="E10484" t="s">
        <v>12967</v>
      </c>
    </row>
    <row r="10485" spans="1:5" x14ac:dyDescent="0.25">
      <c r="A10485" t="s">
        <v>2</v>
      </c>
      <c r="B10485" t="s">
        <v>3458</v>
      </c>
      <c r="C10485" t="s">
        <v>23490</v>
      </c>
      <c r="D10485" t="str">
        <f>HYPERLINK("https://rhld.insurance.arkansas.gov/NPILookup?Npi=1194281188","1194281188")</f>
        <v>1194281188</v>
      </c>
      <c r="E10485" t="s">
        <v>17896</v>
      </c>
    </row>
    <row r="10486" spans="1:5" x14ac:dyDescent="0.25">
      <c r="A10486" t="s">
        <v>2</v>
      </c>
      <c r="B10486" t="s">
        <v>3458</v>
      </c>
      <c r="C10486" t="s">
        <v>8427</v>
      </c>
      <c r="D10486" t="str">
        <f>HYPERLINK("https://rhld.insurance.arkansas.gov/NPILookup?Npi=1194285478","1194285478")</f>
        <v>1194285478</v>
      </c>
      <c r="E10486" t="s">
        <v>22904</v>
      </c>
    </row>
    <row r="10487" spans="1:5" x14ac:dyDescent="0.25">
      <c r="A10487" t="s">
        <v>2</v>
      </c>
      <c r="B10487" t="s">
        <v>3458</v>
      </c>
      <c r="C10487" t="s">
        <v>23490</v>
      </c>
      <c r="D10487" t="str">
        <f>HYPERLINK("https://rhld.insurance.arkansas.gov/NPILookup?Npi=1194291054","1194291054")</f>
        <v>1194291054</v>
      </c>
      <c r="E10487" t="s">
        <v>14862</v>
      </c>
    </row>
    <row r="10488" spans="1:5" x14ac:dyDescent="0.25">
      <c r="A10488" t="s">
        <v>2</v>
      </c>
      <c r="B10488" t="s">
        <v>3458</v>
      </c>
      <c r="C10488" t="s">
        <v>23490</v>
      </c>
      <c r="D10488" t="str">
        <f>HYPERLINK("https://rhld.insurance.arkansas.gov/NPILookup?Npi=1194291336","1194291336")</f>
        <v>1194291336</v>
      </c>
      <c r="E10488" t="s">
        <v>13413</v>
      </c>
    </row>
    <row r="10489" spans="1:5" x14ac:dyDescent="0.25">
      <c r="A10489" t="s">
        <v>2</v>
      </c>
      <c r="B10489" t="s">
        <v>3458</v>
      </c>
      <c r="C10489" t="s">
        <v>23490</v>
      </c>
      <c r="D10489" t="str">
        <f>HYPERLINK("https://rhld.insurance.arkansas.gov/NPILookup?Npi=1194300525","1194300525")</f>
        <v>1194300525</v>
      </c>
      <c r="E10489" t="s">
        <v>19502</v>
      </c>
    </row>
    <row r="10490" spans="1:5" x14ac:dyDescent="0.25">
      <c r="A10490" t="s">
        <v>2</v>
      </c>
      <c r="B10490" t="s">
        <v>3458</v>
      </c>
      <c r="C10490" t="s">
        <v>23490</v>
      </c>
      <c r="D10490" t="str">
        <f>HYPERLINK("https://rhld.insurance.arkansas.gov/NPILookup?Npi=1194308841","1194308841")</f>
        <v>1194308841</v>
      </c>
      <c r="E10490" t="s">
        <v>20911</v>
      </c>
    </row>
    <row r="10491" spans="1:5" x14ac:dyDescent="0.25">
      <c r="A10491" t="s">
        <v>2</v>
      </c>
      <c r="B10491" t="s">
        <v>3458</v>
      </c>
      <c r="C10491" t="s">
        <v>23490</v>
      </c>
      <c r="D10491" t="str">
        <f>HYPERLINK("https://rhld.insurance.arkansas.gov/NPILookup?Npi=1194311498","1194311498")</f>
        <v>1194311498</v>
      </c>
      <c r="E10491" t="s">
        <v>17897</v>
      </c>
    </row>
    <row r="10492" spans="1:5" x14ac:dyDescent="0.25">
      <c r="A10492" t="s">
        <v>2</v>
      </c>
      <c r="B10492" t="s">
        <v>3458</v>
      </c>
      <c r="C10492" t="s">
        <v>23490</v>
      </c>
      <c r="D10492" t="str">
        <f>HYPERLINK("https://rhld.insurance.arkansas.gov/NPILookup?Npi=1194321711","1194321711")</f>
        <v>1194321711</v>
      </c>
      <c r="E10492" t="s">
        <v>17898</v>
      </c>
    </row>
    <row r="10493" spans="1:5" x14ac:dyDescent="0.25">
      <c r="A10493" t="s">
        <v>2</v>
      </c>
      <c r="B10493" t="s">
        <v>3458</v>
      </c>
      <c r="C10493" t="s">
        <v>23490</v>
      </c>
      <c r="D10493" t="str">
        <f>HYPERLINK("https://rhld.insurance.arkansas.gov/NPILookup?Npi=1194340034","1194340034")</f>
        <v>1194340034</v>
      </c>
      <c r="E10493" t="s">
        <v>17899</v>
      </c>
    </row>
    <row r="10494" spans="1:5" x14ac:dyDescent="0.25">
      <c r="A10494" t="s">
        <v>2</v>
      </c>
      <c r="B10494" t="s">
        <v>3458</v>
      </c>
      <c r="C10494" t="s">
        <v>23490</v>
      </c>
      <c r="D10494" t="str">
        <f>HYPERLINK("https://rhld.insurance.arkansas.gov/NPILookup?Npi=1194360800","1194360800")</f>
        <v>1194360800</v>
      </c>
      <c r="E10494" t="s">
        <v>19503</v>
      </c>
    </row>
    <row r="10495" spans="1:5" x14ac:dyDescent="0.25">
      <c r="A10495" t="s">
        <v>2</v>
      </c>
      <c r="B10495" t="s">
        <v>3458</v>
      </c>
      <c r="C10495" t="s">
        <v>23490</v>
      </c>
      <c r="D10495" t="str">
        <f>HYPERLINK("https://rhld.insurance.arkansas.gov/NPILookup?Npi=1194700146","1194700146")</f>
        <v>1194700146</v>
      </c>
      <c r="E10495" t="s">
        <v>693</v>
      </c>
    </row>
    <row r="10496" spans="1:5" x14ac:dyDescent="0.25">
      <c r="A10496" t="s">
        <v>2</v>
      </c>
      <c r="B10496" t="s">
        <v>3458</v>
      </c>
      <c r="C10496" t="s">
        <v>23490</v>
      </c>
      <c r="D10496" t="str">
        <f>HYPERLINK("https://rhld.insurance.arkansas.gov/NPILookup?Npi=1194711697","1194711697")</f>
        <v>1194711697</v>
      </c>
      <c r="E10496" t="s">
        <v>696</v>
      </c>
    </row>
    <row r="10497" spans="1:5" x14ac:dyDescent="0.25">
      <c r="A10497" t="s">
        <v>2</v>
      </c>
      <c r="B10497" t="s">
        <v>3458</v>
      </c>
      <c r="C10497" t="s">
        <v>23490</v>
      </c>
      <c r="D10497" t="str">
        <f>HYPERLINK("https://rhld.insurance.arkansas.gov/NPILookup?Npi=1194720169","1194720169")</f>
        <v>1194720169</v>
      </c>
      <c r="E10497" t="s">
        <v>697</v>
      </c>
    </row>
    <row r="10498" spans="1:5" x14ac:dyDescent="0.25">
      <c r="A10498" t="s">
        <v>2</v>
      </c>
      <c r="B10498" t="s">
        <v>3458</v>
      </c>
      <c r="C10498" t="s">
        <v>23490</v>
      </c>
      <c r="D10498" t="str">
        <f>HYPERLINK("https://rhld.insurance.arkansas.gov/NPILookup?Npi=1194720862","1194720862")</f>
        <v>1194720862</v>
      </c>
      <c r="E10498" t="s">
        <v>14863</v>
      </c>
    </row>
    <row r="10499" spans="1:5" x14ac:dyDescent="0.25">
      <c r="A10499" t="s">
        <v>2</v>
      </c>
      <c r="B10499" t="s">
        <v>3458</v>
      </c>
      <c r="C10499" t="s">
        <v>23490</v>
      </c>
      <c r="D10499" t="str">
        <f>HYPERLINK("https://rhld.insurance.arkansas.gov/NPILookup?Npi=1194722173","1194722173")</f>
        <v>1194722173</v>
      </c>
      <c r="E10499" t="s">
        <v>698</v>
      </c>
    </row>
    <row r="10500" spans="1:5" x14ac:dyDescent="0.25">
      <c r="A10500" t="s">
        <v>2</v>
      </c>
      <c r="B10500" t="s">
        <v>3458</v>
      </c>
      <c r="C10500" t="s">
        <v>23490</v>
      </c>
      <c r="D10500" t="str">
        <f>HYPERLINK("https://rhld.insurance.arkansas.gov/NPILookup?Npi=1194725432","1194725432")</f>
        <v>1194725432</v>
      </c>
      <c r="E10500" t="s">
        <v>8535</v>
      </c>
    </row>
    <row r="10501" spans="1:5" x14ac:dyDescent="0.25">
      <c r="A10501" t="s">
        <v>2</v>
      </c>
      <c r="B10501" t="s">
        <v>3458</v>
      </c>
      <c r="C10501" t="s">
        <v>23490</v>
      </c>
      <c r="D10501" t="str">
        <f>HYPERLINK("https://rhld.insurance.arkansas.gov/NPILookup?Npi=1194726679","1194726679")</f>
        <v>1194726679</v>
      </c>
      <c r="E10501" t="s">
        <v>699</v>
      </c>
    </row>
    <row r="10502" spans="1:5" x14ac:dyDescent="0.25">
      <c r="A10502" t="s">
        <v>2</v>
      </c>
      <c r="B10502" t="s">
        <v>3458</v>
      </c>
      <c r="C10502" t="s">
        <v>23490</v>
      </c>
      <c r="D10502" t="str">
        <f>HYPERLINK("https://rhld.insurance.arkansas.gov/NPILookup?Npi=1194737676","1194737676")</f>
        <v>1194737676</v>
      </c>
      <c r="E10502" t="s">
        <v>3570</v>
      </c>
    </row>
    <row r="10503" spans="1:5" x14ac:dyDescent="0.25">
      <c r="A10503" t="s">
        <v>2</v>
      </c>
      <c r="B10503" t="s">
        <v>3458</v>
      </c>
      <c r="C10503" t="s">
        <v>23490</v>
      </c>
      <c r="D10503" t="str">
        <f>HYPERLINK("https://rhld.insurance.arkansas.gov/NPILookup?Npi=1194745521","1194745521")</f>
        <v>1194745521</v>
      </c>
      <c r="E10503" t="s">
        <v>10728</v>
      </c>
    </row>
    <row r="10504" spans="1:5" x14ac:dyDescent="0.25">
      <c r="A10504" t="s">
        <v>2</v>
      </c>
      <c r="B10504" t="s">
        <v>3458</v>
      </c>
      <c r="C10504" t="s">
        <v>23490</v>
      </c>
      <c r="D10504" t="str">
        <f>HYPERLINK("https://rhld.insurance.arkansas.gov/NPILookup?Npi=1194750653","1194750653")</f>
        <v>1194750653</v>
      </c>
      <c r="E10504" t="s">
        <v>701</v>
      </c>
    </row>
    <row r="10505" spans="1:5" x14ac:dyDescent="0.25">
      <c r="A10505" t="s">
        <v>2</v>
      </c>
      <c r="B10505" t="s">
        <v>3458</v>
      </c>
      <c r="C10505" t="s">
        <v>23490</v>
      </c>
      <c r="D10505" t="str">
        <f>HYPERLINK("https://rhld.insurance.arkansas.gov/NPILookup?Npi=1194757849","1194757849")</f>
        <v>1194757849</v>
      </c>
      <c r="E10505" t="s">
        <v>704</v>
      </c>
    </row>
    <row r="10506" spans="1:5" x14ac:dyDescent="0.25">
      <c r="A10506" t="s">
        <v>2</v>
      </c>
      <c r="B10506" t="s">
        <v>3458</v>
      </c>
      <c r="C10506" t="s">
        <v>23490</v>
      </c>
      <c r="D10506" t="str">
        <f>HYPERLINK("https://rhld.insurance.arkansas.gov/NPILookup?Npi=1194757872","1194757872")</f>
        <v>1194757872</v>
      </c>
      <c r="E10506" t="s">
        <v>705</v>
      </c>
    </row>
    <row r="10507" spans="1:5" x14ac:dyDescent="0.25">
      <c r="A10507" t="s">
        <v>2</v>
      </c>
      <c r="B10507" t="s">
        <v>3458</v>
      </c>
      <c r="C10507" t="s">
        <v>23490</v>
      </c>
      <c r="D10507" t="str">
        <f>HYPERLINK("https://rhld.insurance.arkansas.gov/NPILookup?Npi=1194767657","1194767657")</f>
        <v>1194767657</v>
      </c>
      <c r="E10507" t="s">
        <v>707</v>
      </c>
    </row>
    <row r="10508" spans="1:5" x14ac:dyDescent="0.25">
      <c r="A10508" t="s">
        <v>2</v>
      </c>
      <c r="B10508" t="s">
        <v>3458</v>
      </c>
      <c r="C10508" t="s">
        <v>23490</v>
      </c>
      <c r="D10508" t="str">
        <f>HYPERLINK("https://rhld.insurance.arkansas.gov/NPILookup?Npi=1194767897","1194767897")</f>
        <v>1194767897</v>
      </c>
      <c r="E10508" t="s">
        <v>708</v>
      </c>
    </row>
    <row r="10509" spans="1:5" x14ac:dyDescent="0.25">
      <c r="A10509" t="s">
        <v>2</v>
      </c>
      <c r="B10509" t="s">
        <v>3458</v>
      </c>
      <c r="C10509" t="s">
        <v>23490</v>
      </c>
      <c r="D10509" t="str">
        <f>HYPERLINK("https://rhld.insurance.arkansas.gov/NPILookup?Npi=1194768903","1194768903")</f>
        <v>1194768903</v>
      </c>
      <c r="E10509" t="s">
        <v>710</v>
      </c>
    </row>
    <row r="10510" spans="1:5" x14ac:dyDescent="0.25">
      <c r="A10510" t="s">
        <v>2</v>
      </c>
      <c r="B10510" t="s">
        <v>3458</v>
      </c>
      <c r="C10510" t="s">
        <v>23490</v>
      </c>
      <c r="D10510" t="str">
        <f>HYPERLINK("https://rhld.insurance.arkansas.gov/NPILookup?Npi=1194773861","1194773861")</f>
        <v>1194773861</v>
      </c>
      <c r="E10510" t="s">
        <v>3571</v>
      </c>
    </row>
    <row r="10511" spans="1:5" x14ac:dyDescent="0.25">
      <c r="A10511" t="s">
        <v>2</v>
      </c>
      <c r="B10511" t="s">
        <v>3458</v>
      </c>
      <c r="C10511" t="s">
        <v>23490</v>
      </c>
      <c r="D10511" t="str">
        <f>HYPERLINK("https://rhld.insurance.arkansas.gov/NPILookup?Npi=1194774646","1194774646")</f>
        <v>1194774646</v>
      </c>
      <c r="E10511" t="s">
        <v>10729</v>
      </c>
    </row>
    <row r="10512" spans="1:5" x14ac:dyDescent="0.25">
      <c r="A10512" t="s">
        <v>2</v>
      </c>
      <c r="B10512" t="s">
        <v>3458</v>
      </c>
      <c r="C10512" t="s">
        <v>23490</v>
      </c>
      <c r="D10512" t="str">
        <f>HYPERLINK("https://rhld.insurance.arkansas.gov/NPILookup?Npi=1194774802","1194774802")</f>
        <v>1194774802</v>
      </c>
      <c r="E10512" t="s">
        <v>14864</v>
      </c>
    </row>
    <row r="10513" spans="1:5" x14ac:dyDescent="0.25">
      <c r="A10513" t="s">
        <v>2</v>
      </c>
      <c r="B10513" t="s">
        <v>3458</v>
      </c>
      <c r="C10513" t="s">
        <v>23490</v>
      </c>
      <c r="D10513" t="str">
        <f>HYPERLINK("https://rhld.insurance.arkansas.gov/NPILookup?Npi=1194775296","1194775296")</f>
        <v>1194775296</v>
      </c>
      <c r="E10513" t="s">
        <v>3572</v>
      </c>
    </row>
    <row r="10514" spans="1:5" x14ac:dyDescent="0.25">
      <c r="A10514" t="s">
        <v>2</v>
      </c>
      <c r="B10514" t="s">
        <v>3458</v>
      </c>
      <c r="C10514" t="s">
        <v>23490</v>
      </c>
      <c r="D10514" t="str">
        <f>HYPERLINK("https://rhld.insurance.arkansas.gov/NPILookup?Npi=1194776344","1194776344")</f>
        <v>1194776344</v>
      </c>
      <c r="E10514" t="s">
        <v>10730</v>
      </c>
    </row>
    <row r="10515" spans="1:5" x14ac:dyDescent="0.25">
      <c r="A10515" t="s">
        <v>2</v>
      </c>
      <c r="B10515" t="s">
        <v>3458</v>
      </c>
      <c r="C10515" t="s">
        <v>23490</v>
      </c>
      <c r="D10515" t="str">
        <f>HYPERLINK("https://rhld.insurance.arkansas.gov/NPILookup?Npi=1194786111","1194786111")</f>
        <v>1194786111</v>
      </c>
      <c r="E10515" t="s">
        <v>711</v>
      </c>
    </row>
    <row r="10516" spans="1:5" x14ac:dyDescent="0.25">
      <c r="A10516" t="s">
        <v>2</v>
      </c>
      <c r="B10516" t="s">
        <v>3458</v>
      </c>
      <c r="C10516" t="s">
        <v>23490</v>
      </c>
      <c r="D10516" t="str">
        <f>HYPERLINK("https://rhld.insurance.arkansas.gov/NPILookup?Npi=1194786533","1194786533")</f>
        <v>1194786533</v>
      </c>
      <c r="E10516" t="s">
        <v>712</v>
      </c>
    </row>
    <row r="10517" spans="1:5" x14ac:dyDescent="0.25">
      <c r="A10517" t="s">
        <v>2</v>
      </c>
      <c r="B10517" t="s">
        <v>3458</v>
      </c>
      <c r="C10517" t="s">
        <v>23490</v>
      </c>
      <c r="D10517" t="str">
        <f>HYPERLINK("https://rhld.insurance.arkansas.gov/NPILookup?Npi=1194789685","1194789685")</f>
        <v>1194789685</v>
      </c>
      <c r="E10517" t="s">
        <v>3573</v>
      </c>
    </row>
    <row r="10518" spans="1:5" x14ac:dyDescent="0.25">
      <c r="A10518" t="s">
        <v>2</v>
      </c>
      <c r="B10518" t="s">
        <v>3458</v>
      </c>
      <c r="C10518" t="s">
        <v>23490</v>
      </c>
      <c r="D10518" t="str">
        <f>HYPERLINK("https://rhld.insurance.arkansas.gov/NPILookup?Npi=1194793224","1194793224")</f>
        <v>1194793224</v>
      </c>
      <c r="E10518" t="s">
        <v>713</v>
      </c>
    </row>
    <row r="10519" spans="1:5" x14ac:dyDescent="0.25">
      <c r="A10519" t="s">
        <v>2</v>
      </c>
      <c r="B10519" t="s">
        <v>3458</v>
      </c>
      <c r="C10519" t="s">
        <v>23490</v>
      </c>
      <c r="D10519" t="str">
        <f>HYPERLINK("https://rhld.insurance.arkansas.gov/NPILookup?Npi=1194816652","1194816652")</f>
        <v>1194816652</v>
      </c>
      <c r="E10519" t="s">
        <v>22898</v>
      </c>
    </row>
    <row r="10520" spans="1:5" x14ac:dyDescent="0.25">
      <c r="A10520" t="s">
        <v>2</v>
      </c>
      <c r="B10520" t="s">
        <v>3458</v>
      </c>
      <c r="C10520" t="s">
        <v>23490</v>
      </c>
      <c r="D10520" t="str">
        <f>HYPERLINK("https://rhld.insurance.arkansas.gov/NPILookup?Npi=1194824193","1194824193")</f>
        <v>1194824193</v>
      </c>
      <c r="E10520" t="s">
        <v>10731</v>
      </c>
    </row>
    <row r="10521" spans="1:5" x14ac:dyDescent="0.25">
      <c r="A10521" t="s">
        <v>2</v>
      </c>
      <c r="B10521" t="s">
        <v>3458</v>
      </c>
      <c r="C10521" t="s">
        <v>23490</v>
      </c>
      <c r="D10521" t="str">
        <f>HYPERLINK("https://rhld.insurance.arkansas.gov/NPILookup?Npi=1194831164","1194831164")</f>
        <v>1194831164</v>
      </c>
      <c r="E10521" t="s">
        <v>15822</v>
      </c>
    </row>
    <row r="10522" spans="1:5" x14ac:dyDescent="0.25">
      <c r="A10522" t="s">
        <v>2</v>
      </c>
      <c r="B10522" t="s">
        <v>3458</v>
      </c>
      <c r="C10522" t="s">
        <v>23490</v>
      </c>
      <c r="D10522" t="str">
        <f>HYPERLINK("https://rhld.insurance.arkansas.gov/NPILookup?Npi=1194866947","1194866947")</f>
        <v>1194866947</v>
      </c>
      <c r="E10522" t="s">
        <v>15823</v>
      </c>
    </row>
    <row r="10523" spans="1:5" x14ac:dyDescent="0.25">
      <c r="A10523" t="s">
        <v>2</v>
      </c>
      <c r="B10523" t="s">
        <v>3458</v>
      </c>
      <c r="C10523" t="s">
        <v>23490</v>
      </c>
      <c r="D10523" t="str">
        <f>HYPERLINK("https://rhld.insurance.arkansas.gov/NPILookup?Npi=1194881748","1194881748")</f>
        <v>1194881748</v>
      </c>
      <c r="E10523" t="s">
        <v>14865</v>
      </c>
    </row>
    <row r="10524" spans="1:5" x14ac:dyDescent="0.25">
      <c r="A10524" t="s">
        <v>2</v>
      </c>
      <c r="B10524" t="s">
        <v>3458</v>
      </c>
      <c r="C10524" t="s">
        <v>23490</v>
      </c>
      <c r="D10524" t="str">
        <f>HYPERLINK("https://rhld.insurance.arkansas.gov/NPILookup?Npi=1194895490","1194895490")</f>
        <v>1194895490</v>
      </c>
      <c r="E10524" t="s">
        <v>10732</v>
      </c>
    </row>
    <row r="10525" spans="1:5" x14ac:dyDescent="0.25">
      <c r="A10525" t="s">
        <v>2</v>
      </c>
      <c r="B10525" t="s">
        <v>3458</v>
      </c>
      <c r="C10525" t="s">
        <v>23490</v>
      </c>
      <c r="D10525" t="str">
        <f>HYPERLINK("https://rhld.insurance.arkansas.gov/NPILookup?Npi=1194921635","1194921635")</f>
        <v>1194921635</v>
      </c>
      <c r="E10525" t="s">
        <v>715</v>
      </c>
    </row>
    <row r="10526" spans="1:5" x14ac:dyDescent="0.25">
      <c r="A10526" t="s">
        <v>2</v>
      </c>
      <c r="B10526" t="s">
        <v>3458</v>
      </c>
      <c r="C10526" t="s">
        <v>23490</v>
      </c>
      <c r="D10526" t="str">
        <f>HYPERLINK("https://rhld.insurance.arkansas.gov/NPILookup?Npi=1194930537","1194930537")</f>
        <v>1194930537</v>
      </c>
      <c r="E10526" t="s">
        <v>17399</v>
      </c>
    </row>
    <row r="10527" spans="1:5" x14ac:dyDescent="0.25">
      <c r="A10527" t="s">
        <v>2</v>
      </c>
      <c r="B10527" t="s">
        <v>3458</v>
      </c>
      <c r="C10527" t="s">
        <v>23490</v>
      </c>
      <c r="D10527" t="str">
        <f>HYPERLINK("https://rhld.insurance.arkansas.gov/NPILookup?Npi=1194944421","1194944421")</f>
        <v>1194944421</v>
      </c>
      <c r="E10527" t="s">
        <v>3574</v>
      </c>
    </row>
    <row r="10528" spans="1:5" x14ac:dyDescent="0.25">
      <c r="A10528" t="s">
        <v>2</v>
      </c>
      <c r="B10528" t="s">
        <v>3458</v>
      </c>
      <c r="C10528" t="s">
        <v>23490</v>
      </c>
      <c r="D10528" t="str">
        <f>HYPERLINK("https://rhld.insurance.arkansas.gov/NPILookup?Npi=1194953141","1194953141")</f>
        <v>1194953141</v>
      </c>
      <c r="E10528" t="s">
        <v>17400</v>
      </c>
    </row>
    <row r="10529" spans="1:5" x14ac:dyDescent="0.25">
      <c r="A10529" t="s">
        <v>2</v>
      </c>
      <c r="B10529" t="s">
        <v>3458</v>
      </c>
      <c r="C10529" t="s">
        <v>23490</v>
      </c>
      <c r="D10529" t="str">
        <f>HYPERLINK("https://rhld.insurance.arkansas.gov/NPILookup?Npi=1194963355","1194963355")</f>
        <v>1194963355</v>
      </c>
      <c r="E10529" t="s">
        <v>716</v>
      </c>
    </row>
    <row r="10530" spans="1:5" x14ac:dyDescent="0.25">
      <c r="A10530" t="s">
        <v>2</v>
      </c>
      <c r="B10530" t="s">
        <v>3458</v>
      </c>
      <c r="C10530" t="s">
        <v>23490</v>
      </c>
      <c r="D10530" t="str">
        <f>HYPERLINK("https://rhld.insurance.arkansas.gov/NPILookup?Npi=1194967414","1194967414")</f>
        <v>1194967414</v>
      </c>
      <c r="E10530" t="s">
        <v>717</v>
      </c>
    </row>
    <row r="10531" spans="1:5" x14ac:dyDescent="0.25">
      <c r="A10531" t="s">
        <v>2</v>
      </c>
      <c r="B10531" t="s">
        <v>3458</v>
      </c>
      <c r="C10531" t="s">
        <v>23490</v>
      </c>
      <c r="D10531" t="str">
        <f>HYPERLINK("https://rhld.insurance.arkansas.gov/NPILookup?Npi=1194976852","1194976852")</f>
        <v>1194976852</v>
      </c>
      <c r="E10531" t="s">
        <v>718</v>
      </c>
    </row>
    <row r="10532" spans="1:5" x14ac:dyDescent="0.25">
      <c r="A10532" t="s">
        <v>2</v>
      </c>
      <c r="B10532" t="s">
        <v>3458</v>
      </c>
      <c r="C10532" t="s">
        <v>23490</v>
      </c>
      <c r="D10532" t="str">
        <f>HYPERLINK("https://rhld.insurance.arkansas.gov/NPILookup?Npi=1194990366","1194990366")</f>
        <v>1194990366</v>
      </c>
      <c r="E10532" t="s">
        <v>719</v>
      </c>
    </row>
    <row r="10533" spans="1:5" x14ac:dyDescent="0.25">
      <c r="A10533" t="s">
        <v>2</v>
      </c>
      <c r="B10533" t="s">
        <v>3458</v>
      </c>
      <c r="C10533" t="s">
        <v>23490</v>
      </c>
      <c r="D10533" t="str">
        <f>HYPERLINK("https://rhld.insurance.arkansas.gov/NPILookup?Npi=1194992172","1194992172")</f>
        <v>1194992172</v>
      </c>
      <c r="E10533" t="s">
        <v>15824</v>
      </c>
    </row>
    <row r="10534" spans="1:5" x14ac:dyDescent="0.25">
      <c r="A10534" t="s">
        <v>2</v>
      </c>
      <c r="B10534" t="s">
        <v>3458</v>
      </c>
      <c r="C10534" t="s">
        <v>23490</v>
      </c>
      <c r="D10534" t="str">
        <f>HYPERLINK("https://rhld.insurance.arkansas.gov/NPILookup?Npi=1205003605","1205003605")</f>
        <v>1205003605</v>
      </c>
      <c r="E10534" t="s">
        <v>3575</v>
      </c>
    </row>
    <row r="10535" spans="1:5" x14ac:dyDescent="0.25">
      <c r="A10535" t="s">
        <v>2</v>
      </c>
      <c r="B10535" t="s">
        <v>3458</v>
      </c>
      <c r="C10535" t="s">
        <v>23490</v>
      </c>
      <c r="D10535" t="str">
        <f>HYPERLINK("https://rhld.insurance.arkansas.gov/NPILookup?Npi=1205007309","1205007309")</f>
        <v>1205007309</v>
      </c>
      <c r="E10535" t="s">
        <v>8536</v>
      </c>
    </row>
    <row r="10536" spans="1:5" x14ac:dyDescent="0.25">
      <c r="A10536" t="s">
        <v>2</v>
      </c>
      <c r="B10536" t="s">
        <v>3458</v>
      </c>
      <c r="C10536" t="s">
        <v>23490</v>
      </c>
      <c r="D10536" t="str">
        <f>HYPERLINK("https://rhld.insurance.arkansas.gov/NPILookup?Npi=1205009818","1205009818")</f>
        <v>1205009818</v>
      </c>
      <c r="E10536" t="s">
        <v>720</v>
      </c>
    </row>
    <row r="10537" spans="1:5" x14ac:dyDescent="0.25">
      <c r="A10537" t="s">
        <v>2</v>
      </c>
      <c r="B10537" t="s">
        <v>3458</v>
      </c>
      <c r="C10537" t="s">
        <v>23490</v>
      </c>
      <c r="D10537" t="str">
        <f>HYPERLINK("https://rhld.insurance.arkansas.gov/NPILookup?Npi=1205023207","1205023207")</f>
        <v>1205023207</v>
      </c>
      <c r="E10537" t="s">
        <v>722</v>
      </c>
    </row>
    <row r="10538" spans="1:5" x14ac:dyDescent="0.25">
      <c r="A10538" t="s">
        <v>2</v>
      </c>
      <c r="B10538" t="s">
        <v>3458</v>
      </c>
      <c r="C10538" t="s">
        <v>23490</v>
      </c>
      <c r="D10538" t="str">
        <f>HYPERLINK("https://rhld.insurance.arkansas.gov/NPILookup?Npi=1205030335","1205030335")</f>
        <v>1205030335</v>
      </c>
      <c r="E10538" t="s">
        <v>723</v>
      </c>
    </row>
    <row r="10539" spans="1:5" x14ac:dyDescent="0.25">
      <c r="A10539" t="s">
        <v>2</v>
      </c>
      <c r="B10539" t="s">
        <v>3458</v>
      </c>
      <c r="C10539" t="s">
        <v>23490</v>
      </c>
      <c r="D10539" t="str">
        <f>HYPERLINK("https://rhld.insurance.arkansas.gov/NPILookup?Npi=1205032745","1205032745")</f>
        <v>1205032745</v>
      </c>
      <c r="E10539" t="s">
        <v>724</v>
      </c>
    </row>
    <row r="10540" spans="1:5" x14ac:dyDescent="0.25">
      <c r="A10540" t="s">
        <v>2</v>
      </c>
      <c r="B10540" t="s">
        <v>3458</v>
      </c>
      <c r="C10540" t="s">
        <v>23490</v>
      </c>
      <c r="D10540" t="str">
        <f>HYPERLINK("https://rhld.insurance.arkansas.gov/NPILookup?Npi=1205037611","1205037611")</f>
        <v>1205037611</v>
      </c>
      <c r="E10540" t="s">
        <v>725</v>
      </c>
    </row>
    <row r="10541" spans="1:5" x14ac:dyDescent="0.25">
      <c r="A10541" t="s">
        <v>2</v>
      </c>
      <c r="B10541" t="s">
        <v>3458</v>
      </c>
      <c r="C10541" t="s">
        <v>23490</v>
      </c>
      <c r="D10541" t="str">
        <f>HYPERLINK("https://rhld.insurance.arkansas.gov/NPILookup?Npi=1205043510","1205043510")</f>
        <v>1205043510</v>
      </c>
      <c r="E10541" t="s">
        <v>726</v>
      </c>
    </row>
    <row r="10542" spans="1:5" x14ac:dyDescent="0.25">
      <c r="A10542" t="s">
        <v>2</v>
      </c>
      <c r="B10542" t="s">
        <v>3458</v>
      </c>
      <c r="C10542" t="s">
        <v>23490</v>
      </c>
      <c r="D10542" t="str">
        <f>HYPERLINK("https://rhld.insurance.arkansas.gov/NPILookup?Npi=1205064581","1205064581")</f>
        <v>1205064581</v>
      </c>
      <c r="E10542" t="s">
        <v>728</v>
      </c>
    </row>
    <row r="10543" spans="1:5" x14ac:dyDescent="0.25">
      <c r="A10543" t="s">
        <v>2</v>
      </c>
      <c r="B10543" t="s">
        <v>3458</v>
      </c>
      <c r="C10543" t="s">
        <v>23490</v>
      </c>
      <c r="D10543" t="str">
        <f>HYPERLINK("https://rhld.insurance.arkansas.gov/NPILookup?Npi=1205076403","1205076403")</f>
        <v>1205076403</v>
      </c>
      <c r="E10543" t="s">
        <v>18695</v>
      </c>
    </row>
    <row r="10544" spans="1:5" x14ac:dyDescent="0.25">
      <c r="A10544" t="s">
        <v>2</v>
      </c>
      <c r="B10544" t="s">
        <v>3458</v>
      </c>
      <c r="C10544" t="s">
        <v>23490</v>
      </c>
      <c r="D10544" t="str">
        <f>HYPERLINK("https://rhld.insurance.arkansas.gov/NPILookup?Npi=1205078482","1205078482")</f>
        <v>1205078482</v>
      </c>
      <c r="E10544" t="s">
        <v>730</v>
      </c>
    </row>
    <row r="10545" spans="1:5" x14ac:dyDescent="0.25">
      <c r="A10545" t="s">
        <v>2</v>
      </c>
      <c r="B10545" t="s">
        <v>3458</v>
      </c>
      <c r="C10545" t="s">
        <v>23490</v>
      </c>
      <c r="D10545" t="str">
        <f>HYPERLINK("https://rhld.insurance.arkansas.gov/NPILookup?Npi=1205093085","1205093085")</f>
        <v>1205093085</v>
      </c>
      <c r="E10545" t="s">
        <v>731</v>
      </c>
    </row>
    <row r="10546" spans="1:5" x14ac:dyDescent="0.25">
      <c r="A10546" t="s">
        <v>2</v>
      </c>
      <c r="B10546" t="s">
        <v>3458</v>
      </c>
      <c r="C10546" t="s">
        <v>23490</v>
      </c>
      <c r="D10546" t="str">
        <f>HYPERLINK("https://rhld.insurance.arkansas.gov/NPILookup?Npi=1205096351","1205096351")</f>
        <v>1205096351</v>
      </c>
      <c r="E10546" t="s">
        <v>732</v>
      </c>
    </row>
    <row r="10547" spans="1:5" x14ac:dyDescent="0.25">
      <c r="A10547" t="s">
        <v>2</v>
      </c>
      <c r="B10547" t="s">
        <v>3458</v>
      </c>
      <c r="C10547" t="s">
        <v>23490</v>
      </c>
      <c r="D10547" t="str">
        <f>HYPERLINK("https://rhld.insurance.arkansas.gov/NPILookup?Npi=1205110301","1205110301")</f>
        <v>1205110301</v>
      </c>
      <c r="E10547" t="s">
        <v>14867</v>
      </c>
    </row>
    <row r="10548" spans="1:5" x14ac:dyDescent="0.25">
      <c r="A10548" t="s">
        <v>2</v>
      </c>
      <c r="B10548" t="s">
        <v>3458</v>
      </c>
      <c r="C10548" t="s">
        <v>23490</v>
      </c>
      <c r="D10548" t="str">
        <f>HYPERLINK("https://rhld.insurance.arkansas.gov/NPILookup?Npi=1205148210","1205148210")</f>
        <v>1205148210</v>
      </c>
      <c r="E10548" t="s">
        <v>18696</v>
      </c>
    </row>
    <row r="10549" spans="1:5" x14ac:dyDescent="0.25">
      <c r="A10549" t="s">
        <v>2</v>
      </c>
      <c r="B10549" t="s">
        <v>3458</v>
      </c>
      <c r="C10549" t="s">
        <v>23490</v>
      </c>
      <c r="D10549" t="str">
        <f>HYPERLINK("https://rhld.insurance.arkansas.gov/NPILookup?Npi=1205152980","1205152980")</f>
        <v>1205152980</v>
      </c>
      <c r="E10549" t="s">
        <v>3576</v>
      </c>
    </row>
    <row r="10550" spans="1:5" x14ac:dyDescent="0.25">
      <c r="A10550" t="s">
        <v>2</v>
      </c>
      <c r="B10550" t="s">
        <v>3458</v>
      </c>
      <c r="C10550" t="s">
        <v>23490</v>
      </c>
      <c r="D10550" t="str">
        <f>HYPERLINK("https://rhld.insurance.arkansas.gov/NPILookup?Npi=1205153863","1205153863")</f>
        <v>1205153863</v>
      </c>
      <c r="E10550" t="s">
        <v>8537</v>
      </c>
    </row>
    <row r="10551" spans="1:5" x14ac:dyDescent="0.25">
      <c r="A10551" t="s">
        <v>2</v>
      </c>
      <c r="B10551" t="s">
        <v>3458</v>
      </c>
      <c r="C10551" t="s">
        <v>23490</v>
      </c>
      <c r="D10551" t="str">
        <f>HYPERLINK("https://rhld.insurance.arkansas.gov/NPILookup?Npi=1205178464","1205178464")</f>
        <v>1205178464</v>
      </c>
      <c r="E10551" t="s">
        <v>8538</v>
      </c>
    </row>
    <row r="10552" spans="1:5" x14ac:dyDescent="0.25">
      <c r="A10552" t="s">
        <v>2</v>
      </c>
      <c r="B10552" t="s">
        <v>3458</v>
      </c>
      <c r="C10552" t="s">
        <v>23490</v>
      </c>
      <c r="D10552" t="str">
        <f>HYPERLINK("https://rhld.insurance.arkansas.gov/NPILookup?Npi=1205179298","1205179298")</f>
        <v>1205179298</v>
      </c>
      <c r="E10552" t="s">
        <v>22906</v>
      </c>
    </row>
    <row r="10553" spans="1:5" x14ac:dyDescent="0.25">
      <c r="A10553" t="s">
        <v>2</v>
      </c>
      <c r="B10553" t="s">
        <v>3458</v>
      </c>
      <c r="C10553" t="s">
        <v>23490</v>
      </c>
      <c r="D10553" t="str">
        <f>HYPERLINK("https://rhld.insurance.arkansas.gov/NPILookup?Npi=1205194107","1205194107")</f>
        <v>1205194107</v>
      </c>
      <c r="E10553" t="s">
        <v>3577</v>
      </c>
    </row>
    <row r="10554" spans="1:5" x14ac:dyDescent="0.25">
      <c r="A10554" t="s">
        <v>2</v>
      </c>
      <c r="B10554" t="s">
        <v>3458</v>
      </c>
      <c r="C10554" t="s">
        <v>23490</v>
      </c>
      <c r="D10554" t="str">
        <f>HYPERLINK("https://rhld.insurance.arkansas.gov/NPILookup?Npi=1205220654","1205220654")</f>
        <v>1205220654</v>
      </c>
      <c r="E10554" t="s">
        <v>13416</v>
      </c>
    </row>
    <row r="10555" spans="1:5" x14ac:dyDescent="0.25">
      <c r="A10555" t="s">
        <v>2</v>
      </c>
      <c r="B10555" t="s">
        <v>3458</v>
      </c>
      <c r="C10555" t="s">
        <v>23490</v>
      </c>
      <c r="D10555" t="str">
        <f>HYPERLINK("https://rhld.insurance.arkansas.gov/NPILookup?Npi=1205224870","1205224870")</f>
        <v>1205224870</v>
      </c>
      <c r="E10555" t="s">
        <v>734</v>
      </c>
    </row>
    <row r="10556" spans="1:5" x14ac:dyDescent="0.25">
      <c r="A10556" t="s">
        <v>2</v>
      </c>
      <c r="B10556" t="s">
        <v>3458</v>
      </c>
      <c r="C10556" t="s">
        <v>23490</v>
      </c>
      <c r="D10556" t="str">
        <f>HYPERLINK("https://rhld.insurance.arkansas.gov/NPILookup?Npi=1205226925","1205226925")</f>
        <v>1205226925</v>
      </c>
      <c r="E10556" t="s">
        <v>735</v>
      </c>
    </row>
    <row r="10557" spans="1:5" x14ac:dyDescent="0.25">
      <c r="A10557" t="s">
        <v>2</v>
      </c>
      <c r="B10557" t="s">
        <v>3458</v>
      </c>
      <c r="C10557" t="s">
        <v>23490</v>
      </c>
      <c r="D10557" t="str">
        <f>HYPERLINK("https://rhld.insurance.arkansas.gov/NPILookup?Npi=1205236551","1205236551")</f>
        <v>1205236551</v>
      </c>
      <c r="E10557" t="s">
        <v>17401</v>
      </c>
    </row>
    <row r="10558" spans="1:5" x14ac:dyDescent="0.25">
      <c r="A10558" t="s">
        <v>2</v>
      </c>
      <c r="B10558" t="s">
        <v>3458</v>
      </c>
      <c r="C10558" t="s">
        <v>23490</v>
      </c>
      <c r="D10558" t="str">
        <f>HYPERLINK("https://rhld.insurance.arkansas.gov/NPILookup?Npi=1205240041","1205240041")</f>
        <v>1205240041</v>
      </c>
      <c r="E10558" t="s">
        <v>10734</v>
      </c>
    </row>
    <row r="10559" spans="1:5" x14ac:dyDescent="0.25">
      <c r="A10559" t="s">
        <v>2</v>
      </c>
      <c r="B10559" t="s">
        <v>3458</v>
      </c>
      <c r="C10559" t="s">
        <v>23490</v>
      </c>
      <c r="D10559" t="str">
        <f>HYPERLINK("https://rhld.insurance.arkansas.gov/NPILookup?Npi=1205292968","1205292968")</f>
        <v>1205292968</v>
      </c>
      <c r="E10559" t="s">
        <v>8539</v>
      </c>
    </row>
    <row r="10560" spans="1:5" x14ac:dyDescent="0.25">
      <c r="A10560" t="s">
        <v>2</v>
      </c>
      <c r="B10560" t="s">
        <v>3458</v>
      </c>
      <c r="C10560" t="s">
        <v>23490</v>
      </c>
      <c r="D10560" t="str">
        <f>HYPERLINK("https://rhld.insurance.arkansas.gov/NPILookup?Npi=1205293750","1205293750")</f>
        <v>1205293750</v>
      </c>
      <c r="E10560" t="s">
        <v>8540</v>
      </c>
    </row>
    <row r="10561" spans="1:5" x14ac:dyDescent="0.25">
      <c r="A10561" t="s">
        <v>2</v>
      </c>
      <c r="B10561" t="s">
        <v>3458</v>
      </c>
      <c r="C10561" t="s">
        <v>23490</v>
      </c>
      <c r="D10561" t="str">
        <f>HYPERLINK("https://rhld.insurance.arkansas.gov/NPILookup?Npi=1205299856","1205299856")</f>
        <v>1205299856</v>
      </c>
      <c r="E10561" t="s">
        <v>21724</v>
      </c>
    </row>
    <row r="10562" spans="1:5" x14ac:dyDescent="0.25">
      <c r="A10562" t="s">
        <v>2</v>
      </c>
      <c r="B10562" t="s">
        <v>3458</v>
      </c>
      <c r="C10562" t="s">
        <v>23490</v>
      </c>
      <c r="D10562" t="str">
        <f>HYPERLINK("https://rhld.insurance.arkansas.gov/NPILookup?Npi=1205315637","1205315637")</f>
        <v>1205315637</v>
      </c>
      <c r="E10562" t="s">
        <v>13417</v>
      </c>
    </row>
    <row r="10563" spans="1:5" x14ac:dyDescent="0.25">
      <c r="A10563" t="s">
        <v>2</v>
      </c>
      <c r="B10563" t="s">
        <v>3458</v>
      </c>
      <c r="C10563" t="s">
        <v>23490</v>
      </c>
      <c r="D10563" t="str">
        <f>HYPERLINK("https://rhld.insurance.arkansas.gov/NPILookup?Npi=1205344041","1205344041")</f>
        <v>1205344041</v>
      </c>
      <c r="E10563" t="s">
        <v>12794</v>
      </c>
    </row>
    <row r="10564" spans="1:5" x14ac:dyDescent="0.25">
      <c r="A10564" t="s">
        <v>2</v>
      </c>
      <c r="B10564" t="s">
        <v>3458</v>
      </c>
      <c r="C10564" t="s">
        <v>23490</v>
      </c>
      <c r="D10564" t="str">
        <f>HYPERLINK("https://rhld.insurance.arkansas.gov/NPILookup?Npi=1205345386","1205345386")</f>
        <v>1205345386</v>
      </c>
      <c r="E10564" t="s">
        <v>10735</v>
      </c>
    </row>
    <row r="10565" spans="1:5" x14ac:dyDescent="0.25">
      <c r="A10565" t="s">
        <v>2</v>
      </c>
      <c r="B10565" t="s">
        <v>3458</v>
      </c>
      <c r="C10565" t="s">
        <v>23490</v>
      </c>
      <c r="D10565" t="str">
        <f>HYPERLINK("https://rhld.insurance.arkansas.gov/NPILookup?Npi=1205347390","1205347390")</f>
        <v>1205347390</v>
      </c>
      <c r="E10565" t="s">
        <v>12968</v>
      </c>
    </row>
    <row r="10566" spans="1:5" x14ac:dyDescent="0.25">
      <c r="A10566" t="s">
        <v>2</v>
      </c>
      <c r="B10566" t="s">
        <v>3458</v>
      </c>
      <c r="C10566" t="s">
        <v>23490</v>
      </c>
      <c r="D10566" t="str">
        <f>HYPERLINK("https://rhld.insurance.arkansas.gov/NPILookup?Npi=1205355526","1205355526")</f>
        <v>1205355526</v>
      </c>
      <c r="E10566" t="s">
        <v>12795</v>
      </c>
    </row>
    <row r="10567" spans="1:5" x14ac:dyDescent="0.25">
      <c r="A10567" t="s">
        <v>2</v>
      </c>
      <c r="B10567" t="s">
        <v>3458</v>
      </c>
      <c r="C10567" t="s">
        <v>23490</v>
      </c>
      <c r="D10567" t="str">
        <f>HYPERLINK("https://rhld.insurance.arkansas.gov/NPILookup?Npi=1205362738","1205362738")</f>
        <v>1205362738</v>
      </c>
      <c r="E10567" t="s">
        <v>13419</v>
      </c>
    </row>
    <row r="10568" spans="1:5" x14ac:dyDescent="0.25">
      <c r="A10568" t="s">
        <v>2</v>
      </c>
      <c r="B10568" t="s">
        <v>3458</v>
      </c>
      <c r="C10568" t="s">
        <v>23490</v>
      </c>
      <c r="D10568" t="str">
        <f>HYPERLINK("https://rhld.insurance.arkansas.gov/NPILookup?Npi=1205362969","1205362969")</f>
        <v>1205362969</v>
      </c>
      <c r="E10568" t="s">
        <v>10737</v>
      </c>
    </row>
    <row r="10569" spans="1:5" x14ac:dyDescent="0.25">
      <c r="A10569" t="s">
        <v>2</v>
      </c>
      <c r="B10569" t="s">
        <v>3458</v>
      </c>
      <c r="C10569" t="s">
        <v>23490</v>
      </c>
      <c r="D10569" t="str">
        <f>HYPERLINK("https://rhld.insurance.arkansas.gov/NPILookup?Npi=1205386604","1205386604")</f>
        <v>1205386604</v>
      </c>
      <c r="E10569" t="s">
        <v>10738</v>
      </c>
    </row>
    <row r="10570" spans="1:5" x14ac:dyDescent="0.25">
      <c r="A10570" t="s">
        <v>2</v>
      </c>
      <c r="B10570" t="s">
        <v>3458</v>
      </c>
      <c r="C10570" t="s">
        <v>23490</v>
      </c>
      <c r="D10570" t="str">
        <f>HYPERLINK("https://rhld.insurance.arkansas.gov/NPILookup?Npi=1205388212","1205388212")</f>
        <v>1205388212</v>
      </c>
      <c r="E10570" t="s">
        <v>10739</v>
      </c>
    </row>
    <row r="10571" spans="1:5" x14ac:dyDescent="0.25">
      <c r="A10571" t="s">
        <v>2</v>
      </c>
      <c r="B10571" t="s">
        <v>3458</v>
      </c>
      <c r="C10571" t="s">
        <v>23490</v>
      </c>
      <c r="D10571" t="str">
        <f>HYPERLINK("https://rhld.insurance.arkansas.gov/NPILookup?Npi=1205397304","1205397304")</f>
        <v>1205397304</v>
      </c>
      <c r="E10571" t="s">
        <v>18697</v>
      </c>
    </row>
    <row r="10572" spans="1:5" x14ac:dyDescent="0.25">
      <c r="A10572" t="s">
        <v>2</v>
      </c>
      <c r="B10572" t="s">
        <v>3458</v>
      </c>
      <c r="C10572" t="s">
        <v>23490</v>
      </c>
      <c r="D10572" t="str">
        <f>HYPERLINK("https://rhld.insurance.arkansas.gov/NPILookup?Npi=1205399631","1205399631")</f>
        <v>1205399631</v>
      </c>
      <c r="E10572" t="s">
        <v>19509</v>
      </c>
    </row>
    <row r="10573" spans="1:5" x14ac:dyDescent="0.25">
      <c r="A10573" t="s">
        <v>2</v>
      </c>
      <c r="B10573" t="s">
        <v>3458</v>
      </c>
      <c r="C10573" t="s">
        <v>8427</v>
      </c>
      <c r="D10573" t="str">
        <f>HYPERLINK("https://rhld.insurance.arkansas.gov/NPILookup?Npi=1205402351","1205402351")</f>
        <v>1205402351</v>
      </c>
      <c r="E10573" t="s">
        <v>22907</v>
      </c>
    </row>
    <row r="10574" spans="1:5" x14ac:dyDescent="0.25">
      <c r="A10574" t="s">
        <v>2</v>
      </c>
      <c r="B10574" t="s">
        <v>3458</v>
      </c>
      <c r="C10574" t="s">
        <v>23490</v>
      </c>
      <c r="D10574" t="str">
        <f>HYPERLINK("https://rhld.insurance.arkansas.gov/NPILookup?Npi=1205406709","1205406709")</f>
        <v>1205406709</v>
      </c>
      <c r="E10574" t="s">
        <v>18698</v>
      </c>
    </row>
    <row r="10575" spans="1:5" x14ac:dyDescent="0.25">
      <c r="A10575" t="s">
        <v>2</v>
      </c>
      <c r="B10575" t="s">
        <v>3458</v>
      </c>
      <c r="C10575" t="s">
        <v>23490</v>
      </c>
      <c r="D10575" t="str">
        <f>HYPERLINK("https://rhld.insurance.arkansas.gov/NPILookup?Npi=1205407962","1205407962")</f>
        <v>1205407962</v>
      </c>
      <c r="E10575" t="s">
        <v>2924</v>
      </c>
    </row>
    <row r="10576" spans="1:5" x14ac:dyDescent="0.25">
      <c r="A10576" t="s">
        <v>2</v>
      </c>
      <c r="B10576" t="s">
        <v>3458</v>
      </c>
      <c r="C10576" t="s">
        <v>23490</v>
      </c>
      <c r="D10576" t="str">
        <f>HYPERLINK("https://rhld.insurance.arkansas.gov/NPILookup?Npi=1205408176","1205408176")</f>
        <v>1205408176</v>
      </c>
      <c r="E10576" t="s">
        <v>19510</v>
      </c>
    </row>
    <row r="10577" spans="1:5" x14ac:dyDescent="0.25">
      <c r="A10577" t="s">
        <v>2</v>
      </c>
      <c r="B10577" t="s">
        <v>3458</v>
      </c>
      <c r="C10577" t="s">
        <v>23490</v>
      </c>
      <c r="D10577" t="str">
        <f>HYPERLINK("https://rhld.insurance.arkansas.gov/NPILookup?Npi=1205415791","1205415791")</f>
        <v>1205415791</v>
      </c>
      <c r="E10577" t="s">
        <v>18699</v>
      </c>
    </row>
    <row r="10578" spans="1:5" x14ac:dyDescent="0.25">
      <c r="A10578" t="s">
        <v>2</v>
      </c>
      <c r="B10578" t="s">
        <v>3458</v>
      </c>
      <c r="C10578" t="s">
        <v>23490</v>
      </c>
      <c r="D10578" t="str">
        <f>HYPERLINK("https://rhld.insurance.arkansas.gov/NPILookup?Npi=1205426145","1205426145")</f>
        <v>1205426145</v>
      </c>
      <c r="E10578" t="s">
        <v>17902</v>
      </c>
    </row>
    <row r="10579" spans="1:5" x14ac:dyDescent="0.25">
      <c r="A10579" t="s">
        <v>2</v>
      </c>
      <c r="B10579" t="s">
        <v>3458</v>
      </c>
      <c r="C10579" t="s">
        <v>23490</v>
      </c>
      <c r="D10579" t="str">
        <f>HYPERLINK("https://rhld.insurance.arkansas.gov/NPILookup?Npi=1205434719","1205434719")</f>
        <v>1205434719</v>
      </c>
      <c r="E10579" t="s">
        <v>17903</v>
      </c>
    </row>
    <row r="10580" spans="1:5" x14ac:dyDescent="0.25">
      <c r="A10580" t="s">
        <v>2</v>
      </c>
      <c r="B10580" t="s">
        <v>3458</v>
      </c>
      <c r="C10580" t="s">
        <v>23490</v>
      </c>
      <c r="D10580" t="str">
        <f>HYPERLINK("https://rhld.insurance.arkansas.gov/NPILookup?Npi=1205593068","1205593068")</f>
        <v>1205593068</v>
      </c>
      <c r="E10580" t="s">
        <v>19513</v>
      </c>
    </row>
    <row r="10581" spans="1:5" x14ac:dyDescent="0.25">
      <c r="A10581" t="s">
        <v>2</v>
      </c>
      <c r="B10581" t="s">
        <v>3458</v>
      </c>
      <c r="C10581" t="s">
        <v>23490</v>
      </c>
      <c r="D10581" t="str">
        <f>HYPERLINK("https://rhld.insurance.arkansas.gov/NPILookup?Npi=1205599917","1205599917")</f>
        <v>1205599917</v>
      </c>
      <c r="E10581" t="s">
        <v>19514</v>
      </c>
    </row>
    <row r="10582" spans="1:5" x14ac:dyDescent="0.25">
      <c r="A10582" t="s">
        <v>2</v>
      </c>
      <c r="B10582" t="s">
        <v>3458</v>
      </c>
      <c r="C10582" t="s">
        <v>23490</v>
      </c>
      <c r="D10582" t="str">
        <f>HYPERLINK("https://rhld.insurance.arkansas.gov/NPILookup?Npi=1205802584","1205802584")</f>
        <v>1205802584</v>
      </c>
      <c r="E10582" t="s">
        <v>14871</v>
      </c>
    </row>
    <row r="10583" spans="1:5" x14ac:dyDescent="0.25">
      <c r="A10583" t="s">
        <v>2</v>
      </c>
      <c r="B10583" t="s">
        <v>3458</v>
      </c>
      <c r="C10583" t="s">
        <v>23490</v>
      </c>
      <c r="D10583" t="str">
        <f>HYPERLINK("https://rhld.insurance.arkansas.gov/NPILookup?Npi=1205806312","1205806312")</f>
        <v>1205806312</v>
      </c>
      <c r="E10583" t="s">
        <v>15825</v>
      </c>
    </row>
    <row r="10584" spans="1:5" x14ac:dyDescent="0.25">
      <c r="A10584" t="s">
        <v>2</v>
      </c>
      <c r="B10584" t="s">
        <v>3458</v>
      </c>
      <c r="C10584" t="s">
        <v>23490</v>
      </c>
      <c r="D10584" t="str">
        <f>HYPERLINK("https://rhld.insurance.arkansas.gov/NPILookup?Npi=1205811247","1205811247")</f>
        <v>1205811247</v>
      </c>
      <c r="E10584" t="s">
        <v>736</v>
      </c>
    </row>
    <row r="10585" spans="1:5" x14ac:dyDescent="0.25">
      <c r="A10585" t="s">
        <v>2</v>
      </c>
      <c r="B10585" t="s">
        <v>3458</v>
      </c>
      <c r="C10585" t="s">
        <v>23490</v>
      </c>
      <c r="D10585" t="str">
        <f>HYPERLINK("https://rhld.insurance.arkansas.gov/NPILookup?Npi=1205814654","1205814654")</f>
        <v>1205814654</v>
      </c>
      <c r="E10585" t="s">
        <v>3578</v>
      </c>
    </row>
    <row r="10586" spans="1:5" x14ac:dyDescent="0.25">
      <c r="A10586" t="s">
        <v>2</v>
      </c>
      <c r="B10586" t="s">
        <v>3458</v>
      </c>
      <c r="C10586" t="s">
        <v>23490</v>
      </c>
      <c r="D10586" t="str">
        <f>HYPERLINK("https://rhld.insurance.arkansas.gov/NPILookup?Npi=1205820974","1205820974")</f>
        <v>1205820974</v>
      </c>
      <c r="E10586" t="s">
        <v>14872</v>
      </c>
    </row>
    <row r="10587" spans="1:5" x14ac:dyDescent="0.25">
      <c r="A10587" t="s">
        <v>2</v>
      </c>
      <c r="B10587" t="s">
        <v>3458</v>
      </c>
      <c r="C10587" t="s">
        <v>23490</v>
      </c>
      <c r="D10587" t="str">
        <f>HYPERLINK("https://rhld.insurance.arkansas.gov/NPILookup?Npi=1205826187","1205826187")</f>
        <v>1205826187</v>
      </c>
      <c r="E10587" t="s">
        <v>17402</v>
      </c>
    </row>
    <row r="10588" spans="1:5" x14ac:dyDescent="0.25">
      <c r="A10588" t="s">
        <v>2</v>
      </c>
      <c r="B10588" t="s">
        <v>3458</v>
      </c>
      <c r="C10588" t="s">
        <v>23490</v>
      </c>
      <c r="D10588" t="str">
        <f>HYPERLINK("https://rhld.insurance.arkansas.gov/NPILookup?Npi=1205827565","1205827565")</f>
        <v>1205827565</v>
      </c>
      <c r="E10588" t="s">
        <v>739</v>
      </c>
    </row>
    <row r="10589" spans="1:5" x14ac:dyDescent="0.25">
      <c r="A10589" t="s">
        <v>2</v>
      </c>
      <c r="B10589" t="s">
        <v>3458</v>
      </c>
      <c r="C10589" t="s">
        <v>23490</v>
      </c>
      <c r="D10589" t="str">
        <f>HYPERLINK("https://rhld.insurance.arkansas.gov/NPILookup?Npi=1205829710","1205829710")</f>
        <v>1205829710</v>
      </c>
      <c r="E10589" t="s">
        <v>740</v>
      </c>
    </row>
    <row r="10590" spans="1:5" x14ac:dyDescent="0.25">
      <c r="A10590" t="s">
        <v>2</v>
      </c>
      <c r="B10590" t="s">
        <v>3458</v>
      </c>
      <c r="C10590" t="s">
        <v>23490</v>
      </c>
      <c r="D10590" t="str">
        <f>HYPERLINK("https://rhld.insurance.arkansas.gov/NPILookup?Npi=1205831997","1205831997")</f>
        <v>1205831997</v>
      </c>
      <c r="E10590" t="s">
        <v>14873</v>
      </c>
    </row>
    <row r="10591" spans="1:5" x14ac:dyDescent="0.25">
      <c r="A10591" t="s">
        <v>2</v>
      </c>
      <c r="B10591" t="s">
        <v>3458</v>
      </c>
      <c r="C10591" t="s">
        <v>23490</v>
      </c>
      <c r="D10591" t="str">
        <f>HYPERLINK("https://rhld.insurance.arkansas.gov/NPILookup?Npi=1205832219","1205832219")</f>
        <v>1205832219</v>
      </c>
      <c r="E10591" t="s">
        <v>741</v>
      </c>
    </row>
    <row r="10592" spans="1:5" x14ac:dyDescent="0.25">
      <c r="A10592" t="s">
        <v>2</v>
      </c>
      <c r="B10592" t="s">
        <v>3458</v>
      </c>
      <c r="C10592" t="s">
        <v>23490</v>
      </c>
      <c r="D10592" t="str">
        <f>HYPERLINK("https://rhld.insurance.arkansas.gov/NPILookup?Npi=1205832920","1205832920")</f>
        <v>1205832920</v>
      </c>
      <c r="E10592" t="s">
        <v>742</v>
      </c>
    </row>
    <row r="10593" spans="1:5" x14ac:dyDescent="0.25">
      <c r="A10593" t="s">
        <v>2</v>
      </c>
      <c r="B10593" t="s">
        <v>3458</v>
      </c>
      <c r="C10593" t="s">
        <v>23490</v>
      </c>
      <c r="D10593" t="str">
        <f>HYPERLINK("https://rhld.insurance.arkansas.gov/NPILookup?Npi=1205833738","1205833738")</f>
        <v>1205833738</v>
      </c>
      <c r="E10593" t="s">
        <v>743</v>
      </c>
    </row>
    <row r="10594" spans="1:5" x14ac:dyDescent="0.25">
      <c r="A10594" t="s">
        <v>2</v>
      </c>
      <c r="B10594" t="s">
        <v>3458</v>
      </c>
      <c r="C10594" t="s">
        <v>23490</v>
      </c>
      <c r="D10594" t="str">
        <f>HYPERLINK("https://rhld.insurance.arkansas.gov/NPILookup?Npi=1205846813","1205846813")</f>
        <v>1205846813</v>
      </c>
      <c r="E10594" t="s">
        <v>21498</v>
      </c>
    </row>
    <row r="10595" spans="1:5" x14ac:dyDescent="0.25">
      <c r="A10595" t="s">
        <v>2</v>
      </c>
      <c r="B10595" t="s">
        <v>3458</v>
      </c>
      <c r="C10595" t="s">
        <v>23490</v>
      </c>
      <c r="D10595" t="str">
        <f>HYPERLINK("https://rhld.insurance.arkansas.gov/NPILookup?Npi=1205850542","1205850542")</f>
        <v>1205850542</v>
      </c>
      <c r="E10595" t="s">
        <v>744</v>
      </c>
    </row>
    <row r="10596" spans="1:5" x14ac:dyDescent="0.25">
      <c r="A10596" t="s">
        <v>2</v>
      </c>
      <c r="B10596" t="s">
        <v>3458</v>
      </c>
      <c r="C10596" t="s">
        <v>23490</v>
      </c>
      <c r="D10596" t="str">
        <f>HYPERLINK("https://rhld.insurance.arkansas.gov/NPILookup?Npi=1205854676","1205854676")</f>
        <v>1205854676</v>
      </c>
      <c r="E10596" t="s">
        <v>3579</v>
      </c>
    </row>
    <row r="10597" spans="1:5" x14ac:dyDescent="0.25">
      <c r="A10597" t="s">
        <v>2</v>
      </c>
      <c r="B10597" t="s">
        <v>3458</v>
      </c>
      <c r="C10597" t="s">
        <v>23490</v>
      </c>
      <c r="D10597" t="str">
        <f>HYPERLINK("https://rhld.insurance.arkansas.gov/NPILookup?Npi=1205867843","1205867843")</f>
        <v>1205867843</v>
      </c>
      <c r="E10597" t="s">
        <v>746</v>
      </c>
    </row>
    <row r="10598" spans="1:5" x14ac:dyDescent="0.25">
      <c r="A10598" t="s">
        <v>2</v>
      </c>
      <c r="B10598" t="s">
        <v>3458</v>
      </c>
      <c r="C10598" t="s">
        <v>23490</v>
      </c>
      <c r="D10598" t="str">
        <f>HYPERLINK("https://rhld.insurance.arkansas.gov/NPILookup?Npi=1205878105","1205878105")</f>
        <v>1205878105</v>
      </c>
      <c r="E10598" t="s">
        <v>748</v>
      </c>
    </row>
    <row r="10599" spans="1:5" x14ac:dyDescent="0.25">
      <c r="A10599" t="s">
        <v>2</v>
      </c>
      <c r="B10599" t="s">
        <v>3458</v>
      </c>
      <c r="C10599" t="s">
        <v>23490</v>
      </c>
      <c r="D10599" t="str">
        <f>HYPERLINK("https://rhld.insurance.arkansas.gov/NPILookup?Npi=1205884640","1205884640")</f>
        <v>1205884640</v>
      </c>
      <c r="E10599" t="s">
        <v>19515</v>
      </c>
    </row>
    <row r="10600" spans="1:5" x14ac:dyDescent="0.25">
      <c r="A10600" t="s">
        <v>2</v>
      </c>
      <c r="B10600" t="s">
        <v>3458</v>
      </c>
      <c r="C10600" t="s">
        <v>23490</v>
      </c>
      <c r="D10600" t="str">
        <f>HYPERLINK("https://rhld.insurance.arkansas.gov/NPILookup?Npi=1205886090","1205886090")</f>
        <v>1205886090</v>
      </c>
      <c r="E10600" t="s">
        <v>749</v>
      </c>
    </row>
    <row r="10601" spans="1:5" x14ac:dyDescent="0.25">
      <c r="A10601" t="s">
        <v>2</v>
      </c>
      <c r="B10601" t="s">
        <v>3458</v>
      </c>
      <c r="C10601" t="s">
        <v>23490</v>
      </c>
      <c r="D10601" t="str">
        <f>HYPERLINK("https://rhld.insurance.arkansas.gov/NPILookup?Npi=1205891751","1205891751")</f>
        <v>1205891751</v>
      </c>
      <c r="E10601" t="s">
        <v>3581</v>
      </c>
    </row>
    <row r="10602" spans="1:5" x14ac:dyDescent="0.25">
      <c r="A10602" t="s">
        <v>2</v>
      </c>
      <c r="B10602" t="s">
        <v>3458</v>
      </c>
      <c r="C10602" t="s">
        <v>23490</v>
      </c>
      <c r="D10602" t="str">
        <f>HYPERLINK("https://rhld.insurance.arkansas.gov/NPILookup?Npi=1205894367","1205894367")</f>
        <v>1205894367</v>
      </c>
      <c r="E10602" t="s">
        <v>3582</v>
      </c>
    </row>
    <row r="10603" spans="1:5" x14ac:dyDescent="0.25">
      <c r="A10603" t="s">
        <v>2</v>
      </c>
      <c r="B10603" t="s">
        <v>3458</v>
      </c>
      <c r="C10603" t="s">
        <v>23490</v>
      </c>
      <c r="D10603" t="str">
        <f>HYPERLINK("https://rhld.insurance.arkansas.gov/NPILookup?Npi=1205896347","1205896347")</f>
        <v>1205896347</v>
      </c>
      <c r="E10603" t="s">
        <v>750</v>
      </c>
    </row>
    <row r="10604" spans="1:5" x14ac:dyDescent="0.25">
      <c r="A10604" t="s">
        <v>2</v>
      </c>
      <c r="B10604" t="s">
        <v>3458</v>
      </c>
      <c r="C10604" t="s">
        <v>23490</v>
      </c>
      <c r="D10604" t="str">
        <f>HYPERLINK("https://rhld.insurance.arkansas.gov/NPILookup?Npi=1205899267","1205899267")</f>
        <v>1205899267</v>
      </c>
      <c r="E10604" t="s">
        <v>14874</v>
      </c>
    </row>
    <row r="10605" spans="1:5" x14ac:dyDescent="0.25">
      <c r="A10605" t="s">
        <v>2</v>
      </c>
      <c r="B10605" t="s">
        <v>3458</v>
      </c>
      <c r="C10605" t="s">
        <v>23490</v>
      </c>
      <c r="D10605" t="str">
        <f>HYPERLINK("https://rhld.insurance.arkansas.gov/NPILookup?Npi=1205899572","1205899572")</f>
        <v>1205899572</v>
      </c>
      <c r="E10605" t="s">
        <v>751</v>
      </c>
    </row>
    <row r="10606" spans="1:5" x14ac:dyDescent="0.25">
      <c r="A10606" t="s">
        <v>2</v>
      </c>
      <c r="B10606" t="s">
        <v>3458</v>
      </c>
      <c r="C10606" t="s">
        <v>23490</v>
      </c>
      <c r="D10606" t="str">
        <f>HYPERLINK("https://rhld.insurance.arkansas.gov/NPILookup?Npi=1205911849","1205911849")</f>
        <v>1205911849</v>
      </c>
      <c r="E10606" t="s">
        <v>752</v>
      </c>
    </row>
    <row r="10607" spans="1:5" x14ac:dyDescent="0.25">
      <c r="A10607" t="s">
        <v>2</v>
      </c>
      <c r="B10607" t="s">
        <v>3458</v>
      </c>
      <c r="C10607" t="s">
        <v>23490</v>
      </c>
      <c r="D10607" t="str">
        <f>HYPERLINK("https://rhld.insurance.arkansas.gov/NPILookup?Npi=1205916806","1205916806")</f>
        <v>1205916806</v>
      </c>
      <c r="E10607" t="s">
        <v>10741</v>
      </c>
    </row>
    <row r="10608" spans="1:5" x14ac:dyDescent="0.25">
      <c r="A10608" t="s">
        <v>2</v>
      </c>
      <c r="B10608" t="s">
        <v>3458</v>
      </c>
      <c r="C10608" t="s">
        <v>23490</v>
      </c>
      <c r="D10608" t="str">
        <f>HYPERLINK("https://rhld.insurance.arkansas.gov/NPILookup?Npi=1205926862","1205926862")</f>
        <v>1205926862</v>
      </c>
      <c r="E10608" t="s">
        <v>3583</v>
      </c>
    </row>
    <row r="10609" spans="1:5" x14ac:dyDescent="0.25">
      <c r="A10609" t="s">
        <v>2</v>
      </c>
      <c r="B10609" t="s">
        <v>3458</v>
      </c>
      <c r="C10609" t="s">
        <v>23490</v>
      </c>
      <c r="D10609" t="str">
        <f>HYPERLINK("https://rhld.insurance.arkansas.gov/NPILookup?Npi=1205934957","1205934957")</f>
        <v>1205934957</v>
      </c>
      <c r="E10609" t="s">
        <v>753</v>
      </c>
    </row>
    <row r="10610" spans="1:5" x14ac:dyDescent="0.25">
      <c r="A10610" t="s">
        <v>2</v>
      </c>
      <c r="B10610" t="s">
        <v>3458</v>
      </c>
      <c r="C10610" t="s">
        <v>23490</v>
      </c>
      <c r="D10610" t="str">
        <f>HYPERLINK("https://rhld.insurance.arkansas.gov/NPILookup?Npi=1205937695","1205937695")</f>
        <v>1205937695</v>
      </c>
      <c r="E10610" t="s">
        <v>754</v>
      </c>
    </row>
    <row r="10611" spans="1:5" x14ac:dyDescent="0.25">
      <c r="A10611" t="s">
        <v>2</v>
      </c>
      <c r="B10611" t="s">
        <v>3458</v>
      </c>
      <c r="C10611" t="s">
        <v>23490</v>
      </c>
      <c r="D10611" t="str">
        <f>HYPERLINK("https://rhld.insurance.arkansas.gov/NPILookup?Npi=1205942976","1205942976")</f>
        <v>1205942976</v>
      </c>
      <c r="E10611" t="s">
        <v>3584</v>
      </c>
    </row>
    <row r="10612" spans="1:5" x14ac:dyDescent="0.25">
      <c r="A10612" t="s">
        <v>2</v>
      </c>
      <c r="B10612" t="s">
        <v>3458</v>
      </c>
      <c r="C10612" t="s">
        <v>23490</v>
      </c>
      <c r="D10612" t="str">
        <f>HYPERLINK("https://rhld.insurance.arkansas.gov/NPILookup?Npi=1205943289","1205943289")</f>
        <v>1205943289</v>
      </c>
      <c r="E10612" t="s">
        <v>755</v>
      </c>
    </row>
    <row r="10613" spans="1:5" x14ac:dyDescent="0.25">
      <c r="A10613" t="s">
        <v>2</v>
      </c>
      <c r="B10613" t="s">
        <v>3458</v>
      </c>
      <c r="C10613" t="s">
        <v>23490</v>
      </c>
      <c r="D10613" t="str">
        <f>HYPERLINK("https://rhld.insurance.arkansas.gov/NPILookup?Npi=1205970209","1205970209")</f>
        <v>1205970209</v>
      </c>
      <c r="E10613" t="s">
        <v>757</v>
      </c>
    </row>
    <row r="10614" spans="1:5" x14ac:dyDescent="0.25">
      <c r="A10614" t="s">
        <v>2</v>
      </c>
      <c r="B10614" t="s">
        <v>3458</v>
      </c>
      <c r="C10614" t="s">
        <v>23490</v>
      </c>
      <c r="D10614" t="str">
        <f>HYPERLINK("https://rhld.insurance.arkansas.gov/NPILookup?Npi=1215021001","1215021001")</f>
        <v>1215021001</v>
      </c>
      <c r="E10614" t="s">
        <v>14875</v>
      </c>
    </row>
    <row r="10615" spans="1:5" x14ac:dyDescent="0.25">
      <c r="A10615" t="s">
        <v>2</v>
      </c>
      <c r="B10615" t="s">
        <v>3458</v>
      </c>
      <c r="C10615" t="s">
        <v>23490</v>
      </c>
      <c r="D10615" t="str">
        <f>HYPERLINK("https://rhld.insurance.arkansas.gov/NPILookup?Npi=1215024252","1215024252")</f>
        <v>1215024252</v>
      </c>
      <c r="E10615" t="s">
        <v>8967</v>
      </c>
    </row>
    <row r="10616" spans="1:5" x14ac:dyDescent="0.25">
      <c r="A10616" t="s">
        <v>2</v>
      </c>
      <c r="B10616" t="s">
        <v>3458</v>
      </c>
      <c r="C10616" t="s">
        <v>23490</v>
      </c>
      <c r="D10616" t="str">
        <f>HYPERLINK("https://rhld.insurance.arkansas.gov/NPILookup?Npi=1215026620","1215026620")</f>
        <v>1215026620</v>
      </c>
      <c r="E10616" t="s">
        <v>8542</v>
      </c>
    </row>
    <row r="10617" spans="1:5" x14ac:dyDescent="0.25">
      <c r="A10617" t="s">
        <v>2</v>
      </c>
      <c r="B10617" t="s">
        <v>3458</v>
      </c>
      <c r="C10617" t="s">
        <v>23490</v>
      </c>
      <c r="D10617" t="str">
        <f>HYPERLINK("https://rhld.insurance.arkansas.gov/NPILookup?Npi=1215027875","1215027875")</f>
        <v>1215027875</v>
      </c>
      <c r="E10617" t="s">
        <v>3585</v>
      </c>
    </row>
    <row r="10618" spans="1:5" x14ac:dyDescent="0.25">
      <c r="A10618" t="s">
        <v>2</v>
      </c>
      <c r="B10618" t="s">
        <v>3458</v>
      </c>
      <c r="C10618" t="s">
        <v>23490</v>
      </c>
      <c r="D10618" t="str">
        <f>HYPERLINK("https://rhld.insurance.arkansas.gov/NPILookup?Npi=1215030820","1215030820")</f>
        <v>1215030820</v>
      </c>
      <c r="E10618" t="s">
        <v>759</v>
      </c>
    </row>
    <row r="10619" spans="1:5" x14ac:dyDescent="0.25">
      <c r="A10619" t="s">
        <v>2</v>
      </c>
      <c r="B10619" t="s">
        <v>3458</v>
      </c>
      <c r="C10619" t="s">
        <v>23490</v>
      </c>
      <c r="D10619" t="str">
        <f>HYPERLINK("https://rhld.insurance.arkansas.gov/NPILookup?Npi=1215050406","1215050406")</f>
        <v>1215050406</v>
      </c>
      <c r="E10619" t="s">
        <v>14876</v>
      </c>
    </row>
    <row r="10620" spans="1:5" x14ac:dyDescent="0.25">
      <c r="A10620" t="s">
        <v>2</v>
      </c>
      <c r="B10620" t="s">
        <v>3458</v>
      </c>
      <c r="C10620" t="s">
        <v>23490</v>
      </c>
      <c r="D10620" t="str">
        <f>HYPERLINK("https://rhld.insurance.arkansas.gov/NPILookup?Npi=1215065867","1215065867")</f>
        <v>1215065867</v>
      </c>
      <c r="E10620" t="s">
        <v>761</v>
      </c>
    </row>
    <row r="10621" spans="1:5" x14ac:dyDescent="0.25">
      <c r="A10621" t="s">
        <v>2</v>
      </c>
      <c r="B10621" t="s">
        <v>3458</v>
      </c>
      <c r="C10621" t="s">
        <v>23490</v>
      </c>
      <c r="D10621" t="str">
        <f>HYPERLINK("https://rhld.insurance.arkansas.gov/NPILookup?Npi=1215082458","1215082458")</f>
        <v>1215082458</v>
      </c>
      <c r="E10621" t="s">
        <v>762</v>
      </c>
    </row>
    <row r="10622" spans="1:5" x14ac:dyDescent="0.25">
      <c r="A10622" t="s">
        <v>2</v>
      </c>
      <c r="B10622" t="s">
        <v>3458</v>
      </c>
      <c r="C10622" t="s">
        <v>23490</v>
      </c>
      <c r="D10622" t="str">
        <f>HYPERLINK("https://rhld.insurance.arkansas.gov/NPILookup?Npi=1215092630","1215092630")</f>
        <v>1215092630</v>
      </c>
      <c r="E10622" t="s">
        <v>14877</v>
      </c>
    </row>
    <row r="10623" spans="1:5" x14ac:dyDescent="0.25">
      <c r="A10623" t="s">
        <v>2</v>
      </c>
      <c r="B10623" t="s">
        <v>3458</v>
      </c>
      <c r="C10623" t="s">
        <v>23490</v>
      </c>
      <c r="D10623" t="str">
        <f>HYPERLINK("https://rhld.insurance.arkansas.gov/NPILookup?Npi=1215154398","1215154398")</f>
        <v>1215154398</v>
      </c>
      <c r="E10623" t="s">
        <v>764</v>
      </c>
    </row>
    <row r="10624" spans="1:5" x14ac:dyDescent="0.25">
      <c r="A10624" t="s">
        <v>2</v>
      </c>
      <c r="B10624" t="s">
        <v>3458</v>
      </c>
      <c r="C10624" t="s">
        <v>23490</v>
      </c>
      <c r="D10624" t="str">
        <f>HYPERLINK("https://rhld.insurance.arkansas.gov/NPILookup?Npi=1215156203","1215156203")</f>
        <v>1215156203</v>
      </c>
      <c r="E10624" t="s">
        <v>3586</v>
      </c>
    </row>
    <row r="10625" spans="1:5" x14ac:dyDescent="0.25">
      <c r="A10625" t="s">
        <v>2</v>
      </c>
      <c r="B10625" t="s">
        <v>3458</v>
      </c>
      <c r="C10625" t="s">
        <v>23490</v>
      </c>
      <c r="D10625" t="str">
        <f>HYPERLINK("https://rhld.insurance.arkansas.gov/NPILookup?Npi=1215163118","1215163118")</f>
        <v>1215163118</v>
      </c>
      <c r="E10625" t="s">
        <v>765</v>
      </c>
    </row>
    <row r="10626" spans="1:5" x14ac:dyDescent="0.25">
      <c r="A10626" t="s">
        <v>2</v>
      </c>
      <c r="B10626" t="s">
        <v>3458</v>
      </c>
      <c r="C10626" t="s">
        <v>23490</v>
      </c>
      <c r="D10626" t="str">
        <f>HYPERLINK("https://rhld.insurance.arkansas.gov/NPILookup?Npi=1215164629","1215164629")</f>
        <v>1215164629</v>
      </c>
      <c r="E10626" t="s">
        <v>766</v>
      </c>
    </row>
    <row r="10627" spans="1:5" x14ac:dyDescent="0.25">
      <c r="A10627" t="s">
        <v>2</v>
      </c>
      <c r="B10627" t="s">
        <v>3458</v>
      </c>
      <c r="C10627" t="s">
        <v>23490</v>
      </c>
      <c r="D10627" t="str">
        <f>HYPERLINK("https://rhld.insurance.arkansas.gov/NPILookup?Npi=1215171368","1215171368")</f>
        <v>1215171368</v>
      </c>
      <c r="E10627" t="s">
        <v>14878</v>
      </c>
    </row>
    <row r="10628" spans="1:5" x14ac:dyDescent="0.25">
      <c r="A10628" t="s">
        <v>2</v>
      </c>
      <c r="B10628" t="s">
        <v>3458</v>
      </c>
      <c r="C10628" t="s">
        <v>23490</v>
      </c>
      <c r="D10628" t="str">
        <f>HYPERLINK("https://rhld.insurance.arkansas.gov/NPILookup?Npi=1215172713","1215172713")</f>
        <v>1215172713</v>
      </c>
      <c r="E10628" t="s">
        <v>10742</v>
      </c>
    </row>
    <row r="10629" spans="1:5" x14ac:dyDescent="0.25">
      <c r="A10629" t="s">
        <v>2</v>
      </c>
      <c r="B10629" t="s">
        <v>3458</v>
      </c>
      <c r="C10629" t="s">
        <v>23490</v>
      </c>
      <c r="D10629" t="str">
        <f>HYPERLINK("https://rhld.insurance.arkansas.gov/NPILookup?Npi=1215186028","1215186028")</f>
        <v>1215186028</v>
      </c>
      <c r="E10629" t="s">
        <v>14879</v>
      </c>
    </row>
    <row r="10630" spans="1:5" x14ac:dyDescent="0.25">
      <c r="A10630" t="s">
        <v>2</v>
      </c>
      <c r="B10630" t="s">
        <v>3458</v>
      </c>
      <c r="C10630" t="s">
        <v>23490</v>
      </c>
      <c r="D10630" t="str">
        <f>HYPERLINK("https://rhld.insurance.arkansas.gov/NPILookup?Npi=1215188412","1215188412")</f>
        <v>1215188412</v>
      </c>
      <c r="E10630" t="s">
        <v>14880</v>
      </c>
    </row>
    <row r="10631" spans="1:5" x14ac:dyDescent="0.25">
      <c r="A10631" t="s">
        <v>2</v>
      </c>
      <c r="B10631" t="s">
        <v>3458</v>
      </c>
      <c r="C10631" t="s">
        <v>23490</v>
      </c>
      <c r="D10631" t="str">
        <f>HYPERLINK("https://rhld.insurance.arkansas.gov/NPILookup?Npi=1215189618","1215189618")</f>
        <v>1215189618</v>
      </c>
      <c r="E10631" t="s">
        <v>770</v>
      </c>
    </row>
    <row r="10632" spans="1:5" x14ac:dyDescent="0.25">
      <c r="A10632" t="s">
        <v>2</v>
      </c>
      <c r="B10632" t="s">
        <v>3458</v>
      </c>
      <c r="C10632" t="s">
        <v>23490</v>
      </c>
      <c r="D10632" t="str">
        <f>HYPERLINK("https://rhld.insurance.arkansas.gov/NPILookup?Npi=1215205828","1215205828")</f>
        <v>1215205828</v>
      </c>
      <c r="E10632" t="s">
        <v>12969</v>
      </c>
    </row>
    <row r="10633" spans="1:5" x14ac:dyDescent="0.25">
      <c r="A10633" t="s">
        <v>2</v>
      </c>
      <c r="B10633" t="s">
        <v>3458</v>
      </c>
      <c r="C10633" t="s">
        <v>23490</v>
      </c>
      <c r="D10633" t="str">
        <f>HYPERLINK("https://rhld.insurance.arkansas.gov/NPILookup?Npi=1215213160","1215213160")</f>
        <v>1215213160</v>
      </c>
      <c r="E10633" t="s">
        <v>8545</v>
      </c>
    </row>
    <row r="10634" spans="1:5" x14ac:dyDescent="0.25">
      <c r="A10634" t="s">
        <v>2</v>
      </c>
      <c r="B10634" t="s">
        <v>3458</v>
      </c>
      <c r="C10634" t="s">
        <v>23490</v>
      </c>
      <c r="D10634" t="str">
        <f>HYPERLINK("https://rhld.insurance.arkansas.gov/NPILookup?Npi=1215224704","1215224704")</f>
        <v>1215224704</v>
      </c>
      <c r="E10634" t="s">
        <v>772</v>
      </c>
    </row>
    <row r="10635" spans="1:5" x14ac:dyDescent="0.25">
      <c r="A10635" t="s">
        <v>2</v>
      </c>
      <c r="B10635" t="s">
        <v>3458</v>
      </c>
      <c r="C10635" t="s">
        <v>23490</v>
      </c>
      <c r="D10635" t="str">
        <f>HYPERLINK("https://rhld.insurance.arkansas.gov/NPILookup?Npi=1215233887","1215233887")</f>
        <v>1215233887</v>
      </c>
      <c r="E10635" t="s">
        <v>8546</v>
      </c>
    </row>
    <row r="10636" spans="1:5" x14ac:dyDescent="0.25">
      <c r="A10636" t="s">
        <v>2</v>
      </c>
      <c r="B10636" t="s">
        <v>3458</v>
      </c>
      <c r="C10636" t="s">
        <v>23490</v>
      </c>
      <c r="D10636" t="str">
        <f>HYPERLINK("https://rhld.insurance.arkansas.gov/NPILookup?Npi=1215234836","1215234836")</f>
        <v>1215234836</v>
      </c>
      <c r="E10636" t="s">
        <v>773</v>
      </c>
    </row>
    <row r="10637" spans="1:5" x14ac:dyDescent="0.25">
      <c r="A10637" t="s">
        <v>2</v>
      </c>
      <c r="B10637" t="s">
        <v>3458</v>
      </c>
      <c r="C10637" t="s">
        <v>23490</v>
      </c>
      <c r="D10637" t="str">
        <f>HYPERLINK("https://rhld.insurance.arkansas.gov/NPILookup?Npi=1215249016","1215249016")</f>
        <v>1215249016</v>
      </c>
      <c r="E10637" t="s">
        <v>17905</v>
      </c>
    </row>
    <row r="10638" spans="1:5" x14ac:dyDescent="0.25">
      <c r="A10638" t="s">
        <v>2</v>
      </c>
      <c r="B10638" t="s">
        <v>3458</v>
      </c>
      <c r="C10638" t="s">
        <v>23490</v>
      </c>
      <c r="D10638" t="str">
        <f>HYPERLINK("https://rhld.insurance.arkansas.gov/NPILookup?Npi=1215249156","1215249156")</f>
        <v>1215249156</v>
      </c>
      <c r="E10638" t="s">
        <v>774</v>
      </c>
    </row>
    <row r="10639" spans="1:5" x14ac:dyDescent="0.25">
      <c r="A10639" t="s">
        <v>2</v>
      </c>
      <c r="B10639" t="s">
        <v>3458</v>
      </c>
      <c r="C10639" t="s">
        <v>23490</v>
      </c>
      <c r="D10639" t="str">
        <f>HYPERLINK("https://rhld.insurance.arkansas.gov/NPILookup?Npi=1215251764","1215251764")</f>
        <v>1215251764</v>
      </c>
      <c r="E10639" t="s">
        <v>775</v>
      </c>
    </row>
    <row r="10640" spans="1:5" x14ac:dyDescent="0.25">
      <c r="A10640" t="s">
        <v>2</v>
      </c>
      <c r="B10640" t="s">
        <v>3458</v>
      </c>
      <c r="C10640" t="s">
        <v>23490</v>
      </c>
      <c r="D10640" t="str">
        <f>HYPERLINK("https://rhld.insurance.arkansas.gov/NPILookup?Npi=1215271069","1215271069")</f>
        <v>1215271069</v>
      </c>
      <c r="E10640" t="s">
        <v>776</v>
      </c>
    </row>
    <row r="10641" spans="1:5" x14ac:dyDescent="0.25">
      <c r="A10641" t="s">
        <v>2</v>
      </c>
      <c r="B10641" t="s">
        <v>3458</v>
      </c>
      <c r="C10641" t="s">
        <v>23490</v>
      </c>
      <c r="D10641" t="str">
        <f>HYPERLINK("https://rhld.insurance.arkansas.gov/NPILookup?Npi=1215271176","1215271176")</f>
        <v>1215271176</v>
      </c>
      <c r="E10641" t="s">
        <v>777</v>
      </c>
    </row>
    <row r="10642" spans="1:5" x14ac:dyDescent="0.25">
      <c r="A10642" t="s">
        <v>2</v>
      </c>
      <c r="B10642" t="s">
        <v>3458</v>
      </c>
      <c r="C10642" t="s">
        <v>23490</v>
      </c>
      <c r="D10642" t="str">
        <f>HYPERLINK("https://rhld.insurance.arkansas.gov/NPILookup?Npi=1215278163","1215278163")</f>
        <v>1215278163</v>
      </c>
      <c r="E10642" t="s">
        <v>778</v>
      </c>
    </row>
    <row r="10643" spans="1:5" x14ac:dyDescent="0.25">
      <c r="A10643" t="s">
        <v>2</v>
      </c>
      <c r="B10643" t="s">
        <v>3458</v>
      </c>
      <c r="C10643" t="s">
        <v>23490</v>
      </c>
      <c r="D10643" t="str">
        <f>HYPERLINK("https://rhld.insurance.arkansas.gov/NPILookup?Npi=1215287750","1215287750")</f>
        <v>1215287750</v>
      </c>
      <c r="E10643" t="s">
        <v>20912</v>
      </c>
    </row>
    <row r="10644" spans="1:5" x14ac:dyDescent="0.25">
      <c r="A10644" t="s">
        <v>2</v>
      </c>
      <c r="B10644" t="s">
        <v>3458</v>
      </c>
      <c r="C10644" t="s">
        <v>23490</v>
      </c>
      <c r="D10644" t="str">
        <f>HYPERLINK("https://rhld.insurance.arkansas.gov/NPILookup?Npi=1215310503","1215310503")</f>
        <v>1215310503</v>
      </c>
      <c r="E10644" t="s">
        <v>8547</v>
      </c>
    </row>
    <row r="10645" spans="1:5" x14ac:dyDescent="0.25">
      <c r="A10645" t="s">
        <v>2</v>
      </c>
      <c r="B10645" t="s">
        <v>3458</v>
      </c>
      <c r="C10645" t="s">
        <v>23490</v>
      </c>
      <c r="D10645" t="str">
        <f>HYPERLINK("https://rhld.insurance.arkansas.gov/NPILookup?Npi=1215310784","1215310784")</f>
        <v>1215310784</v>
      </c>
      <c r="E10645" t="s">
        <v>10744</v>
      </c>
    </row>
    <row r="10646" spans="1:5" x14ac:dyDescent="0.25">
      <c r="A10646" t="s">
        <v>2</v>
      </c>
      <c r="B10646" t="s">
        <v>3458</v>
      </c>
      <c r="C10646" t="s">
        <v>23490</v>
      </c>
      <c r="D10646" t="str">
        <f>HYPERLINK("https://rhld.insurance.arkansas.gov/NPILookup?Npi=1215313598","1215313598")</f>
        <v>1215313598</v>
      </c>
      <c r="E10646" t="s">
        <v>10745</v>
      </c>
    </row>
    <row r="10647" spans="1:5" x14ac:dyDescent="0.25">
      <c r="A10647" t="s">
        <v>2</v>
      </c>
      <c r="B10647" t="s">
        <v>3458</v>
      </c>
      <c r="C10647" t="s">
        <v>23490</v>
      </c>
      <c r="D10647" t="str">
        <f>HYPERLINK("https://rhld.insurance.arkansas.gov/NPILookup?Npi=1215330550","1215330550")</f>
        <v>1215330550</v>
      </c>
      <c r="E10647" t="s">
        <v>779</v>
      </c>
    </row>
    <row r="10648" spans="1:5" x14ac:dyDescent="0.25">
      <c r="A10648" t="s">
        <v>2</v>
      </c>
      <c r="B10648" t="s">
        <v>3458</v>
      </c>
      <c r="C10648" t="s">
        <v>23490</v>
      </c>
      <c r="D10648" t="str">
        <f>HYPERLINK("https://rhld.insurance.arkansas.gov/NPILookup?Npi=1215331996","1215331996")</f>
        <v>1215331996</v>
      </c>
      <c r="E10648" t="s">
        <v>780</v>
      </c>
    </row>
    <row r="10649" spans="1:5" x14ac:dyDescent="0.25">
      <c r="A10649" t="s">
        <v>2</v>
      </c>
      <c r="B10649" t="s">
        <v>3458</v>
      </c>
      <c r="C10649" t="s">
        <v>23490</v>
      </c>
      <c r="D10649" t="str">
        <f>HYPERLINK("https://rhld.insurance.arkansas.gov/NPILookup?Npi=1215336474","1215336474")</f>
        <v>1215336474</v>
      </c>
      <c r="E10649" t="s">
        <v>781</v>
      </c>
    </row>
    <row r="10650" spans="1:5" x14ac:dyDescent="0.25">
      <c r="A10650" t="s">
        <v>2</v>
      </c>
      <c r="B10650" t="s">
        <v>3458</v>
      </c>
      <c r="C10650" t="s">
        <v>23490</v>
      </c>
      <c r="D10650" t="str">
        <f>HYPERLINK("https://rhld.insurance.arkansas.gov/NPILookup?Npi=1215367230","1215367230")</f>
        <v>1215367230</v>
      </c>
      <c r="E10650" t="s">
        <v>14882</v>
      </c>
    </row>
    <row r="10651" spans="1:5" x14ac:dyDescent="0.25">
      <c r="A10651" t="s">
        <v>2</v>
      </c>
      <c r="B10651" t="s">
        <v>3458</v>
      </c>
      <c r="C10651" t="s">
        <v>23490</v>
      </c>
      <c r="D10651" t="str">
        <f>HYPERLINK("https://rhld.insurance.arkansas.gov/NPILookup?Npi=1215379706","1215379706")</f>
        <v>1215379706</v>
      </c>
      <c r="E10651" t="s">
        <v>14883</v>
      </c>
    </row>
    <row r="10652" spans="1:5" x14ac:dyDescent="0.25">
      <c r="A10652" t="s">
        <v>2</v>
      </c>
      <c r="B10652" t="s">
        <v>3458</v>
      </c>
      <c r="C10652" t="s">
        <v>23490</v>
      </c>
      <c r="D10652" t="str">
        <f>HYPERLINK("https://rhld.insurance.arkansas.gov/NPILookup?Npi=1215394218","1215394218")</f>
        <v>1215394218</v>
      </c>
      <c r="E10652" t="s">
        <v>10746</v>
      </c>
    </row>
    <row r="10653" spans="1:5" x14ac:dyDescent="0.25">
      <c r="A10653" t="s">
        <v>2</v>
      </c>
      <c r="B10653" t="s">
        <v>3458</v>
      </c>
      <c r="C10653" t="s">
        <v>23490</v>
      </c>
      <c r="D10653" t="str">
        <f>HYPERLINK("https://rhld.insurance.arkansas.gov/NPILookup?Npi=1215426036","1215426036")</f>
        <v>1215426036</v>
      </c>
      <c r="E10653" t="s">
        <v>13154</v>
      </c>
    </row>
    <row r="10654" spans="1:5" x14ac:dyDescent="0.25">
      <c r="A10654" t="s">
        <v>2</v>
      </c>
      <c r="B10654" t="s">
        <v>3458</v>
      </c>
      <c r="C10654" t="s">
        <v>23490</v>
      </c>
      <c r="D10654" t="str">
        <f>HYPERLINK("https://rhld.insurance.arkansas.gov/NPILookup?Npi=1215438379","1215438379")</f>
        <v>1215438379</v>
      </c>
      <c r="E10654" t="s">
        <v>14885</v>
      </c>
    </row>
    <row r="10655" spans="1:5" x14ac:dyDescent="0.25">
      <c r="A10655" t="s">
        <v>2</v>
      </c>
      <c r="B10655" t="s">
        <v>3458</v>
      </c>
      <c r="C10655" t="s">
        <v>23490</v>
      </c>
      <c r="D10655" t="str">
        <f>HYPERLINK("https://rhld.insurance.arkansas.gov/NPILookup?Npi=1215454178","1215454178")</f>
        <v>1215454178</v>
      </c>
      <c r="E10655" t="s">
        <v>12797</v>
      </c>
    </row>
    <row r="10656" spans="1:5" x14ac:dyDescent="0.25">
      <c r="A10656" t="s">
        <v>2</v>
      </c>
      <c r="B10656" t="s">
        <v>3458</v>
      </c>
      <c r="C10656" t="s">
        <v>23490</v>
      </c>
      <c r="D10656" t="str">
        <f>HYPERLINK("https://rhld.insurance.arkansas.gov/NPILookup?Npi=1215456074","1215456074")</f>
        <v>1215456074</v>
      </c>
      <c r="E10656" t="s">
        <v>14886</v>
      </c>
    </row>
    <row r="10657" spans="1:5" x14ac:dyDescent="0.25">
      <c r="A10657" t="s">
        <v>2</v>
      </c>
      <c r="B10657" t="s">
        <v>3458</v>
      </c>
      <c r="C10657" t="s">
        <v>8427</v>
      </c>
      <c r="D10657" t="str">
        <f>HYPERLINK("https://rhld.insurance.arkansas.gov/NPILookup?Npi=1215459169","1215459169")</f>
        <v>1215459169</v>
      </c>
      <c r="E10657" t="s">
        <v>22909</v>
      </c>
    </row>
    <row r="10658" spans="1:5" x14ac:dyDescent="0.25">
      <c r="A10658" t="s">
        <v>2</v>
      </c>
      <c r="B10658" t="s">
        <v>3458</v>
      </c>
      <c r="C10658" t="s">
        <v>23490</v>
      </c>
      <c r="D10658" t="str">
        <f>HYPERLINK("https://rhld.insurance.arkansas.gov/NPILookup?Npi=1215470489","1215470489")</f>
        <v>1215470489</v>
      </c>
      <c r="E10658" t="s">
        <v>10747</v>
      </c>
    </row>
    <row r="10659" spans="1:5" x14ac:dyDescent="0.25">
      <c r="A10659" t="s">
        <v>2</v>
      </c>
      <c r="B10659" t="s">
        <v>3458</v>
      </c>
      <c r="C10659" t="s">
        <v>23490</v>
      </c>
      <c r="D10659" t="str">
        <f>HYPERLINK("https://rhld.insurance.arkansas.gov/NPILookup?Npi=1215472436","1215472436")</f>
        <v>1215472436</v>
      </c>
      <c r="E10659" t="s">
        <v>10748</v>
      </c>
    </row>
    <row r="10660" spans="1:5" x14ac:dyDescent="0.25">
      <c r="A10660" t="s">
        <v>2</v>
      </c>
      <c r="B10660" t="s">
        <v>3458</v>
      </c>
      <c r="C10660" t="s">
        <v>23490</v>
      </c>
      <c r="D10660" t="str">
        <f>HYPERLINK("https://rhld.insurance.arkansas.gov/NPILookup?Npi=1215478375","1215478375")</f>
        <v>1215478375</v>
      </c>
      <c r="E10660" t="s">
        <v>10749</v>
      </c>
    </row>
    <row r="10661" spans="1:5" x14ac:dyDescent="0.25">
      <c r="A10661" t="s">
        <v>2</v>
      </c>
      <c r="B10661" t="s">
        <v>3458</v>
      </c>
      <c r="C10661" t="s">
        <v>23490</v>
      </c>
      <c r="D10661" t="str">
        <f>HYPERLINK("https://rhld.insurance.arkansas.gov/NPILookup?Npi=1215498332","1215498332")</f>
        <v>1215498332</v>
      </c>
      <c r="E10661" t="s">
        <v>18700</v>
      </c>
    </row>
    <row r="10662" spans="1:5" x14ac:dyDescent="0.25">
      <c r="A10662" t="s">
        <v>2</v>
      </c>
      <c r="B10662" t="s">
        <v>3458</v>
      </c>
      <c r="C10662" t="s">
        <v>23490</v>
      </c>
      <c r="D10662" t="str">
        <f>HYPERLINK("https://rhld.insurance.arkansas.gov/NPILookup?Npi=1215505615","1215505615")</f>
        <v>1215505615</v>
      </c>
      <c r="E10662" t="s">
        <v>18701</v>
      </c>
    </row>
    <row r="10663" spans="1:5" x14ac:dyDescent="0.25">
      <c r="A10663" t="s">
        <v>2</v>
      </c>
      <c r="B10663" t="s">
        <v>3458</v>
      </c>
      <c r="C10663" t="s">
        <v>23490</v>
      </c>
      <c r="D10663" t="str">
        <f>HYPERLINK("https://rhld.insurance.arkansas.gov/NPILookup?Npi=1215507884","1215507884")</f>
        <v>1215507884</v>
      </c>
      <c r="E10663" t="s">
        <v>18702</v>
      </c>
    </row>
    <row r="10664" spans="1:5" x14ac:dyDescent="0.25">
      <c r="A10664" t="s">
        <v>2</v>
      </c>
      <c r="B10664" t="s">
        <v>3458</v>
      </c>
      <c r="C10664" t="s">
        <v>23490</v>
      </c>
      <c r="D10664" t="str">
        <f>HYPERLINK("https://rhld.insurance.arkansas.gov/NPILookup?Npi=1215536792","1215536792")</f>
        <v>1215536792</v>
      </c>
      <c r="E10664" t="s">
        <v>17403</v>
      </c>
    </row>
    <row r="10665" spans="1:5" x14ac:dyDescent="0.25">
      <c r="A10665" t="s">
        <v>2</v>
      </c>
      <c r="B10665" t="s">
        <v>3458</v>
      </c>
      <c r="C10665" t="s">
        <v>23490</v>
      </c>
      <c r="D10665" t="str">
        <f>HYPERLINK("https://rhld.insurance.arkansas.gov/NPILookup?Npi=1215538285","1215538285")</f>
        <v>1215538285</v>
      </c>
      <c r="E10665" t="s">
        <v>81</v>
      </c>
    </row>
    <row r="10666" spans="1:5" x14ac:dyDescent="0.25">
      <c r="A10666" t="s">
        <v>2</v>
      </c>
      <c r="B10666" t="s">
        <v>3458</v>
      </c>
      <c r="C10666" t="s">
        <v>23490</v>
      </c>
      <c r="D10666" t="str">
        <f>HYPERLINK("https://rhld.insurance.arkansas.gov/NPILookup?Npi=1215545298","1215545298")</f>
        <v>1215545298</v>
      </c>
      <c r="E10666" t="s">
        <v>17404</v>
      </c>
    </row>
    <row r="10667" spans="1:5" x14ac:dyDescent="0.25">
      <c r="A10667" t="s">
        <v>2</v>
      </c>
      <c r="B10667" t="s">
        <v>3458</v>
      </c>
      <c r="C10667" t="s">
        <v>23490</v>
      </c>
      <c r="D10667" t="str">
        <f>HYPERLINK("https://rhld.insurance.arkansas.gov/NPILookup?Npi=1215549217","1215549217")</f>
        <v>1215549217</v>
      </c>
      <c r="E10667" t="s">
        <v>18703</v>
      </c>
    </row>
    <row r="10668" spans="1:5" x14ac:dyDescent="0.25">
      <c r="A10668" t="s">
        <v>2</v>
      </c>
      <c r="B10668" t="s">
        <v>3458</v>
      </c>
      <c r="C10668" t="s">
        <v>23490</v>
      </c>
      <c r="D10668" t="str">
        <f>HYPERLINK("https://rhld.insurance.arkansas.gov/NPILookup?Npi=1215561642","1215561642")</f>
        <v>1215561642</v>
      </c>
      <c r="E10668" t="s">
        <v>17907</v>
      </c>
    </row>
    <row r="10669" spans="1:5" x14ac:dyDescent="0.25">
      <c r="A10669" t="s">
        <v>2</v>
      </c>
      <c r="B10669" t="s">
        <v>3458</v>
      </c>
      <c r="C10669" t="s">
        <v>8427</v>
      </c>
      <c r="D10669" t="str">
        <f>HYPERLINK("https://rhld.insurance.arkansas.gov/NPILookup?Npi=1215564315","1215564315")</f>
        <v>1215564315</v>
      </c>
      <c r="E10669" t="s">
        <v>22910</v>
      </c>
    </row>
    <row r="10670" spans="1:5" x14ac:dyDescent="0.25">
      <c r="A10670" t="s">
        <v>2</v>
      </c>
      <c r="B10670" t="s">
        <v>3458</v>
      </c>
      <c r="C10670" t="s">
        <v>23490</v>
      </c>
      <c r="D10670" t="str">
        <f>HYPERLINK("https://rhld.insurance.arkansas.gov/NPILookup?Npi=1215567995","1215567995")</f>
        <v>1215567995</v>
      </c>
      <c r="E10670" t="s">
        <v>17405</v>
      </c>
    </row>
    <row r="10671" spans="1:5" x14ac:dyDescent="0.25">
      <c r="A10671" t="s">
        <v>2</v>
      </c>
      <c r="B10671" t="s">
        <v>3458</v>
      </c>
      <c r="C10671" t="s">
        <v>23490</v>
      </c>
      <c r="D10671" t="str">
        <f>HYPERLINK("https://rhld.insurance.arkansas.gov/NPILookup?Npi=1215597273","1215597273")</f>
        <v>1215597273</v>
      </c>
      <c r="E10671" t="s">
        <v>18704</v>
      </c>
    </row>
    <row r="10672" spans="1:5" x14ac:dyDescent="0.25">
      <c r="A10672" t="s">
        <v>2</v>
      </c>
      <c r="B10672" t="s">
        <v>3458</v>
      </c>
      <c r="C10672" t="s">
        <v>23490</v>
      </c>
      <c r="D10672" t="str">
        <f>HYPERLINK("https://rhld.insurance.arkansas.gov/NPILookup?Npi=1215604459","1215604459")</f>
        <v>1215604459</v>
      </c>
      <c r="E10672" t="s">
        <v>18705</v>
      </c>
    </row>
    <row r="10673" spans="1:5" x14ac:dyDescent="0.25">
      <c r="A10673" t="s">
        <v>2</v>
      </c>
      <c r="B10673" t="s">
        <v>3458</v>
      </c>
      <c r="C10673" t="s">
        <v>23490</v>
      </c>
      <c r="D10673" t="str">
        <f>HYPERLINK("https://rhld.insurance.arkansas.gov/NPILookup?Npi=1215608328","1215608328")</f>
        <v>1215608328</v>
      </c>
      <c r="E10673" t="s">
        <v>19519</v>
      </c>
    </row>
    <row r="10674" spans="1:5" x14ac:dyDescent="0.25">
      <c r="A10674" t="s">
        <v>2</v>
      </c>
      <c r="B10674" t="s">
        <v>3458</v>
      </c>
      <c r="C10674" t="s">
        <v>23490</v>
      </c>
      <c r="D10674" t="str">
        <f>HYPERLINK("https://rhld.insurance.arkansas.gov/NPILookup?Npi=1215665708","1215665708")</f>
        <v>1215665708</v>
      </c>
      <c r="E10674" t="s">
        <v>20913</v>
      </c>
    </row>
    <row r="10675" spans="1:5" x14ac:dyDescent="0.25">
      <c r="A10675" t="s">
        <v>2</v>
      </c>
      <c r="B10675" t="s">
        <v>3458</v>
      </c>
      <c r="C10675" t="s">
        <v>23490</v>
      </c>
      <c r="D10675" t="str">
        <f>HYPERLINK("https://rhld.insurance.arkansas.gov/NPILookup?Npi=1215683586","1215683586")</f>
        <v>1215683586</v>
      </c>
      <c r="E10675" t="s">
        <v>19520</v>
      </c>
    </row>
    <row r="10676" spans="1:5" x14ac:dyDescent="0.25">
      <c r="A10676" t="s">
        <v>2</v>
      </c>
      <c r="B10676" t="s">
        <v>3458</v>
      </c>
      <c r="C10676" t="s">
        <v>23490</v>
      </c>
      <c r="D10676" t="str">
        <f>HYPERLINK("https://rhld.insurance.arkansas.gov/NPILookup?Npi=1215687637","1215687637")</f>
        <v>1215687637</v>
      </c>
      <c r="E10676" t="s">
        <v>19521</v>
      </c>
    </row>
    <row r="10677" spans="1:5" x14ac:dyDescent="0.25">
      <c r="A10677" t="s">
        <v>2</v>
      </c>
      <c r="B10677" t="s">
        <v>3458</v>
      </c>
      <c r="C10677" t="s">
        <v>23490</v>
      </c>
      <c r="D10677" t="str">
        <f>HYPERLINK("https://rhld.insurance.arkansas.gov/NPILookup?Npi=1215902358","1215902358")</f>
        <v>1215902358</v>
      </c>
      <c r="E10677" t="s">
        <v>8549</v>
      </c>
    </row>
    <row r="10678" spans="1:5" x14ac:dyDescent="0.25">
      <c r="A10678" t="s">
        <v>2</v>
      </c>
      <c r="B10678" t="s">
        <v>3458</v>
      </c>
      <c r="C10678" t="s">
        <v>23490</v>
      </c>
      <c r="D10678" t="str">
        <f>HYPERLINK("https://rhld.insurance.arkansas.gov/NPILookup?Npi=1215905575","1215905575")</f>
        <v>1215905575</v>
      </c>
      <c r="E10678" t="s">
        <v>782</v>
      </c>
    </row>
    <row r="10679" spans="1:5" x14ac:dyDescent="0.25">
      <c r="A10679" t="s">
        <v>2</v>
      </c>
      <c r="B10679" t="s">
        <v>3458</v>
      </c>
      <c r="C10679" t="s">
        <v>23490</v>
      </c>
      <c r="D10679" t="str">
        <f>HYPERLINK("https://rhld.insurance.arkansas.gov/NPILookup?Npi=1215915608","1215915608")</f>
        <v>1215915608</v>
      </c>
      <c r="E10679" t="s">
        <v>3588</v>
      </c>
    </row>
    <row r="10680" spans="1:5" x14ac:dyDescent="0.25">
      <c r="A10680" t="s">
        <v>2</v>
      </c>
      <c r="B10680" t="s">
        <v>3458</v>
      </c>
      <c r="C10680" t="s">
        <v>23490</v>
      </c>
      <c r="D10680" t="str">
        <f>HYPERLINK("https://rhld.insurance.arkansas.gov/NPILookup?Npi=1215916861","1215916861")</f>
        <v>1215916861</v>
      </c>
      <c r="E10680" t="s">
        <v>783</v>
      </c>
    </row>
    <row r="10681" spans="1:5" x14ac:dyDescent="0.25">
      <c r="A10681" t="s">
        <v>2</v>
      </c>
      <c r="B10681" t="s">
        <v>3458</v>
      </c>
      <c r="C10681" t="s">
        <v>23490</v>
      </c>
      <c r="D10681" t="str">
        <f>HYPERLINK("https://rhld.insurance.arkansas.gov/NPILookup?Npi=1215926688","1215926688")</f>
        <v>1215926688</v>
      </c>
      <c r="E10681" t="s">
        <v>784</v>
      </c>
    </row>
    <row r="10682" spans="1:5" x14ac:dyDescent="0.25">
      <c r="A10682" t="s">
        <v>2</v>
      </c>
      <c r="B10682" t="s">
        <v>3458</v>
      </c>
      <c r="C10682" t="s">
        <v>23490</v>
      </c>
      <c r="D10682" t="str">
        <f>HYPERLINK("https://rhld.insurance.arkansas.gov/NPILookup?Npi=1215930029","1215930029")</f>
        <v>1215930029</v>
      </c>
      <c r="E10682" t="s">
        <v>785</v>
      </c>
    </row>
    <row r="10683" spans="1:5" x14ac:dyDescent="0.25">
      <c r="A10683" t="s">
        <v>2</v>
      </c>
      <c r="B10683" t="s">
        <v>3458</v>
      </c>
      <c r="C10683" t="s">
        <v>23490</v>
      </c>
      <c r="D10683" t="str">
        <f>HYPERLINK("https://rhld.insurance.arkansas.gov/NPILookup?Npi=1215930094","1215930094")</f>
        <v>1215930094</v>
      </c>
      <c r="E10683" t="s">
        <v>786</v>
      </c>
    </row>
    <row r="10684" spans="1:5" x14ac:dyDescent="0.25">
      <c r="A10684" t="s">
        <v>2</v>
      </c>
      <c r="B10684" t="s">
        <v>3458</v>
      </c>
      <c r="C10684" t="s">
        <v>23490</v>
      </c>
      <c r="D10684" t="str">
        <f>HYPERLINK("https://rhld.insurance.arkansas.gov/NPILookup?Npi=1215932488","1215932488")</f>
        <v>1215932488</v>
      </c>
      <c r="E10684" t="s">
        <v>12798</v>
      </c>
    </row>
    <row r="10685" spans="1:5" x14ac:dyDescent="0.25">
      <c r="A10685" t="s">
        <v>2</v>
      </c>
      <c r="B10685" t="s">
        <v>3458</v>
      </c>
      <c r="C10685" t="s">
        <v>23490</v>
      </c>
      <c r="D10685" t="str">
        <f>HYPERLINK("https://rhld.insurance.arkansas.gov/NPILookup?Npi=1215937537","1215937537")</f>
        <v>1215937537</v>
      </c>
      <c r="E10685" t="s">
        <v>787</v>
      </c>
    </row>
    <row r="10686" spans="1:5" x14ac:dyDescent="0.25">
      <c r="A10686" t="s">
        <v>2</v>
      </c>
      <c r="B10686" t="s">
        <v>3458</v>
      </c>
      <c r="C10686" t="s">
        <v>23490</v>
      </c>
      <c r="D10686" t="str">
        <f>HYPERLINK("https://rhld.insurance.arkansas.gov/NPILookup?Npi=1215944772","1215944772")</f>
        <v>1215944772</v>
      </c>
      <c r="E10686" t="s">
        <v>3589</v>
      </c>
    </row>
    <row r="10687" spans="1:5" x14ac:dyDescent="0.25">
      <c r="A10687" t="s">
        <v>2</v>
      </c>
      <c r="B10687" t="s">
        <v>3458</v>
      </c>
      <c r="C10687" t="s">
        <v>23490</v>
      </c>
      <c r="D10687" t="str">
        <f>HYPERLINK("https://rhld.insurance.arkansas.gov/NPILookup?Npi=1215946348","1215946348")</f>
        <v>1215946348</v>
      </c>
      <c r="E10687" t="s">
        <v>8550</v>
      </c>
    </row>
    <row r="10688" spans="1:5" x14ac:dyDescent="0.25">
      <c r="A10688" t="s">
        <v>2</v>
      </c>
      <c r="B10688" t="s">
        <v>3458</v>
      </c>
      <c r="C10688" t="s">
        <v>23490</v>
      </c>
      <c r="D10688" t="str">
        <f>HYPERLINK("https://rhld.insurance.arkansas.gov/NPILookup?Npi=1215952965","1215952965")</f>
        <v>1215952965</v>
      </c>
      <c r="E10688" t="s">
        <v>10751</v>
      </c>
    </row>
    <row r="10689" spans="1:5" x14ac:dyDescent="0.25">
      <c r="A10689" t="s">
        <v>2</v>
      </c>
      <c r="B10689" t="s">
        <v>3458</v>
      </c>
      <c r="C10689" t="s">
        <v>23490</v>
      </c>
      <c r="D10689" t="str">
        <f>HYPERLINK("https://rhld.insurance.arkansas.gov/NPILookup?Npi=1215968599","1215968599")</f>
        <v>1215968599</v>
      </c>
      <c r="E10689" t="s">
        <v>8551</v>
      </c>
    </row>
    <row r="10690" spans="1:5" x14ac:dyDescent="0.25">
      <c r="A10690" t="s">
        <v>2</v>
      </c>
      <c r="B10690" t="s">
        <v>3458</v>
      </c>
      <c r="C10690" t="s">
        <v>23490</v>
      </c>
      <c r="D10690" t="str">
        <f>HYPERLINK("https://rhld.insurance.arkansas.gov/NPILookup?Npi=1215971338","1215971338")</f>
        <v>1215971338</v>
      </c>
      <c r="E10690" t="s">
        <v>788</v>
      </c>
    </row>
    <row r="10691" spans="1:5" x14ac:dyDescent="0.25">
      <c r="A10691" t="s">
        <v>2</v>
      </c>
      <c r="B10691" t="s">
        <v>3458</v>
      </c>
      <c r="C10691" t="s">
        <v>23490</v>
      </c>
      <c r="D10691" t="str">
        <f>HYPERLINK("https://rhld.insurance.arkansas.gov/NPILookup?Npi=1215972252","1215972252")</f>
        <v>1215972252</v>
      </c>
      <c r="E10691" t="s">
        <v>789</v>
      </c>
    </row>
    <row r="10692" spans="1:5" x14ac:dyDescent="0.25">
      <c r="A10692" t="s">
        <v>2</v>
      </c>
      <c r="B10692" t="s">
        <v>3458</v>
      </c>
      <c r="C10692" t="s">
        <v>23490</v>
      </c>
      <c r="D10692" t="str">
        <f>HYPERLINK("https://rhld.insurance.arkansas.gov/NPILookup?Npi=1215974126","1215974126")</f>
        <v>1215974126</v>
      </c>
      <c r="E10692" t="s">
        <v>17071</v>
      </c>
    </row>
    <row r="10693" spans="1:5" x14ac:dyDescent="0.25">
      <c r="A10693" t="s">
        <v>2</v>
      </c>
      <c r="B10693" t="s">
        <v>3458</v>
      </c>
      <c r="C10693" t="s">
        <v>23490</v>
      </c>
      <c r="D10693" t="str">
        <f>HYPERLINK("https://rhld.insurance.arkansas.gov/NPILookup?Npi=1215995519","1215995519")</f>
        <v>1215995519</v>
      </c>
      <c r="E10693" t="s">
        <v>13425</v>
      </c>
    </row>
    <row r="10694" spans="1:5" x14ac:dyDescent="0.25">
      <c r="A10694" t="s">
        <v>2</v>
      </c>
      <c r="B10694" t="s">
        <v>3458</v>
      </c>
      <c r="C10694" t="s">
        <v>23490</v>
      </c>
      <c r="D10694" t="str">
        <f>HYPERLINK("https://rhld.insurance.arkansas.gov/NPILookup?Npi=1215999016","1215999016")</f>
        <v>1215999016</v>
      </c>
      <c r="E10694" t="s">
        <v>12799</v>
      </c>
    </row>
    <row r="10695" spans="1:5" x14ac:dyDescent="0.25">
      <c r="A10695" t="s">
        <v>2</v>
      </c>
      <c r="B10695" t="s">
        <v>3458</v>
      </c>
      <c r="C10695" t="s">
        <v>23490</v>
      </c>
      <c r="D10695" t="str">
        <f>HYPERLINK("https://rhld.insurance.arkansas.gov/NPILookup?Npi=1225006737","1225006737")</f>
        <v>1225006737</v>
      </c>
      <c r="E10695" t="s">
        <v>3590</v>
      </c>
    </row>
    <row r="10696" spans="1:5" x14ac:dyDescent="0.25">
      <c r="A10696" t="s">
        <v>2</v>
      </c>
      <c r="B10696" t="s">
        <v>3458</v>
      </c>
      <c r="C10696" t="s">
        <v>23490</v>
      </c>
      <c r="D10696" t="str">
        <f>HYPERLINK("https://rhld.insurance.arkansas.gov/NPILookup?Npi=1225007966","1225007966")</f>
        <v>1225007966</v>
      </c>
      <c r="E10696" t="s">
        <v>3591</v>
      </c>
    </row>
    <row r="10697" spans="1:5" x14ac:dyDescent="0.25">
      <c r="A10697" t="s">
        <v>2</v>
      </c>
      <c r="B10697" t="s">
        <v>3458</v>
      </c>
      <c r="C10697" t="s">
        <v>23490</v>
      </c>
      <c r="D10697" t="str">
        <f>HYPERLINK("https://rhld.insurance.arkansas.gov/NPILookup?Npi=1225022395","1225022395")</f>
        <v>1225022395</v>
      </c>
      <c r="E10697" t="s">
        <v>792</v>
      </c>
    </row>
    <row r="10698" spans="1:5" x14ac:dyDescent="0.25">
      <c r="A10698" t="s">
        <v>2</v>
      </c>
      <c r="B10698" t="s">
        <v>3458</v>
      </c>
      <c r="C10698" t="s">
        <v>23490</v>
      </c>
      <c r="D10698" t="str">
        <f>HYPERLINK("https://rhld.insurance.arkansas.gov/NPILookup?Npi=1225024482","1225024482")</f>
        <v>1225024482</v>
      </c>
      <c r="E10698" t="s">
        <v>793</v>
      </c>
    </row>
    <row r="10699" spans="1:5" x14ac:dyDescent="0.25">
      <c r="A10699" t="s">
        <v>2</v>
      </c>
      <c r="B10699" t="s">
        <v>3458</v>
      </c>
      <c r="C10699" t="s">
        <v>23490</v>
      </c>
      <c r="D10699" t="str">
        <f>HYPERLINK("https://rhld.insurance.arkansas.gov/NPILookup?Npi=1225032956","1225032956")</f>
        <v>1225032956</v>
      </c>
      <c r="E10699" t="s">
        <v>14888</v>
      </c>
    </row>
    <row r="10700" spans="1:5" x14ac:dyDescent="0.25">
      <c r="A10700" t="s">
        <v>2</v>
      </c>
      <c r="B10700" t="s">
        <v>3458</v>
      </c>
      <c r="C10700" t="s">
        <v>23490</v>
      </c>
      <c r="D10700" t="str">
        <f>HYPERLINK("https://rhld.insurance.arkansas.gov/NPILookup?Npi=1225037807","1225037807")</f>
        <v>1225037807</v>
      </c>
      <c r="E10700" t="s">
        <v>14889</v>
      </c>
    </row>
    <row r="10701" spans="1:5" x14ac:dyDescent="0.25">
      <c r="A10701" t="s">
        <v>2</v>
      </c>
      <c r="B10701" t="s">
        <v>3458</v>
      </c>
      <c r="C10701" t="s">
        <v>23490</v>
      </c>
      <c r="D10701" t="str">
        <f>HYPERLINK("https://rhld.insurance.arkansas.gov/NPILookup?Npi=1225039308","1225039308")</f>
        <v>1225039308</v>
      </c>
      <c r="E10701" t="s">
        <v>3592</v>
      </c>
    </row>
    <row r="10702" spans="1:5" x14ac:dyDescent="0.25">
      <c r="A10702" t="s">
        <v>2</v>
      </c>
      <c r="B10702" t="s">
        <v>3458</v>
      </c>
      <c r="C10702" t="s">
        <v>23490</v>
      </c>
      <c r="D10702" t="str">
        <f>HYPERLINK("https://rhld.insurance.arkansas.gov/NPILookup?Npi=1225047863","1225047863")</f>
        <v>1225047863</v>
      </c>
      <c r="E10702" t="s">
        <v>10752</v>
      </c>
    </row>
    <row r="10703" spans="1:5" x14ac:dyDescent="0.25">
      <c r="A10703" t="s">
        <v>2</v>
      </c>
      <c r="B10703" t="s">
        <v>3458</v>
      </c>
      <c r="C10703" t="s">
        <v>23490</v>
      </c>
      <c r="D10703" t="str">
        <f>HYPERLINK("https://rhld.insurance.arkansas.gov/NPILookup?Npi=1225051246","1225051246")</f>
        <v>1225051246</v>
      </c>
      <c r="E10703" t="s">
        <v>794</v>
      </c>
    </row>
    <row r="10704" spans="1:5" x14ac:dyDescent="0.25">
      <c r="A10704" t="s">
        <v>2</v>
      </c>
      <c r="B10704" t="s">
        <v>3458</v>
      </c>
      <c r="C10704" t="s">
        <v>23490</v>
      </c>
      <c r="D10704" t="str">
        <f>HYPERLINK("https://rhld.insurance.arkansas.gov/NPILookup?Npi=1225056872","1225056872")</f>
        <v>1225056872</v>
      </c>
      <c r="E10704" t="s">
        <v>795</v>
      </c>
    </row>
    <row r="10705" spans="1:5" x14ac:dyDescent="0.25">
      <c r="A10705" t="s">
        <v>2</v>
      </c>
      <c r="B10705" t="s">
        <v>3458</v>
      </c>
      <c r="C10705" t="s">
        <v>23490</v>
      </c>
      <c r="D10705" t="str">
        <f>HYPERLINK("https://rhld.insurance.arkansas.gov/NPILookup?Npi=1225058407","1225058407")</f>
        <v>1225058407</v>
      </c>
      <c r="E10705" t="s">
        <v>14890</v>
      </c>
    </row>
    <row r="10706" spans="1:5" x14ac:dyDescent="0.25">
      <c r="A10706" t="s">
        <v>2</v>
      </c>
      <c r="B10706" t="s">
        <v>3458</v>
      </c>
      <c r="C10706" t="s">
        <v>23490</v>
      </c>
      <c r="D10706" t="str">
        <f>HYPERLINK("https://rhld.insurance.arkansas.gov/NPILookup?Npi=1225065048","1225065048")</f>
        <v>1225065048</v>
      </c>
      <c r="E10706" t="s">
        <v>796</v>
      </c>
    </row>
    <row r="10707" spans="1:5" x14ac:dyDescent="0.25">
      <c r="A10707" t="s">
        <v>2</v>
      </c>
      <c r="B10707" t="s">
        <v>3458</v>
      </c>
      <c r="C10707" t="s">
        <v>23490</v>
      </c>
      <c r="D10707" t="str">
        <f>HYPERLINK("https://rhld.insurance.arkansas.gov/NPILookup?Npi=1225072044","1225072044")</f>
        <v>1225072044</v>
      </c>
      <c r="E10707" t="s">
        <v>797</v>
      </c>
    </row>
    <row r="10708" spans="1:5" x14ac:dyDescent="0.25">
      <c r="A10708" t="s">
        <v>2</v>
      </c>
      <c r="B10708" t="s">
        <v>3458</v>
      </c>
      <c r="C10708" t="s">
        <v>23490</v>
      </c>
      <c r="D10708" t="str">
        <f>HYPERLINK("https://rhld.insurance.arkansas.gov/NPILookup?Npi=1225079825","1225079825")</f>
        <v>1225079825</v>
      </c>
      <c r="E10708" t="s">
        <v>10753</v>
      </c>
    </row>
    <row r="10709" spans="1:5" x14ac:dyDescent="0.25">
      <c r="A10709" t="s">
        <v>2</v>
      </c>
      <c r="B10709" t="s">
        <v>3458</v>
      </c>
      <c r="C10709" t="s">
        <v>23490</v>
      </c>
      <c r="D10709" t="str">
        <f>HYPERLINK("https://rhld.insurance.arkansas.gov/NPILookup?Npi=1225084577","1225084577")</f>
        <v>1225084577</v>
      </c>
      <c r="E10709" t="s">
        <v>798</v>
      </c>
    </row>
    <row r="10710" spans="1:5" x14ac:dyDescent="0.25">
      <c r="A10710" t="s">
        <v>2</v>
      </c>
      <c r="B10710" t="s">
        <v>3458</v>
      </c>
      <c r="C10710" t="s">
        <v>23490</v>
      </c>
      <c r="D10710" t="str">
        <f>HYPERLINK("https://rhld.insurance.arkansas.gov/NPILookup?Npi=1225086630","1225086630")</f>
        <v>1225086630</v>
      </c>
      <c r="E10710" t="s">
        <v>799</v>
      </c>
    </row>
    <row r="10711" spans="1:5" x14ac:dyDescent="0.25">
      <c r="A10711" t="s">
        <v>2</v>
      </c>
      <c r="B10711" t="s">
        <v>3458</v>
      </c>
      <c r="C10711" t="s">
        <v>23490</v>
      </c>
      <c r="D10711" t="str">
        <f>HYPERLINK("https://rhld.insurance.arkansas.gov/NPILookup?Npi=1225090038","1225090038")</f>
        <v>1225090038</v>
      </c>
      <c r="E10711" t="s">
        <v>8968</v>
      </c>
    </row>
    <row r="10712" spans="1:5" x14ac:dyDescent="0.25">
      <c r="A10712" t="s">
        <v>2</v>
      </c>
      <c r="B10712" t="s">
        <v>3458</v>
      </c>
      <c r="C10712" t="s">
        <v>23490</v>
      </c>
      <c r="D10712" t="str">
        <f>HYPERLINK("https://rhld.insurance.arkansas.gov/NPILookup?Npi=1225090962","1225090962")</f>
        <v>1225090962</v>
      </c>
      <c r="E10712" t="s">
        <v>800</v>
      </c>
    </row>
    <row r="10713" spans="1:5" x14ac:dyDescent="0.25">
      <c r="A10713" t="s">
        <v>2</v>
      </c>
      <c r="B10713" t="s">
        <v>3458</v>
      </c>
      <c r="C10713" t="s">
        <v>23490</v>
      </c>
      <c r="D10713" t="str">
        <f>HYPERLINK("https://rhld.insurance.arkansas.gov/NPILookup?Npi=1225096332","1225096332")</f>
        <v>1225096332</v>
      </c>
      <c r="E10713" t="s">
        <v>3593</v>
      </c>
    </row>
    <row r="10714" spans="1:5" x14ac:dyDescent="0.25">
      <c r="A10714" t="s">
        <v>2</v>
      </c>
      <c r="B10714" t="s">
        <v>3458</v>
      </c>
      <c r="C10714" t="s">
        <v>23490</v>
      </c>
      <c r="D10714" t="str">
        <f>HYPERLINK("https://rhld.insurance.arkansas.gov/NPILookup?Npi=1225148315","1225148315")</f>
        <v>1225148315</v>
      </c>
      <c r="E10714" t="s">
        <v>802</v>
      </c>
    </row>
    <row r="10715" spans="1:5" x14ac:dyDescent="0.25">
      <c r="A10715" t="s">
        <v>2</v>
      </c>
      <c r="B10715" t="s">
        <v>3458</v>
      </c>
      <c r="C10715" t="s">
        <v>23490</v>
      </c>
      <c r="D10715" t="str">
        <f>HYPERLINK("https://rhld.insurance.arkansas.gov/NPILookup?Npi=1225149685","1225149685")</f>
        <v>1225149685</v>
      </c>
      <c r="E10715" t="s">
        <v>17908</v>
      </c>
    </row>
    <row r="10716" spans="1:5" x14ac:dyDescent="0.25">
      <c r="A10716" t="s">
        <v>2</v>
      </c>
      <c r="B10716" t="s">
        <v>3458</v>
      </c>
      <c r="C10716" t="s">
        <v>23490</v>
      </c>
      <c r="D10716" t="str">
        <f>HYPERLINK("https://rhld.insurance.arkansas.gov/NPILookup?Npi=1225158066","1225158066")</f>
        <v>1225158066</v>
      </c>
      <c r="E10716" t="s">
        <v>10754</v>
      </c>
    </row>
    <row r="10717" spans="1:5" x14ac:dyDescent="0.25">
      <c r="A10717" t="s">
        <v>2</v>
      </c>
      <c r="B10717" t="s">
        <v>3458</v>
      </c>
      <c r="C10717" t="s">
        <v>23490</v>
      </c>
      <c r="D10717" t="str">
        <f>HYPERLINK("https://rhld.insurance.arkansas.gov/NPILookup?Npi=1225172158","1225172158")</f>
        <v>1225172158</v>
      </c>
      <c r="E10717" t="s">
        <v>14891</v>
      </c>
    </row>
    <row r="10718" spans="1:5" x14ac:dyDescent="0.25">
      <c r="A10718" t="s">
        <v>2</v>
      </c>
      <c r="B10718" t="s">
        <v>3458</v>
      </c>
      <c r="C10718" t="s">
        <v>23490</v>
      </c>
      <c r="D10718" t="str">
        <f>HYPERLINK("https://rhld.insurance.arkansas.gov/NPILookup?Npi=1225188121","1225188121")</f>
        <v>1225188121</v>
      </c>
      <c r="E10718" t="s">
        <v>804</v>
      </c>
    </row>
    <row r="10719" spans="1:5" x14ac:dyDescent="0.25">
      <c r="A10719" t="s">
        <v>2</v>
      </c>
      <c r="B10719" t="s">
        <v>3458</v>
      </c>
      <c r="C10719" t="s">
        <v>23490</v>
      </c>
      <c r="D10719" t="str">
        <f>HYPERLINK("https://rhld.insurance.arkansas.gov/NPILookup?Npi=1225206436","1225206436")</f>
        <v>1225206436</v>
      </c>
      <c r="E10719" t="s">
        <v>371</v>
      </c>
    </row>
    <row r="10720" spans="1:5" x14ac:dyDescent="0.25">
      <c r="A10720" t="s">
        <v>2</v>
      </c>
      <c r="B10720" t="s">
        <v>3458</v>
      </c>
      <c r="C10720" t="s">
        <v>23490</v>
      </c>
      <c r="D10720" t="str">
        <f>HYPERLINK("https://rhld.insurance.arkansas.gov/NPILookup?Npi=1225213812","1225213812")</f>
        <v>1225213812</v>
      </c>
      <c r="E10720" t="s">
        <v>805</v>
      </c>
    </row>
    <row r="10721" spans="1:5" x14ac:dyDescent="0.25">
      <c r="A10721" t="s">
        <v>2</v>
      </c>
      <c r="B10721" t="s">
        <v>3458</v>
      </c>
      <c r="C10721" t="s">
        <v>23490</v>
      </c>
      <c r="D10721" t="str">
        <f>HYPERLINK("https://rhld.insurance.arkansas.gov/NPILookup?Npi=1225253883","1225253883")</f>
        <v>1225253883</v>
      </c>
      <c r="E10721" t="s">
        <v>14893</v>
      </c>
    </row>
    <row r="10722" spans="1:5" x14ac:dyDescent="0.25">
      <c r="A10722" t="s">
        <v>2</v>
      </c>
      <c r="B10722" t="s">
        <v>3458</v>
      </c>
      <c r="C10722" t="s">
        <v>23490</v>
      </c>
      <c r="D10722" t="str">
        <f>HYPERLINK("https://rhld.insurance.arkansas.gov/NPILookup?Npi=1225259278","1225259278")</f>
        <v>1225259278</v>
      </c>
      <c r="E10722" t="s">
        <v>15826</v>
      </c>
    </row>
    <row r="10723" spans="1:5" x14ac:dyDescent="0.25">
      <c r="A10723" t="s">
        <v>2</v>
      </c>
      <c r="B10723" t="s">
        <v>3458</v>
      </c>
      <c r="C10723" t="s">
        <v>23490</v>
      </c>
      <c r="D10723" t="str">
        <f>HYPERLINK("https://rhld.insurance.arkansas.gov/NPILookup?Npi=1225290919","1225290919")</f>
        <v>1225290919</v>
      </c>
      <c r="E10723" t="s">
        <v>11440</v>
      </c>
    </row>
    <row r="10724" spans="1:5" x14ac:dyDescent="0.25">
      <c r="A10724" t="s">
        <v>2</v>
      </c>
      <c r="B10724" t="s">
        <v>3458</v>
      </c>
      <c r="C10724" t="s">
        <v>23490</v>
      </c>
      <c r="D10724" t="str">
        <f>HYPERLINK("https://rhld.insurance.arkansas.gov/NPILookup?Npi=1225292592","1225292592")</f>
        <v>1225292592</v>
      </c>
      <c r="E10724" t="s">
        <v>3594</v>
      </c>
    </row>
    <row r="10725" spans="1:5" x14ac:dyDescent="0.25">
      <c r="A10725" t="s">
        <v>2</v>
      </c>
      <c r="B10725" t="s">
        <v>3458</v>
      </c>
      <c r="C10725" t="s">
        <v>23490</v>
      </c>
      <c r="D10725" t="str">
        <f>HYPERLINK("https://rhld.insurance.arkansas.gov/NPILookup?Npi=1225295322","1225295322")</f>
        <v>1225295322</v>
      </c>
      <c r="E10725" t="s">
        <v>808</v>
      </c>
    </row>
    <row r="10726" spans="1:5" x14ac:dyDescent="0.25">
      <c r="A10726" t="s">
        <v>2</v>
      </c>
      <c r="B10726" t="s">
        <v>3458</v>
      </c>
      <c r="C10726" t="s">
        <v>23490</v>
      </c>
      <c r="D10726" t="str">
        <f>HYPERLINK("https://rhld.insurance.arkansas.gov/NPILookup?Npi=1225297260","1225297260")</f>
        <v>1225297260</v>
      </c>
      <c r="E10726" t="s">
        <v>809</v>
      </c>
    </row>
    <row r="10727" spans="1:5" x14ac:dyDescent="0.25">
      <c r="A10727" t="s">
        <v>2</v>
      </c>
      <c r="B10727" t="s">
        <v>3458</v>
      </c>
      <c r="C10727" t="s">
        <v>23490</v>
      </c>
      <c r="D10727" t="str">
        <f>HYPERLINK("https://rhld.insurance.arkansas.gov/NPILookup?Npi=1225304801","1225304801")</f>
        <v>1225304801</v>
      </c>
      <c r="E10727" t="s">
        <v>811</v>
      </c>
    </row>
    <row r="10728" spans="1:5" x14ac:dyDescent="0.25">
      <c r="A10728" t="s">
        <v>2</v>
      </c>
      <c r="B10728" t="s">
        <v>3458</v>
      </c>
      <c r="C10728" t="s">
        <v>23490</v>
      </c>
      <c r="D10728" t="str">
        <f>HYPERLINK("https://rhld.insurance.arkansas.gov/NPILookup?Npi=1225306269","1225306269")</f>
        <v>1225306269</v>
      </c>
      <c r="E10728" t="s">
        <v>8969</v>
      </c>
    </row>
    <row r="10729" spans="1:5" x14ac:dyDescent="0.25">
      <c r="A10729" t="s">
        <v>2</v>
      </c>
      <c r="B10729" t="s">
        <v>3458</v>
      </c>
      <c r="C10729" t="s">
        <v>23490</v>
      </c>
      <c r="D10729" t="str">
        <f>HYPERLINK("https://rhld.insurance.arkansas.gov/NPILookup?Npi=1225309883","1225309883")</f>
        <v>1225309883</v>
      </c>
      <c r="E10729" t="s">
        <v>19524</v>
      </c>
    </row>
    <row r="10730" spans="1:5" x14ac:dyDescent="0.25">
      <c r="A10730" t="s">
        <v>2</v>
      </c>
      <c r="B10730" t="s">
        <v>3458</v>
      </c>
      <c r="C10730" t="s">
        <v>23490</v>
      </c>
      <c r="D10730" t="str">
        <f>HYPERLINK("https://rhld.insurance.arkansas.gov/NPILookup?Npi=1225323090","1225323090")</f>
        <v>1225323090</v>
      </c>
      <c r="E10730" t="s">
        <v>8557</v>
      </c>
    </row>
    <row r="10731" spans="1:5" x14ac:dyDescent="0.25">
      <c r="A10731" t="s">
        <v>2</v>
      </c>
      <c r="B10731" t="s">
        <v>3458</v>
      </c>
      <c r="C10731" t="s">
        <v>23490</v>
      </c>
      <c r="D10731" t="str">
        <f>HYPERLINK("https://rhld.insurance.arkansas.gov/NPILookup?Npi=1225323595","1225323595")</f>
        <v>1225323595</v>
      </c>
      <c r="E10731" t="s">
        <v>813</v>
      </c>
    </row>
    <row r="10732" spans="1:5" x14ac:dyDescent="0.25">
      <c r="A10732" t="s">
        <v>2</v>
      </c>
      <c r="B10732" t="s">
        <v>3458</v>
      </c>
      <c r="C10732" t="s">
        <v>23490</v>
      </c>
      <c r="D10732" t="str">
        <f>HYPERLINK("https://rhld.insurance.arkansas.gov/NPILookup?Npi=1225335953","1225335953")</f>
        <v>1225335953</v>
      </c>
      <c r="E10732" t="s">
        <v>814</v>
      </c>
    </row>
    <row r="10733" spans="1:5" x14ac:dyDescent="0.25">
      <c r="A10733" t="s">
        <v>2</v>
      </c>
      <c r="B10733" t="s">
        <v>3458</v>
      </c>
      <c r="C10733" t="s">
        <v>23490</v>
      </c>
      <c r="D10733" t="str">
        <f>HYPERLINK("https://rhld.insurance.arkansas.gov/NPILookup?Npi=1225340649","1225340649")</f>
        <v>1225340649</v>
      </c>
      <c r="E10733" t="s">
        <v>11441</v>
      </c>
    </row>
    <row r="10734" spans="1:5" x14ac:dyDescent="0.25">
      <c r="A10734" t="s">
        <v>2</v>
      </c>
      <c r="B10734" t="s">
        <v>3458</v>
      </c>
      <c r="C10734" t="s">
        <v>23490</v>
      </c>
      <c r="D10734" t="str">
        <f>HYPERLINK("https://rhld.insurance.arkansas.gov/NPILookup?Npi=1225357635","1225357635")</f>
        <v>1225357635</v>
      </c>
      <c r="E10734" t="s">
        <v>10756</v>
      </c>
    </row>
    <row r="10735" spans="1:5" x14ac:dyDescent="0.25">
      <c r="A10735" t="s">
        <v>2</v>
      </c>
      <c r="B10735" t="s">
        <v>3458</v>
      </c>
      <c r="C10735" t="s">
        <v>23490</v>
      </c>
      <c r="D10735" t="str">
        <f>HYPERLINK("https://rhld.insurance.arkansas.gov/NPILookup?Npi=1225373749","1225373749")</f>
        <v>1225373749</v>
      </c>
      <c r="E10735" t="s">
        <v>816</v>
      </c>
    </row>
    <row r="10736" spans="1:5" x14ac:dyDescent="0.25">
      <c r="A10736" t="s">
        <v>2</v>
      </c>
      <c r="B10736" t="s">
        <v>3458</v>
      </c>
      <c r="C10736" t="s">
        <v>23490</v>
      </c>
      <c r="D10736" t="str">
        <f>HYPERLINK("https://rhld.insurance.arkansas.gov/NPILookup?Npi=1225376411","1225376411")</f>
        <v>1225376411</v>
      </c>
      <c r="E10736" t="s">
        <v>818</v>
      </c>
    </row>
    <row r="10737" spans="1:5" x14ac:dyDescent="0.25">
      <c r="A10737" t="s">
        <v>2</v>
      </c>
      <c r="B10737" t="s">
        <v>3458</v>
      </c>
      <c r="C10737" t="s">
        <v>23490</v>
      </c>
      <c r="D10737" t="str">
        <f>HYPERLINK("https://rhld.insurance.arkansas.gov/NPILookup?Npi=1225391428","1225391428")</f>
        <v>1225391428</v>
      </c>
      <c r="E10737" t="s">
        <v>8558</v>
      </c>
    </row>
    <row r="10738" spans="1:5" x14ac:dyDescent="0.25">
      <c r="A10738" t="s">
        <v>2</v>
      </c>
      <c r="B10738" t="s">
        <v>3458</v>
      </c>
      <c r="C10738" t="s">
        <v>23490</v>
      </c>
      <c r="D10738" t="str">
        <f>HYPERLINK("https://rhld.insurance.arkansas.gov/NPILookup?Npi=1225400484","1225400484")</f>
        <v>1225400484</v>
      </c>
      <c r="E10738" t="s">
        <v>14894</v>
      </c>
    </row>
    <row r="10739" spans="1:5" x14ac:dyDescent="0.25">
      <c r="A10739" t="s">
        <v>2</v>
      </c>
      <c r="B10739" t="s">
        <v>3458</v>
      </c>
      <c r="C10739" t="s">
        <v>23490</v>
      </c>
      <c r="D10739" t="str">
        <f>HYPERLINK("https://rhld.insurance.arkansas.gov/NPILookup?Npi=1225408057","1225408057")</f>
        <v>1225408057</v>
      </c>
      <c r="E10739" t="s">
        <v>20232</v>
      </c>
    </row>
    <row r="10740" spans="1:5" x14ac:dyDescent="0.25">
      <c r="A10740" t="s">
        <v>2</v>
      </c>
      <c r="B10740" t="s">
        <v>3458</v>
      </c>
      <c r="C10740" t="s">
        <v>23490</v>
      </c>
      <c r="D10740" t="str">
        <f>HYPERLINK("https://rhld.insurance.arkansas.gov/NPILookup?Npi=1225413693","1225413693")</f>
        <v>1225413693</v>
      </c>
      <c r="E10740" t="s">
        <v>819</v>
      </c>
    </row>
    <row r="10741" spans="1:5" x14ac:dyDescent="0.25">
      <c r="A10741" t="s">
        <v>2</v>
      </c>
      <c r="B10741" t="s">
        <v>3458</v>
      </c>
      <c r="C10741" t="s">
        <v>23490</v>
      </c>
      <c r="D10741" t="str">
        <f>HYPERLINK("https://rhld.insurance.arkansas.gov/NPILookup?Npi=1225424146","1225424146")</f>
        <v>1225424146</v>
      </c>
      <c r="E10741" t="s">
        <v>820</v>
      </c>
    </row>
    <row r="10742" spans="1:5" x14ac:dyDescent="0.25">
      <c r="A10742" t="s">
        <v>2</v>
      </c>
      <c r="B10742" t="s">
        <v>3458</v>
      </c>
      <c r="C10742" t="s">
        <v>23490</v>
      </c>
      <c r="D10742" t="str">
        <f>HYPERLINK("https://rhld.insurance.arkansas.gov/NPILookup?Npi=1225453905","1225453905")</f>
        <v>1225453905</v>
      </c>
      <c r="E10742" t="s">
        <v>14895</v>
      </c>
    </row>
    <row r="10743" spans="1:5" x14ac:dyDescent="0.25">
      <c r="A10743" t="s">
        <v>2</v>
      </c>
      <c r="B10743" t="s">
        <v>3458</v>
      </c>
      <c r="C10743" t="s">
        <v>23490</v>
      </c>
      <c r="D10743" t="str">
        <f>HYPERLINK("https://rhld.insurance.arkansas.gov/NPILookup?Npi=1225479090","1225479090")</f>
        <v>1225479090</v>
      </c>
      <c r="E10743" t="s">
        <v>10757</v>
      </c>
    </row>
    <row r="10744" spans="1:5" x14ac:dyDescent="0.25">
      <c r="A10744" t="s">
        <v>2</v>
      </c>
      <c r="B10744" t="s">
        <v>3458</v>
      </c>
      <c r="C10744" t="s">
        <v>23490</v>
      </c>
      <c r="D10744" t="str">
        <f>HYPERLINK("https://rhld.insurance.arkansas.gov/NPILookup?Npi=1225484512","1225484512")</f>
        <v>1225484512</v>
      </c>
      <c r="E10744" t="s">
        <v>8559</v>
      </c>
    </row>
    <row r="10745" spans="1:5" x14ac:dyDescent="0.25">
      <c r="A10745" t="s">
        <v>2</v>
      </c>
      <c r="B10745" t="s">
        <v>3458</v>
      </c>
      <c r="C10745" t="s">
        <v>23490</v>
      </c>
      <c r="D10745" t="str">
        <f>HYPERLINK("https://rhld.insurance.arkansas.gov/NPILookup?Npi=1225492929","1225492929")</f>
        <v>1225492929</v>
      </c>
      <c r="E10745" t="s">
        <v>15827</v>
      </c>
    </row>
    <row r="10746" spans="1:5" x14ac:dyDescent="0.25">
      <c r="A10746" t="s">
        <v>2</v>
      </c>
      <c r="B10746" t="s">
        <v>3458</v>
      </c>
      <c r="C10746" t="s">
        <v>23490</v>
      </c>
      <c r="D10746" t="str">
        <f>HYPERLINK("https://rhld.insurance.arkansas.gov/NPILookup?Npi=1225495914","1225495914")</f>
        <v>1225495914</v>
      </c>
      <c r="E10746" t="s">
        <v>8560</v>
      </c>
    </row>
    <row r="10747" spans="1:5" x14ac:dyDescent="0.25">
      <c r="A10747" t="s">
        <v>2</v>
      </c>
      <c r="B10747" t="s">
        <v>3458</v>
      </c>
      <c r="C10747" t="s">
        <v>23490</v>
      </c>
      <c r="D10747" t="str">
        <f>HYPERLINK("https://rhld.insurance.arkansas.gov/NPILookup?Npi=1225502297","1225502297")</f>
        <v>1225502297</v>
      </c>
      <c r="E10747" t="s">
        <v>14896</v>
      </c>
    </row>
    <row r="10748" spans="1:5" x14ac:dyDescent="0.25">
      <c r="A10748" t="s">
        <v>2</v>
      </c>
      <c r="B10748" t="s">
        <v>3458</v>
      </c>
      <c r="C10748" t="s">
        <v>23490</v>
      </c>
      <c r="D10748" t="str">
        <f>HYPERLINK("https://rhld.insurance.arkansas.gov/NPILookup?Npi=1225518384","1225518384")</f>
        <v>1225518384</v>
      </c>
      <c r="E10748" t="s">
        <v>18706</v>
      </c>
    </row>
    <row r="10749" spans="1:5" x14ac:dyDescent="0.25">
      <c r="A10749" t="s">
        <v>2</v>
      </c>
      <c r="B10749" t="s">
        <v>3458</v>
      </c>
      <c r="C10749" t="s">
        <v>23490</v>
      </c>
      <c r="D10749" t="str">
        <f>HYPERLINK("https://rhld.insurance.arkansas.gov/NPILookup?Npi=1225528540","1225528540")</f>
        <v>1225528540</v>
      </c>
      <c r="E10749" t="s">
        <v>18707</v>
      </c>
    </row>
    <row r="10750" spans="1:5" x14ac:dyDescent="0.25">
      <c r="A10750" t="s">
        <v>2</v>
      </c>
      <c r="B10750" t="s">
        <v>3458</v>
      </c>
      <c r="C10750" t="s">
        <v>23490</v>
      </c>
      <c r="D10750" t="str">
        <f>HYPERLINK("https://rhld.insurance.arkansas.gov/NPILookup?Npi=1225546161","1225546161")</f>
        <v>1225546161</v>
      </c>
      <c r="E10750" t="s">
        <v>12970</v>
      </c>
    </row>
    <row r="10751" spans="1:5" x14ac:dyDescent="0.25">
      <c r="A10751" t="s">
        <v>2</v>
      </c>
      <c r="B10751" t="s">
        <v>3458</v>
      </c>
      <c r="C10751" t="s">
        <v>23490</v>
      </c>
      <c r="D10751" t="str">
        <f>HYPERLINK("https://rhld.insurance.arkansas.gov/NPILookup?Npi=1225547185","1225547185")</f>
        <v>1225547185</v>
      </c>
      <c r="E10751" t="s">
        <v>14898</v>
      </c>
    </row>
    <row r="10752" spans="1:5" x14ac:dyDescent="0.25">
      <c r="A10752" t="s">
        <v>2</v>
      </c>
      <c r="B10752" t="s">
        <v>3458</v>
      </c>
      <c r="C10752" t="s">
        <v>23490</v>
      </c>
      <c r="D10752" t="str">
        <f>HYPERLINK("https://rhld.insurance.arkansas.gov/NPILookup?Npi=1225556632","1225556632")</f>
        <v>1225556632</v>
      </c>
      <c r="E10752" t="s">
        <v>12800</v>
      </c>
    </row>
    <row r="10753" spans="1:5" x14ac:dyDescent="0.25">
      <c r="A10753" t="s">
        <v>2</v>
      </c>
      <c r="B10753" t="s">
        <v>3458</v>
      </c>
      <c r="C10753" t="s">
        <v>23490</v>
      </c>
      <c r="D10753" t="str">
        <f>HYPERLINK("https://rhld.insurance.arkansas.gov/NPILookup?Npi=1225559800","1225559800")</f>
        <v>1225559800</v>
      </c>
      <c r="E10753" t="s">
        <v>10758</v>
      </c>
    </row>
    <row r="10754" spans="1:5" x14ac:dyDescent="0.25">
      <c r="A10754" t="s">
        <v>2</v>
      </c>
      <c r="B10754" t="s">
        <v>3458</v>
      </c>
      <c r="C10754" t="s">
        <v>23490</v>
      </c>
      <c r="D10754" t="str">
        <f>HYPERLINK("https://rhld.insurance.arkansas.gov/NPILookup?Npi=1225560162","1225560162")</f>
        <v>1225560162</v>
      </c>
      <c r="E10754" t="s">
        <v>10759</v>
      </c>
    </row>
    <row r="10755" spans="1:5" x14ac:dyDescent="0.25">
      <c r="A10755" t="s">
        <v>2</v>
      </c>
      <c r="B10755" t="s">
        <v>3458</v>
      </c>
      <c r="C10755" t="s">
        <v>23490</v>
      </c>
      <c r="D10755" t="str">
        <f>HYPERLINK("https://rhld.insurance.arkansas.gov/NPILookup?Npi=1225568272","1225568272")</f>
        <v>1225568272</v>
      </c>
      <c r="E10755" t="s">
        <v>18708</v>
      </c>
    </row>
    <row r="10756" spans="1:5" x14ac:dyDescent="0.25">
      <c r="A10756" t="s">
        <v>2</v>
      </c>
      <c r="B10756" t="s">
        <v>3458</v>
      </c>
      <c r="C10756" t="s">
        <v>23490</v>
      </c>
      <c r="D10756" t="str">
        <f>HYPERLINK("https://rhld.insurance.arkansas.gov/NPILookup?Npi=1225599863","1225599863")</f>
        <v>1225599863</v>
      </c>
      <c r="E10756" t="s">
        <v>19529</v>
      </c>
    </row>
    <row r="10757" spans="1:5" x14ac:dyDescent="0.25">
      <c r="A10757" t="s">
        <v>2</v>
      </c>
      <c r="B10757" t="s">
        <v>3458</v>
      </c>
      <c r="C10757" t="s">
        <v>23490</v>
      </c>
      <c r="D10757" t="str">
        <f>HYPERLINK("https://rhld.insurance.arkansas.gov/NPILookup?Npi=1225602170","1225602170")</f>
        <v>1225602170</v>
      </c>
      <c r="E10757" t="s">
        <v>18709</v>
      </c>
    </row>
    <row r="10758" spans="1:5" x14ac:dyDescent="0.25">
      <c r="A10758" t="s">
        <v>2</v>
      </c>
      <c r="B10758" t="s">
        <v>3458</v>
      </c>
      <c r="C10758" t="s">
        <v>23490</v>
      </c>
      <c r="D10758" t="str">
        <f>HYPERLINK("https://rhld.insurance.arkansas.gov/NPILookup?Npi=1225607724","1225607724")</f>
        <v>1225607724</v>
      </c>
      <c r="E10758" t="s">
        <v>18710</v>
      </c>
    </row>
    <row r="10759" spans="1:5" x14ac:dyDescent="0.25">
      <c r="A10759" t="s">
        <v>2</v>
      </c>
      <c r="B10759" t="s">
        <v>3458</v>
      </c>
      <c r="C10759" t="s">
        <v>23490</v>
      </c>
      <c r="D10759" t="str">
        <f>HYPERLINK("https://rhld.insurance.arkansas.gov/NPILookup?Npi=1225622608","1225622608")</f>
        <v>1225622608</v>
      </c>
      <c r="E10759" t="s">
        <v>17912</v>
      </c>
    </row>
    <row r="10760" spans="1:5" x14ac:dyDescent="0.25">
      <c r="A10760" t="s">
        <v>2</v>
      </c>
      <c r="B10760" t="s">
        <v>3458</v>
      </c>
      <c r="C10760" t="s">
        <v>23490</v>
      </c>
      <c r="D10760" t="str">
        <f>HYPERLINK("https://rhld.insurance.arkansas.gov/NPILookup?Npi=1225658149","1225658149")</f>
        <v>1225658149</v>
      </c>
      <c r="E10760" t="s">
        <v>17407</v>
      </c>
    </row>
    <row r="10761" spans="1:5" x14ac:dyDescent="0.25">
      <c r="A10761" t="s">
        <v>2</v>
      </c>
      <c r="B10761" t="s">
        <v>3458</v>
      </c>
      <c r="C10761" t="s">
        <v>8427</v>
      </c>
      <c r="D10761" t="str">
        <f>HYPERLINK("https://rhld.insurance.arkansas.gov/NPILookup?Npi=1225659998","1225659998")</f>
        <v>1225659998</v>
      </c>
      <c r="E10761" t="s">
        <v>22911</v>
      </c>
    </row>
    <row r="10762" spans="1:5" x14ac:dyDescent="0.25">
      <c r="A10762" t="s">
        <v>2</v>
      </c>
      <c r="B10762" t="s">
        <v>3458</v>
      </c>
      <c r="C10762" t="s">
        <v>23490</v>
      </c>
      <c r="D10762" t="str">
        <f>HYPERLINK("https://rhld.insurance.arkansas.gov/NPILookup?Npi=1225681604","1225681604")</f>
        <v>1225681604</v>
      </c>
      <c r="E10762" t="s">
        <v>19530</v>
      </c>
    </row>
    <row r="10763" spans="1:5" x14ac:dyDescent="0.25">
      <c r="A10763" t="s">
        <v>2</v>
      </c>
      <c r="B10763" t="s">
        <v>3458</v>
      </c>
      <c r="C10763" t="s">
        <v>23490</v>
      </c>
      <c r="D10763" t="str">
        <f>HYPERLINK("https://rhld.insurance.arkansas.gov/NPILookup?Npi=1225704315","1225704315")</f>
        <v>1225704315</v>
      </c>
      <c r="E10763" t="s">
        <v>18713</v>
      </c>
    </row>
    <row r="10764" spans="1:5" x14ac:dyDescent="0.25">
      <c r="A10764" t="s">
        <v>2</v>
      </c>
      <c r="B10764" t="s">
        <v>3458</v>
      </c>
      <c r="C10764" t="s">
        <v>23490</v>
      </c>
      <c r="D10764" t="str">
        <f>HYPERLINK("https://rhld.insurance.arkansas.gov/NPILookup?Npi=1225781032","1225781032")</f>
        <v>1225781032</v>
      </c>
      <c r="E10764" t="s">
        <v>19531</v>
      </c>
    </row>
    <row r="10765" spans="1:5" x14ac:dyDescent="0.25">
      <c r="A10765" t="s">
        <v>2</v>
      </c>
      <c r="B10765" t="s">
        <v>3458</v>
      </c>
      <c r="C10765" t="s">
        <v>23490</v>
      </c>
      <c r="D10765" t="str">
        <f>HYPERLINK("https://rhld.insurance.arkansas.gov/NPILookup?Npi=1235102674","1235102674")</f>
        <v>1235102674</v>
      </c>
      <c r="E10765" t="s">
        <v>14899</v>
      </c>
    </row>
    <row r="10766" spans="1:5" x14ac:dyDescent="0.25">
      <c r="A10766" t="s">
        <v>2</v>
      </c>
      <c r="B10766" t="s">
        <v>3458</v>
      </c>
      <c r="C10766" t="s">
        <v>23490</v>
      </c>
      <c r="D10766" t="str">
        <f>HYPERLINK("https://rhld.insurance.arkansas.gov/NPILookup?Npi=1235106154","1235106154")</f>
        <v>1235106154</v>
      </c>
      <c r="E10766" t="s">
        <v>821</v>
      </c>
    </row>
    <row r="10767" spans="1:5" x14ac:dyDescent="0.25">
      <c r="A10767" t="s">
        <v>2</v>
      </c>
      <c r="B10767" t="s">
        <v>3458</v>
      </c>
      <c r="C10767" t="s">
        <v>23490</v>
      </c>
      <c r="D10767" t="str">
        <f>HYPERLINK("https://rhld.insurance.arkansas.gov/NPILookup?Npi=1235108150","1235108150")</f>
        <v>1235108150</v>
      </c>
      <c r="E10767" t="s">
        <v>3595</v>
      </c>
    </row>
    <row r="10768" spans="1:5" x14ac:dyDescent="0.25">
      <c r="A10768" t="s">
        <v>2</v>
      </c>
      <c r="B10768" t="s">
        <v>3458</v>
      </c>
      <c r="C10768" t="s">
        <v>23490</v>
      </c>
      <c r="D10768" t="str">
        <f>HYPERLINK("https://rhld.insurance.arkansas.gov/NPILookup?Npi=1235119033","1235119033")</f>
        <v>1235119033</v>
      </c>
      <c r="E10768" t="s">
        <v>14900</v>
      </c>
    </row>
    <row r="10769" spans="1:5" x14ac:dyDescent="0.25">
      <c r="A10769" t="s">
        <v>2</v>
      </c>
      <c r="B10769" t="s">
        <v>3458</v>
      </c>
      <c r="C10769" t="s">
        <v>23490</v>
      </c>
      <c r="D10769" t="str">
        <f>HYPERLINK("https://rhld.insurance.arkansas.gov/NPILookup?Npi=1235120262","1235120262")</f>
        <v>1235120262</v>
      </c>
      <c r="E10769" t="s">
        <v>10004</v>
      </c>
    </row>
    <row r="10770" spans="1:5" x14ac:dyDescent="0.25">
      <c r="A10770" t="s">
        <v>2</v>
      </c>
      <c r="B10770" t="s">
        <v>3458</v>
      </c>
      <c r="C10770" t="s">
        <v>23490</v>
      </c>
      <c r="D10770" t="str">
        <f>HYPERLINK("https://rhld.insurance.arkansas.gov/NPILookup?Npi=1235122383","1235122383")</f>
        <v>1235122383</v>
      </c>
      <c r="E10770" t="s">
        <v>822</v>
      </c>
    </row>
    <row r="10771" spans="1:5" x14ac:dyDescent="0.25">
      <c r="A10771" t="s">
        <v>2</v>
      </c>
      <c r="B10771" t="s">
        <v>3458</v>
      </c>
      <c r="C10771" t="s">
        <v>23490</v>
      </c>
      <c r="D10771" t="str">
        <f>HYPERLINK("https://rhld.insurance.arkansas.gov/NPILookup?Npi=1235124223","1235124223")</f>
        <v>1235124223</v>
      </c>
      <c r="E10771" t="s">
        <v>14901</v>
      </c>
    </row>
    <row r="10772" spans="1:5" x14ac:dyDescent="0.25">
      <c r="A10772" t="s">
        <v>2</v>
      </c>
      <c r="B10772" t="s">
        <v>3458</v>
      </c>
      <c r="C10772" t="s">
        <v>23490</v>
      </c>
      <c r="D10772" t="str">
        <f>HYPERLINK("https://rhld.insurance.arkansas.gov/NPILookup?Npi=1235124363","1235124363")</f>
        <v>1235124363</v>
      </c>
      <c r="E10772" t="s">
        <v>8561</v>
      </c>
    </row>
    <row r="10773" spans="1:5" x14ac:dyDescent="0.25">
      <c r="A10773" t="s">
        <v>2</v>
      </c>
      <c r="B10773" t="s">
        <v>3458</v>
      </c>
      <c r="C10773" t="s">
        <v>23490</v>
      </c>
      <c r="D10773" t="str">
        <f>HYPERLINK("https://rhld.insurance.arkansas.gov/NPILookup?Npi=1235130444","1235130444")</f>
        <v>1235130444</v>
      </c>
      <c r="E10773" t="s">
        <v>823</v>
      </c>
    </row>
    <row r="10774" spans="1:5" x14ac:dyDescent="0.25">
      <c r="A10774" t="s">
        <v>2</v>
      </c>
      <c r="B10774" t="s">
        <v>3458</v>
      </c>
      <c r="C10774" t="s">
        <v>23490</v>
      </c>
      <c r="D10774" t="str">
        <f>HYPERLINK("https://rhld.insurance.arkansas.gov/NPILookup?Npi=1235131723","1235131723")</f>
        <v>1235131723</v>
      </c>
      <c r="E10774" t="s">
        <v>14902</v>
      </c>
    </row>
    <row r="10775" spans="1:5" x14ac:dyDescent="0.25">
      <c r="A10775" t="s">
        <v>2</v>
      </c>
      <c r="B10775" t="s">
        <v>3458</v>
      </c>
      <c r="C10775" t="s">
        <v>23490</v>
      </c>
      <c r="D10775" t="str">
        <f>HYPERLINK("https://rhld.insurance.arkansas.gov/NPILookup?Npi=1235143041","1235143041")</f>
        <v>1235143041</v>
      </c>
      <c r="E10775" t="s">
        <v>10760</v>
      </c>
    </row>
    <row r="10776" spans="1:5" x14ac:dyDescent="0.25">
      <c r="A10776" t="s">
        <v>2</v>
      </c>
      <c r="B10776" t="s">
        <v>3458</v>
      </c>
      <c r="C10776" t="s">
        <v>23490</v>
      </c>
      <c r="D10776" t="str">
        <f>HYPERLINK("https://rhld.insurance.arkansas.gov/NPILookup?Npi=1235146846","1235146846")</f>
        <v>1235146846</v>
      </c>
      <c r="E10776" t="s">
        <v>824</v>
      </c>
    </row>
    <row r="10777" spans="1:5" x14ac:dyDescent="0.25">
      <c r="A10777" t="s">
        <v>2</v>
      </c>
      <c r="B10777" t="s">
        <v>3458</v>
      </c>
      <c r="C10777" t="s">
        <v>23490</v>
      </c>
      <c r="D10777" t="str">
        <f>HYPERLINK("https://rhld.insurance.arkansas.gov/NPILookup?Npi=1235147513","1235147513")</f>
        <v>1235147513</v>
      </c>
      <c r="E10777" t="s">
        <v>825</v>
      </c>
    </row>
    <row r="10778" spans="1:5" x14ac:dyDescent="0.25">
      <c r="A10778" t="s">
        <v>2</v>
      </c>
      <c r="B10778" t="s">
        <v>3458</v>
      </c>
      <c r="C10778" t="s">
        <v>23490</v>
      </c>
      <c r="D10778" t="str">
        <f>HYPERLINK("https://rhld.insurance.arkansas.gov/NPILookup?Npi=1235161829","1235161829")</f>
        <v>1235161829</v>
      </c>
      <c r="E10778" t="s">
        <v>827</v>
      </c>
    </row>
    <row r="10779" spans="1:5" x14ac:dyDescent="0.25">
      <c r="A10779" t="s">
        <v>2</v>
      </c>
      <c r="B10779" t="s">
        <v>3458</v>
      </c>
      <c r="C10779" t="s">
        <v>23490</v>
      </c>
      <c r="D10779" t="str">
        <f>HYPERLINK("https://rhld.insurance.arkansas.gov/NPILookup?Npi=1235163353","1235163353")</f>
        <v>1235163353</v>
      </c>
      <c r="E10779" t="s">
        <v>828</v>
      </c>
    </row>
    <row r="10780" spans="1:5" x14ac:dyDescent="0.25">
      <c r="A10780" t="s">
        <v>2</v>
      </c>
      <c r="B10780" t="s">
        <v>3458</v>
      </c>
      <c r="C10780" t="s">
        <v>23490</v>
      </c>
      <c r="D10780" t="str">
        <f>HYPERLINK("https://rhld.insurance.arkansas.gov/NPILookup?Npi=1235169723","1235169723")</f>
        <v>1235169723</v>
      </c>
      <c r="E10780" t="s">
        <v>14903</v>
      </c>
    </row>
    <row r="10781" spans="1:5" x14ac:dyDescent="0.25">
      <c r="A10781" t="s">
        <v>2</v>
      </c>
      <c r="B10781" t="s">
        <v>3458</v>
      </c>
      <c r="C10781" t="s">
        <v>23490</v>
      </c>
      <c r="D10781" t="str">
        <f>HYPERLINK("https://rhld.insurance.arkansas.gov/NPILookup?Npi=1235175225","1235175225")</f>
        <v>1235175225</v>
      </c>
      <c r="E10781" t="s">
        <v>831</v>
      </c>
    </row>
    <row r="10782" spans="1:5" x14ac:dyDescent="0.25">
      <c r="A10782" t="s">
        <v>2</v>
      </c>
      <c r="B10782" t="s">
        <v>3458</v>
      </c>
      <c r="C10782" t="s">
        <v>23490</v>
      </c>
      <c r="D10782" t="str">
        <f>HYPERLINK("https://rhld.insurance.arkansas.gov/NPILookup?Npi=1235175696","1235175696")</f>
        <v>1235175696</v>
      </c>
      <c r="E10782" t="s">
        <v>3596</v>
      </c>
    </row>
    <row r="10783" spans="1:5" x14ac:dyDescent="0.25">
      <c r="A10783" t="s">
        <v>2</v>
      </c>
      <c r="B10783" t="s">
        <v>3458</v>
      </c>
      <c r="C10783" t="s">
        <v>23490</v>
      </c>
      <c r="D10783" t="str">
        <f>HYPERLINK("https://rhld.insurance.arkansas.gov/NPILookup?Npi=1235178963","1235178963")</f>
        <v>1235178963</v>
      </c>
      <c r="E10783" t="s">
        <v>833</v>
      </c>
    </row>
    <row r="10784" spans="1:5" x14ac:dyDescent="0.25">
      <c r="A10784" t="s">
        <v>2</v>
      </c>
      <c r="B10784" t="s">
        <v>3458</v>
      </c>
      <c r="C10784" t="s">
        <v>23490</v>
      </c>
      <c r="D10784" t="str">
        <f>HYPERLINK("https://rhld.insurance.arkansas.gov/NPILookup?Npi=1235181710","1235181710")</f>
        <v>1235181710</v>
      </c>
      <c r="E10784" t="s">
        <v>834</v>
      </c>
    </row>
    <row r="10785" spans="1:5" x14ac:dyDescent="0.25">
      <c r="A10785" t="s">
        <v>2</v>
      </c>
      <c r="B10785" t="s">
        <v>3458</v>
      </c>
      <c r="C10785" t="s">
        <v>23490</v>
      </c>
      <c r="D10785" t="str">
        <f>HYPERLINK("https://rhld.insurance.arkansas.gov/NPILookup?Npi=1235194481","1235194481")</f>
        <v>1235194481</v>
      </c>
      <c r="E10785" t="s">
        <v>835</v>
      </c>
    </row>
    <row r="10786" spans="1:5" x14ac:dyDescent="0.25">
      <c r="A10786" t="s">
        <v>2</v>
      </c>
      <c r="B10786" t="s">
        <v>3458</v>
      </c>
      <c r="C10786" t="s">
        <v>23490</v>
      </c>
      <c r="D10786" t="str">
        <f>HYPERLINK("https://rhld.insurance.arkansas.gov/NPILookup?Npi=1235195785","1235195785")</f>
        <v>1235195785</v>
      </c>
      <c r="E10786" t="s">
        <v>836</v>
      </c>
    </row>
    <row r="10787" spans="1:5" x14ac:dyDescent="0.25">
      <c r="A10787" t="s">
        <v>2</v>
      </c>
      <c r="B10787" t="s">
        <v>3458</v>
      </c>
      <c r="C10787" t="s">
        <v>23490</v>
      </c>
      <c r="D10787" t="str">
        <f>HYPERLINK("https://rhld.insurance.arkansas.gov/NPILookup?Npi=1235196528","1235196528")</f>
        <v>1235196528</v>
      </c>
      <c r="E10787" t="s">
        <v>3597</v>
      </c>
    </row>
    <row r="10788" spans="1:5" x14ac:dyDescent="0.25">
      <c r="A10788" t="s">
        <v>2</v>
      </c>
      <c r="B10788" t="s">
        <v>3458</v>
      </c>
      <c r="C10788" t="s">
        <v>23490</v>
      </c>
      <c r="D10788" t="str">
        <f>HYPERLINK("https://rhld.insurance.arkansas.gov/NPILookup?Npi=1235196569","1235196569")</f>
        <v>1235196569</v>
      </c>
      <c r="E10788" t="s">
        <v>837</v>
      </c>
    </row>
    <row r="10789" spans="1:5" x14ac:dyDescent="0.25">
      <c r="A10789" t="s">
        <v>2</v>
      </c>
      <c r="B10789" t="s">
        <v>3458</v>
      </c>
      <c r="C10789" t="s">
        <v>23490</v>
      </c>
      <c r="D10789" t="str">
        <f>HYPERLINK("https://rhld.insurance.arkansas.gov/NPILookup?Npi=1235197435","1235197435")</f>
        <v>1235197435</v>
      </c>
      <c r="E10789" t="s">
        <v>3598</v>
      </c>
    </row>
    <row r="10790" spans="1:5" x14ac:dyDescent="0.25">
      <c r="A10790" t="s">
        <v>2</v>
      </c>
      <c r="B10790" t="s">
        <v>3458</v>
      </c>
      <c r="C10790" t="s">
        <v>23490</v>
      </c>
      <c r="D10790" t="str">
        <f>HYPERLINK("https://rhld.insurance.arkansas.gov/NPILookup?Npi=1235204140","1235204140")</f>
        <v>1235204140</v>
      </c>
      <c r="E10790" t="s">
        <v>3599</v>
      </c>
    </row>
    <row r="10791" spans="1:5" x14ac:dyDescent="0.25">
      <c r="A10791" t="s">
        <v>2</v>
      </c>
      <c r="B10791" t="s">
        <v>3458</v>
      </c>
      <c r="C10791" t="s">
        <v>23490</v>
      </c>
      <c r="D10791" t="str">
        <f>HYPERLINK("https://rhld.insurance.arkansas.gov/NPILookup?Npi=1235207713","1235207713")</f>
        <v>1235207713</v>
      </c>
      <c r="E10791" t="s">
        <v>14807</v>
      </c>
    </row>
    <row r="10792" spans="1:5" x14ac:dyDescent="0.25">
      <c r="A10792" t="s">
        <v>2</v>
      </c>
      <c r="B10792" t="s">
        <v>3458</v>
      </c>
      <c r="C10792" t="s">
        <v>23490</v>
      </c>
      <c r="D10792" t="str">
        <f>HYPERLINK("https://rhld.insurance.arkansas.gov/NPILookup?Npi=1235209198","1235209198")</f>
        <v>1235209198</v>
      </c>
      <c r="E10792" t="s">
        <v>838</v>
      </c>
    </row>
    <row r="10793" spans="1:5" x14ac:dyDescent="0.25">
      <c r="A10793" t="s">
        <v>2</v>
      </c>
      <c r="B10793" t="s">
        <v>3458</v>
      </c>
      <c r="C10793" t="s">
        <v>23490</v>
      </c>
      <c r="D10793" t="str">
        <f>HYPERLINK("https://rhld.insurance.arkansas.gov/NPILookup?Npi=1235229899","1235229899")</f>
        <v>1235229899</v>
      </c>
      <c r="E10793" t="s">
        <v>3600</v>
      </c>
    </row>
    <row r="10794" spans="1:5" x14ac:dyDescent="0.25">
      <c r="A10794" t="s">
        <v>2</v>
      </c>
      <c r="B10794" t="s">
        <v>3458</v>
      </c>
      <c r="C10794" t="s">
        <v>23490</v>
      </c>
      <c r="D10794" t="str">
        <f>HYPERLINK("https://rhld.insurance.arkansas.gov/NPILookup?Npi=1235234683","1235234683")</f>
        <v>1235234683</v>
      </c>
      <c r="E10794" t="s">
        <v>3601</v>
      </c>
    </row>
    <row r="10795" spans="1:5" x14ac:dyDescent="0.25">
      <c r="A10795" t="s">
        <v>2</v>
      </c>
      <c r="B10795" t="s">
        <v>3458</v>
      </c>
      <c r="C10795" t="s">
        <v>23490</v>
      </c>
      <c r="D10795" t="str">
        <f>HYPERLINK("https://rhld.insurance.arkansas.gov/NPILookup?Npi=1235244401","1235244401")</f>
        <v>1235244401</v>
      </c>
      <c r="E10795" t="s">
        <v>839</v>
      </c>
    </row>
    <row r="10796" spans="1:5" x14ac:dyDescent="0.25">
      <c r="A10796" t="s">
        <v>2</v>
      </c>
      <c r="B10796" t="s">
        <v>3458</v>
      </c>
      <c r="C10796" t="s">
        <v>23490</v>
      </c>
      <c r="D10796" t="str">
        <f>HYPERLINK("https://rhld.insurance.arkansas.gov/NPILookup?Npi=1235244955","1235244955")</f>
        <v>1235244955</v>
      </c>
      <c r="E10796" t="s">
        <v>840</v>
      </c>
    </row>
    <row r="10797" spans="1:5" x14ac:dyDescent="0.25">
      <c r="A10797" t="s">
        <v>2</v>
      </c>
      <c r="B10797" t="s">
        <v>3458</v>
      </c>
      <c r="C10797" t="s">
        <v>23490</v>
      </c>
      <c r="D10797" t="str">
        <f>HYPERLINK("https://rhld.insurance.arkansas.gov/NPILookup?Npi=1235268517","1235268517")</f>
        <v>1235268517</v>
      </c>
      <c r="E10797" t="s">
        <v>842</v>
      </c>
    </row>
    <row r="10798" spans="1:5" x14ac:dyDescent="0.25">
      <c r="A10798" t="s">
        <v>2</v>
      </c>
      <c r="B10798" t="s">
        <v>3458</v>
      </c>
      <c r="C10798" t="s">
        <v>23490</v>
      </c>
      <c r="D10798" t="str">
        <f>HYPERLINK("https://rhld.insurance.arkansas.gov/NPILookup?Npi=1235269705","1235269705")</f>
        <v>1235269705</v>
      </c>
      <c r="E10798" t="s">
        <v>843</v>
      </c>
    </row>
    <row r="10799" spans="1:5" x14ac:dyDescent="0.25">
      <c r="A10799" t="s">
        <v>2</v>
      </c>
      <c r="B10799" t="s">
        <v>3458</v>
      </c>
      <c r="C10799" t="s">
        <v>23490</v>
      </c>
      <c r="D10799" t="str">
        <f>HYPERLINK("https://rhld.insurance.arkansas.gov/NPILookup?Npi=1235279688","1235279688")</f>
        <v>1235279688</v>
      </c>
      <c r="E10799" t="s">
        <v>14904</v>
      </c>
    </row>
    <row r="10800" spans="1:5" x14ac:dyDescent="0.25">
      <c r="A10800" t="s">
        <v>2</v>
      </c>
      <c r="B10800" t="s">
        <v>3458</v>
      </c>
      <c r="C10800" t="s">
        <v>23490</v>
      </c>
      <c r="D10800" t="str">
        <f>HYPERLINK("https://rhld.insurance.arkansas.gov/NPILookup?Npi=1235295866","1235295866")</f>
        <v>1235295866</v>
      </c>
      <c r="E10800" t="s">
        <v>3602</v>
      </c>
    </row>
    <row r="10801" spans="1:5" x14ac:dyDescent="0.25">
      <c r="A10801" t="s">
        <v>2</v>
      </c>
      <c r="B10801" t="s">
        <v>3458</v>
      </c>
      <c r="C10801" t="s">
        <v>23490</v>
      </c>
      <c r="D10801" t="str">
        <f>HYPERLINK("https://rhld.insurance.arkansas.gov/NPILookup?Npi=1235331042","1235331042")</f>
        <v>1235331042</v>
      </c>
      <c r="E10801" t="s">
        <v>844</v>
      </c>
    </row>
    <row r="10802" spans="1:5" x14ac:dyDescent="0.25">
      <c r="A10802" t="s">
        <v>2</v>
      </c>
      <c r="B10802" t="s">
        <v>3458</v>
      </c>
      <c r="C10802" t="s">
        <v>23490</v>
      </c>
      <c r="D10802" t="str">
        <f>HYPERLINK("https://rhld.insurance.arkansas.gov/NPILookup?Npi=1235332529","1235332529")</f>
        <v>1235332529</v>
      </c>
      <c r="E10802" t="s">
        <v>845</v>
      </c>
    </row>
    <row r="10803" spans="1:5" x14ac:dyDescent="0.25">
      <c r="A10803" t="s">
        <v>2</v>
      </c>
      <c r="B10803" t="s">
        <v>3458</v>
      </c>
      <c r="C10803" t="s">
        <v>23490</v>
      </c>
      <c r="D10803" t="str">
        <f>HYPERLINK("https://rhld.insurance.arkansas.gov/NPILookup?Npi=1235337049","1235337049")</f>
        <v>1235337049</v>
      </c>
      <c r="E10803" t="s">
        <v>846</v>
      </c>
    </row>
    <row r="10804" spans="1:5" x14ac:dyDescent="0.25">
      <c r="A10804" t="s">
        <v>2</v>
      </c>
      <c r="B10804" t="s">
        <v>3458</v>
      </c>
      <c r="C10804" t="s">
        <v>23490</v>
      </c>
      <c r="D10804" t="str">
        <f>HYPERLINK("https://rhld.insurance.arkansas.gov/NPILookup?Npi=1235365800","1235365800")</f>
        <v>1235365800</v>
      </c>
      <c r="E10804" t="s">
        <v>847</v>
      </c>
    </row>
    <row r="10805" spans="1:5" x14ac:dyDescent="0.25">
      <c r="A10805" t="s">
        <v>2</v>
      </c>
      <c r="B10805" t="s">
        <v>3458</v>
      </c>
      <c r="C10805" t="s">
        <v>23490</v>
      </c>
      <c r="D10805" t="str">
        <f>HYPERLINK("https://rhld.insurance.arkansas.gov/NPILookup?Npi=1235369307","1235369307")</f>
        <v>1235369307</v>
      </c>
      <c r="E10805" t="s">
        <v>848</v>
      </c>
    </row>
    <row r="10806" spans="1:5" x14ac:dyDescent="0.25">
      <c r="A10806" t="s">
        <v>2</v>
      </c>
      <c r="B10806" t="s">
        <v>3458</v>
      </c>
      <c r="C10806" t="s">
        <v>23490</v>
      </c>
      <c r="D10806" t="str">
        <f>HYPERLINK("https://rhld.insurance.arkansas.gov/NPILookup?Npi=1235371758","1235371758")</f>
        <v>1235371758</v>
      </c>
      <c r="E10806" t="s">
        <v>850</v>
      </c>
    </row>
    <row r="10807" spans="1:5" x14ac:dyDescent="0.25">
      <c r="A10807" t="s">
        <v>2</v>
      </c>
      <c r="B10807" t="s">
        <v>3458</v>
      </c>
      <c r="C10807" t="s">
        <v>23490</v>
      </c>
      <c r="D10807" t="str">
        <f>HYPERLINK("https://rhld.insurance.arkansas.gov/NPILookup?Npi=1235379876","1235379876")</f>
        <v>1235379876</v>
      </c>
      <c r="E10807" t="s">
        <v>8970</v>
      </c>
    </row>
    <row r="10808" spans="1:5" x14ac:dyDescent="0.25">
      <c r="A10808" t="s">
        <v>2</v>
      </c>
      <c r="B10808" t="s">
        <v>3458</v>
      </c>
      <c r="C10808" t="s">
        <v>23490</v>
      </c>
      <c r="D10808" t="str">
        <f>HYPERLINK("https://rhld.insurance.arkansas.gov/NPILookup?Npi=1235385238","1235385238")</f>
        <v>1235385238</v>
      </c>
      <c r="E10808" t="s">
        <v>851</v>
      </c>
    </row>
    <row r="10809" spans="1:5" x14ac:dyDescent="0.25">
      <c r="A10809" t="s">
        <v>2</v>
      </c>
      <c r="B10809" t="s">
        <v>3458</v>
      </c>
      <c r="C10809" t="s">
        <v>23490</v>
      </c>
      <c r="D10809" t="str">
        <f>HYPERLINK("https://rhld.insurance.arkansas.gov/NPILookup?Npi=1235400532","1235400532")</f>
        <v>1235400532</v>
      </c>
      <c r="E10809" t="s">
        <v>14905</v>
      </c>
    </row>
    <row r="10810" spans="1:5" x14ac:dyDescent="0.25">
      <c r="A10810" t="s">
        <v>2</v>
      </c>
      <c r="B10810" t="s">
        <v>3458</v>
      </c>
      <c r="C10810" t="s">
        <v>23490</v>
      </c>
      <c r="D10810" t="str">
        <f>HYPERLINK("https://rhld.insurance.arkansas.gov/NPILookup?Npi=1235402959","1235402959")</f>
        <v>1235402959</v>
      </c>
      <c r="E10810" t="s">
        <v>21725</v>
      </c>
    </row>
    <row r="10811" spans="1:5" x14ac:dyDescent="0.25">
      <c r="A10811" t="s">
        <v>2</v>
      </c>
      <c r="B10811" t="s">
        <v>3458</v>
      </c>
      <c r="C10811" t="s">
        <v>23490</v>
      </c>
      <c r="D10811" t="str">
        <f>HYPERLINK("https://rhld.insurance.arkansas.gov/NPILookup?Npi=1235457789","1235457789")</f>
        <v>1235457789</v>
      </c>
      <c r="E10811" t="s">
        <v>10761</v>
      </c>
    </row>
    <row r="10812" spans="1:5" x14ac:dyDescent="0.25">
      <c r="A10812" t="s">
        <v>2</v>
      </c>
      <c r="B10812" t="s">
        <v>3458</v>
      </c>
      <c r="C10812" t="s">
        <v>23490</v>
      </c>
      <c r="D10812" t="str">
        <f>HYPERLINK("https://rhld.insurance.arkansas.gov/NPILookup?Npi=1235491838","1235491838")</f>
        <v>1235491838</v>
      </c>
      <c r="E10812" t="s">
        <v>14906</v>
      </c>
    </row>
    <row r="10813" spans="1:5" x14ac:dyDescent="0.25">
      <c r="A10813" t="s">
        <v>2</v>
      </c>
      <c r="B10813" t="s">
        <v>3458</v>
      </c>
      <c r="C10813" t="s">
        <v>23490</v>
      </c>
      <c r="D10813" t="str">
        <f>HYPERLINK("https://rhld.insurance.arkansas.gov/NPILookup?Npi=1235498908","1235498908")</f>
        <v>1235498908</v>
      </c>
      <c r="E10813" t="s">
        <v>7873</v>
      </c>
    </row>
    <row r="10814" spans="1:5" x14ac:dyDescent="0.25">
      <c r="A10814" t="s">
        <v>2</v>
      </c>
      <c r="B10814" t="s">
        <v>3458</v>
      </c>
      <c r="C10814" t="s">
        <v>23490</v>
      </c>
      <c r="D10814" t="str">
        <f>HYPERLINK("https://rhld.insurance.arkansas.gov/NPILookup?Npi=1235524869","1235524869")</f>
        <v>1235524869</v>
      </c>
      <c r="E10814" t="s">
        <v>13428</v>
      </c>
    </row>
    <row r="10815" spans="1:5" x14ac:dyDescent="0.25">
      <c r="A10815" t="s">
        <v>2</v>
      </c>
      <c r="B10815" t="s">
        <v>3458</v>
      </c>
      <c r="C10815" t="s">
        <v>23490</v>
      </c>
      <c r="D10815" t="str">
        <f>HYPERLINK("https://rhld.insurance.arkansas.gov/NPILookup?Npi=1235525957","1235525957")</f>
        <v>1235525957</v>
      </c>
      <c r="E10815" t="s">
        <v>13835</v>
      </c>
    </row>
    <row r="10816" spans="1:5" x14ac:dyDescent="0.25">
      <c r="A10816" t="s">
        <v>2</v>
      </c>
      <c r="B10816" t="s">
        <v>3458</v>
      </c>
      <c r="C10816" t="s">
        <v>23490</v>
      </c>
      <c r="D10816" t="str">
        <f>HYPERLINK("https://rhld.insurance.arkansas.gov/NPILookup?Npi=1235530478","1235530478")</f>
        <v>1235530478</v>
      </c>
      <c r="E10816" t="s">
        <v>855</v>
      </c>
    </row>
    <row r="10817" spans="1:5" x14ac:dyDescent="0.25">
      <c r="A10817" t="s">
        <v>2</v>
      </c>
      <c r="B10817" t="s">
        <v>3458</v>
      </c>
      <c r="C10817" t="s">
        <v>23490</v>
      </c>
      <c r="D10817" t="str">
        <f>HYPERLINK("https://rhld.insurance.arkansas.gov/NPILookup?Npi=1235542739","1235542739")</f>
        <v>1235542739</v>
      </c>
      <c r="E10817" t="s">
        <v>10763</v>
      </c>
    </row>
    <row r="10818" spans="1:5" x14ac:dyDescent="0.25">
      <c r="A10818" t="s">
        <v>2</v>
      </c>
      <c r="B10818" t="s">
        <v>3458</v>
      </c>
      <c r="C10818" t="s">
        <v>23490</v>
      </c>
      <c r="D10818" t="str">
        <f>HYPERLINK("https://rhld.insurance.arkansas.gov/NPILookup?Npi=1235546490","1235546490")</f>
        <v>1235546490</v>
      </c>
      <c r="E10818" t="s">
        <v>856</v>
      </c>
    </row>
    <row r="10819" spans="1:5" x14ac:dyDescent="0.25">
      <c r="A10819" t="s">
        <v>2</v>
      </c>
      <c r="B10819" t="s">
        <v>3458</v>
      </c>
      <c r="C10819" t="s">
        <v>23490</v>
      </c>
      <c r="D10819" t="str">
        <f>HYPERLINK("https://rhld.insurance.arkansas.gov/NPILookup?Npi=1235547589","1235547589")</f>
        <v>1235547589</v>
      </c>
      <c r="E10819" t="s">
        <v>10764</v>
      </c>
    </row>
    <row r="10820" spans="1:5" x14ac:dyDescent="0.25">
      <c r="A10820" t="s">
        <v>2</v>
      </c>
      <c r="B10820" t="s">
        <v>3458</v>
      </c>
      <c r="C10820" t="s">
        <v>23490</v>
      </c>
      <c r="D10820" t="str">
        <f>HYPERLINK("https://rhld.insurance.arkansas.gov/NPILookup?Npi=1235553611","1235553611")</f>
        <v>1235553611</v>
      </c>
      <c r="E10820" t="s">
        <v>17297</v>
      </c>
    </row>
    <row r="10821" spans="1:5" x14ac:dyDescent="0.25">
      <c r="A10821" t="s">
        <v>2</v>
      </c>
      <c r="B10821" t="s">
        <v>3458</v>
      </c>
      <c r="C10821" t="s">
        <v>23490</v>
      </c>
      <c r="D10821" t="str">
        <f>HYPERLINK("https://rhld.insurance.arkansas.gov/NPILookup?Npi=1235581802","1235581802")</f>
        <v>1235581802</v>
      </c>
      <c r="E10821" t="s">
        <v>8562</v>
      </c>
    </row>
    <row r="10822" spans="1:5" x14ac:dyDescent="0.25">
      <c r="A10822" t="s">
        <v>2</v>
      </c>
      <c r="B10822" t="s">
        <v>3458</v>
      </c>
      <c r="C10822" t="s">
        <v>23490</v>
      </c>
      <c r="D10822" t="str">
        <f>HYPERLINK("https://rhld.insurance.arkansas.gov/NPILookup?Npi=1235585563","1235585563")</f>
        <v>1235585563</v>
      </c>
      <c r="E10822" t="s">
        <v>8563</v>
      </c>
    </row>
    <row r="10823" spans="1:5" x14ac:dyDescent="0.25">
      <c r="A10823" t="s">
        <v>2</v>
      </c>
      <c r="B10823" t="s">
        <v>3458</v>
      </c>
      <c r="C10823" t="s">
        <v>23490</v>
      </c>
      <c r="D10823" t="str">
        <f>HYPERLINK("https://rhld.insurance.arkansas.gov/NPILookup?Npi=1235595059","1235595059")</f>
        <v>1235595059</v>
      </c>
      <c r="E10823" t="s">
        <v>19222</v>
      </c>
    </row>
    <row r="10824" spans="1:5" x14ac:dyDescent="0.25">
      <c r="A10824" t="s">
        <v>2</v>
      </c>
      <c r="B10824" t="s">
        <v>3458</v>
      </c>
      <c r="C10824" t="s">
        <v>23490</v>
      </c>
      <c r="D10824" t="str">
        <f>HYPERLINK("https://rhld.insurance.arkansas.gov/NPILookup?Npi=1235603614","1235603614")</f>
        <v>1235603614</v>
      </c>
      <c r="E10824" t="s">
        <v>13429</v>
      </c>
    </row>
    <row r="10825" spans="1:5" x14ac:dyDescent="0.25">
      <c r="A10825" t="s">
        <v>2</v>
      </c>
      <c r="B10825" t="s">
        <v>3458</v>
      </c>
      <c r="C10825" t="s">
        <v>23490</v>
      </c>
      <c r="D10825" t="str">
        <f>HYPERLINK("https://rhld.insurance.arkansas.gov/NPILookup?Npi=1235629130","1235629130")</f>
        <v>1235629130</v>
      </c>
      <c r="E10825" t="s">
        <v>13430</v>
      </c>
    </row>
    <row r="10826" spans="1:5" x14ac:dyDescent="0.25">
      <c r="A10826" t="s">
        <v>2</v>
      </c>
      <c r="B10826" t="s">
        <v>3458</v>
      </c>
      <c r="C10826" t="s">
        <v>23490</v>
      </c>
      <c r="D10826" t="str">
        <f>HYPERLINK("https://rhld.insurance.arkansas.gov/NPILookup?Npi=1235635111","1235635111")</f>
        <v>1235635111</v>
      </c>
      <c r="E10826" t="s">
        <v>18714</v>
      </c>
    </row>
    <row r="10827" spans="1:5" x14ac:dyDescent="0.25">
      <c r="A10827" t="s">
        <v>2</v>
      </c>
      <c r="B10827" t="s">
        <v>3458</v>
      </c>
      <c r="C10827" t="s">
        <v>23490</v>
      </c>
      <c r="D10827" t="str">
        <f>HYPERLINK("https://rhld.insurance.arkansas.gov/NPILookup?Npi=1235648874","1235648874")</f>
        <v>1235648874</v>
      </c>
      <c r="E10827" t="s">
        <v>12802</v>
      </c>
    </row>
    <row r="10828" spans="1:5" x14ac:dyDescent="0.25">
      <c r="A10828" t="s">
        <v>2</v>
      </c>
      <c r="B10828" t="s">
        <v>3458</v>
      </c>
      <c r="C10828" t="s">
        <v>23490</v>
      </c>
      <c r="D10828" t="str">
        <f>HYPERLINK("https://rhld.insurance.arkansas.gov/NPILookup?Npi=1235652611","1235652611")</f>
        <v>1235652611</v>
      </c>
      <c r="E10828" t="s">
        <v>10765</v>
      </c>
    </row>
    <row r="10829" spans="1:5" x14ac:dyDescent="0.25">
      <c r="A10829" t="s">
        <v>2</v>
      </c>
      <c r="B10829" t="s">
        <v>3458</v>
      </c>
      <c r="C10829" t="s">
        <v>23490</v>
      </c>
      <c r="D10829" t="str">
        <f>HYPERLINK("https://rhld.insurance.arkansas.gov/NPILookup?Npi=1235653692","1235653692")</f>
        <v>1235653692</v>
      </c>
      <c r="E10829" t="s">
        <v>10766</v>
      </c>
    </row>
    <row r="10830" spans="1:5" x14ac:dyDescent="0.25">
      <c r="A10830" t="s">
        <v>2</v>
      </c>
      <c r="B10830" t="s">
        <v>3458</v>
      </c>
      <c r="C10830" t="s">
        <v>23490</v>
      </c>
      <c r="D10830" t="str">
        <f>HYPERLINK("https://rhld.insurance.arkansas.gov/NPILookup?Npi=1235655531","1235655531")</f>
        <v>1235655531</v>
      </c>
      <c r="E10830" t="s">
        <v>13431</v>
      </c>
    </row>
    <row r="10831" spans="1:5" x14ac:dyDescent="0.25">
      <c r="A10831" t="s">
        <v>2</v>
      </c>
      <c r="B10831" t="s">
        <v>3458</v>
      </c>
      <c r="C10831" t="s">
        <v>23490</v>
      </c>
      <c r="D10831" t="str">
        <f>HYPERLINK("https://rhld.insurance.arkansas.gov/NPILookup?Npi=1235667965","1235667965")</f>
        <v>1235667965</v>
      </c>
      <c r="E10831" t="s">
        <v>10767</v>
      </c>
    </row>
    <row r="10832" spans="1:5" x14ac:dyDescent="0.25">
      <c r="A10832" t="s">
        <v>2</v>
      </c>
      <c r="B10832" t="s">
        <v>3458</v>
      </c>
      <c r="C10832" t="s">
        <v>23490</v>
      </c>
      <c r="D10832" t="str">
        <f>HYPERLINK("https://rhld.insurance.arkansas.gov/NPILookup?Npi=1235676792","1235676792")</f>
        <v>1235676792</v>
      </c>
      <c r="E10832" t="s">
        <v>14909</v>
      </c>
    </row>
    <row r="10833" spans="1:5" x14ac:dyDescent="0.25">
      <c r="A10833" t="s">
        <v>2</v>
      </c>
      <c r="B10833" t="s">
        <v>3458</v>
      </c>
      <c r="C10833" t="s">
        <v>23490</v>
      </c>
      <c r="D10833" t="str">
        <f>HYPERLINK("https://rhld.insurance.arkansas.gov/NPILookup?Npi=1235687773","1235687773")</f>
        <v>1235687773</v>
      </c>
      <c r="E10833" t="s">
        <v>10768</v>
      </c>
    </row>
    <row r="10834" spans="1:5" x14ac:dyDescent="0.25">
      <c r="A10834" t="s">
        <v>2</v>
      </c>
      <c r="B10834" t="s">
        <v>3458</v>
      </c>
      <c r="C10834" t="s">
        <v>23490</v>
      </c>
      <c r="D10834" t="str">
        <f>HYPERLINK("https://rhld.insurance.arkansas.gov/NPILookup?Npi=1235695768","1235695768")</f>
        <v>1235695768</v>
      </c>
      <c r="E10834" t="s">
        <v>14910</v>
      </c>
    </row>
    <row r="10835" spans="1:5" x14ac:dyDescent="0.25">
      <c r="A10835" t="s">
        <v>2</v>
      </c>
      <c r="B10835" t="s">
        <v>3458</v>
      </c>
      <c r="C10835" t="s">
        <v>23490</v>
      </c>
      <c r="D10835" t="str">
        <f>HYPERLINK("https://rhld.insurance.arkansas.gov/NPILookup?Npi=1235721259","1235721259")</f>
        <v>1235721259</v>
      </c>
      <c r="E10835" t="s">
        <v>17914</v>
      </c>
    </row>
    <row r="10836" spans="1:5" x14ac:dyDescent="0.25">
      <c r="A10836" t="s">
        <v>2</v>
      </c>
      <c r="B10836" t="s">
        <v>3458</v>
      </c>
      <c r="C10836" t="s">
        <v>23490</v>
      </c>
      <c r="D10836" t="str">
        <f>HYPERLINK("https://rhld.insurance.arkansas.gov/NPILookup?Npi=1235762816","1235762816")</f>
        <v>1235762816</v>
      </c>
      <c r="E10836" t="s">
        <v>19537</v>
      </c>
    </row>
    <row r="10837" spans="1:5" x14ac:dyDescent="0.25">
      <c r="A10837" t="s">
        <v>2</v>
      </c>
      <c r="B10837" t="s">
        <v>3458</v>
      </c>
      <c r="C10837" t="s">
        <v>23490</v>
      </c>
      <c r="D10837" t="str">
        <f>HYPERLINK("https://rhld.insurance.arkansas.gov/NPILookup?Npi=1235776311","1235776311")</f>
        <v>1235776311</v>
      </c>
      <c r="E10837" t="s">
        <v>17409</v>
      </c>
    </row>
    <row r="10838" spans="1:5" x14ac:dyDescent="0.25">
      <c r="A10838" t="s">
        <v>2</v>
      </c>
      <c r="B10838" t="s">
        <v>3458</v>
      </c>
      <c r="C10838" t="s">
        <v>23490</v>
      </c>
      <c r="D10838" t="str">
        <f>HYPERLINK("https://rhld.insurance.arkansas.gov/NPILookup?Npi=1235837279","1235837279")</f>
        <v>1235837279</v>
      </c>
      <c r="E10838" t="s">
        <v>21503</v>
      </c>
    </row>
    <row r="10839" spans="1:5" x14ac:dyDescent="0.25">
      <c r="A10839" t="s">
        <v>2</v>
      </c>
      <c r="B10839" t="s">
        <v>3458</v>
      </c>
      <c r="C10839" t="s">
        <v>23490</v>
      </c>
      <c r="D10839" t="str">
        <f>HYPERLINK("https://rhld.insurance.arkansas.gov/NPILookup?Npi=1235874512","1235874512")</f>
        <v>1235874512</v>
      </c>
      <c r="E10839" t="s">
        <v>20914</v>
      </c>
    </row>
    <row r="10840" spans="1:5" x14ac:dyDescent="0.25">
      <c r="A10840" t="s">
        <v>2</v>
      </c>
      <c r="B10840" t="s">
        <v>3458</v>
      </c>
      <c r="C10840" t="s">
        <v>23490</v>
      </c>
      <c r="D10840" t="str">
        <f>HYPERLINK("https://rhld.insurance.arkansas.gov/NPILookup?Npi=1235891417","1235891417")</f>
        <v>1235891417</v>
      </c>
      <c r="E10840" t="s">
        <v>19539</v>
      </c>
    </row>
    <row r="10841" spans="1:5" x14ac:dyDescent="0.25">
      <c r="A10841" t="s">
        <v>2</v>
      </c>
      <c r="B10841" t="s">
        <v>3458</v>
      </c>
      <c r="C10841" t="s">
        <v>23490</v>
      </c>
      <c r="D10841" t="str">
        <f>HYPERLINK("https://rhld.insurance.arkansas.gov/NPILookup?Npi=1245202654","1245202654")</f>
        <v>1245202654</v>
      </c>
      <c r="E10841" t="s">
        <v>858</v>
      </c>
    </row>
    <row r="10842" spans="1:5" x14ac:dyDescent="0.25">
      <c r="A10842" t="s">
        <v>2</v>
      </c>
      <c r="B10842" t="s">
        <v>3458</v>
      </c>
      <c r="C10842" t="s">
        <v>23490</v>
      </c>
      <c r="D10842" t="str">
        <f>HYPERLINK("https://rhld.insurance.arkansas.gov/NPILookup?Npi=1245209113","1245209113")</f>
        <v>1245209113</v>
      </c>
      <c r="E10842" t="s">
        <v>13836</v>
      </c>
    </row>
    <row r="10843" spans="1:5" x14ac:dyDescent="0.25">
      <c r="A10843" t="s">
        <v>2</v>
      </c>
      <c r="B10843" t="s">
        <v>3458</v>
      </c>
      <c r="C10843" t="s">
        <v>23490</v>
      </c>
      <c r="D10843" t="str">
        <f>HYPERLINK("https://rhld.insurance.arkansas.gov/NPILookup?Npi=1245222348","1245222348")</f>
        <v>1245222348</v>
      </c>
      <c r="E10843" t="s">
        <v>861</v>
      </c>
    </row>
    <row r="10844" spans="1:5" x14ac:dyDescent="0.25">
      <c r="A10844" t="s">
        <v>2</v>
      </c>
      <c r="B10844" t="s">
        <v>3458</v>
      </c>
      <c r="C10844" t="s">
        <v>23490</v>
      </c>
      <c r="D10844" t="str">
        <f>HYPERLINK("https://rhld.insurance.arkansas.gov/NPILookup?Npi=1245223866","1245223866")</f>
        <v>1245223866</v>
      </c>
      <c r="E10844" t="s">
        <v>863</v>
      </c>
    </row>
    <row r="10845" spans="1:5" x14ac:dyDescent="0.25">
      <c r="A10845" t="s">
        <v>2</v>
      </c>
      <c r="B10845" t="s">
        <v>3458</v>
      </c>
      <c r="C10845" t="s">
        <v>23490</v>
      </c>
      <c r="D10845" t="str">
        <f>HYPERLINK("https://rhld.insurance.arkansas.gov/NPILookup?Npi=1245224229","1245224229")</f>
        <v>1245224229</v>
      </c>
      <c r="E10845" t="s">
        <v>864</v>
      </c>
    </row>
    <row r="10846" spans="1:5" x14ac:dyDescent="0.25">
      <c r="A10846" t="s">
        <v>2</v>
      </c>
      <c r="B10846" t="s">
        <v>3458</v>
      </c>
      <c r="C10846" t="s">
        <v>23490</v>
      </c>
      <c r="D10846" t="str">
        <f>HYPERLINK("https://rhld.insurance.arkansas.gov/NPILookup?Npi=1245227057","1245227057")</f>
        <v>1245227057</v>
      </c>
      <c r="E10846" t="s">
        <v>865</v>
      </c>
    </row>
    <row r="10847" spans="1:5" x14ac:dyDescent="0.25">
      <c r="A10847" t="s">
        <v>2</v>
      </c>
      <c r="B10847" t="s">
        <v>3458</v>
      </c>
      <c r="C10847" t="s">
        <v>23490</v>
      </c>
      <c r="D10847" t="str">
        <f>HYPERLINK("https://rhld.insurance.arkansas.gov/NPILookup?Npi=1245231794","1245231794")</f>
        <v>1245231794</v>
      </c>
      <c r="E10847" t="s">
        <v>3603</v>
      </c>
    </row>
    <row r="10848" spans="1:5" x14ac:dyDescent="0.25">
      <c r="A10848" t="s">
        <v>2</v>
      </c>
      <c r="B10848" t="s">
        <v>3458</v>
      </c>
      <c r="C10848" t="s">
        <v>23490</v>
      </c>
      <c r="D10848" t="str">
        <f>HYPERLINK("https://rhld.insurance.arkansas.gov/NPILookup?Npi=1245234061","1245234061")</f>
        <v>1245234061</v>
      </c>
      <c r="E10848" t="s">
        <v>867</v>
      </c>
    </row>
    <row r="10849" spans="1:5" x14ac:dyDescent="0.25">
      <c r="A10849" t="s">
        <v>2</v>
      </c>
      <c r="B10849" t="s">
        <v>3458</v>
      </c>
      <c r="C10849" t="s">
        <v>23490</v>
      </c>
      <c r="D10849" t="str">
        <f>HYPERLINK("https://rhld.insurance.arkansas.gov/NPILookup?Npi=1245237528","1245237528")</f>
        <v>1245237528</v>
      </c>
      <c r="E10849" t="s">
        <v>868</v>
      </c>
    </row>
    <row r="10850" spans="1:5" x14ac:dyDescent="0.25">
      <c r="A10850" t="s">
        <v>2</v>
      </c>
      <c r="B10850" t="s">
        <v>3458</v>
      </c>
      <c r="C10850" t="s">
        <v>23490</v>
      </c>
      <c r="D10850" t="str">
        <f>HYPERLINK("https://rhld.insurance.arkansas.gov/NPILookup?Npi=1245266360","1245266360")</f>
        <v>1245266360</v>
      </c>
      <c r="E10850" t="s">
        <v>872</v>
      </c>
    </row>
    <row r="10851" spans="1:5" x14ac:dyDescent="0.25">
      <c r="A10851" t="s">
        <v>2</v>
      </c>
      <c r="B10851" t="s">
        <v>3458</v>
      </c>
      <c r="C10851" t="s">
        <v>23490</v>
      </c>
      <c r="D10851" t="str">
        <f>HYPERLINK("https://rhld.insurance.arkansas.gov/NPILookup?Npi=1245268937","1245268937")</f>
        <v>1245268937</v>
      </c>
      <c r="E10851" t="s">
        <v>10769</v>
      </c>
    </row>
    <row r="10852" spans="1:5" x14ac:dyDescent="0.25">
      <c r="A10852" t="s">
        <v>2</v>
      </c>
      <c r="B10852" t="s">
        <v>3458</v>
      </c>
      <c r="C10852" t="s">
        <v>23490</v>
      </c>
      <c r="D10852" t="str">
        <f>HYPERLINK("https://rhld.insurance.arkansas.gov/NPILookup?Npi=1245286442","1245286442")</f>
        <v>1245286442</v>
      </c>
      <c r="E10852" t="s">
        <v>873</v>
      </c>
    </row>
    <row r="10853" spans="1:5" x14ac:dyDescent="0.25">
      <c r="A10853" t="s">
        <v>2</v>
      </c>
      <c r="B10853" t="s">
        <v>3458</v>
      </c>
      <c r="C10853" t="s">
        <v>23490</v>
      </c>
      <c r="D10853" t="str">
        <f>HYPERLINK("https://rhld.insurance.arkansas.gov/NPILookup?Npi=1245289305","1245289305")</f>
        <v>1245289305</v>
      </c>
      <c r="E10853" t="s">
        <v>3604</v>
      </c>
    </row>
    <row r="10854" spans="1:5" x14ac:dyDescent="0.25">
      <c r="A10854" t="s">
        <v>2</v>
      </c>
      <c r="B10854" t="s">
        <v>3458</v>
      </c>
      <c r="C10854" t="s">
        <v>23490</v>
      </c>
      <c r="D10854" t="str">
        <f>HYPERLINK("https://rhld.insurance.arkansas.gov/NPILookup?Npi=1245291301","1245291301")</f>
        <v>1245291301</v>
      </c>
      <c r="E10854" t="s">
        <v>875</v>
      </c>
    </row>
    <row r="10855" spans="1:5" x14ac:dyDescent="0.25">
      <c r="A10855" t="s">
        <v>2</v>
      </c>
      <c r="B10855" t="s">
        <v>3458</v>
      </c>
      <c r="C10855" t="s">
        <v>23490</v>
      </c>
      <c r="D10855" t="str">
        <f>HYPERLINK("https://rhld.insurance.arkansas.gov/NPILookup?Npi=1245292580","1245292580")</f>
        <v>1245292580</v>
      </c>
      <c r="E10855" t="s">
        <v>3605</v>
      </c>
    </row>
    <row r="10856" spans="1:5" x14ac:dyDescent="0.25">
      <c r="A10856" t="s">
        <v>2</v>
      </c>
      <c r="B10856" t="s">
        <v>3458</v>
      </c>
      <c r="C10856" t="s">
        <v>23490</v>
      </c>
      <c r="D10856" t="str">
        <f>HYPERLINK("https://rhld.insurance.arkansas.gov/NPILookup?Npi=1245298132","1245298132")</f>
        <v>1245298132</v>
      </c>
      <c r="E10856" t="s">
        <v>876</v>
      </c>
    </row>
    <row r="10857" spans="1:5" x14ac:dyDescent="0.25">
      <c r="A10857" t="s">
        <v>2</v>
      </c>
      <c r="B10857" t="s">
        <v>3458</v>
      </c>
      <c r="C10857" t="s">
        <v>23490</v>
      </c>
      <c r="D10857" t="str">
        <f>HYPERLINK("https://rhld.insurance.arkansas.gov/NPILookup?Npi=1245307586","1245307586")</f>
        <v>1245307586</v>
      </c>
      <c r="E10857" t="s">
        <v>877</v>
      </c>
    </row>
    <row r="10858" spans="1:5" x14ac:dyDescent="0.25">
      <c r="A10858" t="s">
        <v>2</v>
      </c>
      <c r="B10858" t="s">
        <v>3458</v>
      </c>
      <c r="C10858" t="s">
        <v>23490</v>
      </c>
      <c r="D10858" t="str">
        <f>HYPERLINK("https://rhld.insurance.arkansas.gov/NPILookup?Npi=1245320803","1245320803")</f>
        <v>1245320803</v>
      </c>
      <c r="E10858" t="s">
        <v>3606</v>
      </c>
    </row>
    <row r="10859" spans="1:5" x14ac:dyDescent="0.25">
      <c r="A10859" t="s">
        <v>2</v>
      </c>
      <c r="B10859" t="s">
        <v>3458</v>
      </c>
      <c r="C10859" t="s">
        <v>23490</v>
      </c>
      <c r="D10859" t="str">
        <f>HYPERLINK("https://rhld.insurance.arkansas.gov/NPILookup?Npi=1245322387","1245322387")</f>
        <v>1245322387</v>
      </c>
      <c r="E10859" t="s">
        <v>879</v>
      </c>
    </row>
    <row r="10860" spans="1:5" x14ac:dyDescent="0.25">
      <c r="A10860" t="s">
        <v>2</v>
      </c>
      <c r="B10860" t="s">
        <v>3458</v>
      </c>
      <c r="C10860" t="s">
        <v>23490</v>
      </c>
      <c r="D10860" t="str">
        <f>HYPERLINK("https://rhld.insurance.arkansas.gov/NPILookup?Npi=1245325430","1245325430")</f>
        <v>1245325430</v>
      </c>
      <c r="E10860" t="s">
        <v>880</v>
      </c>
    </row>
    <row r="10861" spans="1:5" x14ac:dyDescent="0.25">
      <c r="A10861" t="s">
        <v>2</v>
      </c>
      <c r="B10861" t="s">
        <v>3458</v>
      </c>
      <c r="C10861" t="s">
        <v>23490</v>
      </c>
      <c r="D10861" t="str">
        <f>HYPERLINK("https://rhld.insurance.arkansas.gov/NPILookup?Npi=1245329663","1245329663")</f>
        <v>1245329663</v>
      </c>
      <c r="E10861" t="s">
        <v>881</v>
      </c>
    </row>
    <row r="10862" spans="1:5" x14ac:dyDescent="0.25">
      <c r="A10862" t="s">
        <v>2</v>
      </c>
      <c r="B10862" t="s">
        <v>3458</v>
      </c>
      <c r="C10862" t="s">
        <v>23490</v>
      </c>
      <c r="D10862" t="str">
        <f>HYPERLINK("https://rhld.insurance.arkansas.gov/NPILookup?Npi=1245378413","1245378413")</f>
        <v>1245378413</v>
      </c>
      <c r="E10862" t="s">
        <v>14911</v>
      </c>
    </row>
    <row r="10863" spans="1:5" x14ac:dyDescent="0.25">
      <c r="A10863" t="s">
        <v>2</v>
      </c>
      <c r="B10863" t="s">
        <v>3458</v>
      </c>
      <c r="C10863" t="s">
        <v>23490</v>
      </c>
      <c r="D10863" t="str">
        <f>HYPERLINK("https://rhld.insurance.arkansas.gov/NPILookup?Npi=1245379528","1245379528")</f>
        <v>1245379528</v>
      </c>
      <c r="E10863" t="s">
        <v>882</v>
      </c>
    </row>
    <row r="10864" spans="1:5" x14ac:dyDescent="0.25">
      <c r="A10864" t="s">
        <v>2</v>
      </c>
      <c r="B10864" t="s">
        <v>3458</v>
      </c>
      <c r="C10864" t="s">
        <v>23490</v>
      </c>
      <c r="D10864" t="str">
        <f>HYPERLINK("https://rhld.insurance.arkansas.gov/NPILookup?Npi=1245383264","1245383264")</f>
        <v>1245383264</v>
      </c>
      <c r="E10864" t="s">
        <v>883</v>
      </c>
    </row>
    <row r="10865" spans="1:5" x14ac:dyDescent="0.25">
      <c r="A10865" t="s">
        <v>2</v>
      </c>
      <c r="B10865" t="s">
        <v>3458</v>
      </c>
      <c r="C10865" t="s">
        <v>23490</v>
      </c>
      <c r="D10865" t="str">
        <f>HYPERLINK("https://rhld.insurance.arkansas.gov/NPILookup?Npi=1245386762","1245386762")</f>
        <v>1245386762</v>
      </c>
      <c r="E10865" t="s">
        <v>884</v>
      </c>
    </row>
    <row r="10866" spans="1:5" x14ac:dyDescent="0.25">
      <c r="A10866" t="s">
        <v>2</v>
      </c>
      <c r="B10866" t="s">
        <v>3458</v>
      </c>
      <c r="C10866" t="s">
        <v>23490</v>
      </c>
      <c r="D10866" t="str">
        <f>HYPERLINK("https://rhld.insurance.arkansas.gov/NPILookup?Npi=1245387091","1245387091")</f>
        <v>1245387091</v>
      </c>
      <c r="E10866" t="s">
        <v>885</v>
      </c>
    </row>
    <row r="10867" spans="1:5" x14ac:dyDescent="0.25">
      <c r="A10867" t="s">
        <v>2</v>
      </c>
      <c r="B10867" t="s">
        <v>3458</v>
      </c>
      <c r="C10867" t="s">
        <v>23490</v>
      </c>
      <c r="D10867" t="str">
        <f>HYPERLINK("https://rhld.insurance.arkansas.gov/NPILookup?Npi=1245389584","1245389584")</f>
        <v>1245389584</v>
      </c>
      <c r="E10867" t="s">
        <v>14912</v>
      </c>
    </row>
    <row r="10868" spans="1:5" x14ac:dyDescent="0.25">
      <c r="A10868" t="s">
        <v>2</v>
      </c>
      <c r="B10868" t="s">
        <v>3458</v>
      </c>
      <c r="C10868" t="s">
        <v>23490</v>
      </c>
      <c r="D10868" t="str">
        <f>HYPERLINK("https://rhld.insurance.arkansas.gov/NPILookup?Npi=1245407576","1245407576")</f>
        <v>1245407576</v>
      </c>
      <c r="E10868" t="s">
        <v>886</v>
      </c>
    </row>
    <row r="10869" spans="1:5" x14ac:dyDescent="0.25">
      <c r="A10869" t="s">
        <v>2</v>
      </c>
      <c r="B10869" t="s">
        <v>3458</v>
      </c>
      <c r="C10869" t="s">
        <v>23490</v>
      </c>
      <c r="D10869" t="str">
        <f>HYPERLINK("https://rhld.insurance.arkansas.gov/NPILookup?Npi=1245456938","1245456938")</f>
        <v>1245456938</v>
      </c>
      <c r="E10869" t="s">
        <v>2607</v>
      </c>
    </row>
    <row r="10870" spans="1:5" x14ac:dyDescent="0.25">
      <c r="A10870" t="s">
        <v>2</v>
      </c>
      <c r="B10870" t="s">
        <v>3458</v>
      </c>
      <c r="C10870" t="s">
        <v>23490</v>
      </c>
      <c r="D10870" t="str">
        <f>HYPERLINK("https://rhld.insurance.arkansas.gov/NPILookup?Npi=1245461359","1245461359")</f>
        <v>1245461359</v>
      </c>
      <c r="E10870" t="s">
        <v>20233</v>
      </c>
    </row>
    <row r="10871" spans="1:5" x14ac:dyDescent="0.25">
      <c r="A10871" t="s">
        <v>2</v>
      </c>
      <c r="B10871" t="s">
        <v>3458</v>
      </c>
      <c r="C10871" t="s">
        <v>23490</v>
      </c>
      <c r="D10871" t="str">
        <f>HYPERLINK("https://rhld.insurance.arkansas.gov/NPILookup?Npi=1245487404","1245487404")</f>
        <v>1245487404</v>
      </c>
      <c r="E10871" t="s">
        <v>3607</v>
      </c>
    </row>
    <row r="10872" spans="1:5" x14ac:dyDescent="0.25">
      <c r="A10872" t="s">
        <v>2</v>
      </c>
      <c r="B10872" t="s">
        <v>3458</v>
      </c>
      <c r="C10872" t="s">
        <v>23490</v>
      </c>
      <c r="D10872" t="str">
        <f>HYPERLINK("https://rhld.insurance.arkansas.gov/NPILookup?Npi=1245491380","1245491380")</f>
        <v>1245491380</v>
      </c>
      <c r="E10872" t="s">
        <v>6949</v>
      </c>
    </row>
    <row r="10873" spans="1:5" x14ac:dyDescent="0.25">
      <c r="A10873" t="s">
        <v>2</v>
      </c>
      <c r="B10873" t="s">
        <v>3458</v>
      </c>
      <c r="C10873" t="s">
        <v>23490</v>
      </c>
      <c r="D10873" t="str">
        <f>HYPERLINK("https://rhld.insurance.arkansas.gov/NPILookup?Npi=1245502640","1245502640")</f>
        <v>1245502640</v>
      </c>
      <c r="E10873" t="s">
        <v>888</v>
      </c>
    </row>
    <row r="10874" spans="1:5" x14ac:dyDescent="0.25">
      <c r="A10874" t="s">
        <v>2</v>
      </c>
      <c r="B10874" t="s">
        <v>3458</v>
      </c>
      <c r="C10874" t="s">
        <v>23490</v>
      </c>
      <c r="D10874" t="str">
        <f>HYPERLINK("https://rhld.insurance.arkansas.gov/NPILookup?Npi=1245517127","1245517127")</f>
        <v>1245517127</v>
      </c>
      <c r="E10874" t="s">
        <v>889</v>
      </c>
    </row>
    <row r="10875" spans="1:5" x14ac:dyDescent="0.25">
      <c r="A10875" t="s">
        <v>2</v>
      </c>
      <c r="B10875" t="s">
        <v>3458</v>
      </c>
      <c r="C10875" t="s">
        <v>23490</v>
      </c>
      <c r="D10875" t="str">
        <f>HYPERLINK("https://rhld.insurance.arkansas.gov/NPILookup?Npi=1245525591","1245525591")</f>
        <v>1245525591</v>
      </c>
      <c r="E10875" t="s">
        <v>890</v>
      </c>
    </row>
    <row r="10876" spans="1:5" x14ac:dyDescent="0.25">
      <c r="A10876" t="s">
        <v>2</v>
      </c>
      <c r="B10876" t="s">
        <v>3458</v>
      </c>
      <c r="C10876" t="s">
        <v>23490</v>
      </c>
      <c r="D10876" t="str">
        <f>HYPERLINK("https://rhld.insurance.arkansas.gov/NPILookup?Npi=1245530294","1245530294")</f>
        <v>1245530294</v>
      </c>
      <c r="E10876" t="s">
        <v>891</v>
      </c>
    </row>
    <row r="10877" spans="1:5" x14ac:dyDescent="0.25">
      <c r="A10877" t="s">
        <v>2</v>
      </c>
      <c r="B10877" t="s">
        <v>3458</v>
      </c>
      <c r="C10877" t="s">
        <v>23490</v>
      </c>
      <c r="D10877" t="str">
        <f>HYPERLINK("https://rhld.insurance.arkansas.gov/NPILookup?Npi=1245539998","1245539998")</f>
        <v>1245539998</v>
      </c>
      <c r="E10877" t="s">
        <v>19542</v>
      </c>
    </row>
    <row r="10878" spans="1:5" x14ac:dyDescent="0.25">
      <c r="A10878" t="s">
        <v>2</v>
      </c>
      <c r="B10878" t="s">
        <v>3458</v>
      </c>
      <c r="C10878" t="s">
        <v>23490</v>
      </c>
      <c r="D10878" t="str">
        <f>HYPERLINK("https://rhld.insurance.arkansas.gov/NPILookup?Npi=1245542323","1245542323")</f>
        <v>1245542323</v>
      </c>
      <c r="E10878" t="s">
        <v>20915</v>
      </c>
    </row>
    <row r="10879" spans="1:5" x14ac:dyDescent="0.25">
      <c r="A10879" t="s">
        <v>2</v>
      </c>
      <c r="B10879" t="s">
        <v>3458</v>
      </c>
      <c r="C10879" t="s">
        <v>23490</v>
      </c>
      <c r="D10879" t="str">
        <f>HYPERLINK("https://rhld.insurance.arkansas.gov/NPILookup?Npi=1245547702","1245547702")</f>
        <v>1245547702</v>
      </c>
      <c r="E10879" t="s">
        <v>892</v>
      </c>
    </row>
    <row r="10880" spans="1:5" x14ac:dyDescent="0.25">
      <c r="A10880" t="s">
        <v>2</v>
      </c>
      <c r="B10880" t="s">
        <v>3458</v>
      </c>
      <c r="C10880" t="s">
        <v>23490</v>
      </c>
      <c r="D10880" t="str">
        <f>HYPERLINK("https://rhld.insurance.arkansas.gov/NPILookup?Npi=1245557859","1245557859")</f>
        <v>1245557859</v>
      </c>
      <c r="E10880" t="s">
        <v>17410</v>
      </c>
    </row>
    <row r="10881" spans="1:5" x14ac:dyDescent="0.25">
      <c r="A10881" t="s">
        <v>2</v>
      </c>
      <c r="B10881" t="s">
        <v>3458</v>
      </c>
      <c r="C10881" t="s">
        <v>23490</v>
      </c>
      <c r="D10881" t="str">
        <f>HYPERLINK("https://rhld.insurance.arkansas.gov/NPILookup?Npi=1245559681","1245559681")</f>
        <v>1245559681</v>
      </c>
      <c r="E10881" t="s">
        <v>893</v>
      </c>
    </row>
    <row r="10882" spans="1:5" x14ac:dyDescent="0.25">
      <c r="A10882" t="s">
        <v>2</v>
      </c>
      <c r="B10882" t="s">
        <v>3458</v>
      </c>
      <c r="C10882" t="s">
        <v>23490</v>
      </c>
      <c r="D10882" t="str">
        <f>HYPERLINK("https://rhld.insurance.arkansas.gov/NPILookup?Npi=1245573666","1245573666")</f>
        <v>1245573666</v>
      </c>
      <c r="E10882" t="s">
        <v>8971</v>
      </c>
    </row>
    <row r="10883" spans="1:5" x14ac:dyDescent="0.25">
      <c r="A10883" t="s">
        <v>2</v>
      </c>
      <c r="B10883" t="s">
        <v>3458</v>
      </c>
      <c r="C10883" t="s">
        <v>23490</v>
      </c>
      <c r="D10883" t="str">
        <f>HYPERLINK("https://rhld.insurance.arkansas.gov/NPILookup?Npi=1245586874","1245586874")</f>
        <v>1245586874</v>
      </c>
      <c r="E10883" t="s">
        <v>8564</v>
      </c>
    </row>
    <row r="10884" spans="1:5" x14ac:dyDescent="0.25">
      <c r="A10884" t="s">
        <v>2</v>
      </c>
      <c r="B10884" t="s">
        <v>3458</v>
      </c>
      <c r="C10884" t="s">
        <v>23490</v>
      </c>
      <c r="D10884" t="str">
        <f>HYPERLINK("https://rhld.insurance.arkansas.gov/NPILookup?Npi=1245595149","1245595149")</f>
        <v>1245595149</v>
      </c>
      <c r="E10884" t="s">
        <v>10770</v>
      </c>
    </row>
    <row r="10885" spans="1:5" x14ac:dyDescent="0.25">
      <c r="A10885" t="s">
        <v>2</v>
      </c>
      <c r="B10885" t="s">
        <v>3458</v>
      </c>
      <c r="C10885" t="s">
        <v>23490</v>
      </c>
      <c r="D10885" t="str">
        <f>HYPERLINK("https://rhld.insurance.arkansas.gov/NPILookup?Npi=1245599109","1245599109")</f>
        <v>1245599109</v>
      </c>
      <c r="E10885" t="s">
        <v>895</v>
      </c>
    </row>
    <row r="10886" spans="1:5" x14ac:dyDescent="0.25">
      <c r="A10886" t="s">
        <v>2</v>
      </c>
      <c r="B10886" t="s">
        <v>3458</v>
      </c>
      <c r="C10886" t="s">
        <v>23490</v>
      </c>
      <c r="D10886" t="str">
        <f>HYPERLINK("https://rhld.insurance.arkansas.gov/NPILookup?Npi=1245603273","1245603273")</f>
        <v>1245603273</v>
      </c>
      <c r="E10886" t="s">
        <v>10771</v>
      </c>
    </row>
    <row r="10887" spans="1:5" x14ac:dyDescent="0.25">
      <c r="A10887" t="s">
        <v>2</v>
      </c>
      <c r="B10887" t="s">
        <v>3458</v>
      </c>
      <c r="C10887" t="s">
        <v>23490</v>
      </c>
      <c r="D10887" t="str">
        <f>HYPERLINK("https://rhld.insurance.arkansas.gov/NPILookup?Npi=1245621093","1245621093")</f>
        <v>1245621093</v>
      </c>
      <c r="E10887" t="s">
        <v>14914</v>
      </c>
    </row>
    <row r="10888" spans="1:5" x14ac:dyDescent="0.25">
      <c r="A10888" t="s">
        <v>2</v>
      </c>
      <c r="B10888" t="s">
        <v>3458</v>
      </c>
      <c r="C10888" t="s">
        <v>23490</v>
      </c>
      <c r="D10888" t="str">
        <f>HYPERLINK("https://rhld.insurance.arkansas.gov/NPILookup?Npi=1245633304","1245633304")</f>
        <v>1245633304</v>
      </c>
      <c r="E10888" t="s">
        <v>896</v>
      </c>
    </row>
    <row r="10889" spans="1:5" x14ac:dyDescent="0.25">
      <c r="A10889" t="s">
        <v>2</v>
      </c>
      <c r="B10889" t="s">
        <v>3458</v>
      </c>
      <c r="C10889" t="s">
        <v>23490</v>
      </c>
      <c r="D10889" t="str">
        <f>HYPERLINK("https://rhld.insurance.arkansas.gov/NPILookup?Npi=1245635291","1245635291")</f>
        <v>1245635291</v>
      </c>
      <c r="E10889" t="s">
        <v>17917</v>
      </c>
    </row>
    <row r="10890" spans="1:5" x14ac:dyDescent="0.25">
      <c r="A10890" t="s">
        <v>2</v>
      </c>
      <c r="B10890" t="s">
        <v>3458</v>
      </c>
      <c r="C10890" t="s">
        <v>23490</v>
      </c>
      <c r="D10890" t="str">
        <f>HYPERLINK("https://rhld.insurance.arkansas.gov/NPILookup?Npi=1245638642","1245638642")</f>
        <v>1245638642</v>
      </c>
      <c r="E10890" t="s">
        <v>14915</v>
      </c>
    </row>
    <row r="10891" spans="1:5" x14ac:dyDescent="0.25">
      <c r="A10891" t="s">
        <v>2</v>
      </c>
      <c r="B10891" t="s">
        <v>3458</v>
      </c>
      <c r="C10891" t="s">
        <v>23490</v>
      </c>
      <c r="D10891" t="str">
        <f>HYPERLINK("https://rhld.insurance.arkansas.gov/NPILookup?Npi=1245644814","1245644814")</f>
        <v>1245644814</v>
      </c>
      <c r="E10891" t="s">
        <v>13433</v>
      </c>
    </row>
    <row r="10892" spans="1:5" x14ac:dyDescent="0.25">
      <c r="A10892" t="s">
        <v>2</v>
      </c>
      <c r="B10892" t="s">
        <v>3458</v>
      </c>
      <c r="C10892" t="s">
        <v>23490</v>
      </c>
      <c r="D10892" t="str">
        <f>HYPERLINK("https://rhld.insurance.arkansas.gov/NPILookup?Npi=1245646934","1245646934")</f>
        <v>1245646934</v>
      </c>
      <c r="E10892" t="s">
        <v>897</v>
      </c>
    </row>
    <row r="10893" spans="1:5" x14ac:dyDescent="0.25">
      <c r="A10893" t="s">
        <v>2</v>
      </c>
      <c r="B10893" t="s">
        <v>3458</v>
      </c>
      <c r="C10893" t="s">
        <v>23490</v>
      </c>
      <c r="D10893" t="str">
        <f>HYPERLINK("https://rhld.insurance.arkansas.gov/NPILookup?Npi=1245647494","1245647494")</f>
        <v>1245647494</v>
      </c>
      <c r="E10893" t="s">
        <v>10772</v>
      </c>
    </row>
    <row r="10894" spans="1:5" x14ac:dyDescent="0.25">
      <c r="A10894" t="s">
        <v>2</v>
      </c>
      <c r="B10894" t="s">
        <v>3458</v>
      </c>
      <c r="C10894" t="s">
        <v>23490</v>
      </c>
      <c r="D10894" t="str">
        <f>HYPERLINK("https://rhld.insurance.arkansas.gov/NPILookup?Npi=1245650803","1245650803")</f>
        <v>1245650803</v>
      </c>
      <c r="E10894" t="s">
        <v>13434</v>
      </c>
    </row>
    <row r="10895" spans="1:5" x14ac:dyDescent="0.25">
      <c r="A10895" t="s">
        <v>2</v>
      </c>
      <c r="B10895" t="s">
        <v>3458</v>
      </c>
      <c r="C10895" t="s">
        <v>23490</v>
      </c>
      <c r="D10895" t="str">
        <f>HYPERLINK("https://rhld.insurance.arkansas.gov/NPILookup?Npi=1245657683","1245657683")</f>
        <v>1245657683</v>
      </c>
      <c r="E10895" t="s">
        <v>10773</v>
      </c>
    </row>
    <row r="10896" spans="1:5" x14ac:dyDescent="0.25">
      <c r="A10896" t="s">
        <v>2</v>
      </c>
      <c r="B10896" t="s">
        <v>3458</v>
      </c>
      <c r="C10896" t="s">
        <v>23490</v>
      </c>
      <c r="D10896" t="str">
        <f>HYPERLINK("https://rhld.insurance.arkansas.gov/NPILookup?Npi=1245658376","1245658376")</f>
        <v>1245658376</v>
      </c>
      <c r="E10896" t="s">
        <v>11442</v>
      </c>
    </row>
    <row r="10897" spans="1:5" x14ac:dyDescent="0.25">
      <c r="A10897" t="s">
        <v>2</v>
      </c>
      <c r="B10897" t="s">
        <v>3458</v>
      </c>
      <c r="C10897" t="s">
        <v>23490</v>
      </c>
      <c r="D10897" t="str">
        <f>HYPERLINK("https://rhld.insurance.arkansas.gov/NPILookup?Npi=1245659309","1245659309")</f>
        <v>1245659309</v>
      </c>
      <c r="E10897" t="s">
        <v>10774</v>
      </c>
    </row>
    <row r="10898" spans="1:5" x14ac:dyDescent="0.25">
      <c r="A10898" t="s">
        <v>2</v>
      </c>
      <c r="B10898" t="s">
        <v>3458</v>
      </c>
      <c r="C10898" t="s">
        <v>23490</v>
      </c>
      <c r="D10898" t="str">
        <f>HYPERLINK("https://rhld.insurance.arkansas.gov/NPILookup?Npi=1245666536","1245666536")</f>
        <v>1245666536</v>
      </c>
      <c r="E10898" t="s">
        <v>898</v>
      </c>
    </row>
    <row r="10899" spans="1:5" x14ac:dyDescent="0.25">
      <c r="A10899" t="s">
        <v>2</v>
      </c>
      <c r="B10899" t="s">
        <v>3458</v>
      </c>
      <c r="C10899" t="s">
        <v>23490</v>
      </c>
      <c r="D10899" t="str">
        <f>HYPERLINK("https://rhld.insurance.arkansas.gov/NPILookup?Npi=1245680321","1245680321")</f>
        <v>1245680321</v>
      </c>
      <c r="E10899" t="s">
        <v>8565</v>
      </c>
    </row>
    <row r="10900" spans="1:5" x14ac:dyDescent="0.25">
      <c r="A10900" t="s">
        <v>2</v>
      </c>
      <c r="B10900" t="s">
        <v>3458</v>
      </c>
      <c r="C10900" t="s">
        <v>23490</v>
      </c>
      <c r="D10900" t="str">
        <f>HYPERLINK("https://rhld.insurance.arkansas.gov/NPILookup?Npi=1245683895","1245683895")</f>
        <v>1245683895</v>
      </c>
      <c r="E10900" t="s">
        <v>22912</v>
      </c>
    </row>
    <row r="10901" spans="1:5" x14ac:dyDescent="0.25">
      <c r="A10901" t="s">
        <v>2</v>
      </c>
      <c r="B10901" t="s">
        <v>3458</v>
      </c>
      <c r="C10901" t="s">
        <v>23490</v>
      </c>
      <c r="D10901" t="str">
        <f>HYPERLINK("https://rhld.insurance.arkansas.gov/NPILookup?Npi=1245699024","1245699024")</f>
        <v>1245699024</v>
      </c>
      <c r="E10901" t="s">
        <v>10775</v>
      </c>
    </row>
    <row r="10902" spans="1:5" x14ac:dyDescent="0.25">
      <c r="A10902" t="s">
        <v>2</v>
      </c>
      <c r="B10902" t="s">
        <v>3458</v>
      </c>
      <c r="C10902" t="s">
        <v>23490</v>
      </c>
      <c r="D10902" t="str">
        <f>HYPERLINK("https://rhld.insurance.arkansas.gov/NPILookup?Npi=1245712959","1245712959")</f>
        <v>1245712959</v>
      </c>
      <c r="E10902" t="s">
        <v>13435</v>
      </c>
    </row>
    <row r="10903" spans="1:5" x14ac:dyDescent="0.25">
      <c r="A10903" t="s">
        <v>2</v>
      </c>
      <c r="B10903" t="s">
        <v>3458</v>
      </c>
      <c r="C10903" t="s">
        <v>23490</v>
      </c>
      <c r="D10903" t="str">
        <f>HYPERLINK("https://rhld.insurance.arkansas.gov/NPILookup?Npi=1245738004","1245738004")</f>
        <v>1245738004</v>
      </c>
      <c r="E10903" t="s">
        <v>12804</v>
      </c>
    </row>
    <row r="10904" spans="1:5" x14ac:dyDescent="0.25">
      <c r="A10904" t="s">
        <v>2</v>
      </c>
      <c r="B10904" t="s">
        <v>3458</v>
      </c>
      <c r="C10904" t="s">
        <v>23490</v>
      </c>
      <c r="D10904" t="str">
        <f>HYPERLINK("https://rhld.insurance.arkansas.gov/NPILookup?Npi=1245738244","1245738244")</f>
        <v>1245738244</v>
      </c>
      <c r="E10904" t="s">
        <v>14919</v>
      </c>
    </row>
    <row r="10905" spans="1:5" x14ac:dyDescent="0.25">
      <c r="A10905" t="s">
        <v>2</v>
      </c>
      <c r="B10905" t="s">
        <v>3458</v>
      </c>
      <c r="C10905" t="s">
        <v>23490</v>
      </c>
      <c r="D10905" t="str">
        <f>HYPERLINK("https://rhld.insurance.arkansas.gov/NPILookup?Npi=1245741735","1245741735")</f>
        <v>1245741735</v>
      </c>
      <c r="E10905" t="s">
        <v>19545</v>
      </c>
    </row>
    <row r="10906" spans="1:5" x14ac:dyDescent="0.25">
      <c r="A10906" t="s">
        <v>2</v>
      </c>
      <c r="B10906" t="s">
        <v>3458</v>
      </c>
      <c r="C10906" t="s">
        <v>23490</v>
      </c>
      <c r="D10906" t="str">
        <f>HYPERLINK("https://rhld.insurance.arkansas.gov/NPILookup?Npi=1245756972","1245756972")</f>
        <v>1245756972</v>
      </c>
      <c r="E10906" t="s">
        <v>22913</v>
      </c>
    </row>
    <row r="10907" spans="1:5" x14ac:dyDescent="0.25">
      <c r="A10907" t="s">
        <v>2</v>
      </c>
      <c r="B10907" t="s">
        <v>3458</v>
      </c>
      <c r="C10907" t="s">
        <v>23490</v>
      </c>
      <c r="D10907" t="str">
        <f>HYPERLINK("https://rhld.insurance.arkansas.gov/NPILookup?Npi=1245768696","1245768696")</f>
        <v>1245768696</v>
      </c>
      <c r="E10907" t="s">
        <v>17918</v>
      </c>
    </row>
    <row r="10908" spans="1:5" x14ac:dyDescent="0.25">
      <c r="A10908" t="s">
        <v>2</v>
      </c>
      <c r="B10908" t="s">
        <v>3458</v>
      </c>
      <c r="C10908" t="s">
        <v>23490</v>
      </c>
      <c r="D10908" t="str">
        <f>HYPERLINK("https://rhld.insurance.arkansas.gov/NPILookup?Npi=1245877224","1245877224")</f>
        <v>1245877224</v>
      </c>
      <c r="E10908" t="s">
        <v>19546</v>
      </c>
    </row>
    <row r="10909" spans="1:5" x14ac:dyDescent="0.25">
      <c r="A10909" t="s">
        <v>2</v>
      </c>
      <c r="B10909" t="s">
        <v>3458</v>
      </c>
      <c r="C10909" t="s">
        <v>23490</v>
      </c>
      <c r="D10909" t="str">
        <f>HYPERLINK("https://rhld.insurance.arkansas.gov/NPILookup?Npi=1245877794","1245877794")</f>
        <v>1245877794</v>
      </c>
      <c r="E10909" t="s">
        <v>17411</v>
      </c>
    </row>
    <row r="10910" spans="1:5" x14ac:dyDescent="0.25">
      <c r="A10910" t="s">
        <v>2</v>
      </c>
      <c r="B10910" t="s">
        <v>3458</v>
      </c>
      <c r="C10910" t="s">
        <v>23490</v>
      </c>
      <c r="D10910" t="str">
        <f>HYPERLINK("https://rhld.insurance.arkansas.gov/NPILookup?Npi=1245908292","1245908292")</f>
        <v>1245908292</v>
      </c>
      <c r="E10910" t="s">
        <v>18715</v>
      </c>
    </row>
    <row r="10911" spans="1:5" x14ac:dyDescent="0.25">
      <c r="A10911" t="s">
        <v>2</v>
      </c>
      <c r="B10911" t="s">
        <v>3458</v>
      </c>
      <c r="C10911" t="s">
        <v>23490</v>
      </c>
      <c r="D10911" t="str">
        <f>HYPERLINK("https://rhld.insurance.arkansas.gov/NPILookup?Npi=1245971621","1245971621")</f>
        <v>1245971621</v>
      </c>
      <c r="E10911" t="s">
        <v>19547</v>
      </c>
    </row>
    <row r="10912" spans="1:5" x14ac:dyDescent="0.25">
      <c r="A10912" t="s">
        <v>2</v>
      </c>
      <c r="B10912" t="s">
        <v>3458</v>
      </c>
      <c r="C10912" t="s">
        <v>23490</v>
      </c>
      <c r="D10912" t="str">
        <f>HYPERLINK("https://rhld.insurance.arkansas.gov/NPILookup?Npi=1255008843","1255008843")</f>
        <v>1255008843</v>
      </c>
      <c r="E10912" t="s">
        <v>19548</v>
      </c>
    </row>
    <row r="10913" spans="1:5" x14ac:dyDescent="0.25">
      <c r="A10913" t="s">
        <v>2</v>
      </c>
      <c r="B10913" t="s">
        <v>3458</v>
      </c>
      <c r="C10913" t="s">
        <v>23490</v>
      </c>
      <c r="D10913" t="str">
        <f>HYPERLINK("https://rhld.insurance.arkansas.gov/NPILookup?Npi=1255063160","1255063160")</f>
        <v>1255063160</v>
      </c>
      <c r="E10913" t="s">
        <v>20916</v>
      </c>
    </row>
    <row r="10914" spans="1:5" x14ac:dyDescent="0.25">
      <c r="A10914" t="s">
        <v>2</v>
      </c>
      <c r="B10914" t="s">
        <v>3458</v>
      </c>
      <c r="C10914" t="s">
        <v>23490</v>
      </c>
      <c r="D10914" t="str">
        <f>HYPERLINK("https://rhld.insurance.arkansas.gov/NPILookup?Npi=1255077160","1255077160")</f>
        <v>1255077160</v>
      </c>
      <c r="E10914" t="s">
        <v>20917</v>
      </c>
    </row>
    <row r="10915" spans="1:5" x14ac:dyDescent="0.25">
      <c r="A10915" t="s">
        <v>2</v>
      </c>
      <c r="B10915" t="s">
        <v>3458</v>
      </c>
      <c r="C10915" t="s">
        <v>23490</v>
      </c>
      <c r="D10915" t="str">
        <f>HYPERLINK("https://rhld.insurance.arkansas.gov/NPILookup?Npi=1255084042","1255084042")</f>
        <v>1255084042</v>
      </c>
      <c r="E10915" t="s">
        <v>19549</v>
      </c>
    </row>
    <row r="10916" spans="1:5" x14ac:dyDescent="0.25">
      <c r="A10916" t="s">
        <v>2</v>
      </c>
      <c r="B10916" t="s">
        <v>3458</v>
      </c>
      <c r="C10916" t="s">
        <v>23490</v>
      </c>
      <c r="D10916" t="str">
        <f>HYPERLINK("https://rhld.insurance.arkansas.gov/NPILookup?Npi=1255095956","1255095956")</f>
        <v>1255095956</v>
      </c>
      <c r="E10916" t="s">
        <v>19550</v>
      </c>
    </row>
    <row r="10917" spans="1:5" x14ac:dyDescent="0.25">
      <c r="A10917" t="s">
        <v>2</v>
      </c>
      <c r="B10917" t="s">
        <v>3458</v>
      </c>
      <c r="C10917" t="s">
        <v>23490</v>
      </c>
      <c r="D10917" t="str">
        <f>HYPERLINK("https://rhld.insurance.arkansas.gov/NPILookup?Npi=1255304564","1255304564")</f>
        <v>1255304564</v>
      </c>
      <c r="E10917" t="s">
        <v>14920</v>
      </c>
    </row>
    <row r="10918" spans="1:5" x14ac:dyDescent="0.25">
      <c r="A10918" t="s">
        <v>2</v>
      </c>
      <c r="B10918" t="s">
        <v>3458</v>
      </c>
      <c r="C10918" t="s">
        <v>23490</v>
      </c>
      <c r="D10918" t="str">
        <f>HYPERLINK("https://rhld.insurance.arkansas.gov/NPILookup?Npi=1255306502","1255306502")</f>
        <v>1255306502</v>
      </c>
      <c r="E10918" t="s">
        <v>899</v>
      </c>
    </row>
    <row r="10919" spans="1:5" x14ac:dyDescent="0.25">
      <c r="A10919" t="s">
        <v>2</v>
      </c>
      <c r="B10919" t="s">
        <v>3458</v>
      </c>
      <c r="C10919" t="s">
        <v>23490</v>
      </c>
      <c r="D10919" t="str">
        <f>HYPERLINK("https://rhld.insurance.arkansas.gov/NPILookup?Npi=1255307559","1255307559")</f>
        <v>1255307559</v>
      </c>
      <c r="E10919" t="s">
        <v>14921</v>
      </c>
    </row>
    <row r="10920" spans="1:5" x14ac:dyDescent="0.25">
      <c r="A10920" t="s">
        <v>2</v>
      </c>
      <c r="B10920" t="s">
        <v>3458</v>
      </c>
      <c r="C10920" t="s">
        <v>23490</v>
      </c>
      <c r="D10920" t="str">
        <f>HYPERLINK("https://rhld.insurance.arkansas.gov/NPILookup?Npi=1255310819","1255310819")</f>
        <v>1255310819</v>
      </c>
      <c r="E10920" t="s">
        <v>900</v>
      </c>
    </row>
    <row r="10921" spans="1:5" x14ac:dyDescent="0.25">
      <c r="A10921" t="s">
        <v>2</v>
      </c>
      <c r="B10921" t="s">
        <v>3458</v>
      </c>
      <c r="C10921" t="s">
        <v>23490</v>
      </c>
      <c r="D10921" t="str">
        <f>HYPERLINK("https://rhld.insurance.arkansas.gov/NPILookup?Npi=1255318093","1255318093")</f>
        <v>1255318093</v>
      </c>
      <c r="E10921" t="s">
        <v>901</v>
      </c>
    </row>
    <row r="10922" spans="1:5" x14ac:dyDescent="0.25">
      <c r="A10922" t="s">
        <v>2</v>
      </c>
      <c r="B10922" t="s">
        <v>3458</v>
      </c>
      <c r="C10922" t="s">
        <v>23490</v>
      </c>
      <c r="D10922" t="str">
        <f>HYPERLINK("https://rhld.insurance.arkansas.gov/NPILookup?Npi=1255323499","1255323499")</f>
        <v>1255323499</v>
      </c>
      <c r="E10922" t="s">
        <v>14922</v>
      </c>
    </row>
    <row r="10923" spans="1:5" x14ac:dyDescent="0.25">
      <c r="A10923" t="s">
        <v>2</v>
      </c>
      <c r="B10923" t="s">
        <v>3458</v>
      </c>
      <c r="C10923" t="s">
        <v>23490</v>
      </c>
      <c r="D10923" t="str">
        <f>HYPERLINK("https://rhld.insurance.arkansas.gov/NPILookup?Npi=1255325643","1255325643")</f>
        <v>1255325643</v>
      </c>
      <c r="E10923" t="s">
        <v>14923</v>
      </c>
    </row>
    <row r="10924" spans="1:5" x14ac:dyDescent="0.25">
      <c r="A10924" t="s">
        <v>2</v>
      </c>
      <c r="B10924" t="s">
        <v>3458</v>
      </c>
      <c r="C10924" t="s">
        <v>23490</v>
      </c>
      <c r="D10924" t="str">
        <f>HYPERLINK("https://rhld.insurance.arkansas.gov/NPILookup?Npi=1255338679","1255338679")</f>
        <v>1255338679</v>
      </c>
      <c r="E10924" t="s">
        <v>903</v>
      </c>
    </row>
    <row r="10925" spans="1:5" x14ac:dyDescent="0.25">
      <c r="A10925" t="s">
        <v>2</v>
      </c>
      <c r="B10925" t="s">
        <v>3458</v>
      </c>
      <c r="C10925" t="s">
        <v>23490</v>
      </c>
      <c r="D10925" t="str">
        <f>HYPERLINK("https://rhld.insurance.arkansas.gov/NPILookup?Npi=1255338943","1255338943")</f>
        <v>1255338943</v>
      </c>
      <c r="E10925" t="s">
        <v>904</v>
      </c>
    </row>
    <row r="10926" spans="1:5" x14ac:dyDescent="0.25">
      <c r="A10926" t="s">
        <v>2</v>
      </c>
      <c r="B10926" t="s">
        <v>3458</v>
      </c>
      <c r="C10926" t="s">
        <v>23490</v>
      </c>
      <c r="D10926" t="str">
        <f>HYPERLINK("https://rhld.insurance.arkansas.gov/NPILookup?Npi=1255355996","1255355996")</f>
        <v>1255355996</v>
      </c>
      <c r="E10926" t="s">
        <v>10777</v>
      </c>
    </row>
    <row r="10927" spans="1:5" x14ac:dyDescent="0.25">
      <c r="A10927" t="s">
        <v>2</v>
      </c>
      <c r="B10927" t="s">
        <v>3458</v>
      </c>
      <c r="C10927" t="s">
        <v>23490</v>
      </c>
      <c r="D10927" t="str">
        <f>HYPERLINK("https://rhld.insurance.arkansas.gov/NPILookup?Npi=1255360731","1255360731")</f>
        <v>1255360731</v>
      </c>
      <c r="E10927" t="s">
        <v>14924</v>
      </c>
    </row>
    <row r="10928" spans="1:5" x14ac:dyDescent="0.25">
      <c r="A10928" t="s">
        <v>2</v>
      </c>
      <c r="B10928" t="s">
        <v>3458</v>
      </c>
      <c r="C10928" t="s">
        <v>23490</v>
      </c>
      <c r="D10928" t="str">
        <f>HYPERLINK("https://rhld.insurance.arkansas.gov/NPILookup?Npi=1255369666","1255369666")</f>
        <v>1255369666</v>
      </c>
      <c r="E10928" t="s">
        <v>907</v>
      </c>
    </row>
    <row r="10929" spans="1:5" x14ac:dyDescent="0.25">
      <c r="A10929" t="s">
        <v>2</v>
      </c>
      <c r="B10929" t="s">
        <v>3458</v>
      </c>
      <c r="C10929" t="s">
        <v>23490</v>
      </c>
      <c r="D10929" t="str">
        <f>HYPERLINK("https://rhld.insurance.arkansas.gov/NPILookup?Npi=1255376786","1255376786")</f>
        <v>1255376786</v>
      </c>
      <c r="E10929" t="s">
        <v>908</v>
      </c>
    </row>
    <row r="10930" spans="1:5" x14ac:dyDescent="0.25">
      <c r="A10930" t="s">
        <v>2</v>
      </c>
      <c r="B10930" t="s">
        <v>3458</v>
      </c>
      <c r="C10930" t="s">
        <v>23490</v>
      </c>
      <c r="D10930" t="str">
        <f>HYPERLINK("https://rhld.insurance.arkansas.gov/NPILookup?Npi=1255397006","1255397006")</f>
        <v>1255397006</v>
      </c>
      <c r="E10930" t="s">
        <v>911</v>
      </c>
    </row>
    <row r="10931" spans="1:5" x14ac:dyDescent="0.25">
      <c r="A10931" t="s">
        <v>2</v>
      </c>
      <c r="B10931" t="s">
        <v>3458</v>
      </c>
      <c r="C10931" t="s">
        <v>23490</v>
      </c>
      <c r="D10931" t="str">
        <f>HYPERLINK("https://rhld.insurance.arkansas.gov/NPILookup?Npi=1255398400","1255398400")</f>
        <v>1255398400</v>
      </c>
      <c r="E10931" t="s">
        <v>912</v>
      </c>
    </row>
    <row r="10932" spans="1:5" x14ac:dyDescent="0.25">
      <c r="A10932" t="s">
        <v>2</v>
      </c>
      <c r="B10932" t="s">
        <v>3458</v>
      </c>
      <c r="C10932" t="s">
        <v>23490</v>
      </c>
      <c r="D10932" t="str">
        <f>HYPERLINK("https://rhld.insurance.arkansas.gov/NPILookup?Npi=1255398897","1255398897")</f>
        <v>1255398897</v>
      </c>
      <c r="E10932" t="s">
        <v>913</v>
      </c>
    </row>
    <row r="10933" spans="1:5" x14ac:dyDescent="0.25">
      <c r="A10933" t="s">
        <v>2</v>
      </c>
      <c r="B10933" t="s">
        <v>3458</v>
      </c>
      <c r="C10933" t="s">
        <v>23490</v>
      </c>
      <c r="D10933" t="str">
        <f>HYPERLINK("https://rhld.insurance.arkansas.gov/NPILookup?Npi=1255402897","1255402897")</f>
        <v>1255402897</v>
      </c>
      <c r="E10933" t="s">
        <v>14925</v>
      </c>
    </row>
    <row r="10934" spans="1:5" x14ac:dyDescent="0.25">
      <c r="A10934" t="s">
        <v>2</v>
      </c>
      <c r="B10934" t="s">
        <v>3458</v>
      </c>
      <c r="C10934" t="s">
        <v>23490</v>
      </c>
      <c r="D10934" t="str">
        <f>HYPERLINK("https://rhld.insurance.arkansas.gov/NPILookup?Npi=1255405379","1255405379")</f>
        <v>1255405379</v>
      </c>
      <c r="E10934" t="s">
        <v>914</v>
      </c>
    </row>
    <row r="10935" spans="1:5" x14ac:dyDescent="0.25">
      <c r="A10935" t="s">
        <v>2</v>
      </c>
      <c r="B10935" t="s">
        <v>3458</v>
      </c>
      <c r="C10935" t="s">
        <v>23490</v>
      </c>
      <c r="D10935" t="str">
        <f>HYPERLINK("https://rhld.insurance.arkansas.gov/NPILookup?Npi=1255411989","1255411989")</f>
        <v>1255411989</v>
      </c>
      <c r="E10935" t="s">
        <v>14926</v>
      </c>
    </row>
    <row r="10936" spans="1:5" x14ac:dyDescent="0.25">
      <c r="A10936" t="s">
        <v>2</v>
      </c>
      <c r="B10936" t="s">
        <v>3458</v>
      </c>
      <c r="C10936" t="s">
        <v>23490</v>
      </c>
      <c r="D10936" t="str">
        <f>HYPERLINK("https://rhld.insurance.arkansas.gov/NPILookup?Npi=1255412417","1255412417")</f>
        <v>1255412417</v>
      </c>
      <c r="E10936" t="s">
        <v>915</v>
      </c>
    </row>
    <row r="10937" spans="1:5" x14ac:dyDescent="0.25">
      <c r="A10937" t="s">
        <v>2</v>
      </c>
      <c r="B10937" t="s">
        <v>3458</v>
      </c>
      <c r="C10937" t="s">
        <v>23490</v>
      </c>
      <c r="D10937" t="str">
        <f>HYPERLINK("https://rhld.insurance.arkansas.gov/NPILookup?Npi=1255413092","1255413092")</f>
        <v>1255413092</v>
      </c>
      <c r="E10937" t="s">
        <v>916</v>
      </c>
    </row>
    <row r="10938" spans="1:5" x14ac:dyDescent="0.25">
      <c r="A10938" t="s">
        <v>2</v>
      </c>
      <c r="B10938" t="s">
        <v>3458</v>
      </c>
      <c r="C10938" t="s">
        <v>23490</v>
      </c>
      <c r="D10938" t="str">
        <f>HYPERLINK("https://rhld.insurance.arkansas.gov/NPILookup?Npi=1255436549","1255436549")</f>
        <v>1255436549</v>
      </c>
      <c r="E10938" t="s">
        <v>19551</v>
      </c>
    </row>
    <row r="10939" spans="1:5" x14ac:dyDescent="0.25">
      <c r="A10939" t="s">
        <v>2</v>
      </c>
      <c r="B10939" t="s">
        <v>3458</v>
      </c>
      <c r="C10939" t="s">
        <v>23490</v>
      </c>
      <c r="D10939" t="str">
        <f>HYPERLINK("https://rhld.insurance.arkansas.gov/NPILookup?Npi=1255449245","1255449245")</f>
        <v>1255449245</v>
      </c>
      <c r="E10939" t="s">
        <v>8567</v>
      </c>
    </row>
    <row r="10940" spans="1:5" x14ac:dyDescent="0.25">
      <c r="A10940" t="s">
        <v>2</v>
      </c>
      <c r="B10940" t="s">
        <v>3458</v>
      </c>
      <c r="C10940" t="s">
        <v>23490</v>
      </c>
      <c r="D10940" t="str">
        <f>HYPERLINK("https://rhld.insurance.arkansas.gov/NPILookup?Npi=1255473088","1255473088")</f>
        <v>1255473088</v>
      </c>
      <c r="E10940" t="s">
        <v>15828</v>
      </c>
    </row>
    <row r="10941" spans="1:5" x14ac:dyDescent="0.25">
      <c r="A10941" t="s">
        <v>2</v>
      </c>
      <c r="B10941" t="s">
        <v>3458</v>
      </c>
      <c r="C10941" t="s">
        <v>23490</v>
      </c>
      <c r="D10941" t="str">
        <f>HYPERLINK("https://rhld.insurance.arkansas.gov/NPILookup?Npi=1255507877","1255507877")</f>
        <v>1255507877</v>
      </c>
      <c r="E10941" t="s">
        <v>10778</v>
      </c>
    </row>
    <row r="10942" spans="1:5" x14ac:dyDescent="0.25">
      <c r="A10942" t="s">
        <v>2</v>
      </c>
      <c r="B10942" t="s">
        <v>3458</v>
      </c>
      <c r="C10942" t="s">
        <v>23490</v>
      </c>
      <c r="D10942" t="str">
        <f>HYPERLINK("https://rhld.insurance.arkansas.gov/NPILookup?Npi=1255517066","1255517066")</f>
        <v>1255517066</v>
      </c>
      <c r="E10942" t="s">
        <v>918</v>
      </c>
    </row>
    <row r="10943" spans="1:5" x14ac:dyDescent="0.25">
      <c r="A10943" t="s">
        <v>2</v>
      </c>
      <c r="B10943" t="s">
        <v>3458</v>
      </c>
      <c r="C10943" t="s">
        <v>23490</v>
      </c>
      <c r="D10943" t="str">
        <f>HYPERLINK("https://rhld.insurance.arkansas.gov/NPILookup?Npi=1255546974","1255546974")</f>
        <v>1255546974</v>
      </c>
      <c r="E10943" t="s">
        <v>919</v>
      </c>
    </row>
    <row r="10944" spans="1:5" x14ac:dyDescent="0.25">
      <c r="A10944" t="s">
        <v>2</v>
      </c>
      <c r="B10944" t="s">
        <v>3458</v>
      </c>
      <c r="C10944" t="s">
        <v>23490</v>
      </c>
      <c r="D10944" t="str">
        <f>HYPERLINK("https://rhld.insurance.arkansas.gov/NPILookup?Npi=1255549598","1255549598")</f>
        <v>1255549598</v>
      </c>
      <c r="E10944" t="s">
        <v>8568</v>
      </c>
    </row>
    <row r="10945" spans="1:5" x14ac:dyDescent="0.25">
      <c r="A10945" t="s">
        <v>2</v>
      </c>
      <c r="B10945" t="s">
        <v>3458</v>
      </c>
      <c r="C10945" t="s">
        <v>23490</v>
      </c>
      <c r="D10945" t="str">
        <f>HYPERLINK("https://rhld.insurance.arkansas.gov/NPILookup?Npi=1255562856","1255562856")</f>
        <v>1255562856</v>
      </c>
      <c r="E10945" t="s">
        <v>12805</v>
      </c>
    </row>
    <row r="10946" spans="1:5" x14ac:dyDescent="0.25">
      <c r="A10946" t="s">
        <v>2</v>
      </c>
      <c r="B10946" t="s">
        <v>3458</v>
      </c>
      <c r="C10946" t="s">
        <v>23490</v>
      </c>
      <c r="D10946" t="str">
        <f>HYPERLINK("https://rhld.insurance.arkansas.gov/NPILookup?Npi=1255584637","1255584637")</f>
        <v>1255584637</v>
      </c>
      <c r="E10946" t="s">
        <v>16904</v>
      </c>
    </row>
    <row r="10947" spans="1:5" x14ac:dyDescent="0.25">
      <c r="A10947" t="s">
        <v>2</v>
      </c>
      <c r="B10947" t="s">
        <v>3458</v>
      </c>
      <c r="C10947" t="s">
        <v>23490</v>
      </c>
      <c r="D10947" t="str">
        <f>HYPERLINK("https://rhld.insurance.arkansas.gov/NPILookup?Npi=1255612081","1255612081")</f>
        <v>1255612081</v>
      </c>
      <c r="E10947" t="s">
        <v>14927</v>
      </c>
    </row>
    <row r="10948" spans="1:5" x14ac:dyDescent="0.25">
      <c r="A10948" t="s">
        <v>2</v>
      </c>
      <c r="B10948" t="s">
        <v>3458</v>
      </c>
      <c r="C10948" t="s">
        <v>23490</v>
      </c>
      <c r="D10948" t="str">
        <f>HYPERLINK("https://rhld.insurance.arkansas.gov/NPILookup?Npi=1255615951","1255615951")</f>
        <v>1255615951</v>
      </c>
      <c r="E10948" t="s">
        <v>17920</v>
      </c>
    </row>
    <row r="10949" spans="1:5" x14ac:dyDescent="0.25">
      <c r="A10949" t="s">
        <v>2</v>
      </c>
      <c r="B10949" t="s">
        <v>3458</v>
      </c>
      <c r="C10949" t="s">
        <v>23490</v>
      </c>
      <c r="D10949" t="str">
        <f>HYPERLINK("https://rhld.insurance.arkansas.gov/NPILookup?Npi=1255626602","1255626602")</f>
        <v>1255626602</v>
      </c>
      <c r="E10949" t="s">
        <v>13436</v>
      </c>
    </row>
    <row r="10950" spans="1:5" x14ac:dyDescent="0.25">
      <c r="A10950" t="s">
        <v>2</v>
      </c>
      <c r="B10950" t="s">
        <v>3458</v>
      </c>
      <c r="C10950" t="s">
        <v>23490</v>
      </c>
      <c r="D10950" t="str">
        <f>HYPERLINK("https://rhld.insurance.arkansas.gov/NPILookup?Npi=1255627212","1255627212")</f>
        <v>1255627212</v>
      </c>
      <c r="E10950" t="s">
        <v>3608</v>
      </c>
    </row>
    <row r="10951" spans="1:5" x14ac:dyDescent="0.25">
      <c r="A10951" t="s">
        <v>2</v>
      </c>
      <c r="B10951" t="s">
        <v>3458</v>
      </c>
      <c r="C10951" t="s">
        <v>23490</v>
      </c>
      <c r="D10951" t="str">
        <f>HYPERLINK("https://rhld.insurance.arkansas.gov/NPILookup?Npi=1255635801","1255635801")</f>
        <v>1255635801</v>
      </c>
      <c r="E10951" t="s">
        <v>13437</v>
      </c>
    </row>
    <row r="10952" spans="1:5" x14ac:dyDescent="0.25">
      <c r="A10952" t="s">
        <v>2</v>
      </c>
      <c r="B10952" t="s">
        <v>3458</v>
      </c>
      <c r="C10952" t="s">
        <v>23490</v>
      </c>
      <c r="D10952" t="str">
        <f>HYPERLINK("https://rhld.insurance.arkansas.gov/NPILookup?Npi=1255670782","1255670782")</f>
        <v>1255670782</v>
      </c>
      <c r="E10952" t="s">
        <v>921</v>
      </c>
    </row>
    <row r="10953" spans="1:5" x14ac:dyDescent="0.25">
      <c r="A10953" t="s">
        <v>2</v>
      </c>
      <c r="B10953" t="s">
        <v>3458</v>
      </c>
      <c r="C10953" t="s">
        <v>23490</v>
      </c>
      <c r="D10953" t="str">
        <f>HYPERLINK("https://rhld.insurance.arkansas.gov/NPILookup?Npi=1255688016","1255688016")</f>
        <v>1255688016</v>
      </c>
      <c r="E10953" t="s">
        <v>922</v>
      </c>
    </row>
    <row r="10954" spans="1:5" x14ac:dyDescent="0.25">
      <c r="A10954" t="s">
        <v>2</v>
      </c>
      <c r="B10954" t="s">
        <v>3458</v>
      </c>
      <c r="C10954" t="s">
        <v>8427</v>
      </c>
      <c r="D10954" t="str">
        <f>HYPERLINK("https://rhld.insurance.arkansas.gov/NPILookup?Npi=1255710885","1255710885")</f>
        <v>1255710885</v>
      </c>
      <c r="E10954" t="s">
        <v>22914</v>
      </c>
    </row>
    <row r="10955" spans="1:5" x14ac:dyDescent="0.25">
      <c r="A10955" t="s">
        <v>2</v>
      </c>
      <c r="B10955" t="s">
        <v>3458</v>
      </c>
      <c r="C10955" t="s">
        <v>23490</v>
      </c>
      <c r="D10955" t="str">
        <f>HYPERLINK("https://rhld.insurance.arkansas.gov/NPILookup?Npi=1255713954","1255713954")</f>
        <v>1255713954</v>
      </c>
      <c r="E10955" t="s">
        <v>21726</v>
      </c>
    </row>
    <row r="10956" spans="1:5" x14ac:dyDescent="0.25">
      <c r="A10956" t="s">
        <v>2</v>
      </c>
      <c r="B10956" t="s">
        <v>3458</v>
      </c>
      <c r="C10956" t="s">
        <v>23490</v>
      </c>
      <c r="D10956" t="str">
        <f>HYPERLINK("https://rhld.insurance.arkansas.gov/NPILookup?Npi=1255715348","1255715348")</f>
        <v>1255715348</v>
      </c>
      <c r="E10956" t="s">
        <v>19552</v>
      </c>
    </row>
    <row r="10957" spans="1:5" x14ac:dyDescent="0.25">
      <c r="A10957" t="s">
        <v>2</v>
      </c>
      <c r="B10957" t="s">
        <v>3458</v>
      </c>
      <c r="C10957" t="s">
        <v>23490</v>
      </c>
      <c r="D10957" t="str">
        <f>HYPERLINK("https://rhld.insurance.arkansas.gov/NPILookup?Npi=1255726097","1255726097")</f>
        <v>1255726097</v>
      </c>
      <c r="E10957" t="s">
        <v>13837</v>
      </c>
    </row>
    <row r="10958" spans="1:5" x14ac:dyDescent="0.25">
      <c r="A10958" t="s">
        <v>2</v>
      </c>
      <c r="B10958" t="s">
        <v>3458</v>
      </c>
      <c r="C10958" t="s">
        <v>23490</v>
      </c>
      <c r="D10958" t="str">
        <f>HYPERLINK("https://rhld.insurance.arkansas.gov/NPILookup?Npi=1255727756","1255727756")</f>
        <v>1255727756</v>
      </c>
      <c r="E10958" t="s">
        <v>21415</v>
      </c>
    </row>
    <row r="10959" spans="1:5" x14ac:dyDescent="0.25">
      <c r="A10959" t="s">
        <v>2</v>
      </c>
      <c r="B10959" t="s">
        <v>3458</v>
      </c>
      <c r="C10959" t="s">
        <v>23490</v>
      </c>
      <c r="D10959" t="str">
        <f>HYPERLINK("https://rhld.insurance.arkansas.gov/NPILookup?Npi=1255730107","1255730107")</f>
        <v>1255730107</v>
      </c>
      <c r="E10959" t="s">
        <v>923</v>
      </c>
    </row>
    <row r="10960" spans="1:5" x14ac:dyDescent="0.25">
      <c r="A10960" t="s">
        <v>2</v>
      </c>
      <c r="B10960" t="s">
        <v>3458</v>
      </c>
      <c r="C10960" t="s">
        <v>23490</v>
      </c>
      <c r="D10960" t="str">
        <f>HYPERLINK("https://rhld.insurance.arkansas.gov/NPILookup?Npi=1255746491","1255746491")</f>
        <v>1255746491</v>
      </c>
      <c r="E10960" t="s">
        <v>8569</v>
      </c>
    </row>
    <row r="10961" spans="1:5" x14ac:dyDescent="0.25">
      <c r="A10961" t="s">
        <v>2</v>
      </c>
      <c r="B10961" t="s">
        <v>3458</v>
      </c>
      <c r="C10961" t="s">
        <v>23490</v>
      </c>
      <c r="D10961" t="str">
        <f>HYPERLINK("https://rhld.insurance.arkansas.gov/NPILookup?Npi=1255755260","1255755260")</f>
        <v>1255755260</v>
      </c>
      <c r="E10961" t="s">
        <v>8570</v>
      </c>
    </row>
    <row r="10962" spans="1:5" x14ac:dyDescent="0.25">
      <c r="A10962" t="s">
        <v>2</v>
      </c>
      <c r="B10962" t="s">
        <v>3458</v>
      </c>
      <c r="C10962" t="s">
        <v>23490</v>
      </c>
      <c r="D10962" t="str">
        <f>HYPERLINK("https://rhld.insurance.arkansas.gov/NPILookup?Npi=1255767828","1255767828")</f>
        <v>1255767828</v>
      </c>
      <c r="E10962" t="s">
        <v>924</v>
      </c>
    </row>
    <row r="10963" spans="1:5" x14ac:dyDescent="0.25">
      <c r="A10963" t="s">
        <v>2</v>
      </c>
      <c r="B10963" t="s">
        <v>3458</v>
      </c>
      <c r="C10963" t="s">
        <v>23490</v>
      </c>
      <c r="D10963" t="str">
        <f>HYPERLINK("https://rhld.insurance.arkansas.gov/NPILookup?Npi=1255768263","1255768263")</f>
        <v>1255768263</v>
      </c>
      <c r="E10963" t="s">
        <v>14928</v>
      </c>
    </row>
    <row r="10964" spans="1:5" x14ac:dyDescent="0.25">
      <c r="A10964" t="s">
        <v>2</v>
      </c>
      <c r="B10964" t="s">
        <v>3458</v>
      </c>
      <c r="C10964" t="s">
        <v>8427</v>
      </c>
      <c r="D10964" t="str">
        <f>HYPERLINK("https://rhld.insurance.arkansas.gov/NPILookup?Npi=1255781555","1255781555")</f>
        <v>1255781555</v>
      </c>
      <c r="E10964" t="s">
        <v>22915</v>
      </c>
    </row>
    <row r="10965" spans="1:5" x14ac:dyDescent="0.25">
      <c r="A10965" t="s">
        <v>2</v>
      </c>
      <c r="B10965" t="s">
        <v>3458</v>
      </c>
      <c r="C10965" t="s">
        <v>23490</v>
      </c>
      <c r="D10965" t="str">
        <f>HYPERLINK("https://rhld.insurance.arkansas.gov/NPILookup?Npi=1255790135","1255790135")</f>
        <v>1255790135</v>
      </c>
      <c r="E10965" t="s">
        <v>8571</v>
      </c>
    </row>
    <row r="10966" spans="1:5" x14ac:dyDescent="0.25">
      <c r="A10966" t="s">
        <v>2</v>
      </c>
      <c r="B10966" t="s">
        <v>3458</v>
      </c>
      <c r="C10966" t="s">
        <v>23490</v>
      </c>
      <c r="D10966" t="str">
        <f>HYPERLINK("https://rhld.insurance.arkansas.gov/NPILookup?Npi=1255790531","1255790531")</f>
        <v>1255790531</v>
      </c>
      <c r="E10966" t="s">
        <v>8572</v>
      </c>
    </row>
    <row r="10967" spans="1:5" x14ac:dyDescent="0.25">
      <c r="A10967" t="s">
        <v>2</v>
      </c>
      <c r="B10967" t="s">
        <v>3458</v>
      </c>
      <c r="C10967" t="s">
        <v>23490</v>
      </c>
      <c r="D10967" t="str">
        <f>HYPERLINK("https://rhld.insurance.arkansas.gov/NPILookup?Npi=1255797627","1255797627")</f>
        <v>1255797627</v>
      </c>
      <c r="E10967" t="s">
        <v>13438</v>
      </c>
    </row>
    <row r="10968" spans="1:5" x14ac:dyDescent="0.25">
      <c r="A10968" t="s">
        <v>2</v>
      </c>
      <c r="B10968" t="s">
        <v>3458</v>
      </c>
      <c r="C10968" t="s">
        <v>23490</v>
      </c>
      <c r="D10968" t="str">
        <f>HYPERLINK("https://rhld.insurance.arkansas.gov/NPILookup?Npi=1255803946","1255803946")</f>
        <v>1255803946</v>
      </c>
      <c r="E10968" t="s">
        <v>13439</v>
      </c>
    </row>
    <row r="10969" spans="1:5" x14ac:dyDescent="0.25">
      <c r="A10969" t="s">
        <v>2</v>
      </c>
      <c r="B10969" t="s">
        <v>3458</v>
      </c>
      <c r="C10969" t="s">
        <v>23490</v>
      </c>
      <c r="D10969" t="str">
        <f>HYPERLINK("https://rhld.insurance.arkansas.gov/NPILookup?Npi=1255816062","1255816062")</f>
        <v>1255816062</v>
      </c>
      <c r="E10969" t="s">
        <v>19553</v>
      </c>
    </row>
    <row r="10970" spans="1:5" x14ac:dyDescent="0.25">
      <c r="A10970" t="s">
        <v>2</v>
      </c>
      <c r="B10970" t="s">
        <v>3458</v>
      </c>
      <c r="C10970" t="s">
        <v>23490</v>
      </c>
      <c r="D10970" t="str">
        <f>HYPERLINK("https://rhld.insurance.arkansas.gov/NPILookup?Npi=1255835898","1255835898")</f>
        <v>1255835898</v>
      </c>
      <c r="E10970" t="s">
        <v>18716</v>
      </c>
    </row>
    <row r="10971" spans="1:5" x14ac:dyDescent="0.25">
      <c r="A10971" t="s">
        <v>2</v>
      </c>
      <c r="B10971" t="s">
        <v>3458</v>
      </c>
      <c r="C10971" t="s">
        <v>23490</v>
      </c>
      <c r="D10971" t="str">
        <f>HYPERLINK("https://rhld.insurance.arkansas.gov/NPILookup?Npi=1255837241","1255837241")</f>
        <v>1255837241</v>
      </c>
      <c r="E10971" t="s">
        <v>18920</v>
      </c>
    </row>
    <row r="10972" spans="1:5" x14ac:dyDescent="0.25">
      <c r="A10972" t="s">
        <v>2</v>
      </c>
      <c r="B10972" t="s">
        <v>3458</v>
      </c>
      <c r="C10972" t="s">
        <v>23490</v>
      </c>
      <c r="D10972" t="str">
        <f>HYPERLINK("https://rhld.insurance.arkansas.gov/NPILookup?Npi=1255839858","1255839858")</f>
        <v>1255839858</v>
      </c>
      <c r="E10972" t="s">
        <v>10830</v>
      </c>
    </row>
    <row r="10973" spans="1:5" x14ac:dyDescent="0.25">
      <c r="A10973" t="s">
        <v>2</v>
      </c>
      <c r="B10973" t="s">
        <v>3458</v>
      </c>
      <c r="C10973" t="s">
        <v>23490</v>
      </c>
      <c r="D10973" t="str">
        <f>HYPERLINK("https://rhld.insurance.arkansas.gov/NPILookup?Npi=1255844429","1255844429")</f>
        <v>1255844429</v>
      </c>
      <c r="E10973" t="s">
        <v>14930</v>
      </c>
    </row>
    <row r="10974" spans="1:5" x14ac:dyDescent="0.25">
      <c r="A10974" t="s">
        <v>2</v>
      </c>
      <c r="B10974" t="s">
        <v>3458</v>
      </c>
      <c r="C10974" t="s">
        <v>23490</v>
      </c>
      <c r="D10974" t="str">
        <f>HYPERLINK("https://rhld.insurance.arkansas.gov/NPILookup?Npi=1255851515","1255851515")</f>
        <v>1255851515</v>
      </c>
      <c r="E10974" t="s">
        <v>10779</v>
      </c>
    </row>
    <row r="10975" spans="1:5" x14ac:dyDescent="0.25">
      <c r="A10975" t="s">
        <v>2</v>
      </c>
      <c r="B10975" t="s">
        <v>3458</v>
      </c>
      <c r="C10975" t="s">
        <v>23490</v>
      </c>
      <c r="D10975" t="str">
        <f>HYPERLINK("https://rhld.insurance.arkansas.gov/NPILookup?Npi=1255887550","1255887550")</f>
        <v>1255887550</v>
      </c>
      <c r="E10975" t="s">
        <v>10780</v>
      </c>
    </row>
    <row r="10976" spans="1:5" x14ac:dyDescent="0.25">
      <c r="A10976" t="s">
        <v>2</v>
      </c>
      <c r="B10976" t="s">
        <v>3458</v>
      </c>
      <c r="C10976" t="s">
        <v>23490</v>
      </c>
      <c r="D10976" t="str">
        <f>HYPERLINK("https://rhld.insurance.arkansas.gov/NPILookup?Npi=1255892527","1255892527")</f>
        <v>1255892527</v>
      </c>
      <c r="E10976" t="s">
        <v>17921</v>
      </c>
    </row>
    <row r="10977" spans="1:5" x14ac:dyDescent="0.25">
      <c r="A10977" t="s">
        <v>2</v>
      </c>
      <c r="B10977" t="s">
        <v>3458</v>
      </c>
      <c r="C10977" t="s">
        <v>23490</v>
      </c>
      <c r="D10977" t="str">
        <f>HYPERLINK("https://rhld.insurance.arkansas.gov/NPILookup?Npi=1255901963","1255901963")</f>
        <v>1255901963</v>
      </c>
      <c r="E10977" t="s">
        <v>19554</v>
      </c>
    </row>
    <row r="10978" spans="1:5" x14ac:dyDescent="0.25">
      <c r="A10978" t="s">
        <v>2</v>
      </c>
      <c r="B10978" t="s">
        <v>3458</v>
      </c>
      <c r="C10978" t="s">
        <v>23490</v>
      </c>
      <c r="D10978" t="str">
        <f>HYPERLINK("https://rhld.insurance.arkansas.gov/NPILookup?Npi=1255902581","1255902581")</f>
        <v>1255902581</v>
      </c>
      <c r="E10978" t="s">
        <v>18717</v>
      </c>
    </row>
    <row r="10979" spans="1:5" x14ac:dyDescent="0.25">
      <c r="A10979" t="s">
        <v>2</v>
      </c>
      <c r="B10979" t="s">
        <v>3458</v>
      </c>
      <c r="C10979" t="s">
        <v>23490</v>
      </c>
      <c r="D10979" t="str">
        <f>HYPERLINK("https://rhld.insurance.arkansas.gov/NPILookup?Npi=1255907705","1255907705")</f>
        <v>1255907705</v>
      </c>
      <c r="E10979" t="s">
        <v>18718</v>
      </c>
    </row>
    <row r="10980" spans="1:5" x14ac:dyDescent="0.25">
      <c r="A10980" t="s">
        <v>2</v>
      </c>
      <c r="B10980" t="s">
        <v>3458</v>
      </c>
      <c r="C10980" t="s">
        <v>23490</v>
      </c>
      <c r="D10980" t="str">
        <f>HYPERLINK("https://rhld.insurance.arkansas.gov/NPILookup?Npi=1255908455","1255908455")</f>
        <v>1255908455</v>
      </c>
      <c r="E10980" t="s">
        <v>18719</v>
      </c>
    </row>
    <row r="10981" spans="1:5" x14ac:dyDescent="0.25">
      <c r="A10981" t="s">
        <v>2</v>
      </c>
      <c r="B10981" t="s">
        <v>3458</v>
      </c>
      <c r="C10981" t="s">
        <v>23490</v>
      </c>
      <c r="D10981" t="str">
        <f>HYPERLINK("https://rhld.insurance.arkansas.gov/NPILookup?Npi=1255912127","1255912127")</f>
        <v>1255912127</v>
      </c>
      <c r="E10981" t="s">
        <v>22916</v>
      </c>
    </row>
    <row r="10982" spans="1:5" x14ac:dyDescent="0.25">
      <c r="A10982" t="s">
        <v>2</v>
      </c>
      <c r="B10982" t="s">
        <v>3458</v>
      </c>
      <c r="C10982" t="s">
        <v>8427</v>
      </c>
      <c r="D10982" t="str">
        <f>HYPERLINK("https://rhld.insurance.arkansas.gov/NPILookup?Npi=1255918157","1255918157")</f>
        <v>1255918157</v>
      </c>
      <c r="E10982" t="s">
        <v>21506</v>
      </c>
    </row>
    <row r="10983" spans="1:5" x14ac:dyDescent="0.25">
      <c r="A10983" t="s">
        <v>2</v>
      </c>
      <c r="B10983" t="s">
        <v>3458</v>
      </c>
      <c r="C10983" t="s">
        <v>23490</v>
      </c>
      <c r="D10983" t="str">
        <f>HYPERLINK("https://rhld.insurance.arkansas.gov/NPILookup?Npi=1265002513","1265002513")</f>
        <v>1265002513</v>
      </c>
      <c r="E10983" t="s">
        <v>18720</v>
      </c>
    </row>
    <row r="10984" spans="1:5" x14ac:dyDescent="0.25">
      <c r="A10984" t="s">
        <v>2</v>
      </c>
      <c r="B10984" t="s">
        <v>3458</v>
      </c>
      <c r="C10984" t="s">
        <v>23490</v>
      </c>
      <c r="D10984" t="str">
        <f>HYPERLINK("https://rhld.insurance.arkansas.gov/NPILookup?Npi=1265002554","1265002554")</f>
        <v>1265002554</v>
      </c>
      <c r="E10984" t="s">
        <v>18721</v>
      </c>
    </row>
    <row r="10985" spans="1:5" x14ac:dyDescent="0.25">
      <c r="A10985" t="s">
        <v>2</v>
      </c>
      <c r="B10985" t="s">
        <v>3458</v>
      </c>
      <c r="C10985" t="s">
        <v>23490</v>
      </c>
      <c r="D10985" t="str">
        <f>HYPERLINK("https://rhld.insurance.arkansas.gov/NPILookup?Npi=1265003180","1265003180")</f>
        <v>1265003180</v>
      </c>
      <c r="E10985" t="s">
        <v>18722</v>
      </c>
    </row>
    <row r="10986" spans="1:5" x14ac:dyDescent="0.25">
      <c r="A10986" t="s">
        <v>2</v>
      </c>
      <c r="B10986" t="s">
        <v>3458</v>
      </c>
      <c r="C10986" t="s">
        <v>23490</v>
      </c>
      <c r="D10986" t="str">
        <f>HYPERLINK("https://rhld.insurance.arkansas.gov/NPILookup?Npi=1265004550","1265004550")</f>
        <v>1265004550</v>
      </c>
      <c r="E10986" t="s">
        <v>19558</v>
      </c>
    </row>
    <row r="10987" spans="1:5" x14ac:dyDescent="0.25">
      <c r="A10987" t="s">
        <v>2</v>
      </c>
      <c r="B10987" t="s">
        <v>3458</v>
      </c>
      <c r="C10987" t="s">
        <v>23490</v>
      </c>
      <c r="D10987" t="str">
        <f>HYPERLINK("https://rhld.insurance.arkansas.gov/NPILookup?Npi=1265038848","1265038848")</f>
        <v>1265038848</v>
      </c>
      <c r="E10987" t="s">
        <v>17922</v>
      </c>
    </row>
    <row r="10988" spans="1:5" x14ac:dyDescent="0.25">
      <c r="A10988" t="s">
        <v>2</v>
      </c>
      <c r="B10988" t="s">
        <v>3458</v>
      </c>
      <c r="C10988" t="s">
        <v>23490</v>
      </c>
      <c r="D10988" t="str">
        <f>HYPERLINK("https://rhld.insurance.arkansas.gov/NPILookup?Npi=1265057129","1265057129")</f>
        <v>1265057129</v>
      </c>
      <c r="E10988" t="s">
        <v>17329</v>
      </c>
    </row>
    <row r="10989" spans="1:5" x14ac:dyDescent="0.25">
      <c r="A10989" t="s">
        <v>2</v>
      </c>
      <c r="B10989" t="s">
        <v>3458</v>
      </c>
      <c r="C10989" t="s">
        <v>23490</v>
      </c>
      <c r="D10989" t="str">
        <f>HYPERLINK("https://rhld.insurance.arkansas.gov/NPILookup?Npi=1265095277","1265095277")</f>
        <v>1265095277</v>
      </c>
      <c r="E10989" t="s">
        <v>14932</v>
      </c>
    </row>
    <row r="10990" spans="1:5" x14ac:dyDescent="0.25">
      <c r="A10990" t="s">
        <v>2</v>
      </c>
      <c r="B10990" t="s">
        <v>3458</v>
      </c>
      <c r="C10990" t="s">
        <v>23490</v>
      </c>
      <c r="D10990" t="str">
        <f>HYPERLINK("https://rhld.insurance.arkansas.gov/NPILookup?Npi=1265100093","1265100093")</f>
        <v>1265100093</v>
      </c>
      <c r="E10990" t="s">
        <v>18723</v>
      </c>
    </row>
    <row r="10991" spans="1:5" x14ac:dyDescent="0.25">
      <c r="A10991" t="s">
        <v>2</v>
      </c>
      <c r="B10991" t="s">
        <v>3458</v>
      </c>
      <c r="C10991" t="s">
        <v>23490</v>
      </c>
      <c r="D10991" t="str">
        <f>HYPERLINK("https://rhld.insurance.arkansas.gov/NPILookup?Npi=1265102859","1265102859")</f>
        <v>1265102859</v>
      </c>
      <c r="E10991" t="s">
        <v>18724</v>
      </c>
    </row>
    <row r="10992" spans="1:5" x14ac:dyDescent="0.25">
      <c r="A10992" t="s">
        <v>2</v>
      </c>
      <c r="B10992" t="s">
        <v>3458</v>
      </c>
      <c r="C10992" t="s">
        <v>23490</v>
      </c>
      <c r="D10992" t="str">
        <f>HYPERLINK("https://rhld.insurance.arkansas.gov/NPILookup?Npi=1265194914","1265194914")</f>
        <v>1265194914</v>
      </c>
      <c r="E10992" t="s">
        <v>19559</v>
      </c>
    </row>
    <row r="10993" spans="1:5" x14ac:dyDescent="0.25">
      <c r="A10993" t="s">
        <v>2</v>
      </c>
      <c r="B10993" t="s">
        <v>3458</v>
      </c>
      <c r="C10993" t="s">
        <v>23490</v>
      </c>
      <c r="D10993" t="str">
        <f>HYPERLINK("https://rhld.insurance.arkansas.gov/NPILookup?Npi=1265401160","1265401160")</f>
        <v>1265401160</v>
      </c>
      <c r="E10993" t="s">
        <v>925</v>
      </c>
    </row>
    <row r="10994" spans="1:5" x14ac:dyDescent="0.25">
      <c r="A10994" t="s">
        <v>2</v>
      </c>
      <c r="B10994" t="s">
        <v>3458</v>
      </c>
      <c r="C10994" t="s">
        <v>23490</v>
      </c>
      <c r="D10994" t="str">
        <f>HYPERLINK("https://rhld.insurance.arkansas.gov/NPILookup?Npi=1265401426","1265401426")</f>
        <v>1265401426</v>
      </c>
      <c r="E10994" t="s">
        <v>926</v>
      </c>
    </row>
    <row r="10995" spans="1:5" x14ac:dyDescent="0.25">
      <c r="A10995" t="s">
        <v>2</v>
      </c>
      <c r="B10995" t="s">
        <v>3458</v>
      </c>
      <c r="C10995" t="s">
        <v>23490</v>
      </c>
      <c r="D10995" t="str">
        <f>HYPERLINK("https://rhld.insurance.arkansas.gov/NPILookup?Npi=1265419774","1265419774")</f>
        <v>1265419774</v>
      </c>
      <c r="E10995" t="s">
        <v>928</v>
      </c>
    </row>
    <row r="10996" spans="1:5" x14ac:dyDescent="0.25">
      <c r="A10996" t="s">
        <v>2</v>
      </c>
      <c r="B10996" t="s">
        <v>3458</v>
      </c>
      <c r="C10996" t="s">
        <v>23490</v>
      </c>
      <c r="D10996" t="str">
        <f>HYPERLINK("https://rhld.insurance.arkansas.gov/NPILookup?Npi=1265420293","1265420293")</f>
        <v>1265420293</v>
      </c>
      <c r="E10996" t="s">
        <v>13441</v>
      </c>
    </row>
    <row r="10997" spans="1:5" x14ac:dyDescent="0.25">
      <c r="A10997" t="s">
        <v>2</v>
      </c>
      <c r="B10997" t="s">
        <v>3458</v>
      </c>
      <c r="C10997" t="s">
        <v>23490</v>
      </c>
      <c r="D10997" t="str">
        <f>HYPERLINK("https://rhld.insurance.arkansas.gov/NPILookup?Npi=1265430201","1265430201")</f>
        <v>1265430201</v>
      </c>
      <c r="E10997" t="s">
        <v>929</v>
      </c>
    </row>
    <row r="10998" spans="1:5" x14ac:dyDescent="0.25">
      <c r="A10998" t="s">
        <v>2</v>
      </c>
      <c r="B10998" t="s">
        <v>3458</v>
      </c>
      <c r="C10998" t="s">
        <v>23490</v>
      </c>
      <c r="D10998" t="str">
        <f>HYPERLINK("https://rhld.insurance.arkansas.gov/NPILookup?Npi=1265432488","1265432488")</f>
        <v>1265432488</v>
      </c>
      <c r="E10998" t="s">
        <v>3609</v>
      </c>
    </row>
    <row r="10999" spans="1:5" x14ac:dyDescent="0.25">
      <c r="A10999" t="s">
        <v>2</v>
      </c>
      <c r="B10999" t="s">
        <v>3458</v>
      </c>
      <c r="C10999" t="s">
        <v>23490</v>
      </c>
      <c r="D10999" t="str">
        <f>HYPERLINK("https://rhld.insurance.arkansas.gov/NPILookup?Npi=1265432645","1265432645")</f>
        <v>1265432645</v>
      </c>
      <c r="E10999" t="s">
        <v>930</v>
      </c>
    </row>
    <row r="11000" spans="1:5" x14ac:dyDescent="0.25">
      <c r="A11000" t="s">
        <v>2</v>
      </c>
      <c r="B11000" t="s">
        <v>3458</v>
      </c>
      <c r="C11000" t="s">
        <v>23490</v>
      </c>
      <c r="D11000" t="str">
        <f>HYPERLINK("https://rhld.insurance.arkansas.gov/NPILookup?Npi=1265450654","1265450654")</f>
        <v>1265450654</v>
      </c>
      <c r="E11000" t="s">
        <v>931</v>
      </c>
    </row>
    <row r="11001" spans="1:5" x14ac:dyDescent="0.25">
      <c r="A11001" t="s">
        <v>2</v>
      </c>
      <c r="B11001" t="s">
        <v>3458</v>
      </c>
      <c r="C11001" t="s">
        <v>23490</v>
      </c>
      <c r="D11001" t="str">
        <f>HYPERLINK("https://rhld.insurance.arkansas.gov/NPILookup?Npi=1265459127","1265459127")</f>
        <v>1265459127</v>
      </c>
      <c r="E11001" t="s">
        <v>3610</v>
      </c>
    </row>
    <row r="11002" spans="1:5" x14ac:dyDescent="0.25">
      <c r="A11002" t="s">
        <v>2</v>
      </c>
      <c r="B11002" t="s">
        <v>3458</v>
      </c>
      <c r="C11002" t="s">
        <v>23490</v>
      </c>
      <c r="D11002" t="str">
        <f>HYPERLINK("https://rhld.insurance.arkansas.gov/NPILookup?Npi=1265484919","1265484919")</f>
        <v>1265484919</v>
      </c>
      <c r="E11002" t="s">
        <v>14933</v>
      </c>
    </row>
    <row r="11003" spans="1:5" x14ac:dyDescent="0.25">
      <c r="A11003" t="s">
        <v>2</v>
      </c>
      <c r="B11003" t="s">
        <v>3458</v>
      </c>
      <c r="C11003" t="s">
        <v>23490</v>
      </c>
      <c r="D11003" t="str">
        <f>HYPERLINK("https://rhld.insurance.arkansas.gov/NPILookup?Npi=1265489421","1265489421")</f>
        <v>1265489421</v>
      </c>
      <c r="E11003" t="s">
        <v>934</v>
      </c>
    </row>
    <row r="11004" spans="1:5" x14ac:dyDescent="0.25">
      <c r="A11004" t="s">
        <v>2</v>
      </c>
      <c r="B11004" t="s">
        <v>3458</v>
      </c>
      <c r="C11004" t="s">
        <v>23490</v>
      </c>
      <c r="D11004" t="str">
        <f>HYPERLINK("https://rhld.insurance.arkansas.gov/NPILookup?Npi=1265514368","1265514368")</f>
        <v>1265514368</v>
      </c>
      <c r="E11004" t="s">
        <v>17923</v>
      </c>
    </row>
    <row r="11005" spans="1:5" x14ac:dyDescent="0.25">
      <c r="A11005" t="s">
        <v>2</v>
      </c>
      <c r="B11005" t="s">
        <v>3458</v>
      </c>
      <c r="C11005" t="s">
        <v>23490</v>
      </c>
      <c r="D11005" t="str">
        <f>HYPERLINK("https://rhld.insurance.arkansas.gov/NPILookup?Npi=1265522742","1265522742")</f>
        <v>1265522742</v>
      </c>
      <c r="E11005" t="s">
        <v>14934</v>
      </c>
    </row>
    <row r="11006" spans="1:5" x14ac:dyDescent="0.25">
      <c r="A11006" t="s">
        <v>2</v>
      </c>
      <c r="B11006" t="s">
        <v>3458</v>
      </c>
      <c r="C11006" t="s">
        <v>23490</v>
      </c>
      <c r="D11006" t="str">
        <f>HYPERLINK("https://rhld.insurance.arkansas.gov/NPILookup?Npi=1265524300","1265524300")</f>
        <v>1265524300</v>
      </c>
      <c r="E11006" t="s">
        <v>936</v>
      </c>
    </row>
    <row r="11007" spans="1:5" x14ac:dyDescent="0.25">
      <c r="A11007" t="s">
        <v>2</v>
      </c>
      <c r="B11007" t="s">
        <v>3458</v>
      </c>
      <c r="C11007" t="s">
        <v>23490</v>
      </c>
      <c r="D11007" t="str">
        <f>HYPERLINK("https://rhld.insurance.arkansas.gov/NPILookup?Npi=1265525331","1265525331")</f>
        <v>1265525331</v>
      </c>
      <c r="E11007" t="s">
        <v>8575</v>
      </c>
    </row>
    <row r="11008" spans="1:5" x14ac:dyDescent="0.25">
      <c r="A11008" t="s">
        <v>2</v>
      </c>
      <c r="B11008" t="s">
        <v>3458</v>
      </c>
      <c r="C11008" t="s">
        <v>23490</v>
      </c>
      <c r="D11008" t="str">
        <f>HYPERLINK("https://rhld.insurance.arkansas.gov/NPILookup?Npi=1265530984","1265530984")</f>
        <v>1265530984</v>
      </c>
      <c r="E11008" t="s">
        <v>937</v>
      </c>
    </row>
    <row r="11009" spans="1:5" x14ac:dyDescent="0.25">
      <c r="A11009" t="s">
        <v>2</v>
      </c>
      <c r="B11009" t="s">
        <v>3458</v>
      </c>
      <c r="C11009" t="s">
        <v>23490</v>
      </c>
      <c r="D11009" t="str">
        <f>HYPERLINK("https://rhld.insurance.arkansas.gov/NPILookup?Npi=1265532097","1265532097")</f>
        <v>1265532097</v>
      </c>
      <c r="E11009" t="s">
        <v>3611</v>
      </c>
    </row>
    <row r="11010" spans="1:5" x14ac:dyDescent="0.25">
      <c r="A11010" t="s">
        <v>2</v>
      </c>
      <c r="B11010" t="s">
        <v>3458</v>
      </c>
      <c r="C11010" t="s">
        <v>23490</v>
      </c>
      <c r="D11010" t="str">
        <f>HYPERLINK("https://rhld.insurance.arkansas.gov/NPILookup?Npi=1265532899","1265532899")</f>
        <v>1265532899</v>
      </c>
      <c r="E11010" t="s">
        <v>16909</v>
      </c>
    </row>
    <row r="11011" spans="1:5" x14ac:dyDescent="0.25">
      <c r="A11011" t="s">
        <v>2</v>
      </c>
      <c r="B11011" t="s">
        <v>3458</v>
      </c>
      <c r="C11011" t="s">
        <v>23490</v>
      </c>
      <c r="D11011" t="str">
        <f>HYPERLINK("https://rhld.insurance.arkansas.gov/NPILookup?Npi=1265534184","1265534184")</f>
        <v>1265534184</v>
      </c>
      <c r="E11011" t="s">
        <v>938</v>
      </c>
    </row>
    <row r="11012" spans="1:5" x14ac:dyDescent="0.25">
      <c r="A11012" t="s">
        <v>2</v>
      </c>
      <c r="B11012" t="s">
        <v>3458</v>
      </c>
      <c r="C11012" t="s">
        <v>23490</v>
      </c>
      <c r="D11012" t="str">
        <f>HYPERLINK("https://rhld.insurance.arkansas.gov/NPILookup?Npi=1265539720","1265539720")</f>
        <v>1265539720</v>
      </c>
      <c r="E11012" t="s">
        <v>939</v>
      </c>
    </row>
    <row r="11013" spans="1:5" x14ac:dyDescent="0.25">
      <c r="A11013" t="s">
        <v>2</v>
      </c>
      <c r="B11013" t="s">
        <v>3458</v>
      </c>
      <c r="C11013" t="s">
        <v>23490</v>
      </c>
      <c r="D11013" t="str">
        <f>HYPERLINK("https://rhld.insurance.arkansas.gov/NPILookup?Npi=1265540777","1265540777")</f>
        <v>1265540777</v>
      </c>
      <c r="E11013" t="s">
        <v>940</v>
      </c>
    </row>
    <row r="11014" spans="1:5" x14ac:dyDescent="0.25">
      <c r="A11014" t="s">
        <v>2</v>
      </c>
      <c r="B11014" t="s">
        <v>3458</v>
      </c>
      <c r="C11014" t="s">
        <v>23490</v>
      </c>
      <c r="D11014" t="str">
        <f>HYPERLINK("https://rhld.insurance.arkansas.gov/NPILookup?Npi=1265546840","1265546840")</f>
        <v>1265546840</v>
      </c>
      <c r="E11014" t="s">
        <v>10781</v>
      </c>
    </row>
    <row r="11015" spans="1:5" x14ac:dyDescent="0.25">
      <c r="A11015" t="s">
        <v>2</v>
      </c>
      <c r="B11015" t="s">
        <v>3458</v>
      </c>
      <c r="C11015" t="s">
        <v>23490</v>
      </c>
      <c r="D11015" t="str">
        <f>HYPERLINK("https://rhld.insurance.arkansas.gov/NPILookup?Npi=1265606875","1265606875")</f>
        <v>1265606875</v>
      </c>
      <c r="E11015" t="s">
        <v>8972</v>
      </c>
    </row>
    <row r="11016" spans="1:5" x14ac:dyDescent="0.25">
      <c r="A11016" t="s">
        <v>2</v>
      </c>
      <c r="B11016" t="s">
        <v>3458</v>
      </c>
      <c r="C11016" t="s">
        <v>23490</v>
      </c>
      <c r="D11016" t="str">
        <f>HYPERLINK("https://rhld.insurance.arkansas.gov/NPILookup?Npi=1265622468","1265622468")</f>
        <v>1265622468</v>
      </c>
      <c r="E11016" t="s">
        <v>941</v>
      </c>
    </row>
    <row r="11017" spans="1:5" x14ac:dyDescent="0.25">
      <c r="A11017" t="s">
        <v>2</v>
      </c>
      <c r="B11017" t="s">
        <v>3458</v>
      </c>
      <c r="C11017" t="s">
        <v>23490</v>
      </c>
      <c r="D11017" t="str">
        <f>HYPERLINK("https://rhld.insurance.arkansas.gov/NPILookup?Npi=1265622674","1265622674")</f>
        <v>1265622674</v>
      </c>
      <c r="E11017" t="s">
        <v>3612</v>
      </c>
    </row>
    <row r="11018" spans="1:5" x14ac:dyDescent="0.25">
      <c r="A11018" t="s">
        <v>2</v>
      </c>
      <c r="B11018" t="s">
        <v>3458</v>
      </c>
      <c r="C11018" t="s">
        <v>23490</v>
      </c>
      <c r="D11018" t="str">
        <f>HYPERLINK("https://rhld.insurance.arkansas.gov/NPILookup?Npi=1265624621","1265624621")</f>
        <v>1265624621</v>
      </c>
      <c r="E11018" t="s">
        <v>942</v>
      </c>
    </row>
    <row r="11019" spans="1:5" x14ac:dyDescent="0.25">
      <c r="A11019" t="s">
        <v>2</v>
      </c>
      <c r="B11019" t="s">
        <v>3458</v>
      </c>
      <c r="C11019" t="s">
        <v>23490</v>
      </c>
      <c r="D11019" t="str">
        <f>HYPERLINK("https://rhld.insurance.arkansas.gov/NPILookup?Npi=1265626790","1265626790")</f>
        <v>1265626790</v>
      </c>
      <c r="E11019" t="s">
        <v>943</v>
      </c>
    </row>
    <row r="11020" spans="1:5" x14ac:dyDescent="0.25">
      <c r="A11020" t="s">
        <v>2</v>
      </c>
      <c r="B11020" t="s">
        <v>3458</v>
      </c>
      <c r="C11020" t="s">
        <v>23490</v>
      </c>
      <c r="D11020" t="str">
        <f>HYPERLINK("https://rhld.insurance.arkansas.gov/NPILookup?Npi=1265631329","1265631329")</f>
        <v>1265631329</v>
      </c>
      <c r="E11020" t="s">
        <v>15829</v>
      </c>
    </row>
    <row r="11021" spans="1:5" x14ac:dyDescent="0.25">
      <c r="A11021" t="s">
        <v>2</v>
      </c>
      <c r="B11021" t="s">
        <v>3458</v>
      </c>
      <c r="C11021" t="s">
        <v>23490</v>
      </c>
      <c r="D11021" t="str">
        <f>HYPERLINK("https://rhld.insurance.arkansas.gov/NPILookup?Npi=1265632368","1265632368")</f>
        <v>1265632368</v>
      </c>
      <c r="E11021" t="s">
        <v>944</v>
      </c>
    </row>
    <row r="11022" spans="1:5" x14ac:dyDescent="0.25">
      <c r="A11022" t="s">
        <v>2</v>
      </c>
      <c r="B11022" t="s">
        <v>3458</v>
      </c>
      <c r="C11022" t="s">
        <v>23490</v>
      </c>
      <c r="D11022" t="str">
        <f>HYPERLINK("https://rhld.insurance.arkansas.gov/NPILookup?Npi=1265635981","1265635981")</f>
        <v>1265635981</v>
      </c>
      <c r="E11022" t="s">
        <v>945</v>
      </c>
    </row>
    <row r="11023" spans="1:5" x14ac:dyDescent="0.25">
      <c r="A11023" t="s">
        <v>2</v>
      </c>
      <c r="B11023" t="s">
        <v>3458</v>
      </c>
      <c r="C11023" t="s">
        <v>23490</v>
      </c>
      <c r="D11023" t="str">
        <f>HYPERLINK("https://rhld.insurance.arkansas.gov/NPILookup?Npi=1265651590","1265651590")</f>
        <v>1265651590</v>
      </c>
      <c r="E11023" t="s">
        <v>3613</v>
      </c>
    </row>
    <row r="11024" spans="1:5" x14ac:dyDescent="0.25">
      <c r="A11024" t="s">
        <v>2</v>
      </c>
      <c r="B11024" t="s">
        <v>3458</v>
      </c>
      <c r="C11024" t="s">
        <v>23490</v>
      </c>
      <c r="D11024" t="str">
        <f>HYPERLINK("https://rhld.insurance.arkansas.gov/NPILookup?Npi=1265653372","1265653372")</f>
        <v>1265653372</v>
      </c>
      <c r="E11024" t="s">
        <v>10782</v>
      </c>
    </row>
    <row r="11025" spans="1:5" x14ac:dyDescent="0.25">
      <c r="A11025" t="s">
        <v>2</v>
      </c>
      <c r="B11025" t="s">
        <v>3458</v>
      </c>
      <c r="C11025" t="s">
        <v>23490</v>
      </c>
      <c r="D11025" t="str">
        <f>HYPERLINK("https://rhld.insurance.arkansas.gov/NPILookup?Npi=1265666093","1265666093")</f>
        <v>1265666093</v>
      </c>
      <c r="E11025" t="s">
        <v>948</v>
      </c>
    </row>
    <row r="11026" spans="1:5" x14ac:dyDescent="0.25">
      <c r="A11026" t="s">
        <v>2</v>
      </c>
      <c r="B11026" t="s">
        <v>3458</v>
      </c>
      <c r="C11026" t="s">
        <v>23490</v>
      </c>
      <c r="D11026" t="str">
        <f>HYPERLINK("https://rhld.insurance.arkansas.gov/NPILookup?Npi=1265675201","1265675201")</f>
        <v>1265675201</v>
      </c>
      <c r="E11026" t="s">
        <v>949</v>
      </c>
    </row>
    <row r="11027" spans="1:5" x14ac:dyDescent="0.25">
      <c r="A11027" t="s">
        <v>2</v>
      </c>
      <c r="B11027" t="s">
        <v>3458</v>
      </c>
      <c r="C11027" t="s">
        <v>23490</v>
      </c>
      <c r="D11027" t="str">
        <f>HYPERLINK("https://rhld.insurance.arkansas.gov/NPILookup?Npi=1265680243","1265680243")</f>
        <v>1265680243</v>
      </c>
      <c r="E11027" t="s">
        <v>950</v>
      </c>
    </row>
    <row r="11028" spans="1:5" x14ac:dyDescent="0.25">
      <c r="A11028" t="s">
        <v>2</v>
      </c>
      <c r="B11028" t="s">
        <v>3458</v>
      </c>
      <c r="C11028" t="s">
        <v>23490</v>
      </c>
      <c r="D11028" t="str">
        <f>HYPERLINK("https://rhld.insurance.arkansas.gov/NPILookup?Npi=1265710958","1265710958")</f>
        <v>1265710958</v>
      </c>
      <c r="E11028" t="s">
        <v>951</v>
      </c>
    </row>
    <row r="11029" spans="1:5" x14ac:dyDescent="0.25">
      <c r="A11029" t="s">
        <v>2</v>
      </c>
      <c r="B11029" t="s">
        <v>3458</v>
      </c>
      <c r="C11029" t="s">
        <v>23490</v>
      </c>
      <c r="D11029" t="str">
        <f>HYPERLINK("https://rhld.insurance.arkansas.gov/NPILookup?Npi=1265727960","1265727960")</f>
        <v>1265727960</v>
      </c>
      <c r="E11029" t="s">
        <v>952</v>
      </c>
    </row>
    <row r="11030" spans="1:5" x14ac:dyDescent="0.25">
      <c r="A11030" t="s">
        <v>2</v>
      </c>
      <c r="B11030" t="s">
        <v>3458</v>
      </c>
      <c r="C11030" t="s">
        <v>23490</v>
      </c>
      <c r="D11030" t="str">
        <f>HYPERLINK("https://rhld.insurance.arkansas.gov/NPILookup?Npi=1265735922","1265735922")</f>
        <v>1265735922</v>
      </c>
      <c r="E11030" t="s">
        <v>18725</v>
      </c>
    </row>
    <row r="11031" spans="1:5" x14ac:dyDescent="0.25">
      <c r="A11031" t="s">
        <v>2</v>
      </c>
      <c r="B11031" t="s">
        <v>3458</v>
      </c>
      <c r="C11031" t="s">
        <v>23490</v>
      </c>
      <c r="D11031" t="str">
        <f>HYPERLINK("https://rhld.insurance.arkansas.gov/NPILookup?Npi=1265736045","1265736045")</f>
        <v>1265736045</v>
      </c>
      <c r="E11031" t="s">
        <v>14936</v>
      </c>
    </row>
    <row r="11032" spans="1:5" x14ac:dyDescent="0.25">
      <c r="A11032" t="s">
        <v>2</v>
      </c>
      <c r="B11032" t="s">
        <v>3458</v>
      </c>
      <c r="C11032" t="s">
        <v>23490</v>
      </c>
      <c r="D11032" t="str">
        <f>HYPERLINK("https://rhld.insurance.arkansas.gov/NPILookup?Npi=1265737753","1265737753")</f>
        <v>1265737753</v>
      </c>
      <c r="E11032" t="s">
        <v>10783</v>
      </c>
    </row>
    <row r="11033" spans="1:5" x14ac:dyDescent="0.25">
      <c r="A11033" t="s">
        <v>2</v>
      </c>
      <c r="B11033" t="s">
        <v>3458</v>
      </c>
      <c r="C11033" t="s">
        <v>23490</v>
      </c>
      <c r="D11033" t="str">
        <f>HYPERLINK("https://rhld.insurance.arkansas.gov/NPILookup?Npi=1265751101","1265751101")</f>
        <v>1265751101</v>
      </c>
      <c r="E11033" t="s">
        <v>953</v>
      </c>
    </row>
    <row r="11034" spans="1:5" x14ac:dyDescent="0.25">
      <c r="A11034" t="s">
        <v>2</v>
      </c>
      <c r="B11034" t="s">
        <v>3458</v>
      </c>
      <c r="C11034" t="s">
        <v>23490</v>
      </c>
      <c r="D11034" t="str">
        <f>HYPERLINK("https://rhld.insurance.arkansas.gov/NPILookup?Npi=1265788178","1265788178")</f>
        <v>1265788178</v>
      </c>
      <c r="E11034" t="s">
        <v>14937</v>
      </c>
    </row>
    <row r="11035" spans="1:5" x14ac:dyDescent="0.25">
      <c r="A11035" t="s">
        <v>2</v>
      </c>
      <c r="B11035" t="s">
        <v>3458</v>
      </c>
      <c r="C11035" t="s">
        <v>23490</v>
      </c>
      <c r="D11035" t="str">
        <f>HYPERLINK("https://rhld.insurance.arkansas.gov/NPILookup?Npi=1265789853","1265789853")</f>
        <v>1265789853</v>
      </c>
      <c r="E11035" t="s">
        <v>14938</v>
      </c>
    </row>
    <row r="11036" spans="1:5" x14ac:dyDescent="0.25">
      <c r="A11036" t="s">
        <v>2</v>
      </c>
      <c r="B11036" t="s">
        <v>3458</v>
      </c>
      <c r="C11036" t="s">
        <v>23490</v>
      </c>
      <c r="D11036" t="str">
        <f>HYPERLINK("https://rhld.insurance.arkansas.gov/NPILookup?Npi=1265794564","1265794564")</f>
        <v>1265794564</v>
      </c>
      <c r="E11036" t="s">
        <v>954</v>
      </c>
    </row>
    <row r="11037" spans="1:5" x14ac:dyDescent="0.25">
      <c r="A11037" t="s">
        <v>2</v>
      </c>
      <c r="B11037" t="s">
        <v>3458</v>
      </c>
      <c r="C11037" t="s">
        <v>23490</v>
      </c>
      <c r="D11037" t="str">
        <f>HYPERLINK("https://rhld.insurance.arkansas.gov/NPILookup?Npi=1265801682","1265801682")</f>
        <v>1265801682</v>
      </c>
      <c r="E11037" t="s">
        <v>17924</v>
      </c>
    </row>
    <row r="11038" spans="1:5" x14ac:dyDescent="0.25">
      <c r="A11038" t="s">
        <v>2</v>
      </c>
      <c r="B11038" t="s">
        <v>3458</v>
      </c>
      <c r="C11038" t="s">
        <v>23490</v>
      </c>
      <c r="D11038" t="str">
        <f>HYPERLINK("https://rhld.insurance.arkansas.gov/NPILookup?Npi=1265812630","1265812630")</f>
        <v>1265812630</v>
      </c>
      <c r="E11038" t="s">
        <v>13443</v>
      </c>
    </row>
    <row r="11039" spans="1:5" x14ac:dyDescent="0.25">
      <c r="A11039" t="s">
        <v>2</v>
      </c>
      <c r="B11039" t="s">
        <v>3458</v>
      </c>
      <c r="C11039" t="s">
        <v>23490</v>
      </c>
      <c r="D11039" t="str">
        <f>HYPERLINK("https://rhld.insurance.arkansas.gov/NPILookup?Npi=1265814529","1265814529")</f>
        <v>1265814529</v>
      </c>
      <c r="E11039" t="s">
        <v>955</v>
      </c>
    </row>
    <row r="11040" spans="1:5" x14ac:dyDescent="0.25">
      <c r="A11040" t="s">
        <v>2</v>
      </c>
      <c r="B11040" t="s">
        <v>3458</v>
      </c>
      <c r="C11040" t="s">
        <v>23490</v>
      </c>
      <c r="D11040" t="str">
        <f>HYPERLINK("https://rhld.insurance.arkansas.gov/NPILookup?Npi=1265820500","1265820500")</f>
        <v>1265820500</v>
      </c>
      <c r="E11040" t="s">
        <v>956</v>
      </c>
    </row>
    <row r="11041" spans="1:5" x14ac:dyDescent="0.25">
      <c r="A11041" t="s">
        <v>2</v>
      </c>
      <c r="B11041" t="s">
        <v>3458</v>
      </c>
      <c r="C11041" t="s">
        <v>23490</v>
      </c>
      <c r="D11041" t="str">
        <f>HYPERLINK("https://rhld.insurance.arkansas.gov/NPILookup?Npi=1265820542","1265820542")</f>
        <v>1265820542</v>
      </c>
      <c r="E11041" t="s">
        <v>957</v>
      </c>
    </row>
    <row r="11042" spans="1:5" x14ac:dyDescent="0.25">
      <c r="A11042" t="s">
        <v>2</v>
      </c>
      <c r="B11042" t="s">
        <v>3458</v>
      </c>
      <c r="C11042" t="s">
        <v>23490</v>
      </c>
      <c r="D11042" t="str">
        <f>HYPERLINK("https://rhld.insurance.arkansas.gov/NPILookup?Npi=1265824841","1265824841")</f>
        <v>1265824841</v>
      </c>
      <c r="E11042" t="s">
        <v>3614</v>
      </c>
    </row>
    <row r="11043" spans="1:5" x14ac:dyDescent="0.25">
      <c r="A11043" t="s">
        <v>2</v>
      </c>
      <c r="B11043" t="s">
        <v>3458</v>
      </c>
      <c r="C11043" t="s">
        <v>23490</v>
      </c>
      <c r="D11043" t="str">
        <f>HYPERLINK("https://rhld.insurance.arkansas.gov/NPILookup?Npi=1265841282","1265841282")</f>
        <v>1265841282</v>
      </c>
      <c r="E11043" t="s">
        <v>958</v>
      </c>
    </row>
    <row r="11044" spans="1:5" x14ac:dyDescent="0.25">
      <c r="A11044" t="s">
        <v>2</v>
      </c>
      <c r="B11044" t="s">
        <v>3458</v>
      </c>
      <c r="C11044" t="s">
        <v>23490</v>
      </c>
      <c r="D11044" t="str">
        <f>HYPERLINK("https://rhld.insurance.arkansas.gov/NPILookup?Npi=1265844138","1265844138")</f>
        <v>1265844138</v>
      </c>
      <c r="E11044" t="s">
        <v>20234</v>
      </c>
    </row>
    <row r="11045" spans="1:5" x14ac:dyDescent="0.25">
      <c r="A11045" t="s">
        <v>2</v>
      </c>
      <c r="B11045" t="s">
        <v>3458</v>
      </c>
      <c r="C11045" t="s">
        <v>23490</v>
      </c>
      <c r="D11045" t="str">
        <f>HYPERLINK("https://rhld.insurance.arkansas.gov/NPILookup?Npi=1265879878","1265879878")</f>
        <v>1265879878</v>
      </c>
      <c r="E11045" t="s">
        <v>12971</v>
      </c>
    </row>
    <row r="11046" spans="1:5" x14ac:dyDescent="0.25">
      <c r="A11046" t="s">
        <v>2</v>
      </c>
      <c r="B11046" t="s">
        <v>3458</v>
      </c>
      <c r="C11046" t="s">
        <v>23490</v>
      </c>
      <c r="D11046" t="str">
        <f>HYPERLINK("https://rhld.insurance.arkansas.gov/NPILookup?Npi=1265884910","1265884910")</f>
        <v>1265884910</v>
      </c>
      <c r="E11046" t="s">
        <v>10784</v>
      </c>
    </row>
    <row r="11047" spans="1:5" x14ac:dyDescent="0.25">
      <c r="A11047" t="s">
        <v>2</v>
      </c>
      <c r="B11047" t="s">
        <v>3458</v>
      </c>
      <c r="C11047" t="s">
        <v>23490</v>
      </c>
      <c r="D11047" t="str">
        <f>HYPERLINK("https://rhld.insurance.arkansas.gov/NPILookup?Npi=1265889638","1265889638")</f>
        <v>1265889638</v>
      </c>
      <c r="E11047" t="s">
        <v>13444</v>
      </c>
    </row>
    <row r="11048" spans="1:5" x14ac:dyDescent="0.25">
      <c r="A11048" t="s">
        <v>2</v>
      </c>
      <c r="B11048" t="s">
        <v>3458</v>
      </c>
      <c r="C11048" t="s">
        <v>23490</v>
      </c>
      <c r="D11048" t="str">
        <f>HYPERLINK("https://rhld.insurance.arkansas.gov/NPILookup?Npi=1265892475","1265892475")</f>
        <v>1265892475</v>
      </c>
      <c r="E11048" t="s">
        <v>8577</v>
      </c>
    </row>
    <row r="11049" spans="1:5" x14ac:dyDescent="0.25">
      <c r="A11049" t="s">
        <v>2</v>
      </c>
      <c r="B11049" t="s">
        <v>3458</v>
      </c>
      <c r="C11049" t="s">
        <v>23490</v>
      </c>
      <c r="D11049" t="str">
        <f>HYPERLINK("https://rhld.insurance.arkansas.gov/NPILookup?Npi=1265895981","1265895981")</f>
        <v>1265895981</v>
      </c>
      <c r="E11049" t="s">
        <v>5124</v>
      </c>
    </row>
    <row r="11050" spans="1:5" x14ac:dyDescent="0.25">
      <c r="A11050" t="s">
        <v>2</v>
      </c>
      <c r="B11050" t="s">
        <v>3458</v>
      </c>
      <c r="C11050" t="s">
        <v>23490</v>
      </c>
      <c r="D11050" t="str">
        <f>HYPERLINK("https://rhld.insurance.arkansas.gov/NPILookup?Npi=1265959415","1265959415")</f>
        <v>1265959415</v>
      </c>
      <c r="E11050" t="s">
        <v>10785</v>
      </c>
    </row>
    <row r="11051" spans="1:5" x14ac:dyDescent="0.25">
      <c r="A11051" t="s">
        <v>2</v>
      </c>
      <c r="B11051" t="s">
        <v>3458</v>
      </c>
      <c r="C11051" t="s">
        <v>23490</v>
      </c>
      <c r="D11051" t="str">
        <f>HYPERLINK("https://rhld.insurance.arkansas.gov/NPILookup?Npi=1265986913","1265986913")</f>
        <v>1265986913</v>
      </c>
      <c r="E11051" t="s">
        <v>10786</v>
      </c>
    </row>
    <row r="11052" spans="1:5" x14ac:dyDescent="0.25">
      <c r="A11052" t="s">
        <v>2</v>
      </c>
      <c r="B11052" t="s">
        <v>3458</v>
      </c>
      <c r="C11052" t="s">
        <v>23490</v>
      </c>
      <c r="D11052" t="str">
        <f>HYPERLINK("https://rhld.insurance.arkansas.gov/NPILookup?Npi=1265988208","1265988208")</f>
        <v>1265988208</v>
      </c>
      <c r="E11052" t="s">
        <v>10787</v>
      </c>
    </row>
    <row r="11053" spans="1:5" x14ac:dyDescent="0.25">
      <c r="A11053" t="s">
        <v>2</v>
      </c>
      <c r="B11053" t="s">
        <v>3458</v>
      </c>
      <c r="C11053" t="s">
        <v>23490</v>
      </c>
      <c r="D11053" t="str">
        <f>HYPERLINK("https://rhld.insurance.arkansas.gov/NPILookup?Npi=1275007072","1275007072")</f>
        <v>1275007072</v>
      </c>
      <c r="E11053" t="s">
        <v>13450</v>
      </c>
    </row>
    <row r="11054" spans="1:5" x14ac:dyDescent="0.25">
      <c r="A11054" t="s">
        <v>2</v>
      </c>
      <c r="B11054" t="s">
        <v>3458</v>
      </c>
      <c r="C11054" t="s">
        <v>23490</v>
      </c>
      <c r="D11054" t="str">
        <f>HYPERLINK("https://rhld.insurance.arkansas.gov/NPILookup?Npi=1275029241","1275029241")</f>
        <v>1275029241</v>
      </c>
      <c r="E11054" t="s">
        <v>18921</v>
      </c>
    </row>
    <row r="11055" spans="1:5" x14ac:dyDescent="0.25">
      <c r="A11055" t="s">
        <v>2</v>
      </c>
      <c r="B11055" t="s">
        <v>3458</v>
      </c>
      <c r="C11055" t="s">
        <v>23490</v>
      </c>
      <c r="D11055" t="str">
        <f>HYPERLINK("https://rhld.insurance.arkansas.gov/NPILookup?Npi=1275039885","1275039885")</f>
        <v>1275039885</v>
      </c>
      <c r="E11055" t="s">
        <v>17925</v>
      </c>
    </row>
    <row r="11056" spans="1:5" x14ac:dyDescent="0.25">
      <c r="A11056" t="s">
        <v>2</v>
      </c>
      <c r="B11056" t="s">
        <v>3458</v>
      </c>
      <c r="C11056" t="s">
        <v>23490</v>
      </c>
      <c r="D11056" t="str">
        <f>HYPERLINK("https://rhld.insurance.arkansas.gov/NPILookup?Npi=1275040511","1275040511")</f>
        <v>1275040511</v>
      </c>
      <c r="E11056" t="s">
        <v>12806</v>
      </c>
    </row>
    <row r="11057" spans="1:5" x14ac:dyDescent="0.25">
      <c r="A11057" t="s">
        <v>2</v>
      </c>
      <c r="B11057" t="s">
        <v>3458</v>
      </c>
      <c r="C11057" t="s">
        <v>23490</v>
      </c>
      <c r="D11057" t="str">
        <f>HYPERLINK("https://rhld.insurance.arkansas.gov/NPILookup?Npi=1275041923","1275041923")</f>
        <v>1275041923</v>
      </c>
      <c r="E11057" t="s">
        <v>13451</v>
      </c>
    </row>
    <row r="11058" spans="1:5" x14ac:dyDescent="0.25">
      <c r="A11058" t="s">
        <v>2</v>
      </c>
      <c r="B11058" t="s">
        <v>3458</v>
      </c>
      <c r="C11058" t="s">
        <v>23490</v>
      </c>
      <c r="D11058" t="str">
        <f>HYPERLINK("https://rhld.insurance.arkansas.gov/NPILookup?Npi=1275054215","1275054215")</f>
        <v>1275054215</v>
      </c>
      <c r="E11058" t="s">
        <v>17412</v>
      </c>
    </row>
    <row r="11059" spans="1:5" x14ac:dyDescent="0.25">
      <c r="A11059" t="s">
        <v>2</v>
      </c>
      <c r="B11059" t="s">
        <v>3458</v>
      </c>
      <c r="C11059" t="s">
        <v>23490</v>
      </c>
      <c r="D11059" t="str">
        <f>HYPERLINK("https://rhld.insurance.arkansas.gov/NPILookup?Npi=1275061657","1275061657")</f>
        <v>1275061657</v>
      </c>
      <c r="E11059" t="s">
        <v>14943</v>
      </c>
    </row>
    <row r="11060" spans="1:5" x14ac:dyDescent="0.25">
      <c r="A11060" t="s">
        <v>2</v>
      </c>
      <c r="B11060" t="s">
        <v>3458</v>
      </c>
      <c r="C11060" t="s">
        <v>23490</v>
      </c>
      <c r="D11060" t="str">
        <f>HYPERLINK("https://rhld.insurance.arkansas.gov/NPILookup?Npi=1275065500","1275065500")</f>
        <v>1275065500</v>
      </c>
      <c r="E11060" t="s">
        <v>10788</v>
      </c>
    </row>
    <row r="11061" spans="1:5" x14ac:dyDescent="0.25">
      <c r="A11061" t="s">
        <v>2</v>
      </c>
      <c r="B11061" t="s">
        <v>3458</v>
      </c>
      <c r="C11061" t="s">
        <v>23490</v>
      </c>
      <c r="D11061" t="str">
        <f>HYPERLINK("https://rhld.insurance.arkansas.gov/NPILookup?Npi=1275066839","1275066839")</f>
        <v>1275066839</v>
      </c>
      <c r="E11061" t="s">
        <v>10789</v>
      </c>
    </row>
    <row r="11062" spans="1:5" x14ac:dyDescent="0.25">
      <c r="A11062" t="s">
        <v>2</v>
      </c>
      <c r="B11062" t="s">
        <v>3458</v>
      </c>
      <c r="C11062" t="s">
        <v>23490</v>
      </c>
      <c r="D11062" t="str">
        <f>HYPERLINK("https://rhld.insurance.arkansas.gov/NPILookup?Npi=1275071516","1275071516")</f>
        <v>1275071516</v>
      </c>
      <c r="E11062" t="s">
        <v>13452</v>
      </c>
    </row>
    <row r="11063" spans="1:5" x14ac:dyDescent="0.25">
      <c r="A11063" t="s">
        <v>2</v>
      </c>
      <c r="B11063" t="s">
        <v>3458</v>
      </c>
      <c r="C11063" t="s">
        <v>23490</v>
      </c>
      <c r="D11063" t="str">
        <f>HYPERLINK("https://rhld.insurance.arkansas.gov/NPILookup?Npi=1275071755","1275071755")</f>
        <v>1275071755</v>
      </c>
      <c r="E11063" t="s">
        <v>10790</v>
      </c>
    </row>
    <row r="11064" spans="1:5" x14ac:dyDescent="0.25">
      <c r="A11064" t="s">
        <v>2</v>
      </c>
      <c r="B11064" t="s">
        <v>3458</v>
      </c>
      <c r="C11064" t="s">
        <v>23490</v>
      </c>
      <c r="D11064" t="str">
        <f>HYPERLINK("https://rhld.insurance.arkansas.gov/NPILookup?Npi=1275074049","1275074049")</f>
        <v>1275074049</v>
      </c>
      <c r="E11064" t="s">
        <v>10791</v>
      </c>
    </row>
    <row r="11065" spans="1:5" x14ac:dyDescent="0.25">
      <c r="A11065" t="s">
        <v>2</v>
      </c>
      <c r="B11065" t="s">
        <v>3458</v>
      </c>
      <c r="C11065" t="s">
        <v>23490</v>
      </c>
      <c r="D11065" t="str">
        <f>HYPERLINK("https://rhld.insurance.arkansas.gov/NPILookup?Npi=1275086902","1275086902")</f>
        <v>1275086902</v>
      </c>
      <c r="E11065" t="s">
        <v>13453</v>
      </c>
    </row>
    <row r="11066" spans="1:5" x14ac:dyDescent="0.25">
      <c r="A11066" t="s">
        <v>2</v>
      </c>
      <c r="B11066" t="s">
        <v>3458</v>
      </c>
      <c r="C11066" t="s">
        <v>23490</v>
      </c>
      <c r="D11066" t="str">
        <f>HYPERLINK("https://rhld.insurance.arkansas.gov/NPILookup?Npi=1275099475","1275099475")</f>
        <v>1275099475</v>
      </c>
      <c r="E11066" t="s">
        <v>14944</v>
      </c>
    </row>
    <row r="11067" spans="1:5" x14ac:dyDescent="0.25">
      <c r="A11067" t="s">
        <v>2</v>
      </c>
      <c r="B11067" t="s">
        <v>3458</v>
      </c>
      <c r="C11067" t="s">
        <v>23490</v>
      </c>
      <c r="D11067" t="str">
        <f>HYPERLINK("https://rhld.insurance.arkansas.gov/NPILookup?Npi=1275104523","1275104523")</f>
        <v>1275104523</v>
      </c>
      <c r="E11067" t="s">
        <v>18726</v>
      </c>
    </row>
    <row r="11068" spans="1:5" x14ac:dyDescent="0.25">
      <c r="A11068" t="s">
        <v>2</v>
      </c>
      <c r="B11068" t="s">
        <v>3458</v>
      </c>
      <c r="C11068" t="s">
        <v>23490</v>
      </c>
      <c r="D11068" t="str">
        <f>HYPERLINK("https://rhld.insurance.arkansas.gov/NPILookup?Npi=1275105983","1275105983")</f>
        <v>1275105983</v>
      </c>
      <c r="E11068" t="s">
        <v>19567</v>
      </c>
    </row>
    <row r="11069" spans="1:5" x14ac:dyDescent="0.25">
      <c r="A11069" t="s">
        <v>2</v>
      </c>
      <c r="B11069" t="s">
        <v>3458</v>
      </c>
      <c r="C11069" t="s">
        <v>23490</v>
      </c>
      <c r="D11069" t="str">
        <f>HYPERLINK("https://rhld.insurance.arkansas.gov/NPILookup?Npi=1275112468","1275112468")</f>
        <v>1275112468</v>
      </c>
      <c r="E11069" t="s">
        <v>18727</v>
      </c>
    </row>
    <row r="11070" spans="1:5" x14ac:dyDescent="0.25">
      <c r="A11070" t="s">
        <v>2</v>
      </c>
      <c r="B11070" t="s">
        <v>3458</v>
      </c>
      <c r="C11070" t="s">
        <v>23490</v>
      </c>
      <c r="D11070" t="str">
        <f>HYPERLINK("https://rhld.insurance.arkansas.gov/NPILookup?Npi=1275151524","1275151524")</f>
        <v>1275151524</v>
      </c>
      <c r="E11070" t="s">
        <v>19568</v>
      </c>
    </row>
    <row r="11071" spans="1:5" x14ac:dyDescent="0.25">
      <c r="A11071" t="s">
        <v>2</v>
      </c>
      <c r="B11071" t="s">
        <v>3458</v>
      </c>
      <c r="C11071" t="s">
        <v>23490</v>
      </c>
      <c r="D11071" t="str">
        <f>HYPERLINK("https://rhld.insurance.arkansas.gov/NPILookup?Npi=1275159295","1275159295")</f>
        <v>1275159295</v>
      </c>
      <c r="E11071" t="s">
        <v>19569</v>
      </c>
    </row>
    <row r="11072" spans="1:5" x14ac:dyDescent="0.25">
      <c r="A11072" t="s">
        <v>2</v>
      </c>
      <c r="B11072" t="s">
        <v>3458</v>
      </c>
      <c r="C11072" t="s">
        <v>23490</v>
      </c>
      <c r="D11072" t="str">
        <f>HYPERLINK("https://rhld.insurance.arkansas.gov/NPILookup?Npi=1275167397","1275167397")</f>
        <v>1275167397</v>
      </c>
      <c r="E11072" t="s">
        <v>20920</v>
      </c>
    </row>
    <row r="11073" spans="1:5" x14ac:dyDescent="0.25">
      <c r="A11073" t="s">
        <v>2</v>
      </c>
      <c r="B11073" t="s">
        <v>3458</v>
      </c>
      <c r="C11073" t="s">
        <v>23490</v>
      </c>
      <c r="D11073" t="str">
        <f>HYPERLINK("https://rhld.insurance.arkansas.gov/NPILookup?Npi=1275168130","1275168130")</f>
        <v>1275168130</v>
      </c>
      <c r="E11073" t="s">
        <v>19570</v>
      </c>
    </row>
    <row r="11074" spans="1:5" x14ac:dyDescent="0.25">
      <c r="A11074" t="s">
        <v>2</v>
      </c>
      <c r="B11074" t="s">
        <v>3458</v>
      </c>
      <c r="C11074" t="s">
        <v>23490</v>
      </c>
      <c r="D11074" t="str">
        <f>HYPERLINK("https://rhld.insurance.arkansas.gov/NPILookup?Npi=1275204091","1275204091")</f>
        <v>1275204091</v>
      </c>
      <c r="E11074" t="s">
        <v>16164</v>
      </c>
    </row>
    <row r="11075" spans="1:5" x14ac:dyDescent="0.25">
      <c r="A11075" t="s">
        <v>2</v>
      </c>
      <c r="B11075" t="s">
        <v>3458</v>
      </c>
      <c r="C11075" t="s">
        <v>23490</v>
      </c>
      <c r="D11075" t="str">
        <f>HYPERLINK("https://rhld.insurance.arkansas.gov/NPILookup?Npi=1275502379","1275502379")</f>
        <v>1275502379</v>
      </c>
      <c r="E11075" t="s">
        <v>14945</v>
      </c>
    </row>
    <row r="11076" spans="1:5" x14ac:dyDescent="0.25">
      <c r="A11076" t="s">
        <v>2</v>
      </c>
      <c r="B11076" t="s">
        <v>3458</v>
      </c>
      <c r="C11076" t="s">
        <v>23490</v>
      </c>
      <c r="D11076" t="str">
        <f>HYPERLINK("https://rhld.insurance.arkansas.gov/NPILookup?Npi=1275504516","1275504516")</f>
        <v>1275504516</v>
      </c>
      <c r="E11076" t="s">
        <v>959</v>
      </c>
    </row>
    <row r="11077" spans="1:5" x14ac:dyDescent="0.25">
      <c r="A11077" t="s">
        <v>2</v>
      </c>
      <c r="B11077" t="s">
        <v>3458</v>
      </c>
      <c r="C11077" t="s">
        <v>23490</v>
      </c>
      <c r="D11077" t="str">
        <f>HYPERLINK("https://rhld.insurance.arkansas.gov/NPILookup?Npi=1275506420","1275506420")</f>
        <v>1275506420</v>
      </c>
      <c r="E11077" t="s">
        <v>3616</v>
      </c>
    </row>
    <row r="11078" spans="1:5" x14ac:dyDescent="0.25">
      <c r="A11078" t="s">
        <v>2</v>
      </c>
      <c r="B11078" t="s">
        <v>3458</v>
      </c>
      <c r="C11078" t="s">
        <v>23490</v>
      </c>
      <c r="D11078" t="str">
        <f>HYPERLINK("https://rhld.insurance.arkansas.gov/NPILookup?Npi=1275508061","1275508061")</f>
        <v>1275508061</v>
      </c>
      <c r="E11078" t="s">
        <v>14946</v>
      </c>
    </row>
    <row r="11079" spans="1:5" x14ac:dyDescent="0.25">
      <c r="A11079" t="s">
        <v>2</v>
      </c>
      <c r="B11079" t="s">
        <v>3458</v>
      </c>
      <c r="C11079" t="s">
        <v>23490</v>
      </c>
      <c r="D11079" t="str">
        <f>HYPERLINK("https://rhld.insurance.arkansas.gov/NPILookup?Npi=1275509069","1275509069")</f>
        <v>1275509069</v>
      </c>
      <c r="E11079" t="s">
        <v>960</v>
      </c>
    </row>
    <row r="11080" spans="1:5" x14ac:dyDescent="0.25">
      <c r="A11080" t="s">
        <v>2</v>
      </c>
      <c r="B11080" t="s">
        <v>3458</v>
      </c>
      <c r="C11080" t="s">
        <v>23490</v>
      </c>
      <c r="D11080" t="str">
        <f>HYPERLINK("https://rhld.insurance.arkansas.gov/NPILookup?Npi=1275514929","1275514929")</f>
        <v>1275514929</v>
      </c>
      <c r="E11080" t="s">
        <v>961</v>
      </c>
    </row>
    <row r="11081" spans="1:5" x14ac:dyDescent="0.25">
      <c r="A11081" t="s">
        <v>2</v>
      </c>
      <c r="B11081" t="s">
        <v>3458</v>
      </c>
      <c r="C11081" t="s">
        <v>23490</v>
      </c>
      <c r="D11081" t="str">
        <f>HYPERLINK("https://rhld.insurance.arkansas.gov/NPILookup?Npi=1275521056","1275521056")</f>
        <v>1275521056</v>
      </c>
      <c r="E11081" t="s">
        <v>19572</v>
      </c>
    </row>
    <row r="11082" spans="1:5" x14ac:dyDescent="0.25">
      <c r="A11082" t="s">
        <v>2</v>
      </c>
      <c r="B11082" t="s">
        <v>3458</v>
      </c>
      <c r="C11082" t="s">
        <v>23490</v>
      </c>
      <c r="D11082" t="str">
        <f>HYPERLINK("https://rhld.insurance.arkansas.gov/NPILookup?Npi=1275528267","1275528267")</f>
        <v>1275528267</v>
      </c>
      <c r="E11082" t="s">
        <v>964</v>
      </c>
    </row>
    <row r="11083" spans="1:5" x14ac:dyDescent="0.25">
      <c r="A11083" t="s">
        <v>2</v>
      </c>
      <c r="B11083" t="s">
        <v>3458</v>
      </c>
      <c r="C11083" t="s">
        <v>23490</v>
      </c>
      <c r="D11083" t="str">
        <f>HYPERLINK("https://rhld.insurance.arkansas.gov/NPILookup?Npi=1275534752","1275534752")</f>
        <v>1275534752</v>
      </c>
      <c r="E11083" t="s">
        <v>965</v>
      </c>
    </row>
    <row r="11084" spans="1:5" x14ac:dyDescent="0.25">
      <c r="A11084" t="s">
        <v>2</v>
      </c>
      <c r="B11084" t="s">
        <v>3458</v>
      </c>
      <c r="C11084" t="s">
        <v>23490</v>
      </c>
      <c r="D11084" t="str">
        <f>HYPERLINK("https://rhld.insurance.arkansas.gov/NPILookup?Npi=1275536682","1275536682")</f>
        <v>1275536682</v>
      </c>
      <c r="E11084" t="s">
        <v>14947</v>
      </c>
    </row>
    <row r="11085" spans="1:5" x14ac:dyDescent="0.25">
      <c r="A11085" t="s">
        <v>2</v>
      </c>
      <c r="B11085" t="s">
        <v>3458</v>
      </c>
      <c r="C11085" t="s">
        <v>23490</v>
      </c>
      <c r="D11085" t="str">
        <f>HYPERLINK("https://rhld.insurance.arkansas.gov/NPILookup?Npi=1275537912","1275537912")</f>
        <v>1275537912</v>
      </c>
      <c r="E11085" t="s">
        <v>966</v>
      </c>
    </row>
    <row r="11086" spans="1:5" x14ac:dyDescent="0.25">
      <c r="A11086" t="s">
        <v>2</v>
      </c>
      <c r="B11086" t="s">
        <v>3458</v>
      </c>
      <c r="C11086" t="s">
        <v>23490</v>
      </c>
      <c r="D11086" t="str">
        <f>HYPERLINK("https://rhld.insurance.arkansas.gov/NPILookup?Npi=1275538977","1275538977")</f>
        <v>1275538977</v>
      </c>
      <c r="E11086" t="s">
        <v>8578</v>
      </c>
    </row>
    <row r="11087" spans="1:5" x14ac:dyDescent="0.25">
      <c r="A11087" t="s">
        <v>2</v>
      </c>
      <c r="B11087" t="s">
        <v>3458</v>
      </c>
      <c r="C11087" t="s">
        <v>23490</v>
      </c>
      <c r="D11087" t="str">
        <f>HYPERLINK("https://rhld.insurance.arkansas.gov/NPILookup?Npi=1275542029","1275542029")</f>
        <v>1275542029</v>
      </c>
      <c r="E11087" t="s">
        <v>967</v>
      </c>
    </row>
    <row r="11088" spans="1:5" x14ac:dyDescent="0.25">
      <c r="A11088" t="s">
        <v>2</v>
      </c>
      <c r="B11088" t="s">
        <v>3458</v>
      </c>
      <c r="C11088" t="s">
        <v>23490</v>
      </c>
      <c r="D11088" t="str">
        <f>HYPERLINK("https://rhld.insurance.arkansas.gov/NPILookup?Npi=1275542847","1275542847")</f>
        <v>1275542847</v>
      </c>
      <c r="E11088" t="s">
        <v>3617</v>
      </c>
    </row>
    <row r="11089" spans="1:5" x14ac:dyDescent="0.25">
      <c r="A11089" t="s">
        <v>2</v>
      </c>
      <c r="B11089" t="s">
        <v>3458</v>
      </c>
      <c r="C11089" t="s">
        <v>23490</v>
      </c>
      <c r="D11089" t="str">
        <f>HYPERLINK("https://rhld.insurance.arkansas.gov/NPILookup?Npi=1275547242","1275547242")</f>
        <v>1275547242</v>
      </c>
      <c r="E11089" t="s">
        <v>968</v>
      </c>
    </row>
    <row r="11090" spans="1:5" x14ac:dyDescent="0.25">
      <c r="A11090" t="s">
        <v>2</v>
      </c>
      <c r="B11090" t="s">
        <v>3458</v>
      </c>
      <c r="C11090" t="s">
        <v>23490</v>
      </c>
      <c r="D11090" t="str">
        <f>HYPERLINK("https://rhld.insurance.arkansas.gov/NPILookup?Npi=1275547978","1275547978")</f>
        <v>1275547978</v>
      </c>
      <c r="E11090" t="s">
        <v>969</v>
      </c>
    </row>
    <row r="11091" spans="1:5" x14ac:dyDescent="0.25">
      <c r="A11091" t="s">
        <v>2</v>
      </c>
      <c r="B11091" t="s">
        <v>3458</v>
      </c>
      <c r="C11091" t="s">
        <v>23490</v>
      </c>
      <c r="D11091" t="str">
        <f>HYPERLINK("https://rhld.insurance.arkansas.gov/NPILookup?Npi=1275551723","1275551723")</f>
        <v>1275551723</v>
      </c>
      <c r="E11091" t="s">
        <v>3618</v>
      </c>
    </row>
    <row r="11092" spans="1:5" x14ac:dyDescent="0.25">
      <c r="A11092" t="s">
        <v>2</v>
      </c>
      <c r="B11092" t="s">
        <v>3458</v>
      </c>
      <c r="C11092" t="s">
        <v>23490</v>
      </c>
      <c r="D11092" t="str">
        <f>HYPERLINK("https://rhld.insurance.arkansas.gov/NPILookup?Npi=1275553794","1275553794")</f>
        <v>1275553794</v>
      </c>
      <c r="E11092" t="s">
        <v>16913</v>
      </c>
    </row>
    <row r="11093" spans="1:5" x14ac:dyDescent="0.25">
      <c r="A11093" t="s">
        <v>2</v>
      </c>
      <c r="B11093" t="s">
        <v>3458</v>
      </c>
      <c r="C11093" t="s">
        <v>23490</v>
      </c>
      <c r="D11093" t="str">
        <f>HYPERLINK("https://rhld.insurance.arkansas.gov/NPILookup?Npi=1275558918","1275558918")</f>
        <v>1275558918</v>
      </c>
      <c r="E11093" t="s">
        <v>971</v>
      </c>
    </row>
    <row r="11094" spans="1:5" x14ac:dyDescent="0.25">
      <c r="A11094" t="s">
        <v>2</v>
      </c>
      <c r="B11094" t="s">
        <v>3458</v>
      </c>
      <c r="C11094" t="s">
        <v>23490</v>
      </c>
      <c r="D11094" t="str">
        <f>HYPERLINK("https://rhld.insurance.arkansas.gov/NPILookup?Npi=1275569055","1275569055")</f>
        <v>1275569055</v>
      </c>
      <c r="E11094" t="s">
        <v>974</v>
      </c>
    </row>
    <row r="11095" spans="1:5" x14ac:dyDescent="0.25">
      <c r="A11095" t="s">
        <v>2</v>
      </c>
      <c r="B11095" t="s">
        <v>3458</v>
      </c>
      <c r="C11095" t="s">
        <v>23490</v>
      </c>
      <c r="D11095" t="str">
        <f>HYPERLINK("https://rhld.insurance.arkansas.gov/NPILookup?Npi=1275572380","1275572380")</f>
        <v>1275572380</v>
      </c>
      <c r="E11095" t="s">
        <v>975</v>
      </c>
    </row>
    <row r="11096" spans="1:5" x14ac:dyDescent="0.25">
      <c r="A11096" t="s">
        <v>2</v>
      </c>
      <c r="B11096" t="s">
        <v>3458</v>
      </c>
      <c r="C11096" t="s">
        <v>23490</v>
      </c>
      <c r="D11096" t="str">
        <f>HYPERLINK("https://rhld.insurance.arkansas.gov/NPILookup?Npi=1275573750","1275573750")</f>
        <v>1275573750</v>
      </c>
      <c r="E11096" t="s">
        <v>976</v>
      </c>
    </row>
    <row r="11097" spans="1:5" x14ac:dyDescent="0.25">
      <c r="A11097" t="s">
        <v>2</v>
      </c>
      <c r="B11097" t="s">
        <v>3458</v>
      </c>
      <c r="C11097" t="s">
        <v>23490</v>
      </c>
      <c r="D11097" t="str">
        <f>HYPERLINK("https://rhld.insurance.arkansas.gov/NPILookup?Npi=1275577280","1275577280")</f>
        <v>1275577280</v>
      </c>
      <c r="E11097" t="s">
        <v>977</v>
      </c>
    </row>
    <row r="11098" spans="1:5" x14ac:dyDescent="0.25">
      <c r="A11098" t="s">
        <v>2</v>
      </c>
      <c r="B11098" t="s">
        <v>3458</v>
      </c>
      <c r="C11098" t="s">
        <v>23490</v>
      </c>
      <c r="D11098" t="str">
        <f>HYPERLINK("https://rhld.insurance.arkansas.gov/NPILookup?Npi=1275582991","1275582991")</f>
        <v>1275582991</v>
      </c>
      <c r="E11098" t="s">
        <v>12807</v>
      </c>
    </row>
    <row r="11099" spans="1:5" x14ac:dyDescent="0.25">
      <c r="A11099" t="s">
        <v>2</v>
      </c>
      <c r="B11099" t="s">
        <v>3458</v>
      </c>
      <c r="C11099" t="s">
        <v>23490</v>
      </c>
      <c r="D11099" t="str">
        <f>HYPERLINK("https://rhld.insurance.arkansas.gov/NPILookup?Npi=1275583056","1275583056")</f>
        <v>1275583056</v>
      </c>
      <c r="E11099" t="s">
        <v>978</v>
      </c>
    </row>
    <row r="11100" spans="1:5" x14ac:dyDescent="0.25">
      <c r="A11100" t="s">
        <v>2</v>
      </c>
      <c r="B11100" t="s">
        <v>3458</v>
      </c>
      <c r="C11100" t="s">
        <v>23490</v>
      </c>
      <c r="D11100" t="str">
        <f>HYPERLINK("https://rhld.insurance.arkansas.gov/NPILookup?Npi=1275584690","1275584690")</f>
        <v>1275584690</v>
      </c>
      <c r="E11100" t="s">
        <v>979</v>
      </c>
    </row>
    <row r="11101" spans="1:5" x14ac:dyDescent="0.25">
      <c r="A11101" t="s">
        <v>2</v>
      </c>
      <c r="B11101" t="s">
        <v>3458</v>
      </c>
      <c r="C11101" t="s">
        <v>23490</v>
      </c>
      <c r="D11101" t="str">
        <f>HYPERLINK("https://rhld.insurance.arkansas.gov/NPILookup?Npi=1275588899","1275588899")</f>
        <v>1275588899</v>
      </c>
      <c r="E11101" t="s">
        <v>14948</v>
      </c>
    </row>
    <row r="11102" spans="1:5" x14ac:dyDescent="0.25">
      <c r="A11102" t="s">
        <v>2</v>
      </c>
      <c r="B11102" t="s">
        <v>3458</v>
      </c>
      <c r="C11102" t="s">
        <v>23490</v>
      </c>
      <c r="D11102" t="str">
        <f>HYPERLINK("https://rhld.insurance.arkansas.gov/NPILookup?Npi=1275593998","1275593998")</f>
        <v>1275593998</v>
      </c>
      <c r="E11102" t="s">
        <v>3619</v>
      </c>
    </row>
    <row r="11103" spans="1:5" x14ac:dyDescent="0.25">
      <c r="A11103" t="s">
        <v>2</v>
      </c>
      <c r="B11103" t="s">
        <v>3458</v>
      </c>
      <c r="C11103" t="s">
        <v>23490</v>
      </c>
      <c r="D11103" t="str">
        <f>HYPERLINK("https://rhld.insurance.arkansas.gov/NPILookup?Npi=1275597775","1275597775")</f>
        <v>1275597775</v>
      </c>
      <c r="E11103" t="s">
        <v>3620</v>
      </c>
    </row>
    <row r="11104" spans="1:5" x14ac:dyDescent="0.25">
      <c r="A11104" t="s">
        <v>2</v>
      </c>
      <c r="B11104" t="s">
        <v>3458</v>
      </c>
      <c r="C11104" t="s">
        <v>23490</v>
      </c>
      <c r="D11104" t="str">
        <f>HYPERLINK("https://rhld.insurance.arkansas.gov/NPILookup?Npi=1275598740","1275598740")</f>
        <v>1275598740</v>
      </c>
      <c r="E11104" t="s">
        <v>981</v>
      </c>
    </row>
    <row r="11105" spans="1:5" x14ac:dyDescent="0.25">
      <c r="A11105" t="s">
        <v>2</v>
      </c>
      <c r="B11105" t="s">
        <v>3458</v>
      </c>
      <c r="C11105" t="s">
        <v>23490</v>
      </c>
      <c r="D11105" t="str">
        <f>HYPERLINK("https://rhld.insurance.arkansas.gov/NPILookup?Npi=1275599987","1275599987")</f>
        <v>1275599987</v>
      </c>
      <c r="E11105" t="s">
        <v>982</v>
      </c>
    </row>
    <row r="11106" spans="1:5" x14ac:dyDescent="0.25">
      <c r="A11106" t="s">
        <v>2</v>
      </c>
      <c r="B11106" t="s">
        <v>3458</v>
      </c>
      <c r="C11106" t="s">
        <v>23490</v>
      </c>
      <c r="D11106" t="str">
        <f>HYPERLINK("https://rhld.insurance.arkansas.gov/NPILookup?Npi=1275601346","1275601346")</f>
        <v>1275601346</v>
      </c>
      <c r="E11106" t="s">
        <v>983</v>
      </c>
    </row>
    <row r="11107" spans="1:5" x14ac:dyDescent="0.25">
      <c r="A11107" t="s">
        <v>2</v>
      </c>
      <c r="B11107" t="s">
        <v>3458</v>
      </c>
      <c r="C11107" t="s">
        <v>23490</v>
      </c>
      <c r="D11107" t="str">
        <f>HYPERLINK("https://rhld.insurance.arkansas.gov/NPILookup?Npi=1275605032","1275605032")</f>
        <v>1275605032</v>
      </c>
      <c r="E11107" t="s">
        <v>8579</v>
      </c>
    </row>
    <row r="11108" spans="1:5" x14ac:dyDescent="0.25">
      <c r="A11108" t="s">
        <v>2</v>
      </c>
      <c r="B11108" t="s">
        <v>3458</v>
      </c>
      <c r="C11108" t="s">
        <v>23490</v>
      </c>
      <c r="D11108" t="str">
        <f>HYPERLINK("https://rhld.insurance.arkansas.gov/NPILookup?Npi=1275632903","1275632903")</f>
        <v>1275632903</v>
      </c>
      <c r="E11108" t="s">
        <v>12808</v>
      </c>
    </row>
    <row r="11109" spans="1:5" x14ac:dyDescent="0.25">
      <c r="A11109" t="s">
        <v>2</v>
      </c>
      <c r="B11109" t="s">
        <v>3458</v>
      </c>
      <c r="C11109" t="s">
        <v>23490</v>
      </c>
      <c r="D11109" t="str">
        <f>HYPERLINK("https://rhld.insurance.arkansas.gov/NPILookup?Npi=1275638363","1275638363")</f>
        <v>1275638363</v>
      </c>
      <c r="E11109" t="s">
        <v>985</v>
      </c>
    </row>
    <row r="11110" spans="1:5" x14ac:dyDescent="0.25">
      <c r="A11110" t="s">
        <v>2</v>
      </c>
      <c r="B11110" t="s">
        <v>3458</v>
      </c>
      <c r="C11110" t="s">
        <v>23490</v>
      </c>
      <c r="D11110" t="str">
        <f>HYPERLINK("https://rhld.insurance.arkansas.gov/NPILookup?Npi=1275638728","1275638728")</f>
        <v>1275638728</v>
      </c>
      <c r="E11110" t="s">
        <v>986</v>
      </c>
    </row>
    <row r="11111" spans="1:5" x14ac:dyDescent="0.25">
      <c r="A11111" t="s">
        <v>2</v>
      </c>
      <c r="B11111" t="s">
        <v>3458</v>
      </c>
      <c r="C11111" t="s">
        <v>23490</v>
      </c>
      <c r="D11111" t="str">
        <f>HYPERLINK("https://rhld.insurance.arkansas.gov/NPILookup?Npi=1275702672","1275702672")</f>
        <v>1275702672</v>
      </c>
      <c r="E11111" t="s">
        <v>988</v>
      </c>
    </row>
    <row r="11112" spans="1:5" x14ac:dyDescent="0.25">
      <c r="A11112" t="s">
        <v>2</v>
      </c>
      <c r="B11112" t="s">
        <v>3458</v>
      </c>
      <c r="C11112" t="s">
        <v>23490</v>
      </c>
      <c r="D11112" t="str">
        <f>HYPERLINK("https://rhld.insurance.arkansas.gov/NPILookup?Npi=1275714537","1275714537")</f>
        <v>1275714537</v>
      </c>
      <c r="E11112" t="s">
        <v>3621</v>
      </c>
    </row>
    <row r="11113" spans="1:5" x14ac:dyDescent="0.25">
      <c r="A11113" t="s">
        <v>2</v>
      </c>
      <c r="B11113" t="s">
        <v>3458</v>
      </c>
      <c r="C11113" t="s">
        <v>23490</v>
      </c>
      <c r="D11113" t="str">
        <f>HYPERLINK("https://rhld.insurance.arkansas.gov/NPILookup?Npi=1275751513","1275751513")</f>
        <v>1275751513</v>
      </c>
      <c r="E11113" t="s">
        <v>20235</v>
      </c>
    </row>
    <row r="11114" spans="1:5" x14ac:dyDescent="0.25">
      <c r="A11114" t="s">
        <v>2</v>
      </c>
      <c r="B11114" t="s">
        <v>3458</v>
      </c>
      <c r="C11114" t="s">
        <v>23490</v>
      </c>
      <c r="D11114" t="str">
        <f>HYPERLINK("https://rhld.insurance.arkansas.gov/NPILookup?Npi=1275752354","1275752354")</f>
        <v>1275752354</v>
      </c>
      <c r="E11114" t="s">
        <v>18728</v>
      </c>
    </row>
    <row r="11115" spans="1:5" x14ac:dyDescent="0.25">
      <c r="A11115" t="s">
        <v>2</v>
      </c>
      <c r="B11115" t="s">
        <v>3458</v>
      </c>
      <c r="C11115" t="s">
        <v>23490</v>
      </c>
      <c r="D11115" t="str">
        <f>HYPERLINK("https://rhld.insurance.arkansas.gov/NPILookup?Npi=1275762536","1275762536")</f>
        <v>1275762536</v>
      </c>
      <c r="E11115" t="s">
        <v>991</v>
      </c>
    </row>
    <row r="11116" spans="1:5" x14ac:dyDescent="0.25">
      <c r="A11116" t="s">
        <v>2</v>
      </c>
      <c r="B11116" t="s">
        <v>3458</v>
      </c>
      <c r="C11116" t="s">
        <v>23490</v>
      </c>
      <c r="D11116" t="str">
        <f>HYPERLINK("https://rhld.insurance.arkansas.gov/NPILookup?Npi=1275774440","1275774440")</f>
        <v>1275774440</v>
      </c>
      <c r="E11116" t="s">
        <v>992</v>
      </c>
    </row>
    <row r="11117" spans="1:5" x14ac:dyDescent="0.25">
      <c r="A11117" t="s">
        <v>2</v>
      </c>
      <c r="B11117" t="s">
        <v>3458</v>
      </c>
      <c r="C11117" t="s">
        <v>23490</v>
      </c>
      <c r="D11117" t="str">
        <f>HYPERLINK("https://rhld.insurance.arkansas.gov/NPILookup?Npi=1275780736","1275780736")</f>
        <v>1275780736</v>
      </c>
      <c r="E11117" t="s">
        <v>12809</v>
      </c>
    </row>
    <row r="11118" spans="1:5" x14ac:dyDescent="0.25">
      <c r="A11118" t="s">
        <v>2</v>
      </c>
      <c r="B11118" t="s">
        <v>3458</v>
      </c>
      <c r="C11118" t="s">
        <v>23490</v>
      </c>
      <c r="D11118" t="str">
        <f>HYPERLINK("https://rhld.insurance.arkansas.gov/NPILookup?Npi=1275791402","1275791402")</f>
        <v>1275791402</v>
      </c>
      <c r="E11118" t="s">
        <v>993</v>
      </c>
    </row>
    <row r="11119" spans="1:5" x14ac:dyDescent="0.25">
      <c r="A11119" t="s">
        <v>2</v>
      </c>
      <c r="B11119" t="s">
        <v>3458</v>
      </c>
      <c r="C11119" t="s">
        <v>23490</v>
      </c>
      <c r="D11119" t="str">
        <f>HYPERLINK("https://rhld.insurance.arkansas.gov/NPILookup?Npi=1275793903","1275793903")</f>
        <v>1275793903</v>
      </c>
      <c r="E11119" t="s">
        <v>3622</v>
      </c>
    </row>
    <row r="11120" spans="1:5" x14ac:dyDescent="0.25">
      <c r="A11120" t="s">
        <v>2</v>
      </c>
      <c r="B11120" t="s">
        <v>3458</v>
      </c>
      <c r="C11120" t="s">
        <v>23490</v>
      </c>
      <c r="D11120" t="str">
        <f>HYPERLINK("https://rhld.insurance.arkansas.gov/NPILookup?Npi=1275800344","1275800344")</f>
        <v>1275800344</v>
      </c>
      <c r="E11120" t="s">
        <v>18729</v>
      </c>
    </row>
    <row r="11121" spans="1:5" x14ac:dyDescent="0.25">
      <c r="A11121" t="s">
        <v>2</v>
      </c>
      <c r="B11121" t="s">
        <v>3458</v>
      </c>
      <c r="C11121" t="s">
        <v>23490</v>
      </c>
      <c r="D11121" t="str">
        <f>HYPERLINK("https://rhld.insurance.arkansas.gov/NPILookup?Npi=1275800351","1275800351")</f>
        <v>1275800351</v>
      </c>
      <c r="E11121" t="s">
        <v>8581</v>
      </c>
    </row>
    <row r="11122" spans="1:5" x14ac:dyDescent="0.25">
      <c r="A11122" t="s">
        <v>2</v>
      </c>
      <c r="B11122" t="s">
        <v>3458</v>
      </c>
      <c r="C11122" t="s">
        <v>23490</v>
      </c>
      <c r="D11122" t="str">
        <f>HYPERLINK("https://rhld.insurance.arkansas.gov/NPILookup?Npi=1275836371","1275836371")</f>
        <v>1275836371</v>
      </c>
      <c r="E11122" t="s">
        <v>994</v>
      </c>
    </row>
    <row r="11123" spans="1:5" x14ac:dyDescent="0.25">
      <c r="A11123" t="s">
        <v>2</v>
      </c>
      <c r="B11123" t="s">
        <v>3458</v>
      </c>
      <c r="C11123" t="s">
        <v>23490</v>
      </c>
      <c r="D11123" t="str">
        <f>HYPERLINK("https://rhld.insurance.arkansas.gov/NPILookup?Npi=1275840480","1275840480")</f>
        <v>1275840480</v>
      </c>
      <c r="E11123" t="s">
        <v>995</v>
      </c>
    </row>
    <row r="11124" spans="1:5" x14ac:dyDescent="0.25">
      <c r="A11124" t="s">
        <v>2</v>
      </c>
      <c r="B11124" t="s">
        <v>3458</v>
      </c>
      <c r="C11124" t="s">
        <v>23490</v>
      </c>
      <c r="D11124" t="str">
        <f>HYPERLINK("https://rhld.insurance.arkansas.gov/NPILookup?Npi=1275852188","1275852188")</f>
        <v>1275852188</v>
      </c>
      <c r="E11124" t="s">
        <v>996</v>
      </c>
    </row>
    <row r="11125" spans="1:5" x14ac:dyDescent="0.25">
      <c r="A11125" t="s">
        <v>2</v>
      </c>
      <c r="B11125" t="s">
        <v>3458</v>
      </c>
      <c r="C11125" t="s">
        <v>23490</v>
      </c>
      <c r="D11125" t="str">
        <f>HYPERLINK("https://rhld.insurance.arkansas.gov/NPILookup?Npi=1275858599","1275858599")</f>
        <v>1275858599</v>
      </c>
      <c r="E11125" t="s">
        <v>14950</v>
      </c>
    </row>
    <row r="11126" spans="1:5" x14ac:dyDescent="0.25">
      <c r="A11126" t="s">
        <v>2</v>
      </c>
      <c r="B11126" t="s">
        <v>3458</v>
      </c>
      <c r="C11126" t="s">
        <v>23490</v>
      </c>
      <c r="D11126" t="str">
        <f>HYPERLINK("https://rhld.insurance.arkansas.gov/NPILookup?Npi=1275870057","1275870057")</f>
        <v>1275870057</v>
      </c>
      <c r="E11126" t="s">
        <v>997</v>
      </c>
    </row>
    <row r="11127" spans="1:5" x14ac:dyDescent="0.25">
      <c r="A11127" t="s">
        <v>2</v>
      </c>
      <c r="B11127" t="s">
        <v>3458</v>
      </c>
      <c r="C11127" t="s">
        <v>23490</v>
      </c>
      <c r="D11127" t="str">
        <f>HYPERLINK("https://rhld.insurance.arkansas.gov/NPILookup?Npi=1275872384","1275872384")</f>
        <v>1275872384</v>
      </c>
      <c r="E11127" t="s">
        <v>14951</v>
      </c>
    </row>
    <row r="11128" spans="1:5" x14ac:dyDescent="0.25">
      <c r="A11128" t="s">
        <v>2</v>
      </c>
      <c r="B11128" t="s">
        <v>3458</v>
      </c>
      <c r="C11128" t="s">
        <v>23490</v>
      </c>
      <c r="D11128" t="str">
        <f>HYPERLINK("https://rhld.insurance.arkansas.gov/NPILookup?Npi=1275889164","1275889164")</f>
        <v>1275889164</v>
      </c>
      <c r="E11128" t="s">
        <v>10792</v>
      </c>
    </row>
    <row r="11129" spans="1:5" x14ac:dyDescent="0.25">
      <c r="A11129" t="s">
        <v>2</v>
      </c>
      <c r="B11129" t="s">
        <v>3458</v>
      </c>
      <c r="C11129" t="s">
        <v>23490</v>
      </c>
      <c r="D11129" t="str">
        <f>HYPERLINK("https://rhld.insurance.arkansas.gov/NPILookup?Npi=1275920654","1275920654")</f>
        <v>1275920654</v>
      </c>
      <c r="E11129" t="s">
        <v>998</v>
      </c>
    </row>
    <row r="11130" spans="1:5" x14ac:dyDescent="0.25">
      <c r="A11130" t="s">
        <v>2</v>
      </c>
      <c r="B11130" t="s">
        <v>3458</v>
      </c>
      <c r="C11130" t="s">
        <v>23490</v>
      </c>
      <c r="D11130" t="str">
        <f>HYPERLINK("https://rhld.insurance.arkansas.gov/NPILookup?Npi=1275924821","1275924821")</f>
        <v>1275924821</v>
      </c>
      <c r="E11130" t="s">
        <v>8582</v>
      </c>
    </row>
    <row r="11131" spans="1:5" x14ac:dyDescent="0.25">
      <c r="A11131" t="s">
        <v>2</v>
      </c>
      <c r="B11131" t="s">
        <v>3458</v>
      </c>
      <c r="C11131" t="s">
        <v>23490</v>
      </c>
      <c r="D11131" t="str">
        <f>HYPERLINK("https://rhld.insurance.arkansas.gov/NPILookup?Npi=1275932253","1275932253")</f>
        <v>1275932253</v>
      </c>
      <c r="E11131" t="s">
        <v>999</v>
      </c>
    </row>
    <row r="11132" spans="1:5" x14ac:dyDescent="0.25">
      <c r="A11132" t="s">
        <v>2</v>
      </c>
      <c r="B11132" t="s">
        <v>3458</v>
      </c>
      <c r="C11132" t="s">
        <v>23490</v>
      </c>
      <c r="D11132" t="str">
        <f>HYPERLINK("https://rhld.insurance.arkansas.gov/NPILookup?Npi=1275932634","1275932634")</f>
        <v>1275932634</v>
      </c>
      <c r="E11132" t="s">
        <v>10793</v>
      </c>
    </row>
    <row r="11133" spans="1:5" x14ac:dyDescent="0.25">
      <c r="A11133" t="s">
        <v>2</v>
      </c>
      <c r="B11133" t="s">
        <v>3458</v>
      </c>
      <c r="C11133" t="s">
        <v>23490</v>
      </c>
      <c r="D11133" t="str">
        <f>HYPERLINK("https://rhld.insurance.arkansas.gov/NPILookup?Npi=1275935363","1275935363")</f>
        <v>1275935363</v>
      </c>
      <c r="E11133" t="s">
        <v>13838</v>
      </c>
    </row>
    <row r="11134" spans="1:5" x14ac:dyDescent="0.25">
      <c r="A11134" t="s">
        <v>2</v>
      </c>
      <c r="B11134" t="s">
        <v>3458</v>
      </c>
      <c r="C11134" t="s">
        <v>23490</v>
      </c>
      <c r="D11134" t="str">
        <f>HYPERLINK("https://rhld.insurance.arkansas.gov/NPILookup?Npi=1275936163","1275936163")</f>
        <v>1275936163</v>
      </c>
      <c r="E11134" t="s">
        <v>1000</v>
      </c>
    </row>
    <row r="11135" spans="1:5" x14ac:dyDescent="0.25">
      <c r="A11135" t="s">
        <v>2</v>
      </c>
      <c r="B11135" t="s">
        <v>3458</v>
      </c>
      <c r="C11135" t="s">
        <v>23490</v>
      </c>
      <c r="D11135" t="str">
        <f>HYPERLINK("https://rhld.insurance.arkansas.gov/NPILookup?Npi=1275940645","1275940645")</f>
        <v>1275940645</v>
      </c>
      <c r="E11135" t="s">
        <v>14952</v>
      </c>
    </row>
    <row r="11136" spans="1:5" x14ac:dyDescent="0.25">
      <c r="A11136" t="s">
        <v>2</v>
      </c>
      <c r="B11136" t="s">
        <v>3458</v>
      </c>
      <c r="C11136" t="s">
        <v>23490</v>
      </c>
      <c r="D11136" t="str">
        <f>HYPERLINK("https://rhld.insurance.arkansas.gov/NPILookup?Npi=1275941312","1275941312")</f>
        <v>1275941312</v>
      </c>
      <c r="E11136" t="s">
        <v>1001</v>
      </c>
    </row>
    <row r="11137" spans="1:5" x14ac:dyDescent="0.25">
      <c r="A11137" t="s">
        <v>2</v>
      </c>
      <c r="B11137" t="s">
        <v>3458</v>
      </c>
      <c r="C11137" t="s">
        <v>23490</v>
      </c>
      <c r="D11137" t="str">
        <f>HYPERLINK("https://rhld.insurance.arkansas.gov/NPILookup?Npi=1275964645","1275964645")</f>
        <v>1275964645</v>
      </c>
      <c r="E11137" t="s">
        <v>8583</v>
      </c>
    </row>
    <row r="11138" spans="1:5" x14ac:dyDescent="0.25">
      <c r="A11138" t="s">
        <v>2</v>
      </c>
      <c r="B11138" t="s">
        <v>3458</v>
      </c>
      <c r="C11138" t="s">
        <v>23490</v>
      </c>
      <c r="D11138" t="str">
        <f>HYPERLINK("https://rhld.insurance.arkansas.gov/NPILookup?Npi=1275984858","1275984858")</f>
        <v>1275984858</v>
      </c>
      <c r="E11138" t="s">
        <v>10794</v>
      </c>
    </row>
    <row r="11139" spans="1:5" x14ac:dyDescent="0.25">
      <c r="A11139" t="s">
        <v>2</v>
      </c>
      <c r="B11139" t="s">
        <v>3458</v>
      </c>
      <c r="C11139" t="s">
        <v>23490</v>
      </c>
      <c r="D11139" t="str">
        <f>HYPERLINK("https://rhld.insurance.arkansas.gov/NPILookup?Npi=1275998577","1275998577")</f>
        <v>1275998577</v>
      </c>
      <c r="E11139" t="s">
        <v>8584</v>
      </c>
    </row>
    <row r="11140" spans="1:5" x14ac:dyDescent="0.25">
      <c r="A11140" t="s">
        <v>2</v>
      </c>
      <c r="B11140" t="s">
        <v>3458</v>
      </c>
      <c r="C11140" t="s">
        <v>23490</v>
      </c>
      <c r="D11140" t="str">
        <f>HYPERLINK("https://rhld.insurance.arkansas.gov/NPILookup?Npi=1285006700","1285006700")</f>
        <v>1285006700</v>
      </c>
      <c r="E11140" t="s">
        <v>15830</v>
      </c>
    </row>
    <row r="11141" spans="1:5" x14ac:dyDescent="0.25">
      <c r="A11141" t="s">
        <v>2</v>
      </c>
      <c r="B11141" t="s">
        <v>3458</v>
      </c>
      <c r="C11141" t="s">
        <v>23490</v>
      </c>
      <c r="D11141" t="str">
        <f>HYPERLINK("https://rhld.insurance.arkansas.gov/NPILookup?Npi=1285017517","1285017517")</f>
        <v>1285017517</v>
      </c>
      <c r="E11141" t="s">
        <v>1002</v>
      </c>
    </row>
    <row r="11142" spans="1:5" x14ac:dyDescent="0.25">
      <c r="A11142" t="s">
        <v>2</v>
      </c>
      <c r="B11142" t="s">
        <v>3458</v>
      </c>
      <c r="C11142" t="s">
        <v>23490</v>
      </c>
      <c r="D11142" t="str">
        <f>HYPERLINK("https://rhld.insurance.arkansas.gov/NPILookup?Npi=1285019380","1285019380")</f>
        <v>1285019380</v>
      </c>
      <c r="E11142" t="s">
        <v>10795</v>
      </c>
    </row>
    <row r="11143" spans="1:5" x14ac:dyDescent="0.25">
      <c r="A11143" t="s">
        <v>2</v>
      </c>
      <c r="B11143" t="s">
        <v>3458</v>
      </c>
      <c r="C11143" t="s">
        <v>23490</v>
      </c>
      <c r="D11143" t="str">
        <f>HYPERLINK("https://rhld.insurance.arkansas.gov/NPILookup?Npi=1285023101","1285023101")</f>
        <v>1285023101</v>
      </c>
      <c r="E11143" t="s">
        <v>8586</v>
      </c>
    </row>
    <row r="11144" spans="1:5" x14ac:dyDescent="0.25">
      <c r="A11144" t="s">
        <v>2</v>
      </c>
      <c r="B11144" t="s">
        <v>3458</v>
      </c>
      <c r="C11144" t="s">
        <v>23490</v>
      </c>
      <c r="D11144" t="str">
        <f>HYPERLINK("https://rhld.insurance.arkansas.gov/NPILookup?Npi=1285023440","1285023440")</f>
        <v>1285023440</v>
      </c>
      <c r="E11144" t="s">
        <v>8587</v>
      </c>
    </row>
    <row r="11145" spans="1:5" x14ac:dyDescent="0.25">
      <c r="A11145" t="s">
        <v>2</v>
      </c>
      <c r="B11145" t="s">
        <v>3458</v>
      </c>
      <c r="C11145" t="s">
        <v>23490</v>
      </c>
      <c r="D11145" t="str">
        <f>HYPERLINK("https://rhld.insurance.arkansas.gov/NPILookup?Npi=1285025262","1285025262")</f>
        <v>1285025262</v>
      </c>
      <c r="E11145" t="s">
        <v>1003</v>
      </c>
    </row>
    <row r="11146" spans="1:5" x14ac:dyDescent="0.25">
      <c r="A11146" t="s">
        <v>2</v>
      </c>
      <c r="B11146" t="s">
        <v>3458</v>
      </c>
      <c r="C11146" t="s">
        <v>23490</v>
      </c>
      <c r="D11146" t="str">
        <f>HYPERLINK("https://rhld.insurance.arkansas.gov/NPILookup?Npi=1285028514","1285028514")</f>
        <v>1285028514</v>
      </c>
      <c r="E11146" t="s">
        <v>10796</v>
      </c>
    </row>
    <row r="11147" spans="1:5" x14ac:dyDescent="0.25">
      <c r="A11147" t="s">
        <v>2</v>
      </c>
      <c r="B11147" t="s">
        <v>3458</v>
      </c>
      <c r="C11147" t="s">
        <v>23490</v>
      </c>
      <c r="D11147" t="str">
        <f>HYPERLINK("https://rhld.insurance.arkansas.gov/NPILookup?Npi=1285042259","1285042259")</f>
        <v>1285042259</v>
      </c>
      <c r="E11147" t="s">
        <v>1004</v>
      </c>
    </row>
    <row r="11148" spans="1:5" x14ac:dyDescent="0.25">
      <c r="A11148" t="s">
        <v>2</v>
      </c>
      <c r="B11148" t="s">
        <v>3458</v>
      </c>
      <c r="C11148" t="s">
        <v>23490</v>
      </c>
      <c r="D11148" t="str">
        <f>HYPERLINK("https://rhld.insurance.arkansas.gov/NPILookup?Npi=1285053272","1285053272")</f>
        <v>1285053272</v>
      </c>
      <c r="E11148" t="s">
        <v>11443</v>
      </c>
    </row>
    <row r="11149" spans="1:5" x14ac:dyDescent="0.25">
      <c r="A11149" t="s">
        <v>2</v>
      </c>
      <c r="B11149" t="s">
        <v>3458</v>
      </c>
      <c r="C11149" t="s">
        <v>23490</v>
      </c>
      <c r="D11149" t="str">
        <f>HYPERLINK("https://rhld.insurance.arkansas.gov/NPILookup?Npi=1285053983","1285053983")</f>
        <v>1285053983</v>
      </c>
      <c r="E11149" t="s">
        <v>10797</v>
      </c>
    </row>
    <row r="11150" spans="1:5" x14ac:dyDescent="0.25">
      <c r="A11150" t="s">
        <v>2</v>
      </c>
      <c r="B11150" t="s">
        <v>3458</v>
      </c>
      <c r="C11150" t="s">
        <v>23490</v>
      </c>
      <c r="D11150" t="str">
        <f>HYPERLINK("https://rhld.insurance.arkansas.gov/NPILookup?Npi=1285082925","1285082925")</f>
        <v>1285082925</v>
      </c>
      <c r="E11150" t="s">
        <v>14956</v>
      </c>
    </row>
    <row r="11151" spans="1:5" x14ac:dyDescent="0.25">
      <c r="A11151" t="s">
        <v>2</v>
      </c>
      <c r="B11151" t="s">
        <v>3458</v>
      </c>
      <c r="C11151" t="s">
        <v>23490</v>
      </c>
      <c r="D11151" t="str">
        <f>HYPERLINK("https://rhld.insurance.arkansas.gov/NPILookup?Npi=1285088146","1285088146")</f>
        <v>1285088146</v>
      </c>
      <c r="E11151" t="s">
        <v>8588</v>
      </c>
    </row>
    <row r="11152" spans="1:5" x14ac:dyDescent="0.25">
      <c r="A11152" t="s">
        <v>2</v>
      </c>
      <c r="B11152" t="s">
        <v>3458</v>
      </c>
      <c r="C11152" t="s">
        <v>23490</v>
      </c>
      <c r="D11152" t="str">
        <f>HYPERLINK("https://rhld.insurance.arkansas.gov/NPILookup?Npi=1285090647","1285090647")</f>
        <v>1285090647</v>
      </c>
      <c r="E11152" t="s">
        <v>17930</v>
      </c>
    </row>
    <row r="11153" spans="1:5" x14ac:dyDescent="0.25">
      <c r="A11153" t="s">
        <v>2</v>
      </c>
      <c r="B11153" t="s">
        <v>3458</v>
      </c>
      <c r="C11153" t="s">
        <v>23490</v>
      </c>
      <c r="D11153" t="str">
        <f>HYPERLINK("https://rhld.insurance.arkansas.gov/NPILookup?Npi=1285094052","1285094052")</f>
        <v>1285094052</v>
      </c>
      <c r="E11153" t="s">
        <v>22917</v>
      </c>
    </row>
    <row r="11154" spans="1:5" x14ac:dyDescent="0.25">
      <c r="A11154" t="s">
        <v>2</v>
      </c>
      <c r="B11154" t="s">
        <v>3458</v>
      </c>
      <c r="C11154" t="s">
        <v>23490</v>
      </c>
      <c r="D11154" t="str">
        <f>HYPERLINK("https://rhld.insurance.arkansas.gov/NPILookup?Npi=1285098921","1285098921")</f>
        <v>1285098921</v>
      </c>
      <c r="E11154" t="s">
        <v>13455</v>
      </c>
    </row>
    <row r="11155" spans="1:5" x14ac:dyDescent="0.25">
      <c r="A11155" t="s">
        <v>2</v>
      </c>
      <c r="B11155" t="s">
        <v>3458</v>
      </c>
      <c r="C11155" t="s">
        <v>23490</v>
      </c>
      <c r="D11155" t="str">
        <f>HYPERLINK("https://rhld.insurance.arkansas.gov/NPILookup?Npi=1285129197","1285129197")</f>
        <v>1285129197</v>
      </c>
      <c r="E11155" t="s">
        <v>14959</v>
      </c>
    </row>
    <row r="11156" spans="1:5" x14ac:dyDescent="0.25">
      <c r="A11156" t="s">
        <v>2</v>
      </c>
      <c r="B11156" t="s">
        <v>3458</v>
      </c>
      <c r="C11156" t="s">
        <v>23490</v>
      </c>
      <c r="D11156" t="str">
        <f>HYPERLINK("https://rhld.insurance.arkansas.gov/NPILookup?Npi=1285131383","1285131383")</f>
        <v>1285131383</v>
      </c>
      <c r="E11156" t="s">
        <v>19579</v>
      </c>
    </row>
    <row r="11157" spans="1:5" x14ac:dyDescent="0.25">
      <c r="A11157" t="s">
        <v>2</v>
      </c>
      <c r="B11157" t="s">
        <v>3458</v>
      </c>
      <c r="C11157" t="s">
        <v>23490</v>
      </c>
      <c r="D11157" t="str">
        <f>HYPERLINK("https://rhld.insurance.arkansas.gov/NPILookup?Npi=1285141333","1285141333")</f>
        <v>1285141333</v>
      </c>
      <c r="E11157" t="s">
        <v>17506</v>
      </c>
    </row>
    <row r="11158" spans="1:5" x14ac:dyDescent="0.25">
      <c r="A11158" t="s">
        <v>2</v>
      </c>
      <c r="B11158" t="s">
        <v>3458</v>
      </c>
      <c r="C11158" t="s">
        <v>23490</v>
      </c>
      <c r="D11158" t="str">
        <f>HYPERLINK("https://rhld.insurance.arkansas.gov/NPILookup?Npi=1285153650","1285153650")</f>
        <v>1285153650</v>
      </c>
      <c r="E11158" t="s">
        <v>15831</v>
      </c>
    </row>
    <row r="11159" spans="1:5" x14ac:dyDescent="0.25">
      <c r="A11159" t="s">
        <v>2</v>
      </c>
      <c r="B11159" t="s">
        <v>3458</v>
      </c>
      <c r="C11159" t="s">
        <v>23490</v>
      </c>
      <c r="D11159" t="str">
        <f>HYPERLINK("https://rhld.insurance.arkansas.gov/NPILookup?Npi=1285158436","1285158436")</f>
        <v>1285158436</v>
      </c>
      <c r="E11159" t="s">
        <v>12811</v>
      </c>
    </row>
    <row r="11160" spans="1:5" x14ac:dyDescent="0.25">
      <c r="A11160" t="s">
        <v>2</v>
      </c>
      <c r="B11160" t="s">
        <v>3458</v>
      </c>
      <c r="C11160" t="s">
        <v>23490</v>
      </c>
      <c r="D11160" t="str">
        <f>HYPERLINK("https://rhld.insurance.arkansas.gov/NPILookup?Npi=1285159780","1285159780")</f>
        <v>1285159780</v>
      </c>
      <c r="E11160" t="s">
        <v>10798</v>
      </c>
    </row>
    <row r="11161" spans="1:5" x14ac:dyDescent="0.25">
      <c r="A11161" t="s">
        <v>2</v>
      </c>
      <c r="B11161" t="s">
        <v>3458</v>
      </c>
      <c r="C11161" t="s">
        <v>23490</v>
      </c>
      <c r="D11161" t="str">
        <f>HYPERLINK("https://rhld.insurance.arkansas.gov/NPILookup?Npi=1285160531","1285160531")</f>
        <v>1285160531</v>
      </c>
      <c r="E11161" t="s">
        <v>14960</v>
      </c>
    </row>
    <row r="11162" spans="1:5" x14ac:dyDescent="0.25">
      <c r="A11162" t="s">
        <v>2</v>
      </c>
      <c r="B11162" t="s">
        <v>3458</v>
      </c>
      <c r="C11162" t="s">
        <v>23490</v>
      </c>
      <c r="D11162" t="str">
        <f>HYPERLINK("https://rhld.insurance.arkansas.gov/NPILookup?Npi=1285164145","1285164145")</f>
        <v>1285164145</v>
      </c>
      <c r="E11162" t="s">
        <v>10800</v>
      </c>
    </row>
    <row r="11163" spans="1:5" x14ac:dyDescent="0.25">
      <c r="A11163" t="s">
        <v>2</v>
      </c>
      <c r="B11163" t="s">
        <v>3458</v>
      </c>
      <c r="C11163" t="s">
        <v>23490</v>
      </c>
      <c r="D11163" t="str">
        <f>HYPERLINK("https://rhld.insurance.arkansas.gov/NPILookup?Npi=1285171876","1285171876")</f>
        <v>1285171876</v>
      </c>
      <c r="E11163" t="s">
        <v>13457</v>
      </c>
    </row>
    <row r="11164" spans="1:5" x14ac:dyDescent="0.25">
      <c r="A11164" t="s">
        <v>2</v>
      </c>
      <c r="B11164" t="s">
        <v>3458</v>
      </c>
      <c r="C11164" t="s">
        <v>23490</v>
      </c>
      <c r="D11164" t="str">
        <f>HYPERLINK("https://rhld.insurance.arkansas.gov/NPILookup?Npi=1285174342","1285174342")</f>
        <v>1285174342</v>
      </c>
      <c r="E11164" t="s">
        <v>14961</v>
      </c>
    </row>
    <row r="11165" spans="1:5" x14ac:dyDescent="0.25">
      <c r="A11165" t="s">
        <v>2</v>
      </c>
      <c r="B11165" t="s">
        <v>3458</v>
      </c>
      <c r="C11165" t="s">
        <v>23490</v>
      </c>
      <c r="D11165" t="str">
        <f>HYPERLINK("https://rhld.insurance.arkansas.gov/NPILookup?Npi=1285180984","1285180984")</f>
        <v>1285180984</v>
      </c>
      <c r="E11165" t="s">
        <v>10801</v>
      </c>
    </row>
    <row r="11166" spans="1:5" x14ac:dyDescent="0.25">
      <c r="A11166" t="s">
        <v>2</v>
      </c>
      <c r="B11166" t="s">
        <v>3458</v>
      </c>
      <c r="C11166" t="s">
        <v>23490</v>
      </c>
      <c r="D11166" t="str">
        <f>HYPERLINK("https://rhld.insurance.arkansas.gov/NPILookup?Npi=1285183822","1285183822")</f>
        <v>1285183822</v>
      </c>
      <c r="E11166" t="s">
        <v>20921</v>
      </c>
    </row>
    <row r="11167" spans="1:5" x14ac:dyDescent="0.25">
      <c r="A11167" t="s">
        <v>2</v>
      </c>
      <c r="B11167" t="s">
        <v>3458</v>
      </c>
      <c r="C11167" t="s">
        <v>23490</v>
      </c>
      <c r="D11167" t="str">
        <f>HYPERLINK("https://rhld.insurance.arkansas.gov/NPILookup?Npi=1285215491","1285215491")</f>
        <v>1285215491</v>
      </c>
      <c r="E11167" t="s">
        <v>17931</v>
      </c>
    </row>
    <row r="11168" spans="1:5" x14ac:dyDescent="0.25">
      <c r="A11168" t="s">
        <v>2</v>
      </c>
      <c r="B11168" t="s">
        <v>3458</v>
      </c>
      <c r="C11168" t="s">
        <v>23490</v>
      </c>
      <c r="D11168" t="str">
        <f>HYPERLINK("https://rhld.insurance.arkansas.gov/NPILookup?Npi=1285219303","1285219303")</f>
        <v>1285219303</v>
      </c>
      <c r="E11168" t="s">
        <v>18730</v>
      </c>
    </row>
    <row r="11169" spans="1:5" x14ac:dyDescent="0.25">
      <c r="A11169" t="s">
        <v>2</v>
      </c>
      <c r="B11169" t="s">
        <v>3458</v>
      </c>
      <c r="C11169" t="s">
        <v>23490</v>
      </c>
      <c r="D11169" t="str">
        <f>HYPERLINK("https://rhld.insurance.arkansas.gov/NPILookup?Npi=1285229559","1285229559")</f>
        <v>1285229559</v>
      </c>
      <c r="E11169" t="s">
        <v>18731</v>
      </c>
    </row>
    <row r="11170" spans="1:5" x14ac:dyDescent="0.25">
      <c r="A11170" t="s">
        <v>2</v>
      </c>
      <c r="B11170" t="s">
        <v>3458</v>
      </c>
      <c r="C11170" t="s">
        <v>23490</v>
      </c>
      <c r="D11170" t="str">
        <f>HYPERLINK("https://rhld.insurance.arkansas.gov/NPILookup?Npi=1285235937","1285235937")</f>
        <v>1285235937</v>
      </c>
      <c r="E11170" t="s">
        <v>17932</v>
      </c>
    </row>
    <row r="11171" spans="1:5" x14ac:dyDescent="0.25">
      <c r="A11171" t="s">
        <v>2</v>
      </c>
      <c r="B11171" t="s">
        <v>3458</v>
      </c>
      <c r="C11171" t="s">
        <v>23490</v>
      </c>
      <c r="D11171" t="str">
        <f>HYPERLINK("https://rhld.insurance.arkansas.gov/NPILookup?Npi=1285237305","1285237305")</f>
        <v>1285237305</v>
      </c>
      <c r="E11171" t="s">
        <v>17933</v>
      </c>
    </row>
    <row r="11172" spans="1:5" x14ac:dyDescent="0.25">
      <c r="A11172" t="s">
        <v>2</v>
      </c>
      <c r="B11172" t="s">
        <v>3458</v>
      </c>
      <c r="C11172" t="s">
        <v>23490</v>
      </c>
      <c r="D11172" t="str">
        <f>HYPERLINK("https://rhld.insurance.arkansas.gov/NPILookup?Npi=1285244178","1285244178")</f>
        <v>1285244178</v>
      </c>
      <c r="E11172" t="s">
        <v>17934</v>
      </c>
    </row>
    <row r="11173" spans="1:5" x14ac:dyDescent="0.25">
      <c r="A11173" t="s">
        <v>2</v>
      </c>
      <c r="B11173" t="s">
        <v>3458</v>
      </c>
      <c r="C11173" t="s">
        <v>23490</v>
      </c>
      <c r="D11173" t="str">
        <f>HYPERLINK("https://rhld.insurance.arkansas.gov/NPILookup?Npi=1285289488","1285289488")</f>
        <v>1285289488</v>
      </c>
      <c r="E11173" t="s">
        <v>18732</v>
      </c>
    </row>
    <row r="11174" spans="1:5" x14ac:dyDescent="0.25">
      <c r="A11174" t="s">
        <v>2</v>
      </c>
      <c r="B11174" t="s">
        <v>3458</v>
      </c>
      <c r="C11174" t="s">
        <v>23490</v>
      </c>
      <c r="D11174" t="str">
        <f>HYPERLINK("https://rhld.insurance.arkansas.gov/NPILookup?Npi=1285392084","1285392084")</f>
        <v>1285392084</v>
      </c>
      <c r="E11174" t="s">
        <v>20236</v>
      </c>
    </row>
    <row r="11175" spans="1:5" x14ac:dyDescent="0.25">
      <c r="A11175" t="s">
        <v>2</v>
      </c>
      <c r="B11175" t="s">
        <v>3458</v>
      </c>
      <c r="C11175" t="s">
        <v>23490</v>
      </c>
      <c r="D11175" t="str">
        <f>HYPERLINK("https://rhld.insurance.arkansas.gov/NPILookup?Npi=1285395533","1285395533")</f>
        <v>1285395533</v>
      </c>
      <c r="E11175" t="s">
        <v>19582</v>
      </c>
    </row>
    <row r="11176" spans="1:5" x14ac:dyDescent="0.25">
      <c r="A11176" t="s">
        <v>2</v>
      </c>
      <c r="B11176" t="s">
        <v>3458</v>
      </c>
      <c r="C11176" t="s">
        <v>23490</v>
      </c>
      <c r="D11176" t="str">
        <f>HYPERLINK("https://rhld.insurance.arkansas.gov/NPILookup?Npi=1285397240","1285397240")</f>
        <v>1285397240</v>
      </c>
      <c r="E11176" t="s">
        <v>19583</v>
      </c>
    </row>
    <row r="11177" spans="1:5" x14ac:dyDescent="0.25">
      <c r="A11177" t="s">
        <v>2</v>
      </c>
      <c r="B11177" t="s">
        <v>3458</v>
      </c>
      <c r="C11177" t="s">
        <v>23490</v>
      </c>
      <c r="D11177" t="str">
        <f>HYPERLINK("https://rhld.insurance.arkansas.gov/NPILookup?Npi=1285600049","1285600049")</f>
        <v>1285600049</v>
      </c>
      <c r="E11177" t="s">
        <v>1006</v>
      </c>
    </row>
    <row r="11178" spans="1:5" x14ac:dyDescent="0.25">
      <c r="A11178" t="s">
        <v>2</v>
      </c>
      <c r="B11178" t="s">
        <v>3458</v>
      </c>
      <c r="C11178" t="s">
        <v>23490</v>
      </c>
      <c r="D11178" t="str">
        <f>HYPERLINK("https://rhld.insurance.arkansas.gov/NPILookup?Npi=1285601815","1285601815")</f>
        <v>1285601815</v>
      </c>
      <c r="E11178" t="s">
        <v>1007</v>
      </c>
    </row>
    <row r="11179" spans="1:5" x14ac:dyDescent="0.25">
      <c r="A11179" t="s">
        <v>2</v>
      </c>
      <c r="B11179" t="s">
        <v>3458</v>
      </c>
      <c r="C11179" t="s">
        <v>23490</v>
      </c>
      <c r="D11179" t="str">
        <f>HYPERLINK("https://rhld.insurance.arkansas.gov/NPILookup?Npi=1285612671","1285612671")</f>
        <v>1285612671</v>
      </c>
      <c r="E11179" t="s">
        <v>3623</v>
      </c>
    </row>
    <row r="11180" spans="1:5" x14ac:dyDescent="0.25">
      <c r="A11180" t="s">
        <v>2</v>
      </c>
      <c r="B11180" t="s">
        <v>3458</v>
      </c>
      <c r="C11180" t="s">
        <v>23490</v>
      </c>
      <c r="D11180" t="str">
        <f>HYPERLINK("https://rhld.insurance.arkansas.gov/NPILookup?Npi=1285626994","1285626994")</f>
        <v>1285626994</v>
      </c>
      <c r="E11180" t="s">
        <v>17936</v>
      </c>
    </row>
    <row r="11181" spans="1:5" x14ac:dyDescent="0.25">
      <c r="A11181" t="s">
        <v>2</v>
      </c>
      <c r="B11181" t="s">
        <v>3458</v>
      </c>
      <c r="C11181" t="s">
        <v>23490</v>
      </c>
      <c r="D11181" t="str">
        <f>HYPERLINK("https://rhld.insurance.arkansas.gov/NPILookup?Npi=1285632224","1285632224")</f>
        <v>1285632224</v>
      </c>
      <c r="E11181" t="s">
        <v>6624</v>
      </c>
    </row>
    <row r="11182" spans="1:5" x14ac:dyDescent="0.25">
      <c r="A11182" t="s">
        <v>2</v>
      </c>
      <c r="B11182" t="s">
        <v>3458</v>
      </c>
      <c r="C11182" t="s">
        <v>23490</v>
      </c>
      <c r="D11182" t="str">
        <f>HYPERLINK("https://rhld.insurance.arkansas.gov/NPILookup?Npi=1285639302","1285639302")</f>
        <v>1285639302</v>
      </c>
      <c r="E11182" t="s">
        <v>14963</v>
      </c>
    </row>
    <row r="11183" spans="1:5" x14ac:dyDescent="0.25">
      <c r="A11183" t="s">
        <v>2</v>
      </c>
      <c r="B11183" t="s">
        <v>3458</v>
      </c>
      <c r="C11183" t="s">
        <v>23490</v>
      </c>
      <c r="D11183" t="str">
        <f>HYPERLINK("https://rhld.insurance.arkansas.gov/NPILookup?Npi=1285651190","1285651190")</f>
        <v>1285651190</v>
      </c>
      <c r="E11183" t="s">
        <v>3624</v>
      </c>
    </row>
    <row r="11184" spans="1:5" x14ac:dyDescent="0.25">
      <c r="A11184" t="s">
        <v>2</v>
      </c>
      <c r="B11184" t="s">
        <v>3458</v>
      </c>
      <c r="C11184" t="s">
        <v>23490</v>
      </c>
      <c r="D11184" t="str">
        <f>HYPERLINK("https://rhld.insurance.arkansas.gov/NPILookup?Npi=1285654111","1285654111")</f>
        <v>1285654111</v>
      </c>
      <c r="E11184" t="s">
        <v>14964</v>
      </c>
    </row>
    <row r="11185" spans="1:5" x14ac:dyDescent="0.25">
      <c r="A11185" t="s">
        <v>2</v>
      </c>
      <c r="B11185" t="s">
        <v>3458</v>
      </c>
      <c r="C11185" t="s">
        <v>23490</v>
      </c>
      <c r="D11185" t="str">
        <f>HYPERLINK("https://rhld.insurance.arkansas.gov/NPILookup?Npi=1285654285","1285654285")</f>
        <v>1285654285</v>
      </c>
      <c r="E11185" t="s">
        <v>3625</v>
      </c>
    </row>
    <row r="11186" spans="1:5" x14ac:dyDescent="0.25">
      <c r="A11186" t="s">
        <v>2</v>
      </c>
      <c r="B11186" t="s">
        <v>3458</v>
      </c>
      <c r="C11186" t="s">
        <v>23490</v>
      </c>
      <c r="D11186" t="str">
        <f>HYPERLINK("https://rhld.insurance.arkansas.gov/NPILookup?Npi=1285658237","1285658237")</f>
        <v>1285658237</v>
      </c>
      <c r="E11186" t="s">
        <v>14965</v>
      </c>
    </row>
    <row r="11187" spans="1:5" x14ac:dyDescent="0.25">
      <c r="A11187" t="s">
        <v>2</v>
      </c>
      <c r="B11187" t="s">
        <v>3458</v>
      </c>
      <c r="C11187" t="s">
        <v>23490</v>
      </c>
      <c r="D11187" t="str">
        <f>HYPERLINK("https://rhld.insurance.arkansas.gov/NPILookup?Npi=1285660464","1285660464")</f>
        <v>1285660464</v>
      </c>
      <c r="E11187" t="s">
        <v>1010</v>
      </c>
    </row>
    <row r="11188" spans="1:5" x14ac:dyDescent="0.25">
      <c r="A11188" t="s">
        <v>2</v>
      </c>
      <c r="B11188" t="s">
        <v>3458</v>
      </c>
      <c r="C11188" t="s">
        <v>23490</v>
      </c>
      <c r="D11188" t="str">
        <f>HYPERLINK("https://rhld.insurance.arkansas.gov/NPILookup?Npi=1285662791","1285662791")</f>
        <v>1285662791</v>
      </c>
      <c r="E11188" t="s">
        <v>1011</v>
      </c>
    </row>
    <row r="11189" spans="1:5" x14ac:dyDescent="0.25">
      <c r="A11189" t="s">
        <v>2</v>
      </c>
      <c r="B11189" t="s">
        <v>3458</v>
      </c>
      <c r="C11189" t="s">
        <v>23490</v>
      </c>
      <c r="D11189" t="str">
        <f>HYPERLINK("https://rhld.insurance.arkansas.gov/NPILookup?Npi=1285666487","1285666487")</f>
        <v>1285666487</v>
      </c>
      <c r="E11189" t="s">
        <v>3627</v>
      </c>
    </row>
    <row r="11190" spans="1:5" x14ac:dyDescent="0.25">
      <c r="A11190" t="s">
        <v>2</v>
      </c>
      <c r="B11190" t="s">
        <v>3458</v>
      </c>
      <c r="C11190" t="s">
        <v>23490</v>
      </c>
      <c r="D11190" t="str">
        <f>HYPERLINK("https://rhld.insurance.arkansas.gov/NPILookup?Npi=1285679068","1285679068")</f>
        <v>1285679068</v>
      </c>
      <c r="E11190" t="s">
        <v>3628</v>
      </c>
    </row>
    <row r="11191" spans="1:5" x14ac:dyDescent="0.25">
      <c r="A11191" t="s">
        <v>2</v>
      </c>
      <c r="B11191" t="s">
        <v>3458</v>
      </c>
      <c r="C11191" t="s">
        <v>23490</v>
      </c>
      <c r="D11191" t="str">
        <f>HYPERLINK("https://rhld.insurance.arkansas.gov/NPILookup?Npi=1285682849","1285682849")</f>
        <v>1285682849</v>
      </c>
      <c r="E11191" t="s">
        <v>3629</v>
      </c>
    </row>
    <row r="11192" spans="1:5" x14ac:dyDescent="0.25">
      <c r="A11192" t="s">
        <v>2</v>
      </c>
      <c r="B11192" t="s">
        <v>3458</v>
      </c>
      <c r="C11192" t="s">
        <v>23490</v>
      </c>
      <c r="D11192" t="str">
        <f>HYPERLINK("https://rhld.insurance.arkansas.gov/NPILookup?Npi=1285697839","1285697839")</f>
        <v>1285697839</v>
      </c>
      <c r="E11192" t="s">
        <v>1013</v>
      </c>
    </row>
    <row r="11193" spans="1:5" x14ac:dyDescent="0.25">
      <c r="A11193" t="s">
        <v>2</v>
      </c>
      <c r="B11193" t="s">
        <v>3458</v>
      </c>
      <c r="C11193" t="s">
        <v>23490</v>
      </c>
      <c r="D11193" t="str">
        <f>HYPERLINK("https://rhld.insurance.arkansas.gov/NPILookup?Npi=1285724625","1285724625")</f>
        <v>1285724625</v>
      </c>
      <c r="E11193" t="s">
        <v>14966</v>
      </c>
    </row>
    <row r="11194" spans="1:5" x14ac:dyDescent="0.25">
      <c r="A11194" t="s">
        <v>2</v>
      </c>
      <c r="B11194" t="s">
        <v>3458</v>
      </c>
      <c r="C11194" t="s">
        <v>23490</v>
      </c>
      <c r="D11194" t="str">
        <f>HYPERLINK("https://rhld.insurance.arkansas.gov/NPILookup?Npi=1285741884","1285741884")</f>
        <v>1285741884</v>
      </c>
      <c r="E11194" t="s">
        <v>14967</v>
      </c>
    </row>
    <row r="11195" spans="1:5" x14ac:dyDescent="0.25">
      <c r="A11195" t="s">
        <v>2</v>
      </c>
      <c r="B11195" t="s">
        <v>3458</v>
      </c>
      <c r="C11195" t="s">
        <v>23490</v>
      </c>
      <c r="D11195" t="str">
        <f>HYPERLINK("https://rhld.insurance.arkansas.gov/NPILookup?Npi=1285774760","1285774760")</f>
        <v>1285774760</v>
      </c>
      <c r="E11195" t="s">
        <v>14968</v>
      </c>
    </row>
    <row r="11196" spans="1:5" x14ac:dyDescent="0.25">
      <c r="A11196" t="s">
        <v>2</v>
      </c>
      <c r="B11196" t="s">
        <v>3458</v>
      </c>
      <c r="C11196" t="s">
        <v>23490</v>
      </c>
      <c r="D11196" t="str">
        <f>HYPERLINK("https://rhld.insurance.arkansas.gov/NPILookup?Npi=1285780643","1285780643")</f>
        <v>1285780643</v>
      </c>
      <c r="E11196" t="s">
        <v>1015</v>
      </c>
    </row>
    <row r="11197" spans="1:5" x14ac:dyDescent="0.25">
      <c r="A11197" t="s">
        <v>2</v>
      </c>
      <c r="B11197" t="s">
        <v>3458</v>
      </c>
      <c r="C11197" t="s">
        <v>23490</v>
      </c>
      <c r="D11197" t="str">
        <f>HYPERLINK("https://rhld.insurance.arkansas.gov/NPILookup?Npi=1285780809","1285780809")</f>
        <v>1285780809</v>
      </c>
      <c r="E11197" t="s">
        <v>13458</v>
      </c>
    </row>
    <row r="11198" spans="1:5" x14ac:dyDescent="0.25">
      <c r="A11198" t="s">
        <v>2</v>
      </c>
      <c r="B11198" t="s">
        <v>3458</v>
      </c>
      <c r="C11198" t="s">
        <v>23490</v>
      </c>
      <c r="D11198" t="str">
        <f>HYPERLINK("https://rhld.insurance.arkansas.gov/NPILookup?Npi=1285805358","1285805358")</f>
        <v>1285805358</v>
      </c>
      <c r="E11198" t="s">
        <v>1016</v>
      </c>
    </row>
    <row r="11199" spans="1:5" x14ac:dyDescent="0.25">
      <c r="A11199" t="s">
        <v>2</v>
      </c>
      <c r="B11199" t="s">
        <v>3458</v>
      </c>
      <c r="C11199" t="s">
        <v>23490</v>
      </c>
      <c r="D11199" t="str">
        <f>HYPERLINK("https://rhld.insurance.arkansas.gov/NPILookup?Npi=1285808121","1285808121")</f>
        <v>1285808121</v>
      </c>
      <c r="E11199" t="s">
        <v>3630</v>
      </c>
    </row>
    <row r="11200" spans="1:5" x14ac:dyDescent="0.25">
      <c r="A11200" t="s">
        <v>2</v>
      </c>
      <c r="B11200" t="s">
        <v>3458</v>
      </c>
      <c r="C11200" t="s">
        <v>23490</v>
      </c>
      <c r="D11200" t="str">
        <f>HYPERLINK("https://rhld.insurance.arkansas.gov/NPILookup?Npi=1285819227","1285819227")</f>
        <v>1285819227</v>
      </c>
      <c r="E11200" t="s">
        <v>1018</v>
      </c>
    </row>
    <row r="11201" spans="1:5" x14ac:dyDescent="0.25">
      <c r="A11201" t="s">
        <v>2</v>
      </c>
      <c r="B11201" t="s">
        <v>3458</v>
      </c>
      <c r="C11201" t="s">
        <v>23490</v>
      </c>
      <c r="D11201" t="str">
        <f>HYPERLINK("https://rhld.insurance.arkansas.gov/NPILookup?Npi=1285834481","1285834481")</f>
        <v>1285834481</v>
      </c>
      <c r="E11201" t="s">
        <v>8590</v>
      </c>
    </row>
    <row r="11202" spans="1:5" x14ac:dyDescent="0.25">
      <c r="A11202" t="s">
        <v>2</v>
      </c>
      <c r="B11202" t="s">
        <v>3458</v>
      </c>
      <c r="C11202" t="s">
        <v>23490</v>
      </c>
      <c r="D11202" t="str">
        <f>HYPERLINK("https://rhld.insurance.arkansas.gov/NPILookup?Npi=1285845727","1285845727")</f>
        <v>1285845727</v>
      </c>
      <c r="E11202" t="s">
        <v>1019</v>
      </c>
    </row>
    <row r="11203" spans="1:5" x14ac:dyDescent="0.25">
      <c r="A11203" t="s">
        <v>2</v>
      </c>
      <c r="B11203" t="s">
        <v>3458</v>
      </c>
      <c r="C11203" t="s">
        <v>23490</v>
      </c>
      <c r="D11203" t="str">
        <f>HYPERLINK("https://rhld.insurance.arkansas.gov/NPILookup?Npi=1285849927","1285849927")</f>
        <v>1285849927</v>
      </c>
      <c r="E11203" t="s">
        <v>1020</v>
      </c>
    </row>
    <row r="11204" spans="1:5" x14ac:dyDescent="0.25">
      <c r="A11204" t="s">
        <v>2</v>
      </c>
      <c r="B11204" t="s">
        <v>3458</v>
      </c>
      <c r="C11204" t="s">
        <v>23490</v>
      </c>
      <c r="D11204" t="str">
        <f>HYPERLINK("https://rhld.insurance.arkansas.gov/NPILookup?Npi=1285853515","1285853515")</f>
        <v>1285853515</v>
      </c>
      <c r="E11204" t="s">
        <v>3631</v>
      </c>
    </row>
    <row r="11205" spans="1:5" x14ac:dyDescent="0.25">
      <c r="A11205" t="s">
        <v>2</v>
      </c>
      <c r="B11205" t="s">
        <v>3458</v>
      </c>
      <c r="C11205" t="s">
        <v>23490</v>
      </c>
      <c r="D11205" t="str">
        <f>HYPERLINK("https://rhld.insurance.arkansas.gov/NPILookup?Npi=1285856971","1285856971")</f>
        <v>1285856971</v>
      </c>
      <c r="E11205" t="s">
        <v>1021</v>
      </c>
    </row>
    <row r="11206" spans="1:5" x14ac:dyDescent="0.25">
      <c r="A11206" t="s">
        <v>2</v>
      </c>
      <c r="B11206" t="s">
        <v>3458</v>
      </c>
      <c r="C11206" t="s">
        <v>23490</v>
      </c>
      <c r="D11206" t="str">
        <f>HYPERLINK("https://rhld.insurance.arkansas.gov/NPILookup?Npi=1285862540","1285862540")</f>
        <v>1285862540</v>
      </c>
      <c r="E11206" t="s">
        <v>1022</v>
      </c>
    </row>
    <row r="11207" spans="1:5" x14ac:dyDescent="0.25">
      <c r="A11207" t="s">
        <v>2</v>
      </c>
      <c r="B11207" t="s">
        <v>3458</v>
      </c>
      <c r="C11207" t="s">
        <v>23490</v>
      </c>
      <c r="D11207" t="str">
        <f>HYPERLINK("https://rhld.insurance.arkansas.gov/NPILookup?Npi=1285863423","1285863423")</f>
        <v>1285863423</v>
      </c>
      <c r="E11207" t="s">
        <v>17413</v>
      </c>
    </row>
    <row r="11208" spans="1:5" x14ac:dyDescent="0.25">
      <c r="A11208" t="s">
        <v>2</v>
      </c>
      <c r="B11208" t="s">
        <v>3458</v>
      </c>
      <c r="C11208" t="s">
        <v>23490</v>
      </c>
      <c r="D11208" t="str">
        <f>HYPERLINK("https://rhld.insurance.arkansas.gov/NPILookup?Npi=1285873984","1285873984")</f>
        <v>1285873984</v>
      </c>
      <c r="E11208" t="s">
        <v>1023</v>
      </c>
    </row>
    <row r="11209" spans="1:5" x14ac:dyDescent="0.25">
      <c r="A11209" t="s">
        <v>2</v>
      </c>
      <c r="B11209" t="s">
        <v>3458</v>
      </c>
      <c r="C11209" t="s">
        <v>23490</v>
      </c>
      <c r="D11209" t="str">
        <f>HYPERLINK("https://rhld.insurance.arkansas.gov/NPILookup?Npi=1285893891","1285893891")</f>
        <v>1285893891</v>
      </c>
      <c r="E11209" t="s">
        <v>15832</v>
      </c>
    </row>
    <row r="11210" spans="1:5" x14ac:dyDescent="0.25">
      <c r="A11210" t="s">
        <v>2</v>
      </c>
      <c r="B11210" t="s">
        <v>3458</v>
      </c>
      <c r="C11210" t="s">
        <v>23490</v>
      </c>
      <c r="D11210" t="str">
        <f>HYPERLINK("https://rhld.insurance.arkansas.gov/NPILookup?Npi=1285893966","1285893966")</f>
        <v>1285893966</v>
      </c>
      <c r="E11210" t="s">
        <v>1024</v>
      </c>
    </row>
    <row r="11211" spans="1:5" x14ac:dyDescent="0.25">
      <c r="A11211" t="s">
        <v>2</v>
      </c>
      <c r="B11211" t="s">
        <v>3458</v>
      </c>
      <c r="C11211" t="s">
        <v>23490</v>
      </c>
      <c r="D11211" t="str">
        <f>HYPERLINK("https://rhld.insurance.arkansas.gov/NPILookup?Npi=1285896738","1285896738")</f>
        <v>1285896738</v>
      </c>
      <c r="E11211" t="s">
        <v>1025</v>
      </c>
    </row>
    <row r="11212" spans="1:5" x14ac:dyDescent="0.25">
      <c r="A11212" t="s">
        <v>2</v>
      </c>
      <c r="B11212" t="s">
        <v>3458</v>
      </c>
      <c r="C11212" t="s">
        <v>23490</v>
      </c>
      <c r="D11212" t="str">
        <f>HYPERLINK("https://rhld.insurance.arkansas.gov/NPILookup?Npi=1285897553","1285897553")</f>
        <v>1285897553</v>
      </c>
      <c r="E11212" t="s">
        <v>14969</v>
      </c>
    </row>
    <row r="11213" spans="1:5" x14ac:dyDescent="0.25">
      <c r="A11213" t="s">
        <v>2</v>
      </c>
      <c r="B11213" t="s">
        <v>3458</v>
      </c>
      <c r="C11213" t="s">
        <v>23490</v>
      </c>
      <c r="D11213" t="str">
        <f>HYPERLINK("https://rhld.insurance.arkansas.gov/NPILookup?Npi=1285956904","1285956904")</f>
        <v>1285956904</v>
      </c>
      <c r="E11213" t="s">
        <v>1027</v>
      </c>
    </row>
    <row r="11214" spans="1:5" x14ac:dyDescent="0.25">
      <c r="A11214" t="s">
        <v>2</v>
      </c>
      <c r="B11214" t="s">
        <v>3458</v>
      </c>
      <c r="C11214" t="s">
        <v>23490</v>
      </c>
      <c r="D11214" t="str">
        <f>HYPERLINK("https://rhld.insurance.arkansas.gov/NPILookup?Npi=1285977769","1285977769")</f>
        <v>1285977769</v>
      </c>
      <c r="E11214" t="s">
        <v>8591</v>
      </c>
    </row>
    <row r="11215" spans="1:5" x14ac:dyDescent="0.25">
      <c r="A11215" t="s">
        <v>2</v>
      </c>
      <c r="B11215" t="s">
        <v>3458</v>
      </c>
      <c r="C11215" t="s">
        <v>23490</v>
      </c>
      <c r="D11215" t="str">
        <f>HYPERLINK("https://rhld.insurance.arkansas.gov/NPILookup?Npi=1285977843","1285977843")</f>
        <v>1285977843</v>
      </c>
      <c r="E11215" t="s">
        <v>11444</v>
      </c>
    </row>
    <row r="11216" spans="1:5" x14ac:dyDescent="0.25">
      <c r="A11216" t="s">
        <v>2</v>
      </c>
      <c r="B11216" t="s">
        <v>3458</v>
      </c>
      <c r="C11216" t="s">
        <v>23490</v>
      </c>
      <c r="D11216" t="str">
        <f>HYPERLINK("https://rhld.insurance.arkansas.gov/NPILookup?Npi=1285991018","1285991018")</f>
        <v>1285991018</v>
      </c>
      <c r="E11216" t="s">
        <v>3632</v>
      </c>
    </row>
    <row r="11217" spans="1:5" x14ac:dyDescent="0.25">
      <c r="A11217" t="s">
        <v>2</v>
      </c>
      <c r="B11217" t="s">
        <v>3458</v>
      </c>
      <c r="C11217" t="s">
        <v>23490</v>
      </c>
      <c r="D11217" t="str">
        <f>HYPERLINK("https://rhld.insurance.arkansas.gov/NPILookup?Npi=1285994376","1285994376")</f>
        <v>1285994376</v>
      </c>
      <c r="E11217" t="s">
        <v>15833</v>
      </c>
    </row>
    <row r="11218" spans="1:5" x14ac:dyDescent="0.25">
      <c r="A11218" t="s">
        <v>2</v>
      </c>
      <c r="B11218" t="s">
        <v>3458</v>
      </c>
      <c r="C11218" t="s">
        <v>23490</v>
      </c>
      <c r="D11218" t="str">
        <f>HYPERLINK("https://rhld.insurance.arkansas.gov/NPILookup?Npi=1295007342","1295007342")</f>
        <v>1295007342</v>
      </c>
      <c r="E11218" t="s">
        <v>1028</v>
      </c>
    </row>
    <row r="11219" spans="1:5" x14ac:dyDescent="0.25">
      <c r="A11219" t="s">
        <v>2</v>
      </c>
      <c r="B11219" t="s">
        <v>3458</v>
      </c>
      <c r="C11219" t="s">
        <v>23490</v>
      </c>
      <c r="D11219" t="str">
        <f>HYPERLINK("https://rhld.insurance.arkansas.gov/NPILookup?Npi=1295013795","1295013795")</f>
        <v>1295013795</v>
      </c>
      <c r="E11219" t="s">
        <v>21511</v>
      </c>
    </row>
    <row r="11220" spans="1:5" x14ac:dyDescent="0.25">
      <c r="A11220" t="s">
        <v>2</v>
      </c>
      <c r="B11220" t="s">
        <v>3458</v>
      </c>
      <c r="C11220" t="s">
        <v>23490</v>
      </c>
      <c r="D11220" t="str">
        <f>HYPERLINK("https://rhld.insurance.arkansas.gov/NPILookup?Npi=1295025914","1295025914")</f>
        <v>1295025914</v>
      </c>
      <c r="E11220" t="s">
        <v>1029</v>
      </c>
    </row>
    <row r="11221" spans="1:5" x14ac:dyDescent="0.25">
      <c r="A11221" t="s">
        <v>2</v>
      </c>
      <c r="B11221" t="s">
        <v>3458</v>
      </c>
      <c r="C11221" t="s">
        <v>23490</v>
      </c>
      <c r="D11221" t="str">
        <f>HYPERLINK("https://rhld.insurance.arkansas.gov/NPILookup?Npi=1295032514","1295032514")</f>
        <v>1295032514</v>
      </c>
      <c r="E11221" t="s">
        <v>12812</v>
      </c>
    </row>
    <row r="11222" spans="1:5" x14ac:dyDescent="0.25">
      <c r="A11222" t="s">
        <v>2</v>
      </c>
      <c r="B11222" t="s">
        <v>3458</v>
      </c>
      <c r="C11222" t="s">
        <v>23490</v>
      </c>
      <c r="D11222" t="str">
        <f>HYPERLINK("https://rhld.insurance.arkansas.gov/NPILookup?Npi=1295047918","1295047918")</f>
        <v>1295047918</v>
      </c>
      <c r="E11222" t="s">
        <v>1030</v>
      </c>
    </row>
    <row r="11223" spans="1:5" x14ac:dyDescent="0.25">
      <c r="A11223" t="s">
        <v>2</v>
      </c>
      <c r="B11223" t="s">
        <v>3458</v>
      </c>
      <c r="C11223" t="s">
        <v>23490</v>
      </c>
      <c r="D11223" t="str">
        <f>HYPERLINK("https://rhld.insurance.arkansas.gov/NPILookup?Npi=1295051167","1295051167")</f>
        <v>1295051167</v>
      </c>
      <c r="E11223" t="s">
        <v>3633</v>
      </c>
    </row>
    <row r="11224" spans="1:5" x14ac:dyDescent="0.25">
      <c r="A11224" t="s">
        <v>2</v>
      </c>
      <c r="B11224" t="s">
        <v>3458</v>
      </c>
      <c r="C11224" t="s">
        <v>23490</v>
      </c>
      <c r="D11224" t="str">
        <f>HYPERLINK("https://rhld.insurance.arkansas.gov/NPILookup?Npi=1295056687","1295056687")</f>
        <v>1295056687</v>
      </c>
      <c r="E11224" t="s">
        <v>19588</v>
      </c>
    </row>
    <row r="11225" spans="1:5" x14ac:dyDescent="0.25">
      <c r="A11225" t="s">
        <v>2</v>
      </c>
      <c r="B11225" t="s">
        <v>3458</v>
      </c>
      <c r="C11225" t="s">
        <v>23490</v>
      </c>
      <c r="D11225" t="str">
        <f>HYPERLINK("https://rhld.insurance.arkansas.gov/NPILookup?Npi=1295071041","1295071041")</f>
        <v>1295071041</v>
      </c>
      <c r="E11225" t="s">
        <v>14970</v>
      </c>
    </row>
    <row r="11226" spans="1:5" x14ac:dyDescent="0.25">
      <c r="A11226" t="s">
        <v>2</v>
      </c>
      <c r="B11226" t="s">
        <v>3458</v>
      </c>
      <c r="C11226" t="s">
        <v>23490</v>
      </c>
      <c r="D11226" t="str">
        <f>HYPERLINK("https://rhld.insurance.arkansas.gov/NPILookup?Npi=1295077741","1295077741")</f>
        <v>1295077741</v>
      </c>
      <c r="E11226" t="s">
        <v>5945</v>
      </c>
    </row>
    <row r="11227" spans="1:5" x14ac:dyDescent="0.25">
      <c r="A11227" t="s">
        <v>2</v>
      </c>
      <c r="B11227" t="s">
        <v>3458</v>
      </c>
      <c r="C11227" t="s">
        <v>23490</v>
      </c>
      <c r="D11227" t="str">
        <f>HYPERLINK("https://rhld.insurance.arkansas.gov/NPILookup?Npi=1295088854","1295088854")</f>
        <v>1295088854</v>
      </c>
      <c r="E11227" t="s">
        <v>3634</v>
      </c>
    </row>
    <row r="11228" spans="1:5" x14ac:dyDescent="0.25">
      <c r="A11228" t="s">
        <v>2</v>
      </c>
      <c r="B11228" t="s">
        <v>3458</v>
      </c>
      <c r="C11228" t="s">
        <v>23490</v>
      </c>
      <c r="D11228" t="str">
        <f>HYPERLINK("https://rhld.insurance.arkansas.gov/NPILookup?Npi=1295093532","1295093532")</f>
        <v>1295093532</v>
      </c>
      <c r="E11228" t="s">
        <v>1031</v>
      </c>
    </row>
    <row r="11229" spans="1:5" x14ac:dyDescent="0.25">
      <c r="A11229" t="s">
        <v>2</v>
      </c>
      <c r="B11229" t="s">
        <v>3458</v>
      </c>
      <c r="C11229" t="s">
        <v>23490</v>
      </c>
      <c r="D11229" t="str">
        <f>HYPERLINK("https://rhld.insurance.arkansas.gov/NPILookup?Npi=1295098036","1295098036")</f>
        <v>1295098036</v>
      </c>
      <c r="E11229" t="s">
        <v>10803</v>
      </c>
    </row>
    <row r="11230" spans="1:5" x14ac:dyDescent="0.25">
      <c r="A11230" t="s">
        <v>2</v>
      </c>
      <c r="B11230" t="s">
        <v>3458</v>
      </c>
      <c r="C11230" t="s">
        <v>23490</v>
      </c>
      <c r="D11230" t="str">
        <f>HYPERLINK("https://rhld.insurance.arkansas.gov/NPILookup?Npi=1295105930","1295105930")</f>
        <v>1295105930</v>
      </c>
      <c r="E11230" t="s">
        <v>8593</v>
      </c>
    </row>
    <row r="11231" spans="1:5" x14ac:dyDescent="0.25">
      <c r="A11231" t="s">
        <v>2</v>
      </c>
      <c r="B11231" t="s">
        <v>3458</v>
      </c>
      <c r="C11231" t="s">
        <v>23490</v>
      </c>
      <c r="D11231" t="str">
        <f>HYPERLINK("https://rhld.insurance.arkansas.gov/NPILookup?Npi=1295113272","1295113272")</f>
        <v>1295113272</v>
      </c>
      <c r="E11231" t="s">
        <v>19589</v>
      </c>
    </row>
    <row r="11232" spans="1:5" x14ac:dyDescent="0.25">
      <c r="A11232" t="s">
        <v>2</v>
      </c>
      <c r="B11232" t="s">
        <v>3458</v>
      </c>
      <c r="C11232" t="s">
        <v>23490</v>
      </c>
      <c r="D11232" t="str">
        <f>HYPERLINK("https://rhld.insurance.arkansas.gov/NPILookup?Npi=1295117091","1295117091")</f>
        <v>1295117091</v>
      </c>
      <c r="E11232" t="s">
        <v>8594</v>
      </c>
    </row>
    <row r="11233" spans="1:5" x14ac:dyDescent="0.25">
      <c r="A11233" t="s">
        <v>2</v>
      </c>
      <c r="B11233" t="s">
        <v>3458</v>
      </c>
      <c r="C11233" t="s">
        <v>23490</v>
      </c>
      <c r="D11233" t="str">
        <f>HYPERLINK("https://rhld.insurance.arkansas.gov/NPILookup?Npi=1295119220","1295119220")</f>
        <v>1295119220</v>
      </c>
      <c r="E11233" t="s">
        <v>15834</v>
      </c>
    </row>
    <row r="11234" spans="1:5" x14ac:dyDescent="0.25">
      <c r="A11234" t="s">
        <v>2</v>
      </c>
      <c r="B11234" t="s">
        <v>3458</v>
      </c>
      <c r="C11234" t="s">
        <v>23490</v>
      </c>
      <c r="D11234" t="str">
        <f>HYPERLINK("https://rhld.insurance.arkansas.gov/NPILookup?Npi=1295140374","1295140374")</f>
        <v>1295140374</v>
      </c>
      <c r="E11234" t="s">
        <v>1032</v>
      </c>
    </row>
    <row r="11235" spans="1:5" x14ac:dyDescent="0.25">
      <c r="A11235" t="s">
        <v>2</v>
      </c>
      <c r="B11235" t="s">
        <v>3458</v>
      </c>
      <c r="C11235" t="s">
        <v>23490</v>
      </c>
      <c r="D11235" t="str">
        <f>HYPERLINK("https://rhld.insurance.arkansas.gov/NPILookup?Npi=1295144947","1295144947")</f>
        <v>1295144947</v>
      </c>
      <c r="E11235" t="s">
        <v>10805</v>
      </c>
    </row>
    <row r="11236" spans="1:5" x14ac:dyDescent="0.25">
      <c r="A11236" t="s">
        <v>2</v>
      </c>
      <c r="B11236" t="s">
        <v>3458</v>
      </c>
      <c r="C11236" t="s">
        <v>23490</v>
      </c>
      <c r="D11236" t="str">
        <f>HYPERLINK("https://rhld.insurance.arkansas.gov/NPILookup?Npi=1295150787","1295150787")</f>
        <v>1295150787</v>
      </c>
      <c r="E11236" t="s">
        <v>1033</v>
      </c>
    </row>
    <row r="11237" spans="1:5" x14ac:dyDescent="0.25">
      <c r="A11237" t="s">
        <v>2</v>
      </c>
      <c r="B11237" t="s">
        <v>3458</v>
      </c>
      <c r="C11237" t="s">
        <v>23490</v>
      </c>
      <c r="D11237" t="str">
        <f>HYPERLINK("https://rhld.insurance.arkansas.gov/NPILookup?Npi=1295154300","1295154300")</f>
        <v>1295154300</v>
      </c>
      <c r="E11237" t="s">
        <v>13459</v>
      </c>
    </row>
    <row r="11238" spans="1:5" x14ac:dyDescent="0.25">
      <c r="A11238" t="s">
        <v>2</v>
      </c>
      <c r="B11238" t="s">
        <v>3458</v>
      </c>
      <c r="C11238" t="s">
        <v>23490</v>
      </c>
      <c r="D11238" t="str">
        <f>HYPERLINK("https://rhld.insurance.arkansas.gov/NPILookup?Npi=1295154714","1295154714")</f>
        <v>1295154714</v>
      </c>
      <c r="E11238" t="s">
        <v>8595</v>
      </c>
    </row>
    <row r="11239" spans="1:5" x14ac:dyDescent="0.25">
      <c r="A11239" t="s">
        <v>2</v>
      </c>
      <c r="B11239" t="s">
        <v>3458</v>
      </c>
      <c r="C11239" t="s">
        <v>23490</v>
      </c>
      <c r="D11239" t="str">
        <f>HYPERLINK("https://rhld.insurance.arkansas.gov/NPILookup?Npi=1295155844","1295155844")</f>
        <v>1295155844</v>
      </c>
      <c r="E11239" t="s">
        <v>10806</v>
      </c>
    </row>
    <row r="11240" spans="1:5" x14ac:dyDescent="0.25">
      <c r="A11240" t="s">
        <v>2</v>
      </c>
      <c r="B11240" t="s">
        <v>3458</v>
      </c>
      <c r="C11240" t="s">
        <v>23490</v>
      </c>
      <c r="D11240" t="str">
        <f>HYPERLINK("https://rhld.insurance.arkansas.gov/NPILookup?Npi=1295158913","1295158913")</f>
        <v>1295158913</v>
      </c>
      <c r="E11240" t="s">
        <v>21512</v>
      </c>
    </row>
    <row r="11241" spans="1:5" x14ac:dyDescent="0.25">
      <c r="A11241" t="s">
        <v>2</v>
      </c>
      <c r="B11241" t="s">
        <v>3458</v>
      </c>
      <c r="C11241" t="s">
        <v>23490</v>
      </c>
      <c r="D11241" t="str">
        <f>HYPERLINK("https://rhld.insurance.arkansas.gov/NPILookup?Npi=1295169019","1295169019")</f>
        <v>1295169019</v>
      </c>
      <c r="E11241" t="s">
        <v>14971</v>
      </c>
    </row>
    <row r="11242" spans="1:5" x14ac:dyDescent="0.25">
      <c r="A11242" t="s">
        <v>2</v>
      </c>
      <c r="B11242" t="s">
        <v>3458</v>
      </c>
      <c r="C11242" t="s">
        <v>23490</v>
      </c>
      <c r="D11242" t="str">
        <f>HYPERLINK("https://rhld.insurance.arkansas.gov/NPILookup?Npi=1295172468","1295172468")</f>
        <v>1295172468</v>
      </c>
      <c r="E11242" t="s">
        <v>1034</v>
      </c>
    </row>
    <row r="11243" spans="1:5" x14ac:dyDescent="0.25">
      <c r="A11243" t="s">
        <v>2</v>
      </c>
      <c r="B11243" t="s">
        <v>3458</v>
      </c>
      <c r="C11243" t="s">
        <v>23490</v>
      </c>
      <c r="D11243" t="str">
        <f>HYPERLINK("https://rhld.insurance.arkansas.gov/NPILookup?Npi=1295185718","1295185718")</f>
        <v>1295185718</v>
      </c>
      <c r="E11243" t="s">
        <v>15835</v>
      </c>
    </row>
    <row r="11244" spans="1:5" x14ac:dyDescent="0.25">
      <c r="A11244" t="s">
        <v>2</v>
      </c>
      <c r="B11244" t="s">
        <v>3458</v>
      </c>
      <c r="C11244" t="s">
        <v>23490</v>
      </c>
      <c r="D11244" t="str">
        <f>HYPERLINK("https://rhld.insurance.arkansas.gov/NPILookup?Npi=1295193191","1295193191")</f>
        <v>1295193191</v>
      </c>
      <c r="E11244" t="s">
        <v>8596</v>
      </c>
    </row>
    <row r="11245" spans="1:5" x14ac:dyDescent="0.25">
      <c r="A11245" t="s">
        <v>2</v>
      </c>
      <c r="B11245" t="s">
        <v>3458</v>
      </c>
      <c r="C11245" t="s">
        <v>23490</v>
      </c>
      <c r="D11245" t="str">
        <f>HYPERLINK("https://rhld.insurance.arkansas.gov/NPILookup?Npi=1295209500","1295209500")</f>
        <v>1295209500</v>
      </c>
      <c r="E11245" t="s">
        <v>18733</v>
      </c>
    </row>
    <row r="11246" spans="1:5" x14ac:dyDescent="0.25">
      <c r="A11246" t="s">
        <v>2</v>
      </c>
      <c r="B11246" t="s">
        <v>3458</v>
      </c>
      <c r="C11246" t="s">
        <v>23490</v>
      </c>
      <c r="D11246" t="str">
        <f>HYPERLINK("https://rhld.insurance.arkansas.gov/NPILookup?Npi=1295218899","1295218899")</f>
        <v>1295218899</v>
      </c>
      <c r="E11246" t="s">
        <v>1973</v>
      </c>
    </row>
    <row r="11247" spans="1:5" x14ac:dyDescent="0.25">
      <c r="A11247" t="s">
        <v>2</v>
      </c>
      <c r="B11247" t="s">
        <v>3458</v>
      </c>
      <c r="C11247" t="s">
        <v>23490</v>
      </c>
      <c r="D11247" t="str">
        <f>HYPERLINK("https://rhld.insurance.arkansas.gov/NPILookup?Npi=1295231256","1295231256")</f>
        <v>1295231256</v>
      </c>
      <c r="E11247" t="s">
        <v>18922</v>
      </c>
    </row>
    <row r="11248" spans="1:5" x14ac:dyDescent="0.25">
      <c r="A11248" t="s">
        <v>2</v>
      </c>
      <c r="B11248" t="s">
        <v>3458</v>
      </c>
      <c r="C11248" t="s">
        <v>23490</v>
      </c>
      <c r="D11248" t="str">
        <f>HYPERLINK("https://rhld.insurance.arkansas.gov/NPILookup?Npi=1295235331","1295235331")</f>
        <v>1295235331</v>
      </c>
      <c r="E11248" t="s">
        <v>16920</v>
      </c>
    </row>
    <row r="11249" spans="1:5" x14ac:dyDescent="0.25">
      <c r="A11249" t="s">
        <v>2</v>
      </c>
      <c r="B11249" t="s">
        <v>3458</v>
      </c>
      <c r="C11249" t="s">
        <v>23490</v>
      </c>
      <c r="D11249" t="str">
        <f>HYPERLINK("https://rhld.insurance.arkansas.gov/NPILookup?Npi=1295235570","1295235570")</f>
        <v>1295235570</v>
      </c>
      <c r="E11249" t="s">
        <v>12972</v>
      </c>
    </row>
    <row r="11250" spans="1:5" x14ac:dyDescent="0.25">
      <c r="A11250" t="s">
        <v>2</v>
      </c>
      <c r="B11250" t="s">
        <v>3458</v>
      </c>
      <c r="C11250" t="s">
        <v>23490</v>
      </c>
      <c r="D11250" t="str">
        <f>HYPERLINK("https://rhld.insurance.arkansas.gov/NPILookup?Npi=1295239408","1295239408")</f>
        <v>1295239408</v>
      </c>
      <c r="E11250" t="s">
        <v>18734</v>
      </c>
    </row>
    <row r="11251" spans="1:5" x14ac:dyDescent="0.25">
      <c r="A11251" t="s">
        <v>2</v>
      </c>
      <c r="B11251" t="s">
        <v>3458</v>
      </c>
      <c r="C11251" t="s">
        <v>23490</v>
      </c>
      <c r="D11251" t="str">
        <f>HYPERLINK("https://rhld.insurance.arkansas.gov/NPILookup?Npi=1295260073","1295260073")</f>
        <v>1295260073</v>
      </c>
      <c r="E11251" t="s">
        <v>10809</v>
      </c>
    </row>
    <row r="11252" spans="1:5" x14ac:dyDescent="0.25">
      <c r="A11252" t="s">
        <v>2</v>
      </c>
      <c r="B11252" t="s">
        <v>3458</v>
      </c>
      <c r="C11252" t="s">
        <v>23490</v>
      </c>
      <c r="D11252" t="str">
        <f>HYPERLINK("https://rhld.insurance.arkansas.gov/NPILookup?Npi=1295276285","1295276285")</f>
        <v>1295276285</v>
      </c>
      <c r="E11252" t="s">
        <v>13460</v>
      </c>
    </row>
    <row r="11253" spans="1:5" x14ac:dyDescent="0.25">
      <c r="A11253" t="s">
        <v>2</v>
      </c>
      <c r="B11253" t="s">
        <v>3458</v>
      </c>
      <c r="C11253" t="s">
        <v>23490</v>
      </c>
      <c r="D11253" t="str">
        <f>HYPERLINK("https://rhld.insurance.arkansas.gov/NPILookup?Npi=1295288983","1295288983")</f>
        <v>1295288983</v>
      </c>
      <c r="E11253" t="s">
        <v>10810</v>
      </c>
    </row>
    <row r="11254" spans="1:5" x14ac:dyDescent="0.25">
      <c r="A11254" t="s">
        <v>2</v>
      </c>
      <c r="B11254" t="s">
        <v>3458</v>
      </c>
      <c r="C11254" t="s">
        <v>23490</v>
      </c>
      <c r="D11254" t="str">
        <f>HYPERLINK("https://rhld.insurance.arkansas.gov/NPILookup?Npi=1295310795","1295310795")</f>
        <v>1295310795</v>
      </c>
      <c r="E11254" t="s">
        <v>18735</v>
      </c>
    </row>
    <row r="11255" spans="1:5" x14ac:dyDescent="0.25">
      <c r="A11255" t="s">
        <v>2</v>
      </c>
      <c r="B11255" t="s">
        <v>3458</v>
      </c>
      <c r="C11255" t="s">
        <v>23490</v>
      </c>
      <c r="D11255" t="str">
        <f>HYPERLINK("https://rhld.insurance.arkansas.gov/NPILookup?Npi=1295310985","1295310985")</f>
        <v>1295310985</v>
      </c>
      <c r="E11255" t="s">
        <v>19592</v>
      </c>
    </row>
    <row r="11256" spans="1:5" x14ac:dyDescent="0.25">
      <c r="A11256" t="s">
        <v>2</v>
      </c>
      <c r="B11256" t="s">
        <v>3458</v>
      </c>
      <c r="C11256" t="s">
        <v>23490</v>
      </c>
      <c r="D11256" t="str">
        <f>HYPERLINK("https://rhld.insurance.arkansas.gov/NPILookup?Npi=1295324481","1295324481")</f>
        <v>1295324481</v>
      </c>
      <c r="E11256" t="s">
        <v>17937</v>
      </c>
    </row>
    <row r="11257" spans="1:5" x14ac:dyDescent="0.25">
      <c r="A11257" t="s">
        <v>2</v>
      </c>
      <c r="B11257" t="s">
        <v>3458</v>
      </c>
      <c r="C11257" t="s">
        <v>23490</v>
      </c>
      <c r="D11257" t="str">
        <f>HYPERLINK("https://rhld.insurance.arkansas.gov/NPILookup?Npi=1295344968","1295344968")</f>
        <v>1295344968</v>
      </c>
      <c r="E11257" t="s">
        <v>19594</v>
      </c>
    </row>
    <row r="11258" spans="1:5" x14ac:dyDescent="0.25">
      <c r="A11258" t="s">
        <v>2</v>
      </c>
      <c r="B11258" t="s">
        <v>3458</v>
      </c>
      <c r="C11258" t="s">
        <v>23490</v>
      </c>
      <c r="D11258" t="str">
        <f>HYPERLINK("https://rhld.insurance.arkansas.gov/NPILookup?Npi=1295348027","1295348027")</f>
        <v>1295348027</v>
      </c>
      <c r="E11258" t="s">
        <v>19595</v>
      </c>
    </row>
    <row r="11259" spans="1:5" x14ac:dyDescent="0.25">
      <c r="A11259" t="s">
        <v>2</v>
      </c>
      <c r="B11259" t="s">
        <v>3458</v>
      </c>
      <c r="C11259" t="s">
        <v>23490</v>
      </c>
      <c r="D11259" t="str">
        <f>HYPERLINK("https://rhld.insurance.arkansas.gov/NPILookup?Npi=1295364263","1295364263")</f>
        <v>1295364263</v>
      </c>
      <c r="E11259" t="s">
        <v>17939</v>
      </c>
    </row>
    <row r="11260" spans="1:5" x14ac:dyDescent="0.25">
      <c r="A11260" t="s">
        <v>2</v>
      </c>
      <c r="B11260" t="s">
        <v>3458</v>
      </c>
      <c r="C11260" t="s">
        <v>23490</v>
      </c>
      <c r="D11260" t="str">
        <f>HYPERLINK("https://rhld.insurance.arkansas.gov/NPILookup?Npi=1295372233","1295372233")</f>
        <v>1295372233</v>
      </c>
      <c r="E11260" t="s">
        <v>18736</v>
      </c>
    </row>
    <row r="11261" spans="1:5" x14ac:dyDescent="0.25">
      <c r="A11261" t="s">
        <v>2</v>
      </c>
      <c r="B11261" t="s">
        <v>3458</v>
      </c>
      <c r="C11261" t="s">
        <v>23490</v>
      </c>
      <c r="D11261" t="str">
        <f>HYPERLINK("https://rhld.insurance.arkansas.gov/NPILookup?Npi=1295405421","1295405421")</f>
        <v>1295405421</v>
      </c>
      <c r="E11261" t="s">
        <v>19597</v>
      </c>
    </row>
    <row r="11262" spans="1:5" x14ac:dyDescent="0.25">
      <c r="A11262" t="s">
        <v>2</v>
      </c>
      <c r="B11262" t="s">
        <v>3458</v>
      </c>
      <c r="C11262" t="s">
        <v>23490</v>
      </c>
      <c r="D11262" t="str">
        <f>HYPERLINK("https://rhld.insurance.arkansas.gov/NPILookup?Npi=1295708428","1295708428")</f>
        <v>1295708428</v>
      </c>
      <c r="E11262" t="s">
        <v>1035</v>
      </c>
    </row>
    <row r="11263" spans="1:5" x14ac:dyDescent="0.25">
      <c r="A11263" t="s">
        <v>2</v>
      </c>
      <c r="B11263" t="s">
        <v>3458</v>
      </c>
      <c r="C11263" t="s">
        <v>23490</v>
      </c>
      <c r="D11263" t="str">
        <f>HYPERLINK("https://rhld.insurance.arkansas.gov/NPILookup?Npi=1295722668","1295722668")</f>
        <v>1295722668</v>
      </c>
      <c r="E11263" t="s">
        <v>1036</v>
      </c>
    </row>
    <row r="11264" spans="1:5" x14ac:dyDescent="0.25">
      <c r="A11264" t="s">
        <v>2</v>
      </c>
      <c r="B11264" t="s">
        <v>3458</v>
      </c>
      <c r="C11264" t="s">
        <v>23490</v>
      </c>
      <c r="D11264" t="str">
        <f>HYPERLINK("https://rhld.insurance.arkansas.gov/NPILookup?Npi=1295727071","1295727071")</f>
        <v>1295727071</v>
      </c>
      <c r="E11264" t="s">
        <v>12813</v>
      </c>
    </row>
    <row r="11265" spans="1:5" x14ac:dyDescent="0.25">
      <c r="A11265" t="s">
        <v>2</v>
      </c>
      <c r="B11265" t="s">
        <v>3458</v>
      </c>
      <c r="C11265" t="s">
        <v>23490</v>
      </c>
      <c r="D11265" t="str">
        <f>HYPERLINK("https://rhld.insurance.arkansas.gov/NPILookup?Npi=1295727477","1295727477")</f>
        <v>1295727477</v>
      </c>
      <c r="E11265" t="s">
        <v>1038</v>
      </c>
    </row>
    <row r="11266" spans="1:5" x14ac:dyDescent="0.25">
      <c r="A11266" t="s">
        <v>2</v>
      </c>
      <c r="B11266" t="s">
        <v>3458</v>
      </c>
      <c r="C11266" t="s">
        <v>23490</v>
      </c>
      <c r="D11266" t="str">
        <f>HYPERLINK("https://rhld.insurance.arkansas.gov/NPILookup?Npi=1295732816","1295732816")</f>
        <v>1295732816</v>
      </c>
      <c r="E11266" t="s">
        <v>1041</v>
      </c>
    </row>
    <row r="11267" spans="1:5" x14ac:dyDescent="0.25">
      <c r="A11267" t="s">
        <v>2</v>
      </c>
      <c r="B11267" t="s">
        <v>3458</v>
      </c>
      <c r="C11267" t="s">
        <v>23490</v>
      </c>
      <c r="D11267" t="str">
        <f>HYPERLINK("https://rhld.insurance.arkansas.gov/NPILookup?Npi=1295733731","1295733731")</f>
        <v>1295733731</v>
      </c>
      <c r="E11267" t="s">
        <v>3635</v>
      </c>
    </row>
    <row r="11268" spans="1:5" x14ac:dyDescent="0.25">
      <c r="A11268" t="s">
        <v>2</v>
      </c>
      <c r="B11268" t="s">
        <v>3458</v>
      </c>
      <c r="C11268" t="s">
        <v>23490</v>
      </c>
      <c r="D11268" t="str">
        <f>HYPERLINK("https://rhld.insurance.arkansas.gov/NPILookup?Npi=1295738128","1295738128")</f>
        <v>1295738128</v>
      </c>
      <c r="E11268" t="s">
        <v>1043</v>
      </c>
    </row>
    <row r="11269" spans="1:5" x14ac:dyDescent="0.25">
      <c r="A11269" t="s">
        <v>2</v>
      </c>
      <c r="B11269" t="s">
        <v>3458</v>
      </c>
      <c r="C11269" t="s">
        <v>23490</v>
      </c>
      <c r="D11269" t="str">
        <f>HYPERLINK("https://rhld.insurance.arkansas.gov/NPILookup?Npi=1295744134","1295744134")</f>
        <v>1295744134</v>
      </c>
      <c r="E11269" t="s">
        <v>1044</v>
      </c>
    </row>
    <row r="11270" spans="1:5" x14ac:dyDescent="0.25">
      <c r="A11270" t="s">
        <v>2</v>
      </c>
      <c r="B11270" t="s">
        <v>3458</v>
      </c>
      <c r="C11270" t="s">
        <v>23490</v>
      </c>
      <c r="D11270" t="str">
        <f>HYPERLINK("https://rhld.insurance.arkansas.gov/NPILookup?Npi=1295747566","1295747566")</f>
        <v>1295747566</v>
      </c>
      <c r="E11270" t="s">
        <v>1045</v>
      </c>
    </row>
    <row r="11271" spans="1:5" x14ac:dyDescent="0.25">
      <c r="A11271" t="s">
        <v>2</v>
      </c>
      <c r="B11271" t="s">
        <v>3458</v>
      </c>
      <c r="C11271" t="s">
        <v>23490</v>
      </c>
      <c r="D11271" t="str">
        <f>HYPERLINK("https://rhld.insurance.arkansas.gov/NPILookup?Npi=1295749349","1295749349")</f>
        <v>1295749349</v>
      </c>
      <c r="E11271" t="s">
        <v>14975</v>
      </c>
    </row>
    <row r="11272" spans="1:5" x14ac:dyDescent="0.25">
      <c r="A11272" t="s">
        <v>2</v>
      </c>
      <c r="B11272" t="s">
        <v>3458</v>
      </c>
      <c r="C11272" t="s">
        <v>23490</v>
      </c>
      <c r="D11272" t="str">
        <f>HYPERLINK("https://rhld.insurance.arkansas.gov/NPILookup?Npi=1295752368","1295752368")</f>
        <v>1295752368</v>
      </c>
      <c r="E11272" t="s">
        <v>1047</v>
      </c>
    </row>
    <row r="11273" spans="1:5" x14ac:dyDescent="0.25">
      <c r="A11273" t="s">
        <v>2</v>
      </c>
      <c r="B11273" t="s">
        <v>3458</v>
      </c>
      <c r="C11273" t="s">
        <v>23490</v>
      </c>
      <c r="D11273" t="str">
        <f>HYPERLINK("https://rhld.insurance.arkansas.gov/NPILookup?Npi=1295759629","1295759629")</f>
        <v>1295759629</v>
      </c>
      <c r="E11273" t="s">
        <v>1049</v>
      </c>
    </row>
    <row r="11274" spans="1:5" x14ac:dyDescent="0.25">
      <c r="A11274" t="s">
        <v>2</v>
      </c>
      <c r="B11274" t="s">
        <v>3458</v>
      </c>
      <c r="C11274" t="s">
        <v>23490</v>
      </c>
      <c r="D11274" t="str">
        <f>HYPERLINK("https://rhld.insurance.arkansas.gov/NPILookup?Npi=1295776045","1295776045")</f>
        <v>1295776045</v>
      </c>
      <c r="E11274" t="s">
        <v>14976</v>
      </c>
    </row>
    <row r="11275" spans="1:5" x14ac:dyDescent="0.25">
      <c r="A11275" t="s">
        <v>2</v>
      </c>
      <c r="B11275" t="s">
        <v>3458</v>
      </c>
      <c r="C11275" t="s">
        <v>23490</v>
      </c>
      <c r="D11275" t="str">
        <f>HYPERLINK("https://rhld.insurance.arkansas.gov/NPILookup?Npi=1295780690","1295780690")</f>
        <v>1295780690</v>
      </c>
      <c r="E11275" t="s">
        <v>1050</v>
      </c>
    </row>
    <row r="11276" spans="1:5" x14ac:dyDescent="0.25">
      <c r="A11276" t="s">
        <v>2</v>
      </c>
      <c r="B11276" t="s">
        <v>3458</v>
      </c>
      <c r="C11276" t="s">
        <v>23490</v>
      </c>
      <c r="D11276" t="str">
        <f>HYPERLINK("https://rhld.insurance.arkansas.gov/NPILookup?Npi=1295781987","1295781987")</f>
        <v>1295781987</v>
      </c>
      <c r="E11276" t="s">
        <v>8597</v>
      </c>
    </row>
    <row r="11277" spans="1:5" x14ac:dyDescent="0.25">
      <c r="A11277" t="s">
        <v>2</v>
      </c>
      <c r="B11277" t="s">
        <v>3458</v>
      </c>
      <c r="C11277" t="s">
        <v>23490</v>
      </c>
      <c r="D11277" t="str">
        <f>HYPERLINK("https://rhld.insurance.arkansas.gov/NPILookup?Npi=1295791523","1295791523")</f>
        <v>1295791523</v>
      </c>
      <c r="E11277" t="s">
        <v>1051</v>
      </c>
    </row>
    <row r="11278" spans="1:5" x14ac:dyDescent="0.25">
      <c r="A11278" t="s">
        <v>2</v>
      </c>
      <c r="B11278" t="s">
        <v>3458</v>
      </c>
      <c r="C11278" t="s">
        <v>23490</v>
      </c>
      <c r="D11278" t="str">
        <f>HYPERLINK("https://rhld.insurance.arkansas.gov/NPILookup?Npi=1295794857","1295794857")</f>
        <v>1295794857</v>
      </c>
      <c r="E11278" t="s">
        <v>1052</v>
      </c>
    </row>
    <row r="11279" spans="1:5" x14ac:dyDescent="0.25">
      <c r="A11279" t="s">
        <v>2</v>
      </c>
      <c r="B11279" t="s">
        <v>3458</v>
      </c>
      <c r="C11279" t="s">
        <v>23490</v>
      </c>
      <c r="D11279" t="str">
        <f>HYPERLINK("https://rhld.insurance.arkansas.gov/NPILookup?Npi=1295796720","1295796720")</f>
        <v>1295796720</v>
      </c>
      <c r="E11279" t="s">
        <v>1053</v>
      </c>
    </row>
    <row r="11280" spans="1:5" x14ac:dyDescent="0.25">
      <c r="A11280" t="s">
        <v>2</v>
      </c>
      <c r="B11280" t="s">
        <v>3458</v>
      </c>
      <c r="C11280" t="s">
        <v>23490</v>
      </c>
      <c r="D11280" t="str">
        <f>HYPERLINK("https://rhld.insurance.arkansas.gov/NPILookup?Npi=1295806685","1295806685")</f>
        <v>1295806685</v>
      </c>
      <c r="E11280" t="s">
        <v>3636</v>
      </c>
    </row>
    <row r="11281" spans="1:5" x14ac:dyDescent="0.25">
      <c r="A11281" t="s">
        <v>2</v>
      </c>
      <c r="B11281" t="s">
        <v>3458</v>
      </c>
      <c r="C11281" t="s">
        <v>23490</v>
      </c>
      <c r="D11281" t="str">
        <f>HYPERLINK("https://rhld.insurance.arkansas.gov/NPILookup?Npi=1295822823","1295822823")</f>
        <v>1295822823</v>
      </c>
      <c r="E11281" t="s">
        <v>14978</v>
      </c>
    </row>
    <row r="11282" spans="1:5" x14ac:dyDescent="0.25">
      <c r="A11282" t="s">
        <v>2</v>
      </c>
      <c r="B11282" t="s">
        <v>3458</v>
      </c>
      <c r="C11282" t="s">
        <v>23490</v>
      </c>
      <c r="D11282" t="str">
        <f>HYPERLINK("https://rhld.insurance.arkansas.gov/NPILookup?Npi=1295828614","1295828614")</f>
        <v>1295828614</v>
      </c>
      <c r="E11282" t="s">
        <v>14979</v>
      </c>
    </row>
    <row r="11283" spans="1:5" x14ac:dyDescent="0.25">
      <c r="A11283" t="s">
        <v>2</v>
      </c>
      <c r="B11283" t="s">
        <v>3458</v>
      </c>
      <c r="C11283" t="s">
        <v>23490</v>
      </c>
      <c r="D11283" t="str">
        <f>HYPERLINK("https://rhld.insurance.arkansas.gov/NPILookup?Npi=1295833739","1295833739")</f>
        <v>1295833739</v>
      </c>
      <c r="E11283" t="s">
        <v>1054</v>
      </c>
    </row>
    <row r="11284" spans="1:5" x14ac:dyDescent="0.25">
      <c r="A11284" t="s">
        <v>2</v>
      </c>
      <c r="B11284" t="s">
        <v>3458</v>
      </c>
      <c r="C11284" t="s">
        <v>23490</v>
      </c>
      <c r="D11284" t="str">
        <f>HYPERLINK("https://rhld.insurance.arkansas.gov/NPILookup?Npi=1295839397","1295839397")</f>
        <v>1295839397</v>
      </c>
      <c r="E11284" t="s">
        <v>1056</v>
      </c>
    </row>
    <row r="11285" spans="1:5" x14ac:dyDescent="0.25">
      <c r="A11285" t="s">
        <v>2</v>
      </c>
      <c r="B11285" t="s">
        <v>3458</v>
      </c>
      <c r="C11285" t="s">
        <v>23490</v>
      </c>
      <c r="D11285" t="str">
        <f>HYPERLINK("https://rhld.insurance.arkansas.gov/NPILookup?Npi=1295840569","1295840569")</f>
        <v>1295840569</v>
      </c>
      <c r="E11285" t="s">
        <v>1057</v>
      </c>
    </row>
    <row r="11286" spans="1:5" x14ac:dyDescent="0.25">
      <c r="A11286" t="s">
        <v>2</v>
      </c>
      <c r="B11286" t="s">
        <v>3458</v>
      </c>
      <c r="C11286" t="s">
        <v>23490</v>
      </c>
      <c r="D11286" t="str">
        <f>HYPERLINK("https://rhld.insurance.arkansas.gov/NPILookup?Npi=1295863488","1295863488")</f>
        <v>1295863488</v>
      </c>
      <c r="E11286" t="s">
        <v>1058</v>
      </c>
    </row>
    <row r="11287" spans="1:5" x14ac:dyDescent="0.25">
      <c r="A11287" t="s">
        <v>2</v>
      </c>
      <c r="B11287" t="s">
        <v>3458</v>
      </c>
      <c r="C11287" t="s">
        <v>23490</v>
      </c>
      <c r="D11287" t="str">
        <f>HYPERLINK("https://rhld.insurance.arkansas.gov/NPILookup?Npi=1295894442","1295894442")</f>
        <v>1295894442</v>
      </c>
      <c r="E11287" t="s">
        <v>1059</v>
      </c>
    </row>
    <row r="11288" spans="1:5" x14ac:dyDescent="0.25">
      <c r="A11288" t="s">
        <v>2</v>
      </c>
      <c r="B11288" t="s">
        <v>3458</v>
      </c>
      <c r="C11288" t="s">
        <v>23490</v>
      </c>
      <c r="D11288" t="str">
        <f>HYPERLINK("https://rhld.insurance.arkansas.gov/NPILookup?Npi=1295929628","1295929628")</f>
        <v>1295929628</v>
      </c>
      <c r="E11288" t="s">
        <v>1062</v>
      </c>
    </row>
    <row r="11289" spans="1:5" x14ac:dyDescent="0.25">
      <c r="A11289" t="s">
        <v>2</v>
      </c>
      <c r="B11289" t="s">
        <v>3458</v>
      </c>
      <c r="C11289" t="s">
        <v>23490</v>
      </c>
      <c r="D11289" t="str">
        <f>HYPERLINK("https://rhld.insurance.arkansas.gov/NPILookup?Npi=1295935161","1295935161")</f>
        <v>1295935161</v>
      </c>
      <c r="E11289" t="s">
        <v>10812</v>
      </c>
    </row>
    <row r="11290" spans="1:5" x14ac:dyDescent="0.25">
      <c r="A11290" t="s">
        <v>2</v>
      </c>
      <c r="B11290" t="s">
        <v>3458</v>
      </c>
      <c r="C11290" t="s">
        <v>23490</v>
      </c>
      <c r="D11290" t="str">
        <f>HYPERLINK("https://rhld.insurance.arkansas.gov/NPILookup?Npi=1295937001","1295937001")</f>
        <v>1295937001</v>
      </c>
      <c r="E11290" t="s">
        <v>1063</v>
      </c>
    </row>
    <row r="11291" spans="1:5" x14ac:dyDescent="0.25">
      <c r="A11291" t="s">
        <v>2</v>
      </c>
      <c r="B11291" t="s">
        <v>3458</v>
      </c>
      <c r="C11291" t="s">
        <v>23490</v>
      </c>
      <c r="D11291" t="str">
        <f>HYPERLINK("https://rhld.insurance.arkansas.gov/NPILookup?Npi=1295938967","1295938967")</f>
        <v>1295938967</v>
      </c>
      <c r="E11291" t="s">
        <v>3637</v>
      </c>
    </row>
    <row r="11292" spans="1:5" x14ac:dyDescent="0.25">
      <c r="A11292" t="s">
        <v>2</v>
      </c>
      <c r="B11292" t="s">
        <v>3458</v>
      </c>
      <c r="C11292" t="s">
        <v>23490</v>
      </c>
      <c r="D11292" t="str">
        <f>HYPERLINK("https://rhld.insurance.arkansas.gov/NPILookup?Npi=1295956316","1295956316")</f>
        <v>1295956316</v>
      </c>
      <c r="E11292" t="s">
        <v>1065</v>
      </c>
    </row>
    <row r="11293" spans="1:5" x14ac:dyDescent="0.25">
      <c r="A11293" t="s">
        <v>2</v>
      </c>
      <c r="B11293" t="s">
        <v>3458</v>
      </c>
      <c r="C11293" t="s">
        <v>23490</v>
      </c>
      <c r="D11293" t="str">
        <f>HYPERLINK("https://rhld.insurance.arkansas.gov/NPILookup?Npi=1295956472","1295956472")</f>
        <v>1295956472</v>
      </c>
      <c r="E11293" t="s">
        <v>1066</v>
      </c>
    </row>
    <row r="11294" spans="1:5" x14ac:dyDescent="0.25">
      <c r="A11294" t="s">
        <v>2</v>
      </c>
      <c r="B11294" t="s">
        <v>3458</v>
      </c>
      <c r="C11294" t="s">
        <v>23490</v>
      </c>
      <c r="D11294" t="str">
        <f>HYPERLINK("https://rhld.insurance.arkansas.gov/NPILookup?Npi=1295958072","1295958072")</f>
        <v>1295958072</v>
      </c>
      <c r="E11294" t="s">
        <v>3638</v>
      </c>
    </row>
    <row r="11295" spans="1:5" x14ac:dyDescent="0.25">
      <c r="A11295" t="s">
        <v>2</v>
      </c>
      <c r="B11295" t="s">
        <v>3458</v>
      </c>
      <c r="C11295" t="s">
        <v>23490</v>
      </c>
      <c r="D11295" t="str">
        <f>HYPERLINK("https://rhld.insurance.arkansas.gov/NPILookup?Npi=1295959922","1295959922")</f>
        <v>1295959922</v>
      </c>
      <c r="E11295" t="s">
        <v>1067</v>
      </c>
    </row>
    <row r="11296" spans="1:5" x14ac:dyDescent="0.25">
      <c r="A11296" t="s">
        <v>2</v>
      </c>
      <c r="B11296" t="s">
        <v>3458</v>
      </c>
      <c r="C11296" t="s">
        <v>23490</v>
      </c>
      <c r="D11296" t="str">
        <f>HYPERLINK("https://rhld.insurance.arkansas.gov/NPILookup?Npi=1295960748","1295960748")</f>
        <v>1295960748</v>
      </c>
      <c r="E11296" t="s">
        <v>1068</v>
      </c>
    </row>
    <row r="11297" spans="1:5" x14ac:dyDescent="0.25">
      <c r="A11297" t="s">
        <v>2</v>
      </c>
      <c r="B11297" t="s">
        <v>3458</v>
      </c>
      <c r="C11297" t="s">
        <v>23490</v>
      </c>
      <c r="D11297" t="str">
        <f>HYPERLINK("https://rhld.insurance.arkansas.gov/NPILookup?Npi=1295962504","1295962504")</f>
        <v>1295962504</v>
      </c>
      <c r="E11297" t="s">
        <v>1069</v>
      </c>
    </row>
    <row r="11298" spans="1:5" x14ac:dyDescent="0.25">
      <c r="A11298" t="s">
        <v>2</v>
      </c>
      <c r="B11298" t="s">
        <v>3458</v>
      </c>
      <c r="C11298" t="s">
        <v>23490</v>
      </c>
      <c r="D11298" t="str">
        <f>HYPERLINK("https://rhld.insurance.arkansas.gov/NPILookup?Npi=1295967917","1295967917")</f>
        <v>1295967917</v>
      </c>
      <c r="E11298" t="s">
        <v>3639</v>
      </c>
    </row>
    <row r="11299" spans="1:5" x14ac:dyDescent="0.25">
      <c r="A11299" t="s">
        <v>2</v>
      </c>
      <c r="B11299" t="s">
        <v>3458</v>
      </c>
      <c r="C11299" t="s">
        <v>23490</v>
      </c>
      <c r="D11299" t="str">
        <f>HYPERLINK("https://rhld.insurance.arkansas.gov/NPILookup?Npi=1295969632","1295969632")</f>
        <v>1295969632</v>
      </c>
      <c r="E11299" t="s">
        <v>13839</v>
      </c>
    </row>
    <row r="11300" spans="1:5" x14ac:dyDescent="0.25">
      <c r="A11300" t="s">
        <v>2</v>
      </c>
      <c r="B11300" t="s">
        <v>3458</v>
      </c>
      <c r="C11300" t="s">
        <v>23490</v>
      </c>
      <c r="D11300" t="str">
        <f>HYPERLINK("https://rhld.insurance.arkansas.gov/NPILookup?Npi=1295981702","1295981702")</f>
        <v>1295981702</v>
      </c>
      <c r="E11300" t="s">
        <v>3640</v>
      </c>
    </row>
    <row r="11301" spans="1:5" x14ac:dyDescent="0.25">
      <c r="A11301" t="s">
        <v>2</v>
      </c>
      <c r="B11301" t="s">
        <v>3458</v>
      </c>
      <c r="C11301" t="s">
        <v>23490</v>
      </c>
      <c r="D11301" t="str">
        <f>HYPERLINK("https://rhld.insurance.arkansas.gov/NPILookup?Npi=1295990125","1295990125")</f>
        <v>1295990125</v>
      </c>
      <c r="E11301" t="s">
        <v>21727</v>
      </c>
    </row>
    <row r="11302" spans="1:5" x14ac:dyDescent="0.25">
      <c r="A11302" t="s">
        <v>2</v>
      </c>
      <c r="B11302" t="s">
        <v>3458</v>
      </c>
      <c r="C11302" t="s">
        <v>23490</v>
      </c>
      <c r="D11302" t="str">
        <f>HYPERLINK("https://rhld.insurance.arkansas.gov/NPILookup?Npi=1306055181","1306055181")</f>
        <v>1306055181</v>
      </c>
      <c r="E11302" t="s">
        <v>11445</v>
      </c>
    </row>
    <row r="11303" spans="1:5" x14ac:dyDescent="0.25">
      <c r="A11303" t="s">
        <v>2</v>
      </c>
      <c r="B11303" t="s">
        <v>3458</v>
      </c>
      <c r="C11303" t="s">
        <v>23490</v>
      </c>
      <c r="D11303" t="str">
        <f>HYPERLINK("https://rhld.insurance.arkansas.gov/NPILookup?Npi=1306059753","1306059753")</f>
        <v>1306059753</v>
      </c>
      <c r="E11303" t="s">
        <v>1070</v>
      </c>
    </row>
    <row r="11304" spans="1:5" x14ac:dyDescent="0.25">
      <c r="A11304" t="s">
        <v>2</v>
      </c>
      <c r="B11304" t="s">
        <v>3458</v>
      </c>
      <c r="C11304" t="s">
        <v>23490</v>
      </c>
      <c r="D11304" t="str">
        <f>HYPERLINK("https://rhld.insurance.arkansas.gov/NPILookup?Npi=1306060561","1306060561")</f>
        <v>1306060561</v>
      </c>
      <c r="E11304" t="s">
        <v>1071</v>
      </c>
    </row>
    <row r="11305" spans="1:5" x14ac:dyDescent="0.25">
      <c r="A11305" t="s">
        <v>2</v>
      </c>
      <c r="B11305" t="s">
        <v>3458</v>
      </c>
      <c r="C11305" t="s">
        <v>23490</v>
      </c>
      <c r="D11305" t="str">
        <f>HYPERLINK("https://rhld.insurance.arkansas.gov/NPILookup?Npi=1306080569","1306080569")</f>
        <v>1306080569</v>
      </c>
      <c r="E11305" t="s">
        <v>13840</v>
      </c>
    </row>
    <row r="11306" spans="1:5" x14ac:dyDescent="0.25">
      <c r="A11306" t="s">
        <v>2</v>
      </c>
      <c r="B11306" t="s">
        <v>3458</v>
      </c>
      <c r="C11306" t="s">
        <v>23490</v>
      </c>
      <c r="D11306" t="str">
        <f>HYPERLINK("https://rhld.insurance.arkansas.gov/NPILookup?Npi=1306101050","1306101050")</f>
        <v>1306101050</v>
      </c>
      <c r="E11306" t="s">
        <v>14980</v>
      </c>
    </row>
    <row r="11307" spans="1:5" x14ac:dyDescent="0.25">
      <c r="A11307" t="s">
        <v>2</v>
      </c>
      <c r="B11307" t="s">
        <v>3458</v>
      </c>
      <c r="C11307" t="s">
        <v>23490</v>
      </c>
      <c r="D11307" t="str">
        <f>HYPERLINK("https://rhld.insurance.arkansas.gov/NPILookup?Npi=1306108279","1306108279")</f>
        <v>1306108279</v>
      </c>
      <c r="E11307" t="s">
        <v>8600</v>
      </c>
    </row>
    <row r="11308" spans="1:5" x14ac:dyDescent="0.25">
      <c r="A11308" t="s">
        <v>2</v>
      </c>
      <c r="B11308" t="s">
        <v>3458</v>
      </c>
      <c r="C11308" t="s">
        <v>23490</v>
      </c>
      <c r="D11308" t="str">
        <f>HYPERLINK("https://rhld.insurance.arkansas.gov/NPILookup?Npi=1306112396","1306112396")</f>
        <v>1306112396</v>
      </c>
      <c r="E11308" t="s">
        <v>3641</v>
      </c>
    </row>
    <row r="11309" spans="1:5" x14ac:dyDescent="0.25">
      <c r="A11309" t="s">
        <v>2</v>
      </c>
      <c r="B11309" t="s">
        <v>3458</v>
      </c>
      <c r="C11309" t="s">
        <v>23490</v>
      </c>
      <c r="D11309" t="str">
        <f>HYPERLINK("https://rhld.insurance.arkansas.gov/NPILookup?Npi=1306126263","1306126263")</f>
        <v>1306126263</v>
      </c>
      <c r="E11309" t="s">
        <v>14981</v>
      </c>
    </row>
    <row r="11310" spans="1:5" x14ac:dyDescent="0.25">
      <c r="A11310" t="s">
        <v>2</v>
      </c>
      <c r="B11310" t="s">
        <v>3458</v>
      </c>
      <c r="C11310" t="s">
        <v>23490</v>
      </c>
      <c r="D11310" t="str">
        <f>HYPERLINK("https://rhld.insurance.arkansas.gov/NPILookup?Npi=1306130034","1306130034")</f>
        <v>1306130034</v>
      </c>
      <c r="E11310" t="s">
        <v>1074</v>
      </c>
    </row>
    <row r="11311" spans="1:5" x14ac:dyDescent="0.25">
      <c r="A11311" t="s">
        <v>2</v>
      </c>
      <c r="B11311" t="s">
        <v>3458</v>
      </c>
      <c r="C11311" t="s">
        <v>23490</v>
      </c>
      <c r="D11311" t="str">
        <f>HYPERLINK("https://rhld.insurance.arkansas.gov/NPILookup?Npi=1306142336","1306142336")</f>
        <v>1306142336</v>
      </c>
      <c r="E11311" t="s">
        <v>14982</v>
      </c>
    </row>
    <row r="11312" spans="1:5" x14ac:dyDescent="0.25">
      <c r="A11312" t="s">
        <v>2</v>
      </c>
      <c r="B11312" t="s">
        <v>3458</v>
      </c>
      <c r="C11312" t="s">
        <v>23490</v>
      </c>
      <c r="D11312" t="str">
        <f>HYPERLINK("https://rhld.insurance.arkansas.gov/NPILookup?Npi=1306157037","1306157037")</f>
        <v>1306157037</v>
      </c>
      <c r="E11312" t="s">
        <v>8602</v>
      </c>
    </row>
    <row r="11313" spans="1:5" x14ac:dyDescent="0.25">
      <c r="A11313" t="s">
        <v>2</v>
      </c>
      <c r="B11313" t="s">
        <v>3458</v>
      </c>
      <c r="C11313" t="s">
        <v>23490</v>
      </c>
      <c r="D11313" t="str">
        <f>HYPERLINK("https://rhld.insurance.arkansas.gov/NPILookup?Npi=1306163159","1306163159")</f>
        <v>1306163159</v>
      </c>
      <c r="E11313" t="s">
        <v>20237</v>
      </c>
    </row>
    <row r="11314" spans="1:5" x14ac:dyDescent="0.25">
      <c r="A11314" t="s">
        <v>2</v>
      </c>
      <c r="B11314" t="s">
        <v>3458</v>
      </c>
      <c r="C11314" t="s">
        <v>23490</v>
      </c>
      <c r="D11314" t="str">
        <f>HYPERLINK("https://rhld.insurance.arkansas.gov/NPILookup?Npi=1306176755","1306176755")</f>
        <v>1306176755</v>
      </c>
      <c r="E11314" t="s">
        <v>1079</v>
      </c>
    </row>
    <row r="11315" spans="1:5" x14ac:dyDescent="0.25">
      <c r="A11315" t="s">
        <v>2</v>
      </c>
      <c r="B11315" t="s">
        <v>3458</v>
      </c>
      <c r="C11315" t="s">
        <v>23490</v>
      </c>
      <c r="D11315" t="str">
        <f>HYPERLINK("https://rhld.insurance.arkansas.gov/NPILookup?Npi=1306185624","1306185624")</f>
        <v>1306185624</v>
      </c>
      <c r="E11315" t="s">
        <v>3642</v>
      </c>
    </row>
    <row r="11316" spans="1:5" x14ac:dyDescent="0.25">
      <c r="A11316" t="s">
        <v>2</v>
      </c>
      <c r="B11316" t="s">
        <v>3458</v>
      </c>
      <c r="C11316" t="s">
        <v>23490</v>
      </c>
      <c r="D11316" t="str">
        <f>HYPERLINK("https://rhld.insurance.arkansas.gov/NPILookup?Npi=1306192604","1306192604")</f>
        <v>1306192604</v>
      </c>
      <c r="E11316" t="s">
        <v>13841</v>
      </c>
    </row>
    <row r="11317" spans="1:5" x14ac:dyDescent="0.25">
      <c r="A11317" t="s">
        <v>2</v>
      </c>
      <c r="B11317" t="s">
        <v>3458</v>
      </c>
      <c r="C11317" t="s">
        <v>23490</v>
      </c>
      <c r="D11317" t="str">
        <f>HYPERLINK("https://rhld.insurance.arkansas.gov/NPILookup?Npi=1306200738","1306200738")</f>
        <v>1306200738</v>
      </c>
      <c r="E11317" t="s">
        <v>11446</v>
      </c>
    </row>
    <row r="11318" spans="1:5" x14ac:dyDescent="0.25">
      <c r="A11318" t="s">
        <v>2</v>
      </c>
      <c r="B11318" t="s">
        <v>3458</v>
      </c>
      <c r="C11318" t="s">
        <v>23490</v>
      </c>
      <c r="D11318" t="str">
        <f>HYPERLINK("https://rhld.insurance.arkansas.gov/NPILookup?Npi=1306205414","1306205414")</f>
        <v>1306205414</v>
      </c>
      <c r="E11318" t="s">
        <v>8603</v>
      </c>
    </row>
    <row r="11319" spans="1:5" x14ac:dyDescent="0.25">
      <c r="A11319" t="s">
        <v>2</v>
      </c>
      <c r="B11319" t="s">
        <v>3458</v>
      </c>
      <c r="C11319" t="s">
        <v>23490</v>
      </c>
      <c r="D11319" t="str">
        <f>HYPERLINK("https://rhld.insurance.arkansas.gov/NPILookup?Npi=1306205885","1306205885")</f>
        <v>1306205885</v>
      </c>
      <c r="E11319" t="s">
        <v>12814</v>
      </c>
    </row>
    <row r="11320" spans="1:5" x14ac:dyDescent="0.25">
      <c r="A11320" t="s">
        <v>2</v>
      </c>
      <c r="B11320" t="s">
        <v>3458</v>
      </c>
      <c r="C11320" t="s">
        <v>23490</v>
      </c>
      <c r="D11320" t="str">
        <f>HYPERLINK("https://rhld.insurance.arkansas.gov/NPILookup?Npi=1306211164","1306211164")</f>
        <v>1306211164</v>
      </c>
      <c r="E11320" t="s">
        <v>14983</v>
      </c>
    </row>
    <row r="11321" spans="1:5" x14ac:dyDescent="0.25">
      <c r="A11321" t="s">
        <v>2</v>
      </c>
      <c r="B11321" t="s">
        <v>3458</v>
      </c>
      <c r="C11321" t="s">
        <v>23490</v>
      </c>
      <c r="D11321" t="str">
        <f>HYPERLINK("https://rhld.insurance.arkansas.gov/NPILookup?Npi=1306212543","1306212543")</f>
        <v>1306212543</v>
      </c>
      <c r="E11321" t="s">
        <v>8604</v>
      </c>
    </row>
    <row r="11322" spans="1:5" x14ac:dyDescent="0.25">
      <c r="A11322" t="s">
        <v>2</v>
      </c>
      <c r="B11322" t="s">
        <v>3458</v>
      </c>
      <c r="C11322" t="s">
        <v>23490</v>
      </c>
      <c r="D11322" t="str">
        <f>HYPERLINK("https://rhld.insurance.arkansas.gov/NPILookup?Npi=1306227434","1306227434")</f>
        <v>1306227434</v>
      </c>
      <c r="E11322" t="s">
        <v>22918</v>
      </c>
    </row>
    <row r="11323" spans="1:5" x14ac:dyDescent="0.25">
      <c r="A11323" t="s">
        <v>2</v>
      </c>
      <c r="B11323" t="s">
        <v>3458</v>
      </c>
      <c r="C11323" t="s">
        <v>23490</v>
      </c>
      <c r="D11323" t="str">
        <f>HYPERLINK("https://rhld.insurance.arkansas.gov/NPILookup?Npi=1306230586","1306230586")</f>
        <v>1306230586</v>
      </c>
      <c r="E11323" t="s">
        <v>10813</v>
      </c>
    </row>
    <row r="11324" spans="1:5" x14ac:dyDescent="0.25">
      <c r="A11324" t="s">
        <v>2</v>
      </c>
      <c r="B11324" t="s">
        <v>3458</v>
      </c>
      <c r="C11324" t="s">
        <v>23490</v>
      </c>
      <c r="D11324" t="str">
        <f>HYPERLINK("https://rhld.insurance.arkansas.gov/NPILookup?Npi=1306245345","1306245345")</f>
        <v>1306245345</v>
      </c>
      <c r="E11324" t="s">
        <v>8605</v>
      </c>
    </row>
    <row r="11325" spans="1:5" x14ac:dyDescent="0.25">
      <c r="A11325" t="s">
        <v>2</v>
      </c>
      <c r="B11325" t="s">
        <v>3458</v>
      </c>
      <c r="C11325" t="s">
        <v>23490</v>
      </c>
      <c r="D11325" t="str">
        <f>HYPERLINK("https://rhld.insurance.arkansas.gov/NPILookup?Npi=1306249396","1306249396")</f>
        <v>1306249396</v>
      </c>
      <c r="E11325" t="s">
        <v>20238</v>
      </c>
    </row>
    <row r="11326" spans="1:5" x14ac:dyDescent="0.25">
      <c r="A11326" t="s">
        <v>2</v>
      </c>
      <c r="B11326" t="s">
        <v>3458</v>
      </c>
      <c r="C11326" t="s">
        <v>23490</v>
      </c>
      <c r="D11326" t="str">
        <f>HYPERLINK("https://rhld.insurance.arkansas.gov/NPILookup?Npi=1306259866","1306259866")</f>
        <v>1306259866</v>
      </c>
      <c r="E11326" t="s">
        <v>12815</v>
      </c>
    </row>
    <row r="11327" spans="1:5" x14ac:dyDescent="0.25">
      <c r="A11327" t="s">
        <v>2</v>
      </c>
      <c r="B11327" t="s">
        <v>3458</v>
      </c>
      <c r="C11327" t="s">
        <v>23490</v>
      </c>
      <c r="D11327" t="str">
        <f>HYPERLINK("https://rhld.insurance.arkansas.gov/NPILookup?Npi=1306277074","1306277074")</f>
        <v>1306277074</v>
      </c>
      <c r="E11327" t="s">
        <v>458</v>
      </c>
    </row>
    <row r="11328" spans="1:5" x14ac:dyDescent="0.25">
      <c r="A11328" t="s">
        <v>2</v>
      </c>
      <c r="B11328" t="s">
        <v>3458</v>
      </c>
      <c r="C11328" t="s">
        <v>23490</v>
      </c>
      <c r="D11328" t="str">
        <f>HYPERLINK("https://rhld.insurance.arkansas.gov/NPILookup?Npi=1306289012","1306289012")</f>
        <v>1306289012</v>
      </c>
      <c r="E11328" t="s">
        <v>1081</v>
      </c>
    </row>
    <row r="11329" spans="1:5" x14ac:dyDescent="0.25">
      <c r="A11329" t="s">
        <v>2</v>
      </c>
      <c r="B11329" t="s">
        <v>3458</v>
      </c>
      <c r="C11329" t="s">
        <v>23490</v>
      </c>
      <c r="D11329" t="str">
        <f>HYPERLINK("https://rhld.insurance.arkansas.gov/NPILookup?Npi=1306297965","1306297965")</f>
        <v>1306297965</v>
      </c>
      <c r="E11329" t="s">
        <v>10817</v>
      </c>
    </row>
    <row r="11330" spans="1:5" x14ac:dyDescent="0.25">
      <c r="A11330" t="s">
        <v>2</v>
      </c>
      <c r="B11330" t="s">
        <v>3458</v>
      </c>
      <c r="C11330" t="s">
        <v>23490</v>
      </c>
      <c r="D11330" t="str">
        <f>HYPERLINK("https://rhld.insurance.arkansas.gov/NPILookup?Npi=1306326855","1306326855")</f>
        <v>1306326855</v>
      </c>
      <c r="E11330" t="s">
        <v>13464</v>
      </c>
    </row>
    <row r="11331" spans="1:5" x14ac:dyDescent="0.25">
      <c r="A11331" t="s">
        <v>2</v>
      </c>
      <c r="B11331" t="s">
        <v>3458</v>
      </c>
      <c r="C11331" t="s">
        <v>23490</v>
      </c>
      <c r="D11331" t="str">
        <f>HYPERLINK("https://rhld.insurance.arkansas.gov/NPILookup?Npi=1306340393","1306340393")</f>
        <v>1306340393</v>
      </c>
      <c r="E11331" t="s">
        <v>18737</v>
      </c>
    </row>
    <row r="11332" spans="1:5" x14ac:dyDescent="0.25">
      <c r="A11332" t="s">
        <v>2</v>
      </c>
      <c r="B11332" t="s">
        <v>3458</v>
      </c>
      <c r="C11332" t="s">
        <v>23490</v>
      </c>
      <c r="D11332" t="str">
        <f>HYPERLINK("https://rhld.insurance.arkansas.gov/NPILookup?Npi=1306349618","1306349618")</f>
        <v>1306349618</v>
      </c>
      <c r="E11332" t="s">
        <v>14986</v>
      </c>
    </row>
    <row r="11333" spans="1:5" x14ac:dyDescent="0.25">
      <c r="A11333" t="s">
        <v>2</v>
      </c>
      <c r="B11333" t="s">
        <v>3458</v>
      </c>
      <c r="C11333" t="s">
        <v>23490</v>
      </c>
      <c r="D11333" t="str">
        <f>HYPERLINK("https://rhld.insurance.arkansas.gov/NPILookup?Npi=1306365358","1306365358")</f>
        <v>1306365358</v>
      </c>
      <c r="E11333" t="s">
        <v>10818</v>
      </c>
    </row>
    <row r="11334" spans="1:5" x14ac:dyDescent="0.25">
      <c r="A11334" t="s">
        <v>2</v>
      </c>
      <c r="B11334" t="s">
        <v>3458</v>
      </c>
      <c r="C11334" t="s">
        <v>23490</v>
      </c>
      <c r="D11334" t="str">
        <f>HYPERLINK("https://rhld.insurance.arkansas.gov/NPILookup?Npi=1306366984","1306366984")</f>
        <v>1306366984</v>
      </c>
      <c r="E11334" t="s">
        <v>10819</v>
      </c>
    </row>
    <row r="11335" spans="1:5" x14ac:dyDescent="0.25">
      <c r="A11335" t="s">
        <v>2</v>
      </c>
      <c r="B11335" t="s">
        <v>3458</v>
      </c>
      <c r="C11335" t="s">
        <v>23490</v>
      </c>
      <c r="D11335" t="str">
        <f>HYPERLINK("https://rhld.insurance.arkansas.gov/NPILookup?Npi=1306368501","1306368501")</f>
        <v>1306368501</v>
      </c>
      <c r="E11335" t="s">
        <v>14987</v>
      </c>
    </row>
    <row r="11336" spans="1:5" x14ac:dyDescent="0.25">
      <c r="A11336" t="s">
        <v>2</v>
      </c>
      <c r="B11336" t="s">
        <v>3458</v>
      </c>
      <c r="C11336" t="s">
        <v>23490</v>
      </c>
      <c r="D11336" t="str">
        <f>HYPERLINK("https://rhld.insurance.arkansas.gov/NPILookup?Npi=1306375084","1306375084")</f>
        <v>1306375084</v>
      </c>
      <c r="E11336" t="s">
        <v>18738</v>
      </c>
    </row>
    <row r="11337" spans="1:5" x14ac:dyDescent="0.25">
      <c r="A11337" t="s">
        <v>2</v>
      </c>
      <c r="B11337" t="s">
        <v>3458</v>
      </c>
      <c r="C11337" t="s">
        <v>23490</v>
      </c>
      <c r="D11337" t="str">
        <f>HYPERLINK("https://rhld.insurance.arkansas.gov/NPILookup?Npi=1306393061","1306393061")</f>
        <v>1306393061</v>
      </c>
      <c r="E11337" t="s">
        <v>10820</v>
      </c>
    </row>
    <row r="11338" spans="1:5" x14ac:dyDescent="0.25">
      <c r="A11338" t="s">
        <v>2</v>
      </c>
      <c r="B11338" t="s">
        <v>3458</v>
      </c>
      <c r="C11338" t="s">
        <v>23490</v>
      </c>
      <c r="D11338" t="str">
        <f>HYPERLINK("https://rhld.insurance.arkansas.gov/NPILookup?Npi=1306393350","1306393350")</f>
        <v>1306393350</v>
      </c>
      <c r="E11338" t="s">
        <v>14988</v>
      </c>
    </row>
    <row r="11339" spans="1:5" x14ac:dyDescent="0.25">
      <c r="A11339" t="s">
        <v>2</v>
      </c>
      <c r="B11339" t="s">
        <v>3458</v>
      </c>
      <c r="C11339" t="s">
        <v>23490</v>
      </c>
      <c r="D11339" t="str">
        <f>HYPERLINK("https://rhld.insurance.arkansas.gov/NPILookup?Npi=1306394465","1306394465")</f>
        <v>1306394465</v>
      </c>
      <c r="E11339" t="s">
        <v>10821</v>
      </c>
    </row>
    <row r="11340" spans="1:5" x14ac:dyDescent="0.25">
      <c r="A11340" t="s">
        <v>2</v>
      </c>
      <c r="B11340" t="s">
        <v>3458</v>
      </c>
      <c r="C11340" t="s">
        <v>23490</v>
      </c>
      <c r="D11340" t="str">
        <f>HYPERLINK("https://rhld.insurance.arkansas.gov/NPILookup?Npi=1306421862","1306421862")</f>
        <v>1306421862</v>
      </c>
      <c r="E11340" t="s">
        <v>19603</v>
      </c>
    </row>
    <row r="11341" spans="1:5" x14ac:dyDescent="0.25">
      <c r="A11341" t="s">
        <v>2</v>
      </c>
      <c r="B11341" t="s">
        <v>3458</v>
      </c>
      <c r="C11341" t="s">
        <v>23490</v>
      </c>
      <c r="D11341" t="str">
        <f>HYPERLINK("https://rhld.insurance.arkansas.gov/NPILookup?Npi=1306431887","1306431887")</f>
        <v>1306431887</v>
      </c>
      <c r="E11341" t="s">
        <v>18739</v>
      </c>
    </row>
    <row r="11342" spans="1:5" x14ac:dyDescent="0.25">
      <c r="A11342" t="s">
        <v>2</v>
      </c>
      <c r="B11342" t="s">
        <v>3458</v>
      </c>
      <c r="C11342" t="s">
        <v>23490</v>
      </c>
      <c r="D11342" t="str">
        <f>HYPERLINK("https://rhld.insurance.arkansas.gov/NPILookup?Npi=1306452347","1306452347")</f>
        <v>1306452347</v>
      </c>
      <c r="E11342" t="s">
        <v>17942</v>
      </c>
    </row>
    <row r="11343" spans="1:5" x14ac:dyDescent="0.25">
      <c r="A11343" t="s">
        <v>2</v>
      </c>
      <c r="B11343" t="s">
        <v>3458</v>
      </c>
      <c r="C11343" t="s">
        <v>23490</v>
      </c>
      <c r="D11343" t="str">
        <f>HYPERLINK("https://rhld.insurance.arkansas.gov/NPILookup?Npi=1306459516","1306459516")</f>
        <v>1306459516</v>
      </c>
      <c r="E11343" t="s">
        <v>18740</v>
      </c>
    </row>
    <row r="11344" spans="1:5" x14ac:dyDescent="0.25">
      <c r="A11344" t="s">
        <v>2</v>
      </c>
      <c r="B11344" t="s">
        <v>3458</v>
      </c>
      <c r="C11344" t="s">
        <v>8427</v>
      </c>
      <c r="D11344" t="str">
        <f>HYPERLINK("https://rhld.insurance.arkansas.gov/NPILookup?Npi=1306475470","1306475470")</f>
        <v>1306475470</v>
      </c>
      <c r="E11344" t="s">
        <v>22919</v>
      </c>
    </row>
    <row r="11345" spans="1:5" x14ac:dyDescent="0.25">
      <c r="A11345" t="s">
        <v>2</v>
      </c>
      <c r="B11345" t="s">
        <v>3458</v>
      </c>
      <c r="C11345" t="s">
        <v>23490</v>
      </c>
      <c r="D11345" t="str">
        <f>HYPERLINK("https://rhld.insurance.arkansas.gov/NPILookup?Npi=1306476676","1306476676")</f>
        <v>1306476676</v>
      </c>
      <c r="E11345" t="s">
        <v>17414</v>
      </c>
    </row>
    <row r="11346" spans="1:5" x14ac:dyDescent="0.25">
      <c r="A11346" t="s">
        <v>2</v>
      </c>
      <c r="B11346" t="s">
        <v>3458</v>
      </c>
      <c r="C11346" t="s">
        <v>23490</v>
      </c>
      <c r="D11346" t="str">
        <f>HYPERLINK("https://rhld.insurance.arkansas.gov/NPILookup?Npi=1306489281","1306489281")</f>
        <v>1306489281</v>
      </c>
      <c r="E11346" t="s">
        <v>17415</v>
      </c>
    </row>
    <row r="11347" spans="1:5" x14ac:dyDescent="0.25">
      <c r="A11347" t="s">
        <v>2</v>
      </c>
      <c r="B11347" t="s">
        <v>3458</v>
      </c>
      <c r="C11347" t="s">
        <v>23490</v>
      </c>
      <c r="D11347" t="str">
        <f>HYPERLINK("https://rhld.insurance.arkansas.gov/NPILookup?Npi=1306514666","1306514666")</f>
        <v>1306514666</v>
      </c>
      <c r="E11347" t="s">
        <v>18741</v>
      </c>
    </row>
    <row r="11348" spans="1:5" x14ac:dyDescent="0.25">
      <c r="A11348" t="s">
        <v>2</v>
      </c>
      <c r="B11348" t="s">
        <v>3458</v>
      </c>
      <c r="C11348" t="s">
        <v>23490</v>
      </c>
      <c r="D11348" t="str">
        <f>HYPERLINK("https://rhld.insurance.arkansas.gov/NPILookup?Npi=1306569991","1306569991")</f>
        <v>1306569991</v>
      </c>
      <c r="E11348" t="s">
        <v>20924</v>
      </c>
    </row>
    <row r="11349" spans="1:5" x14ac:dyDescent="0.25">
      <c r="A11349" t="s">
        <v>2</v>
      </c>
      <c r="B11349" t="s">
        <v>3458</v>
      </c>
      <c r="C11349" t="s">
        <v>23490</v>
      </c>
      <c r="D11349" t="str">
        <f>HYPERLINK("https://rhld.insurance.arkansas.gov/NPILookup?Npi=1306801196","1306801196")</f>
        <v>1306801196</v>
      </c>
      <c r="E11349" t="s">
        <v>1082</v>
      </c>
    </row>
    <row r="11350" spans="1:5" x14ac:dyDescent="0.25">
      <c r="A11350" t="s">
        <v>2</v>
      </c>
      <c r="B11350" t="s">
        <v>3458</v>
      </c>
      <c r="C11350" t="s">
        <v>23490</v>
      </c>
      <c r="D11350" t="str">
        <f>HYPERLINK("https://rhld.insurance.arkansas.gov/NPILookup?Npi=1306805379","1306805379")</f>
        <v>1306805379</v>
      </c>
      <c r="E11350" t="s">
        <v>1084</v>
      </c>
    </row>
    <row r="11351" spans="1:5" x14ac:dyDescent="0.25">
      <c r="A11351" t="s">
        <v>2</v>
      </c>
      <c r="B11351" t="s">
        <v>3458</v>
      </c>
      <c r="C11351" t="s">
        <v>23490</v>
      </c>
      <c r="D11351" t="str">
        <f>HYPERLINK("https://rhld.insurance.arkansas.gov/NPILookup?Npi=1306806450","1306806450")</f>
        <v>1306806450</v>
      </c>
      <c r="E11351" t="s">
        <v>1085</v>
      </c>
    </row>
    <row r="11352" spans="1:5" x14ac:dyDescent="0.25">
      <c r="A11352" t="s">
        <v>2</v>
      </c>
      <c r="B11352" t="s">
        <v>3458</v>
      </c>
      <c r="C11352" t="s">
        <v>23490</v>
      </c>
      <c r="D11352" t="str">
        <f>HYPERLINK("https://rhld.insurance.arkansas.gov/NPILookup?Npi=1306808829","1306808829")</f>
        <v>1306808829</v>
      </c>
      <c r="E11352" t="s">
        <v>8973</v>
      </c>
    </row>
    <row r="11353" spans="1:5" x14ac:dyDescent="0.25">
      <c r="A11353" t="s">
        <v>2</v>
      </c>
      <c r="B11353" t="s">
        <v>3458</v>
      </c>
      <c r="C11353" t="s">
        <v>23490</v>
      </c>
      <c r="D11353" t="str">
        <f>HYPERLINK("https://rhld.insurance.arkansas.gov/NPILookup?Npi=1306809124","1306809124")</f>
        <v>1306809124</v>
      </c>
      <c r="E11353" t="s">
        <v>1087</v>
      </c>
    </row>
    <row r="11354" spans="1:5" x14ac:dyDescent="0.25">
      <c r="A11354" t="s">
        <v>2</v>
      </c>
      <c r="B11354" t="s">
        <v>3458</v>
      </c>
      <c r="C11354" t="s">
        <v>23490</v>
      </c>
      <c r="D11354" t="str">
        <f>HYPERLINK("https://rhld.insurance.arkansas.gov/NPILookup?Npi=1306810171","1306810171")</f>
        <v>1306810171</v>
      </c>
      <c r="E11354" t="s">
        <v>19606</v>
      </c>
    </row>
    <row r="11355" spans="1:5" x14ac:dyDescent="0.25">
      <c r="A11355" t="s">
        <v>2</v>
      </c>
      <c r="B11355" t="s">
        <v>3458</v>
      </c>
      <c r="C11355" t="s">
        <v>23490</v>
      </c>
      <c r="D11355" t="str">
        <f>HYPERLINK("https://rhld.insurance.arkansas.gov/NPILookup?Npi=1306814470","1306814470")</f>
        <v>1306814470</v>
      </c>
      <c r="E11355" t="s">
        <v>1088</v>
      </c>
    </row>
    <row r="11356" spans="1:5" x14ac:dyDescent="0.25">
      <c r="A11356" t="s">
        <v>2</v>
      </c>
      <c r="B11356" t="s">
        <v>3458</v>
      </c>
      <c r="C11356" t="s">
        <v>23490</v>
      </c>
      <c r="D11356" t="str">
        <f>HYPERLINK("https://rhld.insurance.arkansas.gov/NPILookup?Npi=1306814546","1306814546")</f>
        <v>1306814546</v>
      </c>
      <c r="E11356" t="s">
        <v>1089</v>
      </c>
    </row>
    <row r="11357" spans="1:5" x14ac:dyDescent="0.25">
      <c r="A11357" t="s">
        <v>2</v>
      </c>
      <c r="B11357" t="s">
        <v>3458</v>
      </c>
      <c r="C11357" t="s">
        <v>23490</v>
      </c>
      <c r="D11357" t="str">
        <f>HYPERLINK("https://rhld.insurance.arkansas.gov/NPILookup?Npi=1306815626","1306815626")</f>
        <v>1306815626</v>
      </c>
      <c r="E11357" t="s">
        <v>3643</v>
      </c>
    </row>
    <row r="11358" spans="1:5" x14ac:dyDescent="0.25">
      <c r="A11358" t="s">
        <v>2</v>
      </c>
      <c r="B11358" t="s">
        <v>3458</v>
      </c>
      <c r="C11358" t="s">
        <v>23490</v>
      </c>
      <c r="D11358" t="str">
        <f>HYPERLINK("https://rhld.insurance.arkansas.gov/NPILookup?Npi=1306823273","1306823273")</f>
        <v>1306823273</v>
      </c>
      <c r="E11358" t="s">
        <v>14989</v>
      </c>
    </row>
    <row r="11359" spans="1:5" x14ac:dyDescent="0.25">
      <c r="A11359" t="s">
        <v>2</v>
      </c>
      <c r="B11359" t="s">
        <v>3458</v>
      </c>
      <c r="C11359" t="s">
        <v>23490</v>
      </c>
      <c r="D11359" t="str">
        <f>HYPERLINK("https://rhld.insurance.arkansas.gov/NPILookup?Npi=1306825120","1306825120")</f>
        <v>1306825120</v>
      </c>
      <c r="E11359" t="s">
        <v>8606</v>
      </c>
    </row>
    <row r="11360" spans="1:5" x14ac:dyDescent="0.25">
      <c r="A11360" t="s">
        <v>2</v>
      </c>
      <c r="B11360" t="s">
        <v>3458</v>
      </c>
      <c r="C11360" t="s">
        <v>23490</v>
      </c>
      <c r="D11360" t="str">
        <f>HYPERLINK("https://rhld.insurance.arkansas.gov/NPILookup?Npi=1306825443","1306825443")</f>
        <v>1306825443</v>
      </c>
      <c r="E11360" t="s">
        <v>1091</v>
      </c>
    </row>
    <row r="11361" spans="1:5" x14ac:dyDescent="0.25">
      <c r="A11361" t="s">
        <v>2</v>
      </c>
      <c r="B11361" t="s">
        <v>3458</v>
      </c>
      <c r="C11361" t="s">
        <v>23490</v>
      </c>
      <c r="D11361" t="str">
        <f>HYPERLINK("https://rhld.insurance.arkansas.gov/NPILookup?Npi=1306830468","1306830468")</f>
        <v>1306830468</v>
      </c>
      <c r="E11361" t="s">
        <v>1092</v>
      </c>
    </row>
    <row r="11362" spans="1:5" x14ac:dyDescent="0.25">
      <c r="A11362" t="s">
        <v>2</v>
      </c>
      <c r="B11362" t="s">
        <v>3458</v>
      </c>
      <c r="C11362" t="s">
        <v>23490</v>
      </c>
      <c r="D11362" t="str">
        <f>HYPERLINK("https://rhld.insurance.arkansas.gov/NPILookup?Npi=1306833116","1306833116")</f>
        <v>1306833116</v>
      </c>
      <c r="E11362" t="s">
        <v>1094</v>
      </c>
    </row>
    <row r="11363" spans="1:5" x14ac:dyDescent="0.25">
      <c r="A11363" t="s">
        <v>2</v>
      </c>
      <c r="B11363" t="s">
        <v>3458</v>
      </c>
      <c r="C11363" t="s">
        <v>23490</v>
      </c>
      <c r="D11363" t="str">
        <f>HYPERLINK("https://rhld.insurance.arkansas.gov/NPILookup?Npi=1306833702","1306833702")</f>
        <v>1306833702</v>
      </c>
      <c r="E11363" t="s">
        <v>1095</v>
      </c>
    </row>
    <row r="11364" spans="1:5" x14ac:dyDescent="0.25">
      <c r="A11364" t="s">
        <v>2</v>
      </c>
      <c r="B11364" t="s">
        <v>3458</v>
      </c>
      <c r="C11364" t="s">
        <v>23490</v>
      </c>
      <c r="D11364" t="str">
        <f>HYPERLINK("https://rhld.insurance.arkansas.gov/NPILookup?Npi=1306834288","1306834288")</f>
        <v>1306834288</v>
      </c>
      <c r="E11364" t="s">
        <v>14990</v>
      </c>
    </row>
    <row r="11365" spans="1:5" x14ac:dyDescent="0.25">
      <c r="A11365" t="s">
        <v>2</v>
      </c>
      <c r="B11365" t="s">
        <v>3458</v>
      </c>
      <c r="C11365" t="s">
        <v>23490</v>
      </c>
      <c r="D11365" t="str">
        <f>HYPERLINK("https://rhld.insurance.arkansas.gov/NPILookup?Npi=1306835756","1306835756")</f>
        <v>1306835756</v>
      </c>
      <c r="E11365" t="s">
        <v>1096</v>
      </c>
    </row>
    <row r="11366" spans="1:5" x14ac:dyDescent="0.25">
      <c r="A11366" t="s">
        <v>2</v>
      </c>
      <c r="B11366" t="s">
        <v>3458</v>
      </c>
      <c r="C11366" t="s">
        <v>23490</v>
      </c>
      <c r="D11366" t="str">
        <f>HYPERLINK("https://rhld.insurance.arkansas.gov/NPILookup?Npi=1306839345","1306839345")</f>
        <v>1306839345</v>
      </c>
      <c r="E11366" t="s">
        <v>3644</v>
      </c>
    </row>
    <row r="11367" spans="1:5" x14ac:dyDescent="0.25">
      <c r="A11367" t="s">
        <v>2</v>
      </c>
      <c r="B11367" t="s">
        <v>3458</v>
      </c>
      <c r="C11367" t="s">
        <v>23490</v>
      </c>
      <c r="D11367" t="str">
        <f>HYPERLINK("https://rhld.insurance.arkansas.gov/NPILookup?Npi=1306839402","1306839402")</f>
        <v>1306839402</v>
      </c>
      <c r="E11367" t="s">
        <v>14991</v>
      </c>
    </row>
    <row r="11368" spans="1:5" x14ac:dyDescent="0.25">
      <c r="A11368" t="s">
        <v>2</v>
      </c>
      <c r="B11368" t="s">
        <v>3458</v>
      </c>
      <c r="C11368" t="s">
        <v>23490</v>
      </c>
      <c r="D11368" t="str">
        <f>HYPERLINK("https://rhld.insurance.arkansas.gov/NPILookup?Npi=1306845789","1306845789")</f>
        <v>1306845789</v>
      </c>
      <c r="E11368" t="s">
        <v>10822</v>
      </c>
    </row>
    <row r="11369" spans="1:5" x14ac:dyDescent="0.25">
      <c r="A11369" t="s">
        <v>2</v>
      </c>
      <c r="B11369" t="s">
        <v>3458</v>
      </c>
      <c r="C11369" t="s">
        <v>23490</v>
      </c>
      <c r="D11369" t="str">
        <f>HYPERLINK("https://rhld.insurance.arkansas.gov/NPILookup?Npi=1306858436","1306858436")</f>
        <v>1306858436</v>
      </c>
      <c r="E11369" t="s">
        <v>1098</v>
      </c>
    </row>
    <row r="11370" spans="1:5" x14ac:dyDescent="0.25">
      <c r="A11370" t="s">
        <v>2</v>
      </c>
      <c r="B11370" t="s">
        <v>3458</v>
      </c>
      <c r="C11370" t="s">
        <v>23490</v>
      </c>
      <c r="D11370" t="str">
        <f>HYPERLINK("https://rhld.insurance.arkansas.gov/NPILookup?Npi=1306865522","1306865522")</f>
        <v>1306865522</v>
      </c>
      <c r="E11370" t="s">
        <v>1100</v>
      </c>
    </row>
    <row r="11371" spans="1:5" x14ac:dyDescent="0.25">
      <c r="A11371" t="s">
        <v>2</v>
      </c>
      <c r="B11371" t="s">
        <v>3458</v>
      </c>
      <c r="C11371" t="s">
        <v>23490</v>
      </c>
      <c r="D11371" t="str">
        <f>HYPERLINK("https://rhld.insurance.arkansas.gov/NPILookup?Npi=1306868674","1306868674")</f>
        <v>1306868674</v>
      </c>
      <c r="E11371" t="s">
        <v>1101</v>
      </c>
    </row>
    <row r="11372" spans="1:5" x14ac:dyDescent="0.25">
      <c r="A11372" t="s">
        <v>2</v>
      </c>
      <c r="B11372" t="s">
        <v>3458</v>
      </c>
      <c r="C11372" t="s">
        <v>23490</v>
      </c>
      <c r="D11372" t="str">
        <f>HYPERLINK("https://rhld.insurance.arkansas.gov/NPILookup?Npi=1306869375","1306869375")</f>
        <v>1306869375</v>
      </c>
      <c r="E11372" t="s">
        <v>19607</v>
      </c>
    </row>
    <row r="11373" spans="1:5" x14ac:dyDescent="0.25">
      <c r="A11373" t="s">
        <v>2</v>
      </c>
      <c r="B11373" t="s">
        <v>3458</v>
      </c>
      <c r="C11373" t="s">
        <v>23490</v>
      </c>
      <c r="D11373" t="str">
        <f>HYPERLINK("https://rhld.insurance.arkansas.gov/NPILookup?Npi=1306882816","1306882816")</f>
        <v>1306882816</v>
      </c>
      <c r="E11373" t="s">
        <v>3646</v>
      </c>
    </row>
    <row r="11374" spans="1:5" x14ac:dyDescent="0.25">
      <c r="A11374" t="s">
        <v>2</v>
      </c>
      <c r="B11374" t="s">
        <v>3458</v>
      </c>
      <c r="C11374" t="s">
        <v>23490</v>
      </c>
      <c r="D11374" t="str">
        <f>HYPERLINK("https://rhld.insurance.arkansas.gov/NPILookup?Npi=1306885116","1306885116")</f>
        <v>1306885116</v>
      </c>
      <c r="E11374" t="s">
        <v>1105</v>
      </c>
    </row>
    <row r="11375" spans="1:5" x14ac:dyDescent="0.25">
      <c r="A11375" t="s">
        <v>2</v>
      </c>
      <c r="B11375" t="s">
        <v>3458</v>
      </c>
      <c r="C11375" t="s">
        <v>23490</v>
      </c>
      <c r="D11375" t="str">
        <f>HYPERLINK("https://rhld.insurance.arkansas.gov/NPILookup?Npi=1306885520","1306885520")</f>
        <v>1306885520</v>
      </c>
      <c r="E11375" t="s">
        <v>8608</v>
      </c>
    </row>
    <row r="11376" spans="1:5" x14ac:dyDescent="0.25">
      <c r="A11376" t="s">
        <v>2</v>
      </c>
      <c r="B11376" t="s">
        <v>3458</v>
      </c>
      <c r="C11376" t="s">
        <v>23490</v>
      </c>
      <c r="D11376" t="str">
        <f>HYPERLINK("https://rhld.insurance.arkansas.gov/NPILookup?Npi=1306895586","1306895586")</f>
        <v>1306895586</v>
      </c>
      <c r="E11376" t="s">
        <v>1106</v>
      </c>
    </row>
    <row r="11377" spans="1:5" x14ac:dyDescent="0.25">
      <c r="A11377" t="s">
        <v>2</v>
      </c>
      <c r="B11377" t="s">
        <v>3458</v>
      </c>
      <c r="C11377" t="s">
        <v>23490</v>
      </c>
      <c r="D11377" t="str">
        <f>HYPERLINK("https://rhld.insurance.arkansas.gov/NPILookup?Npi=1306896386","1306896386")</f>
        <v>1306896386</v>
      </c>
      <c r="E11377" t="s">
        <v>14992</v>
      </c>
    </row>
    <row r="11378" spans="1:5" x14ac:dyDescent="0.25">
      <c r="A11378" t="s">
        <v>2</v>
      </c>
      <c r="B11378" t="s">
        <v>3458</v>
      </c>
      <c r="C11378" t="s">
        <v>23490</v>
      </c>
      <c r="D11378" t="str">
        <f>HYPERLINK("https://rhld.insurance.arkansas.gov/NPILookup?Npi=1306922067","1306922067")</f>
        <v>1306922067</v>
      </c>
      <c r="E11378" t="s">
        <v>3647</v>
      </c>
    </row>
    <row r="11379" spans="1:5" x14ac:dyDescent="0.25">
      <c r="A11379" t="s">
        <v>2</v>
      </c>
      <c r="B11379" t="s">
        <v>3458</v>
      </c>
      <c r="C11379" t="s">
        <v>23490</v>
      </c>
      <c r="D11379" t="str">
        <f>HYPERLINK("https://rhld.insurance.arkansas.gov/NPILookup?Npi=1306944913","1306944913")</f>
        <v>1306944913</v>
      </c>
      <c r="E11379" t="s">
        <v>1107</v>
      </c>
    </row>
    <row r="11380" spans="1:5" x14ac:dyDescent="0.25">
      <c r="A11380" t="s">
        <v>2</v>
      </c>
      <c r="B11380" t="s">
        <v>3458</v>
      </c>
      <c r="C11380" t="s">
        <v>23490</v>
      </c>
      <c r="D11380" t="str">
        <f>HYPERLINK("https://rhld.insurance.arkansas.gov/NPILookup?Npi=1306956032","1306956032")</f>
        <v>1306956032</v>
      </c>
      <c r="E11380" t="s">
        <v>1108</v>
      </c>
    </row>
    <row r="11381" spans="1:5" x14ac:dyDescent="0.25">
      <c r="A11381" t="s">
        <v>2</v>
      </c>
      <c r="B11381" t="s">
        <v>3458</v>
      </c>
      <c r="C11381" t="s">
        <v>23490</v>
      </c>
      <c r="D11381" t="str">
        <f>HYPERLINK("https://rhld.insurance.arkansas.gov/NPILookup?Npi=1306957006","1306957006")</f>
        <v>1306957006</v>
      </c>
      <c r="E11381" t="s">
        <v>1109</v>
      </c>
    </row>
    <row r="11382" spans="1:5" x14ac:dyDescent="0.25">
      <c r="A11382" t="s">
        <v>2</v>
      </c>
      <c r="B11382" t="s">
        <v>3458</v>
      </c>
      <c r="C11382" t="s">
        <v>23490</v>
      </c>
      <c r="D11382" t="str">
        <f>HYPERLINK("https://rhld.insurance.arkansas.gov/NPILookup?Npi=1306976212","1306976212")</f>
        <v>1306976212</v>
      </c>
      <c r="E11382" t="s">
        <v>1110</v>
      </c>
    </row>
    <row r="11383" spans="1:5" x14ac:dyDescent="0.25">
      <c r="A11383" t="s">
        <v>2</v>
      </c>
      <c r="B11383" t="s">
        <v>3458</v>
      </c>
      <c r="C11383" t="s">
        <v>23490</v>
      </c>
      <c r="D11383" t="str">
        <f>HYPERLINK("https://rhld.insurance.arkansas.gov/NPILookup?Npi=1306989306","1306989306")</f>
        <v>1306989306</v>
      </c>
      <c r="E11383" t="s">
        <v>3648</v>
      </c>
    </row>
    <row r="11384" spans="1:5" x14ac:dyDescent="0.25">
      <c r="A11384" t="s">
        <v>2</v>
      </c>
      <c r="B11384" t="s">
        <v>3458</v>
      </c>
      <c r="C11384" t="s">
        <v>23490</v>
      </c>
      <c r="D11384" t="str">
        <f>HYPERLINK("https://rhld.insurance.arkansas.gov/NPILookup?Npi=1306995527","1306995527")</f>
        <v>1306995527</v>
      </c>
      <c r="E11384" t="s">
        <v>1111</v>
      </c>
    </row>
    <row r="11385" spans="1:5" x14ac:dyDescent="0.25">
      <c r="A11385" t="s">
        <v>2</v>
      </c>
      <c r="B11385" t="s">
        <v>3458</v>
      </c>
      <c r="C11385" t="s">
        <v>23490</v>
      </c>
      <c r="D11385" t="str">
        <f>HYPERLINK("https://rhld.insurance.arkansas.gov/NPILookup?Npi=1316003098","1316003098")</f>
        <v>1316003098</v>
      </c>
      <c r="E11385" t="s">
        <v>14993</v>
      </c>
    </row>
    <row r="11386" spans="1:5" x14ac:dyDescent="0.25">
      <c r="A11386" t="s">
        <v>2</v>
      </c>
      <c r="B11386" t="s">
        <v>3458</v>
      </c>
      <c r="C11386" t="s">
        <v>23490</v>
      </c>
      <c r="D11386" t="str">
        <f>HYPERLINK("https://rhld.insurance.arkansas.gov/NPILookup?Npi=1316041445","1316041445")</f>
        <v>1316041445</v>
      </c>
      <c r="E11386" t="s">
        <v>1113</v>
      </c>
    </row>
    <row r="11387" spans="1:5" x14ac:dyDescent="0.25">
      <c r="A11387" t="s">
        <v>2</v>
      </c>
      <c r="B11387" t="s">
        <v>3458</v>
      </c>
      <c r="C11387" t="s">
        <v>23490</v>
      </c>
      <c r="D11387" t="str">
        <f>HYPERLINK("https://rhld.insurance.arkansas.gov/NPILookup?Npi=1316046493","1316046493")</f>
        <v>1316046493</v>
      </c>
      <c r="E11387" t="s">
        <v>3649</v>
      </c>
    </row>
    <row r="11388" spans="1:5" x14ac:dyDescent="0.25">
      <c r="A11388" t="s">
        <v>2</v>
      </c>
      <c r="B11388" t="s">
        <v>3458</v>
      </c>
      <c r="C11388" t="s">
        <v>23490</v>
      </c>
      <c r="D11388" t="str">
        <f>HYPERLINK("https://rhld.insurance.arkansas.gov/NPILookup?Npi=1316048085","1316048085")</f>
        <v>1316048085</v>
      </c>
      <c r="E11388" t="s">
        <v>1114</v>
      </c>
    </row>
    <row r="11389" spans="1:5" x14ac:dyDescent="0.25">
      <c r="A11389" t="s">
        <v>2</v>
      </c>
      <c r="B11389" t="s">
        <v>3458</v>
      </c>
      <c r="C11389" t="s">
        <v>23490</v>
      </c>
      <c r="D11389" t="str">
        <f>HYPERLINK("https://rhld.insurance.arkansas.gov/NPILookup?Npi=1316089147","1316089147")</f>
        <v>1316089147</v>
      </c>
      <c r="E11389" t="s">
        <v>1115</v>
      </c>
    </row>
    <row r="11390" spans="1:5" x14ac:dyDescent="0.25">
      <c r="A11390" t="s">
        <v>2</v>
      </c>
      <c r="B11390" t="s">
        <v>3458</v>
      </c>
      <c r="C11390" t="s">
        <v>23490</v>
      </c>
      <c r="D11390" t="str">
        <f>HYPERLINK("https://rhld.insurance.arkansas.gov/NPILookup?Npi=1316100373","1316100373")</f>
        <v>1316100373</v>
      </c>
      <c r="E11390" t="s">
        <v>3650</v>
      </c>
    </row>
    <row r="11391" spans="1:5" x14ac:dyDescent="0.25">
      <c r="A11391" t="s">
        <v>2</v>
      </c>
      <c r="B11391" t="s">
        <v>3458</v>
      </c>
      <c r="C11391" t="s">
        <v>23490</v>
      </c>
      <c r="D11391" t="str">
        <f>HYPERLINK("https://rhld.insurance.arkansas.gov/NPILookup?Npi=1316102379","1316102379")</f>
        <v>1316102379</v>
      </c>
      <c r="E11391" t="s">
        <v>17943</v>
      </c>
    </row>
    <row r="11392" spans="1:5" x14ac:dyDescent="0.25">
      <c r="A11392" t="s">
        <v>2</v>
      </c>
      <c r="B11392" t="s">
        <v>3458</v>
      </c>
      <c r="C11392" t="s">
        <v>23490</v>
      </c>
      <c r="D11392" t="str">
        <f>HYPERLINK("https://rhld.insurance.arkansas.gov/NPILookup?Npi=1316107121","1316107121")</f>
        <v>1316107121</v>
      </c>
      <c r="E11392" t="s">
        <v>1116</v>
      </c>
    </row>
    <row r="11393" spans="1:5" x14ac:dyDescent="0.25">
      <c r="A11393" t="s">
        <v>2</v>
      </c>
      <c r="B11393" t="s">
        <v>3458</v>
      </c>
      <c r="C11393" t="s">
        <v>23490</v>
      </c>
      <c r="D11393" t="str">
        <f>HYPERLINK("https://rhld.insurance.arkansas.gov/NPILookup?Npi=1316109762","1316109762")</f>
        <v>1316109762</v>
      </c>
      <c r="E11393" t="s">
        <v>1117</v>
      </c>
    </row>
    <row r="11394" spans="1:5" x14ac:dyDescent="0.25">
      <c r="A11394" t="s">
        <v>2</v>
      </c>
      <c r="B11394" t="s">
        <v>3458</v>
      </c>
      <c r="C11394" t="s">
        <v>23490</v>
      </c>
      <c r="D11394" t="str">
        <f>HYPERLINK("https://rhld.insurance.arkansas.gov/NPILookup?Npi=1316155914","1316155914")</f>
        <v>1316155914</v>
      </c>
      <c r="E11394" t="s">
        <v>20239</v>
      </c>
    </row>
    <row r="11395" spans="1:5" x14ac:dyDescent="0.25">
      <c r="A11395" t="s">
        <v>2</v>
      </c>
      <c r="B11395" t="s">
        <v>3458</v>
      </c>
      <c r="C11395" t="s">
        <v>23490</v>
      </c>
      <c r="D11395" t="str">
        <f>HYPERLINK("https://rhld.insurance.arkansas.gov/NPILookup?Npi=1316193345","1316193345")</f>
        <v>1316193345</v>
      </c>
      <c r="E11395" t="s">
        <v>1119</v>
      </c>
    </row>
    <row r="11396" spans="1:5" x14ac:dyDescent="0.25">
      <c r="A11396" t="s">
        <v>2</v>
      </c>
      <c r="B11396" t="s">
        <v>3458</v>
      </c>
      <c r="C11396" t="s">
        <v>23490</v>
      </c>
      <c r="D11396" t="str">
        <f>HYPERLINK("https://rhld.insurance.arkansas.gov/NPILookup?Npi=1316193691","1316193691")</f>
        <v>1316193691</v>
      </c>
      <c r="E11396" t="s">
        <v>1120</v>
      </c>
    </row>
    <row r="11397" spans="1:5" x14ac:dyDescent="0.25">
      <c r="A11397" t="s">
        <v>2</v>
      </c>
      <c r="B11397" t="s">
        <v>3458</v>
      </c>
      <c r="C11397" t="s">
        <v>23490</v>
      </c>
      <c r="D11397" t="str">
        <f>HYPERLINK("https://rhld.insurance.arkansas.gov/NPILookup?Npi=1316201312","1316201312")</f>
        <v>1316201312</v>
      </c>
      <c r="E11397" t="s">
        <v>10824</v>
      </c>
    </row>
    <row r="11398" spans="1:5" x14ac:dyDescent="0.25">
      <c r="A11398" t="s">
        <v>2</v>
      </c>
      <c r="B11398" t="s">
        <v>3458</v>
      </c>
      <c r="C11398" t="s">
        <v>23490</v>
      </c>
      <c r="D11398" t="str">
        <f>HYPERLINK("https://rhld.insurance.arkansas.gov/NPILookup?Npi=1316204746","1316204746")</f>
        <v>1316204746</v>
      </c>
      <c r="E11398" t="s">
        <v>10825</v>
      </c>
    </row>
    <row r="11399" spans="1:5" x14ac:dyDescent="0.25">
      <c r="A11399" t="s">
        <v>2</v>
      </c>
      <c r="B11399" t="s">
        <v>3458</v>
      </c>
      <c r="C11399" t="s">
        <v>23490</v>
      </c>
      <c r="D11399" t="str">
        <f>HYPERLINK("https://rhld.insurance.arkansas.gov/NPILookup?Npi=1316209059","1316209059")</f>
        <v>1316209059</v>
      </c>
      <c r="E11399" t="s">
        <v>11447</v>
      </c>
    </row>
    <row r="11400" spans="1:5" x14ac:dyDescent="0.25">
      <c r="A11400" t="s">
        <v>2</v>
      </c>
      <c r="B11400" t="s">
        <v>3458</v>
      </c>
      <c r="C11400" t="s">
        <v>23490</v>
      </c>
      <c r="D11400" t="str">
        <f>HYPERLINK("https://rhld.insurance.arkansas.gov/NPILookup?Npi=1316211469","1316211469")</f>
        <v>1316211469</v>
      </c>
      <c r="E11400" t="s">
        <v>13465</v>
      </c>
    </row>
    <row r="11401" spans="1:5" x14ac:dyDescent="0.25">
      <c r="A11401" t="s">
        <v>2</v>
      </c>
      <c r="B11401" t="s">
        <v>3458</v>
      </c>
      <c r="C11401" t="s">
        <v>23490</v>
      </c>
      <c r="D11401" t="str">
        <f>HYPERLINK("https://rhld.insurance.arkansas.gov/NPILookup?Npi=1316211782","1316211782")</f>
        <v>1316211782</v>
      </c>
      <c r="E11401" t="s">
        <v>1121</v>
      </c>
    </row>
    <row r="11402" spans="1:5" x14ac:dyDescent="0.25">
      <c r="A11402" t="s">
        <v>2</v>
      </c>
      <c r="B11402" t="s">
        <v>3458</v>
      </c>
      <c r="C11402" t="s">
        <v>23490</v>
      </c>
      <c r="D11402" t="str">
        <f>HYPERLINK("https://rhld.insurance.arkansas.gov/NPILookup?Npi=1316220049","1316220049")</f>
        <v>1316220049</v>
      </c>
      <c r="E11402" t="s">
        <v>1122</v>
      </c>
    </row>
    <row r="11403" spans="1:5" x14ac:dyDescent="0.25">
      <c r="A11403" t="s">
        <v>2</v>
      </c>
      <c r="B11403" t="s">
        <v>3458</v>
      </c>
      <c r="C11403" t="s">
        <v>23490</v>
      </c>
      <c r="D11403" t="str">
        <f>HYPERLINK("https://rhld.insurance.arkansas.gov/NPILookup?Npi=1316265820","1316265820")</f>
        <v>1316265820</v>
      </c>
      <c r="E11403" t="s">
        <v>1125</v>
      </c>
    </row>
    <row r="11404" spans="1:5" x14ac:dyDescent="0.25">
      <c r="A11404" t="s">
        <v>2</v>
      </c>
      <c r="B11404" t="s">
        <v>3458</v>
      </c>
      <c r="C11404" t="s">
        <v>23490</v>
      </c>
      <c r="D11404" t="str">
        <f>HYPERLINK("https://rhld.insurance.arkansas.gov/NPILookup?Npi=1316293186","1316293186")</f>
        <v>1316293186</v>
      </c>
      <c r="E11404" t="s">
        <v>10826</v>
      </c>
    </row>
    <row r="11405" spans="1:5" x14ac:dyDescent="0.25">
      <c r="A11405" t="s">
        <v>2</v>
      </c>
      <c r="B11405" t="s">
        <v>3458</v>
      </c>
      <c r="C11405" t="s">
        <v>23490</v>
      </c>
      <c r="D11405" t="str">
        <f>HYPERLINK("https://rhld.insurance.arkansas.gov/NPILookup?Npi=1316303993","1316303993")</f>
        <v>1316303993</v>
      </c>
      <c r="E11405" t="s">
        <v>22920</v>
      </c>
    </row>
    <row r="11406" spans="1:5" x14ac:dyDescent="0.25">
      <c r="A11406" t="s">
        <v>2</v>
      </c>
      <c r="B11406" t="s">
        <v>3458</v>
      </c>
      <c r="C11406" t="s">
        <v>23490</v>
      </c>
      <c r="D11406" t="str">
        <f>HYPERLINK("https://rhld.insurance.arkansas.gov/NPILookup?Npi=1316308646","1316308646")</f>
        <v>1316308646</v>
      </c>
      <c r="E11406" t="s">
        <v>8611</v>
      </c>
    </row>
    <row r="11407" spans="1:5" x14ac:dyDescent="0.25">
      <c r="A11407" t="s">
        <v>2</v>
      </c>
      <c r="B11407" t="s">
        <v>3458</v>
      </c>
      <c r="C11407" t="s">
        <v>23490</v>
      </c>
      <c r="D11407" t="str">
        <f>HYPERLINK("https://rhld.insurance.arkansas.gov/NPILookup?Npi=1316322787","1316322787")</f>
        <v>1316322787</v>
      </c>
      <c r="E11407" t="s">
        <v>8612</v>
      </c>
    </row>
    <row r="11408" spans="1:5" x14ac:dyDescent="0.25">
      <c r="A11408" t="s">
        <v>2</v>
      </c>
      <c r="B11408" t="s">
        <v>3458</v>
      </c>
      <c r="C11408" t="s">
        <v>23490</v>
      </c>
      <c r="D11408" t="str">
        <f>HYPERLINK("https://rhld.insurance.arkansas.gov/NPILookup?Npi=1316338361","1316338361")</f>
        <v>1316338361</v>
      </c>
      <c r="E11408" t="s">
        <v>1126</v>
      </c>
    </row>
    <row r="11409" spans="1:5" x14ac:dyDescent="0.25">
      <c r="A11409" t="s">
        <v>2</v>
      </c>
      <c r="B11409" t="s">
        <v>3458</v>
      </c>
      <c r="C11409" t="s">
        <v>23490</v>
      </c>
      <c r="D11409" t="str">
        <f>HYPERLINK("https://rhld.insurance.arkansas.gov/NPILookup?Npi=1316338593","1316338593")</f>
        <v>1316338593</v>
      </c>
      <c r="E11409" t="s">
        <v>12973</v>
      </c>
    </row>
    <row r="11410" spans="1:5" x14ac:dyDescent="0.25">
      <c r="A11410" t="s">
        <v>2</v>
      </c>
      <c r="B11410" t="s">
        <v>3458</v>
      </c>
      <c r="C11410" t="s">
        <v>23490</v>
      </c>
      <c r="D11410" t="str">
        <f>HYPERLINK("https://rhld.insurance.arkansas.gov/NPILookup?Npi=1316338833","1316338833")</f>
        <v>1316338833</v>
      </c>
      <c r="E11410" t="s">
        <v>19609</v>
      </c>
    </row>
    <row r="11411" spans="1:5" x14ac:dyDescent="0.25">
      <c r="A11411" t="s">
        <v>2</v>
      </c>
      <c r="B11411" t="s">
        <v>3458</v>
      </c>
      <c r="C11411" t="s">
        <v>23490</v>
      </c>
      <c r="D11411" t="str">
        <f>HYPERLINK("https://rhld.insurance.arkansas.gov/NPILookup?Npi=1316346992","1316346992")</f>
        <v>1316346992</v>
      </c>
      <c r="E11411" t="s">
        <v>14995</v>
      </c>
    </row>
    <row r="11412" spans="1:5" x14ac:dyDescent="0.25">
      <c r="A11412" t="s">
        <v>2</v>
      </c>
      <c r="B11412" t="s">
        <v>3458</v>
      </c>
      <c r="C11412" t="s">
        <v>23490</v>
      </c>
      <c r="D11412" t="str">
        <f>HYPERLINK("https://rhld.insurance.arkansas.gov/NPILookup?Npi=1316356454","1316356454")</f>
        <v>1316356454</v>
      </c>
      <c r="E11412" t="s">
        <v>12974</v>
      </c>
    </row>
    <row r="11413" spans="1:5" x14ac:dyDescent="0.25">
      <c r="A11413" t="s">
        <v>2</v>
      </c>
      <c r="B11413" t="s">
        <v>3458</v>
      </c>
      <c r="C11413" t="s">
        <v>23490</v>
      </c>
      <c r="D11413" t="str">
        <f>HYPERLINK("https://rhld.insurance.arkansas.gov/NPILookup?Npi=1316359300","1316359300")</f>
        <v>1316359300</v>
      </c>
      <c r="E11413" t="s">
        <v>10827</v>
      </c>
    </row>
    <row r="11414" spans="1:5" x14ac:dyDescent="0.25">
      <c r="A11414" t="s">
        <v>2</v>
      </c>
      <c r="B11414" t="s">
        <v>3458</v>
      </c>
      <c r="C11414" t="s">
        <v>23490</v>
      </c>
      <c r="D11414" t="str">
        <f>HYPERLINK("https://rhld.insurance.arkansas.gov/NPILookup?Npi=1316360191","1316360191")</f>
        <v>1316360191</v>
      </c>
      <c r="E11414" t="s">
        <v>8613</v>
      </c>
    </row>
    <row r="11415" spans="1:5" x14ac:dyDescent="0.25">
      <c r="A11415" t="s">
        <v>2</v>
      </c>
      <c r="B11415" t="s">
        <v>3458</v>
      </c>
      <c r="C11415" t="s">
        <v>23490</v>
      </c>
      <c r="D11415" t="str">
        <f>HYPERLINK("https://rhld.insurance.arkansas.gov/NPILookup?Npi=1316366305","1316366305")</f>
        <v>1316366305</v>
      </c>
      <c r="E11415" t="s">
        <v>11448</v>
      </c>
    </row>
    <row r="11416" spans="1:5" x14ac:dyDescent="0.25">
      <c r="A11416" t="s">
        <v>2</v>
      </c>
      <c r="B11416" t="s">
        <v>3458</v>
      </c>
      <c r="C11416" t="s">
        <v>23490</v>
      </c>
      <c r="D11416" t="str">
        <f>HYPERLINK("https://rhld.insurance.arkansas.gov/NPILookup?Npi=1316373038","1316373038")</f>
        <v>1316373038</v>
      </c>
      <c r="E11416" t="s">
        <v>13467</v>
      </c>
    </row>
    <row r="11417" spans="1:5" x14ac:dyDescent="0.25">
      <c r="A11417" t="s">
        <v>2</v>
      </c>
      <c r="B11417" t="s">
        <v>3458</v>
      </c>
      <c r="C11417" t="s">
        <v>23490</v>
      </c>
      <c r="D11417" t="str">
        <f>HYPERLINK("https://rhld.insurance.arkansas.gov/NPILookup?Npi=1316378045","1316378045")</f>
        <v>1316378045</v>
      </c>
      <c r="E11417" t="s">
        <v>8614</v>
      </c>
    </row>
    <row r="11418" spans="1:5" x14ac:dyDescent="0.25">
      <c r="A11418" t="s">
        <v>2</v>
      </c>
      <c r="B11418" t="s">
        <v>3458</v>
      </c>
      <c r="C11418" t="s">
        <v>23490</v>
      </c>
      <c r="D11418" t="str">
        <f>HYPERLINK("https://rhld.insurance.arkansas.gov/NPILookup?Npi=1316382906","1316382906")</f>
        <v>1316382906</v>
      </c>
      <c r="E11418" t="s">
        <v>22921</v>
      </c>
    </row>
    <row r="11419" spans="1:5" x14ac:dyDescent="0.25">
      <c r="A11419" t="s">
        <v>2</v>
      </c>
      <c r="B11419" t="s">
        <v>3458</v>
      </c>
      <c r="C11419" t="s">
        <v>23490</v>
      </c>
      <c r="D11419" t="str">
        <f>HYPERLINK("https://rhld.insurance.arkansas.gov/NPILookup?Npi=1316389323","1316389323")</f>
        <v>1316389323</v>
      </c>
      <c r="E11419" t="s">
        <v>8615</v>
      </c>
    </row>
    <row r="11420" spans="1:5" x14ac:dyDescent="0.25">
      <c r="A11420" t="s">
        <v>2</v>
      </c>
      <c r="B11420" t="s">
        <v>3458</v>
      </c>
      <c r="C11420" t="s">
        <v>23490</v>
      </c>
      <c r="D11420" t="str">
        <f>HYPERLINK("https://rhld.insurance.arkansas.gov/NPILookup?Npi=1316414642","1316414642")</f>
        <v>1316414642</v>
      </c>
      <c r="E11420" t="s">
        <v>13468</v>
      </c>
    </row>
    <row r="11421" spans="1:5" x14ac:dyDescent="0.25">
      <c r="A11421" t="s">
        <v>2</v>
      </c>
      <c r="B11421" t="s">
        <v>3458</v>
      </c>
      <c r="C11421" t="s">
        <v>23490</v>
      </c>
      <c r="D11421" t="str">
        <f>HYPERLINK("https://rhld.insurance.arkansas.gov/NPILookup?Npi=1316416779","1316416779")</f>
        <v>1316416779</v>
      </c>
      <c r="E11421" t="s">
        <v>17944</v>
      </c>
    </row>
    <row r="11422" spans="1:5" x14ac:dyDescent="0.25">
      <c r="A11422" t="s">
        <v>2</v>
      </c>
      <c r="B11422" t="s">
        <v>3458</v>
      </c>
      <c r="C11422" t="s">
        <v>23490</v>
      </c>
      <c r="D11422" t="str">
        <f>HYPERLINK("https://rhld.insurance.arkansas.gov/NPILookup?Npi=1316424047","1316424047")</f>
        <v>1316424047</v>
      </c>
      <c r="E11422" t="s">
        <v>14997</v>
      </c>
    </row>
    <row r="11423" spans="1:5" x14ac:dyDescent="0.25">
      <c r="A11423" t="s">
        <v>2</v>
      </c>
      <c r="B11423" t="s">
        <v>3458</v>
      </c>
      <c r="C11423" t="s">
        <v>23490</v>
      </c>
      <c r="D11423" t="str">
        <f>HYPERLINK("https://rhld.insurance.arkansas.gov/NPILookup?Npi=1316429434","1316429434")</f>
        <v>1316429434</v>
      </c>
      <c r="E11423" t="s">
        <v>14998</v>
      </c>
    </row>
    <row r="11424" spans="1:5" x14ac:dyDescent="0.25">
      <c r="A11424" t="s">
        <v>2</v>
      </c>
      <c r="B11424" t="s">
        <v>3458</v>
      </c>
      <c r="C11424" t="s">
        <v>23490</v>
      </c>
      <c r="D11424" t="str">
        <f>HYPERLINK("https://rhld.insurance.arkansas.gov/NPILookup?Npi=1316433998","1316433998")</f>
        <v>1316433998</v>
      </c>
      <c r="E11424" t="s">
        <v>13470</v>
      </c>
    </row>
    <row r="11425" spans="1:5" x14ac:dyDescent="0.25">
      <c r="A11425" t="s">
        <v>2</v>
      </c>
      <c r="B11425" t="s">
        <v>3458</v>
      </c>
      <c r="C11425" t="s">
        <v>23490</v>
      </c>
      <c r="D11425" t="str">
        <f>HYPERLINK("https://rhld.insurance.arkansas.gov/NPILookup?Npi=1316443898","1316443898")</f>
        <v>1316443898</v>
      </c>
      <c r="E11425" t="s">
        <v>13471</v>
      </c>
    </row>
    <row r="11426" spans="1:5" x14ac:dyDescent="0.25">
      <c r="A11426" t="s">
        <v>2</v>
      </c>
      <c r="B11426" t="s">
        <v>3458</v>
      </c>
      <c r="C11426" t="s">
        <v>23490</v>
      </c>
      <c r="D11426" t="str">
        <f>HYPERLINK("https://rhld.insurance.arkansas.gov/NPILookup?Npi=1316450497","1316450497")</f>
        <v>1316450497</v>
      </c>
      <c r="E11426" t="s">
        <v>12975</v>
      </c>
    </row>
    <row r="11427" spans="1:5" x14ac:dyDescent="0.25">
      <c r="A11427" t="s">
        <v>2</v>
      </c>
      <c r="B11427" t="s">
        <v>3458</v>
      </c>
      <c r="C11427" t="s">
        <v>23490</v>
      </c>
      <c r="D11427" t="str">
        <f>HYPERLINK("https://rhld.insurance.arkansas.gov/NPILookup?Npi=1316459852","1316459852")</f>
        <v>1316459852</v>
      </c>
      <c r="E11427" t="s">
        <v>12816</v>
      </c>
    </row>
    <row r="11428" spans="1:5" x14ac:dyDescent="0.25">
      <c r="A11428" t="s">
        <v>2</v>
      </c>
      <c r="B11428" t="s">
        <v>3458</v>
      </c>
      <c r="C11428" t="s">
        <v>23490</v>
      </c>
      <c r="D11428" t="str">
        <f>HYPERLINK("https://rhld.insurance.arkansas.gov/NPILookup?Npi=1316460256","1316460256")</f>
        <v>1316460256</v>
      </c>
      <c r="E11428" t="s">
        <v>10829</v>
      </c>
    </row>
    <row r="11429" spans="1:5" x14ac:dyDescent="0.25">
      <c r="A11429" t="s">
        <v>2</v>
      </c>
      <c r="B11429" t="s">
        <v>3458</v>
      </c>
      <c r="C11429" t="s">
        <v>23490</v>
      </c>
      <c r="D11429" t="str">
        <f>HYPERLINK("https://rhld.insurance.arkansas.gov/NPILookup?Npi=1316475023","1316475023")</f>
        <v>1316475023</v>
      </c>
      <c r="E11429" t="s">
        <v>12817</v>
      </c>
    </row>
    <row r="11430" spans="1:5" x14ac:dyDescent="0.25">
      <c r="A11430" t="s">
        <v>2</v>
      </c>
      <c r="B11430" t="s">
        <v>3458</v>
      </c>
      <c r="C11430" t="s">
        <v>23490</v>
      </c>
      <c r="D11430" t="str">
        <f>HYPERLINK("https://rhld.insurance.arkansas.gov/NPILookup?Npi=1316478845","1316478845")</f>
        <v>1316478845</v>
      </c>
      <c r="E11430" t="s">
        <v>17507</v>
      </c>
    </row>
    <row r="11431" spans="1:5" x14ac:dyDescent="0.25">
      <c r="A11431" t="s">
        <v>2</v>
      </c>
      <c r="B11431" t="s">
        <v>3458</v>
      </c>
      <c r="C11431" t="s">
        <v>23490</v>
      </c>
      <c r="D11431" t="str">
        <f>HYPERLINK("https://rhld.insurance.arkansas.gov/NPILookup?Npi=1316479033","1316479033")</f>
        <v>1316479033</v>
      </c>
      <c r="E11431" t="s">
        <v>17945</v>
      </c>
    </row>
    <row r="11432" spans="1:5" x14ac:dyDescent="0.25">
      <c r="A11432" t="s">
        <v>2</v>
      </c>
      <c r="B11432" t="s">
        <v>3458</v>
      </c>
      <c r="C11432" t="s">
        <v>23490</v>
      </c>
      <c r="D11432" t="str">
        <f>HYPERLINK("https://rhld.insurance.arkansas.gov/NPILookup?Npi=1316483613","1316483613")</f>
        <v>1316483613</v>
      </c>
      <c r="E11432" t="s">
        <v>10830</v>
      </c>
    </row>
    <row r="11433" spans="1:5" x14ac:dyDescent="0.25">
      <c r="A11433" t="s">
        <v>2</v>
      </c>
      <c r="B11433" t="s">
        <v>3458</v>
      </c>
      <c r="C11433" t="s">
        <v>23490</v>
      </c>
      <c r="D11433" t="str">
        <f>HYPERLINK("https://rhld.insurance.arkansas.gov/NPILookup?Npi=1316485667","1316485667")</f>
        <v>1316485667</v>
      </c>
      <c r="E11433" t="s">
        <v>13472</v>
      </c>
    </row>
    <row r="11434" spans="1:5" x14ac:dyDescent="0.25">
      <c r="A11434" t="s">
        <v>2</v>
      </c>
      <c r="B11434" t="s">
        <v>3458</v>
      </c>
      <c r="C11434" t="s">
        <v>23490</v>
      </c>
      <c r="D11434" t="str">
        <f>HYPERLINK("https://rhld.insurance.arkansas.gov/NPILookup?Npi=1316485857","1316485857")</f>
        <v>1316485857</v>
      </c>
      <c r="E11434" t="s">
        <v>10831</v>
      </c>
    </row>
    <row r="11435" spans="1:5" x14ac:dyDescent="0.25">
      <c r="A11435" t="s">
        <v>2</v>
      </c>
      <c r="B11435" t="s">
        <v>3458</v>
      </c>
      <c r="C11435" t="s">
        <v>23490</v>
      </c>
      <c r="D11435" t="str">
        <f>HYPERLINK("https://rhld.insurance.arkansas.gov/NPILookup?Npi=1316486202","1316486202")</f>
        <v>1316486202</v>
      </c>
      <c r="E11435" t="s">
        <v>12818</v>
      </c>
    </row>
    <row r="11436" spans="1:5" x14ac:dyDescent="0.25">
      <c r="A11436" t="s">
        <v>2</v>
      </c>
      <c r="B11436" t="s">
        <v>3458</v>
      </c>
      <c r="C11436" t="s">
        <v>23490</v>
      </c>
      <c r="D11436" t="str">
        <f>HYPERLINK("https://rhld.insurance.arkansas.gov/NPILookup?Npi=1316487994","1316487994")</f>
        <v>1316487994</v>
      </c>
      <c r="E11436" t="s">
        <v>6046</v>
      </c>
    </row>
    <row r="11437" spans="1:5" x14ac:dyDescent="0.25">
      <c r="A11437" t="s">
        <v>2</v>
      </c>
      <c r="B11437" t="s">
        <v>3458</v>
      </c>
      <c r="C11437" t="s">
        <v>23490</v>
      </c>
      <c r="D11437" t="str">
        <f>HYPERLINK("https://rhld.insurance.arkansas.gov/NPILookup?Npi=1316510043","1316510043")</f>
        <v>1316510043</v>
      </c>
      <c r="E11437" t="s">
        <v>19612</v>
      </c>
    </row>
    <row r="11438" spans="1:5" x14ac:dyDescent="0.25">
      <c r="A11438" t="s">
        <v>2</v>
      </c>
      <c r="B11438" t="s">
        <v>3458</v>
      </c>
      <c r="C11438" t="s">
        <v>23490</v>
      </c>
      <c r="D11438" t="str">
        <f>HYPERLINK("https://rhld.insurance.arkansas.gov/NPILookup?Npi=1316533821","1316533821")</f>
        <v>1316533821</v>
      </c>
      <c r="E11438" t="s">
        <v>17946</v>
      </c>
    </row>
    <row r="11439" spans="1:5" x14ac:dyDescent="0.25">
      <c r="A11439" t="s">
        <v>2</v>
      </c>
      <c r="B11439" t="s">
        <v>3458</v>
      </c>
      <c r="C11439" t="s">
        <v>23490</v>
      </c>
      <c r="D11439" t="str">
        <f>HYPERLINK("https://rhld.insurance.arkansas.gov/NPILookup?Npi=1316556632","1316556632")</f>
        <v>1316556632</v>
      </c>
      <c r="E11439" t="s">
        <v>17948</v>
      </c>
    </row>
    <row r="11440" spans="1:5" x14ac:dyDescent="0.25">
      <c r="A11440" t="s">
        <v>2</v>
      </c>
      <c r="B11440" t="s">
        <v>3458</v>
      </c>
      <c r="C11440" t="s">
        <v>23490</v>
      </c>
      <c r="D11440" t="str">
        <f>HYPERLINK("https://rhld.insurance.arkansas.gov/NPILookup?Npi=1316557705","1316557705")</f>
        <v>1316557705</v>
      </c>
      <c r="E11440" t="s">
        <v>17416</v>
      </c>
    </row>
    <row r="11441" spans="1:5" x14ac:dyDescent="0.25">
      <c r="A11441" t="s">
        <v>2</v>
      </c>
      <c r="B11441" t="s">
        <v>3458</v>
      </c>
      <c r="C11441" t="s">
        <v>23490</v>
      </c>
      <c r="D11441" t="str">
        <f>HYPERLINK("https://rhld.insurance.arkansas.gov/NPILookup?Npi=1316565732","1316565732")</f>
        <v>1316565732</v>
      </c>
      <c r="E11441" t="s">
        <v>19613</v>
      </c>
    </row>
    <row r="11442" spans="1:5" x14ac:dyDescent="0.25">
      <c r="A11442" t="s">
        <v>2</v>
      </c>
      <c r="B11442" t="s">
        <v>3458</v>
      </c>
      <c r="C11442" t="s">
        <v>23490</v>
      </c>
      <c r="D11442" t="str">
        <f>HYPERLINK("https://rhld.insurance.arkansas.gov/NPILookup?Npi=1316610173","1316610173")</f>
        <v>1316610173</v>
      </c>
      <c r="E11442" t="s">
        <v>18742</v>
      </c>
    </row>
    <row r="11443" spans="1:5" x14ac:dyDescent="0.25">
      <c r="A11443" t="s">
        <v>2</v>
      </c>
      <c r="B11443" t="s">
        <v>3458</v>
      </c>
      <c r="C11443" t="s">
        <v>23490</v>
      </c>
      <c r="D11443" t="str">
        <f>HYPERLINK("https://rhld.insurance.arkansas.gov/NPILookup?Npi=1316611247","1316611247")</f>
        <v>1316611247</v>
      </c>
      <c r="E11443" t="s">
        <v>18743</v>
      </c>
    </row>
    <row r="11444" spans="1:5" x14ac:dyDescent="0.25">
      <c r="A11444" t="s">
        <v>2</v>
      </c>
      <c r="B11444" t="s">
        <v>3458</v>
      </c>
      <c r="C11444" t="s">
        <v>23490</v>
      </c>
      <c r="D11444" t="str">
        <f>HYPERLINK("https://rhld.insurance.arkansas.gov/NPILookup?Npi=1316613417","1316613417")</f>
        <v>1316613417</v>
      </c>
      <c r="E11444" t="s">
        <v>19614</v>
      </c>
    </row>
    <row r="11445" spans="1:5" x14ac:dyDescent="0.25">
      <c r="A11445" t="s">
        <v>2</v>
      </c>
      <c r="B11445" t="s">
        <v>3458</v>
      </c>
      <c r="C11445" t="s">
        <v>23490</v>
      </c>
      <c r="D11445" t="str">
        <f>HYPERLINK("https://rhld.insurance.arkansas.gov/NPILookup?Npi=1316618309","1316618309")</f>
        <v>1316618309</v>
      </c>
      <c r="E11445" t="s">
        <v>22922</v>
      </c>
    </row>
    <row r="11446" spans="1:5" x14ac:dyDescent="0.25">
      <c r="A11446" t="s">
        <v>2</v>
      </c>
      <c r="B11446" t="s">
        <v>3458</v>
      </c>
      <c r="C11446" t="s">
        <v>23490</v>
      </c>
      <c r="D11446" t="str">
        <f>HYPERLINK("https://rhld.insurance.arkansas.gov/NPILookup?Npi=1316672116","1316672116")</f>
        <v>1316672116</v>
      </c>
      <c r="E11446" t="s">
        <v>20925</v>
      </c>
    </row>
    <row r="11447" spans="1:5" x14ac:dyDescent="0.25">
      <c r="A11447" t="s">
        <v>2</v>
      </c>
      <c r="B11447" t="s">
        <v>3458</v>
      </c>
      <c r="C11447" t="s">
        <v>23490</v>
      </c>
      <c r="D11447" t="str">
        <f>HYPERLINK("https://rhld.insurance.arkansas.gov/NPILookup?Npi=1316672512","1316672512")</f>
        <v>1316672512</v>
      </c>
      <c r="E11447" t="s">
        <v>21077</v>
      </c>
    </row>
    <row r="11448" spans="1:5" x14ac:dyDescent="0.25">
      <c r="A11448" t="s">
        <v>2</v>
      </c>
      <c r="B11448" t="s">
        <v>3458</v>
      </c>
      <c r="C11448" t="s">
        <v>23490</v>
      </c>
      <c r="D11448" t="str">
        <f>HYPERLINK("https://rhld.insurance.arkansas.gov/NPILookup?Npi=1316677230","1316677230")</f>
        <v>1316677230</v>
      </c>
      <c r="E11448" t="s">
        <v>20926</v>
      </c>
    </row>
    <row r="11449" spans="1:5" x14ac:dyDescent="0.25">
      <c r="A11449" t="s">
        <v>2</v>
      </c>
      <c r="B11449" t="s">
        <v>3458</v>
      </c>
      <c r="C11449" t="s">
        <v>23490</v>
      </c>
      <c r="D11449" t="str">
        <f>HYPERLINK("https://rhld.insurance.arkansas.gov/NPILookup?Npi=1316694466","1316694466")</f>
        <v>1316694466</v>
      </c>
      <c r="E11449" t="s">
        <v>19615</v>
      </c>
    </row>
    <row r="11450" spans="1:5" x14ac:dyDescent="0.25">
      <c r="A11450" t="s">
        <v>2</v>
      </c>
      <c r="B11450" t="s">
        <v>3458</v>
      </c>
      <c r="C11450" t="s">
        <v>23490</v>
      </c>
      <c r="D11450" t="str">
        <f>HYPERLINK("https://rhld.insurance.arkansas.gov/NPILookup?Npi=1316699028","1316699028")</f>
        <v>1316699028</v>
      </c>
      <c r="E11450" t="s">
        <v>19616</v>
      </c>
    </row>
    <row r="11451" spans="1:5" x14ac:dyDescent="0.25">
      <c r="A11451" t="s">
        <v>2</v>
      </c>
      <c r="B11451" t="s">
        <v>3458</v>
      </c>
      <c r="C11451" t="s">
        <v>23490</v>
      </c>
      <c r="D11451" t="str">
        <f>HYPERLINK("https://rhld.insurance.arkansas.gov/NPILookup?Npi=1316903669","1316903669")</f>
        <v>1316903669</v>
      </c>
      <c r="E11451" t="s">
        <v>3651</v>
      </c>
    </row>
    <row r="11452" spans="1:5" x14ac:dyDescent="0.25">
      <c r="A11452" t="s">
        <v>2</v>
      </c>
      <c r="B11452" t="s">
        <v>3458</v>
      </c>
      <c r="C11452" t="s">
        <v>23490</v>
      </c>
      <c r="D11452" t="str">
        <f>HYPERLINK("https://rhld.insurance.arkansas.gov/NPILookup?Npi=1316904865","1316904865")</f>
        <v>1316904865</v>
      </c>
      <c r="E11452" t="s">
        <v>1129</v>
      </c>
    </row>
    <row r="11453" spans="1:5" x14ac:dyDescent="0.25">
      <c r="A11453" t="s">
        <v>2</v>
      </c>
      <c r="B11453" t="s">
        <v>3458</v>
      </c>
      <c r="C11453" t="s">
        <v>23490</v>
      </c>
      <c r="D11453" t="str">
        <f>HYPERLINK("https://rhld.insurance.arkansas.gov/NPILookup?Npi=1316909161","1316909161")</f>
        <v>1316909161</v>
      </c>
      <c r="E11453" t="s">
        <v>21728</v>
      </c>
    </row>
    <row r="11454" spans="1:5" x14ac:dyDescent="0.25">
      <c r="A11454" t="s">
        <v>2</v>
      </c>
      <c r="B11454" t="s">
        <v>3458</v>
      </c>
      <c r="C11454" t="s">
        <v>23490</v>
      </c>
      <c r="D11454" t="str">
        <f>HYPERLINK("https://rhld.insurance.arkansas.gov/NPILookup?Npi=1316918964","1316918964")</f>
        <v>1316918964</v>
      </c>
      <c r="E11454" t="s">
        <v>1133</v>
      </c>
    </row>
    <row r="11455" spans="1:5" x14ac:dyDescent="0.25">
      <c r="A11455" t="s">
        <v>2</v>
      </c>
      <c r="B11455" t="s">
        <v>3458</v>
      </c>
      <c r="C11455" t="s">
        <v>23490</v>
      </c>
      <c r="D11455" t="str">
        <f>HYPERLINK("https://rhld.insurance.arkansas.gov/NPILookup?Npi=1316927403","1316927403")</f>
        <v>1316927403</v>
      </c>
      <c r="E11455" t="s">
        <v>1134</v>
      </c>
    </row>
    <row r="11456" spans="1:5" x14ac:dyDescent="0.25">
      <c r="A11456" t="s">
        <v>2</v>
      </c>
      <c r="B11456" t="s">
        <v>3458</v>
      </c>
      <c r="C11456" t="s">
        <v>23490</v>
      </c>
      <c r="D11456" t="str">
        <f>HYPERLINK("https://rhld.insurance.arkansas.gov/NPILookup?Npi=1316928955","1316928955")</f>
        <v>1316928955</v>
      </c>
      <c r="E11456" t="s">
        <v>15000</v>
      </c>
    </row>
    <row r="11457" spans="1:5" x14ac:dyDescent="0.25">
      <c r="A11457" t="s">
        <v>2</v>
      </c>
      <c r="B11457" t="s">
        <v>3458</v>
      </c>
      <c r="C11457" t="s">
        <v>23490</v>
      </c>
      <c r="D11457" t="str">
        <f>HYPERLINK("https://rhld.insurance.arkansas.gov/NPILookup?Npi=1316929037","1316929037")</f>
        <v>1316929037</v>
      </c>
      <c r="E11457" t="s">
        <v>3653</v>
      </c>
    </row>
    <row r="11458" spans="1:5" x14ac:dyDescent="0.25">
      <c r="A11458" t="s">
        <v>2</v>
      </c>
      <c r="B11458" t="s">
        <v>3458</v>
      </c>
      <c r="C11458" t="s">
        <v>23490</v>
      </c>
      <c r="D11458" t="str">
        <f>HYPERLINK("https://rhld.insurance.arkansas.gov/NPILookup?Npi=1316930704","1316930704")</f>
        <v>1316930704</v>
      </c>
      <c r="E11458" t="s">
        <v>1135</v>
      </c>
    </row>
    <row r="11459" spans="1:5" x14ac:dyDescent="0.25">
      <c r="A11459" t="s">
        <v>2</v>
      </c>
      <c r="B11459" t="s">
        <v>3458</v>
      </c>
      <c r="C11459" t="s">
        <v>23490</v>
      </c>
      <c r="D11459" t="str">
        <f>HYPERLINK("https://rhld.insurance.arkansas.gov/NPILookup?Npi=1316930944","1316930944")</f>
        <v>1316930944</v>
      </c>
      <c r="E11459" t="s">
        <v>1136</v>
      </c>
    </row>
    <row r="11460" spans="1:5" x14ac:dyDescent="0.25">
      <c r="A11460" t="s">
        <v>2</v>
      </c>
      <c r="B11460" t="s">
        <v>3458</v>
      </c>
      <c r="C11460" t="s">
        <v>23490</v>
      </c>
      <c r="D11460" t="str">
        <f>HYPERLINK("https://rhld.insurance.arkansas.gov/NPILookup?Npi=1316933575","1316933575")</f>
        <v>1316933575</v>
      </c>
      <c r="E11460" t="s">
        <v>1137</v>
      </c>
    </row>
    <row r="11461" spans="1:5" x14ac:dyDescent="0.25">
      <c r="A11461" t="s">
        <v>2</v>
      </c>
      <c r="B11461" t="s">
        <v>3458</v>
      </c>
      <c r="C11461" t="s">
        <v>23490</v>
      </c>
      <c r="D11461" t="str">
        <f>HYPERLINK("https://rhld.insurance.arkansas.gov/NPILookup?Npi=1316934920","1316934920")</f>
        <v>1316934920</v>
      </c>
      <c r="E11461" t="s">
        <v>3654</v>
      </c>
    </row>
    <row r="11462" spans="1:5" x14ac:dyDescent="0.25">
      <c r="A11462" t="s">
        <v>2</v>
      </c>
      <c r="B11462" t="s">
        <v>3458</v>
      </c>
      <c r="C11462" t="s">
        <v>23490</v>
      </c>
      <c r="D11462" t="str">
        <f>HYPERLINK("https://rhld.insurance.arkansas.gov/NPILookup?Npi=1316936917","1316936917")</f>
        <v>1316936917</v>
      </c>
      <c r="E11462" t="s">
        <v>1138</v>
      </c>
    </row>
    <row r="11463" spans="1:5" x14ac:dyDescent="0.25">
      <c r="A11463" t="s">
        <v>2</v>
      </c>
      <c r="B11463" t="s">
        <v>3458</v>
      </c>
      <c r="C11463" t="s">
        <v>23490</v>
      </c>
      <c r="D11463" t="str">
        <f>HYPERLINK("https://rhld.insurance.arkansas.gov/NPILookup?Npi=1316941040","1316941040")</f>
        <v>1316941040</v>
      </c>
      <c r="E11463" t="s">
        <v>15001</v>
      </c>
    </row>
    <row r="11464" spans="1:5" x14ac:dyDescent="0.25">
      <c r="A11464" t="s">
        <v>2</v>
      </c>
      <c r="B11464" t="s">
        <v>3458</v>
      </c>
      <c r="C11464" t="s">
        <v>23490</v>
      </c>
      <c r="D11464" t="str">
        <f>HYPERLINK("https://rhld.insurance.arkansas.gov/NPILookup?Npi=1316943632","1316943632")</f>
        <v>1316943632</v>
      </c>
      <c r="E11464" t="s">
        <v>1140</v>
      </c>
    </row>
    <row r="11465" spans="1:5" x14ac:dyDescent="0.25">
      <c r="A11465" t="s">
        <v>2</v>
      </c>
      <c r="B11465" t="s">
        <v>3458</v>
      </c>
      <c r="C11465" t="s">
        <v>23490</v>
      </c>
      <c r="D11465" t="str">
        <f>HYPERLINK("https://rhld.insurance.arkansas.gov/NPILookup?Npi=1316949159","1316949159")</f>
        <v>1316949159</v>
      </c>
      <c r="E11465" t="s">
        <v>1141</v>
      </c>
    </row>
    <row r="11466" spans="1:5" x14ac:dyDescent="0.25">
      <c r="A11466" t="s">
        <v>2</v>
      </c>
      <c r="B11466" t="s">
        <v>3458</v>
      </c>
      <c r="C11466" t="s">
        <v>23490</v>
      </c>
      <c r="D11466" t="str">
        <f>HYPERLINK("https://rhld.insurance.arkansas.gov/NPILookup?Npi=1316949167","1316949167")</f>
        <v>1316949167</v>
      </c>
      <c r="E11466" t="s">
        <v>1142</v>
      </c>
    </row>
    <row r="11467" spans="1:5" x14ac:dyDescent="0.25">
      <c r="A11467" t="s">
        <v>2</v>
      </c>
      <c r="B11467" t="s">
        <v>3458</v>
      </c>
      <c r="C11467" t="s">
        <v>23490</v>
      </c>
      <c r="D11467" t="str">
        <f>HYPERLINK("https://rhld.insurance.arkansas.gov/NPILookup?Npi=1316949308","1316949308")</f>
        <v>1316949308</v>
      </c>
      <c r="E11467" t="s">
        <v>1143</v>
      </c>
    </row>
    <row r="11468" spans="1:5" x14ac:dyDescent="0.25">
      <c r="A11468" t="s">
        <v>2</v>
      </c>
      <c r="B11468" t="s">
        <v>3458</v>
      </c>
      <c r="C11468" t="s">
        <v>23490</v>
      </c>
      <c r="D11468" t="str">
        <f>HYPERLINK("https://rhld.insurance.arkansas.gov/NPILookup?Npi=1316949811","1316949811")</f>
        <v>1316949811</v>
      </c>
      <c r="E11468" t="s">
        <v>3655</v>
      </c>
    </row>
    <row r="11469" spans="1:5" x14ac:dyDescent="0.25">
      <c r="A11469" t="s">
        <v>2</v>
      </c>
      <c r="B11469" t="s">
        <v>3458</v>
      </c>
      <c r="C11469" t="s">
        <v>23490</v>
      </c>
      <c r="D11469" t="str">
        <f>HYPERLINK("https://rhld.insurance.arkansas.gov/NPILookup?Npi=1316954860","1316954860")</f>
        <v>1316954860</v>
      </c>
      <c r="E11469" t="s">
        <v>1144</v>
      </c>
    </row>
    <row r="11470" spans="1:5" x14ac:dyDescent="0.25">
      <c r="A11470" t="s">
        <v>2</v>
      </c>
      <c r="B11470" t="s">
        <v>3458</v>
      </c>
      <c r="C11470" t="s">
        <v>23490</v>
      </c>
      <c r="D11470" t="str">
        <f>HYPERLINK("https://rhld.insurance.arkansas.gov/NPILookup?Npi=1316955578","1316955578")</f>
        <v>1316955578</v>
      </c>
      <c r="E11470" t="s">
        <v>15002</v>
      </c>
    </row>
    <row r="11471" spans="1:5" x14ac:dyDescent="0.25">
      <c r="A11471" t="s">
        <v>2</v>
      </c>
      <c r="B11471" t="s">
        <v>3458</v>
      </c>
      <c r="C11471" t="s">
        <v>23490</v>
      </c>
      <c r="D11471" t="str">
        <f>HYPERLINK("https://rhld.insurance.arkansas.gov/NPILookup?Npi=1316963234","1316963234")</f>
        <v>1316963234</v>
      </c>
      <c r="E11471" t="s">
        <v>1147</v>
      </c>
    </row>
    <row r="11472" spans="1:5" x14ac:dyDescent="0.25">
      <c r="A11472" t="s">
        <v>2</v>
      </c>
      <c r="B11472" t="s">
        <v>3458</v>
      </c>
      <c r="C11472" t="s">
        <v>23490</v>
      </c>
      <c r="D11472" t="str">
        <f>HYPERLINK("https://rhld.insurance.arkansas.gov/NPILookup?Npi=1316974132","1316974132")</f>
        <v>1316974132</v>
      </c>
      <c r="E11472" t="s">
        <v>1148</v>
      </c>
    </row>
    <row r="11473" spans="1:5" x14ac:dyDescent="0.25">
      <c r="A11473" t="s">
        <v>2</v>
      </c>
      <c r="B11473" t="s">
        <v>3458</v>
      </c>
      <c r="C11473" t="s">
        <v>23490</v>
      </c>
      <c r="D11473" t="str">
        <f>HYPERLINK("https://rhld.insurance.arkansas.gov/NPILookup?Npi=1316976582","1316976582")</f>
        <v>1316976582</v>
      </c>
      <c r="E11473" t="s">
        <v>15003</v>
      </c>
    </row>
    <row r="11474" spans="1:5" x14ac:dyDescent="0.25">
      <c r="A11474" t="s">
        <v>2</v>
      </c>
      <c r="B11474" t="s">
        <v>3458</v>
      </c>
      <c r="C11474" t="s">
        <v>23490</v>
      </c>
      <c r="D11474" t="str">
        <f>HYPERLINK("https://rhld.insurance.arkansas.gov/NPILookup?Npi=1316977762","1316977762")</f>
        <v>1316977762</v>
      </c>
      <c r="E11474" t="s">
        <v>3656</v>
      </c>
    </row>
    <row r="11475" spans="1:5" x14ac:dyDescent="0.25">
      <c r="A11475" t="s">
        <v>2</v>
      </c>
      <c r="B11475" t="s">
        <v>3458</v>
      </c>
      <c r="C11475" t="s">
        <v>23490</v>
      </c>
      <c r="D11475" t="str">
        <f>HYPERLINK("https://rhld.insurance.arkansas.gov/NPILookup?Npi=1316977804","1316977804")</f>
        <v>1316977804</v>
      </c>
      <c r="E11475" t="s">
        <v>15836</v>
      </c>
    </row>
    <row r="11476" spans="1:5" x14ac:dyDescent="0.25">
      <c r="A11476" t="s">
        <v>2</v>
      </c>
      <c r="B11476" t="s">
        <v>3458</v>
      </c>
      <c r="C11476" t="s">
        <v>23490</v>
      </c>
      <c r="D11476" t="str">
        <f>HYPERLINK("https://rhld.insurance.arkansas.gov/NPILookup?Npi=1316991276","1316991276")</f>
        <v>1316991276</v>
      </c>
      <c r="E11476" t="s">
        <v>10832</v>
      </c>
    </row>
    <row r="11477" spans="1:5" x14ac:dyDescent="0.25">
      <c r="A11477" t="s">
        <v>2</v>
      </c>
      <c r="B11477" t="s">
        <v>3458</v>
      </c>
      <c r="C11477" t="s">
        <v>23490</v>
      </c>
      <c r="D11477" t="str">
        <f>HYPERLINK("https://rhld.insurance.arkansas.gov/NPILookup?Npi=1316998156","1316998156")</f>
        <v>1316998156</v>
      </c>
      <c r="E11477" t="s">
        <v>1151</v>
      </c>
    </row>
    <row r="11478" spans="1:5" x14ac:dyDescent="0.25">
      <c r="A11478" t="s">
        <v>2</v>
      </c>
      <c r="B11478" t="s">
        <v>3458</v>
      </c>
      <c r="C11478" t="s">
        <v>23490</v>
      </c>
      <c r="D11478" t="str">
        <f>HYPERLINK("https://rhld.insurance.arkansas.gov/NPILookup?Npi=1316998743","1316998743")</f>
        <v>1316998743</v>
      </c>
      <c r="E11478" t="s">
        <v>3657</v>
      </c>
    </row>
    <row r="11479" spans="1:5" x14ac:dyDescent="0.25">
      <c r="A11479" t="s">
        <v>2</v>
      </c>
      <c r="B11479" t="s">
        <v>3458</v>
      </c>
      <c r="C11479" t="s">
        <v>23490</v>
      </c>
      <c r="D11479" t="str">
        <f>HYPERLINK("https://rhld.insurance.arkansas.gov/NPILookup?Npi=1326001652","1326001652")</f>
        <v>1326001652</v>
      </c>
      <c r="E11479" t="s">
        <v>1152</v>
      </c>
    </row>
    <row r="11480" spans="1:5" x14ac:dyDescent="0.25">
      <c r="A11480" t="s">
        <v>2</v>
      </c>
      <c r="B11480" t="s">
        <v>3458</v>
      </c>
      <c r="C11480" t="s">
        <v>23490</v>
      </c>
      <c r="D11480" t="str">
        <f>HYPERLINK("https://rhld.insurance.arkansas.gov/NPILookup?Npi=1326016833","1326016833")</f>
        <v>1326016833</v>
      </c>
      <c r="E11480" t="s">
        <v>3658</v>
      </c>
    </row>
    <row r="11481" spans="1:5" x14ac:dyDescent="0.25">
      <c r="A11481" t="s">
        <v>2</v>
      </c>
      <c r="B11481" t="s">
        <v>3458</v>
      </c>
      <c r="C11481" t="s">
        <v>23490</v>
      </c>
      <c r="D11481" t="str">
        <f>HYPERLINK("https://rhld.insurance.arkansas.gov/NPILookup?Npi=1326017005","1326017005")</f>
        <v>1326017005</v>
      </c>
      <c r="E11481" t="s">
        <v>3659</v>
      </c>
    </row>
    <row r="11482" spans="1:5" x14ac:dyDescent="0.25">
      <c r="A11482" t="s">
        <v>2</v>
      </c>
      <c r="B11482" t="s">
        <v>3458</v>
      </c>
      <c r="C11482" t="s">
        <v>23490</v>
      </c>
      <c r="D11482" t="str">
        <f>HYPERLINK("https://rhld.insurance.arkansas.gov/NPILookup?Npi=1326031915","1326031915")</f>
        <v>1326031915</v>
      </c>
      <c r="E11482" t="s">
        <v>15004</v>
      </c>
    </row>
    <row r="11483" spans="1:5" x14ac:dyDescent="0.25">
      <c r="A11483" t="s">
        <v>2</v>
      </c>
      <c r="B11483" t="s">
        <v>3458</v>
      </c>
      <c r="C11483" t="s">
        <v>23490</v>
      </c>
      <c r="D11483" t="str">
        <f>HYPERLINK("https://rhld.insurance.arkansas.gov/NPILookup?Npi=1326038035","1326038035")</f>
        <v>1326038035</v>
      </c>
      <c r="E11483" t="s">
        <v>1154</v>
      </c>
    </row>
    <row r="11484" spans="1:5" x14ac:dyDescent="0.25">
      <c r="A11484" t="s">
        <v>2</v>
      </c>
      <c r="B11484" t="s">
        <v>3458</v>
      </c>
      <c r="C11484" t="s">
        <v>23490</v>
      </c>
      <c r="D11484" t="str">
        <f>HYPERLINK("https://rhld.insurance.arkansas.gov/NPILookup?Npi=1326042037","1326042037")</f>
        <v>1326042037</v>
      </c>
      <c r="E11484" t="s">
        <v>1155</v>
      </c>
    </row>
    <row r="11485" spans="1:5" x14ac:dyDescent="0.25">
      <c r="A11485" t="s">
        <v>2</v>
      </c>
      <c r="B11485" t="s">
        <v>3458</v>
      </c>
      <c r="C11485" t="s">
        <v>23490</v>
      </c>
      <c r="D11485" t="str">
        <f>HYPERLINK("https://rhld.insurance.arkansas.gov/NPILookup?Npi=1326053208","1326053208")</f>
        <v>1326053208</v>
      </c>
      <c r="E11485" t="s">
        <v>21515</v>
      </c>
    </row>
    <row r="11486" spans="1:5" x14ac:dyDescent="0.25">
      <c r="A11486" t="s">
        <v>2</v>
      </c>
      <c r="B11486" t="s">
        <v>3458</v>
      </c>
      <c r="C11486" t="s">
        <v>23490</v>
      </c>
      <c r="D11486" t="str">
        <f>HYPERLINK("https://rhld.insurance.arkansas.gov/NPILookup?Npi=1326057027","1326057027")</f>
        <v>1326057027</v>
      </c>
      <c r="E11486" t="s">
        <v>3660</v>
      </c>
    </row>
    <row r="11487" spans="1:5" x14ac:dyDescent="0.25">
      <c r="A11487" t="s">
        <v>2</v>
      </c>
      <c r="B11487" t="s">
        <v>3458</v>
      </c>
      <c r="C11487" t="s">
        <v>23490</v>
      </c>
      <c r="D11487" t="str">
        <f>HYPERLINK("https://rhld.insurance.arkansas.gov/NPILookup?Npi=1326065236","1326065236")</f>
        <v>1326065236</v>
      </c>
      <c r="E11487" t="s">
        <v>3661</v>
      </c>
    </row>
    <row r="11488" spans="1:5" x14ac:dyDescent="0.25">
      <c r="A11488" t="s">
        <v>2</v>
      </c>
      <c r="B11488" t="s">
        <v>3458</v>
      </c>
      <c r="C11488" t="s">
        <v>23490</v>
      </c>
      <c r="D11488" t="str">
        <f>HYPERLINK("https://rhld.insurance.arkansas.gov/NPILookup?Npi=1326071283","1326071283")</f>
        <v>1326071283</v>
      </c>
      <c r="E11488" t="s">
        <v>1157</v>
      </c>
    </row>
    <row r="11489" spans="1:5" x14ac:dyDescent="0.25">
      <c r="A11489" t="s">
        <v>2</v>
      </c>
      <c r="B11489" t="s">
        <v>3458</v>
      </c>
      <c r="C11489" t="s">
        <v>23490</v>
      </c>
      <c r="D11489" t="str">
        <f>HYPERLINK("https://rhld.insurance.arkansas.gov/NPILookup?Npi=1326076407","1326076407")</f>
        <v>1326076407</v>
      </c>
      <c r="E11489" t="s">
        <v>1158</v>
      </c>
    </row>
    <row r="11490" spans="1:5" x14ac:dyDescent="0.25">
      <c r="A11490" t="s">
        <v>2</v>
      </c>
      <c r="B11490" t="s">
        <v>3458</v>
      </c>
      <c r="C11490" t="s">
        <v>23490</v>
      </c>
      <c r="D11490" t="str">
        <f>HYPERLINK("https://rhld.insurance.arkansas.gov/NPILookup?Npi=1326078957","1326078957")</f>
        <v>1326078957</v>
      </c>
      <c r="E11490" t="s">
        <v>1159</v>
      </c>
    </row>
    <row r="11491" spans="1:5" x14ac:dyDescent="0.25">
      <c r="A11491" t="s">
        <v>2</v>
      </c>
      <c r="B11491" t="s">
        <v>3458</v>
      </c>
      <c r="C11491" t="s">
        <v>23490</v>
      </c>
      <c r="D11491" t="str">
        <f>HYPERLINK("https://rhld.insurance.arkansas.gov/NPILookup?Npi=1326086323","1326086323")</f>
        <v>1326086323</v>
      </c>
      <c r="E11491" t="s">
        <v>1160</v>
      </c>
    </row>
    <row r="11492" spans="1:5" x14ac:dyDescent="0.25">
      <c r="A11492" t="s">
        <v>2</v>
      </c>
      <c r="B11492" t="s">
        <v>3458</v>
      </c>
      <c r="C11492" t="s">
        <v>23490</v>
      </c>
      <c r="D11492" t="str">
        <f>HYPERLINK("https://rhld.insurance.arkansas.gov/NPILookup?Npi=1326087941","1326087941")</f>
        <v>1326087941</v>
      </c>
      <c r="E11492" t="s">
        <v>3662</v>
      </c>
    </row>
    <row r="11493" spans="1:5" x14ac:dyDescent="0.25">
      <c r="A11493" t="s">
        <v>2</v>
      </c>
      <c r="B11493" t="s">
        <v>3458</v>
      </c>
      <c r="C11493" t="s">
        <v>23490</v>
      </c>
      <c r="D11493" t="str">
        <f>HYPERLINK("https://rhld.insurance.arkansas.gov/NPILookup?Npi=1326097197","1326097197")</f>
        <v>1326097197</v>
      </c>
      <c r="E11493" t="s">
        <v>1161</v>
      </c>
    </row>
    <row r="11494" spans="1:5" x14ac:dyDescent="0.25">
      <c r="A11494" t="s">
        <v>2</v>
      </c>
      <c r="B11494" t="s">
        <v>3458</v>
      </c>
      <c r="C11494" t="s">
        <v>23490</v>
      </c>
      <c r="D11494" t="str">
        <f>HYPERLINK("https://rhld.insurance.arkansas.gov/NPILookup?Npi=1326098237","1326098237")</f>
        <v>1326098237</v>
      </c>
      <c r="E11494" t="s">
        <v>15005</v>
      </c>
    </row>
    <row r="11495" spans="1:5" x14ac:dyDescent="0.25">
      <c r="A11495" t="s">
        <v>2</v>
      </c>
      <c r="B11495" t="s">
        <v>3458</v>
      </c>
      <c r="C11495" t="s">
        <v>23490</v>
      </c>
      <c r="D11495" t="str">
        <f>HYPERLINK("https://rhld.insurance.arkansas.gov/NPILookup?Npi=1326099516","1326099516")</f>
        <v>1326099516</v>
      </c>
      <c r="E11495" t="s">
        <v>15006</v>
      </c>
    </row>
    <row r="11496" spans="1:5" x14ac:dyDescent="0.25">
      <c r="A11496" t="s">
        <v>2</v>
      </c>
      <c r="B11496" t="s">
        <v>3458</v>
      </c>
      <c r="C11496" t="s">
        <v>23490</v>
      </c>
      <c r="D11496" t="str">
        <f>HYPERLINK("https://rhld.insurance.arkansas.gov/NPILookup?Npi=1326140237","1326140237")</f>
        <v>1326140237</v>
      </c>
      <c r="E11496" t="s">
        <v>1163</v>
      </c>
    </row>
    <row r="11497" spans="1:5" x14ac:dyDescent="0.25">
      <c r="A11497" t="s">
        <v>2</v>
      </c>
      <c r="B11497" t="s">
        <v>3458</v>
      </c>
      <c r="C11497" t="s">
        <v>23490</v>
      </c>
      <c r="D11497" t="str">
        <f>HYPERLINK("https://rhld.insurance.arkansas.gov/NPILookup?Npi=1326152448","1326152448")</f>
        <v>1326152448</v>
      </c>
      <c r="E11497" t="s">
        <v>1164</v>
      </c>
    </row>
    <row r="11498" spans="1:5" x14ac:dyDescent="0.25">
      <c r="A11498" t="s">
        <v>2</v>
      </c>
      <c r="B11498" t="s">
        <v>3458</v>
      </c>
      <c r="C11498" t="s">
        <v>23490</v>
      </c>
      <c r="D11498" t="str">
        <f>HYPERLINK("https://rhld.insurance.arkansas.gov/NPILookup?Npi=1326188764","1326188764")</f>
        <v>1326188764</v>
      </c>
      <c r="E11498" t="s">
        <v>10833</v>
      </c>
    </row>
    <row r="11499" spans="1:5" x14ac:dyDescent="0.25">
      <c r="A11499" t="s">
        <v>2</v>
      </c>
      <c r="B11499" t="s">
        <v>3458</v>
      </c>
      <c r="C11499" t="s">
        <v>23490</v>
      </c>
      <c r="D11499" t="str">
        <f>HYPERLINK("https://rhld.insurance.arkansas.gov/NPILookup?Npi=1326188806","1326188806")</f>
        <v>1326188806</v>
      </c>
      <c r="E11499" t="s">
        <v>15007</v>
      </c>
    </row>
    <row r="11500" spans="1:5" x14ac:dyDescent="0.25">
      <c r="A11500" t="s">
        <v>2</v>
      </c>
      <c r="B11500" t="s">
        <v>3458</v>
      </c>
      <c r="C11500" t="s">
        <v>23490</v>
      </c>
      <c r="D11500" t="str">
        <f>HYPERLINK("https://rhld.insurance.arkansas.gov/NPILookup?Npi=1326198110","1326198110")</f>
        <v>1326198110</v>
      </c>
      <c r="E11500" t="s">
        <v>17950</v>
      </c>
    </row>
    <row r="11501" spans="1:5" x14ac:dyDescent="0.25">
      <c r="A11501" t="s">
        <v>2</v>
      </c>
      <c r="B11501" t="s">
        <v>3458</v>
      </c>
      <c r="C11501" t="s">
        <v>23490</v>
      </c>
      <c r="D11501" t="str">
        <f>HYPERLINK("https://rhld.insurance.arkansas.gov/NPILookup?Npi=1326203720","1326203720")</f>
        <v>1326203720</v>
      </c>
      <c r="E11501" t="s">
        <v>13473</v>
      </c>
    </row>
    <row r="11502" spans="1:5" x14ac:dyDescent="0.25">
      <c r="A11502" t="s">
        <v>2</v>
      </c>
      <c r="B11502" t="s">
        <v>3458</v>
      </c>
      <c r="C11502" t="s">
        <v>23490</v>
      </c>
      <c r="D11502" t="str">
        <f>HYPERLINK("https://rhld.insurance.arkansas.gov/NPILookup?Npi=1326240797","1326240797")</f>
        <v>1326240797</v>
      </c>
      <c r="E11502" t="s">
        <v>1167</v>
      </c>
    </row>
    <row r="11503" spans="1:5" x14ac:dyDescent="0.25">
      <c r="A11503" t="s">
        <v>2</v>
      </c>
      <c r="B11503" t="s">
        <v>3458</v>
      </c>
      <c r="C11503" t="s">
        <v>23490</v>
      </c>
      <c r="D11503" t="str">
        <f>HYPERLINK("https://rhld.insurance.arkansas.gov/NPILookup?Npi=1326244260","1326244260")</f>
        <v>1326244260</v>
      </c>
      <c r="E11503" t="s">
        <v>1168</v>
      </c>
    </row>
    <row r="11504" spans="1:5" x14ac:dyDescent="0.25">
      <c r="A11504" t="s">
        <v>2</v>
      </c>
      <c r="B11504" t="s">
        <v>3458</v>
      </c>
      <c r="C11504" t="s">
        <v>23490</v>
      </c>
      <c r="D11504" t="str">
        <f>HYPERLINK("https://rhld.insurance.arkansas.gov/NPILookup?Npi=1326245291","1326245291")</f>
        <v>1326245291</v>
      </c>
      <c r="E11504" t="s">
        <v>1169</v>
      </c>
    </row>
    <row r="11505" spans="1:5" x14ac:dyDescent="0.25">
      <c r="A11505" t="s">
        <v>2</v>
      </c>
      <c r="B11505" t="s">
        <v>3458</v>
      </c>
      <c r="C11505" t="s">
        <v>23490</v>
      </c>
      <c r="D11505" t="str">
        <f>HYPERLINK("https://rhld.insurance.arkansas.gov/NPILookup?Npi=1326246190","1326246190")</f>
        <v>1326246190</v>
      </c>
      <c r="E11505" t="s">
        <v>1170</v>
      </c>
    </row>
    <row r="11506" spans="1:5" x14ac:dyDescent="0.25">
      <c r="A11506" t="s">
        <v>2</v>
      </c>
      <c r="B11506" t="s">
        <v>3458</v>
      </c>
      <c r="C11506" t="s">
        <v>23490</v>
      </c>
      <c r="D11506" t="str">
        <f>HYPERLINK("https://rhld.insurance.arkansas.gov/NPILookup?Npi=1326291089","1326291089")</f>
        <v>1326291089</v>
      </c>
      <c r="E11506" t="s">
        <v>22923</v>
      </c>
    </row>
    <row r="11507" spans="1:5" x14ac:dyDescent="0.25">
      <c r="A11507" t="s">
        <v>2</v>
      </c>
      <c r="B11507" t="s">
        <v>3458</v>
      </c>
      <c r="C11507" t="s">
        <v>23490</v>
      </c>
      <c r="D11507" t="str">
        <f>HYPERLINK("https://rhld.insurance.arkansas.gov/NPILookup?Npi=1326304338","1326304338")</f>
        <v>1326304338</v>
      </c>
      <c r="E11507" t="s">
        <v>13842</v>
      </c>
    </row>
    <row r="11508" spans="1:5" x14ac:dyDescent="0.25">
      <c r="A11508" t="s">
        <v>2</v>
      </c>
      <c r="B11508" t="s">
        <v>3458</v>
      </c>
      <c r="C11508" t="s">
        <v>23490</v>
      </c>
      <c r="D11508" t="str">
        <f>HYPERLINK("https://rhld.insurance.arkansas.gov/NPILookup?Npi=1326307596","1326307596")</f>
        <v>1326307596</v>
      </c>
      <c r="E11508" t="s">
        <v>3663</v>
      </c>
    </row>
    <row r="11509" spans="1:5" x14ac:dyDescent="0.25">
      <c r="A11509" t="s">
        <v>2</v>
      </c>
      <c r="B11509" t="s">
        <v>3458</v>
      </c>
      <c r="C11509" t="s">
        <v>23490</v>
      </c>
      <c r="D11509" t="str">
        <f>HYPERLINK("https://rhld.insurance.arkansas.gov/NPILookup?Npi=1326319138","1326319138")</f>
        <v>1326319138</v>
      </c>
      <c r="E11509" t="s">
        <v>1172</v>
      </c>
    </row>
    <row r="11510" spans="1:5" x14ac:dyDescent="0.25">
      <c r="A11510" t="s">
        <v>2</v>
      </c>
      <c r="B11510" t="s">
        <v>3458</v>
      </c>
      <c r="C11510" t="s">
        <v>23490</v>
      </c>
      <c r="D11510" t="str">
        <f>HYPERLINK("https://rhld.insurance.arkansas.gov/NPILookup?Npi=1326331968","1326331968")</f>
        <v>1326331968</v>
      </c>
      <c r="E11510" t="s">
        <v>13843</v>
      </c>
    </row>
    <row r="11511" spans="1:5" x14ac:dyDescent="0.25">
      <c r="A11511" t="s">
        <v>2</v>
      </c>
      <c r="B11511" t="s">
        <v>3458</v>
      </c>
      <c r="C11511" t="s">
        <v>23490</v>
      </c>
      <c r="D11511" t="str">
        <f>HYPERLINK("https://rhld.insurance.arkansas.gov/NPILookup?Npi=1326339557","1326339557")</f>
        <v>1326339557</v>
      </c>
      <c r="E11511" t="s">
        <v>3664</v>
      </c>
    </row>
    <row r="11512" spans="1:5" x14ac:dyDescent="0.25">
      <c r="A11512" t="s">
        <v>2</v>
      </c>
      <c r="B11512" t="s">
        <v>3458</v>
      </c>
      <c r="C11512" t="s">
        <v>23490</v>
      </c>
      <c r="D11512" t="str">
        <f>HYPERLINK("https://rhld.insurance.arkansas.gov/NPILookup?Npi=1326344045","1326344045")</f>
        <v>1326344045</v>
      </c>
      <c r="E11512" t="s">
        <v>8618</v>
      </c>
    </row>
    <row r="11513" spans="1:5" x14ac:dyDescent="0.25">
      <c r="A11513" t="s">
        <v>2</v>
      </c>
      <c r="B11513" t="s">
        <v>3458</v>
      </c>
      <c r="C11513" t="s">
        <v>23490</v>
      </c>
      <c r="D11513" t="str">
        <f>HYPERLINK("https://rhld.insurance.arkansas.gov/NPILookup?Npi=1326346461","1326346461")</f>
        <v>1326346461</v>
      </c>
      <c r="E11513" t="s">
        <v>17951</v>
      </c>
    </row>
    <row r="11514" spans="1:5" x14ac:dyDescent="0.25">
      <c r="A11514" t="s">
        <v>2</v>
      </c>
      <c r="B11514" t="s">
        <v>3458</v>
      </c>
      <c r="C11514" t="s">
        <v>23490</v>
      </c>
      <c r="D11514" t="str">
        <f>HYPERLINK("https://rhld.insurance.arkansas.gov/NPILookup?Npi=1326354739","1326354739")</f>
        <v>1326354739</v>
      </c>
      <c r="E11514" t="s">
        <v>1174</v>
      </c>
    </row>
    <row r="11515" spans="1:5" x14ac:dyDescent="0.25">
      <c r="A11515" t="s">
        <v>2</v>
      </c>
      <c r="B11515" t="s">
        <v>3458</v>
      </c>
      <c r="C11515" t="s">
        <v>23490</v>
      </c>
      <c r="D11515" t="str">
        <f>HYPERLINK("https://rhld.insurance.arkansas.gov/NPILookup?Npi=1326356890","1326356890")</f>
        <v>1326356890</v>
      </c>
      <c r="E11515" t="s">
        <v>13474</v>
      </c>
    </row>
    <row r="11516" spans="1:5" x14ac:dyDescent="0.25">
      <c r="A11516" t="s">
        <v>2</v>
      </c>
      <c r="B11516" t="s">
        <v>3458</v>
      </c>
      <c r="C11516" t="s">
        <v>23490</v>
      </c>
      <c r="D11516" t="str">
        <f>HYPERLINK("https://rhld.insurance.arkansas.gov/NPILookup?Npi=1326358565","1326358565")</f>
        <v>1326358565</v>
      </c>
      <c r="E11516" t="s">
        <v>8619</v>
      </c>
    </row>
    <row r="11517" spans="1:5" x14ac:dyDescent="0.25">
      <c r="A11517" t="s">
        <v>2</v>
      </c>
      <c r="B11517" t="s">
        <v>3458</v>
      </c>
      <c r="C11517" t="s">
        <v>23490</v>
      </c>
      <c r="D11517" t="str">
        <f>HYPERLINK("https://rhld.insurance.arkansas.gov/NPILookup?Npi=1326359472","1326359472")</f>
        <v>1326359472</v>
      </c>
      <c r="E11517" t="s">
        <v>1175</v>
      </c>
    </row>
    <row r="11518" spans="1:5" x14ac:dyDescent="0.25">
      <c r="A11518" t="s">
        <v>2</v>
      </c>
      <c r="B11518" t="s">
        <v>3458</v>
      </c>
      <c r="C11518" t="s">
        <v>23490</v>
      </c>
      <c r="D11518" t="str">
        <f>HYPERLINK("https://rhld.insurance.arkansas.gov/NPILookup?Npi=1326381468","1326381468")</f>
        <v>1326381468</v>
      </c>
      <c r="E11518" t="s">
        <v>19620</v>
      </c>
    </row>
    <row r="11519" spans="1:5" x14ac:dyDescent="0.25">
      <c r="A11519" t="s">
        <v>2</v>
      </c>
      <c r="B11519" t="s">
        <v>3458</v>
      </c>
      <c r="C11519" t="s">
        <v>23490</v>
      </c>
      <c r="D11519" t="str">
        <f>HYPERLINK("https://rhld.insurance.arkansas.gov/NPILookup?Npi=1326392671","1326392671")</f>
        <v>1326392671</v>
      </c>
      <c r="E11519" t="s">
        <v>1176</v>
      </c>
    </row>
    <row r="11520" spans="1:5" x14ac:dyDescent="0.25">
      <c r="A11520" t="s">
        <v>2</v>
      </c>
      <c r="B11520" t="s">
        <v>3458</v>
      </c>
      <c r="C11520" t="s">
        <v>23490</v>
      </c>
      <c r="D11520" t="str">
        <f>HYPERLINK("https://rhld.insurance.arkansas.gov/NPILookup?Npi=1326406372","1326406372")</f>
        <v>1326406372</v>
      </c>
      <c r="E11520" t="s">
        <v>15008</v>
      </c>
    </row>
    <row r="11521" spans="1:5" x14ac:dyDescent="0.25">
      <c r="A11521" t="s">
        <v>2</v>
      </c>
      <c r="B11521" t="s">
        <v>3458</v>
      </c>
      <c r="C11521" t="s">
        <v>23490</v>
      </c>
      <c r="D11521" t="str">
        <f>HYPERLINK("https://rhld.insurance.arkansas.gov/NPILookup?Npi=1326437831","1326437831")</f>
        <v>1326437831</v>
      </c>
      <c r="E11521" t="s">
        <v>13475</v>
      </c>
    </row>
    <row r="11522" spans="1:5" x14ac:dyDescent="0.25">
      <c r="A11522" t="s">
        <v>2</v>
      </c>
      <c r="B11522" t="s">
        <v>3458</v>
      </c>
      <c r="C11522" t="s">
        <v>23490</v>
      </c>
      <c r="D11522" t="str">
        <f>HYPERLINK("https://rhld.insurance.arkansas.gov/NPILookup?Npi=1326438466","1326438466")</f>
        <v>1326438466</v>
      </c>
      <c r="E11522" t="s">
        <v>1177</v>
      </c>
    </row>
    <row r="11523" spans="1:5" x14ac:dyDescent="0.25">
      <c r="A11523" t="s">
        <v>2</v>
      </c>
      <c r="B11523" t="s">
        <v>3458</v>
      </c>
      <c r="C11523" t="s">
        <v>23490</v>
      </c>
      <c r="D11523" t="str">
        <f>HYPERLINK("https://rhld.insurance.arkansas.gov/NPILookup?Npi=1326445578","1326445578")</f>
        <v>1326445578</v>
      </c>
      <c r="E11523" t="s">
        <v>1179</v>
      </c>
    </row>
    <row r="11524" spans="1:5" x14ac:dyDescent="0.25">
      <c r="A11524" t="s">
        <v>2</v>
      </c>
      <c r="B11524" t="s">
        <v>3458</v>
      </c>
      <c r="C11524" t="s">
        <v>23490</v>
      </c>
      <c r="D11524" t="str">
        <f>HYPERLINK("https://rhld.insurance.arkansas.gov/NPILookup?Npi=1326449182","1326449182")</f>
        <v>1326449182</v>
      </c>
      <c r="E11524" t="s">
        <v>13476</v>
      </c>
    </row>
    <row r="11525" spans="1:5" x14ac:dyDescent="0.25">
      <c r="A11525" t="s">
        <v>2</v>
      </c>
      <c r="B11525" t="s">
        <v>3458</v>
      </c>
      <c r="C11525" t="s">
        <v>23490</v>
      </c>
      <c r="D11525" t="str">
        <f>HYPERLINK("https://rhld.insurance.arkansas.gov/NPILookup?Npi=1326455957","1326455957")</f>
        <v>1326455957</v>
      </c>
      <c r="E11525" t="s">
        <v>1180</v>
      </c>
    </row>
    <row r="11526" spans="1:5" x14ac:dyDescent="0.25">
      <c r="A11526" t="s">
        <v>2</v>
      </c>
      <c r="B11526" t="s">
        <v>3458</v>
      </c>
      <c r="C11526" t="s">
        <v>23490</v>
      </c>
      <c r="D11526" t="str">
        <f>HYPERLINK("https://rhld.insurance.arkansas.gov/NPILookup?Npi=1326458902","1326458902")</f>
        <v>1326458902</v>
      </c>
      <c r="E11526" t="s">
        <v>21517</v>
      </c>
    </row>
    <row r="11527" spans="1:5" x14ac:dyDescent="0.25">
      <c r="A11527" t="s">
        <v>2</v>
      </c>
      <c r="B11527" t="s">
        <v>3458</v>
      </c>
      <c r="C11527" t="s">
        <v>23490</v>
      </c>
      <c r="D11527" t="str">
        <f>HYPERLINK("https://rhld.insurance.arkansas.gov/NPILookup?Npi=1326461500","1326461500")</f>
        <v>1326461500</v>
      </c>
      <c r="E11527" t="s">
        <v>15010</v>
      </c>
    </row>
    <row r="11528" spans="1:5" x14ac:dyDescent="0.25">
      <c r="A11528" t="s">
        <v>2</v>
      </c>
      <c r="B11528" t="s">
        <v>3458</v>
      </c>
      <c r="C11528" t="s">
        <v>23490</v>
      </c>
      <c r="D11528" t="str">
        <f>HYPERLINK("https://rhld.insurance.arkansas.gov/NPILookup?Npi=1326468059","1326468059")</f>
        <v>1326468059</v>
      </c>
      <c r="E11528" t="s">
        <v>1181</v>
      </c>
    </row>
    <row r="11529" spans="1:5" x14ac:dyDescent="0.25">
      <c r="A11529" t="s">
        <v>2</v>
      </c>
      <c r="B11529" t="s">
        <v>3458</v>
      </c>
      <c r="C11529" t="s">
        <v>23490</v>
      </c>
      <c r="D11529" t="str">
        <f>HYPERLINK("https://rhld.insurance.arkansas.gov/NPILookup?Npi=1326468455","1326468455")</f>
        <v>1326468455</v>
      </c>
      <c r="E11529" t="s">
        <v>20927</v>
      </c>
    </row>
    <row r="11530" spans="1:5" x14ac:dyDescent="0.25">
      <c r="A11530" t="s">
        <v>2</v>
      </c>
      <c r="B11530" t="s">
        <v>3458</v>
      </c>
      <c r="C11530" t="s">
        <v>23490</v>
      </c>
      <c r="D11530" t="str">
        <f>HYPERLINK("https://rhld.insurance.arkansas.gov/NPILookup?Npi=1326481664","1326481664")</f>
        <v>1326481664</v>
      </c>
      <c r="E11530" t="s">
        <v>10835</v>
      </c>
    </row>
    <row r="11531" spans="1:5" x14ac:dyDescent="0.25">
      <c r="A11531" t="s">
        <v>2</v>
      </c>
      <c r="B11531" t="s">
        <v>3458</v>
      </c>
      <c r="C11531" t="s">
        <v>23490</v>
      </c>
      <c r="D11531" t="str">
        <f>HYPERLINK("https://rhld.insurance.arkansas.gov/NPILookup?Npi=1326487109","1326487109")</f>
        <v>1326487109</v>
      </c>
      <c r="E11531" t="s">
        <v>8620</v>
      </c>
    </row>
    <row r="11532" spans="1:5" x14ac:dyDescent="0.25">
      <c r="A11532" t="s">
        <v>2</v>
      </c>
      <c r="B11532" t="s">
        <v>3458</v>
      </c>
      <c r="C11532" t="s">
        <v>23490</v>
      </c>
      <c r="D11532" t="str">
        <f>HYPERLINK("https://rhld.insurance.arkansas.gov/NPILookup?Npi=1326490798","1326490798")</f>
        <v>1326490798</v>
      </c>
      <c r="E11532" t="s">
        <v>10836</v>
      </c>
    </row>
    <row r="11533" spans="1:5" x14ac:dyDescent="0.25">
      <c r="A11533" t="s">
        <v>2</v>
      </c>
      <c r="B11533" t="s">
        <v>3458</v>
      </c>
      <c r="C11533" t="s">
        <v>23490</v>
      </c>
      <c r="D11533" t="str">
        <f>HYPERLINK("https://rhld.insurance.arkansas.gov/NPILookup?Npi=1326493941","1326493941")</f>
        <v>1326493941</v>
      </c>
      <c r="E11533" t="s">
        <v>15012</v>
      </c>
    </row>
    <row r="11534" spans="1:5" x14ac:dyDescent="0.25">
      <c r="A11534" t="s">
        <v>2</v>
      </c>
      <c r="B11534" t="s">
        <v>3458</v>
      </c>
      <c r="C11534" t="s">
        <v>23490</v>
      </c>
      <c r="D11534" t="str">
        <f>HYPERLINK("https://rhld.insurance.arkansas.gov/NPILookup?Npi=1326510033","1326510033")</f>
        <v>1326510033</v>
      </c>
      <c r="E11534" t="s">
        <v>13478</v>
      </c>
    </row>
    <row r="11535" spans="1:5" x14ac:dyDescent="0.25">
      <c r="A11535" t="s">
        <v>2</v>
      </c>
      <c r="B11535" t="s">
        <v>3458</v>
      </c>
      <c r="C11535" t="s">
        <v>23490</v>
      </c>
      <c r="D11535" t="str">
        <f>HYPERLINK("https://rhld.insurance.arkansas.gov/NPILookup?Npi=1326513201","1326513201")</f>
        <v>1326513201</v>
      </c>
      <c r="E11535" t="s">
        <v>13479</v>
      </c>
    </row>
    <row r="11536" spans="1:5" x14ac:dyDescent="0.25">
      <c r="A11536" t="s">
        <v>2</v>
      </c>
      <c r="B11536" t="s">
        <v>3458</v>
      </c>
      <c r="C11536" t="s">
        <v>23490</v>
      </c>
      <c r="D11536" t="str">
        <f>HYPERLINK("https://rhld.insurance.arkansas.gov/NPILookup?Npi=1326523507","1326523507")</f>
        <v>1326523507</v>
      </c>
      <c r="E11536" t="s">
        <v>15013</v>
      </c>
    </row>
    <row r="11537" spans="1:5" x14ac:dyDescent="0.25">
      <c r="A11537" t="s">
        <v>2</v>
      </c>
      <c r="B11537" t="s">
        <v>3458</v>
      </c>
      <c r="C11537" t="s">
        <v>23490</v>
      </c>
      <c r="D11537" t="str">
        <f>HYPERLINK("https://rhld.insurance.arkansas.gov/NPILookup?Npi=1326528282","1326528282")</f>
        <v>1326528282</v>
      </c>
      <c r="E11537" t="s">
        <v>18744</v>
      </c>
    </row>
    <row r="11538" spans="1:5" x14ac:dyDescent="0.25">
      <c r="A11538" t="s">
        <v>2</v>
      </c>
      <c r="B11538" t="s">
        <v>3458</v>
      </c>
      <c r="C11538" t="s">
        <v>23490</v>
      </c>
      <c r="D11538" t="str">
        <f>HYPERLINK("https://rhld.insurance.arkansas.gov/NPILookup?Npi=1326534801","1326534801")</f>
        <v>1326534801</v>
      </c>
      <c r="E11538" t="s">
        <v>21729</v>
      </c>
    </row>
    <row r="11539" spans="1:5" x14ac:dyDescent="0.25">
      <c r="A11539" t="s">
        <v>2</v>
      </c>
      <c r="B11539" t="s">
        <v>3458</v>
      </c>
      <c r="C11539" t="s">
        <v>23490</v>
      </c>
      <c r="D11539" t="str">
        <f>HYPERLINK("https://rhld.insurance.arkansas.gov/NPILookup?Npi=1326535311","1326535311")</f>
        <v>1326535311</v>
      </c>
      <c r="E11539" t="s">
        <v>19622</v>
      </c>
    </row>
    <row r="11540" spans="1:5" x14ac:dyDescent="0.25">
      <c r="A11540" t="s">
        <v>2</v>
      </c>
      <c r="B11540" t="s">
        <v>3458</v>
      </c>
      <c r="C11540" t="s">
        <v>23490</v>
      </c>
      <c r="D11540" t="str">
        <f>HYPERLINK("https://rhld.insurance.arkansas.gov/NPILookup?Npi=1326544305","1326544305")</f>
        <v>1326544305</v>
      </c>
      <c r="E11540" t="s">
        <v>12819</v>
      </c>
    </row>
    <row r="11541" spans="1:5" x14ac:dyDescent="0.25">
      <c r="A11541" t="s">
        <v>2</v>
      </c>
      <c r="B11541" t="s">
        <v>3458</v>
      </c>
      <c r="C11541" t="s">
        <v>23490</v>
      </c>
      <c r="D11541" t="str">
        <f>HYPERLINK("https://rhld.insurance.arkansas.gov/NPILookup?Npi=1326545401","1326545401")</f>
        <v>1326545401</v>
      </c>
      <c r="E11541" t="s">
        <v>18745</v>
      </c>
    </row>
    <row r="11542" spans="1:5" x14ac:dyDescent="0.25">
      <c r="A11542" t="s">
        <v>2</v>
      </c>
      <c r="B11542" t="s">
        <v>3458</v>
      </c>
      <c r="C11542" t="s">
        <v>23490</v>
      </c>
      <c r="D11542" t="str">
        <f>HYPERLINK("https://rhld.insurance.arkansas.gov/NPILookup?Npi=1326547944","1326547944")</f>
        <v>1326547944</v>
      </c>
      <c r="E11542" t="s">
        <v>12820</v>
      </c>
    </row>
    <row r="11543" spans="1:5" x14ac:dyDescent="0.25">
      <c r="A11543" t="s">
        <v>2</v>
      </c>
      <c r="B11543" t="s">
        <v>3458</v>
      </c>
      <c r="C11543" t="s">
        <v>23490</v>
      </c>
      <c r="D11543" t="str">
        <f>HYPERLINK("https://rhld.insurance.arkansas.gov/NPILookup?Npi=1326565607","1326565607")</f>
        <v>1326565607</v>
      </c>
      <c r="E11543" t="s">
        <v>10837</v>
      </c>
    </row>
    <row r="11544" spans="1:5" x14ac:dyDescent="0.25">
      <c r="A11544" t="s">
        <v>2</v>
      </c>
      <c r="B11544" t="s">
        <v>3458</v>
      </c>
      <c r="C11544" t="s">
        <v>23490</v>
      </c>
      <c r="D11544" t="str">
        <f>HYPERLINK("https://rhld.insurance.arkansas.gov/NPILookup?Npi=1326567595","1326567595")</f>
        <v>1326567595</v>
      </c>
      <c r="E11544" t="s">
        <v>19623</v>
      </c>
    </row>
    <row r="11545" spans="1:5" x14ac:dyDescent="0.25">
      <c r="A11545" t="s">
        <v>2</v>
      </c>
      <c r="B11545" t="s">
        <v>3458</v>
      </c>
      <c r="C11545" t="s">
        <v>23490</v>
      </c>
      <c r="D11545" t="str">
        <f>HYPERLINK("https://rhld.insurance.arkansas.gov/NPILookup?Npi=1326571159","1326571159")</f>
        <v>1326571159</v>
      </c>
      <c r="E11545" t="s">
        <v>5284</v>
      </c>
    </row>
    <row r="11546" spans="1:5" x14ac:dyDescent="0.25">
      <c r="A11546" t="s">
        <v>2</v>
      </c>
      <c r="B11546" t="s">
        <v>3458</v>
      </c>
      <c r="C11546" t="s">
        <v>23490</v>
      </c>
      <c r="D11546" t="str">
        <f>HYPERLINK("https://rhld.insurance.arkansas.gov/NPILookup?Npi=1326583568","1326583568")</f>
        <v>1326583568</v>
      </c>
      <c r="E11546" t="s">
        <v>10839</v>
      </c>
    </row>
    <row r="11547" spans="1:5" x14ac:dyDescent="0.25">
      <c r="A11547" t="s">
        <v>2</v>
      </c>
      <c r="B11547" t="s">
        <v>3458</v>
      </c>
      <c r="C11547" t="s">
        <v>23490</v>
      </c>
      <c r="D11547" t="str">
        <f>HYPERLINK("https://rhld.insurance.arkansas.gov/NPILookup?Npi=1326591132","1326591132")</f>
        <v>1326591132</v>
      </c>
      <c r="E11547" t="s">
        <v>15837</v>
      </c>
    </row>
    <row r="11548" spans="1:5" x14ac:dyDescent="0.25">
      <c r="A11548" t="s">
        <v>2</v>
      </c>
      <c r="B11548" t="s">
        <v>3458</v>
      </c>
      <c r="C11548" t="s">
        <v>23490</v>
      </c>
      <c r="D11548" t="str">
        <f>HYPERLINK("https://rhld.insurance.arkansas.gov/NPILookup?Npi=1326593336","1326593336")</f>
        <v>1326593336</v>
      </c>
      <c r="E11548" t="s">
        <v>15015</v>
      </c>
    </row>
    <row r="11549" spans="1:5" x14ac:dyDescent="0.25">
      <c r="A11549" t="s">
        <v>2</v>
      </c>
      <c r="B11549" t="s">
        <v>3458</v>
      </c>
      <c r="C11549" t="s">
        <v>23490</v>
      </c>
      <c r="D11549" t="str">
        <f>HYPERLINK("https://rhld.insurance.arkansas.gov/NPILookup?Npi=1326655416","1326655416")</f>
        <v>1326655416</v>
      </c>
      <c r="E11549" t="s">
        <v>17953</v>
      </c>
    </row>
    <row r="11550" spans="1:5" x14ac:dyDescent="0.25">
      <c r="A11550" t="s">
        <v>2</v>
      </c>
      <c r="B11550" t="s">
        <v>3458</v>
      </c>
      <c r="C11550" t="s">
        <v>23490</v>
      </c>
      <c r="D11550" t="str">
        <f>HYPERLINK("https://rhld.insurance.arkansas.gov/NPILookup?Npi=1326663824","1326663824")</f>
        <v>1326663824</v>
      </c>
      <c r="E11550" t="s">
        <v>21518</v>
      </c>
    </row>
    <row r="11551" spans="1:5" x14ac:dyDescent="0.25">
      <c r="A11551" t="s">
        <v>2</v>
      </c>
      <c r="B11551" t="s">
        <v>3458</v>
      </c>
      <c r="C11551" t="s">
        <v>23490</v>
      </c>
      <c r="D11551" t="str">
        <f>HYPERLINK("https://rhld.insurance.arkansas.gov/NPILookup?Npi=1326674458","1326674458")</f>
        <v>1326674458</v>
      </c>
      <c r="E11551" t="s">
        <v>21521</v>
      </c>
    </row>
    <row r="11552" spans="1:5" x14ac:dyDescent="0.25">
      <c r="A11552" t="s">
        <v>2</v>
      </c>
      <c r="B11552" t="s">
        <v>3458</v>
      </c>
      <c r="C11552" t="s">
        <v>23490</v>
      </c>
      <c r="D11552" t="str">
        <f>HYPERLINK("https://rhld.insurance.arkansas.gov/NPILookup?Npi=1326772732","1326772732")</f>
        <v>1326772732</v>
      </c>
      <c r="E11552" t="s">
        <v>21522</v>
      </c>
    </row>
    <row r="11553" spans="1:5" x14ac:dyDescent="0.25">
      <c r="A11553" t="s">
        <v>2</v>
      </c>
      <c r="B11553" t="s">
        <v>3458</v>
      </c>
      <c r="C11553" t="s">
        <v>23490</v>
      </c>
      <c r="D11553" t="str">
        <f>HYPERLINK("https://rhld.insurance.arkansas.gov/NPILookup?Npi=1336100478","1336100478")</f>
        <v>1336100478</v>
      </c>
      <c r="E11553" t="s">
        <v>15016</v>
      </c>
    </row>
    <row r="11554" spans="1:5" x14ac:dyDescent="0.25">
      <c r="A11554" t="s">
        <v>2</v>
      </c>
      <c r="B11554" t="s">
        <v>3458</v>
      </c>
      <c r="C11554" t="s">
        <v>23490</v>
      </c>
      <c r="D11554" t="str">
        <f>HYPERLINK("https://rhld.insurance.arkansas.gov/NPILookup?Npi=1336102532","1336102532")</f>
        <v>1336102532</v>
      </c>
      <c r="E11554" t="s">
        <v>1182</v>
      </c>
    </row>
    <row r="11555" spans="1:5" x14ac:dyDescent="0.25">
      <c r="A11555" t="s">
        <v>2</v>
      </c>
      <c r="B11555" t="s">
        <v>3458</v>
      </c>
      <c r="C11555" t="s">
        <v>23490</v>
      </c>
      <c r="D11555" t="str">
        <f>HYPERLINK("https://rhld.insurance.arkansas.gov/NPILookup?Npi=1336106368","1336106368")</f>
        <v>1336106368</v>
      </c>
      <c r="E11555" t="s">
        <v>1184</v>
      </c>
    </row>
    <row r="11556" spans="1:5" x14ac:dyDescent="0.25">
      <c r="A11556" t="s">
        <v>2</v>
      </c>
      <c r="B11556" t="s">
        <v>3458</v>
      </c>
      <c r="C11556" t="s">
        <v>23490</v>
      </c>
      <c r="D11556" t="str">
        <f>HYPERLINK("https://rhld.insurance.arkansas.gov/NPILookup?Npi=1336115740","1336115740")</f>
        <v>1336115740</v>
      </c>
      <c r="E11556" t="s">
        <v>3665</v>
      </c>
    </row>
    <row r="11557" spans="1:5" x14ac:dyDescent="0.25">
      <c r="A11557" t="s">
        <v>2</v>
      </c>
      <c r="B11557" t="s">
        <v>3458</v>
      </c>
      <c r="C11557" t="s">
        <v>23490</v>
      </c>
      <c r="D11557" t="str">
        <f>HYPERLINK("https://rhld.insurance.arkansas.gov/NPILookup?Npi=1336118157","1336118157")</f>
        <v>1336118157</v>
      </c>
      <c r="E11557" t="s">
        <v>1186</v>
      </c>
    </row>
    <row r="11558" spans="1:5" x14ac:dyDescent="0.25">
      <c r="A11558" t="s">
        <v>2</v>
      </c>
      <c r="B11558" t="s">
        <v>3458</v>
      </c>
      <c r="C11558" t="s">
        <v>23490</v>
      </c>
      <c r="D11558" t="str">
        <f>HYPERLINK("https://rhld.insurance.arkansas.gov/NPILookup?Npi=1336120955","1336120955")</f>
        <v>1336120955</v>
      </c>
      <c r="E11558" t="s">
        <v>15838</v>
      </c>
    </row>
    <row r="11559" spans="1:5" x14ac:dyDescent="0.25">
      <c r="A11559" t="s">
        <v>2</v>
      </c>
      <c r="B11559" t="s">
        <v>3458</v>
      </c>
      <c r="C11559" t="s">
        <v>23490</v>
      </c>
      <c r="D11559" t="str">
        <f>HYPERLINK("https://rhld.insurance.arkansas.gov/NPILookup?Npi=1336123009","1336123009")</f>
        <v>1336123009</v>
      </c>
      <c r="E11559" t="s">
        <v>15839</v>
      </c>
    </row>
    <row r="11560" spans="1:5" x14ac:dyDescent="0.25">
      <c r="A11560" t="s">
        <v>2</v>
      </c>
      <c r="B11560" t="s">
        <v>3458</v>
      </c>
      <c r="C11560" t="s">
        <v>23490</v>
      </c>
      <c r="D11560" t="str">
        <f>HYPERLINK("https://rhld.insurance.arkansas.gov/NPILookup?Npi=1336129758","1336129758")</f>
        <v>1336129758</v>
      </c>
      <c r="E11560" t="s">
        <v>1188</v>
      </c>
    </row>
    <row r="11561" spans="1:5" x14ac:dyDescent="0.25">
      <c r="A11561" t="s">
        <v>2</v>
      </c>
      <c r="B11561" t="s">
        <v>3458</v>
      </c>
      <c r="C11561" t="s">
        <v>23490</v>
      </c>
      <c r="D11561" t="str">
        <f>HYPERLINK("https://rhld.insurance.arkansas.gov/NPILookup?Npi=1336131242","1336131242")</f>
        <v>1336131242</v>
      </c>
      <c r="E11561" t="s">
        <v>15017</v>
      </c>
    </row>
    <row r="11562" spans="1:5" x14ac:dyDescent="0.25">
      <c r="A11562" t="s">
        <v>2</v>
      </c>
      <c r="B11562" t="s">
        <v>3458</v>
      </c>
      <c r="C11562" t="s">
        <v>23490</v>
      </c>
      <c r="D11562" t="str">
        <f>HYPERLINK("https://rhld.insurance.arkansas.gov/NPILookup?Npi=1336132372","1336132372")</f>
        <v>1336132372</v>
      </c>
      <c r="E11562" t="s">
        <v>1189</v>
      </c>
    </row>
    <row r="11563" spans="1:5" x14ac:dyDescent="0.25">
      <c r="A11563" t="s">
        <v>2</v>
      </c>
      <c r="B11563" t="s">
        <v>3458</v>
      </c>
      <c r="C11563" t="s">
        <v>23490</v>
      </c>
      <c r="D11563" t="str">
        <f>HYPERLINK("https://rhld.insurance.arkansas.gov/NPILookup?Npi=1336135805","1336135805")</f>
        <v>1336135805</v>
      </c>
      <c r="E11563" t="s">
        <v>1191</v>
      </c>
    </row>
    <row r="11564" spans="1:5" x14ac:dyDescent="0.25">
      <c r="A11564" t="s">
        <v>2</v>
      </c>
      <c r="B11564" t="s">
        <v>3458</v>
      </c>
      <c r="C11564" t="s">
        <v>23490</v>
      </c>
      <c r="D11564" t="str">
        <f>HYPERLINK("https://rhld.insurance.arkansas.gov/NPILookup?Npi=1336136530","1336136530")</f>
        <v>1336136530</v>
      </c>
      <c r="E11564" t="s">
        <v>1193</v>
      </c>
    </row>
    <row r="11565" spans="1:5" x14ac:dyDescent="0.25">
      <c r="A11565" t="s">
        <v>2</v>
      </c>
      <c r="B11565" t="s">
        <v>3458</v>
      </c>
      <c r="C11565" t="s">
        <v>23490</v>
      </c>
      <c r="D11565" t="str">
        <f>HYPERLINK("https://rhld.insurance.arkansas.gov/NPILookup?Npi=1336140888","1336140888")</f>
        <v>1336140888</v>
      </c>
      <c r="E11565" t="s">
        <v>3666</v>
      </c>
    </row>
    <row r="11566" spans="1:5" x14ac:dyDescent="0.25">
      <c r="A11566" t="s">
        <v>2</v>
      </c>
      <c r="B11566" t="s">
        <v>3458</v>
      </c>
      <c r="C11566" t="s">
        <v>23490</v>
      </c>
      <c r="D11566" t="str">
        <f>HYPERLINK("https://rhld.insurance.arkansas.gov/NPILookup?Npi=1336143239","1336143239")</f>
        <v>1336143239</v>
      </c>
      <c r="E11566" t="s">
        <v>1821</v>
      </c>
    </row>
    <row r="11567" spans="1:5" x14ac:dyDescent="0.25">
      <c r="A11567" t="s">
        <v>2</v>
      </c>
      <c r="B11567" t="s">
        <v>3458</v>
      </c>
      <c r="C11567" t="s">
        <v>23490</v>
      </c>
      <c r="D11567" t="str">
        <f>HYPERLINK("https://rhld.insurance.arkansas.gov/NPILookup?Npi=1336146315","1336146315")</f>
        <v>1336146315</v>
      </c>
      <c r="E11567" t="s">
        <v>1197</v>
      </c>
    </row>
    <row r="11568" spans="1:5" x14ac:dyDescent="0.25">
      <c r="A11568" t="s">
        <v>2</v>
      </c>
      <c r="B11568" t="s">
        <v>3458</v>
      </c>
      <c r="C11568" t="s">
        <v>23490</v>
      </c>
      <c r="D11568" t="str">
        <f>HYPERLINK("https://rhld.insurance.arkansas.gov/NPILookup?Npi=1336147701","1336147701")</f>
        <v>1336147701</v>
      </c>
      <c r="E11568" t="s">
        <v>1199</v>
      </c>
    </row>
    <row r="11569" spans="1:5" x14ac:dyDescent="0.25">
      <c r="A11569" t="s">
        <v>2</v>
      </c>
      <c r="B11569" t="s">
        <v>3458</v>
      </c>
      <c r="C11569" t="s">
        <v>23490</v>
      </c>
      <c r="D11569" t="str">
        <f>HYPERLINK("https://rhld.insurance.arkansas.gov/NPILookup?Npi=1336149434","1336149434")</f>
        <v>1336149434</v>
      </c>
      <c r="E11569" t="s">
        <v>1200</v>
      </c>
    </row>
    <row r="11570" spans="1:5" x14ac:dyDescent="0.25">
      <c r="A11570" t="s">
        <v>2</v>
      </c>
      <c r="B11570" t="s">
        <v>3458</v>
      </c>
      <c r="C11570" t="s">
        <v>23490</v>
      </c>
      <c r="D11570" t="str">
        <f>HYPERLINK("https://rhld.insurance.arkansas.gov/NPILookup?Npi=1336149558","1336149558")</f>
        <v>1336149558</v>
      </c>
      <c r="E11570" t="s">
        <v>11449</v>
      </c>
    </row>
    <row r="11571" spans="1:5" x14ac:dyDescent="0.25">
      <c r="A11571" t="s">
        <v>2</v>
      </c>
      <c r="B11571" t="s">
        <v>3458</v>
      </c>
      <c r="C11571" t="s">
        <v>23490</v>
      </c>
      <c r="D11571" t="str">
        <f>HYPERLINK("https://rhld.insurance.arkansas.gov/NPILookup?Npi=1336168020","1336168020")</f>
        <v>1336168020</v>
      </c>
      <c r="E11571" t="s">
        <v>22898</v>
      </c>
    </row>
    <row r="11572" spans="1:5" x14ac:dyDescent="0.25">
      <c r="A11572" t="s">
        <v>2</v>
      </c>
      <c r="B11572" t="s">
        <v>3458</v>
      </c>
      <c r="C11572" t="s">
        <v>23490</v>
      </c>
      <c r="D11572" t="str">
        <f>HYPERLINK("https://rhld.insurance.arkansas.gov/NPILookup?Npi=1336172238","1336172238")</f>
        <v>1336172238</v>
      </c>
      <c r="E11572" t="s">
        <v>10841</v>
      </c>
    </row>
    <row r="11573" spans="1:5" x14ac:dyDescent="0.25">
      <c r="A11573" t="s">
        <v>2</v>
      </c>
      <c r="B11573" t="s">
        <v>3458</v>
      </c>
      <c r="C11573" t="s">
        <v>23490</v>
      </c>
      <c r="D11573" t="str">
        <f>HYPERLINK("https://rhld.insurance.arkansas.gov/NPILookup?Npi=1336180074","1336180074")</f>
        <v>1336180074</v>
      </c>
      <c r="E11573" t="s">
        <v>12821</v>
      </c>
    </row>
    <row r="11574" spans="1:5" x14ac:dyDescent="0.25">
      <c r="A11574" t="s">
        <v>2</v>
      </c>
      <c r="B11574" t="s">
        <v>3458</v>
      </c>
      <c r="C11574" t="s">
        <v>23490</v>
      </c>
      <c r="D11574" t="str">
        <f>HYPERLINK("https://rhld.insurance.arkansas.gov/NPILookup?Npi=1336182336","1336182336")</f>
        <v>1336182336</v>
      </c>
      <c r="E11574" t="s">
        <v>15840</v>
      </c>
    </row>
    <row r="11575" spans="1:5" x14ac:dyDescent="0.25">
      <c r="A11575" t="s">
        <v>2</v>
      </c>
      <c r="B11575" t="s">
        <v>3458</v>
      </c>
      <c r="C11575" t="s">
        <v>23490</v>
      </c>
      <c r="D11575" t="str">
        <f>HYPERLINK("https://rhld.insurance.arkansas.gov/NPILookup?Npi=1336198365","1336198365")</f>
        <v>1336198365</v>
      </c>
      <c r="E11575" t="s">
        <v>1205</v>
      </c>
    </row>
    <row r="11576" spans="1:5" x14ac:dyDescent="0.25">
      <c r="A11576" t="s">
        <v>2</v>
      </c>
      <c r="B11576" t="s">
        <v>3458</v>
      </c>
      <c r="C11576" t="s">
        <v>23490</v>
      </c>
      <c r="D11576" t="str">
        <f>HYPERLINK("https://rhld.insurance.arkansas.gov/NPILookup?Npi=1336203348","1336203348")</f>
        <v>1336203348</v>
      </c>
      <c r="E11576" t="s">
        <v>1206</v>
      </c>
    </row>
    <row r="11577" spans="1:5" x14ac:dyDescent="0.25">
      <c r="A11577" t="s">
        <v>2</v>
      </c>
      <c r="B11577" t="s">
        <v>3458</v>
      </c>
      <c r="C11577" t="s">
        <v>23490</v>
      </c>
      <c r="D11577" t="str">
        <f>HYPERLINK("https://rhld.insurance.arkansas.gov/NPILookup?Npi=1336217900","1336217900")</f>
        <v>1336217900</v>
      </c>
      <c r="E11577" t="s">
        <v>1207</v>
      </c>
    </row>
    <row r="11578" spans="1:5" x14ac:dyDescent="0.25">
      <c r="A11578" t="s">
        <v>2</v>
      </c>
      <c r="B11578" t="s">
        <v>3458</v>
      </c>
      <c r="C11578" t="s">
        <v>23490</v>
      </c>
      <c r="D11578" t="str">
        <f>HYPERLINK("https://rhld.insurance.arkansas.gov/NPILookup?Npi=1336220276","1336220276")</f>
        <v>1336220276</v>
      </c>
      <c r="E11578" t="s">
        <v>1208</v>
      </c>
    </row>
    <row r="11579" spans="1:5" x14ac:dyDescent="0.25">
      <c r="A11579" t="s">
        <v>2</v>
      </c>
      <c r="B11579" t="s">
        <v>3458</v>
      </c>
      <c r="C11579" t="s">
        <v>23490</v>
      </c>
      <c r="D11579" t="str">
        <f>HYPERLINK("https://rhld.insurance.arkansas.gov/NPILookup?Npi=1336223734","1336223734")</f>
        <v>1336223734</v>
      </c>
      <c r="E11579" t="s">
        <v>1209</v>
      </c>
    </row>
    <row r="11580" spans="1:5" x14ac:dyDescent="0.25">
      <c r="A11580" t="s">
        <v>2</v>
      </c>
      <c r="B11580" t="s">
        <v>3458</v>
      </c>
      <c r="C11580" t="s">
        <v>23490</v>
      </c>
      <c r="D11580" t="str">
        <f>HYPERLINK("https://rhld.insurance.arkansas.gov/NPILookup?Npi=1336227875","1336227875")</f>
        <v>1336227875</v>
      </c>
      <c r="E11580" t="s">
        <v>3667</v>
      </c>
    </row>
    <row r="11581" spans="1:5" x14ac:dyDescent="0.25">
      <c r="A11581" t="s">
        <v>2</v>
      </c>
      <c r="B11581" t="s">
        <v>3458</v>
      </c>
      <c r="C11581" t="s">
        <v>23490</v>
      </c>
      <c r="D11581" t="str">
        <f>HYPERLINK("https://rhld.insurance.arkansas.gov/NPILookup?Npi=1336229095","1336229095")</f>
        <v>1336229095</v>
      </c>
      <c r="E11581" t="s">
        <v>3668</v>
      </c>
    </row>
    <row r="11582" spans="1:5" x14ac:dyDescent="0.25">
      <c r="A11582" t="s">
        <v>2</v>
      </c>
      <c r="B11582" t="s">
        <v>3458</v>
      </c>
      <c r="C11582" t="s">
        <v>23490</v>
      </c>
      <c r="D11582" t="str">
        <f>HYPERLINK("https://rhld.insurance.arkansas.gov/NPILookup?Npi=1336231471","1336231471")</f>
        <v>1336231471</v>
      </c>
      <c r="E11582" t="s">
        <v>1210</v>
      </c>
    </row>
    <row r="11583" spans="1:5" x14ac:dyDescent="0.25">
      <c r="A11583" t="s">
        <v>2</v>
      </c>
      <c r="B11583" t="s">
        <v>3458</v>
      </c>
      <c r="C11583" t="s">
        <v>23490</v>
      </c>
      <c r="D11583" t="str">
        <f>HYPERLINK("https://rhld.insurance.arkansas.gov/NPILookup?Npi=1336235928","1336235928")</f>
        <v>1336235928</v>
      </c>
      <c r="E11583" t="s">
        <v>13481</v>
      </c>
    </row>
    <row r="11584" spans="1:5" x14ac:dyDescent="0.25">
      <c r="A11584" t="s">
        <v>2</v>
      </c>
      <c r="B11584" t="s">
        <v>3458</v>
      </c>
      <c r="C11584" t="s">
        <v>23490</v>
      </c>
      <c r="D11584" t="str">
        <f>HYPERLINK("https://rhld.insurance.arkansas.gov/NPILookup?Npi=1336237635","1336237635")</f>
        <v>1336237635</v>
      </c>
      <c r="E11584" t="s">
        <v>1211</v>
      </c>
    </row>
    <row r="11585" spans="1:5" x14ac:dyDescent="0.25">
      <c r="A11585" t="s">
        <v>2</v>
      </c>
      <c r="B11585" t="s">
        <v>3458</v>
      </c>
      <c r="C11585" t="s">
        <v>23490</v>
      </c>
      <c r="D11585" t="str">
        <f>HYPERLINK("https://rhld.insurance.arkansas.gov/NPILookup?Npi=1336239995","1336239995")</f>
        <v>1336239995</v>
      </c>
      <c r="E11585" t="s">
        <v>3669</v>
      </c>
    </row>
    <row r="11586" spans="1:5" x14ac:dyDescent="0.25">
      <c r="A11586" t="s">
        <v>2</v>
      </c>
      <c r="B11586" t="s">
        <v>3458</v>
      </c>
      <c r="C11586" t="s">
        <v>23490</v>
      </c>
      <c r="D11586" t="str">
        <f>HYPERLINK("https://rhld.insurance.arkansas.gov/NPILookup?Npi=1336245257","1336245257")</f>
        <v>1336245257</v>
      </c>
      <c r="E11586" t="s">
        <v>10842</v>
      </c>
    </row>
    <row r="11587" spans="1:5" x14ac:dyDescent="0.25">
      <c r="A11587" t="s">
        <v>2</v>
      </c>
      <c r="B11587" t="s">
        <v>3458</v>
      </c>
      <c r="C11587" t="s">
        <v>23490</v>
      </c>
      <c r="D11587" t="str">
        <f>HYPERLINK("https://rhld.insurance.arkansas.gov/NPILookup?Npi=1336250232","1336250232")</f>
        <v>1336250232</v>
      </c>
      <c r="E11587" t="s">
        <v>15018</v>
      </c>
    </row>
    <row r="11588" spans="1:5" x14ac:dyDescent="0.25">
      <c r="A11588" t="s">
        <v>2</v>
      </c>
      <c r="B11588" t="s">
        <v>3458</v>
      </c>
      <c r="C11588" t="s">
        <v>23490</v>
      </c>
      <c r="D11588" t="str">
        <f>HYPERLINK("https://rhld.insurance.arkansas.gov/NPILookup?Npi=1336251891","1336251891")</f>
        <v>1336251891</v>
      </c>
      <c r="E11588" t="s">
        <v>17954</v>
      </c>
    </row>
    <row r="11589" spans="1:5" x14ac:dyDescent="0.25">
      <c r="A11589" t="s">
        <v>2</v>
      </c>
      <c r="B11589" t="s">
        <v>3458</v>
      </c>
      <c r="C11589" t="s">
        <v>23490</v>
      </c>
      <c r="D11589" t="str">
        <f>HYPERLINK("https://rhld.insurance.arkansas.gov/NPILookup?Npi=1336285162","1336285162")</f>
        <v>1336285162</v>
      </c>
      <c r="E11589" t="s">
        <v>1212</v>
      </c>
    </row>
    <row r="11590" spans="1:5" x14ac:dyDescent="0.25">
      <c r="A11590" t="s">
        <v>2</v>
      </c>
      <c r="B11590" t="s">
        <v>3458</v>
      </c>
      <c r="C11590" t="s">
        <v>23490</v>
      </c>
      <c r="D11590" t="str">
        <f>HYPERLINK("https://rhld.insurance.arkansas.gov/NPILookup?Npi=1336286533","1336286533")</f>
        <v>1336286533</v>
      </c>
      <c r="E11590" t="s">
        <v>428</v>
      </c>
    </row>
    <row r="11591" spans="1:5" x14ac:dyDescent="0.25">
      <c r="A11591" t="s">
        <v>2</v>
      </c>
      <c r="B11591" t="s">
        <v>3458</v>
      </c>
      <c r="C11591" t="s">
        <v>23490</v>
      </c>
      <c r="D11591" t="str">
        <f>HYPERLINK("https://rhld.insurance.arkansas.gov/NPILookup?Npi=1336309574","1336309574")</f>
        <v>1336309574</v>
      </c>
      <c r="E11591" t="s">
        <v>17417</v>
      </c>
    </row>
    <row r="11592" spans="1:5" x14ac:dyDescent="0.25">
      <c r="A11592" t="s">
        <v>2</v>
      </c>
      <c r="B11592" t="s">
        <v>3458</v>
      </c>
      <c r="C11592" t="s">
        <v>23490</v>
      </c>
      <c r="D11592" t="str">
        <f>HYPERLINK("https://rhld.insurance.arkansas.gov/NPILookup?Npi=1336318401","1336318401")</f>
        <v>1336318401</v>
      </c>
      <c r="E11592" t="s">
        <v>12822</v>
      </c>
    </row>
    <row r="11593" spans="1:5" x14ac:dyDescent="0.25">
      <c r="A11593" t="s">
        <v>2</v>
      </c>
      <c r="B11593" t="s">
        <v>3458</v>
      </c>
      <c r="C11593" t="s">
        <v>23490</v>
      </c>
      <c r="D11593" t="str">
        <f>HYPERLINK("https://rhld.insurance.arkansas.gov/NPILookup?Npi=1336352590","1336352590")</f>
        <v>1336352590</v>
      </c>
      <c r="E11593" t="s">
        <v>8623</v>
      </c>
    </row>
    <row r="11594" spans="1:5" x14ac:dyDescent="0.25">
      <c r="A11594" t="s">
        <v>2</v>
      </c>
      <c r="B11594" t="s">
        <v>3458</v>
      </c>
      <c r="C11594" t="s">
        <v>23490</v>
      </c>
      <c r="D11594" t="str">
        <f>HYPERLINK("https://rhld.insurance.arkansas.gov/NPILookup?Npi=1336360254","1336360254")</f>
        <v>1336360254</v>
      </c>
      <c r="E11594" t="s">
        <v>19627</v>
      </c>
    </row>
    <row r="11595" spans="1:5" x14ac:dyDescent="0.25">
      <c r="A11595" t="s">
        <v>2</v>
      </c>
      <c r="B11595" t="s">
        <v>3458</v>
      </c>
      <c r="C11595" t="s">
        <v>23490</v>
      </c>
      <c r="D11595" t="str">
        <f>HYPERLINK("https://rhld.insurance.arkansas.gov/NPILookup?Npi=1336363597","1336363597")</f>
        <v>1336363597</v>
      </c>
      <c r="E11595" t="s">
        <v>1214</v>
      </c>
    </row>
    <row r="11596" spans="1:5" x14ac:dyDescent="0.25">
      <c r="A11596" t="s">
        <v>2</v>
      </c>
      <c r="B11596" t="s">
        <v>3458</v>
      </c>
      <c r="C11596" t="s">
        <v>23490</v>
      </c>
      <c r="D11596" t="str">
        <f>HYPERLINK("https://rhld.insurance.arkansas.gov/NPILookup?Npi=1336375674","1336375674")</f>
        <v>1336375674</v>
      </c>
      <c r="E11596" t="s">
        <v>1216</v>
      </c>
    </row>
    <row r="11597" spans="1:5" x14ac:dyDescent="0.25">
      <c r="A11597" t="s">
        <v>2</v>
      </c>
      <c r="B11597" t="s">
        <v>3458</v>
      </c>
      <c r="C11597" t="s">
        <v>23490</v>
      </c>
      <c r="D11597" t="str">
        <f>HYPERLINK("https://rhld.insurance.arkansas.gov/NPILookup?Npi=1336392281","1336392281")</f>
        <v>1336392281</v>
      </c>
      <c r="E11597" t="s">
        <v>18746</v>
      </c>
    </row>
    <row r="11598" spans="1:5" x14ac:dyDescent="0.25">
      <c r="A11598" t="s">
        <v>2</v>
      </c>
      <c r="B11598" t="s">
        <v>3458</v>
      </c>
      <c r="C11598" t="s">
        <v>23490</v>
      </c>
      <c r="D11598" t="str">
        <f>HYPERLINK("https://rhld.insurance.arkansas.gov/NPILookup?Npi=1336405836","1336405836")</f>
        <v>1336405836</v>
      </c>
      <c r="E11598" t="s">
        <v>21730</v>
      </c>
    </row>
    <row r="11599" spans="1:5" x14ac:dyDescent="0.25">
      <c r="A11599" t="s">
        <v>2</v>
      </c>
      <c r="B11599" t="s">
        <v>3458</v>
      </c>
      <c r="C11599" t="s">
        <v>23490</v>
      </c>
      <c r="D11599" t="str">
        <f>HYPERLINK("https://rhld.insurance.arkansas.gov/NPILookup?Npi=1336417997","1336417997")</f>
        <v>1336417997</v>
      </c>
      <c r="E11599" t="s">
        <v>1217</v>
      </c>
    </row>
    <row r="11600" spans="1:5" x14ac:dyDescent="0.25">
      <c r="A11600" t="s">
        <v>2</v>
      </c>
      <c r="B11600" t="s">
        <v>3458</v>
      </c>
      <c r="C11600" t="s">
        <v>23490</v>
      </c>
      <c r="D11600" t="str">
        <f>HYPERLINK("https://rhld.insurance.arkansas.gov/NPILookup?Npi=1336451269","1336451269")</f>
        <v>1336451269</v>
      </c>
      <c r="E11600" t="s">
        <v>13482</v>
      </c>
    </row>
    <row r="11601" spans="1:5" x14ac:dyDescent="0.25">
      <c r="A11601" t="s">
        <v>2</v>
      </c>
      <c r="B11601" t="s">
        <v>3458</v>
      </c>
      <c r="C11601" t="s">
        <v>23490</v>
      </c>
      <c r="D11601" t="str">
        <f>HYPERLINK("https://rhld.insurance.arkansas.gov/NPILookup?Npi=1336465616","1336465616")</f>
        <v>1336465616</v>
      </c>
      <c r="E11601" t="s">
        <v>20240</v>
      </c>
    </row>
    <row r="11602" spans="1:5" x14ac:dyDescent="0.25">
      <c r="A11602" t="s">
        <v>2</v>
      </c>
      <c r="B11602" t="s">
        <v>3458</v>
      </c>
      <c r="C11602" t="s">
        <v>23490</v>
      </c>
      <c r="D11602" t="str">
        <f>HYPERLINK("https://rhld.insurance.arkansas.gov/NPILookup?Npi=1336471515","1336471515")</f>
        <v>1336471515</v>
      </c>
      <c r="E11602" t="s">
        <v>15019</v>
      </c>
    </row>
    <row r="11603" spans="1:5" x14ac:dyDescent="0.25">
      <c r="A11603" t="s">
        <v>2</v>
      </c>
      <c r="B11603" t="s">
        <v>3458</v>
      </c>
      <c r="C11603" t="s">
        <v>23490</v>
      </c>
      <c r="D11603" t="str">
        <f>HYPERLINK("https://rhld.insurance.arkansas.gov/NPILookup?Npi=1336473552","1336473552")</f>
        <v>1336473552</v>
      </c>
      <c r="E11603" t="s">
        <v>13483</v>
      </c>
    </row>
    <row r="11604" spans="1:5" x14ac:dyDescent="0.25">
      <c r="A11604" t="s">
        <v>2</v>
      </c>
      <c r="B11604" t="s">
        <v>3458</v>
      </c>
      <c r="C11604" t="s">
        <v>23490</v>
      </c>
      <c r="D11604" t="str">
        <f>HYPERLINK("https://rhld.insurance.arkansas.gov/NPILookup?Npi=1336504232","1336504232")</f>
        <v>1336504232</v>
      </c>
      <c r="E11604" t="s">
        <v>8624</v>
      </c>
    </row>
    <row r="11605" spans="1:5" x14ac:dyDescent="0.25">
      <c r="A11605" t="s">
        <v>2</v>
      </c>
      <c r="B11605" t="s">
        <v>3458</v>
      </c>
      <c r="C11605" t="s">
        <v>23490</v>
      </c>
      <c r="D11605" t="str">
        <f>HYPERLINK("https://rhld.insurance.arkansas.gov/NPILookup?Npi=1336506880","1336506880")</f>
        <v>1336506880</v>
      </c>
      <c r="E11605" t="s">
        <v>12976</v>
      </c>
    </row>
    <row r="11606" spans="1:5" x14ac:dyDescent="0.25">
      <c r="A11606" t="s">
        <v>2</v>
      </c>
      <c r="B11606" t="s">
        <v>3458</v>
      </c>
      <c r="C11606" t="s">
        <v>23490</v>
      </c>
      <c r="D11606" t="str">
        <f>HYPERLINK("https://rhld.insurance.arkansas.gov/NPILookup?Npi=1336516533","1336516533")</f>
        <v>1336516533</v>
      </c>
      <c r="E11606" t="s">
        <v>3671</v>
      </c>
    </row>
    <row r="11607" spans="1:5" x14ac:dyDescent="0.25">
      <c r="A11607" t="s">
        <v>2</v>
      </c>
      <c r="B11607" t="s">
        <v>3458</v>
      </c>
      <c r="C11607" t="s">
        <v>23490</v>
      </c>
      <c r="D11607" t="str">
        <f>HYPERLINK("https://rhld.insurance.arkansas.gov/NPILookup?Npi=1336521798","1336521798")</f>
        <v>1336521798</v>
      </c>
      <c r="E11607" t="s">
        <v>15020</v>
      </c>
    </row>
    <row r="11608" spans="1:5" x14ac:dyDescent="0.25">
      <c r="A11608" t="s">
        <v>2</v>
      </c>
      <c r="B11608" t="s">
        <v>3458</v>
      </c>
      <c r="C11608" t="s">
        <v>23490</v>
      </c>
      <c r="D11608" t="str">
        <f>HYPERLINK("https://rhld.insurance.arkansas.gov/NPILookup?Npi=1336529403","1336529403")</f>
        <v>1336529403</v>
      </c>
      <c r="E11608" t="s">
        <v>19223</v>
      </c>
    </row>
    <row r="11609" spans="1:5" x14ac:dyDescent="0.25">
      <c r="A11609" t="s">
        <v>2</v>
      </c>
      <c r="B11609" t="s">
        <v>3458</v>
      </c>
      <c r="C11609" t="s">
        <v>23490</v>
      </c>
      <c r="D11609" t="str">
        <f>HYPERLINK("https://rhld.insurance.arkansas.gov/NPILookup?Npi=1336533140","1336533140")</f>
        <v>1336533140</v>
      </c>
      <c r="E11609" t="s">
        <v>1221</v>
      </c>
    </row>
    <row r="11610" spans="1:5" x14ac:dyDescent="0.25">
      <c r="A11610" t="s">
        <v>2</v>
      </c>
      <c r="B11610" t="s">
        <v>3458</v>
      </c>
      <c r="C11610" t="s">
        <v>23490</v>
      </c>
      <c r="D11610" t="str">
        <f>HYPERLINK("https://rhld.insurance.arkansas.gov/NPILookup?Npi=1336534411","1336534411")</f>
        <v>1336534411</v>
      </c>
      <c r="E11610" t="s">
        <v>17418</v>
      </c>
    </row>
    <row r="11611" spans="1:5" x14ac:dyDescent="0.25">
      <c r="A11611" t="s">
        <v>2</v>
      </c>
      <c r="B11611" t="s">
        <v>3458</v>
      </c>
      <c r="C11611" t="s">
        <v>23490</v>
      </c>
      <c r="D11611" t="str">
        <f>HYPERLINK("https://rhld.insurance.arkansas.gov/NPILookup?Npi=1336535350","1336535350")</f>
        <v>1336535350</v>
      </c>
      <c r="E11611" t="s">
        <v>1222</v>
      </c>
    </row>
    <row r="11612" spans="1:5" x14ac:dyDescent="0.25">
      <c r="A11612" t="s">
        <v>2</v>
      </c>
      <c r="B11612" t="s">
        <v>3458</v>
      </c>
      <c r="C11612" t="s">
        <v>23490</v>
      </c>
      <c r="D11612" t="str">
        <f>HYPERLINK("https://rhld.insurance.arkansas.gov/NPILookup?Npi=1336544253","1336544253")</f>
        <v>1336544253</v>
      </c>
      <c r="E11612" t="s">
        <v>15021</v>
      </c>
    </row>
    <row r="11613" spans="1:5" x14ac:dyDescent="0.25">
      <c r="A11613" t="s">
        <v>2</v>
      </c>
      <c r="B11613" t="s">
        <v>3458</v>
      </c>
      <c r="C11613" t="s">
        <v>23490</v>
      </c>
      <c r="D11613" t="str">
        <f>HYPERLINK("https://rhld.insurance.arkansas.gov/NPILookup?Npi=1336545649","1336545649")</f>
        <v>1336545649</v>
      </c>
      <c r="E11613" t="s">
        <v>19629</v>
      </c>
    </row>
    <row r="11614" spans="1:5" x14ac:dyDescent="0.25">
      <c r="A11614" t="s">
        <v>2</v>
      </c>
      <c r="B11614" t="s">
        <v>3458</v>
      </c>
      <c r="C11614" t="s">
        <v>23490</v>
      </c>
      <c r="D11614" t="str">
        <f>HYPERLINK("https://rhld.insurance.arkansas.gov/NPILookup?Npi=1336547843","1336547843")</f>
        <v>1336547843</v>
      </c>
      <c r="E11614" t="s">
        <v>12977</v>
      </c>
    </row>
    <row r="11615" spans="1:5" x14ac:dyDescent="0.25">
      <c r="A11615" t="s">
        <v>2</v>
      </c>
      <c r="B11615" t="s">
        <v>3458</v>
      </c>
      <c r="C11615" t="s">
        <v>23490</v>
      </c>
      <c r="D11615" t="str">
        <f>HYPERLINK("https://rhld.insurance.arkansas.gov/NPILookup?Npi=1336552348","1336552348")</f>
        <v>1336552348</v>
      </c>
      <c r="E11615" t="s">
        <v>10843</v>
      </c>
    </row>
    <row r="11616" spans="1:5" x14ac:dyDescent="0.25">
      <c r="A11616" t="s">
        <v>2</v>
      </c>
      <c r="B11616" t="s">
        <v>3458</v>
      </c>
      <c r="C11616" t="s">
        <v>23490</v>
      </c>
      <c r="D11616" t="str">
        <f>HYPERLINK("https://rhld.insurance.arkansas.gov/NPILookup?Npi=1336554641","1336554641")</f>
        <v>1336554641</v>
      </c>
      <c r="E11616" t="s">
        <v>18923</v>
      </c>
    </row>
    <row r="11617" spans="1:5" x14ac:dyDescent="0.25">
      <c r="A11617" t="s">
        <v>2</v>
      </c>
      <c r="B11617" t="s">
        <v>3458</v>
      </c>
      <c r="C11617" t="s">
        <v>23490</v>
      </c>
      <c r="D11617" t="str">
        <f>HYPERLINK("https://rhld.insurance.arkansas.gov/NPILookup?Npi=1336569532","1336569532")</f>
        <v>1336569532</v>
      </c>
      <c r="E11617" t="s">
        <v>10844</v>
      </c>
    </row>
    <row r="11618" spans="1:5" x14ac:dyDescent="0.25">
      <c r="A11618" t="s">
        <v>2</v>
      </c>
      <c r="B11618" t="s">
        <v>3458</v>
      </c>
      <c r="C11618" t="s">
        <v>23490</v>
      </c>
      <c r="D11618" t="str">
        <f>HYPERLINK("https://rhld.insurance.arkansas.gov/NPILookup?Npi=1336578954","1336578954")</f>
        <v>1336578954</v>
      </c>
      <c r="E11618" t="s">
        <v>1223</v>
      </c>
    </row>
    <row r="11619" spans="1:5" x14ac:dyDescent="0.25">
      <c r="A11619" t="s">
        <v>2</v>
      </c>
      <c r="B11619" t="s">
        <v>3458</v>
      </c>
      <c r="C11619" t="s">
        <v>23490</v>
      </c>
      <c r="D11619" t="str">
        <f>HYPERLINK("https://rhld.insurance.arkansas.gov/NPILookup?Npi=1336580190","1336580190")</f>
        <v>1336580190</v>
      </c>
      <c r="E11619" t="s">
        <v>13485</v>
      </c>
    </row>
    <row r="11620" spans="1:5" x14ac:dyDescent="0.25">
      <c r="A11620" t="s">
        <v>2</v>
      </c>
      <c r="B11620" t="s">
        <v>3458</v>
      </c>
      <c r="C11620" t="s">
        <v>23490</v>
      </c>
      <c r="D11620" t="str">
        <f>HYPERLINK("https://rhld.insurance.arkansas.gov/NPILookup?Npi=1336581727","1336581727")</f>
        <v>1336581727</v>
      </c>
      <c r="E11620" t="s">
        <v>1225</v>
      </c>
    </row>
    <row r="11621" spans="1:5" x14ac:dyDescent="0.25">
      <c r="A11621" t="s">
        <v>2</v>
      </c>
      <c r="B11621" t="s">
        <v>3458</v>
      </c>
      <c r="C11621" t="s">
        <v>23490</v>
      </c>
      <c r="D11621" t="str">
        <f>HYPERLINK("https://rhld.insurance.arkansas.gov/NPILookup?Npi=1336583939","1336583939")</f>
        <v>1336583939</v>
      </c>
      <c r="E11621" t="s">
        <v>10845</v>
      </c>
    </row>
    <row r="11622" spans="1:5" x14ac:dyDescent="0.25">
      <c r="A11622" t="s">
        <v>2</v>
      </c>
      <c r="B11622" t="s">
        <v>3458</v>
      </c>
      <c r="C11622" t="s">
        <v>23490</v>
      </c>
      <c r="D11622" t="str">
        <f>HYPERLINK("https://rhld.insurance.arkansas.gov/NPILookup?Npi=1336585926","1336585926")</f>
        <v>1336585926</v>
      </c>
      <c r="E11622" t="s">
        <v>1226</v>
      </c>
    </row>
    <row r="11623" spans="1:5" x14ac:dyDescent="0.25">
      <c r="A11623" t="s">
        <v>2</v>
      </c>
      <c r="B11623" t="s">
        <v>3458</v>
      </c>
      <c r="C11623" t="s">
        <v>23490</v>
      </c>
      <c r="D11623" t="str">
        <f>HYPERLINK("https://rhld.insurance.arkansas.gov/NPILookup?Npi=1336589167","1336589167")</f>
        <v>1336589167</v>
      </c>
      <c r="E11623" t="s">
        <v>10846</v>
      </c>
    </row>
    <row r="11624" spans="1:5" x14ac:dyDescent="0.25">
      <c r="A11624" t="s">
        <v>2</v>
      </c>
      <c r="B11624" t="s">
        <v>3458</v>
      </c>
      <c r="C11624" t="s">
        <v>23490</v>
      </c>
      <c r="D11624" t="str">
        <f>HYPERLINK("https://rhld.insurance.arkansas.gov/NPILookup?Npi=1336589779","1336589779")</f>
        <v>1336589779</v>
      </c>
      <c r="E11624" t="s">
        <v>17955</v>
      </c>
    </row>
    <row r="11625" spans="1:5" x14ac:dyDescent="0.25">
      <c r="A11625" t="s">
        <v>2</v>
      </c>
      <c r="B11625" t="s">
        <v>3458</v>
      </c>
      <c r="C11625" t="s">
        <v>23490</v>
      </c>
      <c r="D11625" t="str">
        <f>HYPERLINK("https://rhld.insurance.arkansas.gov/NPILookup?Npi=1336591841","1336591841")</f>
        <v>1336591841</v>
      </c>
      <c r="E11625" t="s">
        <v>10847</v>
      </c>
    </row>
    <row r="11626" spans="1:5" x14ac:dyDescent="0.25">
      <c r="A11626" t="s">
        <v>2</v>
      </c>
      <c r="B11626" t="s">
        <v>3458</v>
      </c>
      <c r="C11626" t="s">
        <v>23490</v>
      </c>
      <c r="D11626" t="str">
        <f>HYPERLINK("https://rhld.insurance.arkansas.gov/NPILookup?Npi=1336591882","1336591882")</f>
        <v>1336591882</v>
      </c>
      <c r="E11626" t="s">
        <v>15023</v>
      </c>
    </row>
    <row r="11627" spans="1:5" x14ac:dyDescent="0.25">
      <c r="A11627" t="s">
        <v>2</v>
      </c>
      <c r="B11627" t="s">
        <v>3458</v>
      </c>
      <c r="C11627" t="s">
        <v>23490</v>
      </c>
      <c r="D11627" t="str">
        <f>HYPERLINK("https://rhld.insurance.arkansas.gov/NPILookup?Npi=1336594191","1336594191")</f>
        <v>1336594191</v>
      </c>
      <c r="E11627" t="s">
        <v>19630</v>
      </c>
    </row>
    <row r="11628" spans="1:5" x14ac:dyDescent="0.25">
      <c r="A11628" t="s">
        <v>2</v>
      </c>
      <c r="B11628" t="s">
        <v>3458</v>
      </c>
      <c r="C11628" t="s">
        <v>23490</v>
      </c>
      <c r="D11628" t="str">
        <f>HYPERLINK("https://rhld.insurance.arkansas.gov/NPILookup?Npi=1336602549","1336602549")</f>
        <v>1336602549</v>
      </c>
      <c r="E11628" t="s">
        <v>18747</v>
      </c>
    </row>
    <row r="11629" spans="1:5" x14ac:dyDescent="0.25">
      <c r="A11629" t="s">
        <v>2</v>
      </c>
      <c r="B11629" t="s">
        <v>3458</v>
      </c>
      <c r="C11629" t="s">
        <v>23490</v>
      </c>
      <c r="D11629" t="str">
        <f>HYPERLINK("https://rhld.insurance.arkansas.gov/NPILookup?Npi=1336625961","1336625961")</f>
        <v>1336625961</v>
      </c>
      <c r="E11629" t="s">
        <v>15024</v>
      </c>
    </row>
    <row r="11630" spans="1:5" x14ac:dyDescent="0.25">
      <c r="A11630" t="s">
        <v>2</v>
      </c>
      <c r="B11630" t="s">
        <v>3458</v>
      </c>
      <c r="C11630" t="s">
        <v>23490</v>
      </c>
      <c r="D11630" t="str">
        <f>HYPERLINK("https://rhld.insurance.arkansas.gov/NPILookup?Npi=1336640127","1336640127")</f>
        <v>1336640127</v>
      </c>
      <c r="E11630" t="s">
        <v>12823</v>
      </c>
    </row>
    <row r="11631" spans="1:5" x14ac:dyDescent="0.25">
      <c r="A11631" t="s">
        <v>2</v>
      </c>
      <c r="B11631" t="s">
        <v>3458</v>
      </c>
      <c r="C11631" t="s">
        <v>23490</v>
      </c>
      <c r="D11631" t="str">
        <f>HYPERLINK("https://rhld.insurance.arkansas.gov/NPILookup?Npi=1336646496","1336646496")</f>
        <v>1336646496</v>
      </c>
      <c r="E11631" t="s">
        <v>19632</v>
      </c>
    </row>
    <row r="11632" spans="1:5" x14ac:dyDescent="0.25">
      <c r="A11632" t="s">
        <v>2</v>
      </c>
      <c r="B11632" t="s">
        <v>3458</v>
      </c>
      <c r="C11632" t="s">
        <v>23490</v>
      </c>
      <c r="D11632" t="str">
        <f>HYPERLINK("https://rhld.insurance.arkansas.gov/NPILookup?Npi=1336655513","1336655513")</f>
        <v>1336655513</v>
      </c>
      <c r="E11632" t="s">
        <v>12824</v>
      </c>
    </row>
    <row r="11633" spans="1:5" x14ac:dyDescent="0.25">
      <c r="A11633" t="s">
        <v>2</v>
      </c>
      <c r="B11633" t="s">
        <v>3458</v>
      </c>
      <c r="C11633" t="s">
        <v>23490</v>
      </c>
      <c r="D11633" t="str">
        <f>HYPERLINK("https://rhld.insurance.arkansas.gov/NPILookup?Npi=1336655968","1336655968")</f>
        <v>1336655968</v>
      </c>
      <c r="E11633" t="s">
        <v>12825</v>
      </c>
    </row>
    <row r="11634" spans="1:5" x14ac:dyDescent="0.25">
      <c r="A11634" t="s">
        <v>2</v>
      </c>
      <c r="B11634" t="s">
        <v>3458</v>
      </c>
      <c r="C11634" t="s">
        <v>23490</v>
      </c>
      <c r="D11634" t="str">
        <f>HYPERLINK("https://rhld.insurance.arkansas.gov/NPILookup?Npi=1336677731","1336677731")</f>
        <v>1336677731</v>
      </c>
      <c r="E11634" t="s">
        <v>18748</v>
      </c>
    </row>
    <row r="11635" spans="1:5" x14ac:dyDescent="0.25">
      <c r="A11635" t="s">
        <v>2</v>
      </c>
      <c r="B11635" t="s">
        <v>3458</v>
      </c>
      <c r="C11635" t="s">
        <v>23490</v>
      </c>
      <c r="D11635" t="str">
        <f>HYPERLINK("https://rhld.insurance.arkansas.gov/NPILookup?Npi=1336680719","1336680719")</f>
        <v>1336680719</v>
      </c>
      <c r="E11635" t="s">
        <v>10848</v>
      </c>
    </row>
    <row r="11636" spans="1:5" x14ac:dyDescent="0.25">
      <c r="A11636" t="s">
        <v>2</v>
      </c>
      <c r="B11636" t="s">
        <v>3458</v>
      </c>
      <c r="C11636" t="s">
        <v>23490</v>
      </c>
      <c r="D11636" t="str">
        <f>HYPERLINK("https://rhld.insurance.arkansas.gov/NPILookup?Npi=1336694629","1336694629")</f>
        <v>1336694629</v>
      </c>
      <c r="E11636" t="s">
        <v>18749</v>
      </c>
    </row>
    <row r="11637" spans="1:5" x14ac:dyDescent="0.25">
      <c r="A11637" t="s">
        <v>2</v>
      </c>
      <c r="B11637" t="s">
        <v>3458</v>
      </c>
      <c r="C11637" t="s">
        <v>23490</v>
      </c>
      <c r="D11637" t="str">
        <f>HYPERLINK("https://rhld.insurance.arkansas.gov/NPILookup?Npi=1336695360","1336695360")</f>
        <v>1336695360</v>
      </c>
      <c r="E11637" t="s">
        <v>19224</v>
      </c>
    </row>
    <row r="11638" spans="1:5" x14ac:dyDescent="0.25">
      <c r="A11638" t="s">
        <v>2</v>
      </c>
      <c r="B11638" t="s">
        <v>3458</v>
      </c>
      <c r="C11638" t="s">
        <v>23490</v>
      </c>
      <c r="D11638" t="str">
        <f>HYPERLINK("https://rhld.insurance.arkansas.gov/NPILookup?Npi=1336699941","1336699941")</f>
        <v>1336699941</v>
      </c>
      <c r="E11638" t="s">
        <v>10850</v>
      </c>
    </row>
    <row r="11639" spans="1:5" x14ac:dyDescent="0.25">
      <c r="A11639" t="s">
        <v>2</v>
      </c>
      <c r="B11639" t="s">
        <v>3458</v>
      </c>
      <c r="C11639" t="s">
        <v>23490</v>
      </c>
      <c r="D11639" t="str">
        <f>HYPERLINK("https://rhld.insurance.arkansas.gov/NPILookup?Npi=1336730100","1336730100")</f>
        <v>1336730100</v>
      </c>
      <c r="E11639" t="s">
        <v>18750</v>
      </c>
    </row>
    <row r="11640" spans="1:5" x14ac:dyDescent="0.25">
      <c r="A11640" t="s">
        <v>2</v>
      </c>
      <c r="B11640" t="s">
        <v>3458</v>
      </c>
      <c r="C11640" t="s">
        <v>23490</v>
      </c>
      <c r="D11640" t="str">
        <f>HYPERLINK("https://rhld.insurance.arkansas.gov/NPILookup?Npi=1336755891","1336755891")</f>
        <v>1336755891</v>
      </c>
      <c r="E11640" t="s">
        <v>17419</v>
      </c>
    </row>
    <row r="11641" spans="1:5" x14ac:dyDescent="0.25">
      <c r="A11641" t="s">
        <v>2</v>
      </c>
      <c r="B11641" t="s">
        <v>3458</v>
      </c>
      <c r="C11641" t="s">
        <v>23490</v>
      </c>
      <c r="D11641" t="str">
        <f>HYPERLINK("https://rhld.insurance.arkansas.gov/NPILookup?Npi=1336817402","1336817402")</f>
        <v>1336817402</v>
      </c>
      <c r="E11641" t="s">
        <v>18751</v>
      </c>
    </row>
    <row r="11642" spans="1:5" x14ac:dyDescent="0.25">
      <c r="A11642" t="s">
        <v>2</v>
      </c>
      <c r="B11642" t="s">
        <v>3458</v>
      </c>
      <c r="C11642" t="s">
        <v>23490</v>
      </c>
      <c r="D11642" t="str">
        <f>HYPERLINK("https://rhld.insurance.arkansas.gov/NPILookup?Npi=1346202637","1346202637")</f>
        <v>1346202637</v>
      </c>
      <c r="E11642" t="s">
        <v>1227</v>
      </c>
    </row>
    <row r="11643" spans="1:5" x14ac:dyDescent="0.25">
      <c r="A11643" t="s">
        <v>2</v>
      </c>
      <c r="B11643" t="s">
        <v>3458</v>
      </c>
      <c r="C11643" t="s">
        <v>23490</v>
      </c>
      <c r="D11643" t="str">
        <f>HYPERLINK("https://rhld.insurance.arkansas.gov/NPILookup?Npi=1346205754","1346205754")</f>
        <v>1346205754</v>
      </c>
      <c r="E11643" t="s">
        <v>15841</v>
      </c>
    </row>
    <row r="11644" spans="1:5" x14ac:dyDescent="0.25">
      <c r="A11644" t="s">
        <v>2</v>
      </c>
      <c r="B11644" t="s">
        <v>3458</v>
      </c>
      <c r="C11644" t="s">
        <v>23490</v>
      </c>
      <c r="D11644" t="str">
        <f>HYPERLINK("https://rhld.insurance.arkansas.gov/NPILookup?Npi=1346207115","1346207115")</f>
        <v>1346207115</v>
      </c>
      <c r="E11644" t="s">
        <v>1228</v>
      </c>
    </row>
    <row r="11645" spans="1:5" x14ac:dyDescent="0.25">
      <c r="A11645" t="s">
        <v>2</v>
      </c>
      <c r="B11645" t="s">
        <v>3458</v>
      </c>
      <c r="C11645" t="s">
        <v>23490</v>
      </c>
      <c r="D11645" t="str">
        <f>HYPERLINK("https://rhld.insurance.arkansas.gov/NPILookup?Npi=1346208493","1346208493")</f>
        <v>1346208493</v>
      </c>
      <c r="E11645" t="s">
        <v>3672</v>
      </c>
    </row>
    <row r="11646" spans="1:5" x14ac:dyDescent="0.25">
      <c r="A11646" t="s">
        <v>2</v>
      </c>
      <c r="B11646" t="s">
        <v>3458</v>
      </c>
      <c r="C11646" t="s">
        <v>23490</v>
      </c>
      <c r="D11646" t="str">
        <f>HYPERLINK("https://rhld.insurance.arkansas.gov/NPILookup?Npi=1346208527","1346208527")</f>
        <v>1346208527</v>
      </c>
      <c r="E11646" t="s">
        <v>1229</v>
      </c>
    </row>
    <row r="11647" spans="1:5" x14ac:dyDescent="0.25">
      <c r="A11647" t="s">
        <v>2</v>
      </c>
      <c r="B11647" t="s">
        <v>3458</v>
      </c>
      <c r="C11647" t="s">
        <v>23490</v>
      </c>
      <c r="D11647" t="str">
        <f>HYPERLINK("https://rhld.insurance.arkansas.gov/NPILookup?Npi=1346216785","1346216785")</f>
        <v>1346216785</v>
      </c>
      <c r="E11647" t="s">
        <v>1230</v>
      </c>
    </row>
    <row r="11648" spans="1:5" x14ac:dyDescent="0.25">
      <c r="A11648" t="s">
        <v>2</v>
      </c>
      <c r="B11648" t="s">
        <v>3458</v>
      </c>
      <c r="C11648" t="s">
        <v>23490</v>
      </c>
      <c r="D11648" t="str">
        <f>HYPERLINK("https://rhld.insurance.arkansas.gov/NPILookup?Npi=1346220688","1346220688")</f>
        <v>1346220688</v>
      </c>
      <c r="E11648" t="s">
        <v>1231</v>
      </c>
    </row>
    <row r="11649" spans="1:5" x14ac:dyDescent="0.25">
      <c r="A11649" t="s">
        <v>2</v>
      </c>
      <c r="B11649" t="s">
        <v>3458</v>
      </c>
      <c r="C11649" t="s">
        <v>23490</v>
      </c>
      <c r="D11649" t="str">
        <f>HYPERLINK("https://rhld.insurance.arkansas.gov/NPILookup?Npi=1346222593","1346222593")</f>
        <v>1346222593</v>
      </c>
      <c r="E11649" t="s">
        <v>15842</v>
      </c>
    </row>
    <row r="11650" spans="1:5" x14ac:dyDescent="0.25">
      <c r="A11650" t="s">
        <v>2</v>
      </c>
      <c r="B11650" t="s">
        <v>3458</v>
      </c>
      <c r="C11650" t="s">
        <v>23490</v>
      </c>
      <c r="D11650" t="str">
        <f>HYPERLINK("https://rhld.insurance.arkansas.gov/NPILookup?Npi=1346225620","1346225620")</f>
        <v>1346225620</v>
      </c>
      <c r="E11650" t="s">
        <v>1232</v>
      </c>
    </row>
    <row r="11651" spans="1:5" x14ac:dyDescent="0.25">
      <c r="A11651" t="s">
        <v>2</v>
      </c>
      <c r="B11651" t="s">
        <v>3458</v>
      </c>
      <c r="C11651" t="s">
        <v>23490</v>
      </c>
      <c r="D11651" t="str">
        <f>HYPERLINK("https://rhld.insurance.arkansas.gov/NPILookup?Npi=1346229820","1346229820")</f>
        <v>1346229820</v>
      </c>
      <c r="E11651" t="s">
        <v>1233</v>
      </c>
    </row>
    <row r="11652" spans="1:5" x14ac:dyDescent="0.25">
      <c r="A11652" t="s">
        <v>2</v>
      </c>
      <c r="B11652" t="s">
        <v>3458</v>
      </c>
      <c r="C11652" t="s">
        <v>23490</v>
      </c>
      <c r="D11652" t="str">
        <f>HYPERLINK("https://rhld.insurance.arkansas.gov/NPILookup?Npi=1346233913","1346233913")</f>
        <v>1346233913</v>
      </c>
      <c r="E11652" t="s">
        <v>1234</v>
      </c>
    </row>
    <row r="11653" spans="1:5" x14ac:dyDescent="0.25">
      <c r="A11653" t="s">
        <v>2</v>
      </c>
      <c r="B11653" t="s">
        <v>3458</v>
      </c>
      <c r="C11653" t="s">
        <v>23490</v>
      </c>
      <c r="D11653" t="str">
        <f>HYPERLINK("https://rhld.insurance.arkansas.gov/NPILookup?Npi=1346238441","1346238441")</f>
        <v>1346238441</v>
      </c>
      <c r="E11653" t="s">
        <v>1235</v>
      </c>
    </row>
    <row r="11654" spans="1:5" x14ac:dyDescent="0.25">
      <c r="A11654" t="s">
        <v>2</v>
      </c>
      <c r="B11654" t="s">
        <v>3458</v>
      </c>
      <c r="C11654" t="s">
        <v>23490</v>
      </c>
      <c r="D11654" t="str">
        <f>HYPERLINK("https://rhld.insurance.arkansas.gov/NPILookup?Npi=1346246105","1346246105")</f>
        <v>1346246105</v>
      </c>
      <c r="E11654" t="s">
        <v>15843</v>
      </c>
    </row>
    <row r="11655" spans="1:5" x14ac:dyDescent="0.25">
      <c r="A11655" t="s">
        <v>2</v>
      </c>
      <c r="B11655" t="s">
        <v>3458</v>
      </c>
      <c r="C11655" t="s">
        <v>23490</v>
      </c>
      <c r="D11655" t="str">
        <f>HYPERLINK("https://rhld.insurance.arkansas.gov/NPILookup?Npi=1346247798","1346247798")</f>
        <v>1346247798</v>
      </c>
      <c r="E11655" t="s">
        <v>15026</v>
      </c>
    </row>
    <row r="11656" spans="1:5" x14ac:dyDescent="0.25">
      <c r="A11656" t="s">
        <v>2</v>
      </c>
      <c r="B11656" t="s">
        <v>3458</v>
      </c>
      <c r="C11656" t="s">
        <v>23490</v>
      </c>
      <c r="D11656" t="str">
        <f>HYPERLINK("https://rhld.insurance.arkansas.gov/NPILookup?Npi=1346252681","1346252681")</f>
        <v>1346252681</v>
      </c>
      <c r="E11656" t="s">
        <v>1236</v>
      </c>
    </row>
    <row r="11657" spans="1:5" x14ac:dyDescent="0.25">
      <c r="A11657" t="s">
        <v>2</v>
      </c>
      <c r="B11657" t="s">
        <v>3458</v>
      </c>
      <c r="C11657" t="s">
        <v>23490</v>
      </c>
      <c r="D11657" t="str">
        <f>HYPERLINK("https://rhld.insurance.arkansas.gov/NPILookup?Npi=1346257623","1346257623")</f>
        <v>1346257623</v>
      </c>
      <c r="E11657" t="s">
        <v>1237</v>
      </c>
    </row>
    <row r="11658" spans="1:5" x14ac:dyDescent="0.25">
      <c r="A11658" t="s">
        <v>2</v>
      </c>
      <c r="B11658" t="s">
        <v>3458</v>
      </c>
      <c r="C11658" t="s">
        <v>23490</v>
      </c>
      <c r="D11658" t="str">
        <f>HYPERLINK("https://rhld.insurance.arkansas.gov/NPILookup?Npi=1346257771","1346257771")</f>
        <v>1346257771</v>
      </c>
      <c r="E11658" t="s">
        <v>1238</v>
      </c>
    </row>
    <row r="11659" spans="1:5" x14ac:dyDescent="0.25">
      <c r="A11659" t="s">
        <v>2</v>
      </c>
      <c r="B11659" t="s">
        <v>3458</v>
      </c>
      <c r="C11659" t="s">
        <v>23490</v>
      </c>
      <c r="D11659" t="str">
        <f>HYPERLINK("https://rhld.insurance.arkansas.gov/NPILookup?Npi=1346259124","1346259124")</f>
        <v>1346259124</v>
      </c>
      <c r="E11659" t="s">
        <v>1239</v>
      </c>
    </row>
    <row r="11660" spans="1:5" x14ac:dyDescent="0.25">
      <c r="A11660" t="s">
        <v>2</v>
      </c>
      <c r="B11660" t="s">
        <v>3458</v>
      </c>
      <c r="C11660" t="s">
        <v>23490</v>
      </c>
      <c r="D11660" t="str">
        <f>HYPERLINK("https://rhld.insurance.arkansas.gov/NPILookup?Npi=1346282290","1346282290")</f>
        <v>1346282290</v>
      </c>
      <c r="E11660" t="s">
        <v>1240</v>
      </c>
    </row>
    <row r="11661" spans="1:5" x14ac:dyDescent="0.25">
      <c r="A11661" t="s">
        <v>2</v>
      </c>
      <c r="B11661" t="s">
        <v>3458</v>
      </c>
      <c r="C11661" t="s">
        <v>23490</v>
      </c>
      <c r="D11661" t="str">
        <f>HYPERLINK("https://rhld.insurance.arkansas.gov/NPILookup?Npi=1346283975","1346283975")</f>
        <v>1346283975</v>
      </c>
      <c r="E11661" t="s">
        <v>18752</v>
      </c>
    </row>
    <row r="11662" spans="1:5" x14ac:dyDescent="0.25">
      <c r="A11662" t="s">
        <v>2</v>
      </c>
      <c r="B11662" t="s">
        <v>3458</v>
      </c>
      <c r="C11662" t="s">
        <v>23490</v>
      </c>
      <c r="D11662" t="str">
        <f>HYPERLINK("https://rhld.insurance.arkansas.gov/NPILookup?Npi=1346285533","1346285533")</f>
        <v>1346285533</v>
      </c>
      <c r="E11662" t="s">
        <v>13488</v>
      </c>
    </row>
    <row r="11663" spans="1:5" x14ac:dyDescent="0.25">
      <c r="A11663" t="s">
        <v>2</v>
      </c>
      <c r="B11663" t="s">
        <v>3458</v>
      </c>
      <c r="C11663" t="s">
        <v>23490</v>
      </c>
      <c r="D11663" t="str">
        <f>HYPERLINK("https://rhld.insurance.arkansas.gov/NPILookup?Npi=1346300969","1346300969")</f>
        <v>1346300969</v>
      </c>
      <c r="E11663" t="s">
        <v>1242</v>
      </c>
    </row>
    <row r="11664" spans="1:5" x14ac:dyDescent="0.25">
      <c r="A11664" t="s">
        <v>2</v>
      </c>
      <c r="B11664" t="s">
        <v>3458</v>
      </c>
      <c r="C11664" t="s">
        <v>23490</v>
      </c>
      <c r="D11664" t="str">
        <f>HYPERLINK("https://rhld.insurance.arkansas.gov/NPILookup?Npi=1346307535","1346307535")</f>
        <v>1346307535</v>
      </c>
      <c r="E11664" t="s">
        <v>1243</v>
      </c>
    </row>
    <row r="11665" spans="1:5" x14ac:dyDescent="0.25">
      <c r="A11665" t="s">
        <v>2</v>
      </c>
      <c r="B11665" t="s">
        <v>3458</v>
      </c>
      <c r="C11665" t="s">
        <v>23490</v>
      </c>
      <c r="D11665" t="str">
        <f>HYPERLINK("https://rhld.insurance.arkansas.gov/NPILookup?Npi=1346339066","1346339066")</f>
        <v>1346339066</v>
      </c>
      <c r="E11665" t="s">
        <v>19637</v>
      </c>
    </row>
    <row r="11666" spans="1:5" x14ac:dyDescent="0.25">
      <c r="A11666" t="s">
        <v>2</v>
      </c>
      <c r="B11666" t="s">
        <v>3458</v>
      </c>
      <c r="C11666" t="s">
        <v>23490</v>
      </c>
      <c r="D11666" t="str">
        <f>HYPERLINK("https://rhld.insurance.arkansas.gov/NPILookup?Npi=1346347812","1346347812")</f>
        <v>1346347812</v>
      </c>
      <c r="E11666" t="s">
        <v>1245</v>
      </c>
    </row>
    <row r="11667" spans="1:5" x14ac:dyDescent="0.25">
      <c r="A11667" t="s">
        <v>2</v>
      </c>
      <c r="B11667" t="s">
        <v>3458</v>
      </c>
      <c r="C11667" t="s">
        <v>23490</v>
      </c>
      <c r="D11667" t="str">
        <f>HYPERLINK("https://rhld.insurance.arkansas.gov/NPILookup?Npi=1346349131","1346349131")</f>
        <v>1346349131</v>
      </c>
      <c r="E11667" t="s">
        <v>15667</v>
      </c>
    </row>
    <row r="11668" spans="1:5" x14ac:dyDescent="0.25">
      <c r="A11668" t="s">
        <v>2</v>
      </c>
      <c r="B11668" t="s">
        <v>3458</v>
      </c>
      <c r="C11668" t="s">
        <v>23490</v>
      </c>
      <c r="D11668" t="str">
        <f>HYPERLINK("https://rhld.insurance.arkansas.gov/NPILookup?Npi=1346355518","1346355518")</f>
        <v>1346355518</v>
      </c>
      <c r="E11668" t="s">
        <v>1246</v>
      </c>
    </row>
    <row r="11669" spans="1:5" x14ac:dyDescent="0.25">
      <c r="A11669" t="s">
        <v>2</v>
      </c>
      <c r="B11669" t="s">
        <v>3458</v>
      </c>
      <c r="C11669" t="s">
        <v>23490</v>
      </c>
      <c r="D11669" t="str">
        <f>HYPERLINK("https://rhld.insurance.arkansas.gov/NPILookup?Npi=1346404001","1346404001")</f>
        <v>1346404001</v>
      </c>
      <c r="E11669" t="s">
        <v>15844</v>
      </c>
    </row>
    <row r="11670" spans="1:5" x14ac:dyDescent="0.25">
      <c r="A11670" t="s">
        <v>2</v>
      </c>
      <c r="B11670" t="s">
        <v>3458</v>
      </c>
      <c r="C11670" t="s">
        <v>23490</v>
      </c>
      <c r="D11670" t="str">
        <f>HYPERLINK("https://rhld.insurance.arkansas.gov/NPILookup?Npi=1346445665","1346445665")</f>
        <v>1346445665</v>
      </c>
      <c r="E11670" t="s">
        <v>8626</v>
      </c>
    </row>
    <row r="11671" spans="1:5" x14ac:dyDescent="0.25">
      <c r="A11671" t="s">
        <v>2</v>
      </c>
      <c r="B11671" t="s">
        <v>3458</v>
      </c>
      <c r="C11671" t="s">
        <v>23490</v>
      </c>
      <c r="D11671" t="str">
        <f>HYPERLINK("https://rhld.insurance.arkansas.gov/NPILookup?Npi=1346459195","1346459195")</f>
        <v>1346459195</v>
      </c>
      <c r="E11671" t="s">
        <v>3673</v>
      </c>
    </row>
    <row r="11672" spans="1:5" x14ac:dyDescent="0.25">
      <c r="A11672" t="s">
        <v>2</v>
      </c>
      <c r="B11672" t="s">
        <v>3458</v>
      </c>
      <c r="C11672" t="s">
        <v>23490</v>
      </c>
      <c r="D11672" t="str">
        <f>HYPERLINK("https://rhld.insurance.arkansas.gov/NPILookup?Npi=1346463130","1346463130")</f>
        <v>1346463130</v>
      </c>
      <c r="E11672" t="s">
        <v>3674</v>
      </c>
    </row>
    <row r="11673" spans="1:5" x14ac:dyDescent="0.25">
      <c r="A11673" t="s">
        <v>2</v>
      </c>
      <c r="B11673" t="s">
        <v>3458</v>
      </c>
      <c r="C11673" t="s">
        <v>23490</v>
      </c>
      <c r="D11673" t="str">
        <f>HYPERLINK("https://rhld.insurance.arkansas.gov/NPILookup?Npi=1346467495","1346467495")</f>
        <v>1346467495</v>
      </c>
      <c r="E11673" t="s">
        <v>1247</v>
      </c>
    </row>
    <row r="11674" spans="1:5" x14ac:dyDescent="0.25">
      <c r="A11674" t="s">
        <v>2</v>
      </c>
      <c r="B11674" t="s">
        <v>3458</v>
      </c>
      <c r="C11674" t="s">
        <v>23490</v>
      </c>
      <c r="D11674" t="str">
        <f>HYPERLINK("https://rhld.insurance.arkansas.gov/NPILookup?Npi=1346470390","1346470390")</f>
        <v>1346470390</v>
      </c>
      <c r="E11674" t="s">
        <v>13490</v>
      </c>
    </row>
    <row r="11675" spans="1:5" x14ac:dyDescent="0.25">
      <c r="A11675" t="s">
        <v>2</v>
      </c>
      <c r="B11675" t="s">
        <v>3458</v>
      </c>
      <c r="C11675" t="s">
        <v>23490</v>
      </c>
      <c r="D11675" t="str">
        <f>HYPERLINK("https://rhld.insurance.arkansas.gov/NPILookup?Npi=1346496551","1346496551")</f>
        <v>1346496551</v>
      </c>
      <c r="E11675" t="s">
        <v>15029</v>
      </c>
    </row>
    <row r="11676" spans="1:5" x14ac:dyDescent="0.25">
      <c r="A11676" t="s">
        <v>2</v>
      </c>
      <c r="B11676" t="s">
        <v>3458</v>
      </c>
      <c r="C11676" t="s">
        <v>23490</v>
      </c>
      <c r="D11676" t="str">
        <f>HYPERLINK("https://rhld.insurance.arkansas.gov/NPILookup?Npi=1346507522","1346507522")</f>
        <v>1346507522</v>
      </c>
      <c r="E11676" t="s">
        <v>1249</v>
      </c>
    </row>
    <row r="11677" spans="1:5" x14ac:dyDescent="0.25">
      <c r="A11677" t="s">
        <v>2</v>
      </c>
      <c r="B11677" t="s">
        <v>3458</v>
      </c>
      <c r="C11677" t="s">
        <v>23490</v>
      </c>
      <c r="D11677" t="str">
        <f>HYPERLINK("https://rhld.insurance.arkansas.gov/NPILookup?Npi=1346509478","1346509478")</f>
        <v>1346509478</v>
      </c>
      <c r="E11677" t="s">
        <v>1250</v>
      </c>
    </row>
    <row r="11678" spans="1:5" x14ac:dyDescent="0.25">
      <c r="A11678" t="s">
        <v>2</v>
      </c>
      <c r="B11678" t="s">
        <v>3458</v>
      </c>
      <c r="C11678" t="s">
        <v>23490</v>
      </c>
      <c r="D11678" t="str">
        <f>HYPERLINK("https://rhld.insurance.arkansas.gov/NPILookup?Npi=1346514403","1346514403")</f>
        <v>1346514403</v>
      </c>
      <c r="E11678" t="s">
        <v>8627</v>
      </c>
    </row>
    <row r="11679" spans="1:5" x14ac:dyDescent="0.25">
      <c r="A11679" t="s">
        <v>2</v>
      </c>
      <c r="B11679" t="s">
        <v>3458</v>
      </c>
      <c r="C11679" t="s">
        <v>23490</v>
      </c>
      <c r="D11679" t="str">
        <f>HYPERLINK("https://rhld.insurance.arkansas.gov/NPILookup?Npi=1346516291","1346516291")</f>
        <v>1346516291</v>
      </c>
      <c r="E11679" t="s">
        <v>1251</v>
      </c>
    </row>
    <row r="11680" spans="1:5" x14ac:dyDescent="0.25">
      <c r="A11680" t="s">
        <v>2</v>
      </c>
      <c r="B11680" t="s">
        <v>3458</v>
      </c>
      <c r="C11680" t="s">
        <v>23490</v>
      </c>
      <c r="D11680" t="str">
        <f>HYPERLINK("https://rhld.insurance.arkansas.gov/NPILookup?Npi=1346552148","1346552148")</f>
        <v>1346552148</v>
      </c>
      <c r="E11680" t="s">
        <v>1252</v>
      </c>
    </row>
    <row r="11681" spans="1:5" x14ac:dyDescent="0.25">
      <c r="A11681" t="s">
        <v>2</v>
      </c>
      <c r="B11681" t="s">
        <v>3458</v>
      </c>
      <c r="C11681" t="s">
        <v>23490</v>
      </c>
      <c r="D11681" t="str">
        <f>HYPERLINK("https://rhld.insurance.arkansas.gov/NPILookup?Npi=1346556511","1346556511")</f>
        <v>1346556511</v>
      </c>
      <c r="E11681" t="s">
        <v>1253</v>
      </c>
    </row>
    <row r="11682" spans="1:5" x14ac:dyDescent="0.25">
      <c r="A11682" t="s">
        <v>2</v>
      </c>
      <c r="B11682" t="s">
        <v>3458</v>
      </c>
      <c r="C11682" t="s">
        <v>23490</v>
      </c>
      <c r="D11682" t="str">
        <f>HYPERLINK("https://rhld.insurance.arkansas.gov/NPILookup?Npi=1346561461","1346561461")</f>
        <v>1346561461</v>
      </c>
      <c r="E11682" t="s">
        <v>22924</v>
      </c>
    </row>
    <row r="11683" spans="1:5" x14ac:dyDescent="0.25">
      <c r="A11683" t="s">
        <v>2</v>
      </c>
      <c r="B11683" t="s">
        <v>3458</v>
      </c>
      <c r="C11683" t="s">
        <v>23490</v>
      </c>
      <c r="D11683" t="str">
        <f>HYPERLINK("https://rhld.insurance.arkansas.gov/NPILookup?Npi=1346583960","1346583960")</f>
        <v>1346583960</v>
      </c>
      <c r="E11683" t="s">
        <v>21731</v>
      </c>
    </row>
    <row r="11684" spans="1:5" x14ac:dyDescent="0.25">
      <c r="A11684" t="s">
        <v>2</v>
      </c>
      <c r="B11684" t="s">
        <v>3458</v>
      </c>
      <c r="C11684" t="s">
        <v>23490</v>
      </c>
      <c r="D11684" t="str">
        <f>HYPERLINK("https://rhld.insurance.arkansas.gov/NPILookup?Npi=1346587599","1346587599")</f>
        <v>1346587599</v>
      </c>
      <c r="E11684" t="s">
        <v>1254</v>
      </c>
    </row>
    <row r="11685" spans="1:5" x14ac:dyDescent="0.25">
      <c r="A11685" t="s">
        <v>2</v>
      </c>
      <c r="B11685" t="s">
        <v>3458</v>
      </c>
      <c r="C11685" t="s">
        <v>23490</v>
      </c>
      <c r="D11685" t="str">
        <f>HYPERLINK("https://rhld.insurance.arkansas.gov/NPILookup?Npi=1346593035","1346593035")</f>
        <v>1346593035</v>
      </c>
      <c r="E11685" t="s">
        <v>1255</v>
      </c>
    </row>
    <row r="11686" spans="1:5" x14ac:dyDescent="0.25">
      <c r="A11686" t="s">
        <v>2</v>
      </c>
      <c r="B11686" t="s">
        <v>3458</v>
      </c>
      <c r="C11686" t="s">
        <v>23490</v>
      </c>
      <c r="D11686" t="str">
        <f>HYPERLINK("https://rhld.insurance.arkansas.gov/NPILookup?Npi=1346595014","1346595014")</f>
        <v>1346595014</v>
      </c>
      <c r="E11686" t="s">
        <v>19640</v>
      </c>
    </row>
    <row r="11687" spans="1:5" x14ac:dyDescent="0.25">
      <c r="A11687" t="s">
        <v>2</v>
      </c>
      <c r="B11687" t="s">
        <v>3458</v>
      </c>
      <c r="C11687" t="s">
        <v>23490</v>
      </c>
      <c r="D11687" t="str">
        <f>HYPERLINK("https://rhld.insurance.arkansas.gov/NPILookup?Npi=1346598026","1346598026")</f>
        <v>1346598026</v>
      </c>
      <c r="E11687" t="s">
        <v>13491</v>
      </c>
    </row>
    <row r="11688" spans="1:5" x14ac:dyDescent="0.25">
      <c r="A11688" t="s">
        <v>2</v>
      </c>
      <c r="B11688" t="s">
        <v>3458</v>
      </c>
      <c r="C11688" t="s">
        <v>23490</v>
      </c>
      <c r="D11688" t="str">
        <f>HYPERLINK("https://rhld.insurance.arkansas.gov/NPILookup?Npi=1346603552","1346603552")</f>
        <v>1346603552</v>
      </c>
      <c r="E11688" t="s">
        <v>8628</v>
      </c>
    </row>
    <row r="11689" spans="1:5" x14ac:dyDescent="0.25">
      <c r="A11689" t="s">
        <v>2</v>
      </c>
      <c r="B11689" t="s">
        <v>3458</v>
      </c>
      <c r="C11689" t="s">
        <v>23490</v>
      </c>
      <c r="D11689" t="str">
        <f>HYPERLINK("https://rhld.insurance.arkansas.gov/NPILookup?Npi=1346650975","1346650975")</f>
        <v>1346650975</v>
      </c>
      <c r="E11689" t="s">
        <v>17957</v>
      </c>
    </row>
    <row r="11690" spans="1:5" x14ac:dyDescent="0.25">
      <c r="A11690" t="s">
        <v>2</v>
      </c>
      <c r="B11690" t="s">
        <v>3458</v>
      </c>
      <c r="C11690" t="s">
        <v>23490</v>
      </c>
      <c r="D11690" t="str">
        <f>HYPERLINK("https://rhld.insurance.arkansas.gov/NPILookup?Npi=1346657145","1346657145")</f>
        <v>1346657145</v>
      </c>
      <c r="E11690" t="s">
        <v>15845</v>
      </c>
    </row>
    <row r="11691" spans="1:5" x14ac:dyDescent="0.25">
      <c r="A11691" t="s">
        <v>2</v>
      </c>
      <c r="B11691" t="s">
        <v>3458</v>
      </c>
      <c r="C11691" t="s">
        <v>23490</v>
      </c>
      <c r="D11691" t="str">
        <f>HYPERLINK("https://rhld.insurance.arkansas.gov/NPILookup?Npi=1346660537","1346660537")</f>
        <v>1346660537</v>
      </c>
      <c r="E11691" t="s">
        <v>10853</v>
      </c>
    </row>
    <row r="11692" spans="1:5" x14ac:dyDescent="0.25">
      <c r="A11692" t="s">
        <v>2</v>
      </c>
      <c r="B11692" t="s">
        <v>3458</v>
      </c>
      <c r="C11692" t="s">
        <v>23490</v>
      </c>
      <c r="D11692" t="str">
        <f>HYPERLINK("https://rhld.insurance.arkansas.gov/NPILookup?Npi=1346667540","1346667540")</f>
        <v>1346667540</v>
      </c>
      <c r="E11692" t="s">
        <v>13844</v>
      </c>
    </row>
    <row r="11693" spans="1:5" x14ac:dyDescent="0.25">
      <c r="A11693" t="s">
        <v>2</v>
      </c>
      <c r="B11693" t="s">
        <v>3458</v>
      </c>
      <c r="C11693" t="s">
        <v>23490</v>
      </c>
      <c r="D11693" t="str">
        <f>HYPERLINK("https://rhld.insurance.arkansas.gov/NPILookup?Npi=1346672219","1346672219")</f>
        <v>1346672219</v>
      </c>
      <c r="E11693" t="s">
        <v>15030</v>
      </c>
    </row>
    <row r="11694" spans="1:5" x14ac:dyDescent="0.25">
      <c r="A11694" t="s">
        <v>2</v>
      </c>
      <c r="B11694" t="s">
        <v>3458</v>
      </c>
      <c r="C11694" t="s">
        <v>23490</v>
      </c>
      <c r="D11694" t="str">
        <f>HYPERLINK("https://rhld.insurance.arkansas.gov/NPILookup?Npi=1346679388","1346679388")</f>
        <v>1346679388</v>
      </c>
      <c r="E11694" t="s">
        <v>10854</v>
      </c>
    </row>
    <row r="11695" spans="1:5" x14ac:dyDescent="0.25">
      <c r="A11695" t="s">
        <v>2</v>
      </c>
      <c r="B11695" t="s">
        <v>3458</v>
      </c>
      <c r="C11695" t="s">
        <v>23490</v>
      </c>
      <c r="D11695" t="str">
        <f>HYPERLINK("https://rhld.insurance.arkansas.gov/NPILookup?Npi=1346680329","1346680329")</f>
        <v>1346680329</v>
      </c>
      <c r="E11695" t="s">
        <v>1256</v>
      </c>
    </row>
    <row r="11696" spans="1:5" x14ac:dyDescent="0.25">
      <c r="A11696" t="s">
        <v>2</v>
      </c>
      <c r="B11696" t="s">
        <v>3458</v>
      </c>
      <c r="C11696" t="s">
        <v>23490</v>
      </c>
      <c r="D11696" t="str">
        <f>HYPERLINK("https://rhld.insurance.arkansas.gov/NPILookup?Npi=1346684594","1346684594")</f>
        <v>1346684594</v>
      </c>
      <c r="E11696" t="s">
        <v>22925</v>
      </c>
    </row>
    <row r="11697" spans="1:5" x14ac:dyDescent="0.25">
      <c r="A11697" t="s">
        <v>2</v>
      </c>
      <c r="B11697" t="s">
        <v>3458</v>
      </c>
      <c r="C11697" t="s">
        <v>23490</v>
      </c>
      <c r="D11697" t="str">
        <f>HYPERLINK("https://rhld.insurance.arkansas.gov/NPILookup?Npi=1346687423","1346687423")</f>
        <v>1346687423</v>
      </c>
      <c r="E11697" t="s">
        <v>13492</v>
      </c>
    </row>
    <row r="11698" spans="1:5" x14ac:dyDescent="0.25">
      <c r="A11698" t="s">
        <v>2</v>
      </c>
      <c r="B11698" t="s">
        <v>3458</v>
      </c>
      <c r="C11698" t="s">
        <v>23490</v>
      </c>
      <c r="D11698" t="str">
        <f>HYPERLINK("https://rhld.insurance.arkansas.gov/NPILookup?Npi=1346693710","1346693710")</f>
        <v>1346693710</v>
      </c>
      <c r="E11698" t="s">
        <v>7805</v>
      </c>
    </row>
    <row r="11699" spans="1:5" x14ac:dyDescent="0.25">
      <c r="A11699" t="s">
        <v>2</v>
      </c>
      <c r="B11699" t="s">
        <v>3458</v>
      </c>
      <c r="C11699" t="s">
        <v>23490</v>
      </c>
      <c r="D11699" t="str">
        <f>HYPERLINK("https://rhld.insurance.arkansas.gov/NPILookup?Npi=1346698503","1346698503")</f>
        <v>1346698503</v>
      </c>
      <c r="E11699" t="s">
        <v>15031</v>
      </c>
    </row>
    <row r="11700" spans="1:5" x14ac:dyDescent="0.25">
      <c r="A11700" t="s">
        <v>2</v>
      </c>
      <c r="B11700" t="s">
        <v>3458</v>
      </c>
      <c r="C11700" t="s">
        <v>23490</v>
      </c>
      <c r="D11700" t="str">
        <f>HYPERLINK("https://rhld.insurance.arkansas.gov/NPILookup?Npi=1346699329","1346699329")</f>
        <v>1346699329</v>
      </c>
      <c r="E11700" t="s">
        <v>13493</v>
      </c>
    </row>
    <row r="11701" spans="1:5" x14ac:dyDescent="0.25">
      <c r="A11701" t="s">
        <v>2</v>
      </c>
      <c r="B11701" t="s">
        <v>3458</v>
      </c>
      <c r="C11701" t="s">
        <v>23490</v>
      </c>
      <c r="D11701" t="str">
        <f>HYPERLINK("https://rhld.insurance.arkansas.gov/NPILookup?Npi=1346724887","1346724887")</f>
        <v>1346724887</v>
      </c>
      <c r="E11701" t="s">
        <v>13495</v>
      </c>
    </row>
    <row r="11702" spans="1:5" x14ac:dyDescent="0.25">
      <c r="A11702" t="s">
        <v>2</v>
      </c>
      <c r="B11702" t="s">
        <v>3458</v>
      </c>
      <c r="C11702" t="s">
        <v>23490</v>
      </c>
      <c r="D11702" t="str">
        <f>HYPERLINK("https://rhld.insurance.arkansas.gov/NPILookup?Npi=1346728953","1346728953")</f>
        <v>1346728953</v>
      </c>
      <c r="E11702" t="s">
        <v>20929</v>
      </c>
    </row>
    <row r="11703" spans="1:5" x14ac:dyDescent="0.25">
      <c r="A11703" t="s">
        <v>2</v>
      </c>
      <c r="B11703" t="s">
        <v>3458</v>
      </c>
      <c r="C11703" t="s">
        <v>23490</v>
      </c>
      <c r="D11703" t="str">
        <f>HYPERLINK("https://rhld.insurance.arkansas.gov/NPILookup?Npi=1346731932","1346731932")</f>
        <v>1346731932</v>
      </c>
      <c r="E11703" t="s">
        <v>18753</v>
      </c>
    </row>
    <row r="11704" spans="1:5" x14ac:dyDescent="0.25">
      <c r="A11704" t="s">
        <v>2</v>
      </c>
      <c r="B11704" t="s">
        <v>3458</v>
      </c>
      <c r="C11704" t="s">
        <v>23490</v>
      </c>
      <c r="D11704" t="str">
        <f>HYPERLINK("https://rhld.insurance.arkansas.gov/NPILookup?Npi=1346736873","1346736873")</f>
        <v>1346736873</v>
      </c>
      <c r="E11704" t="s">
        <v>13497</v>
      </c>
    </row>
    <row r="11705" spans="1:5" x14ac:dyDescent="0.25">
      <c r="A11705" t="s">
        <v>2</v>
      </c>
      <c r="B11705" t="s">
        <v>3458</v>
      </c>
      <c r="C11705" t="s">
        <v>23490</v>
      </c>
      <c r="D11705" t="str">
        <f>HYPERLINK("https://rhld.insurance.arkansas.gov/NPILookup?Npi=1346749504","1346749504")</f>
        <v>1346749504</v>
      </c>
      <c r="E11705" t="s">
        <v>12826</v>
      </c>
    </row>
    <row r="11706" spans="1:5" x14ac:dyDescent="0.25">
      <c r="A11706" t="s">
        <v>2</v>
      </c>
      <c r="B11706" t="s">
        <v>3458</v>
      </c>
      <c r="C11706" t="s">
        <v>23490</v>
      </c>
      <c r="D11706" t="str">
        <f>HYPERLINK("https://rhld.insurance.arkansas.gov/NPILookup?Npi=1346752151","1346752151")</f>
        <v>1346752151</v>
      </c>
      <c r="E11706" t="s">
        <v>12827</v>
      </c>
    </row>
    <row r="11707" spans="1:5" x14ac:dyDescent="0.25">
      <c r="A11707" t="s">
        <v>2</v>
      </c>
      <c r="B11707" t="s">
        <v>3458</v>
      </c>
      <c r="C11707" t="s">
        <v>23490</v>
      </c>
      <c r="D11707" t="str">
        <f>HYPERLINK("https://rhld.insurance.arkansas.gov/NPILookup?Npi=1346794260","1346794260")</f>
        <v>1346794260</v>
      </c>
      <c r="E11707" t="s">
        <v>15033</v>
      </c>
    </row>
    <row r="11708" spans="1:5" x14ac:dyDescent="0.25">
      <c r="A11708" t="s">
        <v>2</v>
      </c>
      <c r="B11708" t="s">
        <v>3458</v>
      </c>
      <c r="C11708" t="s">
        <v>23490</v>
      </c>
      <c r="D11708" t="str">
        <f>HYPERLINK("https://rhld.insurance.arkansas.gov/NPILookup?Npi=1346838414","1346838414")</f>
        <v>1346838414</v>
      </c>
      <c r="E11708" t="s">
        <v>17959</v>
      </c>
    </row>
    <row r="11709" spans="1:5" x14ac:dyDescent="0.25">
      <c r="A11709" t="s">
        <v>2</v>
      </c>
      <c r="B11709" t="s">
        <v>3458</v>
      </c>
      <c r="C11709" t="s">
        <v>23490</v>
      </c>
      <c r="D11709" t="str">
        <f>HYPERLINK("https://rhld.insurance.arkansas.gov/NPILookup?Npi=1346856366","1346856366")</f>
        <v>1346856366</v>
      </c>
      <c r="E11709" t="s">
        <v>19225</v>
      </c>
    </row>
    <row r="11710" spans="1:5" x14ac:dyDescent="0.25">
      <c r="A11710" t="s">
        <v>2</v>
      </c>
      <c r="B11710" t="s">
        <v>3458</v>
      </c>
      <c r="C11710" t="s">
        <v>23490</v>
      </c>
      <c r="D11710" t="str">
        <f>HYPERLINK("https://rhld.insurance.arkansas.gov/NPILookup?Npi=1346859147","1346859147")</f>
        <v>1346859147</v>
      </c>
      <c r="E11710" t="s">
        <v>17960</v>
      </c>
    </row>
    <row r="11711" spans="1:5" x14ac:dyDescent="0.25">
      <c r="A11711" t="s">
        <v>2</v>
      </c>
      <c r="B11711" t="s">
        <v>3458</v>
      </c>
      <c r="C11711" t="s">
        <v>23490</v>
      </c>
      <c r="D11711" t="str">
        <f>HYPERLINK("https://rhld.insurance.arkansas.gov/NPILookup?Npi=1346878717","1346878717")</f>
        <v>1346878717</v>
      </c>
      <c r="E11711" t="s">
        <v>21527</v>
      </c>
    </row>
    <row r="11712" spans="1:5" x14ac:dyDescent="0.25">
      <c r="A11712" t="s">
        <v>2</v>
      </c>
      <c r="B11712" t="s">
        <v>3458</v>
      </c>
      <c r="C11712" t="s">
        <v>23490</v>
      </c>
      <c r="D11712" t="str">
        <f>HYPERLINK("https://rhld.insurance.arkansas.gov/NPILookup?Npi=1346900230","1346900230")</f>
        <v>1346900230</v>
      </c>
      <c r="E11712" t="s">
        <v>19644</v>
      </c>
    </row>
    <row r="11713" spans="1:5" x14ac:dyDescent="0.25">
      <c r="A11713" t="s">
        <v>2</v>
      </c>
      <c r="B11713" t="s">
        <v>3458</v>
      </c>
      <c r="C11713" t="s">
        <v>23490</v>
      </c>
      <c r="D11713" t="str">
        <f>HYPERLINK("https://rhld.insurance.arkansas.gov/NPILookup?Npi=1346994043","1346994043")</f>
        <v>1346994043</v>
      </c>
      <c r="E11713" t="s">
        <v>19645</v>
      </c>
    </row>
    <row r="11714" spans="1:5" x14ac:dyDescent="0.25">
      <c r="A11714" t="s">
        <v>2</v>
      </c>
      <c r="B11714" t="s">
        <v>3458</v>
      </c>
      <c r="C11714" t="s">
        <v>23490</v>
      </c>
      <c r="D11714" t="str">
        <f>HYPERLINK("https://rhld.insurance.arkansas.gov/NPILookup?Npi=1346994654","1346994654")</f>
        <v>1346994654</v>
      </c>
      <c r="E11714" t="s">
        <v>19646</v>
      </c>
    </row>
    <row r="11715" spans="1:5" x14ac:dyDescent="0.25">
      <c r="A11715" t="s">
        <v>2</v>
      </c>
      <c r="B11715" t="s">
        <v>3458</v>
      </c>
      <c r="C11715" t="s">
        <v>23490</v>
      </c>
      <c r="D11715" t="str">
        <f>HYPERLINK("https://rhld.insurance.arkansas.gov/NPILookup?Npi=1346997681","1346997681")</f>
        <v>1346997681</v>
      </c>
      <c r="E11715" t="s">
        <v>19647</v>
      </c>
    </row>
    <row r="11716" spans="1:5" x14ac:dyDescent="0.25">
      <c r="A11716" t="s">
        <v>2</v>
      </c>
      <c r="B11716" t="s">
        <v>3458</v>
      </c>
      <c r="C11716" t="s">
        <v>23490</v>
      </c>
      <c r="D11716" t="str">
        <f>HYPERLINK("https://rhld.insurance.arkansas.gov/NPILookup?Npi=1356015465","1356015465")</f>
        <v>1356015465</v>
      </c>
      <c r="E11716" t="s">
        <v>18754</v>
      </c>
    </row>
    <row r="11717" spans="1:5" x14ac:dyDescent="0.25">
      <c r="A11717" t="s">
        <v>2</v>
      </c>
      <c r="B11717" t="s">
        <v>3458</v>
      </c>
      <c r="C11717" t="s">
        <v>23490</v>
      </c>
      <c r="D11717" t="str">
        <f>HYPERLINK("https://rhld.insurance.arkansas.gov/NPILookup?Npi=1356088256","1356088256")</f>
        <v>1356088256</v>
      </c>
      <c r="E11717" t="s">
        <v>20931</v>
      </c>
    </row>
    <row r="11718" spans="1:5" x14ac:dyDescent="0.25">
      <c r="A11718" t="s">
        <v>2</v>
      </c>
      <c r="B11718" t="s">
        <v>3458</v>
      </c>
      <c r="C11718" t="s">
        <v>23490</v>
      </c>
      <c r="D11718" t="str">
        <f>HYPERLINK("https://rhld.insurance.arkansas.gov/NPILookup?Npi=1356301147","1356301147")</f>
        <v>1356301147</v>
      </c>
      <c r="E11718" t="s">
        <v>1257</v>
      </c>
    </row>
    <row r="11719" spans="1:5" x14ac:dyDescent="0.25">
      <c r="A11719" t="s">
        <v>2</v>
      </c>
      <c r="B11719" t="s">
        <v>3458</v>
      </c>
      <c r="C11719" t="s">
        <v>23490</v>
      </c>
      <c r="D11719" t="str">
        <f>HYPERLINK("https://rhld.insurance.arkansas.gov/NPILookup?Npi=1356304091","1356304091")</f>
        <v>1356304091</v>
      </c>
      <c r="E11719" t="s">
        <v>3675</v>
      </c>
    </row>
    <row r="11720" spans="1:5" x14ac:dyDescent="0.25">
      <c r="A11720" t="s">
        <v>2</v>
      </c>
      <c r="B11720" t="s">
        <v>3458</v>
      </c>
      <c r="C11720" t="s">
        <v>23490</v>
      </c>
      <c r="D11720" t="str">
        <f>HYPERLINK("https://rhld.insurance.arkansas.gov/NPILookup?Npi=1356311617","1356311617")</f>
        <v>1356311617</v>
      </c>
      <c r="E11720" t="s">
        <v>1258</v>
      </c>
    </row>
    <row r="11721" spans="1:5" x14ac:dyDescent="0.25">
      <c r="A11721" t="s">
        <v>2</v>
      </c>
      <c r="B11721" t="s">
        <v>3458</v>
      </c>
      <c r="C11721" t="s">
        <v>23490</v>
      </c>
      <c r="D11721" t="str">
        <f>HYPERLINK("https://rhld.insurance.arkansas.gov/NPILookup?Npi=1356314702","1356314702")</f>
        <v>1356314702</v>
      </c>
      <c r="E11721" t="s">
        <v>15034</v>
      </c>
    </row>
    <row r="11722" spans="1:5" x14ac:dyDescent="0.25">
      <c r="A11722" t="s">
        <v>2</v>
      </c>
      <c r="B11722" t="s">
        <v>3458</v>
      </c>
      <c r="C11722" t="s">
        <v>23490</v>
      </c>
      <c r="D11722" t="str">
        <f>HYPERLINK("https://rhld.insurance.arkansas.gov/NPILookup?Npi=1356316269","1356316269")</f>
        <v>1356316269</v>
      </c>
      <c r="E11722" t="s">
        <v>1260</v>
      </c>
    </row>
    <row r="11723" spans="1:5" x14ac:dyDescent="0.25">
      <c r="A11723" t="s">
        <v>2</v>
      </c>
      <c r="B11723" t="s">
        <v>3458</v>
      </c>
      <c r="C11723" t="s">
        <v>23490</v>
      </c>
      <c r="D11723" t="str">
        <f>HYPERLINK("https://rhld.insurance.arkansas.gov/NPILookup?Npi=1356320832","1356320832")</f>
        <v>1356320832</v>
      </c>
      <c r="E11723" t="s">
        <v>1261</v>
      </c>
    </row>
    <row r="11724" spans="1:5" x14ac:dyDescent="0.25">
      <c r="A11724" t="s">
        <v>2</v>
      </c>
      <c r="B11724" t="s">
        <v>3458</v>
      </c>
      <c r="C11724" t="s">
        <v>23490</v>
      </c>
      <c r="D11724" t="str">
        <f>HYPERLINK("https://rhld.insurance.arkansas.gov/NPILookup?Npi=1356323042","1356323042")</f>
        <v>1356323042</v>
      </c>
      <c r="E11724" t="s">
        <v>10856</v>
      </c>
    </row>
    <row r="11725" spans="1:5" x14ac:dyDescent="0.25">
      <c r="A11725" t="s">
        <v>2</v>
      </c>
      <c r="B11725" t="s">
        <v>3458</v>
      </c>
      <c r="C11725" t="s">
        <v>23490</v>
      </c>
      <c r="D11725" t="str">
        <f>HYPERLINK("https://rhld.insurance.arkansas.gov/NPILookup?Npi=1356327878","1356327878")</f>
        <v>1356327878</v>
      </c>
      <c r="E11725" t="s">
        <v>10857</v>
      </c>
    </row>
    <row r="11726" spans="1:5" x14ac:dyDescent="0.25">
      <c r="A11726" t="s">
        <v>2</v>
      </c>
      <c r="B11726" t="s">
        <v>3458</v>
      </c>
      <c r="C11726" t="s">
        <v>23490</v>
      </c>
      <c r="D11726" t="str">
        <f>HYPERLINK("https://rhld.insurance.arkansas.gov/NPILookup?Npi=1356328520","1356328520")</f>
        <v>1356328520</v>
      </c>
      <c r="E11726" t="s">
        <v>1262</v>
      </c>
    </row>
    <row r="11727" spans="1:5" x14ac:dyDescent="0.25">
      <c r="A11727" t="s">
        <v>2</v>
      </c>
      <c r="B11727" t="s">
        <v>3458</v>
      </c>
      <c r="C11727" t="s">
        <v>23490</v>
      </c>
      <c r="D11727" t="str">
        <f>HYPERLINK("https://rhld.insurance.arkansas.gov/NPILookup?Npi=1356329825","1356329825")</f>
        <v>1356329825</v>
      </c>
      <c r="E11727" t="s">
        <v>15035</v>
      </c>
    </row>
    <row r="11728" spans="1:5" x14ac:dyDescent="0.25">
      <c r="A11728" t="s">
        <v>2</v>
      </c>
      <c r="B11728" t="s">
        <v>3458</v>
      </c>
      <c r="C11728" t="s">
        <v>23490</v>
      </c>
      <c r="D11728" t="str">
        <f>HYPERLINK("https://rhld.insurance.arkansas.gov/NPILookup?Npi=1356330666","1356330666")</f>
        <v>1356330666</v>
      </c>
      <c r="E11728" t="s">
        <v>1263</v>
      </c>
    </row>
    <row r="11729" spans="1:5" x14ac:dyDescent="0.25">
      <c r="A11729" t="s">
        <v>2</v>
      </c>
      <c r="B11729" t="s">
        <v>3458</v>
      </c>
      <c r="C11729" t="s">
        <v>23490</v>
      </c>
      <c r="D11729" t="str">
        <f>HYPERLINK("https://rhld.insurance.arkansas.gov/NPILookup?Npi=1356334312","1356334312")</f>
        <v>1356334312</v>
      </c>
      <c r="E11729" t="s">
        <v>3676</v>
      </c>
    </row>
    <row r="11730" spans="1:5" x14ac:dyDescent="0.25">
      <c r="A11730" t="s">
        <v>2</v>
      </c>
      <c r="B11730" t="s">
        <v>3458</v>
      </c>
      <c r="C11730" t="s">
        <v>23490</v>
      </c>
      <c r="D11730" t="str">
        <f>HYPERLINK("https://rhld.insurance.arkansas.gov/NPILookup?Npi=1356336119","1356336119")</f>
        <v>1356336119</v>
      </c>
      <c r="E11730" t="s">
        <v>1265</v>
      </c>
    </row>
    <row r="11731" spans="1:5" x14ac:dyDescent="0.25">
      <c r="A11731" t="s">
        <v>2</v>
      </c>
      <c r="B11731" t="s">
        <v>3458</v>
      </c>
      <c r="C11731" t="s">
        <v>23490</v>
      </c>
      <c r="D11731" t="str">
        <f>HYPERLINK("https://rhld.insurance.arkansas.gov/NPILookup?Npi=1356338131","1356338131")</f>
        <v>1356338131</v>
      </c>
      <c r="E11731" t="s">
        <v>18210</v>
      </c>
    </row>
    <row r="11732" spans="1:5" x14ac:dyDescent="0.25">
      <c r="A11732" t="s">
        <v>2</v>
      </c>
      <c r="B11732" t="s">
        <v>3458</v>
      </c>
      <c r="C11732" t="s">
        <v>23490</v>
      </c>
      <c r="D11732" t="str">
        <f>HYPERLINK("https://rhld.insurance.arkansas.gov/NPILookup?Npi=1356338800","1356338800")</f>
        <v>1356338800</v>
      </c>
      <c r="E11732" t="s">
        <v>1266</v>
      </c>
    </row>
    <row r="11733" spans="1:5" x14ac:dyDescent="0.25">
      <c r="A11733" t="s">
        <v>2</v>
      </c>
      <c r="B11733" t="s">
        <v>3458</v>
      </c>
      <c r="C11733" t="s">
        <v>23490</v>
      </c>
      <c r="D11733" t="str">
        <f>HYPERLINK("https://rhld.insurance.arkansas.gov/NPILookup?Npi=1356340368","1356340368")</f>
        <v>1356340368</v>
      </c>
      <c r="E11733" t="s">
        <v>13463</v>
      </c>
    </row>
    <row r="11734" spans="1:5" x14ac:dyDescent="0.25">
      <c r="A11734" t="s">
        <v>2</v>
      </c>
      <c r="B11734" t="s">
        <v>3458</v>
      </c>
      <c r="C11734" t="s">
        <v>23490</v>
      </c>
      <c r="D11734" t="str">
        <f>HYPERLINK("https://rhld.insurance.arkansas.gov/NPILookup?Npi=1356341762","1356341762")</f>
        <v>1356341762</v>
      </c>
      <c r="E11734" t="s">
        <v>1267</v>
      </c>
    </row>
    <row r="11735" spans="1:5" x14ac:dyDescent="0.25">
      <c r="A11735" t="s">
        <v>2</v>
      </c>
      <c r="B11735" t="s">
        <v>3458</v>
      </c>
      <c r="C11735" t="s">
        <v>23490</v>
      </c>
      <c r="D11735" t="str">
        <f>HYPERLINK("https://rhld.insurance.arkansas.gov/NPILookup?Npi=1356342802","1356342802")</f>
        <v>1356342802</v>
      </c>
      <c r="E11735" t="s">
        <v>1268</v>
      </c>
    </row>
    <row r="11736" spans="1:5" x14ac:dyDescent="0.25">
      <c r="A11736" t="s">
        <v>2</v>
      </c>
      <c r="B11736" t="s">
        <v>3458</v>
      </c>
      <c r="C11736" t="s">
        <v>23490</v>
      </c>
      <c r="D11736" t="str">
        <f>HYPERLINK("https://rhld.insurance.arkansas.gov/NPILookup?Npi=1356346050","1356346050")</f>
        <v>1356346050</v>
      </c>
      <c r="E11736" t="s">
        <v>15036</v>
      </c>
    </row>
    <row r="11737" spans="1:5" x14ac:dyDescent="0.25">
      <c r="A11737" t="s">
        <v>2</v>
      </c>
      <c r="B11737" t="s">
        <v>3458</v>
      </c>
      <c r="C11737" t="s">
        <v>23490</v>
      </c>
      <c r="D11737" t="str">
        <f>HYPERLINK("https://rhld.insurance.arkansas.gov/NPILookup?Npi=1356347207","1356347207")</f>
        <v>1356347207</v>
      </c>
      <c r="E11737" t="s">
        <v>1270</v>
      </c>
    </row>
    <row r="11738" spans="1:5" x14ac:dyDescent="0.25">
      <c r="A11738" t="s">
        <v>2</v>
      </c>
      <c r="B11738" t="s">
        <v>3458</v>
      </c>
      <c r="C11738" t="s">
        <v>23490</v>
      </c>
      <c r="D11738" t="str">
        <f>HYPERLINK("https://rhld.insurance.arkansas.gov/NPILookup?Npi=1356347603","1356347603")</f>
        <v>1356347603</v>
      </c>
      <c r="E11738" t="s">
        <v>8629</v>
      </c>
    </row>
    <row r="11739" spans="1:5" x14ac:dyDescent="0.25">
      <c r="A11739" t="s">
        <v>2</v>
      </c>
      <c r="B11739" t="s">
        <v>3458</v>
      </c>
      <c r="C11739" t="s">
        <v>23490</v>
      </c>
      <c r="D11739" t="str">
        <f>HYPERLINK("https://rhld.insurance.arkansas.gov/NPILookup?Npi=1356359988","1356359988")</f>
        <v>1356359988</v>
      </c>
      <c r="E11739" t="s">
        <v>15037</v>
      </c>
    </row>
    <row r="11740" spans="1:5" x14ac:dyDescent="0.25">
      <c r="A11740" t="s">
        <v>2</v>
      </c>
      <c r="B11740" t="s">
        <v>3458</v>
      </c>
      <c r="C11740" t="s">
        <v>23490</v>
      </c>
      <c r="D11740" t="str">
        <f>HYPERLINK("https://rhld.insurance.arkansas.gov/NPILookup?Npi=1356360689","1356360689")</f>
        <v>1356360689</v>
      </c>
      <c r="E11740" t="s">
        <v>1271</v>
      </c>
    </row>
    <row r="11741" spans="1:5" x14ac:dyDescent="0.25">
      <c r="A11741" t="s">
        <v>2</v>
      </c>
      <c r="B11741" t="s">
        <v>3458</v>
      </c>
      <c r="C11741" t="s">
        <v>23490</v>
      </c>
      <c r="D11741" t="str">
        <f>HYPERLINK("https://rhld.insurance.arkansas.gov/NPILookup?Npi=1356364723","1356364723")</f>
        <v>1356364723</v>
      </c>
      <c r="E11741" t="s">
        <v>3677</v>
      </c>
    </row>
    <row r="11742" spans="1:5" x14ac:dyDescent="0.25">
      <c r="A11742" t="s">
        <v>2</v>
      </c>
      <c r="B11742" t="s">
        <v>3458</v>
      </c>
      <c r="C11742" t="s">
        <v>23490</v>
      </c>
      <c r="D11742" t="str">
        <f>HYPERLINK("https://rhld.insurance.arkansas.gov/NPILookup?Npi=1356367452","1356367452")</f>
        <v>1356367452</v>
      </c>
      <c r="E11742" t="s">
        <v>1272</v>
      </c>
    </row>
    <row r="11743" spans="1:5" x14ac:dyDescent="0.25">
      <c r="A11743" t="s">
        <v>2</v>
      </c>
      <c r="B11743" t="s">
        <v>3458</v>
      </c>
      <c r="C11743" t="s">
        <v>23490</v>
      </c>
      <c r="D11743" t="str">
        <f>HYPERLINK("https://rhld.insurance.arkansas.gov/NPILookup?Npi=1356373286","1356373286")</f>
        <v>1356373286</v>
      </c>
      <c r="E11743" t="s">
        <v>1273</v>
      </c>
    </row>
    <row r="11744" spans="1:5" x14ac:dyDescent="0.25">
      <c r="A11744" t="s">
        <v>2</v>
      </c>
      <c r="B11744" t="s">
        <v>3458</v>
      </c>
      <c r="C11744" t="s">
        <v>23490</v>
      </c>
      <c r="D11744" t="str">
        <f>HYPERLINK("https://rhld.insurance.arkansas.gov/NPILookup?Npi=1356378673","1356378673")</f>
        <v>1356378673</v>
      </c>
      <c r="E11744" t="s">
        <v>3678</v>
      </c>
    </row>
    <row r="11745" spans="1:5" x14ac:dyDescent="0.25">
      <c r="A11745" t="s">
        <v>2</v>
      </c>
      <c r="B11745" t="s">
        <v>3458</v>
      </c>
      <c r="C11745" t="s">
        <v>23490</v>
      </c>
      <c r="D11745" t="str">
        <f>HYPERLINK("https://rhld.insurance.arkansas.gov/NPILookup?Npi=1356384242","1356384242")</f>
        <v>1356384242</v>
      </c>
      <c r="E11745" t="s">
        <v>10858</v>
      </c>
    </row>
    <row r="11746" spans="1:5" x14ac:dyDescent="0.25">
      <c r="A11746" t="s">
        <v>2</v>
      </c>
      <c r="B11746" t="s">
        <v>3458</v>
      </c>
      <c r="C11746" t="s">
        <v>23490</v>
      </c>
      <c r="D11746" t="str">
        <f>HYPERLINK("https://rhld.insurance.arkansas.gov/NPILookup?Npi=1356386502","1356386502")</f>
        <v>1356386502</v>
      </c>
      <c r="E11746" t="s">
        <v>1275</v>
      </c>
    </row>
    <row r="11747" spans="1:5" x14ac:dyDescent="0.25">
      <c r="A11747" t="s">
        <v>2</v>
      </c>
      <c r="B11747" t="s">
        <v>3458</v>
      </c>
      <c r="C11747" t="s">
        <v>23490</v>
      </c>
      <c r="D11747" t="str">
        <f>HYPERLINK("https://rhld.insurance.arkansas.gov/NPILookup?Npi=1356395818","1356395818")</f>
        <v>1356395818</v>
      </c>
      <c r="E11747" t="s">
        <v>8630</v>
      </c>
    </row>
    <row r="11748" spans="1:5" x14ac:dyDescent="0.25">
      <c r="A11748" t="s">
        <v>2</v>
      </c>
      <c r="B11748" t="s">
        <v>3458</v>
      </c>
      <c r="C11748" t="s">
        <v>23490</v>
      </c>
      <c r="D11748" t="str">
        <f>HYPERLINK("https://rhld.insurance.arkansas.gov/NPILookup?Npi=1356396790","1356396790")</f>
        <v>1356396790</v>
      </c>
      <c r="E11748" t="s">
        <v>1277</v>
      </c>
    </row>
    <row r="11749" spans="1:5" x14ac:dyDescent="0.25">
      <c r="A11749" t="s">
        <v>2</v>
      </c>
      <c r="B11749" t="s">
        <v>3458</v>
      </c>
      <c r="C11749" t="s">
        <v>23490</v>
      </c>
      <c r="D11749" t="str">
        <f>HYPERLINK("https://rhld.insurance.arkansas.gov/NPILookup?Npi=1356397335","1356397335")</f>
        <v>1356397335</v>
      </c>
      <c r="E11749" t="s">
        <v>3679</v>
      </c>
    </row>
    <row r="11750" spans="1:5" x14ac:dyDescent="0.25">
      <c r="A11750" t="s">
        <v>2</v>
      </c>
      <c r="B11750" t="s">
        <v>3458</v>
      </c>
      <c r="C11750" t="s">
        <v>23490</v>
      </c>
      <c r="D11750" t="str">
        <f>HYPERLINK("https://rhld.insurance.arkansas.gov/NPILookup?Npi=1356409049","1356409049")</f>
        <v>1356409049</v>
      </c>
      <c r="E11750" t="s">
        <v>3680</v>
      </c>
    </row>
    <row r="11751" spans="1:5" x14ac:dyDescent="0.25">
      <c r="A11751" t="s">
        <v>2</v>
      </c>
      <c r="B11751" t="s">
        <v>3458</v>
      </c>
      <c r="C11751" t="s">
        <v>23490</v>
      </c>
      <c r="D11751" t="str">
        <f>HYPERLINK("https://rhld.insurance.arkansas.gov/NPILookup?Npi=1356431837","1356431837")</f>
        <v>1356431837</v>
      </c>
      <c r="E11751" t="s">
        <v>1279</v>
      </c>
    </row>
    <row r="11752" spans="1:5" x14ac:dyDescent="0.25">
      <c r="A11752" t="s">
        <v>2</v>
      </c>
      <c r="B11752" t="s">
        <v>3458</v>
      </c>
      <c r="C11752" t="s">
        <v>23490</v>
      </c>
      <c r="D11752" t="str">
        <f>HYPERLINK("https://rhld.insurance.arkansas.gov/NPILookup?Npi=1356433494","1356433494")</f>
        <v>1356433494</v>
      </c>
      <c r="E11752" t="s">
        <v>1280</v>
      </c>
    </row>
    <row r="11753" spans="1:5" x14ac:dyDescent="0.25">
      <c r="A11753" t="s">
        <v>2</v>
      </c>
      <c r="B11753" t="s">
        <v>3458</v>
      </c>
      <c r="C11753" t="s">
        <v>23490</v>
      </c>
      <c r="D11753" t="str">
        <f>HYPERLINK("https://rhld.insurance.arkansas.gov/NPILookup?Npi=1356490858","1356490858")</f>
        <v>1356490858</v>
      </c>
      <c r="E11753" t="s">
        <v>15038</v>
      </c>
    </row>
    <row r="11754" spans="1:5" x14ac:dyDescent="0.25">
      <c r="A11754" t="s">
        <v>2</v>
      </c>
      <c r="B11754" t="s">
        <v>3458</v>
      </c>
      <c r="C11754" t="s">
        <v>23490</v>
      </c>
      <c r="D11754" t="str">
        <f>HYPERLINK("https://rhld.insurance.arkansas.gov/NPILookup?Npi=1356513394","1356513394")</f>
        <v>1356513394</v>
      </c>
      <c r="E11754" t="s">
        <v>1281</v>
      </c>
    </row>
    <row r="11755" spans="1:5" x14ac:dyDescent="0.25">
      <c r="A11755" t="s">
        <v>2</v>
      </c>
      <c r="B11755" t="s">
        <v>3458</v>
      </c>
      <c r="C11755" t="s">
        <v>23490</v>
      </c>
      <c r="D11755" t="str">
        <f>HYPERLINK("https://rhld.insurance.arkansas.gov/NPILookup?Npi=1356518237","1356518237")</f>
        <v>1356518237</v>
      </c>
      <c r="E11755" t="s">
        <v>3681</v>
      </c>
    </row>
    <row r="11756" spans="1:5" x14ac:dyDescent="0.25">
      <c r="A11756" t="s">
        <v>2</v>
      </c>
      <c r="B11756" t="s">
        <v>3458</v>
      </c>
      <c r="C11756" t="s">
        <v>23490</v>
      </c>
      <c r="D11756" t="str">
        <f>HYPERLINK("https://rhld.insurance.arkansas.gov/NPILookup?Npi=1356543144","1356543144")</f>
        <v>1356543144</v>
      </c>
      <c r="E11756" t="s">
        <v>3682</v>
      </c>
    </row>
    <row r="11757" spans="1:5" x14ac:dyDescent="0.25">
      <c r="A11757" t="s">
        <v>2</v>
      </c>
      <c r="B11757" t="s">
        <v>3458</v>
      </c>
      <c r="C11757" t="s">
        <v>23490</v>
      </c>
      <c r="D11757" t="str">
        <f>HYPERLINK("https://rhld.insurance.arkansas.gov/NPILookup?Npi=1356545636","1356545636")</f>
        <v>1356545636</v>
      </c>
      <c r="E11757" t="s">
        <v>15039</v>
      </c>
    </row>
    <row r="11758" spans="1:5" x14ac:dyDescent="0.25">
      <c r="A11758" t="s">
        <v>2</v>
      </c>
      <c r="B11758" t="s">
        <v>3458</v>
      </c>
      <c r="C11758" t="s">
        <v>23490</v>
      </c>
      <c r="D11758" t="str">
        <f>HYPERLINK("https://rhld.insurance.arkansas.gov/NPILookup?Npi=1356549901","1356549901")</f>
        <v>1356549901</v>
      </c>
      <c r="E11758" t="s">
        <v>8631</v>
      </c>
    </row>
    <row r="11759" spans="1:5" x14ac:dyDescent="0.25">
      <c r="A11759" t="s">
        <v>2</v>
      </c>
      <c r="B11759" t="s">
        <v>3458</v>
      </c>
      <c r="C11759" t="s">
        <v>23490</v>
      </c>
      <c r="D11759" t="str">
        <f>HYPERLINK("https://rhld.insurance.arkansas.gov/NPILookup?Npi=1356555379","1356555379")</f>
        <v>1356555379</v>
      </c>
      <c r="E11759" t="s">
        <v>10860</v>
      </c>
    </row>
    <row r="11760" spans="1:5" x14ac:dyDescent="0.25">
      <c r="A11760" t="s">
        <v>2</v>
      </c>
      <c r="B11760" t="s">
        <v>3458</v>
      </c>
      <c r="C11760" t="s">
        <v>23490</v>
      </c>
      <c r="D11760" t="str">
        <f>HYPERLINK("https://rhld.insurance.arkansas.gov/NPILookup?Npi=1356558357","1356558357")</f>
        <v>1356558357</v>
      </c>
      <c r="E11760" t="s">
        <v>15040</v>
      </c>
    </row>
    <row r="11761" spans="1:5" x14ac:dyDescent="0.25">
      <c r="A11761" t="s">
        <v>2</v>
      </c>
      <c r="B11761" t="s">
        <v>3458</v>
      </c>
      <c r="C11761" t="s">
        <v>23490</v>
      </c>
      <c r="D11761" t="str">
        <f>HYPERLINK("https://rhld.insurance.arkansas.gov/NPILookup?Npi=1356563241","1356563241")</f>
        <v>1356563241</v>
      </c>
      <c r="E11761" t="s">
        <v>1282</v>
      </c>
    </row>
    <row r="11762" spans="1:5" x14ac:dyDescent="0.25">
      <c r="A11762" t="s">
        <v>2</v>
      </c>
      <c r="B11762" t="s">
        <v>3458</v>
      </c>
      <c r="C11762" t="s">
        <v>23490</v>
      </c>
      <c r="D11762" t="str">
        <f>HYPERLINK("https://rhld.insurance.arkansas.gov/NPILookup?Npi=1356572705","1356572705")</f>
        <v>1356572705</v>
      </c>
      <c r="E11762" t="s">
        <v>15041</v>
      </c>
    </row>
    <row r="11763" spans="1:5" x14ac:dyDescent="0.25">
      <c r="A11763" t="s">
        <v>2</v>
      </c>
      <c r="B11763" t="s">
        <v>3458</v>
      </c>
      <c r="C11763" t="s">
        <v>23490</v>
      </c>
      <c r="D11763" t="str">
        <f>HYPERLINK("https://rhld.insurance.arkansas.gov/NPILookup?Npi=1356581151","1356581151")</f>
        <v>1356581151</v>
      </c>
      <c r="E11763" t="s">
        <v>12828</v>
      </c>
    </row>
    <row r="11764" spans="1:5" x14ac:dyDescent="0.25">
      <c r="A11764" t="s">
        <v>2</v>
      </c>
      <c r="B11764" t="s">
        <v>3458</v>
      </c>
      <c r="C11764" t="s">
        <v>23490</v>
      </c>
      <c r="D11764" t="str">
        <f>HYPERLINK("https://rhld.insurance.arkansas.gov/NPILookup?Npi=1356600829","1356600829")</f>
        <v>1356600829</v>
      </c>
      <c r="E11764" t="s">
        <v>1283</v>
      </c>
    </row>
    <row r="11765" spans="1:5" x14ac:dyDescent="0.25">
      <c r="A11765" t="s">
        <v>2</v>
      </c>
      <c r="B11765" t="s">
        <v>3458</v>
      </c>
      <c r="C11765" t="s">
        <v>23490</v>
      </c>
      <c r="D11765" t="str">
        <f>HYPERLINK("https://rhld.insurance.arkansas.gov/NPILookup?Npi=1356617443","1356617443")</f>
        <v>1356617443</v>
      </c>
      <c r="E11765" t="s">
        <v>13498</v>
      </c>
    </row>
    <row r="11766" spans="1:5" x14ac:dyDescent="0.25">
      <c r="A11766" t="s">
        <v>2</v>
      </c>
      <c r="B11766" t="s">
        <v>3458</v>
      </c>
      <c r="C11766" t="s">
        <v>23490</v>
      </c>
      <c r="D11766" t="str">
        <f>HYPERLINK("https://rhld.insurance.arkansas.gov/NPILookup?Npi=1356632269","1356632269")</f>
        <v>1356632269</v>
      </c>
      <c r="E11766" t="s">
        <v>3683</v>
      </c>
    </row>
    <row r="11767" spans="1:5" x14ac:dyDescent="0.25">
      <c r="A11767" t="s">
        <v>2</v>
      </c>
      <c r="B11767" t="s">
        <v>3458</v>
      </c>
      <c r="C11767" t="s">
        <v>23490</v>
      </c>
      <c r="D11767" t="str">
        <f>HYPERLINK("https://rhld.insurance.arkansas.gov/NPILookup?Npi=1356634968","1356634968")</f>
        <v>1356634968</v>
      </c>
      <c r="E11767" t="s">
        <v>1284</v>
      </c>
    </row>
    <row r="11768" spans="1:5" x14ac:dyDescent="0.25">
      <c r="A11768" t="s">
        <v>2</v>
      </c>
      <c r="B11768" t="s">
        <v>3458</v>
      </c>
      <c r="C11768" t="s">
        <v>23490</v>
      </c>
      <c r="D11768" t="str">
        <f>HYPERLINK("https://rhld.insurance.arkansas.gov/NPILookup?Npi=1356637433","1356637433")</f>
        <v>1356637433</v>
      </c>
      <c r="E11768" t="s">
        <v>1285</v>
      </c>
    </row>
    <row r="11769" spans="1:5" x14ac:dyDescent="0.25">
      <c r="A11769" t="s">
        <v>2</v>
      </c>
      <c r="B11769" t="s">
        <v>3458</v>
      </c>
      <c r="C11769" t="s">
        <v>23490</v>
      </c>
      <c r="D11769" t="str">
        <f>HYPERLINK("https://rhld.insurance.arkansas.gov/NPILookup?Npi=1356638290","1356638290")</f>
        <v>1356638290</v>
      </c>
      <c r="E11769" t="s">
        <v>1286</v>
      </c>
    </row>
    <row r="11770" spans="1:5" x14ac:dyDescent="0.25">
      <c r="A11770" t="s">
        <v>2</v>
      </c>
      <c r="B11770" t="s">
        <v>3458</v>
      </c>
      <c r="C11770" t="s">
        <v>23490</v>
      </c>
      <c r="D11770" t="str">
        <f>HYPERLINK("https://rhld.insurance.arkansas.gov/NPILookup?Npi=1356649412","1356649412")</f>
        <v>1356649412</v>
      </c>
      <c r="E11770" t="s">
        <v>1287</v>
      </c>
    </row>
    <row r="11771" spans="1:5" x14ac:dyDescent="0.25">
      <c r="A11771" t="s">
        <v>2</v>
      </c>
      <c r="B11771" t="s">
        <v>3458</v>
      </c>
      <c r="C11771" t="s">
        <v>23490</v>
      </c>
      <c r="D11771" t="str">
        <f>HYPERLINK("https://rhld.insurance.arkansas.gov/NPILookup?Npi=1356652630","1356652630")</f>
        <v>1356652630</v>
      </c>
      <c r="E11771" t="s">
        <v>3684</v>
      </c>
    </row>
    <row r="11772" spans="1:5" x14ac:dyDescent="0.25">
      <c r="A11772" t="s">
        <v>2</v>
      </c>
      <c r="B11772" t="s">
        <v>3458</v>
      </c>
      <c r="C11772" t="s">
        <v>23490</v>
      </c>
      <c r="D11772" t="str">
        <f>HYPERLINK("https://rhld.insurance.arkansas.gov/NPILookup?Npi=1356664205","1356664205")</f>
        <v>1356664205</v>
      </c>
      <c r="E11772" t="s">
        <v>21732</v>
      </c>
    </row>
    <row r="11773" spans="1:5" x14ac:dyDescent="0.25">
      <c r="A11773" t="s">
        <v>2</v>
      </c>
      <c r="B11773" t="s">
        <v>3458</v>
      </c>
      <c r="C11773" t="s">
        <v>23490</v>
      </c>
      <c r="D11773" t="str">
        <f>HYPERLINK("https://rhld.insurance.arkansas.gov/NPILookup?Npi=1356684963","1356684963")</f>
        <v>1356684963</v>
      </c>
      <c r="E11773" t="s">
        <v>8632</v>
      </c>
    </row>
    <row r="11774" spans="1:5" x14ac:dyDescent="0.25">
      <c r="A11774" t="s">
        <v>2</v>
      </c>
      <c r="B11774" t="s">
        <v>3458</v>
      </c>
      <c r="C11774" t="s">
        <v>23490</v>
      </c>
      <c r="D11774" t="str">
        <f>HYPERLINK("https://rhld.insurance.arkansas.gov/NPILookup?Npi=1356712525","1356712525")</f>
        <v>1356712525</v>
      </c>
      <c r="E11774" t="s">
        <v>15042</v>
      </c>
    </row>
    <row r="11775" spans="1:5" x14ac:dyDescent="0.25">
      <c r="A11775" t="s">
        <v>2</v>
      </c>
      <c r="B11775" t="s">
        <v>3458</v>
      </c>
      <c r="C11775" t="s">
        <v>23490</v>
      </c>
      <c r="D11775" t="str">
        <f>HYPERLINK("https://rhld.insurance.arkansas.gov/NPILookup?Npi=1356716963","1356716963")</f>
        <v>1356716963</v>
      </c>
      <c r="E11775" t="s">
        <v>8634</v>
      </c>
    </row>
    <row r="11776" spans="1:5" x14ac:dyDescent="0.25">
      <c r="A11776" t="s">
        <v>2</v>
      </c>
      <c r="B11776" t="s">
        <v>3458</v>
      </c>
      <c r="C11776" t="s">
        <v>23490</v>
      </c>
      <c r="D11776" t="str">
        <f>HYPERLINK("https://rhld.insurance.arkansas.gov/NPILookup?Npi=1356719264","1356719264")</f>
        <v>1356719264</v>
      </c>
      <c r="E11776" t="s">
        <v>8635</v>
      </c>
    </row>
    <row r="11777" spans="1:5" x14ac:dyDescent="0.25">
      <c r="A11777" t="s">
        <v>2</v>
      </c>
      <c r="B11777" t="s">
        <v>3458</v>
      </c>
      <c r="C11777" t="s">
        <v>23490</v>
      </c>
      <c r="D11777" t="str">
        <f>HYPERLINK("https://rhld.insurance.arkansas.gov/NPILookup?Npi=1356780233","1356780233")</f>
        <v>1356780233</v>
      </c>
      <c r="E11777" t="s">
        <v>10861</v>
      </c>
    </row>
    <row r="11778" spans="1:5" x14ac:dyDescent="0.25">
      <c r="A11778" t="s">
        <v>2</v>
      </c>
      <c r="B11778" t="s">
        <v>3458</v>
      </c>
      <c r="C11778" t="s">
        <v>23490</v>
      </c>
      <c r="D11778" t="str">
        <f>HYPERLINK("https://rhld.insurance.arkansas.gov/NPILookup?Npi=1356793905","1356793905")</f>
        <v>1356793905</v>
      </c>
      <c r="E11778" t="s">
        <v>10862</v>
      </c>
    </row>
    <row r="11779" spans="1:5" x14ac:dyDescent="0.25">
      <c r="A11779" t="s">
        <v>2</v>
      </c>
      <c r="B11779" t="s">
        <v>3458</v>
      </c>
      <c r="C11779" t="s">
        <v>23490</v>
      </c>
      <c r="D11779" t="str">
        <f>HYPERLINK("https://rhld.insurance.arkansas.gov/NPILookup?Npi=1356803266","1356803266")</f>
        <v>1356803266</v>
      </c>
      <c r="E11779" t="s">
        <v>21416</v>
      </c>
    </row>
    <row r="11780" spans="1:5" x14ac:dyDescent="0.25">
      <c r="A11780" t="s">
        <v>2</v>
      </c>
      <c r="B11780" t="s">
        <v>3458</v>
      </c>
      <c r="C11780" t="s">
        <v>23490</v>
      </c>
      <c r="D11780" t="str">
        <f>HYPERLINK("https://rhld.insurance.arkansas.gov/NPILookup?Npi=1356840086","1356840086")</f>
        <v>1356840086</v>
      </c>
      <c r="E11780" t="s">
        <v>21528</v>
      </c>
    </row>
    <row r="11781" spans="1:5" x14ac:dyDescent="0.25">
      <c r="A11781" t="s">
        <v>2</v>
      </c>
      <c r="B11781" t="s">
        <v>3458</v>
      </c>
      <c r="C11781" t="s">
        <v>23490</v>
      </c>
      <c r="D11781" t="str">
        <f>HYPERLINK("https://rhld.insurance.arkansas.gov/NPILookup?Npi=1356853345","1356853345")</f>
        <v>1356853345</v>
      </c>
      <c r="E11781" t="s">
        <v>15043</v>
      </c>
    </row>
    <row r="11782" spans="1:5" x14ac:dyDescent="0.25">
      <c r="A11782" t="s">
        <v>2</v>
      </c>
      <c r="B11782" t="s">
        <v>3458</v>
      </c>
      <c r="C11782" t="s">
        <v>23490</v>
      </c>
      <c r="D11782" t="str">
        <f>HYPERLINK("https://rhld.insurance.arkansas.gov/NPILookup?Npi=1356857015","1356857015")</f>
        <v>1356857015</v>
      </c>
      <c r="E11782" t="s">
        <v>13500</v>
      </c>
    </row>
    <row r="11783" spans="1:5" x14ac:dyDescent="0.25">
      <c r="A11783" t="s">
        <v>2</v>
      </c>
      <c r="B11783" t="s">
        <v>3458</v>
      </c>
      <c r="C11783" t="s">
        <v>23490</v>
      </c>
      <c r="D11783" t="str">
        <f>HYPERLINK("https://rhld.insurance.arkansas.gov/NPILookup?Npi=1356869598","1356869598")</f>
        <v>1356869598</v>
      </c>
      <c r="E11783" t="s">
        <v>13007</v>
      </c>
    </row>
    <row r="11784" spans="1:5" x14ac:dyDescent="0.25">
      <c r="A11784" t="s">
        <v>2</v>
      </c>
      <c r="B11784" t="s">
        <v>3458</v>
      </c>
      <c r="C11784" t="s">
        <v>23490</v>
      </c>
      <c r="D11784" t="str">
        <f>HYPERLINK("https://rhld.insurance.arkansas.gov/NPILookup?Npi=1356899173","1356899173")</f>
        <v>1356899173</v>
      </c>
      <c r="E11784" t="s">
        <v>21435</v>
      </c>
    </row>
    <row r="11785" spans="1:5" x14ac:dyDescent="0.25">
      <c r="A11785" t="s">
        <v>2</v>
      </c>
      <c r="B11785" t="s">
        <v>3458</v>
      </c>
      <c r="C11785" t="s">
        <v>8427</v>
      </c>
      <c r="D11785" t="str">
        <f>HYPERLINK("https://rhld.insurance.arkansas.gov/NPILookup?Npi=1356902951","1356902951")</f>
        <v>1356902951</v>
      </c>
      <c r="E11785" t="s">
        <v>22926</v>
      </c>
    </row>
    <row r="11786" spans="1:5" x14ac:dyDescent="0.25">
      <c r="A11786" t="s">
        <v>2</v>
      </c>
      <c r="B11786" t="s">
        <v>3458</v>
      </c>
      <c r="C11786" t="s">
        <v>23490</v>
      </c>
      <c r="D11786" t="str">
        <f>HYPERLINK("https://rhld.insurance.arkansas.gov/NPILookup?Npi=1356931992","1356931992")</f>
        <v>1356931992</v>
      </c>
      <c r="E11786" t="s">
        <v>17963</v>
      </c>
    </row>
    <row r="11787" spans="1:5" x14ac:dyDescent="0.25">
      <c r="A11787" t="s">
        <v>2</v>
      </c>
      <c r="B11787" t="s">
        <v>3458</v>
      </c>
      <c r="C11787" t="s">
        <v>23490</v>
      </c>
      <c r="D11787" t="str">
        <f>HYPERLINK("https://rhld.insurance.arkansas.gov/NPILookup?Npi=1356937593","1356937593")</f>
        <v>1356937593</v>
      </c>
      <c r="E11787" t="s">
        <v>19651</v>
      </c>
    </row>
    <row r="11788" spans="1:5" x14ac:dyDescent="0.25">
      <c r="A11788" t="s">
        <v>2</v>
      </c>
      <c r="B11788" t="s">
        <v>3458</v>
      </c>
      <c r="C11788" t="s">
        <v>23490</v>
      </c>
      <c r="D11788" t="str">
        <f>HYPERLINK("https://rhld.insurance.arkansas.gov/NPILookup?Npi=1356957344","1356957344")</f>
        <v>1356957344</v>
      </c>
      <c r="E11788" t="s">
        <v>17964</v>
      </c>
    </row>
    <row r="11789" spans="1:5" x14ac:dyDescent="0.25">
      <c r="A11789" t="s">
        <v>2</v>
      </c>
      <c r="B11789" t="s">
        <v>3458</v>
      </c>
      <c r="C11789" t="s">
        <v>23490</v>
      </c>
      <c r="D11789" t="str">
        <f>HYPERLINK("https://rhld.insurance.arkansas.gov/NPILookup?Npi=1366021933","1366021933")</f>
        <v>1366021933</v>
      </c>
      <c r="E11789" t="s">
        <v>18756</v>
      </c>
    </row>
    <row r="11790" spans="1:5" x14ac:dyDescent="0.25">
      <c r="A11790" t="s">
        <v>2</v>
      </c>
      <c r="B11790" t="s">
        <v>3458</v>
      </c>
      <c r="C11790" t="s">
        <v>23490</v>
      </c>
      <c r="D11790" t="str">
        <f>HYPERLINK("https://rhld.insurance.arkansas.gov/NPILookup?Npi=1366054959","1366054959")</f>
        <v>1366054959</v>
      </c>
      <c r="E11790" t="s">
        <v>17420</v>
      </c>
    </row>
    <row r="11791" spans="1:5" x14ac:dyDescent="0.25">
      <c r="A11791" t="s">
        <v>2</v>
      </c>
      <c r="B11791" t="s">
        <v>3458</v>
      </c>
      <c r="C11791" t="s">
        <v>8427</v>
      </c>
      <c r="D11791" t="str">
        <f>HYPERLINK("https://rhld.insurance.arkansas.gov/NPILookup?Npi=1366070765","1366070765")</f>
        <v>1366070765</v>
      </c>
      <c r="E11791" t="s">
        <v>22927</v>
      </c>
    </row>
    <row r="11792" spans="1:5" x14ac:dyDescent="0.25">
      <c r="A11792" t="s">
        <v>2</v>
      </c>
      <c r="B11792" t="s">
        <v>3458</v>
      </c>
      <c r="C11792" t="s">
        <v>23490</v>
      </c>
      <c r="D11792" t="str">
        <f>HYPERLINK("https://rhld.insurance.arkansas.gov/NPILookup?Npi=1366076010","1366076010")</f>
        <v>1366076010</v>
      </c>
      <c r="E11792" t="s">
        <v>17421</v>
      </c>
    </row>
    <row r="11793" spans="1:5" x14ac:dyDescent="0.25">
      <c r="A11793" t="s">
        <v>2</v>
      </c>
      <c r="B11793" t="s">
        <v>3458</v>
      </c>
      <c r="C11793" t="s">
        <v>23490</v>
      </c>
      <c r="D11793" t="str">
        <f>HYPERLINK("https://rhld.insurance.arkansas.gov/NPILookup?Npi=1366103939","1366103939")</f>
        <v>1366103939</v>
      </c>
      <c r="E11793" t="s">
        <v>19655</v>
      </c>
    </row>
    <row r="11794" spans="1:5" x14ac:dyDescent="0.25">
      <c r="A11794" t="s">
        <v>2</v>
      </c>
      <c r="B11794" t="s">
        <v>3458</v>
      </c>
      <c r="C11794" t="s">
        <v>23490</v>
      </c>
      <c r="D11794" t="str">
        <f>HYPERLINK("https://rhld.insurance.arkansas.gov/NPILookup?Npi=1366107369","1366107369")</f>
        <v>1366107369</v>
      </c>
      <c r="E11794" t="s">
        <v>19656</v>
      </c>
    </row>
    <row r="11795" spans="1:5" x14ac:dyDescent="0.25">
      <c r="A11795" t="s">
        <v>2</v>
      </c>
      <c r="B11795" t="s">
        <v>3458</v>
      </c>
      <c r="C11795" t="s">
        <v>23490</v>
      </c>
      <c r="D11795" t="str">
        <f>HYPERLINK("https://rhld.insurance.arkansas.gov/NPILookup?Npi=1366111460","1366111460")</f>
        <v>1366111460</v>
      </c>
      <c r="E11795" t="s">
        <v>19657</v>
      </c>
    </row>
    <row r="11796" spans="1:5" x14ac:dyDescent="0.25">
      <c r="A11796" t="s">
        <v>2</v>
      </c>
      <c r="B11796" t="s">
        <v>3458</v>
      </c>
      <c r="C11796" t="s">
        <v>23490</v>
      </c>
      <c r="D11796" t="str">
        <f>HYPERLINK("https://rhld.insurance.arkansas.gov/NPILookup?Npi=1366119752","1366119752")</f>
        <v>1366119752</v>
      </c>
      <c r="E11796" t="s">
        <v>18757</v>
      </c>
    </row>
    <row r="11797" spans="1:5" x14ac:dyDescent="0.25">
      <c r="A11797" t="s">
        <v>2</v>
      </c>
      <c r="B11797" t="s">
        <v>3458</v>
      </c>
      <c r="C11797" t="s">
        <v>23490</v>
      </c>
      <c r="D11797" t="str">
        <f>HYPERLINK("https://rhld.insurance.arkansas.gov/NPILookup?Npi=1366198798","1366198798")</f>
        <v>1366198798</v>
      </c>
      <c r="E11797" t="s">
        <v>19658</v>
      </c>
    </row>
    <row r="11798" spans="1:5" x14ac:dyDescent="0.25">
      <c r="A11798" t="s">
        <v>2</v>
      </c>
      <c r="B11798" t="s">
        <v>3458</v>
      </c>
      <c r="C11798" t="s">
        <v>23490</v>
      </c>
      <c r="D11798" t="str">
        <f>HYPERLINK("https://rhld.insurance.arkansas.gov/NPILookup?Npi=1366402448","1366402448")</f>
        <v>1366402448</v>
      </c>
      <c r="E11798" t="s">
        <v>1289</v>
      </c>
    </row>
    <row r="11799" spans="1:5" x14ac:dyDescent="0.25">
      <c r="A11799" t="s">
        <v>2</v>
      </c>
      <c r="B11799" t="s">
        <v>3458</v>
      </c>
      <c r="C11799" t="s">
        <v>23490</v>
      </c>
      <c r="D11799" t="str">
        <f>HYPERLINK("https://rhld.insurance.arkansas.gov/NPILookup?Npi=1366403479","1366403479")</f>
        <v>1366403479</v>
      </c>
      <c r="E11799" t="s">
        <v>1139</v>
      </c>
    </row>
    <row r="11800" spans="1:5" x14ac:dyDescent="0.25">
      <c r="A11800" t="s">
        <v>2</v>
      </c>
      <c r="B11800" t="s">
        <v>3458</v>
      </c>
      <c r="C11800" t="s">
        <v>23490</v>
      </c>
      <c r="D11800" t="str">
        <f>HYPERLINK("https://rhld.insurance.arkansas.gov/NPILookup?Npi=1366403560","1366403560")</f>
        <v>1366403560</v>
      </c>
      <c r="E11800" t="s">
        <v>1290</v>
      </c>
    </row>
    <row r="11801" spans="1:5" x14ac:dyDescent="0.25">
      <c r="A11801" t="s">
        <v>2</v>
      </c>
      <c r="B11801" t="s">
        <v>3458</v>
      </c>
      <c r="C11801" t="s">
        <v>23490</v>
      </c>
      <c r="D11801" t="str">
        <f>HYPERLINK("https://rhld.insurance.arkansas.gov/NPILookup?Npi=1366404626","1366404626")</f>
        <v>1366404626</v>
      </c>
      <c r="E11801" t="s">
        <v>15044</v>
      </c>
    </row>
    <row r="11802" spans="1:5" x14ac:dyDescent="0.25">
      <c r="A11802" t="s">
        <v>2</v>
      </c>
      <c r="B11802" t="s">
        <v>3458</v>
      </c>
      <c r="C11802" t="s">
        <v>23490</v>
      </c>
      <c r="D11802" t="str">
        <f>HYPERLINK("https://rhld.insurance.arkansas.gov/NPILookup?Npi=1366409930","1366409930")</f>
        <v>1366409930</v>
      </c>
      <c r="E11802" t="s">
        <v>1293</v>
      </c>
    </row>
    <row r="11803" spans="1:5" x14ac:dyDescent="0.25">
      <c r="A11803" t="s">
        <v>2</v>
      </c>
      <c r="B11803" t="s">
        <v>3458</v>
      </c>
      <c r="C11803" t="s">
        <v>23490</v>
      </c>
      <c r="D11803" t="str">
        <f>HYPERLINK("https://rhld.insurance.arkansas.gov/NPILookup?Npi=1366426355","1366426355")</f>
        <v>1366426355</v>
      </c>
      <c r="E11803" t="s">
        <v>15045</v>
      </c>
    </row>
    <row r="11804" spans="1:5" x14ac:dyDescent="0.25">
      <c r="A11804" t="s">
        <v>2</v>
      </c>
      <c r="B11804" t="s">
        <v>3458</v>
      </c>
      <c r="C11804" t="s">
        <v>23490</v>
      </c>
      <c r="D11804" t="str">
        <f>HYPERLINK("https://rhld.insurance.arkansas.gov/NPILookup?Npi=1366432247","1366432247")</f>
        <v>1366432247</v>
      </c>
      <c r="E11804" t="s">
        <v>8636</v>
      </c>
    </row>
    <row r="11805" spans="1:5" x14ac:dyDescent="0.25">
      <c r="A11805" t="s">
        <v>2</v>
      </c>
      <c r="B11805" t="s">
        <v>3458</v>
      </c>
      <c r="C11805" t="s">
        <v>23490</v>
      </c>
      <c r="D11805" t="str">
        <f>HYPERLINK("https://rhld.insurance.arkansas.gov/NPILookup?Npi=1366438384","1366438384")</f>
        <v>1366438384</v>
      </c>
      <c r="E11805" t="s">
        <v>1294</v>
      </c>
    </row>
    <row r="11806" spans="1:5" x14ac:dyDescent="0.25">
      <c r="A11806" t="s">
        <v>2</v>
      </c>
      <c r="B11806" t="s">
        <v>3458</v>
      </c>
      <c r="C11806" t="s">
        <v>23490</v>
      </c>
      <c r="D11806" t="str">
        <f>HYPERLINK("https://rhld.insurance.arkansas.gov/NPILookup?Npi=1366449274","1366449274")</f>
        <v>1366449274</v>
      </c>
      <c r="E11806" t="s">
        <v>1295</v>
      </c>
    </row>
    <row r="11807" spans="1:5" x14ac:dyDescent="0.25">
      <c r="A11807" t="s">
        <v>2</v>
      </c>
      <c r="B11807" t="s">
        <v>3458</v>
      </c>
      <c r="C11807" t="s">
        <v>23490</v>
      </c>
      <c r="D11807" t="str">
        <f>HYPERLINK("https://rhld.insurance.arkansas.gov/NPILookup?Npi=1366454209","1366454209")</f>
        <v>1366454209</v>
      </c>
      <c r="E11807" t="s">
        <v>1296</v>
      </c>
    </row>
    <row r="11808" spans="1:5" x14ac:dyDescent="0.25">
      <c r="A11808" t="s">
        <v>2</v>
      </c>
      <c r="B11808" t="s">
        <v>3458</v>
      </c>
      <c r="C11808" t="s">
        <v>23490</v>
      </c>
      <c r="D11808" t="str">
        <f>HYPERLINK("https://rhld.insurance.arkansas.gov/NPILookup?Npi=1366469959","1366469959")</f>
        <v>1366469959</v>
      </c>
      <c r="E11808" t="s">
        <v>10863</v>
      </c>
    </row>
    <row r="11809" spans="1:5" x14ac:dyDescent="0.25">
      <c r="A11809" t="s">
        <v>2</v>
      </c>
      <c r="B11809" t="s">
        <v>3458</v>
      </c>
      <c r="C11809" t="s">
        <v>23490</v>
      </c>
      <c r="D11809" t="str">
        <f>HYPERLINK("https://rhld.insurance.arkansas.gov/NPILookup?Npi=1366472144","1366472144")</f>
        <v>1366472144</v>
      </c>
      <c r="E11809" t="s">
        <v>1298</v>
      </c>
    </row>
    <row r="11810" spans="1:5" x14ac:dyDescent="0.25">
      <c r="A11810" t="s">
        <v>2</v>
      </c>
      <c r="B11810" t="s">
        <v>3458</v>
      </c>
      <c r="C11810" t="s">
        <v>23490</v>
      </c>
      <c r="D11810" t="str">
        <f>HYPERLINK("https://rhld.insurance.arkansas.gov/NPILookup?Npi=1366479818","1366479818")</f>
        <v>1366479818</v>
      </c>
      <c r="E11810" t="s">
        <v>1300</v>
      </c>
    </row>
    <row r="11811" spans="1:5" x14ac:dyDescent="0.25">
      <c r="A11811" t="s">
        <v>2</v>
      </c>
      <c r="B11811" t="s">
        <v>3458</v>
      </c>
      <c r="C11811" t="s">
        <v>23490</v>
      </c>
      <c r="D11811" t="str">
        <f>HYPERLINK("https://rhld.insurance.arkansas.gov/NPILookup?Npi=1366481392","1366481392")</f>
        <v>1366481392</v>
      </c>
      <c r="E11811" t="s">
        <v>3685</v>
      </c>
    </row>
    <row r="11812" spans="1:5" x14ac:dyDescent="0.25">
      <c r="A11812" t="s">
        <v>2</v>
      </c>
      <c r="B11812" t="s">
        <v>3458</v>
      </c>
      <c r="C11812" t="s">
        <v>23490</v>
      </c>
      <c r="D11812" t="str">
        <f>HYPERLINK("https://rhld.insurance.arkansas.gov/NPILookup?Npi=1366485393","1366485393")</f>
        <v>1366485393</v>
      </c>
      <c r="E11812" t="s">
        <v>3686</v>
      </c>
    </row>
    <row r="11813" spans="1:5" x14ac:dyDescent="0.25">
      <c r="A11813" t="s">
        <v>2</v>
      </c>
      <c r="B11813" t="s">
        <v>3458</v>
      </c>
      <c r="C11813" t="s">
        <v>23490</v>
      </c>
      <c r="D11813" t="str">
        <f>HYPERLINK("https://rhld.insurance.arkansas.gov/NPILookup?Npi=1366496150","1366496150")</f>
        <v>1366496150</v>
      </c>
      <c r="E11813" t="s">
        <v>15046</v>
      </c>
    </row>
    <row r="11814" spans="1:5" x14ac:dyDescent="0.25">
      <c r="A11814" t="s">
        <v>2</v>
      </c>
      <c r="B11814" t="s">
        <v>3458</v>
      </c>
      <c r="C11814" t="s">
        <v>23490</v>
      </c>
      <c r="D11814" t="str">
        <f>HYPERLINK("https://rhld.insurance.arkansas.gov/NPILookup?Npi=1366516924","1366516924")</f>
        <v>1366516924</v>
      </c>
      <c r="E11814" t="s">
        <v>1303</v>
      </c>
    </row>
    <row r="11815" spans="1:5" x14ac:dyDescent="0.25">
      <c r="A11815" t="s">
        <v>2</v>
      </c>
      <c r="B11815" t="s">
        <v>3458</v>
      </c>
      <c r="C11815" t="s">
        <v>23490</v>
      </c>
      <c r="D11815" t="str">
        <f>HYPERLINK("https://rhld.insurance.arkansas.gov/NPILookup?Npi=1366518938","1366518938")</f>
        <v>1366518938</v>
      </c>
      <c r="E11815" t="s">
        <v>1304</v>
      </c>
    </row>
    <row r="11816" spans="1:5" x14ac:dyDescent="0.25">
      <c r="A11816" t="s">
        <v>2</v>
      </c>
      <c r="B11816" t="s">
        <v>3458</v>
      </c>
      <c r="C11816" t="s">
        <v>23490</v>
      </c>
      <c r="D11816" t="str">
        <f>HYPERLINK("https://rhld.insurance.arkansas.gov/NPILookup?Npi=1366537466","1366537466")</f>
        <v>1366537466</v>
      </c>
      <c r="E11816" t="s">
        <v>10865</v>
      </c>
    </row>
    <row r="11817" spans="1:5" x14ac:dyDescent="0.25">
      <c r="A11817" t="s">
        <v>2</v>
      </c>
      <c r="B11817" t="s">
        <v>3458</v>
      </c>
      <c r="C11817" t="s">
        <v>23490</v>
      </c>
      <c r="D11817" t="str">
        <f>HYPERLINK("https://rhld.insurance.arkansas.gov/NPILookup?Npi=1366554743","1366554743")</f>
        <v>1366554743</v>
      </c>
      <c r="E11817" t="s">
        <v>1306</v>
      </c>
    </row>
    <row r="11818" spans="1:5" x14ac:dyDescent="0.25">
      <c r="A11818" t="s">
        <v>2</v>
      </c>
      <c r="B11818" t="s">
        <v>3458</v>
      </c>
      <c r="C11818" t="s">
        <v>23490</v>
      </c>
      <c r="D11818" t="str">
        <f>HYPERLINK("https://rhld.insurance.arkansas.gov/NPILookup?Npi=1366561730","1366561730")</f>
        <v>1366561730</v>
      </c>
      <c r="E11818" t="s">
        <v>3687</v>
      </c>
    </row>
    <row r="11819" spans="1:5" x14ac:dyDescent="0.25">
      <c r="A11819" t="s">
        <v>2</v>
      </c>
      <c r="B11819" t="s">
        <v>3458</v>
      </c>
      <c r="C11819" t="s">
        <v>23490</v>
      </c>
      <c r="D11819" t="str">
        <f>HYPERLINK("https://rhld.insurance.arkansas.gov/NPILookup?Npi=1366636821","1366636821")</f>
        <v>1366636821</v>
      </c>
      <c r="E11819" t="s">
        <v>1307</v>
      </c>
    </row>
    <row r="11820" spans="1:5" x14ac:dyDescent="0.25">
      <c r="A11820" t="s">
        <v>2</v>
      </c>
      <c r="B11820" t="s">
        <v>3458</v>
      </c>
      <c r="C11820" t="s">
        <v>23490</v>
      </c>
      <c r="D11820" t="str">
        <f>HYPERLINK("https://rhld.insurance.arkansas.gov/NPILookup?Npi=1366648511","1366648511")</f>
        <v>1366648511</v>
      </c>
      <c r="E11820" t="s">
        <v>8637</v>
      </c>
    </row>
    <row r="11821" spans="1:5" x14ac:dyDescent="0.25">
      <c r="A11821" t="s">
        <v>2</v>
      </c>
      <c r="B11821" t="s">
        <v>3458</v>
      </c>
      <c r="C11821" t="s">
        <v>23490</v>
      </c>
      <c r="D11821" t="str">
        <f>HYPERLINK("https://rhld.insurance.arkansas.gov/NPILookup?Npi=1366658346","1366658346")</f>
        <v>1366658346</v>
      </c>
      <c r="E11821" t="s">
        <v>1309</v>
      </c>
    </row>
    <row r="11822" spans="1:5" x14ac:dyDescent="0.25">
      <c r="A11822" t="s">
        <v>2</v>
      </c>
      <c r="B11822" t="s">
        <v>3458</v>
      </c>
      <c r="C11822" t="s">
        <v>23490</v>
      </c>
      <c r="D11822" t="str">
        <f>HYPERLINK("https://rhld.insurance.arkansas.gov/NPILookup?Npi=1366684391","1366684391")</f>
        <v>1366684391</v>
      </c>
      <c r="E11822" t="s">
        <v>8974</v>
      </c>
    </row>
    <row r="11823" spans="1:5" x14ac:dyDescent="0.25">
      <c r="A11823" t="s">
        <v>2</v>
      </c>
      <c r="B11823" t="s">
        <v>3458</v>
      </c>
      <c r="C11823" t="s">
        <v>23490</v>
      </c>
      <c r="D11823" t="str">
        <f>HYPERLINK("https://rhld.insurance.arkansas.gov/NPILookup?Npi=1366698862","1366698862")</f>
        <v>1366698862</v>
      </c>
      <c r="E11823" t="s">
        <v>22898</v>
      </c>
    </row>
    <row r="11824" spans="1:5" x14ac:dyDescent="0.25">
      <c r="A11824" t="s">
        <v>2</v>
      </c>
      <c r="B11824" t="s">
        <v>3458</v>
      </c>
      <c r="C11824" t="s">
        <v>23490</v>
      </c>
      <c r="D11824" t="str">
        <f>HYPERLINK("https://rhld.insurance.arkansas.gov/NPILookup?Npi=1366702987","1366702987")</f>
        <v>1366702987</v>
      </c>
      <c r="E11824" t="s">
        <v>18758</v>
      </c>
    </row>
    <row r="11825" spans="1:5" x14ac:dyDescent="0.25">
      <c r="A11825" t="s">
        <v>2</v>
      </c>
      <c r="B11825" t="s">
        <v>3458</v>
      </c>
      <c r="C11825" t="s">
        <v>23490</v>
      </c>
      <c r="D11825" t="str">
        <f>HYPERLINK("https://rhld.insurance.arkansas.gov/NPILookup?Npi=1366705121","1366705121")</f>
        <v>1366705121</v>
      </c>
      <c r="E11825" t="s">
        <v>15047</v>
      </c>
    </row>
    <row r="11826" spans="1:5" x14ac:dyDescent="0.25">
      <c r="A11826" t="s">
        <v>2</v>
      </c>
      <c r="B11826" t="s">
        <v>3458</v>
      </c>
      <c r="C11826" t="s">
        <v>23490</v>
      </c>
      <c r="D11826" t="str">
        <f>HYPERLINK("https://rhld.insurance.arkansas.gov/NPILookup?Npi=1366714107","1366714107")</f>
        <v>1366714107</v>
      </c>
      <c r="E11826" t="s">
        <v>1311</v>
      </c>
    </row>
    <row r="11827" spans="1:5" x14ac:dyDescent="0.25">
      <c r="A11827" t="s">
        <v>2</v>
      </c>
      <c r="B11827" t="s">
        <v>3458</v>
      </c>
      <c r="C11827" t="s">
        <v>23490</v>
      </c>
      <c r="D11827" t="str">
        <f>HYPERLINK("https://rhld.insurance.arkansas.gov/NPILookup?Npi=1366717316","1366717316")</f>
        <v>1366717316</v>
      </c>
      <c r="E11827" t="s">
        <v>1312</v>
      </c>
    </row>
    <row r="11828" spans="1:5" x14ac:dyDescent="0.25">
      <c r="A11828" t="s">
        <v>2</v>
      </c>
      <c r="B11828" t="s">
        <v>3458</v>
      </c>
      <c r="C11828" t="s">
        <v>23490</v>
      </c>
      <c r="D11828" t="str">
        <f>HYPERLINK("https://rhld.insurance.arkansas.gov/NPILookup?Npi=1366741746","1366741746")</f>
        <v>1366741746</v>
      </c>
      <c r="E11828" t="s">
        <v>1313</v>
      </c>
    </row>
    <row r="11829" spans="1:5" x14ac:dyDescent="0.25">
      <c r="A11829" t="s">
        <v>2</v>
      </c>
      <c r="B11829" t="s">
        <v>3458</v>
      </c>
      <c r="C11829" t="s">
        <v>23490</v>
      </c>
      <c r="D11829" t="str">
        <f>HYPERLINK("https://rhld.insurance.arkansas.gov/NPILookup?Npi=1366760225","1366760225")</f>
        <v>1366760225</v>
      </c>
      <c r="E11829" t="s">
        <v>10868</v>
      </c>
    </row>
    <row r="11830" spans="1:5" x14ac:dyDescent="0.25">
      <c r="A11830" t="s">
        <v>2</v>
      </c>
      <c r="B11830" t="s">
        <v>3458</v>
      </c>
      <c r="C11830" t="s">
        <v>23490</v>
      </c>
      <c r="D11830" t="str">
        <f>HYPERLINK("https://rhld.insurance.arkansas.gov/NPILookup?Npi=1366760993","1366760993")</f>
        <v>1366760993</v>
      </c>
      <c r="E11830" t="s">
        <v>1315</v>
      </c>
    </row>
    <row r="11831" spans="1:5" x14ac:dyDescent="0.25">
      <c r="A11831" t="s">
        <v>2</v>
      </c>
      <c r="B11831" t="s">
        <v>3458</v>
      </c>
      <c r="C11831" t="s">
        <v>23490</v>
      </c>
      <c r="D11831" t="str">
        <f>HYPERLINK("https://rhld.insurance.arkansas.gov/NPILookup?Npi=1366763435","1366763435")</f>
        <v>1366763435</v>
      </c>
      <c r="E11831" t="s">
        <v>1316</v>
      </c>
    </row>
    <row r="11832" spans="1:5" x14ac:dyDescent="0.25">
      <c r="A11832" t="s">
        <v>2</v>
      </c>
      <c r="B11832" t="s">
        <v>3458</v>
      </c>
      <c r="C11832" t="s">
        <v>23490</v>
      </c>
      <c r="D11832" t="str">
        <f>HYPERLINK("https://rhld.insurance.arkansas.gov/NPILookup?Npi=1366767972","1366767972")</f>
        <v>1366767972</v>
      </c>
      <c r="E11832" t="s">
        <v>3688</v>
      </c>
    </row>
    <row r="11833" spans="1:5" x14ac:dyDescent="0.25">
      <c r="A11833" t="s">
        <v>2</v>
      </c>
      <c r="B11833" t="s">
        <v>3458</v>
      </c>
      <c r="C11833" t="s">
        <v>23490</v>
      </c>
      <c r="D11833" t="str">
        <f>HYPERLINK("https://rhld.insurance.arkansas.gov/NPILookup?Npi=1366782799","1366782799")</f>
        <v>1366782799</v>
      </c>
      <c r="E11833" t="s">
        <v>3689</v>
      </c>
    </row>
    <row r="11834" spans="1:5" x14ac:dyDescent="0.25">
      <c r="A11834" t="s">
        <v>2</v>
      </c>
      <c r="B11834" t="s">
        <v>3458</v>
      </c>
      <c r="C11834" t="s">
        <v>23490</v>
      </c>
      <c r="D11834" t="str">
        <f>HYPERLINK("https://rhld.insurance.arkansas.gov/NPILookup?Npi=1366785222","1366785222")</f>
        <v>1366785222</v>
      </c>
      <c r="E11834" t="s">
        <v>13845</v>
      </c>
    </row>
    <row r="11835" spans="1:5" x14ac:dyDescent="0.25">
      <c r="A11835" t="s">
        <v>2</v>
      </c>
      <c r="B11835" t="s">
        <v>3458</v>
      </c>
      <c r="C11835" t="s">
        <v>23490</v>
      </c>
      <c r="D11835" t="str">
        <f>HYPERLINK("https://rhld.insurance.arkansas.gov/NPILookup?Npi=1366785677","1366785677")</f>
        <v>1366785677</v>
      </c>
      <c r="E11835" t="s">
        <v>10870</v>
      </c>
    </row>
    <row r="11836" spans="1:5" x14ac:dyDescent="0.25">
      <c r="A11836" t="s">
        <v>2</v>
      </c>
      <c r="B11836" t="s">
        <v>3458</v>
      </c>
      <c r="C11836" t="s">
        <v>23490</v>
      </c>
      <c r="D11836" t="str">
        <f>HYPERLINK("https://rhld.insurance.arkansas.gov/NPILookup?Npi=1366801870","1366801870")</f>
        <v>1366801870</v>
      </c>
      <c r="E11836" t="s">
        <v>8640</v>
      </c>
    </row>
    <row r="11837" spans="1:5" x14ac:dyDescent="0.25">
      <c r="A11837" t="s">
        <v>2</v>
      </c>
      <c r="B11837" t="s">
        <v>3458</v>
      </c>
      <c r="C11837" t="s">
        <v>23490</v>
      </c>
      <c r="D11837" t="str">
        <f>HYPERLINK("https://rhld.insurance.arkansas.gov/NPILookup?Npi=1366801995","1366801995")</f>
        <v>1366801995</v>
      </c>
      <c r="E11837" t="s">
        <v>8641</v>
      </c>
    </row>
    <row r="11838" spans="1:5" x14ac:dyDescent="0.25">
      <c r="A11838" t="s">
        <v>2</v>
      </c>
      <c r="B11838" t="s">
        <v>3458</v>
      </c>
      <c r="C11838" t="s">
        <v>23490</v>
      </c>
      <c r="D11838" t="str">
        <f>HYPERLINK("https://rhld.insurance.arkansas.gov/NPILookup?Npi=1366806259","1366806259")</f>
        <v>1366806259</v>
      </c>
      <c r="E11838" t="s">
        <v>18759</v>
      </c>
    </row>
    <row r="11839" spans="1:5" x14ac:dyDescent="0.25">
      <c r="A11839" t="s">
        <v>2</v>
      </c>
      <c r="B11839" t="s">
        <v>3458</v>
      </c>
      <c r="C11839" t="s">
        <v>23490</v>
      </c>
      <c r="D11839" t="str">
        <f>HYPERLINK("https://rhld.insurance.arkansas.gov/NPILookup?Npi=1366816670","1366816670")</f>
        <v>1366816670</v>
      </c>
      <c r="E11839" t="s">
        <v>8642</v>
      </c>
    </row>
    <row r="11840" spans="1:5" x14ac:dyDescent="0.25">
      <c r="A11840" t="s">
        <v>2</v>
      </c>
      <c r="B11840" t="s">
        <v>3458</v>
      </c>
      <c r="C11840" t="s">
        <v>23490</v>
      </c>
      <c r="D11840" t="str">
        <f>HYPERLINK("https://rhld.insurance.arkansas.gov/NPILookup?Npi=1366826588","1366826588")</f>
        <v>1366826588</v>
      </c>
      <c r="E11840" t="s">
        <v>19661</v>
      </c>
    </row>
    <row r="11841" spans="1:5" x14ac:dyDescent="0.25">
      <c r="A11841" t="s">
        <v>2</v>
      </c>
      <c r="B11841" t="s">
        <v>3458</v>
      </c>
      <c r="C11841" t="s">
        <v>23490</v>
      </c>
      <c r="D11841" t="str">
        <f>HYPERLINK("https://rhld.insurance.arkansas.gov/NPILookup?Npi=1366828378","1366828378")</f>
        <v>1366828378</v>
      </c>
      <c r="E11841" t="s">
        <v>12829</v>
      </c>
    </row>
    <row r="11842" spans="1:5" x14ac:dyDescent="0.25">
      <c r="A11842" t="s">
        <v>2</v>
      </c>
      <c r="B11842" t="s">
        <v>3458</v>
      </c>
      <c r="C11842" t="s">
        <v>23490</v>
      </c>
      <c r="D11842" t="str">
        <f>HYPERLINK("https://rhld.insurance.arkansas.gov/NPILookup?Npi=1366833709","1366833709")</f>
        <v>1366833709</v>
      </c>
      <c r="E11842" t="s">
        <v>1318</v>
      </c>
    </row>
    <row r="11843" spans="1:5" x14ac:dyDescent="0.25">
      <c r="A11843" t="s">
        <v>2</v>
      </c>
      <c r="B11843" t="s">
        <v>3458</v>
      </c>
      <c r="C11843" t="s">
        <v>23490</v>
      </c>
      <c r="D11843" t="str">
        <f>HYPERLINK("https://rhld.insurance.arkansas.gov/NPILookup?Npi=1366839136","1366839136")</f>
        <v>1366839136</v>
      </c>
      <c r="E11843" t="s">
        <v>15846</v>
      </c>
    </row>
    <row r="11844" spans="1:5" x14ac:dyDescent="0.25">
      <c r="A11844" t="s">
        <v>2</v>
      </c>
      <c r="B11844" t="s">
        <v>3458</v>
      </c>
      <c r="C11844" t="s">
        <v>23490</v>
      </c>
      <c r="D11844" t="str">
        <f>HYPERLINK("https://rhld.insurance.arkansas.gov/NPILookup?Npi=1366848533","1366848533")</f>
        <v>1366848533</v>
      </c>
      <c r="E11844" t="s">
        <v>1320</v>
      </c>
    </row>
    <row r="11845" spans="1:5" x14ac:dyDescent="0.25">
      <c r="A11845" t="s">
        <v>2</v>
      </c>
      <c r="B11845" t="s">
        <v>3458</v>
      </c>
      <c r="C11845" t="s">
        <v>23490</v>
      </c>
      <c r="D11845" t="str">
        <f>HYPERLINK("https://rhld.insurance.arkansas.gov/NPILookup?Npi=1366861924","1366861924")</f>
        <v>1366861924</v>
      </c>
      <c r="E11845" t="s">
        <v>1321</v>
      </c>
    </row>
    <row r="11846" spans="1:5" x14ac:dyDescent="0.25">
      <c r="A11846" t="s">
        <v>2</v>
      </c>
      <c r="B11846" t="s">
        <v>3458</v>
      </c>
      <c r="C11846" t="s">
        <v>23490</v>
      </c>
      <c r="D11846" t="str">
        <f>HYPERLINK("https://rhld.insurance.arkansas.gov/NPILookup?Npi=1366873887","1366873887")</f>
        <v>1366873887</v>
      </c>
      <c r="E11846" t="s">
        <v>1323</v>
      </c>
    </row>
    <row r="11847" spans="1:5" x14ac:dyDescent="0.25">
      <c r="A11847" t="s">
        <v>2</v>
      </c>
      <c r="B11847" t="s">
        <v>3458</v>
      </c>
      <c r="C11847" t="s">
        <v>23490</v>
      </c>
      <c r="D11847" t="str">
        <f>HYPERLINK("https://rhld.insurance.arkansas.gov/NPILookup?Npi=1366888901","1366888901")</f>
        <v>1366888901</v>
      </c>
      <c r="E11847" t="s">
        <v>13503</v>
      </c>
    </row>
    <row r="11848" spans="1:5" x14ac:dyDescent="0.25">
      <c r="A11848" t="s">
        <v>2</v>
      </c>
      <c r="B11848" t="s">
        <v>3458</v>
      </c>
      <c r="C11848" t="s">
        <v>23490</v>
      </c>
      <c r="D11848" t="str">
        <f>HYPERLINK("https://rhld.insurance.arkansas.gov/NPILookup?Npi=1366921280","1366921280")</f>
        <v>1366921280</v>
      </c>
      <c r="E11848" t="s">
        <v>19664</v>
      </c>
    </row>
    <row r="11849" spans="1:5" x14ac:dyDescent="0.25">
      <c r="A11849" t="s">
        <v>2</v>
      </c>
      <c r="B11849" t="s">
        <v>3458</v>
      </c>
      <c r="C11849" t="s">
        <v>23490</v>
      </c>
      <c r="D11849" t="str">
        <f>HYPERLINK("https://rhld.insurance.arkansas.gov/NPILookup?Npi=1366938102","1366938102")</f>
        <v>1366938102</v>
      </c>
      <c r="E11849" t="s">
        <v>15847</v>
      </c>
    </row>
    <row r="11850" spans="1:5" x14ac:dyDescent="0.25">
      <c r="A11850" t="s">
        <v>2</v>
      </c>
      <c r="B11850" t="s">
        <v>3458</v>
      </c>
      <c r="C11850" t="s">
        <v>23490</v>
      </c>
      <c r="D11850" t="str">
        <f>HYPERLINK("https://rhld.insurance.arkansas.gov/NPILookup?Npi=1366944514","1366944514")</f>
        <v>1366944514</v>
      </c>
      <c r="E11850" t="s">
        <v>17422</v>
      </c>
    </row>
    <row r="11851" spans="1:5" x14ac:dyDescent="0.25">
      <c r="A11851" t="s">
        <v>2</v>
      </c>
      <c r="B11851" t="s">
        <v>3458</v>
      </c>
      <c r="C11851" t="s">
        <v>23490</v>
      </c>
      <c r="D11851" t="str">
        <f>HYPERLINK("https://rhld.insurance.arkansas.gov/NPILookup?Npi=1366962748","1366962748")</f>
        <v>1366962748</v>
      </c>
      <c r="E11851" t="s">
        <v>10871</v>
      </c>
    </row>
    <row r="11852" spans="1:5" x14ac:dyDescent="0.25">
      <c r="A11852" t="s">
        <v>2</v>
      </c>
      <c r="B11852" t="s">
        <v>3458</v>
      </c>
      <c r="C11852" t="s">
        <v>23490</v>
      </c>
      <c r="D11852" t="str">
        <f>HYPERLINK("https://rhld.insurance.arkansas.gov/NPILookup?Npi=1366965519","1366965519")</f>
        <v>1366965519</v>
      </c>
      <c r="E11852" t="s">
        <v>19665</v>
      </c>
    </row>
    <row r="11853" spans="1:5" x14ac:dyDescent="0.25">
      <c r="A11853" t="s">
        <v>2</v>
      </c>
      <c r="B11853" t="s">
        <v>3458</v>
      </c>
      <c r="C11853" t="s">
        <v>23490</v>
      </c>
      <c r="D11853" t="str">
        <f>HYPERLINK("https://rhld.insurance.arkansas.gov/NPILookup?Npi=1366984239","1366984239")</f>
        <v>1366984239</v>
      </c>
      <c r="E11853" t="s">
        <v>21531</v>
      </c>
    </row>
    <row r="11854" spans="1:5" x14ac:dyDescent="0.25">
      <c r="A11854" t="s">
        <v>2</v>
      </c>
      <c r="B11854" t="s">
        <v>3458</v>
      </c>
      <c r="C11854" t="s">
        <v>23490</v>
      </c>
      <c r="D11854" t="str">
        <f>HYPERLINK("https://rhld.insurance.arkansas.gov/NPILookup?Npi=1366992083","1366992083")</f>
        <v>1366992083</v>
      </c>
      <c r="E11854" t="s">
        <v>15048</v>
      </c>
    </row>
    <row r="11855" spans="1:5" x14ac:dyDescent="0.25">
      <c r="A11855" t="s">
        <v>2</v>
      </c>
      <c r="B11855" t="s">
        <v>3458</v>
      </c>
      <c r="C11855" t="s">
        <v>23490</v>
      </c>
      <c r="D11855" t="str">
        <f>HYPERLINK("https://rhld.insurance.arkansas.gov/NPILookup?Npi=1376006585","1376006585")</f>
        <v>1376006585</v>
      </c>
      <c r="E11855" t="s">
        <v>19667</v>
      </c>
    </row>
    <row r="11856" spans="1:5" x14ac:dyDescent="0.25">
      <c r="A11856" t="s">
        <v>2</v>
      </c>
      <c r="B11856" t="s">
        <v>3458</v>
      </c>
      <c r="C11856" t="s">
        <v>23490</v>
      </c>
      <c r="D11856" t="str">
        <f>HYPERLINK("https://rhld.insurance.arkansas.gov/NPILookup?Npi=1376007427","1376007427")</f>
        <v>1376007427</v>
      </c>
      <c r="E11856" t="s">
        <v>20933</v>
      </c>
    </row>
    <row r="11857" spans="1:5" x14ac:dyDescent="0.25">
      <c r="A11857" t="s">
        <v>2</v>
      </c>
      <c r="B11857" t="s">
        <v>3458</v>
      </c>
      <c r="C11857" t="s">
        <v>23490</v>
      </c>
      <c r="D11857" t="str">
        <f>HYPERLINK("https://rhld.insurance.arkansas.gov/NPILookup?Npi=1376020420","1376020420")</f>
        <v>1376020420</v>
      </c>
      <c r="E11857" t="s">
        <v>21532</v>
      </c>
    </row>
    <row r="11858" spans="1:5" x14ac:dyDescent="0.25">
      <c r="A11858" t="s">
        <v>2</v>
      </c>
      <c r="B11858" t="s">
        <v>3458</v>
      </c>
      <c r="C11858" t="s">
        <v>23490</v>
      </c>
      <c r="D11858" t="str">
        <f>HYPERLINK("https://rhld.insurance.arkansas.gov/NPILookup?Npi=1376020917","1376020917")</f>
        <v>1376020917</v>
      </c>
      <c r="E11858" t="s">
        <v>13505</v>
      </c>
    </row>
    <row r="11859" spans="1:5" x14ac:dyDescent="0.25">
      <c r="A11859" t="s">
        <v>2</v>
      </c>
      <c r="B11859" t="s">
        <v>3458</v>
      </c>
      <c r="C11859" t="s">
        <v>23490</v>
      </c>
      <c r="D11859" t="str">
        <f>HYPERLINK("https://rhld.insurance.arkansas.gov/NPILookup?Npi=1376036558","1376036558")</f>
        <v>1376036558</v>
      </c>
      <c r="E11859" t="s">
        <v>18760</v>
      </c>
    </row>
    <row r="11860" spans="1:5" x14ac:dyDescent="0.25">
      <c r="A11860" t="s">
        <v>2</v>
      </c>
      <c r="B11860" t="s">
        <v>3458</v>
      </c>
      <c r="C11860" t="s">
        <v>23490</v>
      </c>
      <c r="D11860" t="str">
        <f>HYPERLINK("https://rhld.insurance.arkansas.gov/NPILookup?Npi=1376042168","1376042168")</f>
        <v>1376042168</v>
      </c>
      <c r="E11860" t="s">
        <v>12830</v>
      </c>
    </row>
    <row r="11861" spans="1:5" x14ac:dyDescent="0.25">
      <c r="A11861" t="s">
        <v>2</v>
      </c>
      <c r="B11861" t="s">
        <v>3458</v>
      </c>
      <c r="C11861" t="s">
        <v>23490</v>
      </c>
      <c r="D11861" t="str">
        <f>HYPERLINK("https://rhld.insurance.arkansas.gov/NPILookup?Npi=1376070391","1376070391")</f>
        <v>1376070391</v>
      </c>
      <c r="E11861" t="s">
        <v>13507</v>
      </c>
    </row>
    <row r="11862" spans="1:5" x14ac:dyDescent="0.25">
      <c r="A11862" t="s">
        <v>2</v>
      </c>
      <c r="B11862" t="s">
        <v>3458</v>
      </c>
      <c r="C11862" t="s">
        <v>23490</v>
      </c>
      <c r="D11862" t="str">
        <f>HYPERLINK("https://rhld.insurance.arkansas.gov/NPILookup?Npi=1376077164","1376077164")</f>
        <v>1376077164</v>
      </c>
      <c r="E11862" t="s">
        <v>17968</v>
      </c>
    </row>
    <row r="11863" spans="1:5" x14ac:dyDescent="0.25">
      <c r="A11863" t="s">
        <v>2</v>
      </c>
      <c r="B11863" t="s">
        <v>3458</v>
      </c>
      <c r="C11863" t="s">
        <v>23490</v>
      </c>
      <c r="D11863" t="str">
        <f>HYPERLINK("https://rhld.insurance.arkansas.gov/NPILookup?Npi=1376092635","1376092635")</f>
        <v>1376092635</v>
      </c>
      <c r="E11863" t="s">
        <v>13508</v>
      </c>
    </row>
    <row r="11864" spans="1:5" x14ac:dyDescent="0.25">
      <c r="A11864" t="s">
        <v>2</v>
      </c>
      <c r="B11864" t="s">
        <v>3458</v>
      </c>
      <c r="C11864" t="s">
        <v>23490</v>
      </c>
      <c r="D11864" t="str">
        <f>HYPERLINK("https://rhld.insurance.arkansas.gov/NPILookup?Npi=1376111500","1376111500")</f>
        <v>1376111500</v>
      </c>
      <c r="E11864" t="s">
        <v>21533</v>
      </c>
    </row>
    <row r="11865" spans="1:5" x14ac:dyDescent="0.25">
      <c r="A11865" t="s">
        <v>2</v>
      </c>
      <c r="B11865" t="s">
        <v>3458</v>
      </c>
      <c r="C11865" t="s">
        <v>23490</v>
      </c>
      <c r="D11865" t="str">
        <f>HYPERLINK("https://rhld.insurance.arkansas.gov/NPILookup?Npi=1376134668","1376134668")</f>
        <v>1376134668</v>
      </c>
      <c r="E11865" t="s">
        <v>17969</v>
      </c>
    </row>
    <row r="11866" spans="1:5" x14ac:dyDescent="0.25">
      <c r="A11866" t="s">
        <v>2</v>
      </c>
      <c r="B11866" t="s">
        <v>3458</v>
      </c>
      <c r="C11866" t="s">
        <v>23490</v>
      </c>
      <c r="D11866" t="str">
        <f>HYPERLINK("https://rhld.insurance.arkansas.gov/NPILookup?Npi=1376136176","1376136176")</f>
        <v>1376136176</v>
      </c>
      <c r="E11866" t="s">
        <v>18761</v>
      </c>
    </row>
    <row r="11867" spans="1:5" x14ac:dyDescent="0.25">
      <c r="A11867" t="s">
        <v>2</v>
      </c>
      <c r="B11867" t="s">
        <v>3458</v>
      </c>
      <c r="C11867" t="s">
        <v>23490</v>
      </c>
      <c r="D11867" t="str">
        <f>HYPERLINK("https://rhld.insurance.arkansas.gov/NPILookup?Npi=1376153544","1376153544")</f>
        <v>1376153544</v>
      </c>
      <c r="E11867" t="s">
        <v>19670</v>
      </c>
    </row>
    <row r="11868" spans="1:5" x14ac:dyDescent="0.25">
      <c r="A11868" t="s">
        <v>2</v>
      </c>
      <c r="B11868" t="s">
        <v>3458</v>
      </c>
      <c r="C11868" t="s">
        <v>23490</v>
      </c>
      <c r="D11868" t="str">
        <f>HYPERLINK("https://rhld.insurance.arkansas.gov/NPILookup?Npi=1376205419","1376205419")</f>
        <v>1376205419</v>
      </c>
      <c r="E11868" t="s">
        <v>19672</v>
      </c>
    </row>
    <row r="11869" spans="1:5" x14ac:dyDescent="0.25">
      <c r="A11869" t="s">
        <v>2</v>
      </c>
      <c r="B11869" t="s">
        <v>3458</v>
      </c>
      <c r="C11869" t="s">
        <v>23490</v>
      </c>
      <c r="D11869" t="str">
        <f>HYPERLINK("https://rhld.insurance.arkansas.gov/NPILookup?Npi=1376218693","1376218693")</f>
        <v>1376218693</v>
      </c>
      <c r="E11869" t="s">
        <v>18762</v>
      </c>
    </row>
    <row r="11870" spans="1:5" x14ac:dyDescent="0.25">
      <c r="A11870" t="s">
        <v>2</v>
      </c>
      <c r="B11870" t="s">
        <v>3458</v>
      </c>
      <c r="C11870" t="s">
        <v>23490</v>
      </c>
      <c r="D11870" t="str">
        <f>HYPERLINK("https://rhld.insurance.arkansas.gov/NPILookup?Npi=1376285577","1376285577")</f>
        <v>1376285577</v>
      </c>
      <c r="E11870" t="s">
        <v>19673</v>
      </c>
    </row>
    <row r="11871" spans="1:5" x14ac:dyDescent="0.25">
      <c r="A11871" t="s">
        <v>2</v>
      </c>
      <c r="B11871" t="s">
        <v>3458</v>
      </c>
      <c r="C11871" t="s">
        <v>23490</v>
      </c>
      <c r="D11871" t="str">
        <f>HYPERLINK("https://rhld.insurance.arkansas.gov/NPILookup?Npi=1376502690","1376502690")</f>
        <v>1376502690</v>
      </c>
      <c r="E11871" t="s">
        <v>1324</v>
      </c>
    </row>
    <row r="11872" spans="1:5" x14ac:dyDescent="0.25">
      <c r="A11872" t="s">
        <v>2</v>
      </c>
      <c r="B11872" t="s">
        <v>3458</v>
      </c>
      <c r="C11872" t="s">
        <v>23490</v>
      </c>
      <c r="D11872" t="str">
        <f>HYPERLINK("https://rhld.insurance.arkansas.gov/NPILookup?Npi=1376506881","1376506881")</f>
        <v>1376506881</v>
      </c>
      <c r="E11872" t="s">
        <v>1325</v>
      </c>
    </row>
    <row r="11873" spans="1:5" x14ac:dyDescent="0.25">
      <c r="A11873" t="s">
        <v>2</v>
      </c>
      <c r="B11873" t="s">
        <v>3458</v>
      </c>
      <c r="C11873" t="s">
        <v>23490</v>
      </c>
      <c r="D11873" t="str">
        <f>HYPERLINK("https://rhld.insurance.arkansas.gov/NPILookup?Npi=1376523316","1376523316")</f>
        <v>1376523316</v>
      </c>
      <c r="E11873" t="s">
        <v>1327</v>
      </c>
    </row>
    <row r="11874" spans="1:5" x14ac:dyDescent="0.25">
      <c r="A11874" t="s">
        <v>2</v>
      </c>
      <c r="B11874" t="s">
        <v>3458</v>
      </c>
      <c r="C11874" t="s">
        <v>23490</v>
      </c>
      <c r="D11874" t="str">
        <f>HYPERLINK("https://rhld.insurance.arkansas.gov/NPILookup?Npi=1376526889","1376526889")</f>
        <v>1376526889</v>
      </c>
      <c r="E11874" t="s">
        <v>1328</v>
      </c>
    </row>
    <row r="11875" spans="1:5" x14ac:dyDescent="0.25">
      <c r="A11875" t="s">
        <v>2</v>
      </c>
      <c r="B11875" t="s">
        <v>3458</v>
      </c>
      <c r="C11875" t="s">
        <v>23490</v>
      </c>
      <c r="D11875" t="str">
        <f>HYPERLINK("https://rhld.insurance.arkansas.gov/NPILookup?Npi=1376538090","1376538090")</f>
        <v>1376538090</v>
      </c>
      <c r="E11875" t="s">
        <v>1329</v>
      </c>
    </row>
    <row r="11876" spans="1:5" x14ac:dyDescent="0.25">
      <c r="A11876" t="s">
        <v>2</v>
      </c>
      <c r="B11876" t="s">
        <v>3458</v>
      </c>
      <c r="C11876" t="s">
        <v>23490</v>
      </c>
      <c r="D11876" t="str">
        <f>HYPERLINK("https://rhld.insurance.arkansas.gov/NPILookup?Npi=1376538561","1376538561")</f>
        <v>1376538561</v>
      </c>
      <c r="E11876" t="s">
        <v>8643</v>
      </c>
    </row>
    <row r="11877" spans="1:5" x14ac:dyDescent="0.25">
      <c r="A11877" t="s">
        <v>2</v>
      </c>
      <c r="B11877" t="s">
        <v>3458</v>
      </c>
      <c r="C11877" t="s">
        <v>23490</v>
      </c>
      <c r="D11877" t="str">
        <f>HYPERLINK("https://rhld.insurance.arkansas.gov/NPILookup?Npi=1376540229","1376540229")</f>
        <v>1376540229</v>
      </c>
      <c r="E11877" t="s">
        <v>15049</v>
      </c>
    </row>
    <row r="11878" spans="1:5" x14ac:dyDescent="0.25">
      <c r="A11878" t="s">
        <v>2</v>
      </c>
      <c r="B11878" t="s">
        <v>3458</v>
      </c>
      <c r="C11878" t="s">
        <v>23490</v>
      </c>
      <c r="D11878" t="str">
        <f>HYPERLINK("https://rhld.insurance.arkansas.gov/NPILookup?Npi=1376542290","1376542290")</f>
        <v>1376542290</v>
      </c>
      <c r="E11878" t="s">
        <v>10874</v>
      </c>
    </row>
    <row r="11879" spans="1:5" x14ac:dyDescent="0.25">
      <c r="A11879" t="s">
        <v>2</v>
      </c>
      <c r="B11879" t="s">
        <v>3458</v>
      </c>
      <c r="C11879" t="s">
        <v>23490</v>
      </c>
      <c r="D11879" t="str">
        <f>HYPERLINK("https://rhld.insurance.arkansas.gov/NPILookup?Npi=1376545103","1376545103")</f>
        <v>1376545103</v>
      </c>
      <c r="E11879" t="s">
        <v>1330</v>
      </c>
    </row>
    <row r="11880" spans="1:5" x14ac:dyDescent="0.25">
      <c r="A11880" t="s">
        <v>2</v>
      </c>
      <c r="B11880" t="s">
        <v>3458</v>
      </c>
      <c r="C11880" t="s">
        <v>23490</v>
      </c>
      <c r="D11880" t="str">
        <f>HYPERLINK("https://rhld.insurance.arkansas.gov/NPILookup?Npi=1376552943","1376552943")</f>
        <v>1376552943</v>
      </c>
      <c r="E11880" t="s">
        <v>3690</v>
      </c>
    </row>
    <row r="11881" spans="1:5" x14ac:dyDescent="0.25">
      <c r="A11881" t="s">
        <v>2</v>
      </c>
      <c r="B11881" t="s">
        <v>3458</v>
      </c>
      <c r="C11881" t="s">
        <v>23490</v>
      </c>
      <c r="D11881" t="str">
        <f>HYPERLINK("https://rhld.insurance.arkansas.gov/NPILookup?Npi=1376561647","1376561647")</f>
        <v>1376561647</v>
      </c>
      <c r="E11881" t="s">
        <v>8644</v>
      </c>
    </row>
    <row r="11882" spans="1:5" x14ac:dyDescent="0.25">
      <c r="A11882" t="s">
        <v>2</v>
      </c>
      <c r="B11882" t="s">
        <v>3458</v>
      </c>
      <c r="C11882" t="s">
        <v>23490</v>
      </c>
      <c r="D11882" t="str">
        <f>HYPERLINK("https://rhld.insurance.arkansas.gov/NPILookup?Npi=1376564799","1376564799")</f>
        <v>1376564799</v>
      </c>
      <c r="E11882" t="s">
        <v>15050</v>
      </c>
    </row>
    <row r="11883" spans="1:5" x14ac:dyDescent="0.25">
      <c r="A11883" t="s">
        <v>2</v>
      </c>
      <c r="B11883" t="s">
        <v>3458</v>
      </c>
      <c r="C11883" t="s">
        <v>23490</v>
      </c>
      <c r="D11883" t="str">
        <f>HYPERLINK("https://rhld.insurance.arkansas.gov/NPILookup?Npi=1376566182","1376566182")</f>
        <v>1376566182</v>
      </c>
      <c r="E11883" t="s">
        <v>1331</v>
      </c>
    </row>
    <row r="11884" spans="1:5" x14ac:dyDescent="0.25">
      <c r="A11884" t="s">
        <v>2</v>
      </c>
      <c r="B11884" t="s">
        <v>3458</v>
      </c>
      <c r="C11884" t="s">
        <v>23490</v>
      </c>
      <c r="D11884" t="str">
        <f>HYPERLINK("https://rhld.insurance.arkansas.gov/NPILookup?Npi=1376568204","1376568204")</f>
        <v>1376568204</v>
      </c>
      <c r="E11884" t="s">
        <v>1332</v>
      </c>
    </row>
    <row r="11885" spans="1:5" x14ac:dyDescent="0.25">
      <c r="A11885" t="s">
        <v>2</v>
      </c>
      <c r="B11885" t="s">
        <v>3458</v>
      </c>
      <c r="C11885" t="s">
        <v>23490</v>
      </c>
      <c r="D11885" t="str">
        <f>HYPERLINK("https://rhld.insurance.arkansas.gov/NPILookup?Npi=1376572800","1376572800")</f>
        <v>1376572800</v>
      </c>
      <c r="E11885" t="s">
        <v>1333</v>
      </c>
    </row>
    <row r="11886" spans="1:5" x14ac:dyDescent="0.25">
      <c r="A11886" t="s">
        <v>2</v>
      </c>
      <c r="B11886" t="s">
        <v>3458</v>
      </c>
      <c r="C11886" t="s">
        <v>23490</v>
      </c>
      <c r="D11886" t="str">
        <f>HYPERLINK("https://rhld.insurance.arkansas.gov/NPILookup?Npi=1376589754","1376589754")</f>
        <v>1376589754</v>
      </c>
      <c r="E11886" t="s">
        <v>1336</v>
      </c>
    </row>
    <row r="11887" spans="1:5" x14ac:dyDescent="0.25">
      <c r="A11887" t="s">
        <v>2</v>
      </c>
      <c r="B11887" t="s">
        <v>3458</v>
      </c>
      <c r="C11887" t="s">
        <v>23490</v>
      </c>
      <c r="D11887" t="str">
        <f>HYPERLINK("https://rhld.insurance.arkansas.gov/NPILookup?Npi=1376589804","1376589804")</f>
        <v>1376589804</v>
      </c>
      <c r="E11887" t="s">
        <v>17970</v>
      </c>
    </row>
    <row r="11888" spans="1:5" x14ac:dyDescent="0.25">
      <c r="A11888" t="s">
        <v>2</v>
      </c>
      <c r="B11888" t="s">
        <v>3458</v>
      </c>
      <c r="C11888" t="s">
        <v>23490</v>
      </c>
      <c r="D11888" t="str">
        <f>HYPERLINK("https://rhld.insurance.arkansas.gov/NPILookup?Npi=1376591305","1376591305")</f>
        <v>1376591305</v>
      </c>
      <c r="E11888" t="s">
        <v>1337</v>
      </c>
    </row>
    <row r="11889" spans="1:5" x14ac:dyDescent="0.25">
      <c r="A11889" t="s">
        <v>2</v>
      </c>
      <c r="B11889" t="s">
        <v>3458</v>
      </c>
      <c r="C11889" t="s">
        <v>23490</v>
      </c>
      <c r="D11889" t="str">
        <f>HYPERLINK("https://rhld.insurance.arkansas.gov/NPILookup?Npi=1376594051","1376594051")</f>
        <v>1376594051</v>
      </c>
      <c r="E11889" t="s">
        <v>1887</v>
      </c>
    </row>
    <row r="11890" spans="1:5" x14ac:dyDescent="0.25">
      <c r="A11890" t="s">
        <v>2</v>
      </c>
      <c r="B11890" t="s">
        <v>3458</v>
      </c>
      <c r="C11890" t="s">
        <v>23490</v>
      </c>
      <c r="D11890" t="str">
        <f>HYPERLINK("https://rhld.insurance.arkansas.gov/NPILookup?Npi=1376596338","1376596338")</f>
        <v>1376596338</v>
      </c>
      <c r="E11890" t="s">
        <v>1338</v>
      </c>
    </row>
    <row r="11891" spans="1:5" x14ac:dyDescent="0.25">
      <c r="A11891" t="s">
        <v>2</v>
      </c>
      <c r="B11891" t="s">
        <v>3458</v>
      </c>
      <c r="C11891" t="s">
        <v>23490</v>
      </c>
      <c r="D11891" t="str">
        <f>HYPERLINK("https://rhld.insurance.arkansas.gov/NPILookup?Npi=1376601054","1376601054")</f>
        <v>1376601054</v>
      </c>
      <c r="E11891" t="s">
        <v>3691</v>
      </c>
    </row>
    <row r="11892" spans="1:5" x14ac:dyDescent="0.25">
      <c r="A11892" t="s">
        <v>2</v>
      </c>
      <c r="B11892" t="s">
        <v>3458</v>
      </c>
      <c r="C11892" t="s">
        <v>23490</v>
      </c>
      <c r="D11892" t="str">
        <f>HYPERLINK("https://rhld.insurance.arkansas.gov/NPILookup?Npi=1376617274","1376617274")</f>
        <v>1376617274</v>
      </c>
      <c r="E11892" t="s">
        <v>10875</v>
      </c>
    </row>
    <row r="11893" spans="1:5" x14ac:dyDescent="0.25">
      <c r="A11893" t="s">
        <v>2</v>
      </c>
      <c r="B11893" t="s">
        <v>3458</v>
      </c>
      <c r="C11893" t="s">
        <v>23490</v>
      </c>
      <c r="D11893" t="str">
        <f>HYPERLINK("https://rhld.insurance.arkansas.gov/NPILookup?Npi=1376626218","1376626218")</f>
        <v>1376626218</v>
      </c>
      <c r="E11893" t="s">
        <v>1339</v>
      </c>
    </row>
    <row r="11894" spans="1:5" x14ac:dyDescent="0.25">
      <c r="A11894" t="s">
        <v>2</v>
      </c>
      <c r="B11894" t="s">
        <v>3458</v>
      </c>
      <c r="C11894" t="s">
        <v>23490</v>
      </c>
      <c r="D11894" t="str">
        <f>HYPERLINK("https://rhld.insurance.arkansas.gov/NPILookup?Npi=1376631689","1376631689")</f>
        <v>1376631689</v>
      </c>
      <c r="E11894" t="s">
        <v>1340</v>
      </c>
    </row>
    <row r="11895" spans="1:5" x14ac:dyDescent="0.25">
      <c r="A11895" t="s">
        <v>2</v>
      </c>
      <c r="B11895" t="s">
        <v>3458</v>
      </c>
      <c r="C11895" t="s">
        <v>23490</v>
      </c>
      <c r="D11895" t="str">
        <f>HYPERLINK("https://rhld.insurance.arkansas.gov/NPILookup?Npi=1376651919","1376651919")</f>
        <v>1376651919</v>
      </c>
      <c r="E11895" t="s">
        <v>1341</v>
      </c>
    </row>
    <row r="11896" spans="1:5" x14ac:dyDescent="0.25">
      <c r="A11896" t="s">
        <v>2</v>
      </c>
      <c r="B11896" t="s">
        <v>3458</v>
      </c>
      <c r="C11896" t="s">
        <v>23490</v>
      </c>
      <c r="D11896" t="str">
        <f>HYPERLINK("https://rhld.insurance.arkansas.gov/NPILookup?Npi=1376652412","1376652412")</f>
        <v>1376652412</v>
      </c>
      <c r="E11896" t="s">
        <v>15848</v>
      </c>
    </row>
    <row r="11897" spans="1:5" x14ac:dyDescent="0.25">
      <c r="A11897" t="s">
        <v>2</v>
      </c>
      <c r="B11897" t="s">
        <v>3458</v>
      </c>
      <c r="C11897" t="s">
        <v>23490</v>
      </c>
      <c r="D11897" t="str">
        <f>HYPERLINK("https://rhld.insurance.arkansas.gov/NPILookup?Npi=1376659219","1376659219")</f>
        <v>1376659219</v>
      </c>
      <c r="E11897" t="s">
        <v>1342</v>
      </c>
    </row>
    <row r="11898" spans="1:5" x14ac:dyDescent="0.25">
      <c r="A11898" t="s">
        <v>2</v>
      </c>
      <c r="B11898" t="s">
        <v>3458</v>
      </c>
      <c r="C11898" t="s">
        <v>23490</v>
      </c>
      <c r="D11898" t="str">
        <f>HYPERLINK("https://rhld.insurance.arkansas.gov/NPILookup?Npi=1376692939","1376692939")</f>
        <v>1376692939</v>
      </c>
      <c r="E11898" t="s">
        <v>15051</v>
      </c>
    </row>
    <row r="11899" spans="1:5" x14ac:dyDescent="0.25">
      <c r="A11899" t="s">
        <v>2</v>
      </c>
      <c r="B11899" t="s">
        <v>3458</v>
      </c>
      <c r="C11899" t="s">
        <v>23490</v>
      </c>
      <c r="D11899" t="str">
        <f>HYPERLINK("https://rhld.insurance.arkansas.gov/NPILookup?Npi=1376706614","1376706614")</f>
        <v>1376706614</v>
      </c>
      <c r="E11899" t="s">
        <v>1343</v>
      </c>
    </row>
    <row r="11900" spans="1:5" x14ac:dyDescent="0.25">
      <c r="A11900" t="s">
        <v>2</v>
      </c>
      <c r="B11900" t="s">
        <v>3458</v>
      </c>
      <c r="C11900" t="s">
        <v>23490</v>
      </c>
      <c r="D11900" t="str">
        <f>HYPERLINK("https://rhld.insurance.arkansas.gov/NPILookup?Npi=1376708222","1376708222")</f>
        <v>1376708222</v>
      </c>
      <c r="E11900" t="s">
        <v>1344</v>
      </c>
    </row>
    <row r="11901" spans="1:5" x14ac:dyDescent="0.25">
      <c r="A11901" t="s">
        <v>2</v>
      </c>
      <c r="B11901" t="s">
        <v>3458</v>
      </c>
      <c r="C11901" t="s">
        <v>23490</v>
      </c>
      <c r="D11901" t="str">
        <f>HYPERLINK("https://rhld.insurance.arkansas.gov/NPILookup?Npi=1376710889","1376710889")</f>
        <v>1376710889</v>
      </c>
      <c r="E11901" t="s">
        <v>1345</v>
      </c>
    </row>
    <row r="11902" spans="1:5" x14ac:dyDescent="0.25">
      <c r="A11902" t="s">
        <v>2</v>
      </c>
      <c r="B11902" t="s">
        <v>3458</v>
      </c>
      <c r="C11902" t="s">
        <v>23490</v>
      </c>
      <c r="D11902" t="str">
        <f>HYPERLINK("https://rhld.insurance.arkansas.gov/NPILookup?Npi=1376720904","1376720904")</f>
        <v>1376720904</v>
      </c>
      <c r="E11902" t="s">
        <v>15849</v>
      </c>
    </row>
    <row r="11903" spans="1:5" x14ac:dyDescent="0.25">
      <c r="A11903" t="s">
        <v>2</v>
      </c>
      <c r="B11903" t="s">
        <v>3458</v>
      </c>
      <c r="C11903" t="s">
        <v>23490</v>
      </c>
      <c r="D11903" t="str">
        <f>HYPERLINK("https://rhld.insurance.arkansas.gov/NPILookup?Npi=1376721209","1376721209")</f>
        <v>1376721209</v>
      </c>
      <c r="E11903" t="s">
        <v>15052</v>
      </c>
    </row>
    <row r="11904" spans="1:5" x14ac:dyDescent="0.25">
      <c r="A11904" t="s">
        <v>2</v>
      </c>
      <c r="B11904" t="s">
        <v>3458</v>
      </c>
      <c r="C11904" t="s">
        <v>23490</v>
      </c>
      <c r="D11904" t="str">
        <f>HYPERLINK("https://rhld.insurance.arkansas.gov/NPILookup?Npi=1376741249","1376741249")</f>
        <v>1376741249</v>
      </c>
      <c r="E11904" t="s">
        <v>15850</v>
      </c>
    </row>
    <row r="11905" spans="1:5" x14ac:dyDescent="0.25">
      <c r="A11905" t="s">
        <v>2</v>
      </c>
      <c r="B11905" t="s">
        <v>3458</v>
      </c>
      <c r="C11905" t="s">
        <v>23490</v>
      </c>
      <c r="D11905" t="str">
        <f>HYPERLINK("https://rhld.insurance.arkansas.gov/NPILookup?Npi=1376746305","1376746305")</f>
        <v>1376746305</v>
      </c>
      <c r="E11905" t="s">
        <v>3692</v>
      </c>
    </row>
    <row r="11906" spans="1:5" x14ac:dyDescent="0.25">
      <c r="A11906" t="s">
        <v>2</v>
      </c>
      <c r="B11906" t="s">
        <v>3458</v>
      </c>
      <c r="C11906" t="s">
        <v>23490</v>
      </c>
      <c r="D11906" t="str">
        <f>HYPERLINK("https://rhld.insurance.arkansas.gov/NPILookup?Npi=1376753087","1376753087")</f>
        <v>1376753087</v>
      </c>
      <c r="E11906" t="s">
        <v>10876</v>
      </c>
    </row>
    <row r="11907" spans="1:5" x14ac:dyDescent="0.25">
      <c r="A11907" t="s">
        <v>2</v>
      </c>
      <c r="B11907" t="s">
        <v>3458</v>
      </c>
      <c r="C11907" t="s">
        <v>23490</v>
      </c>
      <c r="D11907" t="str">
        <f>HYPERLINK("https://rhld.insurance.arkansas.gov/NPILookup?Npi=1376758029","1376758029")</f>
        <v>1376758029</v>
      </c>
      <c r="E11907" t="s">
        <v>13846</v>
      </c>
    </row>
    <row r="11908" spans="1:5" x14ac:dyDescent="0.25">
      <c r="A11908" t="s">
        <v>2</v>
      </c>
      <c r="B11908" t="s">
        <v>3458</v>
      </c>
      <c r="C11908" t="s">
        <v>23490</v>
      </c>
      <c r="D11908" t="str">
        <f>HYPERLINK("https://rhld.insurance.arkansas.gov/NPILookup?Npi=1376759068","1376759068")</f>
        <v>1376759068</v>
      </c>
      <c r="E11908" t="s">
        <v>3693</v>
      </c>
    </row>
    <row r="11909" spans="1:5" x14ac:dyDescent="0.25">
      <c r="A11909" t="s">
        <v>2</v>
      </c>
      <c r="B11909" t="s">
        <v>3458</v>
      </c>
      <c r="C11909" t="s">
        <v>23490</v>
      </c>
      <c r="D11909" t="str">
        <f>HYPERLINK("https://rhld.insurance.arkansas.gov/NPILookup?Npi=1376762609","1376762609")</f>
        <v>1376762609</v>
      </c>
      <c r="E11909" t="s">
        <v>8975</v>
      </c>
    </row>
    <row r="11910" spans="1:5" x14ac:dyDescent="0.25">
      <c r="A11910" t="s">
        <v>2</v>
      </c>
      <c r="B11910" t="s">
        <v>3458</v>
      </c>
      <c r="C11910" t="s">
        <v>23490</v>
      </c>
      <c r="D11910" t="str">
        <f>HYPERLINK("https://rhld.insurance.arkansas.gov/NPILookup?Npi=1376767533","1376767533")</f>
        <v>1376767533</v>
      </c>
      <c r="E11910" t="s">
        <v>1348</v>
      </c>
    </row>
    <row r="11911" spans="1:5" x14ac:dyDescent="0.25">
      <c r="A11911" t="s">
        <v>2</v>
      </c>
      <c r="B11911" t="s">
        <v>3458</v>
      </c>
      <c r="C11911" t="s">
        <v>23490</v>
      </c>
      <c r="D11911" t="str">
        <f>HYPERLINK("https://rhld.insurance.arkansas.gov/NPILookup?Npi=1376776047","1376776047")</f>
        <v>1376776047</v>
      </c>
      <c r="E11911" t="s">
        <v>1349</v>
      </c>
    </row>
    <row r="11912" spans="1:5" x14ac:dyDescent="0.25">
      <c r="A11912" t="s">
        <v>2</v>
      </c>
      <c r="B11912" t="s">
        <v>3458</v>
      </c>
      <c r="C11912" t="s">
        <v>23490</v>
      </c>
      <c r="D11912" t="str">
        <f>HYPERLINK("https://rhld.insurance.arkansas.gov/NPILookup?Npi=1376777201","1376777201")</f>
        <v>1376777201</v>
      </c>
      <c r="E11912" t="s">
        <v>15053</v>
      </c>
    </row>
    <row r="11913" spans="1:5" x14ac:dyDescent="0.25">
      <c r="A11913" t="s">
        <v>2</v>
      </c>
      <c r="B11913" t="s">
        <v>3458</v>
      </c>
      <c r="C11913" t="s">
        <v>23490</v>
      </c>
      <c r="D11913" t="str">
        <f>HYPERLINK("https://rhld.insurance.arkansas.gov/NPILookup?Npi=1376785543","1376785543")</f>
        <v>1376785543</v>
      </c>
      <c r="E11913" t="s">
        <v>10877</v>
      </c>
    </row>
    <row r="11914" spans="1:5" x14ac:dyDescent="0.25">
      <c r="A11914" t="s">
        <v>2</v>
      </c>
      <c r="B11914" t="s">
        <v>3458</v>
      </c>
      <c r="C11914" t="s">
        <v>23490</v>
      </c>
      <c r="D11914" t="str">
        <f>HYPERLINK("https://rhld.insurance.arkansas.gov/NPILookup?Npi=1376788117","1376788117")</f>
        <v>1376788117</v>
      </c>
      <c r="E11914" t="s">
        <v>8646</v>
      </c>
    </row>
    <row r="11915" spans="1:5" x14ac:dyDescent="0.25">
      <c r="A11915" t="s">
        <v>2</v>
      </c>
      <c r="B11915" t="s">
        <v>3458</v>
      </c>
      <c r="C11915" t="s">
        <v>23490</v>
      </c>
      <c r="D11915" t="str">
        <f>HYPERLINK("https://rhld.insurance.arkansas.gov/NPILookup?Npi=1376792457","1376792457")</f>
        <v>1376792457</v>
      </c>
      <c r="E11915" t="s">
        <v>1350</v>
      </c>
    </row>
    <row r="11916" spans="1:5" x14ac:dyDescent="0.25">
      <c r="A11916" t="s">
        <v>2</v>
      </c>
      <c r="B11916" t="s">
        <v>3458</v>
      </c>
      <c r="C11916" t="s">
        <v>23490</v>
      </c>
      <c r="D11916" t="str">
        <f>HYPERLINK("https://rhld.insurance.arkansas.gov/NPILookup?Npi=1376801712","1376801712")</f>
        <v>1376801712</v>
      </c>
      <c r="E11916" t="s">
        <v>10878</v>
      </c>
    </row>
    <row r="11917" spans="1:5" x14ac:dyDescent="0.25">
      <c r="A11917" t="s">
        <v>2</v>
      </c>
      <c r="B11917" t="s">
        <v>3458</v>
      </c>
      <c r="C11917" t="s">
        <v>23490</v>
      </c>
      <c r="D11917" t="str">
        <f>HYPERLINK("https://rhld.insurance.arkansas.gov/NPILookup?Npi=1376805911","1376805911")</f>
        <v>1376805911</v>
      </c>
      <c r="E11917" t="s">
        <v>1351</v>
      </c>
    </row>
    <row r="11918" spans="1:5" x14ac:dyDescent="0.25">
      <c r="A11918" t="s">
        <v>2</v>
      </c>
      <c r="B11918" t="s">
        <v>3458</v>
      </c>
      <c r="C11918" t="s">
        <v>23490</v>
      </c>
      <c r="D11918" t="str">
        <f>HYPERLINK("https://rhld.insurance.arkansas.gov/NPILookup?Npi=1376806851","1376806851")</f>
        <v>1376806851</v>
      </c>
      <c r="E11918" t="s">
        <v>8648</v>
      </c>
    </row>
    <row r="11919" spans="1:5" x14ac:dyDescent="0.25">
      <c r="A11919" t="s">
        <v>2</v>
      </c>
      <c r="B11919" t="s">
        <v>3458</v>
      </c>
      <c r="C11919" t="s">
        <v>23490</v>
      </c>
      <c r="D11919" t="str">
        <f>HYPERLINK("https://rhld.insurance.arkansas.gov/NPILookup?Npi=1376822395","1376822395")</f>
        <v>1376822395</v>
      </c>
      <c r="E11919" t="s">
        <v>13510</v>
      </c>
    </row>
    <row r="11920" spans="1:5" x14ac:dyDescent="0.25">
      <c r="A11920" t="s">
        <v>2</v>
      </c>
      <c r="B11920" t="s">
        <v>3458</v>
      </c>
      <c r="C11920" t="s">
        <v>23490</v>
      </c>
      <c r="D11920" t="str">
        <f>HYPERLINK("https://rhld.insurance.arkansas.gov/NPILookup?Npi=1376834994","1376834994")</f>
        <v>1376834994</v>
      </c>
      <c r="E11920" t="s">
        <v>3694</v>
      </c>
    </row>
    <row r="11921" spans="1:5" x14ac:dyDescent="0.25">
      <c r="A11921" t="s">
        <v>2</v>
      </c>
      <c r="B11921" t="s">
        <v>3458</v>
      </c>
      <c r="C11921" t="s">
        <v>23490</v>
      </c>
      <c r="D11921" t="str">
        <f>HYPERLINK("https://rhld.insurance.arkansas.gov/NPILookup?Npi=1376835215","1376835215")</f>
        <v>1376835215</v>
      </c>
      <c r="E11921" t="s">
        <v>8649</v>
      </c>
    </row>
    <row r="11922" spans="1:5" x14ac:dyDescent="0.25">
      <c r="A11922" t="s">
        <v>2</v>
      </c>
      <c r="B11922" t="s">
        <v>3458</v>
      </c>
      <c r="C11922" t="s">
        <v>23490</v>
      </c>
      <c r="D11922" t="str">
        <f>HYPERLINK("https://rhld.insurance.arkansas.gov/NPILookup?Npi=1376841247","1376841247")</f>
        <v>1376841247</v>
      </c>
      <c r="E11922" t="s">
        <v>1352</v>
      </c>
    </row>
    <row r="11923" spans="1:5" x14ac:dyDescent="0.25">
      <c r="A11923" t="s">
        <v>2</v>
      </c>
      <c r="B11923" t="s">
        <v>3458</v>
      </c>
      <c r="C11923" t="s">
        <v>23490</v>
      </c>
      <c r="D11923" t="str">
        <f>HYPERLINK("https://rhld.insurance.arkansas.gov/NPILookup?Npi=1376843458","1376843458")</f>
        <v>1376843458</v>
      </c>
      <c r="E11923" t="s">
        <v>1353</v>
      </c>
    </row>
    <row r="11924" spans="1:5" x14ac:dyDescent="0.25">
      <c r="A11924" t="s">
        <v>2</v>
      </c>
      <c r="B11924" t="s">
        <v>3458</v>
      </c>
      <c r="C11924" t="s">
        <v>23490</v>
      </c>
      <c r="D11924" t="str">
        <f>HYPERLINK("https://rhld.insurance.arkansas.gov/NPILookup?Npi=1376847210","1376847210")</f>
        <v>1376847210</v>
      </c>
      <c r="E11924" t="s">
        <v>8650</v>
      </c>
    </row>
    <row r="11925" spans="1:5" x14ac:dyDescent="0.25">
      <c r="A11925" t="s">
        <v>2</v>
      </c>
      <c r="B11925" t="s">
        <v>3458</v>
      </c>
      <c r="C11925" t="s">
        <v>23490</v>
      </c>
      <c r="D11925" t="str">
        <f>HYPERLINK("https://rhld.insurance.arkansas.gov/NPILookup?Npi=1376878926","1376878926")</f>
        <v>1376878926</v>
      </c>
      <c r="E11925" t="s">
        <v>1354</v>
      </c>
    </row>
    <row r="11926" spans="1:5" x14ac:dyDescent="0.25">
      <c r="A11926" t="s">
        <v>2</v>
      </c>
      <c r="B11926" t="s">
        <v>3458</v>
      </c>
      <c r="C11926" t="s">
        <v>23490</v>
      </c>
      <c r="D11926" t="str">
        <f>HYPERLINK("https://rhld.insurance.arkansas.gov/NPILookup?Npi=1376879866","1376879866")</f>
        <v>1376879866</v>
      </c>
      <c r="E11926" t="s">
        <v>1355</v>
      </c>
    </row>
    <row r="11927" spans="1:5" x14ac:dyDescent="0.25">
      <c r="A11927" t="s">
        <v>2</v>
      </c>
      <c r="B11927" t="s">
        <v>3458</v>
      </c>
      <c r="C11927" t="s">
        <v>23490</v>
      </c>
      <c r="D11927" t="str">
        <f>HYPERLINK("https://rhld.insurance.arkansas.gov/NPILookup?Npi=1376884536","1376884536")</f>
        <v>1376884536</v>
      </c>
      <c r="E11927" t="s">
        <v>1356</v>
      </c>
    </row>
    <row r="11928" spans="1:5" x14ac:dyDescent="0.25">
      <c r="A11928" t="s">
        <v>2</v>
      </c>
      <c r="B11928" t="s">
        <v>3458</v>
      </c>
      <c r="C11928" t="s">
        <v>23490</v>
      </c>
      <c r="D11928" t="str">
        <f>HYPERLINK("https://rhld.insurance.arkansas.gov/NPILookup?Npi=1376903823","1376903823")</f>
        <v>1376903823</v>
      </c>
      <c r="E11928" t="s">
        <v>10879</v>
      </c>
    </row>
    <row r="11929" spans="1:5" x14ac:dyDescent="0.25">
      <c r="A11929" t="s">
        <v>2</v>
      </c>
      <c r="B11929" t="s">
        <v>3458</v>
      </c>
      <c r="C11929" t="s">
        <v>23490</v>
      </c>
      <c r="D11929" t="str">
        <f>HYPERLINK("https://rhld.insurance.arkansas.gov/NPILookup?Npi=1376912824","1376912824")</f>
        <v>1376912824</v>
      </c>
      <c r="E11929" t="s">
        <v>1357</v>
      </c>
    </row>
    <row r="11930" spans="1:5" x14ac:dyDescent="0.25">
      <c r="A11930" t="s">
        <v>2</v>
      </c>
      <c r="B11930" t="s">
        <v>3458</v>
      </c>
      <c r="C11930" t="s">
        <v>23490</v>
      </c>
      <c r="D11930" t="str">
        <f>HYPERLINK("https://rhld.insurance.arkansas.gov/NPILookup?Npi=1376932830","1376932830")</f>
        <v>1376932830</v>
      </c>
      <c r="E11930" t="s">
        <v>1358</v>
      </c>
    </row>
    <row r="11931" spans="1:5" x14ac:dyDescent="0.25">
      <c r="A11931" t="s">
        <v>2</v>
      </c>
      <c r="B11931" t="s">
        <v>3458</v>
      </c>
      <c r="C11931" t="s">
        <v>23490</v>
      </c>
      <c r="D11931" t="str">
        <f>HYPERLINK("https://rhld.insurance.arkansas.gov/NPILookup?Npi=1376936203","1376936203")</f>
        <v>1376936203</v>
      </c>
      <c r="E11931" t="s">
        <v>15054</v>
      </c>
    </row>
    <row r="11932" spans="1:5" x14ac:dyDescent="0.25">
      <c r="A11932" t="s">
        <v>2</v>
      </c>
      <c r="B11932" t="s">
        <v>3458</v>
      </c>
      <c r="C11932" t="s">
        <v>23490</v>
      </c>
      <c r="D11932" t="str">
        <f>HYPERLINK("https://rhld.insurance.arkansas.gov/NPILookup?Npi=1376958736","1376958736")</f>
        <v>1376958736</v>
      </c>
      <c r="E11932" t="s">
        <v>1359</v>
      </c>
    </row>
    <row r="11933" spans="1:5" x14ac:dyDescent="0.25">
      <c r="A11933" t="s">
        <v>2</v>
      </c>
      <c r="B11933" t="s">
        <v>3458</v>
      </c>
      <c r="C11933" t="s">
        <v>23490</v>
      </c>
      <c r="D11933" t="str">
        <f>HYPERLINK("https://rhld.insurance.arkansas.gov/NPILookup?Npi=1376962902","1376962902")</f>
        <v>1376962902</v>
      </c>
      <c r="E11933" t="s">
        <v>15851</v>
      </c>
    </row>
    <row r="11934" spans="1:5" x14ac:dyDescent="0.25">
      <c r="A11934" t="s">
        <v>2</v>
      </c>
      <c r="B11934" t="s">
        <v>3458</v>
      </c>
      <c r="C11934" t="s">
        <v>23490</v>
      </c>
      <c r="D11934" t="str">
        <f>HYPERLINK("https://rhld.insurance.arkansas.gov/NPILookup?Npi=1376975714","1376975714")</f>
        <v>1376975714</v>
      </c>
      <c r="E11934" t="s">
        <v>8651</v>
      </c>
    </row>
    <row r="11935" spans="1:5" x14ac:dyDescent="0.25">
      <c r="A11935" t="s">
        <v>2</v>
      </c>
      <c r="B11935" t="s">
        <v>3458</v>
      </c>
      <c r="C11935" t="s">
        <v>23490</v>
      </c>
      <c r="D11935" t="str">
        <f>HYPERLINK("https://rhld.insurance.arkansas.gov/NPILookup?Npi=1376980045","1376980045")</f>
        <v>1376980045</v>
      </c>
      <c r="E11935" t="s">
        <v>1361</v>
      </c>
    </row>
    <row r="11936" spans="1:5" x14ac:dyDescent="0.25">
      <c r="A11936" t="s">
        <v>2</v>
      </c>
      <c r="B11936" t="s">
        <v>3458</v>
      </c>
      <c r="C11936" t="s">
        <v>23490</v>
      </c>
      <c r="D11936" t="str">
        <f>HYPERLINK("https://rhld.insurance.arkansas.gov/NPILookup?Npi=1376980367","1376980367")</f>
        <v>1376980367</v>
      </c>
      <c r="E11936" t="s">
        <v>12831</v>
      </c>
    </row>
    <row r="11937" spans="1:5" x14ac:dyDescent="0.25">
      <c r="A11937" t="s">
        <v>2</v>
      </c>
      <c r="B11937" t="s">
        <v>3458</v>
      </c>
      <c r="C11937" t="s">
        <v>23490</v>
      </c>
      <c r="D11937" t="str">
        <f>HYPERLINK("https://rhld.insurance.arkansas.gov/NPILookup?Npi=1376996710","1376996710")</f>
        <v>1376996710</v>
      </c>
      <c r="E11937" t="s">
        <v>18763</v>
      </c>
    </row>
    <row r="11938" spans="1:5" x14ac:dyDescent="0.25">
      <c r="A11938" t="s">
        <v>2</v>
      </c>
      <c r="B11938" t="s">
        <v>3458</v>
      </c>
      <c r="C11938" t="s">
        <v>23490</v>
      </c>
      <c r="D11938" t="str">
        <f>HYPERLINK("https://rhld.insurance.arkansas.gov/NPILookup?Npi=1376998351","1376998351")</f>
        <v>1376998351</v>
      </c>
      <c r="E11938" t="s">
        <v>20241</v>
      </c>
    </row>
    <row r="11939" spans="1:5" x14ac:dyDescent="0.25">
      <c r="A11939" t="s">
        <v>2</v>
      </c>
      <c r="B11939" t="s">
        <v>3458</v>
      </c>
      <c r="C11939" t="s">
        <v>23490</v>
      </c>
      <c r="D11939" t="str">
        <f>HYPERLINK("https://rhld.insurance.arkansas.gov/NPILookup?Npi=1376999607","1376999607")</f>
        <v>1376999607</v>
      </c>
      <c r="E11939" t="s">
        <v>8653</v>
      </c>
    </row>
    <row r="11940" spans="1:5" x14ac:dyDescent="0.25">
      <c r="A11940" t="s">
        <v>2</v>
      </c>
      <c r="B11940" t="s">
        <v>3458</v>
      </c>
      <c r="C11940" t="s">
        <v>23490</v>
      </c>
      <c r="D11940" t="str">
        <f>HYPERLINK("https://rhld.insurance.arkansas.gov/NPILookup?Npi=1386009165","1386009165")</f>
        <v>1386009165</v>
      </c>
      <c r="E11940" t="s">
        <v>12978</v>
      </c>
    </row>
    <row r="11941" spans="1:5" x14ac:dyDescent="0.25">
      <c r="A11941" t="s">
        <v>2</v>
      </c>
      <c r="B11941" t="s">
        <v>3458</v>
      </c>
      <c r="C11941" t="s">
        <v>23490</v>
      </c>
      <c r="D11941" t="str">
        <f>HYPERLINK("https://rhld.insurance.arkansas.gov/NPILookup?Npi=1386020113","1386020113")</f>
        <v>1386020113</v>
      </c>
      <c r="E11941" t="s">
        <v>15852</v>
      </c>
    </row>
    <row r="11942" spans="1:5" x14ac:dyDescent="0.25">
      <c r="A11942" t="s">
        <v>2</v>
      </c>
      <c r="B11942" t="s">
        <v>3458</v>
      </c>
      <c r="C11942" t="s">
        <v>23490</v>
      </c>
      <c r="D11942" t="str">
        <f>HYPERLINK("https://rhld.insurance.arkansas.gov/NPILookup?Npi=1386026359","1386026359")</f>
        <v>1386026359</v>
      </c>
      <c r="E11942" t="s">
        <v>1363</v>
      </c>
    </row>
    <row r="11943" spans="1:5" x14ac:dyDescent="0.25">
      <c r="A11943" t="s">
        <v>2</v>
      </c>
      <c r="B11943" t="s">
        <v>3458</v>
      </c>
      <c r="C11943" t="s">
        <v>23490</v>
      </c>
      <c r="D11943" t="str">
        <f>HYPERLINK("https://rhld.insurance.arkansas.gov/NPILookup?Npi=1386026375","1386026375")</f>
        <v>1386026375</v>
      </c>
      <c r="E11943" t="s">
        <v>15853</v>
      </c>
    </row>
    <row r="11944" spans="1:5" x14ac:dyDescent="0.25">
      <c r="A11944" t="s">
        <v>2</v>
      </c>
      <c r="B11944" t="s">
        <v>3458</v>
      </c>
      <c r="C11944" t="s">
        <v>23490</v>
      </c>
      <c r="D11944" t="str">
        <f>HYPERLINK("https://rhld.insurance.arkansas.gov/NPILookup?Npi=1386026763","1386026763")</f>
        <v>1386026763</v>
      </c>
      <c r="E11944" t="s">
        <v>15055</v>
      </c>
    </row>
    <row r="11945" spans="1:5" x14ac:dyDescent="0.25">
      <c r="A11945" t="s">
        <v>2</v>
      </c>
      <c r="B11945" t="s">
        <v>3458</v>
      </c>
      <c r="C11945" t="s">
        <v>23490</v>
      </c>
      <c r="D11945" t="str">
        <f>HYPERLINK("https://rhld.insurance.arkansas.gov/NPILookup?Npi=1386032811","1386032811")</f>
        <v>1386032811</v>
      </c>
      <c r="E11945" t="s">
        <v>13512</v>
      </c>
    </row>
    <row r="11946" spans="1:5" x14ac:dyDescent="0.25">
      <c r="A11946" t="s">
        <v>2</v>
      </c>
      <c r="B11946" t="s">
        <v>3458</v>
      </c>
      <c r="C11946" t="s">
        <v>23490</v>
      </c>
      <c r="D11946" t="str">
        <f>HYPERLINK("https://rhld.insurance.arkansas.gov/NPILookup?Npi=1386035962","1386035962")</f>
        <v>1386035962</v>
      </c>
      <c r="E11946" t="s">
        <v>21535</v>
      </c>
    </row>
    <row r="11947" spans="1:5" x14ac:dyDescent="0.25">
      <c r="A11947" t="s">
        <v>2</v>
      </c>
      <c r="B11947" t="s">
        <v>3458</v>
      </c>
      <c r="C11947" t="s">
        <v>23490</v>
      </c>
      <c r="D11947" t="str">
        <f>HYPERLINK("https://rhld.insurance.arkansas.gov/NPILookup?Npi=1386058543","1386058543")</f>
        <v>1386058543</v>
      </c>
      <c r="E11947" t="s">
        <v>1365</v>
      </c>
    </row>
    <row r="11948" spans="1:5" x14ac:dyDescent="0.25">
      <c r="A11948" t="s">
        <v>2</v>
      </c>
      <c r="B11948" t="s">
        <v>3458</v>
      </c>
      <c r="C11948" t="s">
        <v>23490</v>
      </c>
      <c r="D11948" t="str">
        <f>HYPERLINK("https://rhld.insurance.arkansas.gov/NPILookup?Npi=1386060929","1386060929")</f>
        <v>1386060929</v>
      </c>
      <c r="E11948" t="s">
        <v>127</v>
      </c>
    </row>
    <row r="11949" spans="1:5" x14ac:dyDescent="0.25">
      <c r="A11949" t="s">
        <v>2</v>
      </c>
      <c r="B11949" t="s">
        <v>3458</v>
      </c>
      <c r="C11949" t="s">
        <v>23490</v>
      </c>
      <c r="D11949" t="str">
        <f>HYPERLINK("https://rhld.insurance.arkansas.gov/NPILookup?Npi=1386084531","1386084531")</f>
        <v>1386084531</v>
      </c>
      <c r="E11949" t="s">
        <v>10880</v>
      </c>
    </row>
    <row r="11950" spans="1:5" x14ac:dyDescent="0.25">
      <c r="A11950" t="s">
        <v>2</v>
      </c>
      <c r="B11950" t="s">
        <v>3458</v>
      </c>
      <c r="C11950" t="s">
        <v>23490</v>
      </c>
      <c r="D11950" t="str">
        <f>HYPERLINK("https://rhld.insurance.arkansas.gov/NPILookup?Npi=1386097921","1386097921")</f>
        <v>1386097921</v>
      </c>
      <c r="E11950" t="s">
        <v>10881</v>
      </c>
    </row>
    <row r="11951" spans="1:5" x14ac:dyDescent="0.25">
      <c r="A11951" t="s">
        <v>2</v>
      </c>
      <c r="B11951" t="s">
        <v>3458</v>
      </c>
      <c r="C11951" t="s">
        <v>23490</v>
      </c>
      <c r="D11951" t="str">
        <f>HYPERLINK("https://rhld.insurance.arkansas.gov/NPILookup?Npi=1386112613","1386112613")</f>
        <v>1386112613</v>
      </c>
      <c r="E11951" t="s">
        <v>15058</v>
      </c>
    </row>
    <row r="11952" spans="1:5" x14ac:dyDescent="0.25">
      <c r="A11952" t="s">
        <v>2</v>
      </c>
      <c r="B11952" t="s">
        <v>3458</v>
      </c>
      <c r="C11952" t="s">
        <v>23490</v>
      </c>
      <c r="D11952" t="str">
        <f>HYPERLINK("https://rhld.insurance.arkansas.gov/NPILookup?Npi=1386129898","1386129898")</f>
        <v>1386129898</v>
      </c>
      <c r="E11952" t="s">
        <v>15059</v>
      </c>
    </row>
    <row r="11953" spans="1:5" x14ac:dyDescent="0.25">
      <c r="A11953" t="s">
        <v>2</v>
      </c>
      <c r="B11953" t="s">
        <v>3458</v>
      </c>
      <c r="C11953" t="s">
        <v>23490</v>
      </c>
      <c r="D11953" t="str">
        <f>HYPERLINK("https://rhld.insurance.arkansas.gov/NPILookup?Npi=1386140986","1386140986")</f>
        <v>1386140986</v>
      </c>
      <c r="E11953" t="s">
        <v>18764</v>
      </c>
    </row>
    <row r="11954" spans="1:5" x14ac:dyDescent="0.25">
      <c r="A11954" t="s">
        <v>2</v>
      </c>
      <c r="B11954" t="s">
        <v>3458</v>
      </c>
      <c r="C11954" t="s">
        <v>23490</v>
      </c>
      <c r="D11954" t="str">
        <f>HYPERLINK("https://rhld.insurance.arkansas.gov/NPILookup?Npi=1386143717","1386143717")</f>
        <v>1386143717</v>
      </c>
      <c r="E11954" t="s">
        <v>12832</v>
      </c>
    </row>
    <row r="11955" spans="1:5" x14ac:dyDescent="0.25">
      <c r="A11955" t="s">
        <v>2</v>
      </c>
      <c r="B11955" t="s">
        <v>3458</v>
      </c>
      <c r="C11955" t="s">
        <v>23490</v>
      </c>
      <c r="D11955" t="str">
        <f>HYPERLINK("https://rhld.insurance.arkansas.gov/NPILookup?Npi=1386143782","1386143782")</f>
        <v>1386143782</v>
      </c>
      <c r="E11955" t="s">
        <v>12833</v>
      </c>
    </row>
    <row r="11956" spans="1:5" x14ac:dyDescent="0.25">
      <c r="A11956" t="s">
        <v>2</v>
      </c>
      <c r="B11956" t="s">
        <v>3458</v>
      </c>
      <c r="C11956" t="s">
        <v>23490</v>
      </c>
      <c r="D11956" t="str">
        <f>HYPERLINK("https://rhld.insurance.arkansas.gov/NPILookup?Npi=1386146595","1386146595")</f>
        <v>1386146595</v>
      </c>
      <c r="E11956" t="s">
        <v>12979</v>
      </c>
    </row>
    <row r="11957" spans="1:5" x14ac:dyDescent="0.25">
      <c r="A11957" t="s">
        <v>2</v>
      </c>
      <c r="B11957" t="s">
        <v>3458</v>
      </c>
      <c r="C11957" t="s">
        <v>23490</v>
      </c>
      <c r="D11957" t="str">
        <f>HYPERLINK("https://rhld.insurance.arkansas.gov/NPILookup?Npi=1386152163","1386152163")</f>
        <v>1386152163</v>
      </c>
      <c r="E11957" t="s">
        <v>8743</v>
      </c>
    </row>
    <row r="11958" spans="1:5" x14ac:dyDescent="0.25">
      <c r="A11958" t="s">
        <v>2</v>
      </c>
      <c r="B11958" t="s">
        <v>3458</v>
      </c>
      <c r="C11958" t="s">
        <v>23490</v>
      </c>
      <c r="D11958" t="str">
        <f>HYPERLINK("https://rhld.insurance.arkansas.gov/NPILookup?Npi=1386157592","1386157592")</f>
        <v>1386157592</v>
      </c>
      <c r="E11958" t="s">
        <v>12834</v>
      </c>
    </row>
    <row r="11959" spans="1:5" x14ac:dyDescent="0.25">
      <c r="A11959" t="s">
        <v>2</v>
      </c>
      <c r="B11959" t="s">
        <v>3458</v>
      </c>
      <c r="C11959" t="s">
        <v>23490</v>
      </c>
      <c r="D11959" t="str">
        <f>HYPERLINK("https://rhld.insurance.arkansas.gov/NPILookup?Npi=1386166411","1386166411")</f>
        <v>1386166411</v>
      </c>
      <c r="E11959" t="s">
        <v>9067</v>
      </c>
    </row>
    <row r="11960" spans="1:5" x14ac:dyDescent="0.25">
      <c r="A11960" t="s">
        <v>2</v>
      </c>
      <c r="B11960" t="s">
        <v>3458</v>
      </c>
      <c r="C11960" t="s">
        <v>23490</v>
      </c>
      <c r="D11960" t="str">
        <f>HYPERLINK("https://rhld.insurance.arkansas.gov/NPILookup?Npi=1386169175","1386169175")</f>
        <v>1386169175</v>
      </c>
      <c r="E11960" t="s">
        <v>10882</v>
      </c>
    </row>
    <row r="11961" spans="1:5" x14ac:dyDescent="0.25">
      <c r="A11961" t="s">
        <v>2</v>
      </c>
      <c r="B11961" t="s">
        <v>3458</v>
      </c>
      <c r="C11961" t="s">
        <v>23490</v>
      </c>
      <c r="D11961" t="str">
        <f>HYPERLINK("https://rhld.insurance.arkansas.gov/NPILookup?Npi=1386180453","1386180453")</f>
        <v>1386180453</v>
      </c>
      <c r="E11961" t="s">
        <v>10883</v>
      </c>
    </row>
    <row r="11962" spans="1:5" x14ac:dyDescent="0.25">
      <c r="A11962" t="s">
        <v>2</v>
      </c>
      <c r="B11962" t="s">
        <v>3458</v>
      </c>
      <c r="C11962" t="s">
        <v>23490</v>
      </c>
      <c r="D11962" t="str">
        <f>HYPERLINK("https://rhld.insurance.arkansas.gov/NPILookup?Npi=1386180610","1386180610")</f>
        <v>1386180610</v>
      </c>
      <c r="E11962" t="s">
        <v>10884</v>
      </c>
    </row>
    <row r="11963" spans="1:5" x14ac:dyDescent="0.25">
      <c r="A11963" t="s">
        <v>2</v>
      </c>
      <c r="B11963" t="s">
        <v>3458</v>
      </c>
      <c r="C11963" t="s">
        <v>23490</v>
      </c>
      <c r="D11963" t="str">
        <f>HYPERLINK("https://rhld.insurance.arkansas.gov/NPILookup?Npi=1386184976","1386184976")</f>
        <v>1386184976</v>
      </c>
      <c r="E11963" t="s">
        <v>12835</v>
      </c>
    </row>
    <row r="11964" spans="1:5" x14ac:dyDescent="0.25">
      <c r="A11964" t="s">
        <v>2</v>
      </c>
      <c r="B11964" t="s">
        <v>3458</v>
      </c>
      <c r="C11964" t="s">
        <v>23490</v>
      </c>
      <c r="D11964" t="str">
        <f>HYPERLINK("https://rhld.insurance.arkansas.gov/NPILookup?Npi=1386216109","1386216109")</f>
        <v>1386216109</v>
      </c>
      <c r="E11964" t="s">
        <v>18765</v>
      </c>
    </row>
    <row r="11965" spans="1:5" x14ac:dyDescent="0.25">
      <c r="A11965" t="s">
        <v>2</v>
      </c>
      <c r="B11965" t="s">
        <v>3458</v>
      </c>
      <c r="C11965" t="s">
        <v>23490</v>
      </c>
      <c r="D11965" t="str">
        <f>HYPERLINK("https://rhld.insurance.arkansas.gov/NPILookup?Npi=1386216455","1386216455")</f>
        <v>1386216455</v>
      </c>
      <c r="E11965" t="s">
        <v>19681</v>
      </c>
    </row>
    <row r="11966" spans="1:5" x14ac:dyDescent="0.25">
      <c r="A11966" t="s">
        <v>2</v>
      </c>
      <c r="B11966" t="s">
        <v>3458</v>
      </c>
      <c r="C11966" t="s">
        <v>23490</v>
      </c>
      <c r="D11966" t="str">
        <f>HYPERLINK("https://rhld.insurance.arkansas.gov/NPILookup?Npi=1386230449","1386230449")</f>
        <v>1386230449</v>
      </c>
      <c r="E11966" t="s">
        <v>19682</v>
      </c>
    </row>
    <row r="11967" spans="1:5" x14ac:dyDescent="0.25">
      <c r="A11967" t="s">
        <v>2</v>
      </c>
      <c r="B11967" t="s">
        <v>3458</v>
      </c>
      <c r="C11967" t="s">
        <v>23490</v>
      </c>
      <c r="D11967" t="str">
        <f>HYPERLINK("https://rhld.insurance.arkansas.gov/NPILookup?Npi=1386257855","1386257855")</f>
        <v>1386257855</v>
      </c>
      <c r="E11967" t="s">
        <v>17424</v>
      </c>
    </row>
    <row r="11968" spans="1:5" x14ac:dyDescent="0.25">
      <c r="A11968" t="s">
        <v>2</v>
      </c>
      <c r="B11968" t="s">
        <v>3458</v>
      </c>
      <c r="C11968" t="s">
        <v>23490</v>
      </c>
      <c r="D11968" t="str">
        <f>HYPERLINK("https://rhld.insurance.arkansas.gov/NPILookup?Npi=1386296838","1386296838")</f>
        <v>1386296838</v>
      </c>
      <c r="E11968" t="s">
        <v>19684</v>
      </c>
    </row>
    <row r="11969" spans="1:5" x14ac:dyDescent="0.25">
      <c r="A11969" t="s">
        <v>2</v>
      </c>
      <c r="B11969" t="s">
        <v>3458</v>
      </c>
      <c r="C11969" t="s">
        <v>23490</v>
      </c>
      <c r="D11969" t="str">
        <f>HYPERLINK("https://rhld.insurance.arkansas.gov/NPILookup?Npi=1386299584","1386299584")</f>
        <v>1386299584</v>
      </c>
      <c r="E11969" t="s">
        <v>18766</v>
      </c>
    </row>
    <row r="11970" spans="1:5" x14ac:dyDescent="0.25">
      <c r="A11970" t="s">
        <v>2</v>
      </c>
      <c r="B11970" t="s">
        <v>3458</v>
      </c>
      <c r="C11970" t="s">
        <v>23490</v>
      </c>
      <c r="D11970" t="str">
        <f>HYPERLINK("https://rhld.insurance.arkansas.gov/NPILookup?Npi=1386307064","1386307064")</f>
        <v>1386307064</v>
      </c>
      <c r="E11970" t="s">
        <v>19685</v>
      </c>
    </row>
    <row r="11971" spans="1:5" x14ac:dyDescent="0.25">
      <c r="A11971" t="s">
        <v>2</v>
      </c>
      <c r="B11971" t="s">
        <v>3458</v>
      </c>
      <c r="C11971" t="s">
        <v>23490</v>
      </c>
      <c r="D11971" t="str">
        <f>HYPERLINK("https://rhld.insurance.arkansas.gov/NPILookup?Npi=1386397651","1386397651")</f>
        <v>1386397651</v>
      </c>
      <c r="E11971" t="s">
        <v>19686</v>
      </c>
    </row>
    <row r="11972" spans="1:5" x14ac:dyDescent="0.25">
      <c r="A11972" t="s">
        <v>2</v>
      </c>
      <c r="B11972" t="s">
        <v>3458</v>
      </c>
      <c r="C11972" t="s">
        <v>23490</v>
      </c>
      <c r="D11972" t="str">
        <f>HYPERLINK("https://rhld.insurance.arkansas.gov/NPILookup?Npi=1386600567","1386600567")</f>
        <v>1386600567</v>
      </c>
      <c r="E11972" t="s">
        <v>1368</v>
      </c>
    </row>
    <row r="11973" spans="1:5" x14ac:dyDescent="0.25">
      <c r="A11973" t="s">
        <v>2</v>
      </c>
      <c r="B11973" t="s">
        <v>3458</v>
      </c>
      <c r="C11973" t="s">
        <v>23490</v>
      </c>
      <c r="D11973" t="str">
        <f>HYPERLINK("https://rhld.insurance.arkansas.gov/NPILookup?Npi=1386601011","1386601011")</f>
        <v>1386601011</v>
      </c>
      <c r="E11973" t="s">
        <v>1369</v>
      </c>
    </row>
    <row r="11974" spans="1:5" x14ac:dyDescent="0.25">
      <c r="A11974" t="s">
        <v>2</v>
      </c>
      <c r="B11974" t="s">
        <v>3458</v>
      </c>
      <c r="C11974" t="s">
        <v>23490</v>
      </c>
      <c r="D11974" t="str">
        <f>HYPERLINK("https://rhld.insurance.arkansas.gov/NPILookup?Npi=1386601821","1386601821")</f>
        <v>1386601821</v>
      </c>
      <c r="E11974" t="s">
        <v>3695</v>
      </c>
    </row>
    <row r="11975" spans="1:5" x14ac:dyDescent="0.25">
      <c r="A11975" t="s">
        <v>2</v>
      </c>
      <c r="B11975" t="s">
        <v>3458</v>
      </c>
      <c r="C11975" t="s">
        <v>23490</v>
      </c>
      <c r="D11975" t="str">
        <f>HYPERLINK("https://rhld.insurance.arkansas.gov/NPILookup?Npi=1386605475","1386605475")</f>
        <v>1386605475</v>
      </c>
      <c r="E11975" t="s">
        <v>10885</v>
      </c>
    </row>
    <row r="11976" spans="1:5" x14ac:dyDescent="0.25">
      <c r="A11976" t="s">
        <v>2</v>
      </c>
      <c r="B11976" t="s">
        <v>3458</v>
      </c>
      <c r="C11976" t="s">
        <v>23490</v>
      </c>
      <c r="D11976" t="str">
        <f>HYPERLINK("https://rhld.insurance.arkansas.gov/NPILookup?Npi=1386605491","1386605491")</f>
        <v>1386605491</v>
      </c>
      <c r="E11976" t="s">
        <v>1370</v>
      </c>
    </row>
    <row r="11977" spans="1:5" x14ac:dyDescent="0.25">
      <c r="A11977" t="s">
        <v>2</v>
      </c>
      <c r="B11977" t="s">
        <v>3458</v>
      </c>
      <c r="C11977" t="s">
        <v>23490</v>
      </c>
      <c r="D11977" t="str">
        <f>HYPERLINK("https://rhld.insurance.arkansas.gov/NPILookup?Npi=1386609790","1386609790")</f>
        <v>1386609790</v>
      </c>
      <c r="E11977" t="s">
        <v>1371</v>
      </c>
    </row>
    <row r="11978" spans="1:5" x14ac:dyDescent="0.25">
      <c r="A11978" t="s">
        <v>2</v>
      </c>
      <c r="B11978" t="s">
        <v>3458</v>
      </c>
      <c r="C11978" t="s">
        <v>23490</v>
      </c>
      <c r="D11978" t="str">
        <f>HYPERLINK("https://rhld.insurance.arkansas.gov/NPILookup?Npi=1386613503","1386613503")</f>
        <v>1386613503</v>
      </c>
      <c r="E11978" t="s">
        <v>1372</v>
      </c>
    </row>
    <row r="11979" spans="1:5" x14ac:dyDescent="0.25">
      <c r="A11979" t="s">
        <v>2</v>
      </c>
      <c r="B11979" t="s">
        <v>3458</v>
      </c>
      <c r="C11979" t="s">
        <v>23490</v>
      </c>
      <c r="D11979" t="str">
        <f>HYPERLINK("https://rhld.insurance.arkansas.gov/NPILookup?Npi=1386614097","1386614097")</f>
        <v>1386614097</v>
      </c>
      <c r="E11979" t="s">
        <v>1373</v>
      </c>
    </row>
    <row r="11980" spans="1:5" x14ac:dyDescent="0.25">
      <c r="A11980" t="s">
        <v>2</v>
      </c>
      <c r="B11980" t="s">
        <v>3458</v>
      </c>
      <c r="C11980" t="s">
        <v>23490</v>
      </c>
      <c r="D11980" t="str">
        <f>HYPERLINK("https://rhld.insurance.arkansas.gov/NPILookup?Npi=1386622827","1386622827")</f>
        <v>1386622827</v>
      </c>
      <c r="E11980" t="s">
        <v>1374</v>
      </c>
    </row>
    <row r="11981" spans="1:5" x14ac:dyDescent="0.25">
      <c r="A11981" t="s">
        <v>2</v>
      </c>
      <c r="B11981" t="s">
        <v>3458</v>
      </c>
      <c r="C11981" t="s">
        <v>23490</v>
      </c>
      <c r="D11981" t="str">
        <f>HYPERLINK("https://rhld.insurance.arkansas.gov/NPILookup?Npi=1386623049","1386623049")</f>
        <v>1386623049</v>
      </c>
      <c r="E11981" t="s">
        <v>10886</v>
      </c>
    </row>
    <row r="11982" spans="1:5" x14ac:dyDescent="0.25">
      <c r="A11982" t="s">
        <v>2</v>
      </c>
      <c r="B11982" t="s">
        <v>3458</v>
      </c>
      <c r="C11982" t="s">
        <v>23490</v>
      </c>
      <c r="D11982" t="str">
        <f>HYPERLINK("https://rhld.insurance.arkansas.gov/NPILookup?Npi=1386633691","1386633691")</f>
        <v>1386633691</v>
      </c>
      <c r="E11982" t="s">
        <v>1376</v>
      </c>
    </row>
    <row r="11983" spans="1:5" x14ac:dyDescent="0.25">
      <c r="A11983" t="s">
        <v>2</v>
      </c>
      <c r="B11983" t="s">
        <v>3458</v>
      </c>
      <c r="C11983" t="s">
        <v>23490</v>
      </c>
      <c r="D11983" t="str">
        <f>HYPERLINK("https://rhld.insurance.arkansas.gov/NPILookup?Npi=1386637221","1386637221")</f>
        <v>1386637221</v>
      </c>
      <c r="E11983" t="s">
        <v>1378</v>
      </c>
    </row>
    <row r="11984" spans="1:5" x14ac:dyDescent="0.25">
      <c r="A11984" t="s">
        <v>2</v>
      </c>
      <c r="B11984" t="s">
        <v>3458</v>
      </c>
      <c r="C11984" t="s">
        <v>23490</v>
      </c>
      <c r="D11984" t="str">
        <f>HYPERLINK("https://rhld.insurance.arkansas.gov/NPILookup?Npi=1386642429","1386642429")</f>
        <v>1386642429</v>
      </c>
      <c r="E11984" t="s">
        <v>10887</v>
      </c>
    </row>
    <row r="11985" spans="1:5" x14ac:dyDescent="0.25">
      <c r="A11985" t="s">
        <v>2</v>
      </c>
      <c r="B11985" t="s">
        <v>3458</v>
      </c>
      <c r="C11985" t="s">
        <v>23490</v>
      </c>
      <c r="D11985" t="str">
        <f>HYPERLINK("https://rhld.insurance.arkansas.gov/NPILookup?Npi=1386652204","1386652204")</f>
        <v>1386652204</v>
      </c>
      <c r="E11985" t="s">
        <v>3696</v>
      </c>
    </row>
    <row r="11986" spans="1:5" x14ac:dyDescent="0.25">
      <c r="A11986" t="s">
        <v>2</v>
      </c>
      <c r="B11986" t="s">
        <v>3458</v>
      </c>
      <c r="C11986" t="s">
        <v>23490</v>
      </c>
      <c r="D11986" t="str">
        <f>HYPERLINK("https://rhld.insurance.arkansas.gov/NPILookup?Npi=1386662245","1386662245")</f>
        <v>1386662245</v>
      </c>
      <c r="E11986" t="s">
        <v>15061</v>
      </c>
    </row>
    <row r="11987" spans="1:5" x14ac:dyDescent="0.25">
      <c r="A11987" t="s">
        <v>2</v>
      </c>
      <c r="B11987" t="s">
        <v>3458</v>
      </c>
      <c r="C11987" t="s">
        <v>23490</v>
      </c>
      <c r="D11987" t="str">
        <f>HYPERLINK("https://rhld.insurance.arkansas.gov/NPILookup?Npi=1386672392","1386672392")</f>
        <v>1386672392</v>
      </c>
      <c r="E11987" t="s">
        <v>1383</v>
      </c>
    </row>
    <row r="11988" spans="1:5" x14ac:dyDescent="0.25">
      <c r="A11988" t="s">
        <v>2</v>
      </c>
      <c r="B11988" t="s">
        <v>3458</v>
      </c>
      <c r="C11988" t="s">
        <v>23490</v>
      </c>
      <c r="D11988" t="str">
        <f>HYPERLINK("https://rhld.insurance.arkansas.gov/NPILookup?Npi=1386695674","1386695674")</f>
        <v>1386695674</v>
      </c>
      <c r="E11988" t="s">
        <v>6173</v>
      </c>
    </row>
    <row r="11989" spans="1:5" x14ac:dyDescent="0.25">
      <c r="A11989" t="s">
        <v>2</v>
      </c>
      <c r="B11989" t="s">
        <v>3458</v>
      </c>
      <c r="C11989" t="s">
        <v>23490</v>
      </c>
      <c r="D11989" t="str">
        <f>HYPERLINK("https://rhld.insurance.arkansas.gov/NPILookup?Npi=1386713808","1386713808")</f>
        <v>1386713808</v>
      </c>
      <c r="E11989" t="s">
        <v>1387</v>
      </c>
    </row>
    <row r="11990" spans="1:5" x14ac:dyDescent="0.25">
      <c r="A11990" t="s">
        <v>2</v>
      </c>
      <c r="B11990" t="s">
        <v>3458</v>
      </c>
      <c r="C11990" t="s">
        <v>23490</v>
      </c>
      <c r="D11990" t="str">
        <f>HYPERLINK("https://rhld.insurance.arkansas.gov/NPILookup?Npi=1386744274","1386744274")</f>
        <v>1386744274</v>
      </c>
      <c r="E11990" t="s">
        <v>1388</v>
      </c>
    </row>
    <row r="11991" spans="1:5" x14ac:dyDescent="0.25">
      <c r="A11991" t="s">
        <v>2</v>
      </c>
      <c r="B11991" t="s">
        <v>3458</v>
      </c>
      <c r="C11991" t="s">
        <v>23490</v>
      </c>
      <c r="D11991" t="str">
        <f>HYPERLINK("https://rhld.insurance.arkansas.gov/NPILookup?Npi=1386744811","1386744811")</f>
        <v>1386744811</v>
      </c>
      <c r="E11991" t="s">
        <v>15062</v>
      </c>
    </row>
    <row r="11992" spans="1:5" x14ac:dyDescent="0.25">
      <c r="A11992" t="s">
        <v>2</v>
      </c>
      <c r="B11992" t="s">
        <v>3458</v>
      </c>
      <c r="C11992" t="s">
        <v>23490</v>
      </c>
      <c r="D11992" t="str">
        <f>HYPERLINK("https://rhld.insurance.arkansas.gov/NPILookup?Npi=1386747061","1386747061")</f>
        <v>1386747061</v>
      </c>
      <c r="E11992" t="s">
        <v>3697</v>
      </c>
    </row>
    <row r="11993" spans="1:5" x14ac:dyDescent="0.25">
      <c r="A11993" t="s">
        <v>2</v>
      </c>
      <c r="B11993" t="s">
        <v>3458</v>
      </c>
      <c r="C11993" t="s">
        <v>23490</v>
      </c>
      <c r="D11993" t="str">
        <f>HYPERLINK("https://rhld.insurance.arkansas.gov/NPILookup?Npi=1386751618","1386751618")</f>
        <v>1386751618</v>
      </c>
      <c r="E11993" t="s">
        <v>15063</v>
      </c>
    </row>
    <row r="11994" spans="1:5" x14ac:dyDescent="0.25">
      <c r="A11994" t="s">
        <v>2</v>
      </c>
      <c r="B11994" t="s">
        <v>3458</v>
      </c>
      <c r="C11994" t="s">
        <v>23490</v>
      </c>
      <c r="D11994" t="str">
        <f>HYPERLINK("https://rhld.insurance.arkansas.gov/NPILookup?Npi=1386781151","1386781151")</f>
        <v>1386781151</v>
      </c>
      <c r="E11994" t="s">
        <v>15064</v>
      </c>
    </row>
    <row r="11995" spans="1:5" x14ac:dyDescent="0.25">
      <c r="A11995" t="s">
        <v>2</v>
      </c>
      <c r="B11995" t="s">
        <v>3458</v>
      </c>
      <c r="C11995" t="s">
        <v>23490</v>
      </c>
      <c r="D11995" t="str">
        <f>HYPERLINK("https://rhld.insurance.arkansas.gov/NPILookup?Npi=1386784460","1386784460")</f>
        <v>1386784460</v>
      </c>
      <c r="E11995" t="s">
        <v>15065</v>
      </c>
    </row>
    <row r="11996" spans="1:5" x14ac:dyDescent="0.25">
      <c r="A11996" t="s">
        <v>2</v>
      </c>
      <c r="B11996" t="s">
        <v>3458</v>
      </c>
      <c r="C11996" t="s">
        <v>23490</v>
      </c>
      <c r="D11996" t="str">
        <f>HYPERLINK("https://rhld.insurance.arkansas.gov/NPILookup?Npi=1386797140","1386797140")</f>
        <v>1386797140</v>
      </c>
      <c r="E11996" t="s">
        <v>1389</v>
      </c>
    </row>
    <row r="11997" spans="1:5" x14ac:dyDescent="0.25">
      <c r="A11997" t="s">
        <v>2</v>
      </c>
      <c r="B11997" t="s">
        <v>3458</v>
      </c>
      <c r="C11997" t="s">
        <v>23490</v>
      </c>
      <c r="D11997" t="str">
        <f>HYPERLINK("https://rhld.insurance.arkansas.gov/NPILookup?Npi=1386820744","1386820744")</f>
        <v>1386820744</v>
      </c>
      <c r="E11997" t="s">
        <v>1391</v>
      </c>
    </row>
    <row r="11998" spans="1:5" x14ac:dyDescent="0.25">
      <c r="A11998" t="s">
        <v>2</v>
      </c>
      <c r="B11998" t="s">
        <v>3458</v>
      </c>
      <c r="C11998" t="s">
        <v>23490</v>
      </c>
      <c r="D11998" t="str">
        <f>HYPERLINK("https://rhld.insurance.arkansas.gov/NPILookup?Npi=1386872646","1386872646")</f>
        <v>1386872646</v>
      </c>
      <c r="E11998" t="s">
        <v>1392</v>
      </c>
    </row>
    <row r="11999" spans="1:5" x14ac:dyDescent="0.25">
      <c r="A11999" t="s">
        <v>2</v>
      </c>
      <c r="B11999" t="s">
        <v>3458</v>
      </c>
      <c r="C11999" t="s">
        <v>23490</v>
      </c>
      <c r="D11999" t="str">
        <f>HYPERLINK("https://rhld.insurance.arkansas.gov/NPILookup?Npi=1386895191","1386895191")</f>
        <v>1386895191</v>
      </c>
      <c r="E11999" t="s">
        <v>10888</v>
      </c>
    </row>
    <row r="12000" spans="1:5" x14ac:dyDescent="0.25">
      <c r="A12000" t="s">
        <v>2</v>
      </c>
      <c r="B12000" t="s">
        <v>3458</v>
      </c>
      <c r="C12000" t="s">
        <v>23490</v>
      </c>
      <c r="D12000" t="str">
        <f>HYPERLINK("https://rhld.insurance.arkansas.gov/NPILookup?Npi=1386900769","1386900769")</f>
        <v>1386900769</v>
      </c>
      <c r="E12000" t="s">
        <v>13847</v>
      </c>
    </row>
    <row r="12001" spans="1:5" x14ac:dyDescent="0.25">
      <c r="A12001" t="s">
        <v>2</v>
      </c>
      <c r="B12001" t="s">
        <v>3458</v>
      </c>
      <c r="C12001" t="s">
        <v>23490</v>
      </c>
      <c r="D12001" t="str">
        <f>HYPERLINK("https://rhld.insurance.arkansas.gov/NPILookup?Npi=1386937779","1386937779")</f>
        <v>1386937779</v>
      </c>
      <c r="E12001" t="s">
        <v>20242</v>
      </c>
    </row>
    <row r="12002" spans="1:5" x14ac:dyDescent="0.25">
      <c r="A12002" t="s">
        <v>2</v>
      </c>
      <c r="B12002" t="s">
        <v>3458</v>
      </c>
      <c r="C12002" t="s">
        <v>23490</v>
      </c>
      <c r="D12002" t="str">
        <f>HYPERLINK("https://rhld.insurance.arkansas.gov/NPILookup?Npi=1386964708","1386964708")</f>
        <v>1386964708</v>
      </c>
      <c r="E12002" t="s">
        <v>1394</v>
      </c>
    </row>
    <row r="12003" spans="1:5" x14ac:dyDescent="0.25">
      <c r="A12003" t="s">
        <v>2</v>
      </c>
      <c r="B12003" t="s">
        <v>3458</v>
      </c>
      <c r="C12003" t="s">
        <v>23490</v>
      </c>
      <c r="D12003" t="str">
        <f>HYPERLINK("https://rhld.insurance.arkansas.gov/NPILookup?Npi=1386983468","1386983468")</f>
        <v>1386983468</v>
      </c>
      <c r="E12003" t="s">
        <v>1395</v>
      </c>
    </row>
    <row r="12004" spans="1:5" x14ac:dyDescent="0.25">
      <c r="A12004" t="s">
        <v>2</v>
      </c>
      <c r="B12004" t="s">
        <v>3458</v>
      </c>
      <c r="C12004" t="s">
        <v>23490</v>
      </c>
      <c r="D12004" t="str">
        <f>HYPERLINK("https://rhld.insurance.arkansas.gov/NPILookup?Npi=1386986545","1386986545")</f>
        <v>1386986545</v>
      </c>
      <c r="E12004" t="s">
        <v>15066</v>
      </c>
    </row>
    <row r="12005" spans="1:5" x14ac:dyDescent="0.25">
      <c r="A12005" t="s">
        <v>2</v>
      </c>
      <c r="B12005" t="s">
        <v>3458</v>
      </c>
      <c r="C12005" t="s">
        <v>23490</v>
      </c>
      <c r="D12005" t="str">
        <f>HYPERLINK("https://rhld.insurance.arkansas.gov/NPILookup?Npi=1386990299","1386990299")</f>
        <v>1386990299</v>
      </c>
      <c r="E12005" t="s">
        <v>8655</v>
      </c>
    </row>
    <row r="12006" spans="1:5" x14ac:dyDescent="0.25">
      <c r="A12006" t="s">
        <v>2</v>
      </c>
      <c r="B12006" t="s">
        <v>3458</v>
      </c>
      <c r="C12006" t="s">
        <v>23490</v>
      </c>
      <c r="D12006" t="str">
        <f>HYPERLINK("https://rhld.insurance.arkansas.gov/NPILookup?Npi=1396005039","1396005039")</f>
        <v>1396005039</v>
      </c>
      <c r="E12006" t="s">
        <v>1396</v>
      </c>
    </row>
    <row r="12007" spans="1:5" x14ac:dyDescent="0.25">
      <c r="A12007" t="s">
        <v>2</v>
      </c>
      <c r="B12007" t="s">
        <v>3458</v>
      </c>
      <c r="C12007" t="s">
        <v>23490</v>
      </c>
      <c r="D12007" t="str">
        <f>HYPERLINK("https://rhld.insurance.arkansas.gov/NPILookup?Npi=1396036232","1396036232")</f>
        <v>1396036232</v>
      </c>
      <c r="E12007" t="s">
        <v>1397</v>
      </c>
    </row>
    <row r="12008" spans="1:5" x14ac:dyDescent="0.25">
      <c r="A12008" t="s">
        <v>2</v>
      </c>
      <c r="B12008" t="s">
        <v>3458</v>
      </c>
      <c r="C12008" t="s">
        <v>23490</v>
      </c>
      <c r="D12008" t="str">
        <f>HYPERLINK("https://rhld.insurance.arkansas.gov/NPILookup?Npi=1396041901","1396041901")</f>
        <v>1396041901</v>
      </c>
      <c r="E12008" t="s">
        <v>1398</v>
      </c>
    </row>
    <row r="12009" spans="1:5" x14ac:dyDescent="0.25">
      <c r="A12009" t="s">
        <v>2</v>
      </c>
      <c r="B12009" t="s">
        <v>3458</v>
      </c>
      <c r="C12009" t="s">
        <v>23490</v>
      </c>
      <c r="D12009" t="str">
        <f>HYPERLINK("https://rhld.insurance.arkansas.gov/NPILookup?Npi=1396052056","1396052056")</f>
        <v>1396052056</v>
      </c>
      <c r="E12009" t="s">
        <v>8656</v>
      </c>
    </row>
    <row r="12010" spans="1:5" x14ac:dyDescent="0.25">
      <c r="A12010" t="s">
        <v>2</v>
      </c>
      <c r="B12010" t="s">
        <v>3458</v>
      </c>
      <c r="C12010" t="s">
        <v>23490</v>
      </c>
      <c r="D12010" t="str">
        <f>HYPERLINK("https://rhld.insurance.arkansas.gov/NPILookup?Npi=1396060190","1396060190")</f>
        <v>1396060190</v>
      </c>
      <c r="E12010" t="s">
        <v>1399</v>
      </c>
    </row>
    <row r="12011" spans="1:5" x14ac:dyDescent="0.25">
      <c r="A12011" t="s">
        <v>2</v>
      </c>
      <c r="B12011" t="s">
        <v>3458</v>
      </c>
      <c r="C12011" t="s">
        <v>23490</v>
      </c>
      <c r="D12011" t="str">
        <f>HYPERLINK("https://rhld.insurance.arkansas.gov/NPILookup?Npi=1396077137","1396077137")</f>
        <v>1396077137</v>
      </c>
      <c r="E12011" t="s">
        <v>12836</v>
      </c>
    </row>
    <row r="12012" spans="1:5" x14ac:dyDescent="0.25">
      <c r="A12012" t="s">
        <v>2</v>
      </c>
      <c r="B12012" t="s">
        <v>3458</v>
      </c>
      <c r="C12012" t="s">
        <v>23490</v>
      </c>
      <c r="D12012" t="str">
        <f>HYPERLINK("https://rhld.insurance.arkansas.gov/NPILookup?Npi=1396094868","1396094868")</f>
        <v>1396094868</v>
      </c>
      <c r="E12012" t="s">
        <v>1400</v>
      </c>
    </row>
    <row r="12013" spans="1:5" x14ac:dyDescent="0.25">
      <c r="A12013" t="s">
        <v>2</v>
      </c>
      <c r="B12013" t="s">
        <v>3458</v>
      </c>
      <c r="C12013" t="s">
        <v>23490</v>
      </c>
      <c r="D12013" t="str">
        <f>HYPERLINK("https://rhld.insurance.arkansas.gov/NPILookup?Npi=1396095899","1396095899")</f>
        <v>1396095899</v>
      </c>
      <c r="E12013" t="s">
        <v>12980</v>
      </c>
    </row>
    <row r="12014" spans="1:5" x14ac:dyDescent="0.25">
      <c r="A12014" t="s">
        <v>2</v>
      </c>
      <c r="B12014" t="s">
        <v>3458</v>
      </c>
      <c r="C12014" t="s">
        <v>23490</v>
      </c>
      <c r="D12014" t="str">
        <f>HYPERLINK("https://rhld.insurance.arkansas.gov/NPILookup?Npi=1396130431","1396130431")</f>
        <v>1396130431</v>
      </c>
      <c r="E12014" t="s">
        <v>13515</v>
      </c>
    </row>
    <row r="12015" spans="1:5" x14ac:dyDescent="0.25">
      <c r="A12015" t="s">
        <v>2</v>
      </c>
      <c r="B12015" t="s">
        <v>3458</v>
      </c>
      <c r="C12015" t="s">
        <v>23490</v>
      </c>
      <c r="D12015" t="str">
        <f>HYPERLINK("https://rhld.insurance.arkansas.gov/NPILookup?Npi=1396163499","1396163499")</f>
        <v>1396163499</v>
      </c>
      <c r="E12015" t="s">
        <v>10890</v>
      </c>
    </row>
    <row r="12016" spans="1:5" x14ac:dyDescent="0.25">
      <c r="A12016" t="s">
        <v>2</v>
      </c>
      <c r="B12016" t="s">
        <v>3458</v>
      </c>
      <c r="C12016" t="s">
        <v>23490</v>
      </c>
      <c r="D12016" t="str">
        <f>HYPERLINK("https://rhld.insurance.arkansas.gov/NPILookup?Npi=1396185542","1396185542")</f>
        <v>1396185542</v>
      </c>
      <c r="E12016" t="s">
        <v>15072</v>
      </c>
    </row>
    <row r="12017" spans="1:5" x14ac:dyDescent="0.25">
      <c r="A12017" t="s">
        <v>2</v>
      </c>
      <c r="B12017" t="s">
        <v>3458</v>
      </c>
      <c r="C12017" t="s">
        <v>23490</v>
      </c>
      <c r="D12017" t="str">
        <f>HYPERLINK("https://rhld.insurance.arkansas.gov/NPILookup?Npi=1396191136","1396191136")</f>
        <v>1396191136</v>
      </c>
      <c r="E12017" t="s">
        <v>8657</v>
      </c>
    </row>
    <row r="12018" spans="1:5" x14ac:dyDescent="0.25">
      <c r="A12018" t="s">
        <v>2</v>
      </c>
      <c r="B12018" t="s">
        <v>3458</v>
      </c>
      <c r="C12018" t="s">
        <v>23490</v>
      </c>
      <c r="D12018" t="str">
        <f>HYPERLINK("https://rhld.insurance.arkansas.gov/NPILookup?Npi=1396200978","1396200978")</f>
        <v>1396200978</v>
      </c>
      <c r="E12018" t="s">
        <v>17973</v>
      </c>
    </row>
    <row r="12019" spans="1:5" x14ac:dyDescent="0.25">
      <c r="A12019" t="s">
        <v>2</v>
      </c>
      <c r="B12019" t="s">
        <v>3458</v>
      </c>
      <c r="C12019" t="s">
        <v>23490</v>
      </c>
      <c r="D12019" t="str">
        <f>HYPERLINK("https://rhld.insurance.arkansas.gov/NPILookup?Npi=1396230876","1396230876")</f>
        <v>1396230876</v>
      </c>
      <c r="E12019" t="s">
        <v>13516</v>
      </c>
    </row>
    <row r="12020" spans="1:5" x14ac:dyDescent="0.25">
      <c r="A12020" t="s">
        <v>2</v>
      </c>
      <c r="B12020" t="s">
        <v>3458</v>
      </c>
      <c r="C12020" t="s">
        <v>23490</v>
      </c>
      <c r="D12020" t="str">
        <f>HYPERLINK("https://rhld.insurance.arkansas.gov/NPILookup?Npi=1396238598","1396238598")</f>
        <v>1396238598</v>
      </c>
      <c r="E12020" t="s">
        <v>19691</v>
      </c>
    </row>
    <row r="12021" spans="1:5" x14ac:dyDescent="0.25">
      <c r="A12021" t="s">
        <v>2</v>
      </c>
      <c r="B12021" t="s">
        <v>3458</v>
      </c>
      <c r="C12021" t="s">
        <v>23490</v>
      </c>
      <c r="D12021" t="str">
        <f>HYPERLINK("https://rhld.insurance.arkansas.gov/NPILookup?Npi=1396244257","1396244257")</f>
        <v>1396244257</v>
      </c>
      <c r="E12021" t="s">
        <v>15854</v>
      </c>
    </row>
    <row r="12022" spans="1:5" x14ac:dyDescent="0.25">
      <c r="A12022" t="s">
        <v>2</v>
      </c>
      <c r="B12022" t="s">
        <v>3458</v>
      </c>
      <c r="C12022" t="s">
        <v>23490</v>
      </c>
      <c r="D12022" t="str">
        <f>HYPERLINK("https://rhld.insurance.arkansas.gov/NPILookup?Npi=1396248381","1396248381")</f>
        <v>1396248381</v>
      </c>
      <c r="E12022" t="s">
        <v>12981</v>
      </c>
    </row>
    <row r="12023" spans="1:5" x14ac:dyDescent="0.25">
      <c r="A12023" t="s">
        <v>2</v>
      </c>
      <c r="B12023" t="s">
        <v>3458</v>
      </c>
      <c r="C12023" t="s">
        <v>23490</v>
      </c>
      <c r="D12023" t="str">
        <f>HYPERLINK("https://rhld.insurance.arkansas.gov/NPILookup?Npi=1396252482","1396252482")</f>
        <v>1396252482</v>
      </c>
      <c r="E12023" t="s">
        <v>17974</v>
      </c>
    </row>
    <row r="12024" spans="1:5" x14ac:dyDescent="0.25">
      <c r="A12024" t="s">
        <v>2</v>
      </c>
      <c r="B12024" t="s">
        <v>3458</v>
      </c>
      <c r="C12024" t="s">
        <v>23490</v>
      </c>
      <c r="D12024" t="str">
        <f>HYPERLINK("https://rhld.insurance.arkansas.gov/NPILookup?Npi=1396257150","1396257150")</f>
        <v>1396257150</v>
      </c>
      <c r="E12024" t="s">
        <v>12837</v>
      </c>
    </row>
    <row r="12025" spans="1:5" x14ac:dyDescent="0.25">
      <c r="A12025" t="s">
        <v>2</v>
      </c>
      <c r="B12025" t="s">
        <v>3458</v>
      </c>
      <c r="C12025" t="s">
        <v>23490</v>
      </c>
      <c r="D12025" t="str">
        <f>HYPERLINK("https://rhld.insurance.arkansas.gov/NPILookup?Npi=1396299400","1396299400")</f>
        <v>1396299400</v>
      </c>
      <c r="E12025" t="s">
        <v>15073</v>
      </c>
    </row>
    <row r="12026" spans="1:5" x14ac:dyDescent="0.25">
      <c r="A12026" t="s">
        <v>2</v>
      </c>
      <c r="B12026" t="s">
        <v>3458</v>
      </c>
      <c r="C12026" t="s">
        <v>23490</v>
      </c>
      <c r="D12026" t="str">
        <f>HYPERLINK("https://rhld.insurance.arkansas.gov/NPILookup?Npi=1396304697","1396304697")</f>
        <v>1396304697</v>
      </c>
      <c r="E12026" t="s">
        <v>17975</v>
      </c>
    </row>
    <row r="12027" spans="1:5" x14ac:dyDescent="0.25">
      <c r="A12027" t="s">
        <v>2</v>
      </c>
      <c r="B12027" t="s">
        <v>3458</v>
      </c>
      <c r="C12027" t="s">
        <v>23490</v>
      </c>
      <c r="D12027" t="str">
        <f>HYPERLINK("https://rhld.insurance.arkansas.gov/NPILookup?Npi=1396306213","1396306213")</f>
        <v>1396306213</v>
      </c>
      <c r="E12027" t="s">
        <v>20243</v>
      </c>
    </row>
    <row r="12028" spans="1:5" x14ac:dyDescent="0.25">
      <c r="A12028" t="s">
        <v>2</v>
      </c>
      <c r="B12028" t="s">
        <v>3458</v>
      </c>
      <c r="C12028" t="s">
        <v>23490</v>
      </c>
      <c r="D12028" t="str">
        <f>HYPERLINK("https://rhld.insurance.arkansas.gov/NPILookup?Npi=1396314944","1396314944")</f>
        <v>1396314944</v>
      </c>
      <c r="E12028" t="s">
        <v>19692</v>
      </c>
    </row>
    <row r="12029" spans="1:5" x14ac:dyDescent="0.25">
      <c r="A12029" t="s">
        <v>2</v>
      </c>
      <c r="B12029" t="s">
        <v>3458</v>
      </c>
      <c r="C12029" t="s">
        <v>23490</v>
      </c>
      <c r="D12029" t="str">
        <f>HYPERLINK("https://rhld.insurance.arkansas.gov/NPILookup?Npi=1396381042","1396381042")</f>
        <v>1396381042</v>
      </c>
      <c r="E12029" t="s">
        <v>20244</v>
      </c>
    </row>
    <row r="12030" spans="1:5" x14ac:dyDescent="0.25">
      <c r="A12030" t="s">
        <v>2</v>
      </c>
      <c r="B12030" t="s">
        <v>3458</v>
      </c>
      <c r="C12030" t="s">
        <v>23490</v>
      </c>
      <c r="D12030" t="str">
        <f>HYPERLINK("https://rhld.insurance.arkansas.gov/NPILookup?Npi=1396402764","1396402764")</f>
        <v>1396402764</v>
      </c>
      <c r="E12030" t="s">
        <v>19693</v>
      </c>
    </row>
    <row r="12031" spans="1:5" x14ac:dyDescent="0.25">
      <c r="A12031" t="s">
        <v>2</v>
      </c>
      <c r="B12031" t="s">
        <v>3458</v>
      </c>
      <c r="C12031" t="s">
        <v>23490</v>
      </c>
      <c r="D12031" t="str">
        <f>HYPERLINK("https://rhld.insurance.arkansas.gov/NPILookup?Npi=1396490058","1396490058")</f>
        <v>1396490058</v>
      </c>
      <c r="E12031" t="s">
        <v>19694</v>
      </c>
    </row>
    <row r="12032" spans="1:5" x14ac:dyDescent="0.25">
      <c r="A12032" t="s">
        <v>2</v>
      </c>
      <c r="B12032" t="s">
        <v>3458</v>
      </c>
      <c r="C12032" t="s">
        <v>23490</v>
      </c>
      <c r="D12032" t="str">
        <f>HYPERLINK("https://rhld.insurance.arkansas.gov/NPILookup?Npi=1396499737","1396499737")</f>
        <v>1396499737</v>
      </c>
      <c r="E12032" t="s">
        <v>9586</v>
      </c>
    </row>
    <row r="12033" spans="1:5" x14ac:dyDescent="0.25">
      <c r="A12033" t="s">
        <v>2</v>
      </c>
      <c r="B12033" t="s">
        <v>3458</v>
      </c>
      <c r="C12033" t="s">
        <v>23490</v>
      </c>
      <c r="D12033" t="str">
        <f>HYPERLINK("https://rhld.insurance.arkansas.gov/NPILookup?Npi=1396703252","1396703252")</f>
        <v>1396703252</v>
      </c>
      <c r="E12033" t="s">
        <v>1401</v>
      </c>
    </row>
    <row r="12034" spans="1:5" x14ac:dyDescent="0.25">
      <c r="A12034" t="s">
        <v>2</v>
      </c>
      <c r="B12034" t="s">
        <v>3458</v>
      </c>
      <c r="C12034" t="s">
        <v>23490</v>
      </c>
      <c r="D12034" t="str">
        <f>HYPERLINK("https://rhld.insurance.arkansas.gov/NPILookup?Npi=1396706180","1396706180")</f>
        <v>1396706180</v>
      </c>
      <c r="E12034" t="s">
        <v>1402</v>
      </c>
    </row>
    <row r="12035" spans="1:5" x14ac:dyDescent="0.25">
      <c r="A12035" t="s">
        <v>2</v>
      </c>
      <c r="B12035" t="s">
        <v>3458</v>
      </c>
      <c r="C12035" t="s">
        <v>23490</v>
      </c>
      <c r="D12035" t="str">
        <f>HYPERLINK("https://rhld.insurance.arkansas.gov/NPILookup?Npi=1396707808","1396707808")</f>
        <v>1396707808</v>
      </c>
      <c r="E12035" t="s">
        <v>1403</v>
      </c>
    </row>
    <row r="12036" spans="1:5" x14ac:dyDescent="0.25">
      <c r="A12036" t="s">
        <v>2</v>
      </c>
      <c r="B12036" t="s">
        <v>3458</v>
      </c>
      <c r="C12036" t="s">
        <v>23490</v>
      </c>
      <c r="D12036" t="str">
        <f>HYPERLINK("https://rhld.insurance.arkansas.gov/NPILookup?Npi=1396709150","1396709150")</f>
        <v>1396709150</v>
      </c>
      <c r="E12036" t="s">
        <v>1404</v>
      </c>
    </row>
    <row r="12037" spans="1:5" x14ac:dyDescent="0.25">
      <c r="A12037" t="s">
        <v>2</v>
      </c>
      <c r="B12037" t="s">
        <v>3458</v>
      </c>
      <c r="C12037" t="s">
        <v>23490</v>
      </c>
      <c r="D12037" t="str">
        <f>HYPERLINK("https://rhld.insurance.arkansas.gov/NPILookup?Npi=1396714424","1396714424")</f>
        <v>1396714424</v>
      </c>
      <c r="E12037" t="s">
        <v>1406</v>
      </c>
    </row>
    <row r="12038" spans="1:5" x14ac:dyDescent="0.25">
      <c r="A12038" t="s">
        <v>2</v>
      </c>
      <c r="B12038" t="s">
        <v>3458</v>
      </c>
      <c r="C12038" t="s">
        <v>23490</v>
      </c>
      <c r="D12038" t="str">
        <f>HYPERLINK("https://rhld.insurance.arkansas.gov/NPILookup?Npi=1396727590","1396727590")</f>
        <v>1396727590</v>
      </c>
      <c r="E12038" t="s">
        <v>15075</v>
      </c>
    </row>
    <row r="12039" spans="1:5" x14ac:dyDescent="0.25">
      <c r="A12039" t="s">
        <v>2</v>
      </c>
      <c r="B12039" t="s">
        <v>3458</v>
      </c>
      <c r="C12039" t="s">
        <v>23490</v>
      </c>
      <c r="D12039" t="str">
        <f>HYPERLINK("https://rhld.insurance.arkansas.gov/NPILookup?Npi=1396731550","1396731550")</f>
        <v>1396731550</v>
      </c>
      <c r="E12039" t="s">
        <v>1407</v>
      </c>
    </row>
    <row r="12040" spans="1:5" x14ac:dyDescent="0.25">
      <c r="A12040" t="s">
        <v>2</v>
      </c>
      <c r="B12040" t="s">
        <v>3458</v>
      </c>
      <c r="C12040" t="s">
        <v>23490</v>
      </c>
      <c r="D12040" t="str">
        <f>HYPERLINK("https://rhld.insurance.arkansas.gov/NPILookup?Npi=1396732202","1396732202")</f>
        <v>1396732202</v>
      </c>
      <c r="E12040" t="s">
        <v>3698</v>
      </c>
    </row>
    <row r="12041" spans="1:5" x14ac:dyDescent="0.25">
      <c r="A12041" t="s">
        <v>2</v>
      </c>
      <c r="B12041" t="s">
        <v>3458</v>
      </c>
      <c r="C12041" t="s">
        <v>23490</v>
      </c>
      <c r="D12041" t="str">
        <f>HYPERLINK("https://rhld.insurance.arkansas.gov/NPILookup?Npi=1396733788","1396733788")</f>
        <v>1396733788</v>
      </c>
      <c r="E12041" t="s">
        <v>1408</v>
      </c>
    </row>
    <row r="12042" spans="1:5" x14ac:dyDescent="0.25">
      <c r="A12042" t="s">
        <v>2</v>
      </c>
      <c r="B12042" t="s">
        <v>3458</v>
      </c>
      <c r="C12042" t="s">
        <v>23490</v>
      </c>
      <c r="D12042" t="str">
        <f>HYPERLINK("https://rhld.insurance.arkansas.gov/NPILookup?Npi=1396738266","1396738266")</f>
        <v>1396738266</v>
      </c>
      <c r="E12042" t="s">
        <v>15076</v>
      </c>
    </row>
    <row r="12043" spans="1:5" x14ac:dyDescent="0.25">
      <c r="A12043" t="s">
        <v>2</v>
      </c>
      <c r="B12043" t="s">
        <v>3458</v>
      </c>
      <c r="C12043" t="s">
        <v>23490</v>
      </c>
      <c r="D12043" t="str">
        <f>HYPERLINK("https://rhld.insurance.arkansas.gov/NPILookup?Npi=1396747648","1396747648")</f>
        <v>1396747648</v>
      </c>
      <c r="E12043" t="s">
        <v>1409</v>
      </c>
    </row>
    <row r="12044" spans="1:5" x14ac:dyDescent="0.25">
      <c r="A12044" t="s">
        <v>2</v>
      </c>
      <c r="B12044" t="s">
        <v>3458</v>
      </c>
      <c r="C12044" t="s">
        <v>23490</v>
      </c>
      <c r="D12044" t="str">
        <f>HYPERLINK("https://rhld.insurance.arkansas.gov/NPILookup?Npi=1396760476","1396760476")</f>
        <v>1396760476</v>
      </c>
      <c r="E12044" t="s">
        <v>15077</v>
      </c>
    </row>
    <row r="12045" spans="1:5" x14ac:dyDescent="0.25">
      <c r="A12045" t="s">
        <v>2</v>
      </c>
      <c r="B12045" t="s">
        <v>3458</v>
      </c>
      <c r="C12045" t="s">
        <v>23490</v>
      </c>
      <c r="D12045" t="str">
        <f>HYPERLINK("https://rhld.insurance.arkansas.gov/NPILookup?Npi=1396770046","1396770046")</f>
        <v>1396770046</v>
      </c>
      <c r="E12045" t="s">
        <v>1410</v>
      </c>
    </row>
    <row r="12046" spans="1:5" x14ac:dyDescent="0.25">
      <c r="A12046" t="s">
        <v>2</v>
      </c>
      <c r="B12046" t="s">
        <v>3458</v>
      </c>
      <c r="C12046" t="s">
        <v>23490</v>
      </c>
      <c r="D12046" t="str">
        <f>HYPERLINK("https://rhld.insurance.arkansas.gov/NPILookup?Npi=1396773735","1396773735")</f>
        <v>1396773735</v>
      </c>
      <c r="E12046" t="s">
        <v>1411</v>
      </c>
    </row>
    <row r="12047" spans="1:5" x14ac:dyDescent="0.25">
      <c r="A12047" t="s">
        <v>2</v>
      </c>
      <c r="B12047" t="s">
        <v>3458</v>
      </c>
      <c r="C12047" t="s">
        <v>23490</v>
      </c>
      <c r="D12047" t="str">
        <f>HYPERLINK("https://rhld.insurance.arkansas.gov/NPILookup?Npi=1396774618","1396774618")</f>
        <v>1396774618</v>
      </c>
      <c r="E12047" t="s">
        <v>1412</v>
      </c>
    </row>
    <row r="12048" spans="1:5" x14ac:dyDescent="0.25">
      <c r="A12048" t="s">
        <v>2</v>
      </c>
      <c r="B12048" t="s">
        <v>3458</v>
      </c>
      <c r="C12048" t="s">
        <v>23490</v>
      </c>
      <c r="D12048" t="str">
        <f>HYPERLINK("https://rhld.insurance.arkansas.gov/NPILookup?Npi=1396776761","1396776761")</f>
        <v>1396776761</v>
      </c>
      <c r="E12048" t="s">
        <v>1413</v>
      </c>
    </row>
    <row r="12049" spans="1:5" x14ac:dyDescent="0.25">
      <c r="A12049" t="s">
        <v>2</v>
      </c>
      <c r="B12049" t="s">
        <v>3458</v>
      </c>
      <c r="C12049" t="s">
        <v>23490</v>
      </c>
      <c r="D12049" t="str">
        <f>HYPERLINK("https://rhld.insurance.arkansas.gov/NPILookup?Npi=1396778247","1396778247")</f>
        <v>1396778247</v>
      </c>
      <c r="E12049" t="s">
        <v>15078</v>
      </c>
    </row>
    <row r="12050" spans="1:5" x14ac:dyDescent="0.25">
      <c r="A12050" t="s">
        <v>2</v>
      </c>
      <c r="B12050" t="s">
        <v>3458</v>
      </c>
      <c r="C12050" t="s">
        <v>23490</v>
      </c>
      <c r="D12050" t="str">
        <f>HYPERLINK("https://rhld.insurance.arkansas.gov/NPILookup?Npi=1396781118","1396781118")</f>
        <v>1396781118</v>
      </c>
      <c r="E12050" t="s">
        <v>1415</v>
      </c>
    </row>
    <row r="12051" spans="1:5" x14ac:dyDescent="0.25">
      <c r="A12051" t="s">
        <v>2</v>
      </c>
      <c r="B12051" t="s">
        <v>3458</v>
      </c>
      <c r="C12051" t="s">
        <v>23490</v>
      </c>
      <c r="D12051" t="str">
        <f>HYPERLINK("https://rhld.insurance.arkansas.gov/NPILookup?Npi=1396790721","1396790721")</f>
        <v>1396790721</v>
      </c>
      <c r="E12051" t="s">
        <v>1416</v>
      </c>
    </row>
    <row r="12052" spans="1:5" x14ac:dyDescent="0.25">
      <c r="A12052" t="s">
        <v>2</v>
      </c>
      <c r="B12052" t="s">
        <v>3458</v>
      </c>
      <c r="C12052" t="s">
        <v>23490</v>
      </c>
      <c r="D12052" t="str">
        <f>HYPERLINK("https://rhld.insurance.arkansas.gov/NPILookup?Npi=1396793741","1396793741")</f>
        <v>1396793741</v>
      </c>
      <c r="E12052" t="s">
        <v>17425</v>
      </c>
    </row>
    <row r="12053" spans="1:5" x14ac:dyDescent="0.25">
      <c r="A12053" t="s">
        <v>2</v>
      </c>
      <c r="B12053" t="s">
        <v>3458</v>
      </c>
      <c r="C12053" t="s">
        <v>23490</v>
      </c>
      <c r="D12053" t="str">
        <f>HYPERLINK("https://rhld.insurance.arkansas.gov/NPILookup?Npi=1396799300","1396799300")</f>
        <v>1396799300</v>
      </c>
      <c r="E12053" t="s">
        <v>1417</v>
      </c>
    </row>
    <row r="12054" spans="1:5" x14ac:dyDescent="0.25">
      <c r="A12054" t="s">
        <v>2</v>
      </c>
      <c r="B12054" t="s">
        <v>3458</v>
      </c>
      <c r="C12054" t="s">
        <v>23490</v>
      </c>
      <c r="D12054" t="str">
        <f>HYPERLINK("https://rhld.insurance.arkansas.gov/NPILookup?Npi=1396835955","1396835955")</f>
        <v>1396835955</v>
      </c>
      <c r="E12054" t="s">
        <v>3700</v>
      </c>
    </row>
    <row r="12055" spans="1:5" x14ac:dyDescent="0.25">
      <c r="A12055" t="s">
        <v>2</v>
      </c>
      <c r="B12055" t="s">
        <v>3458</v>
      </c>
      <c r="C12055" t="s">
        <v>23490</v>
      </c>
      <c r="D12055" t="str">
        <f>HYPERLINK("https://rhld.insurance.arkansas.gov/NPILookup?Npi=1396843918","1396843918")</f>
        <v>1396843918</v>
      </c>
      <c r="E12055" t="s">
        <v>1419</v>
      </c>
    </row>
    <row r="12056" spans="1:5" x14ac:dyDescent="0.25">
      <c r="A12056" t="s">
        <v>2</v>
      </c>
      <c r="B12056" t="s">
        <v>3458</v>
      </c>
      <c r="C12056" t="s">
        <v>23490</v>
      </c>
      <c r="D12056" t="str">
        <f>HYPERLINK("https://rhld.insurance.arkansas.gov/NPILookup?Npi=1396889721","1396889721")</f>
        <v>1396889721</v>
      </c>
      <c r="E12056" t="s">
        <v>11354</v>
      </c>
    </row>
    <row r="12057" spans="1:5" x14ac:dyDescent="0.25">
      <c r="A12057" t="s">
        <v>2</v>
      </c>
      <c r="B12057" t="s">
        <v>3458</v>
      </c>
      <c r="C12057" t="s">
        <v>23490</v>
      </c>
      <c r="D12057" t="str">
        <f>HYPERLINK("https://rhld.insurance.arkansas.gov/NPILookup?Npi=1396896734","1396896734")</f>
        <v>1396896734</v>
      </c>
      <c r="E12057" t="s">
        <v>1422</v>
      </c>
    </row>
    <row r="12058" spans="1:5" x14ac:dyDescent="0.25">
      <c r="A12058" t="s">
        <v>2</v>
      </c>
      <c r="B12058" t="s">
        <v>3458</v>
      </c>
      <c r="C12058" t="s">
        <v>23490</v>
      </c>
      <c r="D12058" t="str">
        <f>HYPERLINK("https://rhld.insurance.arkansas.gov/NPILookup?Npi=1396907259","1396907259")</f>
        <v>1396907259</v>
      </c>
      <c r="E12058" t="s">
        <v>3701</v>
      </c>
    </row>
    <row r="12059" spans="1:5" x14ac:dyDescent="0.25">
      <c r="A12059" t="s">
        <v>2</v>
      </c>
      <c r="B12059" t="s">
        <v>3458</v>
      </c>
      <c r="C12059" t="s">
        <v>23490</v>
      </c>
      <c r="D12059" t="str">
        <f>HYPERLINK("https://rhld.insurance.arkansas.gov/NPILookup?Npi=1396912796","1396912796")</f>
        <v>1396912796</v>
      </c>
      <c r="E12059" t="s">
        <v>8658</v>
      </c>
    </row>
    <row r="12060" spans="1:5" x14ac:dyDescent="0.25">
      <c r="A12060" t="s">
        <v>2</v>
      </c>
      <c r="B12060" t="s">
        <v>3458</v>
      </c>
      <c r="C12060" t="s">
        <v>23490</v>
      </c>
      <c r="D12060" t="str">
        <f>HYPERLINK("https://rhld.insurance.arkansas.gov/NPILookup?Npi=1396935466","1396935466")</f>
        <v>1396935466</v>
      </c>
      <c r="E12060" t="s">
        <v>1424</v>
      </c>
    </row>
    <row r="12061" spans="1:5" x14ac:dyDescent="0.25">
      <c r="A12061" t="s">
        <v>2</v>
      </c>
      <c r="B12061" t="s">
        <v>3458</v>
      </c>
      <c r="C12061" t="s">
        <v>23490</v>
      </c>
      <c r="D12061" t="str">
        <f>HYPERLINK("https://rhld.insurance.arkansas.gov/NPILookup?Npi=1396941522","1396941522")</f>
        <v>1396941522</v>
      </c>
      <c r="E12061" t="s">
        <v>1425</v>
      </c>
    </row>
    <row r="12062" spans="1:5" x14ac:dyDescent="0.25">
      <c r="A12062" t="s">
        <v>2</v>
      </c>
      <c r="B12062" t="s">
        <v>3458</v>
      </c>
      <c r="C12062" t="s">
        <v>23490</v>
      </c>
      <c r="D12062" t="str">
        <f>HYPERLINK("https://rhld.insurance.arkansas.gov/NPILookup?Npi=1396987772","1396987772")</f>
        <v>1396987772</v>
      </c>
      <c r="E12062" t="s">
        <v>3702</v>
      </c>
    </row>
    <row r="12063" spans="1:5" x14ac:dyDescent="0.25">
      <c r="A12063" t="s">
        <v>2</v>
      </c>
      <c r="B12063" t="s">
        <v>3458</v>
      </c>
      <c r="C12063" t="s">
        <v>23490</v>
      </c>
      <c r="D12063" t="str">
        <f>HYPERLINK("https://rhld.insurance.arkansas.gov/NPILookup?Npi=1396998977","1396998977")</f>
        <v>1396998977</v>
      </c>
      <c r="E12063" t="s">
        <v>18767</v>
      </c>
    </row>
    <row r="12064" spans="1:5" x14ac:dyDescent="0.25">
      <c r="A12064" t="s">
        <v>2</v>
      </c>
      <c r="B12064" t="s">
        <v>3458</v>
      </c>
      <c r="C12064" t="s">
        <v>23490</v>
      </c>
      <c r="D12064" t="str">
        <f>HYPERLINK("https://rhld.insurance.arkansas.gov/NPILookup?Npi=1407000300","1407000300")</f>
        <v>1407000300</v>
      </c>
      <c r="E12064" t="s">
        <v>3703</v>
      </c>
    </row>
    <row r="12065" spans="1:5" x14ac:dyDescent="0.25">
      <c r="A12065" t="s">
        <v>2</v>
      </c>
      <c r="B12065" t="s">
        <v>3458</v>
      </c>
      <c r="C12065" t="s">
        <v>23490</v>
      </c>
      <c r="D12065" t="str">
        <f>HYPERLINK("https://rhld.insurance.arkansas.gov/NPILookup?Npi=1407007628","1407007628")</f>
        <v>1407007628</v>
      </c>
      <c r="E12065" t="s">
        <v>21733</v>
      </c>
    </row>
    <row r="12066" spans="1:5" x14ac:dyDescent="0.25">
      <c r="A12066" t="s">
        <v>2</v>
      </c>
      <c r="B12066" t="s">
        <v>3458</v>
      </c>
      <c r="C12066" t="s">
        <v>23490</v>
      </c>
      <c r="D12066" t="str">
        <f>HYPERLINK("https://rhld.insurance.arkansas.gov/NPILookup?Npi=1407010952","1407010952")</f>
        <v>1407010952</v>
      </c>
      <c r="E12066" t="s">
        <v>1426</v>
      </c>
    </row>
    <row r="12067" spans="1:5" x14ac:dyDescent="0.25">
      <c r="A12067" t="s">
        <v>2</v>
      </c>
      <c r="B12067" t="s">
        <v>3458</v>
      </c>
      <c r="C12067" t="s">
        <v>23490</v>
      </c>
      <c r="D12067" t="str">
        <f>HYPERLINK("https://rhld.insurance.arkansas.gov/NPILookup?Npi=1407022734","1407022734")</f>
        <v>1407022734</v>
      </c>
      <c r="E12067" t="s">
        <v>20245</v>
      </c>
    </row>
    <row r="12068" spans="1:5" x14ac:dyDescent="0.25">
      <c r="A12068" t="s">
        <v>2</v>
      </c>
      <c r="B12068" t="s">
        <v>3458</v>
      </c>
      <c r="C12068" t="s">
        <v>23490</v>
      </c>
      <c r="D12068" t="str">
        <f>HYPERLINK("https://rhld.insurance.arkansas.gov/NPILookup?Npi=1407026446","1407026446")</f>
        <v>1407026446</v>
      </c>
      <c r="E12068" t="s">
        <v>12982</v>
      </c>
    </row>
    <row r="12069" spans="1:5" x14ac:dyDescent="0.25">
      <c r="A12069" t="s">
        <v>2</v>
      </c>
      <c r="B12069" t="s">
        <v>3458</v>
      </c>
      <c r="C12069" t="s">
        <v>23490</v>
      </c>
      <c r="D12069" t="str">
        <f>HYPERLINK("https://rhld.insurance.arkansas.gov/NPILookup?Npi=1407030349","1407030349")</f>
        <v>1407030349</v>
      </c>
      <c r="E12069" t="s">
        <v>15080</v>
      </c>
    </row>
    <row r="12070" spans="1:5" x14ac:dyDescent="0.25">
      <c r="A12070" t="s">
        <v>2</v>
      </c>
      <c r="B12070" t="s">
        <v>3458</v>
      </c>
      <c r="C12070" t="s">
        <v>23490</v>
      </c>
      <c r="D12070" t="str">
        <f>HYPERLINK("https://rhld.insurance.arkansas.gov/NPILookup?Npi=1407046600","1407046600")</f>
        <v>1407046600</v>
      </c>
      <c r="E12070" t="s">
        <v>19696</v>
      </c>
    </row>
    <row r="12071" spans="1:5" x14ac:dyDescent="0.25">
      <c r="A12071" t="s">
        <v>2</v>
      </c>
      <c r="B12071" t="s">
        <v>3458</v>
      </c>
      <c r="C12071" t="s">
        <v>23490</v>
      </c>
      <c r="D12071" t="str">
        <f>HYPERLINK("https://rhld.insurance.arkansas.gov/NPILookup?Npi=1407060569","1407060569")</f>
        <v>1407060569</v>
      </c>
      <c r="E12071" t="s">
        <v>13848</v>
      </c>
    </row>
    <row r="12072" spans="1:5" x14ac:dyDescent="0.25">
      <c r="A12072" t="s">
        <v>2</v>
      </c>
      <c r="B12072" t="s">
        <v>3458</v>
      </c>
      <c r="C12072" t="s">
        <v>23490</v>
      </c>
      <c r="D12072" t="str">
        <f>HYPERLINK("https://rhld.insurance.arkansas.gov/NPILookup?Npi=1407070162","1407070162")</f>
        <v>1407070162</v>
      </c>
      <c r="E12072" t="s">
        <v>10893</v>
      </c>
    </row>
    <row r="12073" spans="1:5" x14ac:dyDescent="0.25">
      <c r="A12073" t="s">
        <v>2</v>
      </c>
      <c r="B12073" t="s">
        <v>3458</v>
      </c>
      <c r="C12073" t="s">
        <v>23490</v>
      </c>
      <c r="D12073" t="str">
        <f>HYPERLINK("https://rhld.insurance.arkansas.gov/NPILookup?Npi=1407078710","1407078710")</f>
        <v>1407078710</v>
      </c>
      <c r="E12073" t="s">
        <v>3704</v>
      </c>
    </row>
    <row r="12074" spans="1:5" x14ac:dyDescent="0.25">
      <c r="A12074" t="s">
        <v>2</v>
      </c>
      <c r="B12074" t="s">
        <v>3458</v>
      </c>
      <c r="C12074" t="s">
        <v>23490</v>
      </c>
      <c r="D12074" t="str">
        <f>HYPERLINK("https://rhld.insurance.arkansas.gov/NPILookup?Npi=1407084320","1407084320")</f>
        <v>1407084320</v>
      </c>
      <c r="E12074" t="s">
        <v>3705</v>
      </c>
    </row>
    <row r="12075" spans="1:5" x14ac:dyDescent="0.25">
      <c r="A12075" t="s">
        <v>2</v>
      </c>
      <c r="B12075" t="s">
        <v>3458</v>
      </c>
      <c r="C12075" t="s">
        <v>23490</v>
      </c>
      <c r="D12075" t="str">
        <f>HYPERLINK("https://rhld.insurance.arkansas.gov/NPILookup?Npi=1407086200","1407086200")</f>
        <v>1407086200</v>
      </c>
      <c r="E12075" t="s">
        <v>1427</v>
      </c>
    </row>
    <row r="12076" spans="1:5" x14ac:dyDescent="0.25">
      <c r="A12076" t="s">
        <v>2</v>
      </c>
      <c r="B12076" t="s">
        <v>3458</v>
      </c>
      <c r="C12076" t="s">
        <v>23490</v>
      </c>
      <c r="D12076" t="str">
        <f>HYPERLINK("https://rhld.insurance.arkansas.gov/NPILookup?Npi=1407089436","1407089436")</f>
        <v>1407089436</v>
      </c>
      <c r="E12076" t="s">
        <v>12838</v>
      </c>
    </row>
    <row r="12077" spans="1:5" x14ac:dyDescent="0.25">
      <c r="A12077" t="s">
        <v>2</v>
      </c>
      <c r="B12077" t="s">
        <v>3458</v>
      </c>
      <c r="C12077" t="s">
        <v>23490</v>
      </c>
      <c r="D12077" t="str">
        <f>HYPERLINK("https://rhld.insurance.arkansas.gov/NPILookup?Npi=1407099385","1407099385")</f>
        <v>1407099385</v>
      </c>
      <c r="E12077" t="s">
        <v>3706</v>
      </c>
    </row>
    <row r="12078" spans="1:5" x14ac:dyDescent="0.25">
      <c r="A12078" t="s">
        <v>2</v>
      </c>
      <c r="B12078" t="s">
        <v>3458</v>
      </c>
      <c r="C12078" t="s">
        <v>23490</v>
      </c>
      <c r="D12078" t="str">
        <f>HYPERLINK("https://rhld.insurance.arkansas.gov/NPILookup?Npi=1407104052","1407104052")</f>
        <v>1407104052</v>
      </c>
      <c r="E12078" t="s">
        <v>1428</v>
      </c>
    </row>
    <row r="12079" spans="1:5" x14ac:dyDescent="0.25">
      <c r="A12079" t="s">
        <v>2</v>
      </c>
      <c r="B12079" t="s">
        <v>3458</v>
      </c>
      <c r="C12079" t="s">
        <v>23490</v>
      </c>
      <c r="D12079" t="str">
        <f>HYPERLINK("https://rhld.insurance.arkansas.gov/NPILookup?Npi=1407106180","1407106180")</f>
        <v>1407106180</v>
      </c>
      <c r="E12079" t="s">
        <v>3707</v>
      </c>
    </row>
    <row r="12080" spans="1:5" x14ac:dyDescent="0.25">
      <c r="A12080" t="s">
        <v>2</v>
      </c>
      <c r="B12080" t="s">
        <v>3458</v>
      </c>
      <c r="C12080" t="s">
        <v>23490</v>
      </c>
      <c r="D12080" t="str">
        <f>HYPERLINK("https://rhld.insurance.arkansas.gov/NPILookup?Npi=1407112089","1407112089")</f>
        <v>1407112089</v>
      </c>
      <c r="E12080" t="s">
        <v>15855</v>
      </c>
    </row>
    <row r="12081" spans="1:5" x14ac:dyDescent="0.25">
      <c r="A12081" t="s">
        <v>2</v>
      </c>
      <c r="B12081" t="s">
        <v>3458</v>
      </c>
      <c r="C12081" t="s">
        <v>23490</v>
      </c>
      <c r="D12081" t="str">
        <f>HYPERLINK("https://rhld.insurance.arkansas.gov/NPILookup?Npi=1407114978","1407114978")</f>
        <v>1407114978</v>
      </c>
      <c r="E12081" t="s">
        <v>1430</v>
      </c>
    </row>
    <row r="12082" spans="1:5" x14ac:dyDescent="0.25">
      <c r="A12082" t="s">
        <v>2</v>
      </c>
      <c r="B12082" t="s">
        <v>3458</v>
      </c>
      <c r="C12082" t="s">
        <v>23490</v>
      </c>
      <c r="D12082" t="str">
        <f>HYPERLINK("https://rhld.insurance.arkansas.gov/NPILookup?Npi=1407143662","1407143662")</f>
        <v>1407143662</v>
      </c>
      <c r="E12082" t="s">
        <v>1431</v>
      </c>
    </row>
    <row r="12083" spans="1:5" x14ac:dyDescent="0.25">
      <c r="A12083" t="s">
        <v>2</v>
      </c>
      <c r="B12083" t="s">
        <v>3458</v>
      </c>
      <c r="C12083" t="s">
        <v>23490</v>
      </c>
      <c r="D12083" t="str">
        <f>HYPERLINK("https://rhld.insurance.arkansas.gov/NPILookup?Npi=1407159429","1407159429")</f>
        <v>1407159429</v>
      </c>
      <c r="E12083" t="s">
        <v>10894</v>
      </c>
    </row>
    <row r="12084" spans="1:5" x14ac:dyDescent="0.25">
      <c r="A12084" t="s">
        <v>2</v>
      </c>
      <c r="B12084" t="s">
        <v>3458</v>
      </c>
      <c r="C12084" t="s">
        <v>23490</v>
      </c>
      <c r="D12084" t="str">
        <f>HYPERLINK("https://rhld.insurance.arkansas.gov/NPILookup?Npi=1407163066","1407163066")</f>
        <v>1407163066</v>
      </c>
      <c r="E12084" t="s">
        <v>17072</v>
      </c>
    </row>
    <row r="12085" spans="1:5" x14ac:dyDescent="0.25">
      <c r="A12085" t="s">
        <v>2</v>
      </c>
      <c r="B12085" t="s">
        <v>3458</v>
      </c>
      <c r="C12085" t="s">
        <v>23490</v>
      </c>
      <c r="D12085" t="str">
        <f>HYPERLINK("https://rhld.insurance.arkansas.gov/NPILookup?Npi=1407170889","1407170889")</f>
        <v>1407170889</v>
      </c>
      <c r="E12085" t="s">
        <v>1433</v>
      </c>
    </row>
    <row r="12086" spans="1:5" x14ac:dyDescent="0.25">
      <c r="A12086" t="s">
        <v>2</v>
      </c>
      <c r="B12086" t="s">
        <v>3458</v>
      </c>
      <c r="C12086" t="s">
        <v>23490</v>
      </c>
      <c r="D12086" t="str">
        <f>HYPERLINK("https://rhld.insurance.arkansas.gov/NPILookup?Npi=1407180441","1407180441")</f>
        <v>1407180441</v>
      </c>
      <c r="E12086" t="s">
        <v>15082</v>
      </c>
    </row>
    <row r="12087" spans="1:5" x14ac:dyDescent="0.25">
      <c r="A12087" t="s">
        <v>2</v>
      </c>
      <c r="B12087" t="s">
        <v>3458</v>
      </c>
      <c r="C12087" t="s">
        <v>23490</v>
      </c>
      <c r="D12087" t="str">
        <f>HYPERLINK("https://rhld.insurance.arkansas.gov/NPILookup?Npi=1407183924","1407183924")</f>
        <v>1407183924</v>
      </c>
      <c r="E12087" t="s">
        <v>15856</v>
      </c>
    </row>
    <row r="12088" spans="1:5" x14ac:dyDescent="0.25">
      <c r="A12088" t="s">
        <v>2</v>
      </c>
      <c r="B12088" t="s">
        <v>3458</v>
      </c>
      <c r="C12088" t="s">
        <v>23490</v>
      </c>
      <c r="D12088" t="str">
        <f>HYPERLINK("https://rhld.insurance.arkansas.gov/NPILookup?Npi=1407194269","1407194269")</f>
        <v>1407194269</v>
      </c>
      <c r="E12088" t="s">
        <v>1435</v>
      </c>
    </row>
    <row r="12089" spans="1:5" x14ac:dyDescent="0.25">
      <c r="A12089" t="s">
        <v>2</v>
      </c>
      <c r="B12089" t="s">
        <v>3458</v>
      </c>
      <c r="C12089" t="s">
        <v>23490</v>
      </c>
      <c r="D12089" t="str">
        <f>HYPERLINK("https://rhld.insurance.arkansas.gov/NPILookup?Npi=1407196264","1407196264")</f>
        <v>1407196264</v>
      </c>
      <c r="E12089" t="s">
        <v>10895</v>
      </c>
    </row>
    <row r="12090" spans="1:5" x14ac:dyDescent="0.25">
      <c r="A12090" t="s">
        <v>2</v>
      </c>
      <c r="B12090" t="s">
        <v>3458</v>
      </c>
      <c r="C12090" t="s">
        <v>23490</v>
      </c>
      <c r="D12090" t="str">
        <f>HYPERLINK("https://rhld.insurance.arkansas.gov/NPILookup?Npi=1407200611","1407200611")</f>
        <v>1407200611</v>
      </c>
      <c r="E12090" t="s">
        <v>8660</v>
      </c>
    </row>
    <row r="12091" spans="1:5" x14ac:dyDescent="0.25">
      <c r="A12091" t="s">
        <v>2</v>
      </c>
      <c r="B12091" t="s">
        <v>3458</v>
      </c>
      <c r="C12091" t="s">
        <v>23490</v>
      </c>
      <c r="D12091" t="str">
        <f>HYPERLINK("https://rhld.insurance.arkansas.gov/NPILookup?Npi=1407203425","1407203425")</f>
        <v>1407203425</v>
      </c>
      <c r="E12091" t="s">
        <v>10897</v>
      </c>
    </row>
    <row r="12092" spans="1:5" x14ac:dyDescent="0.25">
      <c r="A12092" t="s">
        <v>2</v>
      </c>
      <c r="B12092" t="s">
        <v>3458</v>
      </c>
      <c r="C12092" t="s">
        <v>23490</v>
      </c>
      <c r="D12092" t="str">
        <f>HYPERLINK("https://rhld.insurance.arkansas.gov/NPILookup?Npi=1407203888","1407203888")</f>
        <v>1407203888</v>
      </c>
      <c r="E12092" t="s">
        <v>13518</v>
      </c>
    </row>
    <row r="12093" spans="1:5" x14ac:dyDescent="0.25">
      <c r="A12093" t="s">
        <v>2</v>
      </c>
      <c r="B12093" t="s">
        <v>3458</v>
      </c>
      <c r="C12093" t="s">
        <v>23490</v>
      </c>
      <c r="D12093" t="str">
        <f>HYPERLINK("https://rhld.insurance.arkansas.gov/NPILookup?Npi=1407219033","1407219033")</f>
        <v>1407219033</v>
      </c>
      <c r="E12093" t="s">
        <v>13519</v>
      </c>
    </row>
    <row r="12094" spans="1:5" x14ac:dyDescent="0.25">
      <c r="A12094" t="s">
        <v>2</v>
      </c>
      <c r="B12094" t="s">
        <v>3458</v>
      </c>
      <c r="C12094" t="s">
        <v>23490</v>
      </c>
      <c r="D12094" t="str">
        <f>HYPERLINK("https://rhld.insurance.arkansas.gov/NPILookup?Npi=1407240732","1407240732")</f>
        <v>1407240732</v>
      </c>
      <c r="E12094" t="s">
        <v>10898</v>
      </c>
    </row>
    <row r="12095" spans="1:5" x14ac:dyDescent="0.25">
      <c r="A12095" t="s">
        <v>2</v>
      </c>
      <c r="B12095" t="s">
        <v>3458</v>
      </c>
      <c r="C12095" t="s">
        <v>23490</v>
      </c>
      <c r="D12095" t="str">
        <f>HYPERLINK("https://rhld.insurance.arkansas.gov/NPILookup?Npi=1407241045","1407241045")</f>
        <v>1407241045</v>
      </c>
      <c r="E12095" t="s">
        <v>13520</v>
      </c>
    </row>
    <row r="12096" spans="1:5" x14ac:dyDescent="0.25">
      <c r="A12096" t="s">
        <v>2</v>
      </c>
      <c r="B12096" t="s">
        <v>3458</v>
      </c>
      <c r="C12096" t="s">
        <v>23490</v>
      </c>
      <c r="D12096" t="str">
        <f>HYPERLINK("https://rhld.insurance.arkansas.gov/NPILookup?Npi=1407249311","1407249311")</f>
        <v>1407249311</v>
      </c>
      <c r="E12096" t="s">
        <v>10899</v>
      </c>
    </row>
    <row r="12097" spans="1:5" x14ac:dyDescent="0.25">
      <c r="A12097" t="s">
        <v>2</v>
      </c>
      <c r="B12097" t="s">
        <v>3458</v>
      </c>
      <c r="C12097" t="s">
        <v>23490</v>
      </c>
      <c r="D12097" t="str">
        <f>HYPERLINK("https://rhld.insurance.arkansas.gov/NPILookup?Npi=1407251267","1407251267")</f>
        <v>1407251267</v>
      </c>
      <c r="E12097" t="s">
        <v>15084</v>
      </c>
    </row>
    <row r="12098" spans="1:5" x14ac:dyDescent="0.25">
      <c r="A12098" t="s">
        <v>2</v>
      </c>
      <c r="B12098" t="s">
        <v>3458</v>
      </c>
      <c r="C12098" t="s">
        <v>23490</v>
      </c>
      <c r="D12098" t="str">
        <f>HYPERLINK("https://rhld.insurance.arkansas.gov/NPILookup?Npi=1407272198","1407272198")</f>
        <v>1407272198</v>
      </c>
      <c r="E12098" t="s">
        <v>15085</v>
      </c>
    </row>
    <row r="12099" spans="1:5" x14ac:dyDescent="0.25">
      <c r="A12099" t="s">
        <v>2</v>
      </c>
      <c r="B12099" t="s">
        <v>3458</v>
      </c>
      <c r="C12099" t="s">
        <v>23490</v>
      </c>
      <c r="D12099" t="str">
        <f>HYPERLINK("https://rhld.insurance.arkansas.gov/NPILookup?Npi=1407282817","1407282817")</f>
        <v>1407282817</v>
      </c>
      <c r="E12099" t="s">
        <v>1437</v>
      </c>
    </row>
    <row r="12100" spans="1:5" x14ac:dyDescent="0.25">
      <c r="A12100" t="s">
        <v>2</v>
      </c>
      <c r="B12100" t="s">
        <v>3458</v>
      </c>
      <c r="C12100" t="s">
        <v>23490</v>
      </c>
      <c r="D12100" t="str">
        <f>HYPERLINK("https://rhld.insurance.arkansas.gov/NPILookup?Npi=1407301724","1407301724")</f>
        <v>1407301724</v>
      </c>
      <c r="E12100" t="s">
        <v>16945</v>
      </c>
    </row>
    <row r="12101" spans="1:5" x14ac:dyDescent="0.25">
      <c r="A12101" t="s">
        <v>2</v>
      </c>
      <c r="B12101" t="s">
        <v>3458</v>
      </c>
      <c r="C12101" t="s">
        <v>23490</v>
      </c>
      <c r="D12101" t="str">
        <f>HYPERLINK("https://rhld.insurance.arkansas.gov/NPILookup?Npi=1407332406","1407332406")</f>
        <v>1407332406</v>
      </c>
      <c r="E12101" t="s">
        <v>18768</v>
      </c>
    </row>
    <row r="12102" spans="1:5" x14ac:dyDescent="0.25">
      <c r="A12102" t="s">
        <v>2</v>
      </c>
      <c r="B12102" t="s">
        <v>3458</v>
      </c>
      <c r="C12102" t="s">
        <v>23490</v>
      </c>
      <c r="D12102" t="str">
        <f>HYPERLINK("https://rhld.insurance.arkansas.gov/NPILookup?Npi=1407333784","1407333784")</f>
        <v>1407333784</v>
      </c>
      <c r="E12102" t="s">
        <v>18769</v>
      </c>
    </row>
    <row r="12103" spans="1:5" x14ac:dyDescent="0.25">
      <c r="A12103" t="s">
        <v>2</v>
      </c>
      <c r="B12103" t="s">
        <v>3458</v>
      </c>
      <c r="C12103" t="s">
        <v>23490</v>
      </c>
      <c r="D12103" t="str">
        <f>HYPERLINK("https://rhld.insurance.arkansas.gov/NPILookup?Npi=1407352594","1407352594")</f>
        <v>1407352594</v>
      </c>
      <c r="E12103" t="s">
        <v>15089</v>
      </c>
    </row>
    <row r="12104" spans="1:5" x14ac:dyDescent="0.25">
      <c r="A12104" t="s">
        <v>2</v>
      </c>
      <c r="B12104" t="s">
        <v>3458</v>
      </c>
      <c r="C12104" t="s">
        <v>23490</v>
      </c>
      <c r="D12104" t="str">
        <f>HYPERLINK("https://rhld.insurance.arkansas.gov/NPILookup?Npi=1407364110","1407364110")</f>
        <v>1407364110</v>
      </c>
      <c r="E12104" t="s">
        <v>15857</v>
      </c>
    </row>
    <row r="12105" spans="1:5" x14ac:dyDescent="0.25">
      <c r="A12105" t="s">
        <v>2</v>
      </c>
      <c r="B12105" t="s">
        <v>3458</v>
      </c>
      <c r="C12105" t="s">
        <v>23490</v>
      </c>
      <c r="D12105" t="str">
        <f>HYPERLINK("https://rhld.insurance.arkansas.gov/NPILookup?Npi=1407366768","1407366768")</f>
        <v>1407366768</v>
      </c>
      <c r="E12105" t="s">
        <v>12983</v>
      </c>
    </row>
    <row r="12106" spans="1:5" x14ac:dyDescent="0.25">
      <c r="A12106" t="s">
        <v>2</v>
      </c>
      <c r="B12106" t="s">
        <v>3458</v>
      </c>
      <c r="C12106" t="s">
        <v>23490</v>
      </c>
      <c r="D12106" t="str">
        <f>HYPERLINK("https://rhld.insurance.arkansas.gov/NPILookup?Npi=1407374002","1407374002")</f>
        <v>1407374002</v>
      </c>
      <c r="E12106" t="s">
        <v>6593</v>
      </c>
    </row>
    <row r="12107" spans="1:5" x14ac:dyDescent="0.25">
      <c r="A12107" t="s">
        <v>2</v>
      </c>
      <c r="B12107" t="s">
        <v>3458</v>
      </c>
      <c r="C12107" t="s">
        <v>23490</v>
      </c>
      <c r="D12107" t="str">
        <f>HYPERLINK("https://rhld.insurance.arkansas.gov/NPILookup?Npi=1407388267","1407388267")</f>
        <v>1407388267</v>
      </c>
      <c r="E12107" t="s">
        <v>10900</v>
      </c>
    </row>
    <row r="12108" spans="1:5" x14ac:dyDescent="0.25">
      <c r="A12108" t="s">
        <v>2</v>
      </c>
      <c r="B12108" t="s">
        <v>3458</v>
      </c>
      <c r="C12108" t="s">
        <v>23490</v>
      </c>
      <c r="D12108" t="str">
        <f>HYPERLINK("https://rhld.insurance.arkansas.gov/NPILookup?Npi=1407391055","1407391055")</f>
        <v>1407391055</v>
      </c>
      <c r="E12108" t="s">
        <v>13525</v>
      </c>
    </row>
    <row r="12109" spans="1:5" x14ac:dyDescent="0.25">
      <c r="A12109" t="s">
        <v>2</v>
      </c>
      <c r="B12109" t="s">
        <v>3458</v>
      </c>
      <c r="C12109" t="s">
        <v>23490</v>
      </c>
      <c r="D12109" t="str">
        <f>HYPERLINK("https://rhld.insurance.arkansas.gov/NPILookup?Npi=1407397730","1407397730")</f>
        <v>1407397730</v>
      </c>
      <c r="E12109" t="s">
        <v>17426</v>
      </c>
    </row>
    <row r="12110" spans="1:5" x14ac:dyDescent="0.25">
      <c r="A12110" t="s">
        <v>2</v>
      </c>
      <c r="B12110" t="s">
        <v>3458</v>
      </c>
      <c r="C12110" t="s">
        <v>23490</v>
      </c>
      <c r="D12110" t="str">
        <f>HYPERLINK("https://rhld.insurance.arkansas.gov/NPILookup?Npi=1407463938","1407463938")</f>
        <v>1407463938</v>
      </c>
      <c r="E12110" t="s">
        <v>17979</v>
      </c>
    </row>
    <row r="12111" spans="1:5" x14ac:dyDescent="0.25">
      <c r="A12111" t="s">
        <v>2</v>
      </c>
      <c r="B12111" t="s">
        <v>3458</v>
      </c>
      <c r="C12111" t="s">
        <v>23490</v>
      </c>
      <c r="D12111" t="str">
        <f>HYPERLINK("https://rhld.insurance.arkansas.gov/NPILookup?Npi=1407470263","1407470263")</f>
        <v>1407470263</v>
      </c>
      <c r="E12111" t="s">
        <v>19701</v>
      </c>
    </row>
    <row r="12112" spans="1:5" x14ac:dyDescent="0.25">
      <c r="A12112" t="s">
        <v>2</v>
      </c>
      <c r="B12112" t="s">
        <v>3458</v>
      </c>
      <c r="C12112" t="s">
        <v>23490</v>
      </c>
      <c r="D12112" t="str">
        <f>HYPERLINK("https://rhld.insurance.arkansas.gov/NPILookup?Npi=1407522303","1407522303")</f>
        <v>1407522303</v>
      </c>
      <c r="E12112" t="s">
        <v>18770</v>
      </c>
    </row>
    <row r="12113" spans="1:5" x14ac:dyDescent="0.25">
      <c r="A12113" t="s">
        <v>2</v>
      </c>
      <c r="B12113" t="s">
        <v>3458</v>
      </c>
      <c r="C12113" t="s">
        <v>23490</v>
      </c>
      <c r="D12113" t="str">
        <f>HYPERLINK("https://rhld.insurance.arkansas.gov/NPILookup?Npi=1407566755","1407566755")</f>
        <v>1407566755</v>
      </c>
      <c r="E12113" t="s">
        <v>21537</v>
      </c>
    </row>
    <row r="12114" spans="1:5" x14ac:dyDescent="0.25">
      <c r="A12114" t="s">
        <v>2</v>
      </c>
      <c r="B12114" t="s">
        <v>3458</v>
      </c>
      <c r="C12114" t="s">
        <v>23490</v>
      </c>
      <c r="D12114" t="str">
        <f>HYPERLINK("https://rhld.insurance.arkansas.gov/NPILookup?Npi=1407584527","1407584527")</f>
        <v>1407584527</v>
      </c>
      <c r="E12114" t="s">
        <v>21538</v>
      </c>
    </row>
    <row r="12115" spans="1:5" x14ac:dyDescent="0.25">
      <c r="A12115" t="s">
        <v>2</v>
      </c>
      <c r="B12115" t="s">
        <v>3458</v>
      </c>
      <c r="C12115" t="s">
        <v>23490</v>
      </c>
      <c r="D12115" t="str">
        <f>HYPERLINK("https://rhld.insurance.arkansas.gov/NPILookup?Npi=1407596380","1407596380")</f>
        <v>1407596380</v>
      </c>
      <c r="E12115" t="s">
        <v>19703</v>
      </c>
    </row>
    <row r="12116" spans="1:5" x14ac:dyDescent="0.25">
      <c r="A12116" t="s">
        <v>2</v>
      </c>
      <c r="B12116" t="s">
        <v>3458</v>
      </c>
      <c r="C12116" t="s">
        <v>23490</v>
      </c>
      <c r="D12116" t="str">
        <f>HYPERLINK("https://rhld.insurance.arkansas.gov/NPILookup?Npi=1407806623","1407806623")</f>
        <v>1407806623</v>
      </c>
      <c r="E12116" t="s">
        <v>1438</v>
      </c>
    </row>
    <row r="12117" spans="1:5" x14ac:dyDescent="0.25">
      <c r="A12117" t="s">
        <v>2</v>
      </c>
      <c r="B12117" t="s">
        <v>3458</v>
      </c>
      <c r="C12117" t="s">
        <v>23490</v>
      </c>
      <c r="D12117" t="str">
        <f>HYPERLINK("https://rhld.insurance.arkansas.gov/NPILookup?Npi=1407810641","1407810641")</f>
        <v>1407810641</v>
      </c>
      <c r="E12117" t="s">
        <v>1439</v>
      </c>
    </row>
    <row r="12118" spans="1:5" x14ac:dyDescent="0.25">
      <c r="A12118" t="s">
        <v>2</v>
      </c>
      <c r="B12118" t="s">
        <v>3458</v>
      </c>
      <c r="C12118" t="s">
        <v>23490</v>
      </c>
      <c r="D12118" t="str">
        <f>HYPERLINK("https://rhld.insurance.arkansas.gov/NPILookup?Npi=1407810898","1407810898")</f>
        <v>1407810898</v>
      </c>
      <c r="E12118" t="s">
        <v>1440</v>
      </c>
    </row>
    <row r="12119" spans="1:5" x14ac:dyDescent="0.25">
      <c r="A12119" t="s">
        <v>2</v>
      </c>
      <c r="B12119" t="s">
        <v>3458</v>
      </c>
      <c r="C12119" t="s">
        <v>23490</v>
      </c>
      <c r="D12119" t="str">
        <f>HYPERLINK("https://rhld.insurance.arkansas.gov/NPILookup?Npi=1407812126","1407812126")</f>
        <v>1407812126</v>
      </c>
      <c r="E12119" t="s">
        <v>1441</v>
      </c>
    </row>
    <row r="12120" spans="1:5" x14ac:dyDescent="0.25">
      <c r="A12120" t="s">
        <v>2</v>
      </c>
      <c r="B12120" t="s">
        <v>3458</v>
      </c>
      <c r="C12120" t="s">
        <v>23490</v>
      </c>
      <c r="D12120" t="str">
        <f>HYPERLINK("https://rhld.insurance.arkansas.gov/NPILookup?Npi=1407814387","1407814387")</f>
        <v>1407814387</v>
      </c>
      <c r="E12120" t="s">
        <v>3708</v>
      </c>
    </row>
    <row r="12121" spans="1:5" x14ac:dyDescent="0.25">
      <c r="A12121" t="s">
        <v>2</v>
      </c>
      <c r="B12121" t="s">
        <v>3458</v>
      </c>
      <c r="C12121" t="s">
        <v>23490</v>
      </c>
      <c r="D12121" t="str">
        <f>HYPERLINK("https://rhld.insurance.arkansas.gov/NPILookup?Npi=1407818271","1407818271")</f>
        <v>1407818271</v>
      </c>
      <c r="E12121" t="s">
        <v>3709</v>
      </c>
    </row>
    <row r="12122" spans="1:5" x14ac:dyDescent="0.25">
      <c r="A12122" t="s">
        <v>2</v>
      </c>
      <c r="B12122" t="s">
        <v>3458</v>
      </c>
      <c r="C12122" t="s">
        <v>23490</v>
      </c>
      <c r="D12122" t="str">
        <f>HYPERLINK("https://rhld.insurance.arkansas.gov/NPILookup?Npi=1407830433","1407830433")</f>
        <v>1407830433</v>
      </c>
      <c r="E12122" t="s">
        <v>15093</v>
      </c>
    </row>
    <row r="12123" spans="1:5" x14ac:dyDescent="0.25">
      <c r="A12123" t="s">
        <v>2</v>
      </c>
      <c r="B12123" t="s">
        <v>3458</v>
      </c>
      <c r="C12123" t="s">
        <v>23490</v>
      </c>
      <c r="D12123" t="str">
        <f>HYPERLINK("https://rhld.insurance.arkansas.gov/NPILookup?Npi=1407831985","1407831985")</f>
        <v>1407831985</v>
      </c>
      <c r="E12123" t="s">
        <v>8661</v>
      </c>
    </row>
    <row r="12124" spans="1:5" x14ac:dyDescent="0.25">
      <c r="A12124" t="s">
        <v>2</v>
      </c>
      <c r="B12124" t="s">
        <v>3458</v>
      </c>
      <c r="C12124" t="s">
        <v>23490</v>
      </c>
      <c r="D12124" t="str">
        <f>HYPERLINK("https://rhld.insurance.arkansas.gov/NPILookup?Npi=1407842131","1407842131")</f>
        <v>1407842131</v>
      </c>
      <c r="E12124" t="s">
        <v>10901</v>
      </c>
    </row>
    <row r="12125" spans="1:5" x14ac:dyDescent="0.25">
      <c r="A12125" t="s">
        <v>2</v>
      </c>
      <c r="B12125" t="s">
        <v>3458</v>
      </c>
      <c r="C12125" t="s">
        <v>23490</v>
      </c>
      <c r="D12125" t="str">
        <f>HYPERLINK("https://rhld.insurance.arkansas.gov/NPILookup?Npi=1407846868","1407846868")</f>
        <v>1407846868</v>
      </c>
      <c r="E12125" t="s">
        <v>1444</v>
      </c>
    </row>
    <row r="12126" spans="1:5" x14ac:dyDescent="0.25">
      <c r="A12126" t="s">
        <v>2</v>
      </c>
      <c r="B12126" t="s">
        <v>3458</v>
      </c>
      <c r="C12126" t="s">
        <v>23490</v>
      </c>
      <c r="D12126" t="str">
        <f>HYPERLINK("https://rhld.insurance.arkansas.gov/NPILookup?Npi=1407848922","1407848922")</f>
        <v>1407848922</v>
      </c>
      <c r="E12126" t="s">
        <v>1445</v>
      </c>
    </row>
    <row r="12127" spans="1:5" x14ac:dyDescent="0.25">
      <c r="A12127" t="s">
        <v>2</v>
      </c>
      <c r="B12127" t="s">
        <v>3458</v>
      </c>
      <c r="C12127" t="s">
        <v>23490</v>
      </c>
      <c r="D12127" t="str">
        <f>HYPERLINK("https://rhld.insurance.arkansas.gov/NPILookup?Npi=1407848971","1407848971")</f>
        <v>1407848971</v>
      </c>
      <c r="E12127" t="s">
        <v>15094</v>
      </c>
    </row>
    <row r="12128" spans="1:5" x14ac:dyDescent="0.25">
      <c r="A12128" t="s">
        <v>2</v>
      </c>
      <c r="B12128" t="s">
        <v>3458</v>
      </c>
      <c r="C12128" t="s">
        <v>23490</v>
      </c>
      <c r="D12128" t="str">
        <f>HYPERLINK("https://rhld.insurance.arkansas.gov/NPILookup?Npi=1407849896","1407849896")</f>
        <v>1407849896</v>
      </c>
      <c r="E12128" t="s">
        <v>1446</v>
      </c>
    </row>
    <row r="12129" spans="1:5" x14ac:dyDescent="0.25">
      <c r="A12129" t="s">
        <v>2</v>
      </c>
      <c r="B12129" t="s">
        <v>3458</v>
      </c>
      <c r="C12129" t="s">
        <v>23490</v>
      </c>
      <c r="D12129" t="str">
        <f>HYPERLINK("https://rhld.insurance.arkansas.gov/NPILookup?Npi=1407850019","1407850019")</f>
        <v>1407850019</v>
      </c>
      <c r="E12129" t="s">
        <v>15095</v>
      </c>
    </row>
    <row r="12130" spans="1:5" x14ac:dyDescent="0.25">
      <c r="A12130" t="s">
        <v>2</v>
      </c>
      <c r="B12130" t="s">
        <v>3458</v>
      </c>
      <c r="C12130" t="s">
        <v>23490</v>
      </c>
      <c r="D12130" t="str">
        <f>HYPERLINK("https://rhld.insurance.arkansas.gov/NPILookup?Npi=1407852072","1407852072")</f>
        <v>1407852072</v>
      </c>
      <c r="E12130" t="s">
        <v>1449</v>
      </c>
    </row>
    <row r="12131" spans="1:5" x14ac:dyDescent="0.25">
      <c r="A12131" t="s">
        <v>2</v>
      </c>
      <c r="B12131" t="s">
        <v>3458</v>
      </c>
      <c r="C12131" t="s">
        <v>23490</v>
      </c>
      <c r="D12131" t="str">
        <f>HYPERLINK("https://rhld.insurance.arkansas.gov/NPILookup?Npi=1407857923","1407857923")</f>
        <v>1407857923</v>
      </c>
      <c r="E12131" t="s">
        <v>1447</v>
      </c>
    </row>
    <row r="12132" spans="1:5" x14ac:dyDescent="0.25">
      <c r="A12132" t="s">
        <v>2</v>
      </c>
      <c r="B12132" t="s">
        <v>3458</v>
      </c>
      <c r="C12132" t="s">
        <v>23490</v>
      </c>
      <c r="D12132" t="str">
        <f>HYPERLINK("https://rhld.insurance.arkansas.gov/NPILookup?Npi=1407857998","1407857998")</f>
        <v>1407857998</v>
      </c>
      <c r="E12132" t="s">
        <v>1448</v>
      </c>
    </row>
    <row r="12133" spans="1:5" x14ac:dyDescent="0.25">
      <c r="A12133" t="s">
        <v>2</v>
      </c>
      <c r="B12133" t="s">
        <v>3458</v>
      </c>
      <c r="C12133" t="s">
        <v>23490</v>
      </c>
      <c r="D12133" t="str">
        <f>HYPERLINK("https://rhld.insurance.arkansas.gov/NPILookup?Npi=1407858368","1407858368")</f>
        <v>1407858368</v>
      </c>
      <c r="E12133" t="s">
        <v>1449</v>
      </c>
    </row>
    <row r="12134" spans="1:5" x14ac:dyDescent="0.25">
      <c r="A12134" t="s">
        <v>2</v>
      </c>
      <c r="B12134" t="s">
        <v>3458</v>
      </c>
      <c r="C12134" t="s">
        <v>23490</v>
      </c>
      <c r="D12134" t="str">
        <f>HYPERLINK("https://rhld.insurance.arkansas.gov/NPILookup?Npi=1407858905","1407858905")</f>
        <v>1407858905</v>
      </c>
      <c r="E12134" t="s">
        <v>3710</v>
      </c>
    </row>
    <row r="12135" spans="1:5" x14ac:dyDescent="0.25">
      <c r="A12135" t="s">
        <v>2</v>
      </c>
      <c r="B12135" t="s">
        <v>3458</v>
      </c>
      <c r="C12135" t="s">
        <v>23490</v>
      </c>
      <c r="D12135" t="str">
        <f>HYPERLINK("https://rhld.insurance.arkansas.gov/NPILookup?Npi=1407860539","1407860539")</f>
        <v>1407860539</v>
      </c>
      <c r="E12135" t="s">
        <v>1450</v>
      </c>
    </row>
    <row r="12136" spans="1:5" x14ac:dyDescent="0.25">
      <c r="A12136" t="s">
        <v>2</v>
      </c>
      <c r="B12136" t="s">
        <v>3458</v>
      </c>
      <c r="C12136" t="s">
        <v>23490</v>
      </c>
      <c r="D12136" t="str">
        <f>HYPERLINK("https://rhld.insurance.arkansas.gov/NPILookup?Npi=1407862527","1407862527")</f>
        <v>1407862527</v>
      </c>
      <c r="E12136" t="s">
        <v>1451</v>
      </c>
    </row>
    <row r="12137" spans="1:5" x14ac:dyDescent="0.25">
      <c r="A12137" t="s">
        <v>2</v>
      </c>
      <c r="B12137" t="s">
        <v>3458</v>
      </c>
      <c r="C12137" t="s">
        <v>23490</v>
      </c>
      <c r="D12137" t="str">
        <f>HYPERLINK("https://rhld.insurance.arkansas.gov/NPILookup?Npi=1407884760","1407884760")</f>
        <v>1407884760</v>
      </c>
      <c r="E12137" t="s">
        <v>1456</v>
      </c>
    </row>
    <row r="12138" spans="1:5" x14ac:dyDescent="0.25">
      <c r="A12138" t="s">
        <v>2</v>
      </c>
      <c r="B12138" t="s">
        <v>3458</v>
      </c>
      <c r="C12138" t="s">
        <v>23490</v>
      </c>
      <c r="D12138" t="str">
        <f>HYPERLINK("https://rhld.insurance.arkansas.gov/NPILookup?Npi=1407891724","1407891724")</f>
        <v>1407891724</v>
      </c>
      <c r="E12138" t="s">
        <v>3711</v>
      </c>
    </row>
    <row r="12139" spans="1:5" x14ac:dyDescent="0.25">
      <c r="A12139" t="s">
        <v>2</v>
      </c>
      <c r="B12139" t="s">
        <v>3458</v>
      </c>
      <c r="C12139" t="s">
        <v>23490</v>
      </c>
      <c r="D12139" t="str">
        <f>HYPERLINK("https://rhld.insurance.arkansas.gov/NPILookup?Npi=1407917453","1407917453")</f>
        <v>1407917453</v>
      </c>
      <c r="E12139" t="s">
        <v>15858</v>
      </c>
    </row>
    <row r="12140" spans="1:5" x14ac:dyDescent="0.25">
      <c r="A12140" t="s">
        <v>2</v>
      </c>
      <c r="B12140" t="s">
        <v>3458</v>
      </c>
      <c r="C12140" t="s">
        <v>23490</v>
      </c>
      <c r="D12140" t="str">
        <f>HYPERLINK("https://rhld.insurance.arkansas.gov/NPILookup?Npi=1407938954","1407938954")</f>
        <v>1407938954</v>
      </c>
      <c r="E12140" t="s">
        <v>13526</v>
      </c>
    </row>
    <row r="12141" spans="1:5" x14ac:dyDescent="0.25">
      <c r="A12141" t="s">
        <v>2</v>
      </c>
      <c r="B12141" t="s">
        <v>3458</v>
      </c>
      <c r="C12141" t="s">
        <v>23490</v>
      </c>
      <c r="D12141" t="str">
        <f>HYPERLINK("https://rhld.insurance.arkansas.gov/NPILookup?Npi=1407946908","1407946908")</f>
        <v>1407946908</v>
      </c>
      <c r="E12141" t="s">
        <v>3712</v>
      </c>
    </row>
    <row r="12142" spans="1:5" x14ac:dyDescent="0.25">
      <c r="A12142" t="s">
        <v>2</v>
      </c>
      <c r="B12142" t="s">
        <v>3458</v>
      </c>
      <c r="C12142" t="s">
        <v>23490</v>
      </c>
      <c r="D12142" t="str">
        <f>HYPERLINK("https://rhld.insurance.arkansas.gov/NPILookup?Npi=1407957632","1407957632")</f>
        <v>1407957632</v>
      </c>
      <c r="E12142" t="s">
        <v>15097</v>
      </c>
    </row>
    <row r="12143" spans="1:5" x14ac:dyDescent="0.25">
      <c r="A12143" t="s">
        <v>2</v>
      </c>
      <c r="B12143" t="s">
        <v>3458</v>
      </c>
      <c r="C12143" t="s">
        <v>23490</v>
      </c>
      <c r="D12143" t="str">
        <f>HYPERLINK("https://rhld.insurance.arkansas.gov/NPILookup?Npi=1417005711","1417005711")</f>
        <v>1417005711</v>
      </c>
      <c r="E12143" t="s">
        <v>1457</v>
      </c>
    </row>
    <row r="12144" spans="1:5" x14ac:dyDescent="0.25">
      <c r="A12144" t="s">
        <v>2</v>
      </c>
      <c r="B12144" t="s">
        <v>3458</v>
      </c>
      <c r="C12144" t="s">
        <v>23490</v>
      </c>
      <c r="D12144" t="str">
        <f>HYPERLINK("https://rhld.insurance.arkansas.gov/NPILookup?Npi=1417021007","1417021007")</f>
        <v>1417021007</v>
      </c>
      <c r="E12144" t="s">
        <v>1458</v>
      </c>
    </row>
    <row r="12145" spans="1:5" x14ac:dyDescent="0.25">
      <c r="A12145" t="s">
        <v>2</v>
      </c>
      <c r="B12145" t="s">
        <v>3458</v>
      </c>
      <c r="C12145" t="s">
        <v>23490</v>
      </c>
      <c r="D12145" t="str">
        <f>HYPERLINK("https://rhld.insurance.arkansas.gov/NPILookup?Npi=1417050204","1417050204")</f>
        <v>1417050204</v>
      </c>
      <c r="E12145" t="s">
        <v>10902</v>
      </c>
    </row>
    <row r="12146" spans="1:5" x14ac:dyDescent="0.25">
      <c r="A12146" t="s">
        <v>2</v>
      </c>
      <c r="B12146" t="s">
        <v>3458</v>
      </c>
      <c r="C12146" t="s">
        <v>23490</v>
      </c>
      <c r="D12146" t="str">
        <f>HYPERLINK("https://rhld.insurance.arkansas.gov/NPILookup?Npi=1417051129","1417051129")</f>
        <v>1417051129</v>
      </c>
      <c r="E12146" t="s">
        <v>1459</v>
      </c>
    </row>
    <row r="12147" spans="1:5" x14ac:dyDescent="0.25">
      <c r="A12147" t="s">
        <v>2</v>
      </c>
      <c r="B12147" t="s">
        <v>3458</v>
      </c>
      <c r="C12147" t="s">
        <v>23490</v>
      </c>
      <c r="D12147" t="str">
        <f>HYPERLINK("https://rhld.insurance.arkansas.gov/NPILookup?Npi=1417056250","1417056250")</f>
        <v>1417056250</v>
      </c>
      <c r="E12147" t="s">
        <v>1460</v>
      </c>
    </row>
    <row r="12148" spans="1:5" x14ac:dyDescent="0.25">
      <c r="A12148" t="s">
        <v>2</v>
      </c>
      <c r="B12148" t="s">
        <v>3458</v>
      </c>
      <c r="C12148" t="s">
        <v>23490</v>
      </c>
      <c r="D12148" t="str">
        <f>HYPERLINK("https://rhld.insurance.arkansas.gov/NPILookup?Npi=1417060286","1417060286")</f>
        <v>1417060286</v>
      </c>
      <c r="E12148" t="s">
        <v>1461</v>
      </c>
    </row>
    <row r="12149" spans="1:5" x14ac:dyDescent="0.25">
      <c r="A12149" t="s">
        <v>2</v>
      </c>
      <c r="B12149" t="s">
        <v>3458</v>
      </c>
      <c r="C12149" t="s">
        <v>23490</v>
      </c>
      <c r="D12149" t="str">
        <f>HYPERLINK("https://rhld.insurance.arkansas.gov/NPILookup?Npi=1417096058","1417096058")</f>
        <v>1417096058</v>
      </c>
      <c r="E12149" t="s">
        <v>15099</v>
      </c>
    </row>
    <row r="12150" spans="1:5" x14ac:dyDescent="0.25">
      <c r="A12150" t="s">
        <v>2</v>
      </c>
      <c r="B12150" t="s">
        <v>3458</v>
      </c>
      <c r="C12150" t="s">
        <v>23490</v>
      </c>
      <c r="D12150" t="str">
        <f>HYPERLINK("https://rhld.insurance.arkansas.gov/NPILookup?Npi=1417104647","1417104647")</f>
        <v>1417104647</v>
      </c>
      <c r="E12150" t="s">
        <v>1462</v>
      </c>
    </row>
    <row r="12151" spans="1:5" x14ac:dyDescent="0.25">
      <c r="A12151" t="s">
        <v>2</v>
      </c>
      <c r="B12151" t="s">
        <v>3458</v>
      </c>
      <c r="C12151" t="s">
        <v>23490</v>
      </c>
      <c r="D12151" t="str">
        <f>HYPERLINK("https://rhld.insurance.arkansas.gov/NPILookup?Npi=1417107806","1417107806")</f>
        <v>1417107806</v>
      </c>
      <c r="E12151" t="s">
        <v>11453</v>
      </c>
    </row>
    <row r="12152" spans="1:5" x14ac:dyDescent="0.25">
      <c r="A12152" t="s">
        <v>2</v>
      </c>
      <c r="B12152" t="s">
        <v>3458</v>
      </c>
      <c r="C12152" t="s">
        <v>23490</v>
      </c>
      <c r="D12152" t="str">
        <f>HYPERLINK("https://rhld.insurance.arkansas.gov/NPILookup?Npi=1417108259","1417108259")</f>
        <v>1417108259</v>
      </c>
      <c r="E12152" t="s">
        <v>10903</v>
      </c>
    </row>
    <row r="12153" spans="1:5" x14ac:dyDescent="0.25">
      <c r="A12153" t="s">
        <v>2</v>
      </c>
      <c r="B12153" t="s">
        <v>3458</v>
      </c>
      <c r="C12153" t="s">
        <v>23490</v>
      </c>
      <c r="D12153" t="str">
        <f>HYPERLINK("https://rhld.insurance.arkansas.gov/NPILookup?Npi=1417118076","1417118076")</f>
        <v>1417118076</v>
      </c>
      <c r="E12153" t="s">
        <v>16949</v>
      </c>
    </row>
    <row r="12154" spans="1:5" x14ac:dyDescent="0.25">
      <c r="A12154" t="s">
        <v>2</v>
      </c>
      <c r="B12154" t="s">
        <v>3458</v>
      </c>
      <c r="C12154" t="s">
        <v>23490</v>
      </c>
      <c r="D12154" t="str">
        <f>HYPERLINK("https://rhld.insurance.arkansas.gov/NPILookup?Npi=1417120577","1417120577")</f>
        <v>1417120577</v>
      </c>
      <c r="E12154" t="s">
        <v>5369</v>
      </c>
    </row>
    <row r="12155" spans="1:5" x14ac:dyDescent="0.25">
      <c r="A12155" t="s">
        <v>2</v>
      </c>
      <c r="B12155" t="s">
        <v>3458</v>
      </c>
      <c r="C12155" t="s">
        <v>23490</v>
      </c>
      <c r="D12155" t="str">
        <f>HYPERLINK("https://rhld.insurance.arkansas.gov/NPILookup?Npi=1417122375","1417122375")</f>
        <v>1417122375</v>
      </c>
      <c r="E12155" t="s">
        <v>3713</v>
      </c>
    </row>
    <row r="12156" spans="1:5" x14ac:dyDescent="0.25">
      <c r="A12156" t="s">
        <v>2</v>
      </c>
      <c r="B12156" t="s">
        <v>3458</v>
      </c>
      <c r="C12156" t="s">
        <v>23490</v>
      </c>
      <c r="D12156" t="str">
        <f>HYPERLINK("https://rhld.insurance.arkansas.gov/NPILookup?Npi=1417155078","1417155078")</f>
        <v>1417155078</v>
      </c>
      <c r="E12156" t="s">
        <v>1463</v>
      </c>
    </row>
    <row r="12157" spans="1:5" x14ac:dyDescent="0.25">
      <c r="A12157" t="s">
        <v>2</v>
      </c>
      <c r="B12157" t="s">
        <v>3458</v>
      </c>
      <c r="C12157" t="s">
        <v>23490</v>
      </c>
      <c r="D12157" t="str">
        <f>HYPERLINK("https://rhld.insurance.arkansas.gov/NPILookup?Npi=1417173139","1417173139")</f>
        <v>1417173139</v>
      </c>
      <c r="E12157" t="s">
        <v>1464</v>
      </c>
    </row>
    <row r="12158" spans="1:5" x14ac:dyDescent="0.25">
      <c r="A12158" t="s">
        <v>2</v>
      </c>
      <c r="B12158" t="s">
        <v>3458</v>
      </c>
      <c r="C12158" t="s">
        <v>23490</v>
      </c>
      <c r="D12158" t="str">
        <f>HYPERLINK("https://rhld.insurance.arkansas.gov/NPILookup?Npi=1417176744","1417176744")</f>
        <v>1417176744</v>
      </c>
      <c r="E12158" t="s">
        <v>3714</v>
      </c>
    </row>
    <row r="12159" spans="1:5" x14ac:dyDescent="0.25">
      <c r="A12159" t="s">
        <v>2</v>
      </c>
      <c r="B12159" t="s">
        <v>3458</v>
      </c>
      <c r="C12159" t="s">
        <v>23490</v>
      </c>
      <c r="D12159" t="str">
        <f>HYPERLINK("https://rhld.insurance.arkansas.gov/NPILookup?Npi=1417184383","1417184383")</f>
        <v>1417184383</v>
      </c>
      <c r="E12159" t="s">
        <v>18771</v>
      </c>
    </row>
    <row r="12160" spans="1:5" x14ac:dyDescent="0.25">
      <c r="A12160" t="s">
        <v>2</v>
      </c>
      <c r="B12160" t="s">
        <v>3458</v>
      </c>
      <c r="C12160" t="s">
        <v>23490</v>
      </c>
      <c r="D12160" t="str">
        <f>HYPERLINK("https://rhld.insurance.arkansas.gov/NPILookup?Npi=1417192931","1417192931")</f>
        <v>1417192931</v>
      </c>
      <c r="E12160" t="s">
        <v>1465</v>
      </c>
    </row>
    <row r="12161" spans="1:5" x14ac:dyDescent="0.25">
      <c r="A12161" t="s">
        <v>2</v>
      </c>
      <c r="B12161" t="s">
        <v>3458</v>
      </c>
      <c r="C12161" t="s">
        <v>23490</v>
      </c>
      <c r="D12161" t="str">
        <f>HYPERLINK("https://rhld.insurance.arkansas.gov/NPILookup?Npi=1417210543","1417210543")</f>
        <v>1417210543</v>
      </c>
      <c r="E12161" t="s">
        <v>1467</v>
      </c>
    </row>
    <row r="12162" spans="1:5" x14ac:dyDescent="0.25">
      <c r="A12162" t="s">
        <v>2</v>
      </c>
      <c r="B12162" t="s">
        <v>3458</v>
      </c>
      <c r="C12162" t="s">
        <v>23490</v>
      </c>
      <c r="D12162" t="str">
        <f>HYPERLINK("https://rhld.insurance.arkansas.gov/NPILookup?Npi=1417212168","1417212168")</f>
        <v>1417212168</v>
      </c>
      <c r="E12162" t="s">
        <v>15101</v>
      </c>
    </row>
    <row r="12163" spans="1:5" x14ac:dyDescent="0.25">
      <c r="A12163" t="s">
        <v>2</v>
      </c>
      <c r="B12163" t="s">
        <v>3458</v>
      </c>
      <c r="C12163" t="s">
        <v>23490</v>
      </c>
      <c r="D12163" t="str">
        <f>HYPERLINK("https://rhld.insurance.arkansas.gov/NPILookup?Npi=1417215492","1417215492")</f>
        <v>1417215492</v>
      </c>
      <c r="E12163" t="s">
        <v>19227</v>
      </c>
    </row>
    <row r="12164" spans="1:5" x14ac:dyDescent="0.25">
      <c r="A12164" t="s">
        <v>2</v>
      </c>
      <c r="B12164" t="s">
        <v>3458</v>
      </c>
      <c r="C12164" t="s">
        <v>23490</v>
      </c>
      <c r="D12164" t="str">
        <f>HYPERLINK("https://rhld.insurance.arkansas.gov/NPILookup?Npi=1417238924","1417238924")</f>
        <v>1417238924</v>
      </c>
      <c r="E12164" t="s">
        <v>1468</v>
      </c>
    </row>
    <row r="12165" spans="1:5" x14ac:dyDescent="0.25">
      <c r="A12165" t="s">
        <v>2</v>
      </c>
      <c r="B12165" t="s">
        <v>3458</v>
      </c>
      <c r="C12165" t="s">
        <v>23490</v>
      </c>
      <c r="D12165" t="str">
        <f>HYPERLINK("https://rhld.insurance.arkansas.gov/NPILookup?Npi=1417238981","1417238981")</f>
        <v>1417238981</v>
      </c>
      <c r="E12165" t="s">
        <v>10904</v>
      </c>
    </row>
    <row r="12166" spans="1:5" x14ac:dyDescent="0.25">
      <c r="A12166" t="s">
        <v>2</v>
      </c>
      <c r="B12166" t="s">
        <v>3458</v>
      </c>
      <c r="C12166" t="s">
        <v>23490</v>
      </c>
      <c r="D12166" t="str">
        <f>HYPERLINK("https://rhld.insurance.arkansas.gov/NPILookup?Npi=1417240060","1417240060")</f>
        <v>1417240060</v>
      </c>
      <c r="E12166" t="s">
        <v>12839</v>
      </c>
    </row>
    <row r="12167" spans="1:5" x14ac:dyDescent="0.25">
      <c r="A12167" t="s">
        <v>2</v>
      </c>
      <c r="B12167" t="s">
        <v>3458</v>
      </c>
      <c r="C12167" t="s">
        <v>23490</v>
      </c>
      <c r="D12167" t="str">
        <f>HYPERLINK("https://rhld.insurance.arkansas.gov/NPILookup?Npi=1417243700","1417243700")</f>
        <v>1417243700</v>
      </c>
      <c r="E12167" t="s">
        <v>10905</v>
      </c>
    </row>
    <row r="12168" spans="1:5" x14ac:dyDescent="0.25">
      <c r="A12168" t="s">
        <v>2</v>
      </c>
      <c r="B12168" t="s">
        <v>3458</v>
      </c>
      <c r="C12168" t="s">
        <v>23490</v>
      </c>
      <c r="D12168" t="str">
        <f>HYPERLINK("https://rhld.insurance.arkansas.gov/NPILookup?Npi=1417246794","1417246794")</f>
        <v>1417246794</v>
      </c>
      <c r="E12168" t="s">
        <v>1469</v>
      </c>
    </row>
    <row r="12169" spans="1:5" x14ac:dyDescent="0.25">
      <c r="A12169" t="s">
        <v>2</v>
      </c>
      <c r="B12169" t="s">
        <v>3458</v>
      </c>
      <c r="C12169" t="s">
        <v>23490</v>
      </c>
      <c r="D12169" t="str">
        <f>HYPERLINK("https://rhld.insurance.arkansas.gov/NPILookup?Npi=1417246877","1417246877")</f>
        <v>1417246877</v>
      </c>
      <c r="E12169" t="s">
        <v>10906</v>
      </c>
    </row>
    <row r="12170" spans="1:5" x14ac:dyDescent="0.25">
      <c r="A12170" t="s">
        <v>2</v>
      </c>
      <c r="B12170" t="s">
        <v>3458</v>
      </c>
      <c r="C12170" t="s">
        <v>23490</v>
      </c>
      <c r="D12170" t="str">
        <f>HYPERLINK("https://rhld.insurance.arkansas.gov/NPILookup?Npi=1417248063","1417248063")</f>
        <v>1417248063</v>
      </c>
      <c r="E12170" t="s">
        <v>3715</v>
      </c>
    </row>
    <row r="12171" spans="1:5" x14ac:dyDescent="0.25">
      <c r="A12171" t="s">
        <v>2</v>
      </c>
      <c r="B12171" t="s">
        <v>3458</v>
      </c>
      <c r="C12171" t="s">
        <v>23490</v>
      </c>
      <c r="D12171" t="str">
        <f>HYPERLINK("https://rhld.insurance.arkansas.gov/NPILookup?Npi=1417254780","1417254780")</f>
        <v>1417254780</v>
      </c>
      <c r="E12171" t="s">
        <v>1470</v>
      </c>
    </row>
    <row r="12172" spans="1:5" x14ac:dyDescent="0.25">
      <c r="A12172" t="s">
        <v>2</v>
      </c>
      <c r="B12172" t="s">
        <v>3458</v>
      </c>
      <c r="C12172" t="s">
        <v>23490</v>
      </c>
      <c r="D12172" t="str">
        <f>HYPERLINK("https://rhld.insurance.arkansas.gov/NPILookup?Npi=1417290412","1417290412")</f>
        <v>1417290412</v>
      </c>
      <c r="E12172" t="s">
        <v>11455</v>
      </c>
    </row>
    <row r="12173" spans="1:5" x14ac:dyDescent="0.25">
      <c r="A12173" t="s">
        <v>2</v>
      </c>
      <c r="B12173" t="s">
        <v>3458</v>
      </c>
      <c r="C12173" t="s">
        <v>23490</v>
      </c>
      <c r="D12173" t="str">
        <f>HYPERLINK("https://rhld.insurance.arkansas.gov/NPILookup?Npi=1417290644","1417290644")</f>
        <v>1417290644</v>
      </c>
      <c r="E12173" t="s">
        <v>10907</v>
      </c>
    </row>
    <row r="12174" spans="1:5" x14ac:dyDescent="0.25">
      <c r="A12174" t="s">
        <v>2</v>
      </c>
      <c r="B12174" t="s">
        <v>3458</v>
      </c>
      <c r="C12174" t="s">
        <v>23490</v>
      </c>
      <c r="D12174" t="str">
        <f>HYPERLINK("https://rhld.insurance.arkansas.gov/NPILookup?Npi=1417294828","1417294828")</f>
        <v>1417294828</v>
      </c>
      <c r="E12174" t="s">
        <v>12984</v>
      </c>
    </row>
    <row r="12175" spans="1:5" x14ac:dyDescent="0.25">
      <c r="A12175" t="s">
        <v>2</v>
      </c>
      <c r="B12175" t="s">
        <v>3458</v>
      </c>
      <c r="C12175" t="s">
        <v>23490</v>
      </c>
      <c r="D12175" t="str">
        <f>HYPERLINK("https://rhld.insurance.arkansas.gov/NPILookup?Npi=1417301417","1417301417")</f>
        <v>1417301417</v>
      </c>
      <c r="E12175" t="s">
        <v>15859</v>
      </c>
    </row>
    <row r="12176" spans="1:5" x14ac:dyDescent="0.25">
      <c r="A12176" t="s">
        <v>2</v>
      </c>
      <c r="B12176" t="s">
        <v>3458</v>
      </c>
      <c r="C12176" t="s">
        <v>23490</v>
      </c>
      <c r="D12176" t="str">
        <f>HYPERLINK("https://rhld.insurance.arkansas.gov/NPILookup?Npi=1417336348","1417336348")</f>
        <v>1417336348</v>
      </c>
      <c r="E12176" t="s">
        <v>19707</v>
      </c>
    </row>
    <row r="12177" spans="1:5" x14ac:dyDescent="0.25">
      <c r="A12177" t="s">
        <v>2</v>
      </c>
      <c r="B12177" t="s">
        <v>3458</v>
      </c>
      <c r="C12177" t="s">
        <v>23490</v>
      </c>
      <c r="D12177" t="str">
        <f>HYPERLINK("https://rhld.insurance.arkansas.gov/NPILookup?Npi=1417357468","1417357468")</f>
        <v>1417357468</v>
      </c>
      <c r="E12177" t="s">
        <v>15103</v>
      </c>
    </row>
    <row r="12178" spans="1:5" x14ac:dyDescent="0.25">
      <c r="A12178" t="s">
        <v>2</v>
      </c>
      <c r="B12178" t="s">
        <v>3458</v>
      </c>
      <c r="C12178" t="s">
        <v>23490</v>
      </c>
      <c r="D12178" t="str">
        <f>HYPERLINK("https://rhld.insurance.arkansas.gov/NPILookup?Npi=1417362369","1417362369")</f>
        <v>1417362369</v>
      </c>
      <c r="E12178" t="s">
        <v>1080</v>
      </c>
    </row>
    <row r="12179" spans="1:5" x14ac:dyDescent="0.25">
      <c r="A12179" t="s">
        <v>2</v>
      </c>
      <c r="B12179" t="s">
        <v>3458</v>
      </c>
      <c r="C12179" t="s">
        <v>23490</v>
      </c>
      <c r="D12179" t="str">
        <f>HYPERLINK("https://rhld.insurance.arkansas.gov/NPILookup?Npi=1417368887","1417368887")</f>
        <v>1417368887</v>
      </c>
      <c r="E12179" t="s">
        <v>18211</v>
      </c>
    </row>
    <row r="12180" spans="1:5" x14ac:dyDescent="0.25">
      <c r="A12180" t="s">
        <v>2</v>
      </c>
      <c r="B12180" t="s">
        <v>3458</v>
      </c>
      <c r="C12180" t="s">
        <v>23490</v>
      </c>
      <c r="D12180" t="str">
        <f>HYPERLINK("https://rhld.insurance.arkansas.gov/NPILookup?Npi=1417372558","1417372558")</f>
        <v>1417372558</v>
      </c>
      <c r="E12180" t="s">
        <v>1471</v>
      </c>
    </row>
    <row r="12181" spans="1:5" x14ac:dyDescent="0.25">
      <c r="A12181" t="s">
        <v>2</v>
      </c>
      <c r="B12181" t="s">
        <v>3458</v>
      </c>
      <c r="C12181" t="s">
        <v>23490</v>
      </c>
      <c r="D12181" t="str">
        <f>HYPERLINK("https://rhld.insurance.arkansas.gov/NPILookup?Npi=1417377334","1417377334")</f>
        <v>1417377334</v>
      </c>
      <c r="E12181" t="s">
        <v>19708</v>
      </c>
    </row>
    <row r="12182" spans="1:5" x14ac:dyDescent="0.25">
      <c r="A12182" t="s">
        <v>2</v>
      </c>
      <c r="B12182" t="s">
        <v>3458</v>
      </c>
      <c r="C12182" t="s">
        <v>23490</v>
      </c>
      <c r="D12182" t="str">
        <f>HYPERLINK("https://rhld.insurance.arkansas.gov/NPILookup?Npi=1417385188","1417385188")</f>
        <v>1417385188</v>
      </c>
      <c r="E12182" t="s">
        <v>1472</v>
      </c>
    </row>
    <row r="12183" spans="1:5" x14ac:dyDescent="0.25">
      <c r="A12183" t="s">
        <v>2</v>
      </c>
      <c r="B12183" t="s">
        <v>3458</v>
      </c>
      <c r="C12183" t="s">
        <v>23490</v>
      </c>
      <c r="D12183" t="str">
        <f>HYPERLINK("https://rhld.insurance.arkansas.gov/NPILookup?Npi=1417400656","1417400656")</f>
        <v>1417400656</v>
      </c>
      <c r="E12183" t="s">
        <v>10909</v>
      </c>
    </row>
    <row r="12184" spans="1:5" x14ac:dyDescent="0.25">
      <c r="A12184" t="s">
        <v>2</v>
      </c>
      <c r="B12184" t="s">
        <v>3458</v>
      </c>
      <c r="C12184" t="s">
        <v>23490</v>
      </c>
      <c r="D12184" t="str">
        <f>HYPERLINK("https://rhld.insurance.arkansas.gov/NPILookup?Npi=1417425620","1417425620")</f>
        <v>1417425620</v>
      </c>
      <c r="E12184" t="s">
        <v>15105</v>
      </c>
    </row>
    <row r="12185" spans="1:5" x14ac:dyDescent="0.25">
      <c r="A12185" t="s">
        <v>2</v>
      </c>
      <c r="B12185" t="s">
        <v>3458</v>
      </c>
      <c r="C12185" t="s">
        <v>23490</v>
      </c>
      <c r="D12185" t="str">
        <f>HYPERLINK("https://rhld.insurance.arkansas.gov/NPILookup?Npi=1417455361","1417455361")</f>
        <v>1417455361</v>
      </c>
      <c r="E12185" t="s">
        <v>12985</v>
      </c>
    </row>
    <row r="12186" spans="1:5" x14ac:dyDescent="0.25">
      <c r="A12186" t="s">
        <v>2</v>
      </c>
      <c r="B12186" t="s">
        <v>3458</v>
      </c>
      <c r="C12186" t="s">
        <v>23490</v>
      </c>
      <c r="D12186" t="str">
        <f>HYPERLINK("https://rhld.insurance.arkansas.gov/NPILookup?Npi=1417455817","1417455817")</f>
        <v>1417455817</v>
      </c>
      <c r="E12186" t="s">
        <v>12986</v>
      </c>
    </row>
    <row r="12187" spans="1:5" x14ac:dyDescent="0.25">
      <c r="A12187" t="s">
        <v>2</v>
      </c>
      <c r="B12187" t="s">
        <v>3458</v>
      </c>
      <c r="C12187" t="s">
        <v>23490</v>
      </c>
      <c r="D12187" t="str">
        <f>HYPERLINK("https://rhld.insurance.arkansas.gov/NPILookup?Npi=1417456443","1417456443")</f>
        <v>1417456443</v>
      </c>
      <c r="E12187" t="s">
        <v>12840</v>
      </c>
    </row>
    <row r="12188" spans="1:5" x14ac:dyDescent="0.25">
      <c r="A12188" t="s">
        <v>2</v>
      </c>
      <c r="B12188" t="s">
        <v>3458</v>
      </c>
      <c r="C12188" t="s">
        <v>23490</v>
      </c>
      <c r="D12188" t="str">
        <f>HYPERLINK("https://rhld.insurance.arkansas.gov/NPILookup?Npi=1417456989","1417456989")</f>
        <v>1417456989</v>
      </c>
      <c r="E12188" t="s">
        <v>13528</v>
      </c>
    </row>
    <row r="12189" spans="1:5" x14ac:dyDescent="0.25">
      <c r="A12189" t="s">
        <v>2</v>
      </c>
      <c r="B12189" t="s">
        <v>3458</v>
      </c>
      <c r="C12189" t="s">
        <v>23490</v>
      </c>
      <c r="D12189" t="str">
        <f>HYPERLINK("https://rhld.insurance.arkansas.gov/NPILookup?Npi=1417465998","1417465998")</f>
        <v>1417465998</v>
      </c>
      <c r="E12189" t="s">
        <v>19711</v>
      </c>
    </row>
    <row r="12190" spans="1:5" x14ac:dyDescent="0.25">
      <c r="A12190" t="s">
        <v>2</v>
      </c>
      <c r="B12190" t="s">
        <v>3458</v>
      </c>
      <c r="C12190" t="s">
        <v>23490</v>
      </c>
      <c r="D12190" t="str">
        <f>HYPERLINK("https://rhld.insurance.arkansas.gov/NPILookup?Npi=1417479965","1417479965")</f>
        <v>1417479965</v>
      </c>
      <c r="E12190" t="s">
        <v>10910</v>
      </c>
    </row>
    <row r="12191" spans="1:5" x14ac:dyDescent="0.25">
      <c r="A12191" t="s">
        <v>2</v>
      </c>
      <c r="B12191" t="s">
        <v>3458</v>
      </c>
      <c r="C12191" t="s">
        <v>23490</v>
      </c>
      <c r="D12191" t="str">
        <f>HYPERLINK("https://rhld.insurance.arkansas.gov/NPILookup?Npi=1417511551","1417511551")</f>
        <v>1417511551</v>
      </c>
      <c r="E12191" t="s">
        <v>17427</v>
      </c>
    </row>
    <row r="12192" spans="1:5" x14ac:dyDescent="0.25">
      <c r="A12192" t="s">
        <v>2</v>
      </c>
      <c r="B12192" t="s">
        <v>3458</v>
      </c>
      <c r="C12192" t="s">
        <v>8427</v>
      </c>
      <c r="D12192" t="str">
        <f>HYPERLINK("https://rhld.insurance.arkansas.gov/NPILookup?Npi=1417512070","1417512070")</f>
        <v>1417512070</v>
      </c>
      <c r="E12192" t="s">
        <v>22929</v>
      </c>
    </row>
    <row r="12193" spans="1:5" x14ac:dyDescent="0.25">
      <c r="A12193" t="s">
        <v>2</v>
      </c>
      <c r="B12193" t="s">
        <v>3458</v>
      </c>
      <c r="C12193" t="s">
        <v>23490</v>
      </c>
      <c r="D12193" t="str">
        <f>HYPERLINK("https://rhld.insurance.arkansas.gov/NPILookup?Npi=1417524372","1417524372")</f>
        <v>1417524372</v>
      </c>
      <c r="E12193" t="s">
        <v>18772</v>
      </c>
    </row>
    <row r="12194" spans="1:5" x14ac:dyDescent="0.25">
      <c r="A12194" t="s">
        <v>2</v>
      </c>
      <c r="B12194" t="s">
        <v>3458</v>
      </c>
      <c r="C12194" t="s">
        <v>23490</v>
      </c>
      <c r="D12194" t="str">
        <f>HYPERLINK("https://rhld.insurance.arkansas.gov/NPILookup?Npi=1417532292","1417532292")</f>
        <v>1417532292</v>
      </c>
      <c r="E12194" t="s">
        <v>17980</v>
      </c>
    </row>
    <row r="12195" spans="1:5" x14ac:dyDescent="0.25">
      <c r="A12195" t="s">
        <v>2</v>
      </c>
      <c r="B12195" t="s">
        <v>3458</v>
      </c>
      <c r="C12195" t="s">
        <v>23490</v>
      </c>
      <c r="D12195" t="str">
        <f>HYPERLINK("https://rhld.insurance.arkansas.gov/NPILookup?Npi=1417552605","1417552605")</f>
        <v>1417552605</v>
      </c>
      <c r="E12195" t="s">
        <v>21734</v>
      </c>
    </row>
    <row r="12196" spans="1:5" x14ac:dyDescent="0.25">
      <c r="A12196" t="s">
        <v>2</v>
      </c>
      <c r="B12196" t="s">
        <v>3458</v>
      </c>
      <c r="C12196" t="s">
        <v>23490</v>
      </c>
      <c r="D12196" t="str">
        <f>HYPERLINK("https://rhld.insurance.arkansas.gov/NPILookup?Npi=1417562224","1417562224")</f>
        <v>1417562224</v>
      </c>
      <c r="E12196" t="s">
        <v>17981</v>
      </c>
    </row>
    <row r="12197" spans="1:5" x14ac:dyDescent="0.25">
      <c r="A12197" t="s">
        <v>2</v>
      </c>
      <c r="B12197" t="s">
        <v>3458</v>
      </c>
      <c r="C12197" t="s">
        <v>23490</v>
      </c>
      <c r="D12197" t="str">
        <f>HYPERLINK("https://rhld.insurance.arkansas.gov/NPILookup?Npi=1417562307","1417562307")</f>
        <v>1417562307</v>
      </c>
      <c r="E12197" t="s">
        <v>17982</v>
      </c>
    </row>
    <row r="12198" spans="1:5" x14ac:dyDescent="0.25">
      <c r="A12198" t="s">
        <v>2</v>
      </c>
      <c r="B12198" t="s">
        <v>3458</v>
      </c>
      <c r="C12198" t="s">
        <v>23490</v>
      </c>
      <c r="D12198" t="str">
        <f>HYPERLINK("https://rhld.insurance.arkansas.gov/NPILookup?Npi=1417566753","1417566753")</f>
        <v>1417566753</v>
      </c>
      <c r="E12198" t="s">
        <v>17428</v>
      </c>
    </row>
    <row r="12199" spans="1:5" x14ac:dyDescent="0.25">
      <c r="A12199" t="s">
        <v>2</v>
      </c>
      <c r="B12199" t="s">
        <v>3458</v>
      </c>
      <c r="C12199" t="s">
        <v>23490</v>
      </c>
      <c r="D12199" t="str">
        <f>HYPERLINK("https://rhld.insurance.arkansas.gov/NPILookup?Npi=1417585845","1417585845")</f>
        <v>1417585845</v>
      </c>
      <c r="E12199" t="s">
        <v>21539</v>
      </c>
    </row>
    <row r="12200" spans="1:5" x14ac:dyDescent="0.25">
      <c r="A12200" t="s">
        <v>2</v>
      </c>
      <c r="B12200" t="s">
        <v>3458</v>
      </c>
      <c r="C12200" t="s">
        <v>23490</v>
      </c>
      <c r="D12200" t="str">
        <f>HYPERLINK("https://rhld.insurance.arkansas.gov/NPILookup?Npi=1417588393","1417588393")</f>
        <v>1417588393</v>
      </c>
      <c r="E12200" t="s">
        <v>19714</v>
      </c>
    </row>
    <row r="12201" spans="1:5" x14ac:dyDescent="0.25">
      <c r="A12201" t="s">
        <v>2</v>
      </c>
      <c r="B12201" t="s">
        <v>3458</v>
      </c>
      <c r="C12201" t="s">
        <v>23490</v>
      </c>
      <c r="D12201" t="str">
        <f>HYPERLINK("https://rhld.insurance.arkansas.gov/NPILookup?Npi=1417589144","1417589144")</f>
        <v>1417589144</v>
      </c>
      <c r="E12201" t="s">
        <v>17984</v>
      </c>
    </row>
    <row r="12202" spans="1:5" x14ac:dyDescent="0.25">
      <c r="A12202" t="s">
        <v>2</v>
      </c>
      <c r="B12202" t="s">
        <v>3458</v>
      </c>
      <c r="C12202" t="s">
        <v>23490</v>
      </c>
      <c r="D12202" t="str">
        <f>HYPERLINK("https://rhld.insurance.arkansas.gov/NPILookup?Npi=1417607755","1417607755")</f>
        <v>1417607755</v>
      </c>
      <c r="E12202" t="s">
        <v>19715</v>
      </c>
    </row>
    <row r="12203" spans="1:5" x14ac:dyDescent="0.25">
      <c r="A12203" t="s">
        <v>2</v>
      </c>
      <c r="B12203" t="s">
        <v>3458</v>
      </c>
      <c r="C12203" t="s">
        <v>23490</v>
      </c>
      <c r="D12203" t="str">
        <f>HYPERLINK("https://rhld.insurance.arkansas.gov/NPILookup?Npi=1417613704","1417613704")</f>
        <v>1417613704</v>
      </c>
      <c r="E12203" t="s">
        <v>19716</v>
      </c>
    </row>
    <row r="12204" spans="1:5" x14ac:dyDescent="0.25">
      <c r="A12204" t="s">
        <v>2</v>
      </c>
      <c r="B12204" t="s">
        <v>3458</v>
      </c>
      <c r="C12204" t="s">
        <v>23490</v>
      </c>
      <c r="D12204" t="str">
        <f>HYPERLINK("https://rhld.insurance.arkansas.gov/NPILookup?Npi=1417623398","1417623398")</f>
        <v>1417623398</v>
      </c>
      <c r="E12204" t="s">
        <v>18773</v>
      </c>
    </row>
    <row r="12205" spans="1:5" x14ac:dyDescent="0.25">
      <c r="A12205" t="s">
        <v>2</v>
      </c>
      <c r="B12205" t="s">
        <v>3458</v>
      </c>
      <c r="C12205" t="s">
        <v>23490</v>
      </c>
      <c r="D12205" t="str">
        <f>HYPERLINK("https://rhld.insurance.arkansas.gov/NPILookup?Npi=1417686262","1417686262")</f>
        <v>1417686262</v>
      </c>
      <c r="E12205" t="s">
        <v>20937</v>
      </c>
    </row>
    <row r="12206" spans="1:5" x14ac:dyDescent="0.25">
      <c r="A12206" t="s">
        <v>2</v>
      </c>
      <c r="B12206" t="s">
        <v>3458</v>
      </c>
      <c r="C12206" t="s">
        <v>23490</v>
      </c>
      <c r="D12206" t="str">
        <f>HYPERLINK("https://rhld.insurance.arkansas.gov/NPILookup?Npi=1417901794","1417901794")</f>
        <v>1417901794</v>
      </c>
      <c r="E12206" t="s">
        <v>15107</v>
      </c>
    </row>
    <row r="12207" spans="1:5" x14ac:dyDescent="0.25">
      <c r="A12207" t="s">
        <v>2</v>
      </c>
      <c r="B12207" t="s">
        <v>3458</v>
      </c>
      <c r="C12207" t="s">
        <v>23490</v>
      </c>
      <c r="D12207" t="str">
        <f>HYPERLINK("https://rhld.insurance.arkansas.gov/NPILookup?Npi=1417908401","1417908401")</f>
        <v>1417908401</v>
      </c>
      <c r="E12207" t="s">
        <v>12841</v>
      </c>
    </row>
    <row r="12208" spans="1:5" x14ac:dyDescent="0.25">
      <c r="A12208" t="s">
        <v>2</v>
      </c>
      <c r="B12208" t="s">
        <v>3458</v>
      </c>
      <c r="C12208" t="s">
        <v>23490</v>
      </c>
      <c r="D12208" t="str">
        <f>HYPERLINK("https://rhld.insurance.arkansas.gov/NPILookup?Npi=1417908872","1417908872")</f>
        <v>1417908872</v>
      </c>
      <c r="E12208" t="s">
        <v>1474</v>
      </c>
    </row>
    <row r="12209" spans="1:5" x14ac:dyDescent="0.25">
      <c r="A12209" t="s">
        <v>2</v>
      </c>
      <c r="B12209" t="s">
        <v>3458</v>
      </c>
      <c r="C12209" t="s">
        <v>23490</v>
      </c>
      <c r="D12209" t="str">
        <f>HYPERLINK("https://rhld.insurance.arkansas.gov/NPILookup?Npi=1417913484","1417913484")</f>
        <v>1417913484</v>
      </c>
      <c r="E12209" t="s">
        <v>1477</v>
      </c>
    </row>
    <row r="12210" spans="1:5" x14ac:dyDescent="0.25">
      <c r="A12210" t="s">
        <v>2</v>
      </c>
      <c r="B12210" t="s">
        <v>3458</v>
      </c>
      <c r="C12210" t="s">
        <v>23490</v>
      </c>
      <c r="D12210" t="str">
        <f>HYPERLINK("https://rhld.insurance.arkansas.gov/NPILookup?Npi=1417918426","1417918426")</f>
        <v>1417918426</v>
      </c>
      <c r="E12210" t="s">
        <v>1478</v>
      </c>
    </row>
    <row r="12211" spans="1:5" x14ac:dyDescent="0.25">
      <c r="A12211" t="s">
        <v>2</v>
      </c>
      <c r="B12211" t="s">
        <v>3458</v>
      </c>
      <c r="C12211" t="s">
        <v>23490</v>
      </c>
      <c r="D12211" t="str">
        <f>HYPERLINK("https://rhld.insurance.arkansas.gov/NPILookup?Npi=1417921156","1417921156")</f>
        <v>1417921156</v>
      </c>
      <c r="E12211" t="s">
        <v>13529</v>
      </c>
    </row>
    <row r="12212" spans="1:5" x14ac:dyDescent="0.25">
      <c r="A12212" t="s">
        <v>2</v>
      </c>
      <c r="B12212" t="s">
        <v>3458</v>
      </c>
      <c r="C12212" t="s">
        <v>23490</v>
      </c>
      <c r="D12212" t="str">
        <f>HYPERLINK("https://rhld.insurance.arkansas.gov/NPILookup?Npi=1417922667","1417922667")</f>
        <v>1417922667</v>
      </c>
      <c r="E12212" t="s">
        <v>1479</v>
      </c>
    </row>
    <row r="12213" spans="1:5" x14ac:dyDescent="0.25">
      <c r="A12213" t="s">
        <v>2</v>
      </c>
      <c r="B12213" t="s">
        <v>3458</v>
      </c>
      <c r="C12213" t="s">
        <v>23490</v>
      </c>
      <c r="D12213" t="str">
        <f>HYPERLINK("https://rhld.insurance.arkansas.gov/NPILookup?Npi=1417925314","1417925314")</f>
        <v>1417925314</v>
      </c>
      <c r="E12213" t="s">
        <v>1481</v>
      </c>
    </row>
    <row r="12214" spans="1:5" x14ac:dyDescent="0.25">
      <c r="A12214" t="s">
        <v>2</v>
      </c>
      <c r="B12214" t="s">
        <v>3458</v>
      </c>
      <c r="C12214" t="s">
        <v>23490</v>
      </c>
      <c r="D12214" t="str">
        <f>HYPERLINK("https://rhld.insurance.arkansas.gov/NPILookup?Npi=1417927369","1417927369")</f>
        <v>1417927369</v>
      </c>
      <c r="E12214" t="s">
        <v>1482</v>
      </c>
    </row>
    <row r="12215" spans="1:5" x14ac:dyDescent="0.25">
      <c r="A12215" t="s">
        <v>2</v>
      </c>
      <c r="B12215" t="s">
        <v>3458</v>
      </c>
      <c r="C12215" t="s">
        <v>23490</v>
      </c>
      <c r="D12215" t="str">
        <f>HYPERLINK("https://rhld.insurance.arkansas.gov/NPILookup?Npi=1417933276","1417933276")</f>
        <v>1417933276</v>
      </c>
      <c r="E12215" t="s">
        <v>3716</v>
      </c>
    </row>
    <row r="12216" spans="1:5" x14ac:dyDescent="0.25">
      <c r="A12216" t="s">
        <v>2</v>
      </c>
      <c r="B12216" t="s">
        <v>3458</v>
      </c>
      <c r="C12216" t="s">
        <v>23490</v>
      </c>
      <c r="D12216" t="str">
        <f>HYPERLINK("https://rhld.insurance.arkansas.gov/NPILookup?Npi=1417947672","1417947672")</f>
        <v>1417947672</v>
      </c>
      <c r="E12216" t="s">
        <v>1485</v>
      </c>
    </row>
    <row r="12217" spans="1:5" x14ac:dyDescent="0.25">
      <c r="A12217" t="s">
        <v>2</v>
      </c>
      <c r="B12217" t="s">
        <v>3458</v>
      </c>
      <c r="C12217" t="s">
        <v>23490</v>
      </c>
      <c r="D12217" t="str">
        <f>HYPERLINK("https://rhld.insurance.arkansas.gov/NPILookup?Npi=1417953233","1417953233")</f>
        <v>1417953233</v>
      </c>
      <c r="E12217" t="s">
        <v>15109</v>
      </c>
    </row>
    <row r="12218" spans="1:5" x14ac:dyDescent="0.25">
      <c r="A12218" t="s">
        <v>2</v>
      </c>
      <c r="B12218" t="s">
        <v>3458</v>
      </c>
      <c r="C12218" t="s">
        <v>23490</v>
      </c>
      <c r="D12218" t="str">
        <f>HYPERLINK("https://rhld.insurance.arkansas.gov/NPILookup?Npi=1417955766","1417955766")</f>
        <v>1417955766</v>
      </c>
      <c r="E12218" t="s">
        <v>13530</v>
      </c>
    </row>
    <row r="12219" spans="1:5" x14ac:dyDescent="0.25">
      <c r="A12219" t="s">
        <v>2</v>
      </c>
      <c r="B12219" t="s">
        <v>3458</v>
      </c>
      <c r="C12219" t="s">
        <v>23490</v>
      </c>
      <c r="D12219" t="str">
        <f>HYPERLINK("https://rhld.insurance.arkansas.gov/NPILookup?Npi=1417958919","1417958919")</f>
        <v>1417958919</v>
      </c>
      <c r="E12219" t="s">
        <v>1486</v>
      </c>
    </row>
    <row r="12220" spans="1:5" x14ac:dyDescent="0.25">
      <c r="A12220" t="s">
        <v>2</v>
      </c>
      <c r="B12220" t="s">
        <v>3458</v>
      </c>
      <c r="C12220" t="s">
        <v>23490</v>
      </c>
      <c r="D12220" t="str">
        <f>HYPERLINK("https://rhld.insurance.arkansas.gov/NPILookup?Npi=1417964107","1417964107")</f>
        <v>1417964107</v>
      </c>
      <c r="E12220" t="s">
        <v>1487</v>
      </c>
    </row>
    <row r="12221" spans="1:5" x14ac:dyDescent="0.25">
      <c r="A12221" t="s">
        <v>2</v>
      </c>
      <c r="B12221" t="s">
        <v>3458</v>
      </c>
      <c r="C12221" t="s">
        <v>23490</v>
      </c>
      <c r="D12221" t="str">
        <f>HYPERLINK("https://rhld.insurance.arkansas.gov/NPILookup?Npi=1417969478","1417969478")</f>
        <v>1417969478</v>
      </c>
      <c r="E12221" t="s">
        <v>1488</v>
      </c>
    </row>
    <row r="12222" spans="1:5" x14ac:dyDescent="0.25">
      <c r="A12222" t="s">
        <v>2</v>
      </c>
      <c r="B12222" t="s">
        <v>3458</v>
      </c>
      <c r="C12222" t="s">
        <v>23490</v>
      </c>
      <c r="D12222" t="str">
        <f>HYPERLINK("https://rhld.insurance.arkansas.gov/NPILookup?Npi=1417975731","1417975731")</f>
        <v>1417975731</v>
      </c>
      <c r="E12222" t="s">
        <v>15110</v>
      </c>
    </row>
    <row r="12223" spans="1:5" x14ac:dyDescent="0.25">
      <c r="A12223" t="s">
        <v>2</v>
      </c>
      <c r="B12223" t="s">
        <v>3458</v>
      </c>
      <c r="C12223" t="s">
        <v>23490</v>
      </c>
      <c r="D12223" t="str">
        <f>HYPERLINK("https://rhld.insurance.arkansas.gov/NPILookup?Npi=1417976028","1417976028")</f>
        <v>1417976028</v>
      </c>
      <c r="E12223" t="s">
        <v>15111</v>
      </c>
    </row>
    <row r="12224" spans="1:5" x14ac:dyDescent="0.25">
      <c r="A12224" t="s">
        <v>2</v>
      </c>
      <c r="B12224" t="s">
        <v>3458</v>
      </c>
      <c r="C12224" t="s">
        <v>23490</v>
      </c>
      <c r="D12224" t="str">
        <f>HYPERLINK("https://rhld.insurance.arkansas.gov/NPILookup?Npi=1417978297","1417978297")</f>
        <v>1417978297</v>
      </c>
      <c r="E12224" t="s">
        <v>3717</v>
      </c>
    </row>
    <row r="12225" spans="1:5" x14ac:dyDescent="0.25">
      <c r="A12225" t="s">
        <v>2</v>
      </c>
      <c r="B12225" t="s">
        <v>3458</v>
      </c>
      <c r="C12225" t="s">
        <v>23490</v>
      </c>
      <c r="D12225" t="str">
        <f>HYPERLINK("https://rhld.insurance.arkansas.gov/NPILookup?Npi=1417980384","1417980384")</f>
        <v>1417980384</v>
      </c>
      <c r="E12225" t="s">
        <v>1489</v>
      </c>
    </row>
    <row r="12226" spans="1:5" x14ac:dyDescent="0.25">
      <c r="A12226" t="s">
        <v>2</v>
      </c>
      <c r="B12226" t="s">
        <v>3458</v>
      </c>
      <c r="C12226" t="s">
        <v>23490</v>
      </c>
      <c r="D12226" t="str">
        <f>HYPERLINK("https://rhld.insurance.arkansas.gov/NPILookup?Npi=1417986027","1417986027")</f>
        <v>1417986027</v>
      </c>
      <c r="E12226" t="s">
        <v>1491</v>
      </c>
    </row>
    <row r="12227" spans="1:5" x14ac:dyDescent="0.25">
      <c r="A12227" t="s">
        <v>2</v>
      </c>
      <c r="B12227" t="s">
        <v>3458</v>
      </c>
      <c r="C12227" t="s">
        <v>23490</v>
      </c>
      <c r="D12227" t="str">
        <f>HYPERLINK("https://rhld.insurance.arkansas.gov/NPILookup?Npi=1417993379","1417993379")</f>
        <v>1417993379</v>
      </c>
      <c r="E12227" t="s">
        <v>1492</v>
      </c>
    </row>
    <row r="12228" spans="1:5" x14ac:dyDescent="0.25">
      <c r="A12228" t="s">
        <v>2</v>
      </c>
      <c r="B12228" t="s">
        <v>3458</v>
      </c>
      <c r="C12228" t="s">
        <v>23490</v>
      </c>
      <c r="D12228" t="str">
        <f>HYPERLINK("https://rhld.insurance.arkansas.gov/NPILookup?Npi=1417995457","1417995457")</f>
        <v>1417995457</v>
      </c>
      <c r="E12228" t="s">
        <v>1493</v>
      </c>
    </row>
    <row r="12229" spans="1:5" x14ac:dyDescent="0.25">
      <c r="A12229" t="s">
        <v>2</v>
      </c>
      <c r="B12229" t="s">
        <v>3458</v>
      </c>
      <c r="C12229" t="s">
        <v>23490</v>
      </c>
      <c r="D12229" t="str">
        <f>HYPERLINK("https://rhld.insurance.arkansas.gov/NPILookup?Npi=1427002146","1427002146")</f>
        <v>1427002146</v>
      </c>
      <c r="E12229" t="s">
        <v>8662</v>
      </c>
    </row>
    <row r="12230" spans="1:5" x14ac:dyDescent="0.25">
      <c r="A12230" t="s">
        <v>2</v>
      </c>
      <c r="B12230" t="s">
        <v>3458</v>
      </c>
      <c r="C12230" t="s">
        <v>23490</v>
      </c>
      <c r="D12230" t="str">
        <f>HYPERLINK("https://rhld.insurance.arkansas.gov/NPILookup?Npi=1427011030","1427011030")</f>
        <v>1427011030</v>
      </c>
      <c r="E12230" t="s">
        <v>3718</v>
      </c>
    </row>
    <row r="12231" spans="1:5" x14ac:dyDescent="0.25">
      <c r="A12231" t="s">
        <v>2</v>
      </c>
      <c r="B12231" t="s">
        <v>3458</v>
      </c>
      <c r="C12231" t="s">
        <v>23490</v>
      </c>
      <c r="D12231" t="str">
        <f>HYPERLINK("https://rhld.insurance.arkansas.gov/NPILookup?Npi=1427011410","1427011410")</f>
        <v>1427011410</v>
      </c>
      <c r="E12231" t="s">
        <v>1495</v>
      </c>
    </row>
    <row r="12232" spans="1:5" x14ac:dyDescent="0.25">
      <c r="A12232" t="s">
        <v>2</v>
      </c>
      <c r="B12232" t="s">
        <v>3458</v>
      </c>
      <c r="C12232" t="s">
        <v>23490</v>
      </c>
      <c r="D12232" t="str">
        <f>HYPERLINK("https://rhld.insurance.arkansas.gov/NPILookup?Npi=1427013945","1427013945")</f>
        <v>1427013945</v>
      </c>
      <c r="E12232" t="s">
        <v>1496</v>
      </c>
    </row>
    <row r="12233" spans="1:5" x14ac:dyDescent="0.25">
      <c r="A12233" t="s">
        <v>2</v>
      </c>
      <c r="B12233" t="s">
        <v>3458</v>
      </c>
      <c r="C12233" t="s">
        <v>23490</v>
      </c>
      <c r="D12233" t="str">
        <f>HYPERLINK("https://rhld.insurance.arkansas.gov/NPILookup?Npi=1427014901","1427014901")</f>
        <v>1427014901</v>
      </c>
      <c r="E12233" t="s">
        <v>1497</v>
      </c>
    </row>
    <row r="12234" spans="1:5" x14ac:dyDescent="0.25">
      <c r="A12234" t="s">
        <v>2</v>
      </c>
      <c r="B12234" t="s">
        <v>3458</v>
      </c>
      <c r="C12234" t="s">
        <v>23490</v>
      </c>
      <c r="D12234" t="str">
        <f>HYPERLINK("https://rhld.insurance.arkansas.gov/NPILookup?Npi=1427018043","1427018043")</f>
        <v>1427018043</v>
      </c>
      <c r="E12234" t="s">
        <v>1498</v>
      </c>
    </row>
    <row r="12235" spans="1:5" x14ac:dyDescent="0.25">
      <c r="A12235" t="s">
        <v>2</v>
      </c>
      <c r="B12235" t="s">
        <v>3458</v>
      </c>
      <c r="C12235" t="s">
        <v>23490</v>
      </c>
      <c r="D12235" t="str">
        <f>HYPERLINK("https://rhld.insurance.arkansas.gov/NPILookup?Npi=1427026939","1427026939")</f>
        <v>1427026939</v>
      </c>
      <c r="E12235" t="s">
        <v>1499</v>
      </c>
    </row>
    <row r="12236" spans="1:5" x14ac:dyDescent="0.25">
      <c r="A12236" t="s">
        <v>2</v>
      </c>
      <c r="B12236" t="s">
        <v>3458</v>
      </c>
      <c r="C12236" t="s">
        <v>23490</v>
      </c>
      <c r="D12236" t="str">
        <f>HYPERLINK("https://rhld.insurance.arkansas.gov/NPILookup?Npi=1427030444","1427030444")</f>
        <v>1427030444</v>
      </c>
      <c r="E12236" t="s">
        <v>3719</v>
      </c>
    </row>
    <row r="12237" spans="1:5" x14ac:dyDescent="0.25">
      <c r="A12237" t="s">
        <v>2</v>
      </c>
      <c r="B12237" t="s">
        <v>3458</v>
      </c>
      <c r="C12237" t="s">
        <v>23490</v>
      </c>
      <c r="D12237" t="str">
        <f>HYPERLINK("https://rhld.insurance.arkansas.gov/NPILookup?Npi=1427037670","1427037670")</f>
        <v>1427037670</v>
      </c>
      <c r="E12237" t="s">
        <v>15112</v>
      </c>
    </row>
    <row r="12238" spans="1:5" x14ac:dyDescent="0.25">
      <c r="A12238" t="s">
        <v>2</v>
      </c>
      <c r="B12238" t="s">
        <v>3458</v>
      </c>
      <c r="C12238" t="s">
        <v>23490</v>
      </c>
      <c r="D12238" t="str">
        <f>HYPERLINK("https://rhld.insurance.arkansas.gov/NPILookup?Npi=1427038082","1427038082")</f>
        <v>1427038082</v>
      </c>
      <c r="E12238" t="s">
        <v>1501</v>
      </c>
    </row>
    <row r="12239" spans="1:5" x14ac:dyDescent="0.25">
      <c r="A12239" t="s">
        <v>2</v>
      </c>
      <c r="B12239" t="s">
        <v>3458</v>
      </c>
      <c r="C12239" t="s">
        <v>23490</v>
      </c>
      <c r="D12239" t="str">
        <f>HYPERLINK("https://rhld.insurance.arkansas.gov/NPILookup?Npi=1427038678","1427038678")</f>
        <v>1427038678</v>
      </c>
      <c r="E12239" t="s">
        <v>1502</v>
      </c>
    </row>
    <row r="12240" spans="1:5" x14ac:dyDescent="0.25">
      <c r="A12240" t="s">
        <v>2</v>
      </c>
      <c r="B12240" t="s">
        <v>3458</v>
      </c>
      <c r="C12240" t="s">
        <v>23490</v>
      </c>
      <c r="D12240" t="str">
        <f>HYPERLINK("https://rhld.insurance.arkansas.gov/NPILookup?Npi=1427039049","1427039049")</f>
        <v>1427039049</v>
      </c>
      <c r="E12240" t="s">
        <v>3720</v>
      </c>
    </row>
    <row r="12241" spans="1:5" x14ac:dyDescent="0.25">
      <c r="A12241" t="s">
        <v>2</v>
      </c>
      <c r="B12241" t="s">
        <v>3458</v>
      </c>
      <c r="C12241" t="s">
        <v>23490</v>
      </c>
      <c r="D12241" t="str">
        <f>HYPERLINK("https://rhld.insurance.arkansas.gov/NPILookup?Npi=1427044999","1427044999")</f>
        <v>1427044999</v>
      </c>
      <c r="E12241" t="s">
        <v>1503</v>
      </c>
    </row>
    <row r="12242" spans="1:5" x14ac:dyDescent="0.25">
      <c r="A12242" t="s">
        <v>2</v>
      </c>
      <c r="B12242" t="s">
        <v>3458</v>
      </c>
      <c r="C12242" t="s">
        <v>23490</v>
      </c>
      <c r="D12242" t="str">
        <f>HYPERLINK("https://rhld.insurance.arkansas.gov/NPILookup?Npi=1427045038","1427045038")</f>
        <v>1427045038</v>
      </c>
      <c r="E12242" t="s">
        <v>3721</v>
      </c>
    </row>
    <row r="12243" spans="1:5" x14ac:dyDescent="0.25">
      <c r="A12243" t="s">
        <v>2</v>
      </c>
      <c r="B12243" t="s">
        <v>3458</v>
      </c>
      <c r="C12243" t="s">
        <v>23490</v>
      </c>
      <c r="D12243" t="str">
        <f>HYPERLINK("https://rhld.insurance.arkansas.gov/NPILookup?Npi=1427045194","1427045194")</f>
        <v>1427045194</v>
      </c>
      <c r="E12243" t="s">
        <v>3722</v>
      </c>
    </row>
    <row r="12244" spans="1:5" x14ac:dyDescent="0.25">
      <c r="A12244" t="s">
        <v>2</v>
      </c>
      <c r="B12244" t="s">
        <v>3458</v>
      </c>
      <c r="C12244" t="s">
        <v>23490</v>
      </c>
      <c r="D12244" t="str">
        <f>HYPERLINK("https://rhld.insurance.arkansas.gov/NPILookup?Npi=1427060698","1427060698")</f>
        <v>1427060698</v>
      </c>
      <c r="E12244" t="s">
        <v>1504</v>
      </c>
    </row>
    <row r="12245" spans="1:5" x14ac:dyDescent="0.25">
      <c r="A12245" t="s">
        <v>2</v>
      </c>
      <c r="B12245" t="s">
        <v>3458</v>
      </c>
      <c r="C12245" t="s">
        <v>23490</v>
      </c>
      <c r="D12245" t="str">
        <f>HYPERLINK("https://rhld.insurance.arkansas.gov/NPILookup?Npi=1427062058","1427062058")</f>
        <v>1427062058</v>
      </c>
      <c r="E12245" t="s">
        <v>1505</v>
      </c>
    </row>
    <row r="12246" spans="1:5" x14ac:dyDescent="0.25">
      <c r="A12246" t="s">
        <v>2</v>
      </c>
      <c r="B12246" t="s">
        <v>3458</v>
      </c>
      <c r="C12246" t="s">
        <v>23490</v>
      </c>
      <c r="D12246" t="str">
        <f>HYPERLINK("https://rhld.insurance.arkansas.gov/NPILookup?Npi=1427067867","1427067867")</f>
        <v>1427067867</v>
      </c>
      <c r="E12246" t="s">
        <v>1506</v>
      </c>
    </row>
    <row r="12247" spans="1:5" x14ac:dyDescent="0.25">
      <c r="A12247" t="s">
        <v>2</v>
      </c>
      <c r="B12247" t="s">
        <v>3458</v>
      </c>
      <c r="C12247" t="s">
        <v>23490</v>
      </c>
      <c r="D12247" t="str">
        <f>HYPERLINK("https://rhld.insurance.arkansas.gov/NPILookup?Npi=1427069616","1427069616")</f>
        <v>1427069616</v>
      </c>
      <c r="E12247" t="s">
        <v>8663</v>
      </c>
    </row>
    <row r="12248" spans="1:5" x14ac:dyDescent="0.25">
      <c r="A12248" t="s">
        <v>2</v>
      </c>
      <c r="B12248" t="s">
        <v>3458</v>
      </c>
      <c r="C12248" t="s">
        <v>23490</v>
      </c>
      <c r="D12248" t="str">
        <f>HYPERLINK("https://rhld.insurance.arkansas.gov/NPILookup?Npi=1427070606","1427070606")</f>
        <v>1427070606</v>
      </c>
      <c r="E12248" t="s">
        <v>1507</v>
      </c>
    </row>
    <row r="12249" spans="1:5" x14ac:dyDescent="0.25">
      <c r="A12249" t="s">
        <v>2</v>
      </c>
      <c r="B12249" t="s">
        <v>3458</v>
      </c>
      <c r="C12249" t="s">
        <v>23490</v>
      </c>
      <c r="D12249" t="str">
        <f>HYPERLINK("https://rhld.insurance.arkansas.gov/NPILookup?Npi=1427085075","1427085075")</f>
        <v>1427085075</v>
      </c>
      <c r="E12249" t="s">
        <v>1510</v>
      </c>
    </row>
    <row r="12250" spans="1:5" x14ac:dyDescent="0.25">
      <c r="A12250" t="s">
        <v>2</v>
      </c>
      <c r="B12250" t="s">
        <v>3458</v>
      </c>
      <c r="C12250" t="s">
        <v>23490</v>
      </c>
      <c r="D12250" t="str">
        <f>HYPERLINK("https://rhld.insurance.arkansas.gov/NPILookup?Npi=1427085851","1427085851")</f>
        <v>1427085851</v>
      </c>
      <c r="E12250" t="s">
        <v>1511</v>
      </c>
    </row>
    <row r="12251" spans="1:5" x14ac:dyDescent="0.25">
      <c r="A12251" t="s">
        <v>2</v>
      </c>
      <c r="B12251" t="s">
        <v>3458</v>
      </c>
      <c r="C12251" t="s">
        <v>23490</v>
      </c>
      <c r="D12251" t="str">
        <f>HYPERLINK("https://rhld.insurance.arkansas.gov/NPILookup?Npi=1427088814","1427088814")</f>
        <v>1427088814</v>
      </c>
      <c r="E12251" t="s">
        <v>1512</v>
      </c>
    </row>
    <row r="12252" spans="1:5" x14ac:dyDescent="0.25">
      <c r="A12252" t="s">
        <v>2</v>
      </c>
      <c r="B12252" t="s">
        <v>3458</v>
      </c>
      <c r="C12252" t="s">
        <v>23490</v>
      </c>
      <c r="D12252" t="str">
        <f>HYPERLINK("https://rhld.insurance.arkansas.gov/NPILookup?Npi=1427090372","1427090372")</f>
        <v>1427090372</v>
      </c>
      <c r="E12252" t="s">
        <v>1513</v>
      </c>
    </row>
    <row r="12253" spans="1:5" x14ac:dyDescent="0.25">
      <c r="A12253" t="s">
        <v>2</v>
      </c>
      <c r="B12253" t="s">
        <v>3458</v>
      </c>
      <c r="C12253" t="s">
        <v>23490</v>
      </c>
      <c r="D12253" t="str">
        <f>HYPERLINK("https://rhld.insurance.arkansas.gov/NPILookup?Npi=1427098508","1427098508")</f>
        <v>1427098508</v>
      </c>
      <c r="E12253" t="s">
        <v>1514</v>
      </c>
    </row>
    <row r="12254" spans="1:5" x14ac:dyDescent="0.25">
      <c r="A12254" t="s">
        <v>2</v>
      </c>
      <c r="B12254" t="s">
        <v>3458</v>
      </c>
      <c r="C12254" t="s">
        <v>23490</v>
      </c>
      <c r="D12254" t="str">
        <f>HYPERLINK("https://rhld.insurance.arkansas.gov/NPILookup?Npi=1427105667","1427105667")</f>
        <v>1427105667</v>
      </c>
      <c r="E12254" t="s">
        <v>1515</v>
      </c>
    </row>
    <row r="12255" spans="1:5" x14ac:dyDescent="0.25">
      <c r="A12255" t="s">
        <v>2</v>
      </c>
      <c r="B12255" t="s">
        <v>3458</v>
      </c>
      <c r="C12255" t="s">
        <v>23490</v>
      </c>
      <c r="D12255" t="str">
        <f>HYPERLINK("https://rhld.insurance.arkansas.gov/NPILookup?Npi=1427109552","1427109552")</f>
        <v>1427109552</v>
      </c>
      <c r="E12255" t="s">
        <v>531</v>
      </c>
    </row>
    <row r="12256" spans="1:5" x14ac:dyDescent="0.25">
      <c r="A12256" t="s">
        <v>2</v>
      </c>
      <c r="B12256" t="s">
        <v>3458</v>
      </c>
      <c r="C12256" t="s">
        <v>23490</v>
      </c>
      <c r="D12256" t="str">
        <f>HYPERLINK("https://rhld.insurance.arkansas.gov/NPILookup?Npi=1427140565","1427140565")</f>
        <v>1427140565</v>
      </c>
      <c r="E12256" t="s">
        <v>1516</v>
      </c>
    </row>
    <row r="12257" spans="1:5" x14ac:dyDescent="0.25">
      <c r="A12257" t="s">
        <v>2</v>
      </c>
      <c r="B12257" t="s">
        <v>3458</v>
      </c>
      <c r="C12257" t="s">
        <v>23490</v>
      </c>
      <c r="D12257" t="str">
        <f>HYPERLINK("https://rhld.insurance.arkansas.gov/NPILookup?Npi=1427144005","1427144005")</f>
        <v>1427144005</v>
      </c>
      <c r="E12257" t="s">
        <v>1517</v>
      </c>
    </row>
    <row r="12258" spans="1:5" x14ac:dyDescent="0.25">
      <c r="A12258" t="s">
        <v>2</v>
      </c>
      <c r="B12258" t="s">
        <v>3458</v>
      </c>
      <c r="C12258" t="s">
        <v>23490</v>
      </c>
      <c r="D12258" t="str">
        <f>HYPERLINK("https://rhld.insurance.arkansas.gov/NPILookup?Npi=1427146174","1427146174")</f>
        <v>1427146174</v>
      </c>
      <c r="E12258" t="s">
        <v>12842</v>
      </c>
    </row>
    <row r="12259" spans="1:5" x14ac:dyDescent="0.25">
      <c r="A12259" t="s">
        <v>2</v>
      </c>
      <c r="B12259" t="s">
        <v>3458</v>
      </c>
      <c r="C12259" t="s">
        <v>23490</v>
      </c>
      <c r="D12259" t="str">
        <f>HYPERLINK("https://rhld.insurance.arkansas.gov/NPILookup?Npi=1427147438","1427147438")</f>
        <v>1427147438</v>
      </c>
      <c r="E12259" t="s">
        <v>1518</v>
      </c>
    </row>
    <row r="12260" spans="1:5" x14ac:dyDescent="0.25">
      <c r="A12260" t="s">
        <v>2</v>
      </c>
      <c r="B12260" t="s">
        <v>3458</v>
      </c>
      <c r="C12260" t="s">
        <v>23490</v>
      </c>
      <c r="D12260" t="str">
        <f>HYPERLINK("https://rhld.insurance.arkansas.gov/NPILookup?Npi=1427150036","1427150036")</f>
        <v>1427150036</v>
      </c>
      <c r="E12260" t="s">
        <v>1519</v>
      </c>
    </row>
    <row r="12261" spans="1:5" x14ac:dyDescent="0.25">
      <c r="A12261" t="s">
        <v>2</v>
      </c>
      <c r="B12261" t="s">
        <v>3458</v>
      </c>
      <c r="C12261" t="s">
        <v>23490</v>
      </c>
      <c r="D12261" t="str">
        <f>HYPERLINK("https://rhld.insurance.arkansas.gov/NPILookup?Npi=1427210152","1427210152")</f>
        <v>1427210152</v>
      </c>
      <c r="E12261" t="s">
        <v>1520</v>
      </c>
    </row>
    <row r="12262" spans="1:5" x14ac:dyDescent="0.25">
      <c r="A12262" t="s">
        <v>2</v>
      </c>
      <c r="B12262" t="s">
        <v>3458</v>
      </c>
      <c r="C12262" t="s">
        <v>23490</v>
      </c>
      <c r="D12262" t="str">
        <f>HYPERLINK("https://rhld.insurance.arkansas.gov/NPILookup?Npi=1427210616","1427210616")</f>
        <v>1427210616</v>
      </c>
      <c r="E12262" t="s">
        <v>8976</v>
      </c>
    </row>
    <row r="12263" spans="1:5" x14ac:dyDescent="0.25">
      <c r="A12263" t="s">
        <v>2</v>
      </c>
      <c r="B12263" t="s">
        <v>3458</v>
      </c>
      <c r="C12263" t="s">
        <v>23490</v>
      </c>
      <c r="D12263" t="str">
        <f>HYPERLINK("https://rhld.insurance.arkansas.gov/NPILookup?Npi=1427233196","1427233196")</f>
        <v>1427233196</v>
      </c>
      <c r="E12263" t="s">
        <v>15114</v>
      </c>
    </row>
    <row r="12264" spans="1:5" x14ac:dyDescent="0.25">
      <c r="A12264" t="s">
        <v>2</v>
      </c>
      <c r="B12264" t="s">
        <v>3458</v>
      </c>
      <c r="C12264" t="s">
        <v>23490</v>
      </c>
      <c r="D12264" t="str">
        <f>HYPERLINK("https://rhld.insurance.arkansas.gov/NPILookup?Npi=1427251776","1427251776")</f>
        <v>1427251776</v>
      </c>
      <c r="E12264" t="s">
        <v>1521</v>
      </c>
    </row>
    <row r="12265" spans="1:5" x14ac:dyDescent="0.25">
      <c r="A12265" t="s">
        <v>2</v>
      </c>
      <c r="B12265" t="s">
        <v>3458</v>
      </c>
      <c r="C12265" t="s">
        <v>23490</v>
      </c>
      <c r="D12265" t="str">
        <f>HYPERLINK("https://rhld.insurance.arkansas.gov/NPILookup?Npi=1427253889","1427253889")</f>
        <v>1427253889</v>
      </c>
      <c r="E12265" t="s">
        <v>1522</v>
      </c>
    </row>
    <row r="12266" spans="1:5" x14ac:dyDescent="0.25">
      <c r="A12266" t="s">
        <v>2</v>
      </c>
      <c r="B12266" t="s">
        <v>3458</v>
      </c>
      <c r="C12266" t="s">
        <v>23490</v>
      </c>
      <c r="D12266" t="str">
        <f>HYPERLINK("https://rhld.insurance.arkansas.gov/NPILookup?Npi=1427264647","1427264647")</f>
        <v>1427264647</v>
      </c>
      <c r="E12266" t="s">
        <v>3723</v>
      </c>
    </row>
    <row r="12267" spans="1:5" x14ac:dyDescent="0.25">
      <c r="A12267" t="s">
        <v>2</v>
      </c>
      <c r="B12267" t="s">
        <v>3458</v>
      </c>
      <c r="C12267" t="s">
        <v>23490</v>
      </c>
      <c r="D12267" t="str">
        <f>HYPERLINK("https://rhld.insurance.arkansas.gov/NPILookup?Npi=1427270289","1427270289")</f>
        <v>1427270289</v>
      </c>
      <c r="E12267" t="s">
        <v>3724</v>
      </c>
    </row>
    <row r="12268" spans="1:5" x14ac:dyDescent="0.25">
      <c r="A12268" t="s">
        <v>2</v>
      </c>
      <c r="B12268" t="s">
        <v>3458</v>
      </c>
      <c r="C12268" t="s">
        <v>23490</v>
      </c>
      <c r="D12268" t="str">
        <f>HYPERLINK("https://rhld.insurance.arkansas.gov/NPILookup?Npi=1427277755","1427277755")</f>
        <v>1427277755</v>
      </c>
      <c r="E12268" t="s">
        <v>3725</v>
      </c>
    </row>
    <row r="12269" spans="1:5" x14ac:dyDescent="0.25">
      <c r="A12269" t="s">
        <v>2</v>
      </c>
      <c r="B12269" t="s">
        <v>3458</v>
      </c>
      <c r="C12269" t="s">
        <v>23490</v>
      </c>
      <c r="D12269" t="str">
        <f>HYPERLINK("https://rhld.insurance.arkansas.gov/NPILookup?Npi=1427287887","1427287887")</f>
        <v>1427287887</v>
      </c>
      <c r="E12269" t="s">
        <v>1524</v>
      </c>
    </row>
    <row r="12270" spans="1:5" x14ac:dyDescent="0.25">
      <c r="A12270" t="s">
        <v>2</v>
      </c>
      <c r="B12270" t="s">
        <v>3458</v>
      </c>
      <c r="C12270" t="s">
        <v>23490</v>
      </c>
      <c r="D12270" t="str">
        <f>HYPERLINK("https://rhld.insurance.arkansas.gov/NPILookup?Npi=1427291863","1427291863")</f>
        <v>1427291863</v>
      </c>
      <c r="E12270" t="s">
        <v>3726</v>
      </c>
    </row>
    <row r="12271" spans="1:5" x14ac:dyDescent="0.25">
      <c r="A12271" t="s">
        <v>2</v>
      </c>
      <c r="B12271" t="s">
        <v>3458</v>
      </c>
      <c r="C12271" t="s">
        <v>23490</v>
      </c>
      <c r="D12271" t="str">
        <f>HYPERLINK("https://rhld.insurance.arkansas.gov/NPILookup?Npi=1427297266","1427297266")</f>
        <v>1427297266</v>
      </c>
      <c r="E12271" t="s">
        <v>15115</v>
      </c>
    </row>
    <row r="12272" spans="1:5" x14ac:dyDescent="0.25">
      <c r="A12272" t="s">
        <v>2</v>
      </c>
      <c r="B12272" t="s">
        <v>3458</v>
      </c>
      <c r="C12272" t="s">
        <v>23490</v>
      </c>
      <c r="D12272" t="str">
        <f>HYPERLINK("https://rhld.insurance.arkansas.gov/NPILookup?Npi=1427311919","1427311919")</f>
        <v>1427311919</v>
      </c>
      <c r="E12272" t="s">
        <v>15116</v>
      </c>
    </row>
    <row r="12273" spans="1:5" x14ac:dyDescent="0.25">
      <c r="A12273" t="s">
        <v>2</v>
      </c>
      <c r="B12273" t="s">
        <v>3458</v>
      </c>
      <c r="C12273" t="s">
        <v>23490</v>
      </c>
      <c r="D12273" t="str">
        <f>HYPERLINK("https://rhld.insurance.arkansas.gov/NPILookup?Npi=1427314640","1427314640")</f>
        <v>1427314640</v>
      </c>
      <c r="E12273" t="s">
        <v>11456</v>
      </c>
    </row>
    <row r="12274" spans="1:5" x14ac:dyDescent="0.25">
      <c r="A12274" t="s">
        <v>2</v>
      </c>
      <c r="B12274" t="s">
        <v>3458</v>
      </c>
      <c r="C12274" t="s">
        <v>23490</v>
      </c>
      <c r="D12274" t="str">
        <f>HYPERLINK("https://rhld.insurance.arkansas.gov/NPILookup?Npi=1427331560","1427331560")</f>
        <v>1427331560</v>
      </c>
      <c r="E12274" t="s">
        <v>1525</v>
      </c>
    </row>
    <row r="12275" spans="1:5" x14ac:dyDescent="0.25">
      <c r="A12275" t="s">
        <v>2</v>
      </c>
      <c r="B12275" t="s">
        <v>3458</v>
      </c>
      <c r="C12275" t="s">
        <v>23490</v>
      </c>
      <c r="D12275" t="str">
        <f>HYPERLINK("https://rhld.insurance.arkansas.gov/NPILookup?Npi=1427335835","1427335835")</f>
        <v>1427335835</v>
      </c>
      <c r="E12275" t="s">
        <v>15117</v>
      </c>
    </row>
    <row r="12276" spans="1:5" x14ac:dyDescent="0.25">
      <c r="A12276" t="s">
        <v>2</v>
      </c>
      <c r="B12276" t="s">
        <v>3458</v>
      </c>
      <c r="C12276" t="s">
        <v>23490</v>
      </c>
      <c r="D12276" t="str">
        <f>HYPERLINK("https://rhld.insurance.arkansas.gov/NPILookup?Npi=1427344647","1427344647")</f>
        <v>1427344647</v>
      </c>
      <c r="E12276" t="s">
        <v>1526</v>
      </c>
    </row>
    <row r="12277" spans="1:5" x14ac:dyDescent="0.25">
      <c r="A12277" t="s">
        <v>2</v>
      </c>
      <c r="B12277" t="s">
        <v>3458</v>
      </c>
      <c r="C12277" t="s">
        <v>23490</v>
      </c>
      <c r="D12277" t="str">
        <f>HYPERLINK("https://rhld.insurance.arkansas.gov/NPILookup?Npi=1427400951","1427400951")</f>
        <v>1427400951</v>
      </c>
      <c r="E12277" t="s">
        <v>10912</v>
      </c>
    </row>
    <row r="12278" spans="1:5" x14ac:dyDescent="0.25">
      <c r="A12278" t="s">
        <v>2</v>
      </c>
      <c r="B12278" t="s">
        <v>3458</v>
      </c>
      <c r="C12278" t="s">
        <v>23490</v>
      </c>
      <c r="D12278" t="str">
        <f>HYPERLINK("https://rhld.insurance.arkansas.gov/NPILookup?Npi=1427403955","1427403955")</f>
        <v>1427403955</v>
      </c>
      <c r="E12278" t="s">
        <v>19718</v>
      </c>
    </row>
    <row r="12279" spans="1:5" x14ac:dyDescent="0.25">
      <c r="A12279" t="s">
        <v>2</v>
      </c>
      <c r="B12279" t="s">
        <v>3458</v>
      </c>
      <c r="C12279" t="s">
        <v>23490</v>
      </c>
      <c r="D12279" t="str">
        <f>HYPERLINK("https://rhld.insurance.arkansas.gov/NPILookup?Npi=1427411032","1427411032")</f>
        <v>1427411032</v>
      </c>
      <c r="E12279" t="s">
        <v>10913</v>
      </c>
    </row>
    <row r="12280" spans="1:5" x14ac:dyDescent="0.25">
      <c r="A12280" t="s">
        <v>2</v>
      </c>
      <c r="B12280" t="s">
        <v>3458</v>
      </c>
      <c r="C12280" t="s">
        <v>23490</v>
      </c>
      <c r="D12280" t="str">
        <f>HYPERLINK("https://rhld.insurance.arkansas.gov/NPILookup?Npi=1427416254","1427416254")</f>
        <v>1427416254</v>
      </c>
      <c r="E12280" t="s">
        <v>8664</v>
      </c>
    </row>
    <row r="12281" spans="1:5" x14ac:dyDescent="0.25">
      <c r="A12281" t="s">
        <v>2</v>
      </c>
      <c r="B12281" t="s">
        <v>3458</v>
      </c>
      <c r="C12281" t="s">
        <v>23490</v>
      </c>
      <c r="D12281" t="str">
        <f>HYPERLINK("https://rhld.insurance.arkansas.gov/NPILookup?Npi=1427421528","1427421528")</f>
        <v>1427421528</v>
      </c>
      <c r="E12281" t="s">
        <v>15119</v>
      </c>
    </row>
    <row r="12282" spans="1:5" x14ac:dyDescent="0.25">
      <c r="A12282" t="s">
        <v>2</v>
      </c>
      <c r="B12282" t="s">
        <v>3458</v>
      </c>
      <c r="C12282" t="s">
        <v>23490</v>
      </c>
      <c r="D12282" t="str">
        <f>HYPERLINK("https://rhld.insurance.arkansas.gov/NPILookup?Npi=1427432749","1427432749")</f>
        <v>1427432749</v>
      </c>
      <c r="E12282" t="s">
        <v>10914</v>
      </c>
    </row>
    <row r="12283" spans="1:5" x14ac:dyDescent="0.25">
      <c r="A12283" t="s">
        <v>2</v>
      </c>
      <c r="B12283" t="s">
        <v>3458</v>
      </c>
      <c r="C12283" t="s">
        <v>23490</v>
      </c>
      <c r="D12283" t="str">
        <f>HYPERLINK("https://rhld.insurance.arkansas.gov/NPILookup?Npi=1427447564","1427447564")</f>
        <v>1427447564</v>
      </c>
      <c r="E12283" t="s">
        <v>10915</v>
      </c>
    </row>
    <row r="12284" spans="1:5" x14ac:dyDescent="0.25">
      <c r="A12284" t="s">
        <v>2</v>
      </c>
      <c r="B12284" t="s">
        <v>3458</v>
      </c>
      <c r="C12284" t="s">
        <v>23490</v>
      </c>
      <c r="D12284" t="str">
        <f>HYPERLINK("https://rhld.insurance.arkansas.gov/NPILookup?Npi=1427465194","1427465194")</f>
        <v>1427465194</v>
      </c>
      <c r="E12284" t="s">
        <v>15120</v>
      </c>
    </row>
    <row r="12285" spans="1:5" x14ac:dyDescent="0.25">
      <c r="A12285" t="s">
        <v>2</v>
      </c>
      <c r="B12285" t="s">
        <v>3458</v>
      </c>
      <c r="C12285" t="s">
        <v>23490</v>
      </c>
      <c r="D12285" t="str">
        <f>HYPERLINK("https://rhld.insurance.arkansas.gov/NPILookup?Npi=1427468974","1427468974")</f>
        <v>1427468974</v>
      </c>
      <c r="E12285" t="s">
        <v>10916</v>
      </c>
    </row>
    <row r="12286" spans="1:5" x14ac:dyDescent="0.25">
      <c r="A12286" t="s">
        <v>2</v>
      </c>
      <c r="B12286" t="s">
        <v>3458</v>
      </c>
      <c r="C12286" t="s">
        <v>23490</v>
      </c>
      <c r="D12286" t="str">
        <f>HYPERLINK("https://rhld.insurance.arkansas.gov/NPILookup?Npi=1427480565","1427480565")</f>
        <v>1427480565</v>
      </c>
      <c r="E12286" t="s">
        <v>1527</v>
      </c>
    </row>
    <row r="12287" spans="1:5" x14ac:dyDescent="0.25">
      <c r="A12287" t="s">
        <v>2</v>
      </c>
      <c r="B12287" t="s">
        <v>3458</v>
      </c>
      <c r="C12287" t="s">
        <v>23490</v>
      </c>
      <c r="D12287" t="str">
        <f>HYPERLINK("https://rhld.insurance.arkansas.gov/NPILookup?Npi=1427491927","1427491927")</f>
        <v>1427491927</v>
      </c>
      <c r="E12287" t="s">
        <v>11457</v>
      </c>
    </row>
    <row r="12288" spans="1:5" x14ac:dyDescent="0.25">
      <c r="A12288" t="s">
        <v>2</v>
      </c>
      <c r="B12288" t="s">
        <v>3458</v>
      </c>
      <c r="C12288" t="s">
        <v>23490</v>
      </c>
      <c r="D12288" t="str">
        <f>HYPERLINK("https://rhld.insurance.arkansas.gov/NPILookup?Npi=1427492610","1427492610")</f>
        <v>1427492610</v>
      </c>
      <c r="E12288" t="s">
        <v>10917</v>
      </c>
    </row>
    <row r="12289" spans="1:5" x14ac:dyDescent="0.25">
      <c r="A12289" t="s">
        <v>2</v>
      </c>
      <c r="B12289" t="s">
        <v>3458</v>
      </c>
      <c r="C12289" t="s">
        <v>23490</v>
      </c>
      <c r="D12289" t="str">
        <f>HYPERLINK("https://rhld.insurance.arkansas.gov/NPILookup?Npi=1427496132","1427496132")</f>
        <v>1427496132</v>
      </c>
      <c r="E12289" t="s">
        <v>11458</v>
      </c>
    </row>
    <row r="12290" spans="1:5" x14ac:dyDescent="0.25">
      <c r="A12290" t="s">
        <v>2</v>
      </c>
      <c r="B12290" t="s">
        <v>3458</v>
      </c>
      <c r="C12290" t="s">
        <v>23490</v>
      </c>
      <c r="D12290" t="str">
        <f>HYPERLINK("https://rhld.insurance.arkansas.gov/NPILookup?Npi=1427497031","1427497031")</f>
        <v>1427497031</v>
      </c>
      <c r="E12290" t="s">
        <v>8666</v>
      </c>
    </row>
    <row r="12291" spans="1:5" x14ac:dyDescent="0.25">
      <c r="A12291" t="s">
        <v>2</v>
      </c>
      <c r="B12291" t="s">
        <v>3458</v>
      </c>
      <c r="C12291" t="s">
        <v>23490</v>
      </c>
      <c r="D12291" t="str">
        <f>HYPERLINK("https://rhld.insurance.arkansas.gov/NPILookup?Npi=1427502426","1427502426")</f>
        <v>1427502426</v>
      </c>
      <c r="E12291" t="s">
        <v>15121</v>
      </c>
    </row>
    <row r="12292" spans="1:5" x14ac:dyDescent="0.25">
      <c r="A12292" t="s">
        <v>2</v>
      </c>
      <c r="B12292" t="s">
        <v>3458</v>
      </c>
      <c r="C12292" t="s">
        <v>23490</v>
      </c>
      <c r="D12292" t="str">
        <f>HYPERLINK("https://rhld.insurance.arkansas.gov/NPILookup?Npi=1427531193","1427531193")</f>
        <v>1427531193</v>
      </c>
      <c r="E12292" t="s">
        <v>15122</v>
      </c>
    </row>
    <row r="12293" spans="1:5" x14ac:dyDescent="0.25">
      <c r="A12293" t="s">
        <v>2</v>
      </c>
      <c r="B12293" t="s">
        <v>3458</v>
      </c>
      <c r="C12293" t="s">
        <v>23490</v>
      </c>
      <c r="D12293" t="str">
        <f>HYPERLINK("https://rhld.insurance.arkansas.gov/NPILookup?Npi=1427540525","1427540525")</f>
        <v>1427540525</v>
      </c>
      <c r="E12293" t="s">
        <v>12987</v>
      </c>
    </row>
    <row r="12294" spans="1:5" x14ac:dyDescent="0.25">
      <c r="A12294" t="s">
        <v>2</v>
      </c>
      <c r="B12294" t="s">
        <v>3458</v>
      </c>
      <c r="C12294" t="s">
        <v>23490</v>
      </c>
      <c r="D12294" t="str">
        <f>HYPERLINK("https://rhld.insurance.arkansas.gov/NPILookup?Npi=1427546720","1427546720")</f>
        <v>1427546720</v>
      </c>
      <c r="E12294" t="s">
        <v>20246</v>
      </c>
    </row>
    <row r="12295" spans="1:5" x14ac:dyDescent="0.25">
      <c r="A12295" t="s">
        <v>2</v>
      </c>
      <c r="B12295" t="s">
        <v>3458</v>
      </c>
      <c r="C12295" t="s">
        <v>23490</v>
      </c>
      <c r="D12295" t="str">
        <f>HYPERLINK("https://rhld.insurance.arkansas.gov/NPILookup?Npi=1427548593","1427548593")</f>
        <v>1427548593</v>
      </c>
      <c r="E12295" t="s">
        <v>17986</v>
      </c>
    </row>
    <row r="12296" spans="1:5" x14ac:dyDescent="0.25">
      <c r="A12296" t="s">
        <v>2</v>
      </c>
      <c r="B12296" t="s">
        <v>3458</v>
      </c>
      <c r="C12296" t="s">
        <v>23490</v>
      </c>
      <c r="D12296" t="str">
        <f>HYPERLINK("https://rhld.insurance.arkansas.gov/NPILookup?Npi=1427553882","1427553882")</f>
        <v>1427553882</v>
      </c>
      <c r="E12296" t="s">
        <v>18774</v>
      </c>
    </row>
    <row r="12297" spans="1:5" x14ac:dyDescent="0.25">
      <c r="A12297" t="s">
        <v>2</v>
      </c>
      <c r="B12297" t="s">
        <v>3458</v>
      </c>
      <c r="C12297" t="s">
        <v>23490</v>
      </c>
      <c r="D12297" t="str">
        <f>HYPERLINK("https://rhld.insurance.arkansas.gov/NPILookup?Npi=1427554401","1427554401")</f>
        <v>1427554401</v>
      </c>
      <c r="E12297" t="s">
        <v>13533</v>
      </c>
    </row>
    <row r="12298" spans="1:5" x14ac:dyDescent="0.25">
      <c r="A12298" t="s">
        <v>2</v>
      </c>
      <c r="B12298" t="s">
        <v>3458</v>
      </c>
      <c r="C12298" t="s">
        <v>23490</v>
      </c>
      <c r="D12298" t="str">
        <f>HYPERLINK("https://rhld.insurance.arkansas.gov/NPILookup?Npi=1427556828","1427556828")</f>
        <v>1427556828</v>
      </c>
      <c r="E12298" t="s">
        <v>15123</v>
      </c>
    </row>
    <row r="12299" spans="1:5" x14ac:dyDescent="0.25">
      <c r="A12299" t="s">
        <v>2</v>
      </c>
      <c r="B12299" t="s">
        <v>3458</v>
      </c>
      <c r="C12299" t="s">
        <v>23490</v>
      </c>
      <c r="D12299" t="str">
        <f>HYPERLINK("https://rhld.insurance.arkansas.gov/NPILookup?Npi=1427568260","1427568260")</f>
        <v>1427568260</v>
      </c>
      <c r="E12299" t="s">
        <v>11634</v>
      </c>
    </row>
    <row r="12300" spans="1:5" x14ac:dyDescent="0.25">
      <c r="A12300" t="s">
        <v>2</v>
      </c>
      <c r="B12300" t="s">
        <v>3458</v>
      </c>
      <c r="C12300" t="s">
        <v>23490</v>
      </c>
      <c r="D12300" t="str">
        <f>HYPERLINK("https://rhld.insurance.arkansas.gov/NPILookup?Npi=1427580927","1427580927")</f>
        <v>1427580927</v>
      </c>
      <c r="E12300" t="s">
        <v>15124</v>
      </c>
    </row>
    <row r="12301" spans="1:5" x14ac:dyDescent="0.25">
      <c r="A12301" t="s">
        <v>2</v>
      </c>
      <c r="B12301" t="s">
        <v>3458</v>
      </c>
      <c r="C12301" t="s">
        <v>23490</v>
      </c>
      <c r="D12301" t="str">
        <f>HYPERLINK("https://rhld.insurance.arkansas.gov/NPILookup?Npi=1427589811","1427589811")</f>
        <v>1427589811</v>
      </c>
      <c r="E12301" t="s">
        <v>18212</v>
      </c>
    </row>
    <row r="12302" spans="1:5" x14ac:dyDescent="0.25">
      <c r="A12302" t="s">
        <v>2</v>
      </c>
      <c r="B12302" t="s">
        <v>3458</v>
      </c>
      <c r="C12302" t="s">
        <v>23490</v>
      </c>
      <c r="D12302" t="str">
        <f>HYPERLINK("https://rhld.insurance.arkansas.gov/NPILookup?Npi=1427666346","1427666346")</f>
        <v>1427666346</v>
      </c>
      <c r="E12302" t="s">
        <v>19721</v>
      </c>
    </row>
    <row r="12303" spans="1:5" x14ac:dyDescent="0.25">
      <c r="A12303" t="s">
        <v>2</v>
      </c>
      <c r="B12303" t="s">
        <v>3458</v>
      </c>
      <c r="C12303" t="s">
        <v>8427</v>
      </c>
      <c r="D12303" t="str">
        <f>HYPERLINK("https://rhld.insurance.arkansas.gov/NPILookup?Npi=1427668250","1427668250")</f>
        <v>1427668250</v>
      </c>
      <c r="E12303" t="s">
        <v>22931</v>
      </c>
    </row>
    <row r="12304" spans="1:5" x14ac:dyDescent="0.25">
      <c r="A12304" t="s">
        <v>2</v>
      </c>
      <c r="B12304" t="s">
        <v>3458</v>
      </c>
      <c r="C12304" t="s">
        <v>8427</v>
      </c>
      <c r="D12304" t="str">
        <f>HYPERLINK("https://rhld.insurance.arkansas.gov/NPILookup?Npi=1427679133","1427679133")</f>
        <v>1427679133</v>
      </c>
      <c r="E12304" t="s">
        <v>22932</v>
      </c>
    </row>
    <row r="12305" spans="1:5" x14ac:dyDescent="0.25">
      <c r="A12305" t="s">
        <v>2</v>
      </c>
      <c r="B12305" t="s">
        <v>3458</v>
      </c>
      <c r="C12305" t="s">
        <v>23490</v>
      </c>
      <c r="D12305" t="str">
        <f>HYPERLINK("https://rhld.insurance.arkansas.gov/NPILookup?Npi=1427698513","1427698513")</f>
        <v>1427698513</v>
      </c>
      <c r="E12305" t="s">
        <v>17987</v>
      </c>
    </row>
    <row r="12306" spans="1:5" x14ac:dyDescent="0.25">
      <c r="A12306" t="s">
        <v>2</v>
      </c>
      <c r="B12306" t="s">
        <v>3458</v>
      </c>
      <c r="C12306" t="s">
        <v>23490</v>
      </c>
      <c r="D12306" t="str">
        <f>HYPERLINK("https://rhld.insurance.arkansas.gov/NPILookup?Npi=1427760842","1427760842")</f>
        <v>1427760842</v>
      </c>
      <c r="E12306" t="s">
        <v>21541</v>
      </c>
    </row>
    <row r="12307" spans="1:5" x14ac:dyDescent="0.25">
      <c r="A12307" t="s">
        <v>2</v>
      </c>
      <c r="B12307" t="s">
        <v>3458</v>
      </c>
      <c r="C12307" t="s">
        <v>23490</v>
      </c>
      <c r="D12307" t="str">
        <f>HYPERLINK("https://rhld.insurance.arkansas.gov/NPILookup?Npi=1437102589","1437102589")</f>
        <v>1437102589</v>
      </c>
      <c r="E12307" t="s">
        <v>10919</v>
      </c>
    </row>
    <row r="12308" spans="1:5" x14ac:dyDescent="0.25">
      <c r="A12308" t="s">
        <v>2</v>
      </c>
      <c r="B12308" t="s">
        <v>3458</v>
      </c>
      <c r="C12308" t="s">
        <v>23490</v>
      </c>
      <c r="D12308" t="str">
        <f>HYPERLINK("https://rhld.insurance.arkansas.gov/NPILookup?Npi=1437103710","1437103710")</f>
        <v>1437103710</v>
      </c>
      <c r="E12308" t="s">
        <v>1528</v>
      </c>
    </row>
    <row r="12309" spans="1:5" x14ac:dyDescent="0.25">
      <c r="A12309" t="s">
        <v>2</v>
      </c>
      <c r="B12309" t="s">
        <v>3458</v>
      </c>
      <c r="C12309" t="s">
        <v>23490</v>
      </c>
      <c r="D12309" t="str">
        <f>HYPERLINK("https://rhld.insurance.arkansas.gov/NPILookup?Npi=1437107703","1437107703")</f>
        <v>1437107703</v>
      </c>
      <c r="E12309" t="s">
        <v>1529</v>
      </c>
    </row>
    <row r="12310" spans="1:5" x14ac:dyDescent="0.25">
      <c r="A12310" t="s">
        <v>2</v>
      </c>
      <c r="B12310" t="s">
        <v>3458</v>
      </c>
      <c r="C12310" t="s">
        <v>23490</v>
      </c>
      <c r="D12310" t="str">
        <f>HYPERLINK("https://rhld.insurance.arkansas.gov/NPILookup?Npi=1437115805","1437115805")</f>
        <v>1437115805</v>
      </c>
      <c r="E12310" t="s">
        <v>1530</v>
      </c>
    </row>
    <row r="12311" spans="1:5" x14ac:dyDescent="0.25">
      <c r="A12311" t="s">
        <v>2</v>
      </c>
      <c r="B12311" t="s">
        <v>3458</v>
      </c>
      <c r="C12311" t="s">
        <v>23490</v>
      </c>
      <c r="D12311" t="str">
        <f>HYPERLINK("https://rhld.insurance.arkansas.gov/NPILookup?Npi=1437118684","1437118684")</f>
        <v>1437118684</v>
      </c>
      <c r="E12311" t="s">
        <v>1531</v>
      </c>
    </row>
    <row r="12312" spans="1:5" x14ac:dyDescent="0.25">
      <c r="A12312" t="s">
        <v>2</v>
      </c>
      <c r="B12312" t="s">
        <v>3458</v>
      </c>
      <c r="C12312" t="s">
        <v>23490</v>
      </c>
      <c r="D12312" t="str">
        <f>HYPERLINK("https://rhld.insurance.arkansas.gov/NPILookup?Npi=1437122355","1437122355")</f>
        <v>1437122355</v>
      </c>
      <c r="E12312" t="s">
        <v>1532</v>
      </c>
    </row>
    <row r="12313" spans="1:5" x14ac:dyDescent="0.25">
      <c r="A12313" t="s">
        <v>2</v>
      </c>
      <c r="B12313" t="s">
        <v>3458</v>
      </c>
      <c r="C12313" t="s">
        <v>23490</v>
      </c>
      <c r="D12313" t="str">
        <f>HYPERLINK("https://rhld.insurance.arkansas.gov/NPILookup?Npi=1437122751","1437122751")</f>
        <v>1437122751</v>
      </c>
      <c r="E12313" t="s">
        <v>15127</v>
      </c>
    </row>
    <row r="12314" spans="1:5" x14ac:dyDescent="0.25">
      <c r="A12314" t="s">
        <v>2</v>
      </c>
      <c r="B12314" t="s">
        <v>3458</v>
      </c>
      <c r="C12314" t="s">
        <v>23490</v>
      </c>
      <c r="D12314" t="str">
        <f>HYPERLINK("https://rhld.insurance.arkansas.gov/NPILookup?Npi=1437125481","1437125481")</f>
        <v>1437125481</v>
      </c>
      <c r="E12314" t="s">
        <v>1533</v>
      </c>
    </row>
    <row r="12315" spans="1:5" x14ac:dyDescent="0.25">
      <c r="A12315" t="s">
        <v>2</v>
      </c>
      <c r="B12315" t="s">
        <v>3458</v>
      </c>
      <c r="C12315" t="s">
        <v>23490</v>
      </c>
      <c r="D12315" t="str">
        <f>HYPERLINK("https://rhld.insurance.arkansas.gov/NPILookup?Npi=1437128790","1437128790")</f>
        <v>1437128790</v>
      </c>
      <c r="E12315" t="s">
        <v>1534</v>
      </c>
    </row>
    <row r="12316" spans="1:5" x14ac:dyDescent="0.25">
      <c r="A12316" t="s">
        <v>2</v>
      </c>
      <c r="B12316" t="s">
        <v>3458</v>
      </c>
      <c r="C12316" t="s">
        <v>23490</v>
      </c>
      <c r="D12316" t="str">
        <f>HYPERLINK("https://rhld.insurance.arkansas.gov/NPILookup?Npi=1437129780","1437129780")</f>
        <v>1437129780</v>
      </c>
      <c r="E12316" t="s">
        <v>1535</v>
      </c>
    </row>
    <row r="12317" spans="1:5" x14ac:dyDescent="0.25">
      <c r="A12317" t="s">
        <v>2</v>
      </c>
      <c r="B12317" t="s">
        <v>3458</v>
      </c>
      <c r="C12317" t="s">
        <v>23490</v>
      </c>
      <c r="D12317" t="str">
        <f>HYPERLINK("https://rhld.insurance.arkansas.gov/NPILookup?Npi=1437130903","1437130903")</f>
        <v>1437130903</v>
      </c>
      <c r="E12317" t="s">
        <v>15128</v>
      </c>
    </row>
    <row r="12318" spans="1:5" x14ac:dyDescent="0.25">
      <c r="A12318" t="s">
        <v>2</v>
      </c>
      <c r="B12318" t="s">
        <v>3458</v>
      </c>
      <c r="C12318" t="s">
        <v>23490</v>
      </c>
      <c r="D12318" t="str">
        <f>HYPERLINK("https://rhld.insurance.arkansas.gov/NPILookup?Npi=1437135191","1437135191")</f>
        <v>1437135191</v>
      </c>
      <c r="E12318" t="s">
        <v>1536</v>
      </c>
    </row>
    <row r="12319" spans="1:5" x14ac:dyDescent="0.25">
      <c r="A12319" t="s">
        <v>2</v>
      </c>
      <c r="B12319" t="s">
        <v>3458</v>
      </c>
      <c r="C12319" t="s">
        <v>23490</v>
      </c>
      <c r="D12319" t="str">
        <f>HYPERLINK("https://rhld.insurance.arkansas.gov/NPILookup?Npi=1437136124","1437136124")</f>
        <v>1437136124</v>
      </c>
      <c r="E12319" t="s">
        <v>3727</v>
      </c>
    </row>
    <row r="12320" spans="1:5" x14ac:dyDescent="0.25">
      <c r="A12320" t="s">
        <v>2</v>
      </c>
      <c r="B12320" t="s">
        <v>3458</v>
      </c>
      <c r="C12320" t="s">
        <v>23490</v>
      </c>
      <c r="D12320" t="str">
        <f>HYPERLINK("https://rhld.insurance.arkansas.gov/NPILookup?Npi=1437142122","1437142122")</f>
        <v>1437142122</v>
      </c>
      <c r="E12320" t="s">
        <v>1537</v>
      </c>
    </row>
    <row r="12321" spans="1:5" x14ac:dyDescent="0.25">
      <c r="A12321" t="s">
        <v>2</v>
      </c>
      <c r="B12321" t="s">
        <v>3458</v>
      </c>
      <c r="C12321" t="s">
        <v>23490</v>
      </c>
      <c r="D12321" t="str">
        <f>HYPERLINK("https://rhld.insurance.arkansas.gov/NPILookup?Npi=1437145810","1437145810")</f>
        <v>1437145810</v>
      </c>
      <c r="E12321" t="s">
        <v>1538</v>
      </c>
    </row>
    <row r="12322" spans="1:5" x14ac:dyDescent="0.25">
      <c r="A12322" t="s">
        <v>2</v>
      </c>
      <c r="B12322" t="s">
        <v>3458</v>
      </c>
      <c r="C12322" t="s">
        <v>23490</v>
      </c>
      <c r="D12322" t="str">
        <f>HYPERLINK("https://rhld.insurance.arkansas.gov/NPILookup?Npi=1437148624","1437148624")</f>
        <v>1437148624</v>
      </c>
      <c r="E12322" t="s">
        <v>17508</v>
      </c>
    </row>
    <row r="12323" spans="1:5" x14ac:dyDescent="0.25">
      <c r="A12323" t="s">
        <v>2</v>
      </c>
      <c r="B12323" t="s">
        <v>3458</v>
      </c>
      <c r="C12323" t="s">
        <v>23490</v>
      </c>
      <c r="D12323" t="str">
        <f>HYPERLINK("https://rhld.insurance.arkansas.gov/NPILookup?Npi=1437150315","1437150315")</f>
        <v>1437150315</v>
      </c>
      <c r="E12323" t="s">
        <v>1539</v>
      </c>
    </row>
    <row r="12324" spans="1:5" x14ac:dyDescent="0.25">
      <c r="A12324" t="s">
        <v>2</v>
      </c>
      <c r="B12324" t="s">
        <v>3458</v>
      </c>
      <c r="C12324" t="s">
        <v>23490</v>
      </c>
      <c r="D12324" t="str">
        <f>HYPERLINK("https://rhld.insurance.arkansas.gov/NPILookup?Npi=1437156320","1437156320")</f>
        <v>1437156320</v>
      </c>
      <c r="E12324" t="s">
        <v>8668</v>
      </c>
    </row>
    <row r="12325" spans="1:5" x14ac:dyDescent="0.25">
      <c r="A12325" t="s">
        <v>2</v>
      </c>
      <c r="B12325" t="s">
        <v>3458</v>
      </c>
      <c r="C12325" t="s">
        <v>23490</v>
      </c>
      <c r="D12325" t="str">
        <f>HYPERLINK("https://rhld.insurance.arkansas.gov/NPILookup?Npi=1437163763","1437163763")</f>
        <v>1437163763</v>
      </c>
      <c r="E12325" t="s">
        <v>15129</v>
      </c>
    </row>
    <row r="12326" spans="1:5" x14ac:dyDescent="0.25">
      <c r="A12326" t="s">
        <v>2</v>
      </c>
      <c r="B12326" t="s">
        <v>3458</v>
      </c>
      <c r="C12326" t="s">
        <v>23490</v>
      </c>
      <c r="D12326" t="str">
        <f>HYPERLINK("https://rhld.insurance.arkansas.gov/NPILookup?Npi=1437166691","1437166691")</f>
        <v>1437166691</v>
      </c>
      <c r="E12326" t="s">
        <v>1540</v>
      </c>
    </row>
    <row r="12327" spans="1:5" x14ac:dyDescent="0.25">
      <c r="A12327" t="s">
        <v>2</v>
      </c>
      <c r="B12327" t="s">
        <v>3458</v>
      </c>
      <c r="C12327" t="s">
        <v>23490</v>
      </c>
      <c r="D12327" t="str">
        <f>HYPERLINK("https://rhld.insurance.arkansas.gov/NPILookup?Npi=1437187333","1437187333")</f>
        <v>1437187333</v>
      </c>
      <c r="E12327" t="s">
        <v>15130</v>
      </c>
    </row>
    <row r="12328" spans="1:5" x14ac:dyDescent="0.25">
      <c r="A12328" t="s">
        <v>2</v>
      </c>
      <c r="B12328" t="s">
        <v>3458</v>
      </c>
      <c r="C12328" t="s">
        <v>23490</v>
      </c>
      <c r="D12328" t="str">
        <f>HYPERLINK("https://rhld.insurance.arkansas.gov/NPILookup?Npi=1437188869","1437188869")</f>
        <v>1437188869</v>
      </c>
      <c r="E12328" t="s">
        <v>1542</v>
      </c>
    </row>
    <row r="12329" spans="1:5" x14ac:dyDescent="0.25">
      <c r="A12329" t="s">
        <v>2</v>
      </c>
      <c r="B12329" t="s">
        <v>3458</v>
      </c>
      <c r="C12329" t="s">
        <v>23490</v>
      </c>
      <c r="D12329" t="str">
        <f>HYPERLINK("https://rhld.insurance.arkansas.gov/NPILookup?Npi=1437189255","1437189255")</f>
        <v>1437189255</v>
      </c>
      <c r="E12329" t="s">
        <v>1543</v>
      </c>
    </row>
    <row r="12330" spans="1:5" x14ac:dyDescent="0.25">
      <c r="A12330" t="s">
        <v>2</v>
      </c>
      <c r="B12330" t="s">
        <v>3458</v>
      </c>
      <c r="C12330" t="s">
        <v>23490</v>
      </c>
      <c r="D12330" t="str">
        <f>HYPERLINK("https://rhld.insurance.arkansas.gov/NPILookup?Npi=1437192283","1437192283")</f>
        <v>1437192283</v>
      </c>
      <c r="E12330" t="s">
        <v>1544</v>
      </c>
    </row>
    <row r="12331" spans="1:5" x14ac:dyDescent="0.25">
      <c r="A12331" t="s">
        <v>2</v>
      </c>
      <c r="B12331" t="s">
        <v>3458</v>
      </c>
      <c r="C12331" t="s">
        <v>23490</v>
      </c>
      <c r="D12331" t="str">
        <f>HYPERLINK("https://rhld.insurance.arkansas.gov/NPILookup?Npi=1437208030","1437208030")</f>
        <v>1437208030</v>
      </c>
      <c r="E12331" t="s">
        <v>1546</v>
      </c>
    </row>
    <row r="12332" spans="1:5" x14ac:dyDescent="0.25">
      <c r="A12332" t="s">
        <v>2</v>
      </c>
      <c r="B12332" t="s">
        <v>3458</v>
      </c>
      <c r="C12332" t="s">
        <v>23490</v>
      </c>
      <c r="D12332" t="str">
        <f>HYPERLINK("https://rhld.insurance.arkansas.gov/NPILookup?Npi=1437217593","1437217593")</f>
        <v>1437217593</v>
      </c>
      <c r="E12332" t="s">
        <v>3728</v>
      </c>
    </row>
    <row r="12333" spans="1:5" x14ac:dyDescent="0.25">
      <c r="A12333" t="s">
        <v>2</v>
      </c>
      <c r="B12333" t="s">
        <v>3458</v>
      </c>
      <c r="C12333" t="s">
        <v>23490</v>
      </c>
      <c r="D12333" t="str">
        <f>HYPERLINK("https://rhld.insurance.arkansas.gov/NPILookup?Npi=1437230125","1437230125")</f>
        <v>1437230125</v>
      </c>
      <c r="E12333" t="s">
        <v>1547</v>
      </c>
    </row>
    <row r="12334" spans="1:5" x14ac:dyDescent="0.25">
      <c r="A12334" t="s">
        <v>2</v>
      </c>
      <c r="B12334" t="s">
        <v>3458</v>
      </c>
      <c r="C12334" t="s">
        <v>23490</v>
      </c>
      <c r="D12334" t="str">
        <f>HYPERLINK("https://rhld.insurance.arkansas.gov/NPILookup?Npi=1437243490","1437243490")</f>
        <v>1437243490</v>
      </c>
      <c r="E12334" t="s">
        <v>1548</v>
      </c>
    </row>
    <row r="12335" spans="1:5" x14ac:dyDescent="0.25">
      <c r="A12335" t="s">
        <v>2</v>
      </c>
      <c r="B12335" t="s">
        <v>3458</v>
      </c>
      <c r="C12335" t="s">
        <v>23490</v>
      </c>
      <c r="D12335" t="str">
        <f>HYPERLINK("https://rhld.insurance.arkansas.gov/NPILookup?Npi=1437245792","1437245792")</f>
        <v>1437245792</v>
      </c>
      <c r="E12335" t="s">
        <v>15131</v>
      </c>
    </row>
    <row r="12336" spans="1:5" x14ac:dyDescent="0.25">
      <c r="A12336" t="s">
        <v>2</v>
      </c>
      <c r="B12336" t="s">
        <v>3458</v>
      </c>
      <c r="C12336" t="s">
        <v>23490</v>
      </c>
      <c r="D12336" t="str">
        <f>HYPERLINK("https://rhld.insurance.arkansas.gov/NPILookup?Npi=1437246584","1437246584")</f>
        <v>1437246584</v>
      </c>
      <c r="E12336" t="s">
        <v>1549</v>
      </c>
    </row>
    <row r="12337" spans="1:5" x14ac:dyDescent="0.25">
      <c r="A12337" t="s">
        <v>2</v>
      </c>
      <c r="B12337" t="s">
        <v>3458</v>
      </c>
      <c r="C12337" t="s">
        <v>23490</v>
      </c>
      <c r="D12337" t="str">
        <f>HYPERLINK("https://rhld.insurance.arkansas.gov/NPILookup?Npi=1437246733","1437246733")</f>
        <v>1437246733</v>
      </c>
      <c r="E12337" t="s">
        <v>1550</v>
      </c>
    </row>
    <row r="12338" spans="1:5" x14ac:dyDescent="0.25">
      <c r="A12338" t="s">
        <v>2</v>
      </c>
      <c r="B12338" t="s">
        <v>3458</v>
      </c>
      <c r="C12338" t="s">
        <v>23490</v>
      </c>
      <c r="D12338" t="str">
        <f>HYPERLINK("https://rhld.insurance.arkansas.gov/NPILookup?Npi=1437262003","1437262003")</f>
        <v>1437262003</v>
      </c>
      <c r="E12338" t="s">
        <v>1551</v>
      </c>
    </row>
    <row r="12339" spans="1:5" x14ac:dyDescent="0.25">
      <c r="A12339" t="s">
        <v>2</v>
      </c>
      <c r="B12339" t="s">
        <v>3458</v>
      </c>
      <c r="C12339" t="s">
        <v>23490</v>
      </c>
      <c r="D12339" t="str">
        <f>HYPERLINK("https://rhld.insurance.arkansas.gov/NPILookup?Npi=1437262573","1437262573")</f>
        <v>1437262573</v>
      </c>
      <c r="E12339" t="s">
        <v>1552</v>
      </c>
    </row>
    <row r="12340" spans="1:5" x14ac:dyDescent="0.25">
      <c r="A12340" t="s">
        <v>2</v>
      </c>
      <c r="B12340" t="s">
        <v>3458</v>
      </c>
      <c r="C12340" t="s">
        <v>23490</v>
      </c>
      <c r="D12340" t="str">
        <f>HYPERLINK("https://rhld.insurance.arkansas.gov/NPILookup?Npi=1437264033","1437264033")</f>
        <v>1437264033</v>
      </c>
      <c r="E12340" t="s">
        <v>1553</v>
      </c>
    </row>
    <row r="12341" spans="1:5" x14ac:dyDescent="0.25">
      <c r="A12341" t="s">
        <v>2</v>
      </c>
      <c r="B12341" t="s">
        <v>3458</v>
      </c>
      <c r="C12341" t="s">
        <v>23490</v>
      </c>
      <c r="D12341" t="str">
        <f>HYPERLINK("https://rhld.insurance.arkansas.gov/NPILookup?Npi=1437278181","1437278181")</f>
        <v>1437278181</v>
      </c>
      <c r="E12341" t="s">
        <v>10920</v>
      </c>
    </row>
    <row r="12342" spans="1:5" x14ac:dyDescent="0.25">
      <c r="A12342" t="s">
        <v>2</v>
      </c>
      <c r="B12342" t="s">
        <v>3458</v>
      </c>
      <c r="C12342" t="s">
        <v>23490</v>
      </c>
      <c r="D12342" t="str">
        <f>HYPERLINK("https://rhld.insurance.arkansas.gov/NPILookup?Npi=1437285020","1437285020")</f>
        <v>1437285020</v>
      </c>
      <c r="E12342" t="s">
        <v>10921</v>
      </c>
    </row>
    <row r="12343" spans="1:5" x14ac:dyDescent="0.25">
      <c r="A12343" t="s">
        <v>2</v>
      </c>
      <c r="B12343" t="s">
        <v>3458</v>
      </c>
      <c r="C12343" t="s">
        <v>23490</v>
      </c>
      <c r="D12343" t="str">
        <f>HYPERLINK("https://rhld.insurance.arkansas.gov/NPILookup?Npi=1437287620","1437287620")</f>
        <v>1437287620</v>
      </c>
      <c r="E12343" t="s">
        <v>10922</v>
      </c>
    </row>
    <row r="12344" spans="1:5" x14ac:dyDescent="0.25">
      <c r="A12344" t="s">
        <v>2</v>
      </c>
      <c r="B12344" t="s">
        <v>3458</v>
      </c>
      <c r="C12344" t="s">
        <v>23490</v>
      </c>
      <c r="D12344" t="str">
        <f>HYPERLINK("https://rhld.insurance.arkansas.gov/NPILookup?Npi=1437291861","1437291861")</f>
        <v>1437291861</v>
      </c>
      <c r="E12344" t="s">
        <v>10923</v>
      </c>
    </row>
    <row r="12345" spans="1:5" x14ac:dyDescent="0.25">
      <c r="A12345" t="s">
        <v>2</v>
      </c>
      <c r="B12345" t="s">
        <v>3458</v>
      </c>
      <c r="C12345" t="s">
        <v>23490</v>
      </c>
      <c r="D12345" t="str">
        <f>HYPERLINK("https://rhld.insurance.arkansas.gov/NPILookup?Npi=1437299526","1437299526")</f>
        <v>1437299526</v>
      </c>
      <c r="E12345" t="s">
        <v>15132</v>
      </c>
    </row>
    <row r="12346" spans="1:5" x14ac:dyDescent="0.25">
      <c r="A12346" t="s">
        <v>2</v>
      </c>
      <c r="B12346" t="s">
        <v>3458</v>
      </c>
      <c r="C12346" t="s">
        <v>23490</v>
      </c>
      <c r="D12346" t="str">
        <f>HYPERLINK("https://rhld.insurance.arkansas.gov/NPILookup?Npi=1437311297","1437311297")</f>
        <v>1437311297</v>
      </c>
      <c r="E12346" t="s">
        <v>3729</v>
      </c>
    </row>
    <row r="12347" spans="1:5" x14ac:dyDescent="0.25">
      <c r="A12347" t="s">
        <v>2</v>
      </c>
      <c r="B12347" t="s">
        <v>3458</v>
      </c>
      <c r="C12347" t="s">
        <v>23490</v>
      </c>
      <c r="D12347" t="str">
        <f>HYPERLINK("https://rhld.insurance.arkansas.gov/NPILookup?Npi=1437334216","1437334216")</f>
        <v>1437334216</v>
      </c>
      <c r="E12347" t="s">
        <v>10924</v>
      </c>
    </row>
    <row r="12348" spans="1:5" x14ac:dyDescent="0.25">
      <c r="A12348" t="s">
        <v>2</v>
      </c>
      <c r="B12348" t="s">
        <v>3458</v>
      </c>
      <c r="C12348" t="s">
        <v>23490</v>
      </c>
      <c r="D12348" t="str">
        <f>HYPERLINK("https://rhld.insurance.arkansas.gov/NPILookup?Npi=1437350600","1437350600")</f>
        <v>1437350600</v>
      </c>
      <c r="E12348" t="s">
        <v>1555</v>
      </c>
    </row>
    <row r="12349" spans="1:5" x14ac:dyDescent="0.25">
      <c r="A12349" t="s">
        <v>2</v>
      </c>
      <c r="B12349" t="s">
        <v>3458</v>
      </c>
      <c r="C12349" t="s">
        <v>23490</v>
      </c>
      <c r="D12349" t="str">
        <f>HYPERLINK("https://rhld.insurance.arkansas.gov/NPILookup?Npi=1437356326","1437356326")</f>
        <v>1437356326</v>
      </c>
      <c r="E12349" t="s">
        <v>1556</v>
      </c>
    </row>
    <row r="12350" spans="1:5" x14ac:dyDescent="0.25">
      <c r="A12350" t="s">
        <v>2</v>
      </c>
      <c r="B12350" t="s">
        <v>3458</v>
      </c>
      <c r="C12350" t="s">
        <v>23490</v>
      </c>
      <c r="D12350" t="str">
        <f>HYPERLINK("https://rhld.insurance.arkansas.gov/NPILookup?Npi=1437383718","1437383718")</f>
        <v>1437383718</v>
      </c>
      <c r="E12350" t="s">
        <v>15133</v>
      </c>
    </row>
    <row r="12351" spans="1:5" x14ac:dyDescent="0.25">
      <c r="A12351" t="s">
        <v>2</v>
      </c>
      <c r="B12351" t="s">
        <v>3458</v>
      </c>
      <c r="C12351" t="s">
        <v>23490</v>
      </c>
      <c r="D12351" t="str">
        <f>HYPERLINK("https://rhld.insurance.arkansas.gov/NPILookup?Npi=1437398922","1437398922")</f>
        <v>1437398922</v>
      </c>
      <c r="E12351" t="s">
        <v>3730</v>
      </c>
    </row>
    <row r="12352" spans="1:5" x14ac:dyDescent="0.25">
      <c r="A12352" t="s">
        <v>2</v>
      </c>
      <c r="B12352" t="s">
        <v>3458</v>
      </c>
      <c r="C12352" t="s">
        <v>23490</v>
      </c>
      <c r="D12352" t="str">
        <f>HYPERLINK("https://rhld.insurance.arkansas.gov/NPILookup?Npi=1437403235","1437403235")</f>
        <v>1437403235</v>
      </c>
      <c r="E12352" t="s">
        <v>13534</v>
      </c>
    </row>
    <row r="12353" spans="1:5" x14ac:dyDescent="0.25">
      <c r="A12353" t="s">
        <v>2</v>
      </c>
      <c r="B12353" t="s">
        <v>3458</v>
      </c>
      <c r="C12353" t="s">
        <v>23490</v>
      </c>
      <c r="D12353" t="str">
        <f>HYPERLINK("https://rhld.insurance.arkansas.gov/NPILookup?Npi=1437416260","1437416260")</f>
        <v>1437416260</v>
      </c>
      <c r="E12353" t="s">
        <v>8977</v>
      </c>
    </row>
    <row r="12354" spans="1:5" x14ac:dyDescent="0.25">
      <c r="A12354" t="s">
        <v>2</v>
      </c>
      <c r="B12354" t="s">
        <v>3458</v>
      </c>
      <c r="C12354" t="s">
        <v>23490</v>
      </c>
      <c r="D12354" t="str">
        <f>HYPERLINK("https://rhld.insurance.arkansas.gov/NPILookup?Npi=1437428679","1437428679")</f>
        <v>1437428679</v>
      </c>
      <c r="E12354" t="s">
        <v>21735</v>
      </c>
    </row>
    <row r="12355" spans="1:5" x14ac:dyDescent="0.25">
      <c r="A12355" t="s">
        <v>2</v>
      </c>
      <c r="B12355" t="s">
        <v>3458</v>
      </c>
      <c r="C12355" t="s">
        <v>23490</v>
      </c>
      <c r="D12355" t="str">
        <f>HYPERLINK("https://rhld.insurance.arkansas.gov/NPILookup?Npi=1437448008","1437448008")</f>
        <v>1437448008</v>
      </c>
      <c r="E12355" t="s">
        <v>1558</v>
      </c>
    </row>
    <row r="12356" spans="1:5" x14ac:dyDescent="0.25">
      <c r="A12356" t="s">
        <v>2</v>
      </c>
      <c r="B12356" t="s">
        <v>3458</v>
      </c>
      <c r="C12356" t="s">
        <v>23490</v>
      </c>
      <c r="D12356" t="str">
        <f>HYPERLINK("https://rhld.insurance.arkansas.gov/NPILookup?Npi=1437465929","1437465929")</f>
        <v>1437465929</v>
      </c>
      <c r="E12356" t="s">
        <v>1559</v>
      </c>
    </row>
    <row r="12357" spans="1:5" x14ac:dyDescent="0.25">
      <c r="A12357" t="s">
        <v>2</v>
      </c>
      <c r="B12357" t="s">
        <v>3458</v>
      </c>
      <c r="C12357" t="s">
        <v>23490</v>
      </c>
      <c r="D12357" t="str">
        <f>HYPERLINK("https://rhld.insurance.arkansas.gov/NPILookup?Npi=1437499084","1437499084")</f>
        <v>1437499084</v>
      </c>
      <c r="E12357" t="s">
        <v>8670</v>
      </c>
    </row>
    <row r="12358" spans="1:5" x14ac:dyDescent="0.25">
      <c r="A12358" t="s">
        <v>2</v>
      </c>
      <c r="B12358" t="s">
        <v>3458</v>
      </c>
      <c r="C12358" t="s">
        <v>23490</v>
      </c>
      <c r="D12358" t="str">
        <f>HYPERLINK("https://rhld.insurance.arkansas.gov/NPILookup?Npi=1437504040","1437504040")</f>
        <v>1437504040</v>
      </c>
      <c r="E12358" t="s">
        <v>13535</v>
      </c>
    </row>
    <row r="12359" spans="1:5" x14ac:dyDescent="0.25">
      <c r="A12359" t="s">
        <v>2</v>
      </c>
      <c r="B12359" t="s">
        <v>3458</v>
      </c>
      <c r="C12359" t="s">
        <v>23490</v>
      </c>
      <c r="D12359" t="str">
        <f>HYPERLINK("https://rhld.insurance.arkansas.gov/NPILookup?Npi=1437510773","1437510773")</f>
        <v>1437510773</v>
      </c>
      <c r="E12359" t="s">
        <v>13536</v>
      </c>
    </row>
    <row r="12360" spans="1:5" x14ac:dyDescent="0.25">
      <c r="A12360" t="s">
        <v>2</v>
      </c>
      <c r="B12360" t="s">
        <v>3458</v>
      </c>
      <c r="C12360" t="s">
        <v>23490</v>
      </c>
      <c r="D12360" t="str">
        <f>HYPERLINK("https://rhld.insurance.arkansas.gov/NPILookup?Npi=1437517281","1437517281")</f>
        <v>1437517281</v>
      </c>
      <c r="E12360" t="s">
        <v>8671</v>
      </c>
    </row>
    <row r="12361" spans="1:5" x14ac:dyDescent="0.25">
      <c r="A12361" t="s">
        <v>2</v>
      </c>
      <c r="B12361" t="s">
        <v>3458</v>
      </c>
      <c r="C12361" t="s">
        <v>23490</v>
      </c>
      <c r="D12361" t="str">
        <f>HYPERLINK("https://rhld.insurance.arkansas.gov/NPILookup?Npi=1437526241","1437526241")</f>
        <v>1437526241</v>
      </c>
      <c r="E12361" t="s">
        <v>1562</v>
      </c>
    </row>
    <row r="12362" spans="1:5" x14ac:dyDescent="0.25">
      <c r="A12362" t="s">
        <v>2</v>
      </c>
      <c r="B12362" t="s">
        <v>3458</v>
      </c>
      <c r="C12362" t="s">
        <v>23490</v>
      </c>
      <c r="D12362" t="str">
        <f>HYPERLINK("https://rhld.insurance.arkansas.gov/NPILookup?Npi=1437526944","1437526944")</f>
        <v>1437526944</v>
      </c>
      <c r="E12362" t="s">
        <v>8672</v>
      </c>
    </row>
    <row r="12363" spans="1:5" x14ac:dyDescent="0.25">
      <c r="A12363" t="s">
        <v>2</v>
      </c>
      <c r="B12363" t="s">
        <v>3458</v>
      </c>
      <c r="C12363" t="s">
        <v>23490</v>
      </c>
      <c r="D12363" t="str">
        <f>HYPERLINK("https://rhld.insurance.arkansas.gov/NPILookup?Npi=1437545662","1437545662")</f>
        <v>1437545662</v>
      </c>
      <c r="E12363" t="s">
        <v>10925</v>
      </c>
    </row>
    <row r="12364" spans="1:5" x14ac:dyDescent="0.25">
      <c r="A12364" t="s">
        <v>2</v>
      </c>
      <c r="B12364" t="s">
        <v>3458</v>
      </c>
      <c r="C12364" t="s">
        <v>23490</v>
      </c>
      <c r="D12364" t="str">
        <f>HYPERLINK("https://rhld.insurance.arkansas.gov/NPILookup?Npi=1437550167","1437550167")</f>
        <v>1437550167</v>
      </c>
      <c r="E12364" t="s">
        <v>21542</v>
      </c>
    </row>
    <row r="12365" spans="1:5" x14ac:dyDescent="0.25">
      <c r="A12365" t="s">
        <v>2</v>
      </c>
      <c r="B12365" t="s">
        <v>3458</v>
      </c>
      <c r="C12365" t="s">
        <v>23490</v>
      </c>
      <c r="D12365" t="str">
        <f>HYPERLINK("https://rhld.insurance.arkansas.gov/NPILookup?Npi=1437566841","1437566841")</f>
        <v>1437566841</v>
      </c>
      <c r="E12365" t="s">
        <v>15135</v>
      </c>
    </row>
    <row r="12366" spans="1:5" x14ac:dyDescent="0.25">
      <c r="A12366" t="s">
        <v>2</v>
      </c>
      <c r="B12366" t="s">
        <v>3458</v>
      </c>
      <c r="C12366" t="s">
        <v>23490</v>
      </c>
      <c r="D12366" t="str">
        <f>HYPERLINK("https://rhld.insurance.arkansas.gov/NPILookup?Npi=1437573482","1437573482")</f>
        <v>1437573482</v>
      </c>
      <c r="E12366" t="s">
        <v>1564</v>
      </c>
    </row>
    <row r="12367" spans="1:5" x14ac:dyDescent="0.25">
      <c r="A12367" t="s">
        <v>2</v>
      </c>
      <c r="B12367" t="s">
        <v>3458</v>
      </c>
      <c r="C12367" t="s">
        <v>23490</v>
      </c>
      <c r="D12367" t="str">
        <f>HYPERLINK("https://rhld.insurance.arkansas.gov/NPILookup?Npi=1437574902","1437574902")</f>
        <v>1437574902</v>
      </c>
      <c r="E12367" t="s">
        <v>10926</v>
      </c>
    </row>
    <row r="12368" spans="1:5" x14ac:dyDescent="0.25">
      <c r="A12368" t="s">
        <v>2</v>
      </c>
      <c r="B12368" t="s">
        <v>3458</v>
      </c>
      <c r="C12368" t="s">
        <v>23490</v>
      </c>
      <c r="D12368" t="str">
        <f>HYPERLINK("https://rhld.insurance.arkansas.gov/NPILookup?Npi=1437582673","1437582673")</f>
        <v>1437582673</v>
      </c>
      <c r="E12368" t="s">
        <v>10927</v>
      </c>
    </row>
    <row r="12369" spans="1:5" x14ac:dyDescent="0.25">
      <c r="A12369" t="s">
        <v>2</v>
      </c>
      <c r="B12369" t="s">
        <v>3458</v>
      </c>
      <c r="C12369" t="s">
        <v>23490</v>
      </c>
      <c r="D12369" t="str">
        <f>HYPERLINK("https://rhld.insurance.arkansas.gov/NPILookup?Npi=1437625274","1437625274")</f>
        <v>1437625274</v>
      </c>
      <c r="E12369" t="s">
        <v>13537</v>
      </c>
    </row>
    <row r="12370" spans="1:5" x14ac:dyDescent="0.25">
      <c r="A12370" t="s">
        <v>2</v>
      </c>
      <c r="B12370" t="s">
        <v>3458</v>
      </c>
      <c r="C12370" t="s">
        <v>23490</v>
      </c>
      <c r="D12370" t="str">
        <f>HYPERLINK("https://rhld.insurance.arkansas.gov/NPILookup?Npi=1437645892","1437645892")</f>
        <v>1437645892</v>
      </c>
      <c r="E12370" t="s">
        <v>18775</v>
      </c>
    </row>
    <row r="12371" spans="1:5" x14ac:dyDescent="0.25">
      <c r="A12371" t="s">
        <v>2</v>
      </c>
      <c r="B12371" t="s">
        <v>3458</v>
      </c>
      <c r="C12371" t="s">
        <v>23490</v>
      </c>
      <c r="D12371" t="str">
        <f>HYPERLINK("https://rhld.insurance.arkansas.gov/NPILookup?Npi=1437651601","1437651601")</f>
        <v>1437651601</v>
      </c>
      <c r="E12371" t="s">
        <v>12843</v>
      </c>
    </row>
    <row r="12372" spans="1:5" x14ac:dyDescent="0.25">
      <c r="A12372" t="s">
        <v>2</v>
      </c>
      <c r="B12372" t="s">
        <v>3458</v>
      </c>
      <c r="C12372" t="s">
        <v>23490</v>
      </c>
      <c r="D12372" t="str">
        <f>HYPERLINK("https://rhld.insurance.arkansas.gov/NPILookup?Npi=1437655065","1437655065")</f>
        <v>1437655065</v>
      </c>
      <c r="E12372" t="s">
        <v>12988</v>
      </c>
    </row>
    <row r="12373" spans="1:5" x14ac:dyDescent="0.25">
      <c r="A12373" t="s">
        <v>2</v>
      </c>
      <c r="B12373" t="s">
        <v>3458</v>
      </c>
      <c r="C12373" t="s">
        <v>23490</v>
      </c>
      <c r="D12373" t="str">
        <f>HYPERLINK("https://rhld.insurance.arkansas.gov/NPILookup?Npi=1437668175","1437668175")</f>
        <v>1437668175</v>
      </c>
      <c r="E12373" t="s">
        <v>15136</v>
      </c>
    </row>
    <row r="12374" spans="1:5" x14ac:dyDescent="0.25">
      <c r="A12374" t="s">
        <v>2</v>
      </c>
      <c r="B12374" t="s">
        <v>3458</v>
      </c>
      <c r="C12374" t="s">
        <v>23490</v>
      </c>
      <c r="D12374" t="str">
        <f>HYPERLINK("https://rhld.insurance.arkansas.gov/NPILookup?Npi=1437693389","1437693389")</f>
        <v>1437693389</v>
      </c>
      <c r="E12374" t="s">
        <v>10929</v>
      </c>
    </row>
    <row r="12375" spans="1:5" x14ac:dyDescent="0.25">
      <c r="A12375" t="s">
        <v>2</v>
      </c>
      <c r="B12375" t="s">
        <v>3458</v>
      </c>
      <c r="C12375" t="s">
        <v>23490</v>
      </c>
      <c r="D12375" t="str">
        <f>HYPERLINK("https://rhld.insurance.arkansas.gov/NPILookup?Npi=1437698735","1437698735")</f>
        <v>1437698735</v>
      </c>
      <c r="E12375" t="s">
        <v>10930</v>
      </c>
    </row>
    <row r="12376" spans="1:5" x14ac:dyDescent="0.25">
      <c r="A12376" t="s">
        <v>2</v>
      </c>
      <c r="B12376" t="s">
        <v>3458</v>
      </c>
      <c r="C12376" t="s">
        <v>8427</v>
      </c>
      <c r="D12376" t="str">
        <f>HYPERLINK("https://rhld.insurance.arkansas.gov/NPILookup?Npi=1437718483","1437718483")</f>
        <v>1437718483</v>
      </c>
      <c r="E12376" t="s">
        <v>22933</v>
      </c>
    </row>
    <row r="12377" spans="1:5" x14ac:dyDescent="0.25">
      <c r="A12377" t="s">
        <v>2</v>
      </c>
      <c r="B12377" t="s">
        <v>3458</v>
      </c>
      <c r="C12377" t="s">
        <v>23490</v>
      </c>
      <c r="D12377" t="str">
        <f>HYPERLINK("https://rhld.insurance.arkansas.gov/NPILookup?Npi=1437740180","1437740180")</f>
        <v>1437740180</v>
      </c>
      <c r="E12377" t="s">
        <v>19724</v>
      </c>
    </row>
    <row r="12378" spans="1:5" x14ac:dyDescent="0.25">
      <c r="A12378" t="s">
        <v>2</v>
      </c>
      <c r="B12378" t="s">
        <v>3458</v>
      </c>
      <c r="C12378" t="s">
        <v>23490</v>
      </c>
      <c r="D12378" t="str">
        <f>HYPERLINK("https://rhld.insurance.arkansas.gov/NPILookup?Npi=1437758026","1437758026")</f>
        <v>1437758026</v>
      </c>
      <c r="E12378" t="s">
        <v>17989</v>
      </c>
    </row>
    <row r="12379" spans="1:5" x14ac:dyDescent="0.25">
      <c r="A12379" t="s">
        <v>2</v>
      </c>
      <c r="B12379" t="s">
        <v>3458</v>
      </c>
      <c r="C12379" t="s">
        <v>23490</v>
      </c>
      <c r="D12379" t="str">
        <f>HYPERLINK("https://rhld.insurance.arkansas.gov/NPILookup?Npi=1437765831","1437765831")</f>
        <v>1437765831</v>
      </c>
      <c r="E12379" t="s">
        <v>18776</v>
      </c>
    </row>
    <row r="12380" spans="1:5" x14ac:dyDescent="0.25">
      <c r="A12380" t="s">
        <v>2</v>
      </c>
      <c r="B12380" t="s">
        <v>3458</v>
      </c>
      <c r="C12380" t="s">
        <v>23490</v>
      </c>
      <c r="D12380" t="str">
        <f>HYPERLINK("https://rhld.insurance.arkansas.gov/NPILookup?Npi=1437769007","1437769007")</f>
        <v>1437769007</v>
      </c>
      <c r="E12380" t="s">
        <v>20938</v>
      </c>
    </row>
    <row r="12381" spans="1:5" x14ac:dyDescent="0.25">
      <c r="A12381" t="s">
        <v>2</v>
      </c>
      <c r="B12381" t="s">
        <v>3458</v>
      </c>
      <c r="C12381" t="s">
        <v>23490</v>
      </c>
      <c r="D12381" t="str">
        <f>HYPERLINK("https://rhld.insurance.arkansas.gov/NPILookup?Npi=1437807260","1437807260")</f>
        <v>1437807260</v>
      </c>
      <c r="E12381" t="s">
        <v>19726</v>
      </c>
    </row>
    <row r="12382" spans="1:5" x14ac:dyDescent="0.25">
      <c r="A12382" t="s">
        <v>2</v>
      </c>
      <c r="B12382" t="s">
        <v>3458</v>
      </c>
      <c r="C12382" t="s">
        <v>23490</v>
      </c>
      <c r="D12382" t="str">
        <f>HYPERLINK("https://rhld.insurance.arkansas.gov/NPILookup?Npi=1437817988","1437817988")</f>
        <v>1437817988</v>
      </c>
      <c r="E12382" t="s">
        <v>19727</v>
      </c>
    </row>
    <row r="12383" spans="1:5" x14ac:dyDescent="0.25">
      <c r="A12383" t="s">
        <v>2</v>
      </c>
      <c r="B12383" t="s">
        <v>3458</v>
      </c>
      <c r="C12383" t="s">
        <v>23490</v>
      </c>
      <c r="D12383" t="str">
        <f>HYPERLINK("https://rhld.insurance.arkansas.gov/NPILookup?Npi=1437827912","1437827912")</f>
        <v>1437827912</v>
      </c>
      <c r="E12383" t="s">
        <v>18777</v>
      </c>
    </row>
    <row r="12384" spans="1:5" x14ac:dyDescent="0.25">
      <c r="A12384" t="s">
        <v>2</v>
      </c>
      <c r="B12384" t="s">
        <v>3458</v>
      </c>
      <c r="C12384" t="s">
        <v>23490</v>
      </c>
      <c r="D12384" t="str">
        <f>HYPERLINK("https://rhld.insurance.arkansas.gov/NPILookup?Npi=1437828084","1437828084")</f>
        <v>1437828084</v>
      </c>
      <c r="E12384" t="s">
        <v>18778</v>
      </c>
    </row>
    <row r="12385" spans="1:5" x14ac:dyDescent="0.25">
      <c r="A12385" t="s">
        <v>2</v>
      </c>
      <c r="B12385" t="s">
        <v>3458</v>
      </c>
      <c r="C12385" t="s">
        <v>23490</v>
      </c>
      <c r="D12385" t="str">
        <f>HYPERLINK("https://rhld.insurance.arkansas.gov/NPILookup?Npi=1447200365","1447200365")</f>
        <v>1447200365</v>
      </c>
      <c r="E12385" t="s">
        <v>1565</v>
      </c>
    </row>
    <row r="12386" spans="1:5" x14ac:dyDescent="0.25">
      <c r="A12386" t="s">
        <v>2</v>
      </c>
      <c r="B12386" t="s">
        <v>3458</v>
      </c>
      <c r="C12386" t="s">
        <v>23490</v>
      </c>
      <c r="D12386" t="str">
        <f>HYPERLINK("https://rhld.insurance.arkansas.gov/NPILookup?Npi=1447200464","1447200464")</f>
        <v>1447200464</v>
      </c>
      <c r="E12386" t="s">
        <v>1566</v>
      </c>
    </row>
    <row r="12387" spans="1:5" x14ac:dyDescent="0.25">
      <c r="A12387" t="s">
        <v>2</v>
      </c>
      <c r="B12387" t="s">
        <v>3458</v>
      </c>
      <c r="C12387" t="s">
        <v>23490</v>
      </c>
      <c r="D12387" t="str">
        <f>HYPERLINK("https://rhld.insurance.arkansas.gov/NPILookup?Npi=1447202759","1447202759")</f>
        <v>1447202759</v>
      </c>
      <c r="E12387" t="s">
        <v>1567</v>
      </c>
    </row>
    <row r="12388" spans="1:5" x14ac:dyDescent="0.25">
      <c r="A12388" t="s">
        <v>2</v>
      </c>
      <c r="B12388" t="s">
        <v>3458</v>
      </c>
      <c r="C12388" t="s">
        <v>23490</v>
      </c>
      <c r="D12388" t="str">
        <f>HYPERLINK("https://rhld.insurance.arkansas.gov/NPILookup?Npi=1447203757","1447203757")</f>
        <v>1447203757</v>
      </c>
      <c r="E12388" t="s">
        <v>1568</v>
      </c>
    </row>
    <row r="12389" spans="1:5" x14ac:dyDescent="0.25">
      <c r="A12389" t="s">
        <v>2</v>
      </c>
      <c r="B12389" t="s">
        <v>3458</v>
      </c>
      <c r="C12389" t="s">
        <v>23490</v>
      </c>
      <c r="D12389" t="str">
        <f>HYPERLINK("https://rhld.insurance.arkansas.gov/NPILookup?Npi=1447210448","1447210448")</f>
        <v>1447210448</v>
      </c>
      <c r="E12389" t="s">
        <v>3731</v>
      </c>
    </row>
    <row r="12390" spans="1:5" x14ac:dyDescent="0.25">
      <c r="A12390" t="s">
        <v>2</v>
      </c>
      <c r="B12390" t="s">
        <v>3458</v>
      </c>
      <c r="C12390" t="s">
        <v>23490</v>
      </c>
      <c r="D12390" t="str">
        <f>HYPERLINK("https://rhld.insurance.arkansas.gov/NPILookup?Npi=1447215264","1447215264")</f>
        <v>1447215264</v>
      </c>
      <c r="E12390" t="s">
        <v>15137</v>
      </c>
    </row>
    <row r="12391" spans="1:5" x14ac:dyDescent="0.25">
      <c r="A12391" t="s">
        <v>2</v>
      </c>
      <c r="B12391" t="s">
        <v>3458</v>
      </c>
      <c r="C12391" t="s">
        <v>23490</v>
      </c>
      <c r="D12391" t="str">
        <f>HYPERLINK("https://rhld.insurance.arkansas.gov/NPILookup?Npi=1447217922","1447217922")</f>
        <v>1447217922</v>
      </c>
      <c r="E12391" t="s">
        <v>3732</v>
      </c>
    </row>
    <row r="12392" spans="1:5" x14ac:dyDescent="0.25">
      <c r="A12392" t="s">
        <v>2</v>
      </c>
      <c r="B12392" t="s">
        <v>3458</v>
      </c>
      <c r="C12392" t="s">
        <v>23490</v>
      </c>
      <c r="D12392" t="str">
        <f>HYPERLINK("https://rhld.insurance.arkansas.gov/NPILookup?Npi=1447220306","1447220306")</f>
        <v>1447220306</v>
      </c>
      <c r="E12392" t="s">
        <v>8976</v>
      </c>
    </row>
    <row r="12393" spans="1:5" x14ac:dyDescent="0.25">
      <c r="A12393" t="s">
        <v>2</v>
      </c>
      <c r="B12393" t="s">
        <v>3458</v>
      </c>
      <c r="C12393" t="s">
        <v>23490</v>
      </c>
      <c r="D12393" t="str">
        <f>HYPERLINK("https://rhld.insurance.arkansas.gov/NPILookup?Npi=1447223060","1447223060")</f>
        <v>1447223060</v>
      </c>
      <c r="E12393" t="s">
        <v>1570</v>
      </c>
    </row>
    <row r="12394" spans="1:5" x14ac:dyDescent="0.25">
      <c r="A12394" t="s">
        <v>2</v>
      </c>
      <c r="B12394" t="s">
        <v>3458</v>
      </c>
      <c r="C12394" t="s">
        <v>23490</v>
      </c>
      <c r="D12394" t="str">
        <f>HYPERLINK("https://rhld.insurance.arkansas.gov/NPILookup?Npi=1447233531","1447233531")</f>
        <v>1447233531</v>
      </c>
      <c r="E12394" t="s">
        <v>1571</v>
      </c>
    </row>
    <row r="12395" spans="1:5" x14ac:dyDescent="0.25">
      <c r="A12395" t="s">
        <v>2</v>
      </c>
      <c r="B12395" t="s">
        <v>3458</v>
      </c>
      <c r="C12395" t="s">
        <v>23490</v>
      </c>
      <c r="D12395" t="str">
        <f>HYPERLINK("https://rhld.insurance.arkansas.gov/NPILookup?Npi=1447234489","1447234489")</f>
        <v>1447234489</v>
      </c>
      <c r="E12395" t="s">
        <v>15138</v>
      </c>
    </row>
    <row r="12396" spans="1:5" x14ac:dyDescent="0.25">
      <c r="A12396" t="s">
        <v>2</v>
      </c>
      <c r="B12396" t="s">
        <v>3458</v>
      </c>
      <c r="C12396" t="s">
        <v>23490</v>
      </c>
      <c r="D12396" t="str">
        <f>HYPERLINK("https://rhld.insurance.arkansas.gov/NPILookup?Npi=1447236732","1447236732")</f>
        <v>1447236732</v>
      </c>
      <c r="E12396" t="s">
        <v>15139</v>
      </c>
    </row>
    <row r="12397" spans="1:5" x14ac:dyDescent="0.25">
      <c r="A12397" t="s">
        <v>2</v>
      </c>
      <c r="B12397" t="s">
        <v>3458</v>
      </c>
      <c r="C12397" t="s">
        <v>23490</v>
      </c>
      <c r="D12397" t="str">
        <f>HYPERLINK("https://rhld.insurance.arkansas.gov/NPILookup?Npi=1447247267","1447247267")</f>
        <v>1447247267</v>
      </c>
      <c r="E12397" t="s">
        <v>1573</v>
      </c>
    </row>
    <row r="12398" spans="1:5" x14ac:dyDescent="0.25">
      <c r="A12398" t="s">
        <v>2</v>
      </c>
      <c r="B12398" t="s">
        <v>3458</v>
      </c>
      <c r="C12398" t="s">
        <v>23490</v>
      </c>
      <c r="D12398" t="str">
        <f>HYPERLINK("https://rhld.insurance.arkansas.gov/NPILookup?Npi=1447250345","1447250345")</f>
        <v>1447250345</v>
      </c>
      <c r="E12398" t="s">
        <v>15860</v>
      </c>
    </row>
    <row r="12399" spans="1:5" x14ac:dyDescent="0.25">
      <c r="A12399" t="s">
        <v>2</v>
      </c>
      <c r="B12399" t="s">
        <v>3458</v>
      </c>
      <c r="C12399" t="s">
        <v>23490</v>
      </c>
      <c r="D12399" t="str">
        <f>HYPERLINK("https://rhld.insurance.arkansas.gov/NPILookup?Npi=1447251632","1447251632")</f>
        <v>1447251632</v>
      </c>
      <c r="E12399" t="s">
        <v>1574</v>
      </c>
    </row>
    <row r="12400" spans="1:5" x14ac:dyDescent="0.25">
      <c r="A12400" t="s">
        <v>2</v>
      </c>
      <c r="B12400" t="s">
        <v>3458</v>
      </c>
      <c r="C12400" t="s">
        <v>23490</v>
      </c>
      <c r="D12400" t="str">
        <f>HYPERLINK("https://rhld.insurance.arkansas.gov/NPILookup?Npi=1447255526","1447255526")</f>
        <v>1447255526</v>
      </c>
      <c r="E12400" t="s">
        <v>10931</v>
      </c>
    </row>
    <row r="12401" spans="1:5" x14ac:dyDescent="0.25">
      <c r="A12401" t="s">
        <v>2</v>
      </c>
      <c r="B12401" t="s">
        <v>3458</v>
      </c>
      <c r="C12401" t="s">
        <v>23490</v>
      </c>
      <c r="D12401" t="str">
        <f>HYPERLINK("https://rhld.insurance.arkansas.gov/NPILookup?Npi=1447257142","1447257142")</f>
        <v>1447257142</v>
      </c>
      <c r="E12401" t="s">
        <v>1575</v>
      </c>
    </row>
    <row r="12402" spans="1:5" x14ac:dyDescent="0.25">
      <c r="A12402" t="s">
        <v>2</v>
      </c>
      <c r="B12402" t="s">
        <v>3458</v>
      </c>
      <c r="C12402" t="s">
        <v>23490</v>
      </c>
      <c r="D12402" t="str">
        <f>HYPERLINK("https://rhld.insurance.arkansas.gov/NPILookup?Npi=1447261797","1447261797")</f>
        <v>1447261797</v>
      </c>
      <c r="E12402" t="s">
        <v>12989</v>
      </c>
    </row>
    <row r="12403" spans="1:5" x14ac:dyDescent="0.25">
      <c r="A12403" t="s">
        <v>2</v>
      </c>
      <c r="B12403" t="s">
        <v>3458</v>
      </c>
      <c r="C12403" t="s">
        <v>23490</v>
      </c>
      <c r="D12403" t="str">
        <f>HYPERLINK("https://rhld.insurance.arkansas.gov/NPILookup?Npi=1447264643","1447264643")</f>
        <v>1447264643</v>
      </c>
      <c r="E12403" t="s">
        <v>1577</v>
      </c>
    </row>
    <row r="12404" spans="1:5" x14ac:dyDescent="0.25">
      <c r="A12404" t="s">
        <v>2</v>
      </c>
      <c r="B12404" t="s">
        <v>3458</v>
      </c>
      <c r="C12404" t="s">
        <v>23490</v>
      </c>
      <c r="D12404" t="str">
        <f>HYPERLINK("https://rhld.insurance.arkansas.gov/NPILookup?Npi=1447268347","1447268347")</f>
        <v>1447268347</v>
      </c>
      <c r="E12404" t="s">
        <v>3733</v>
      </c>
    </row>
    <row r="12405" spans="1:5" x14ac:dyDescent="0.25">
      <c r="A12405" t="s">
        <v>2</v>
      </c>
      <c r="B12405" t="s">
        <v>3458</v>
      </c>
      <c r="C12405" t="s">
        <v>23490</v>
      </c>
      <c r="D12405" t="str">
        <f>HYPERLINK("https://rhld.insurance.arkansas.gov/NPILookup?Npi=1447271291","1447271291")</f>
        <v>1447271291</v>
      </c>
      <c r="E12405" t="s">
        <v>1578</v>
      </c>
    </row>
    <row r="12406" spans="1:5" x14ac:dyDescent="0.25">
      <c r="A12406" t="s">
        <v>2</v>
      </c>
      <c r="B12406" t="s">
        <v>3458</v>
      </c>
      <c r="C12406" t="s">
        <v>23490</v>
      </c>
      <c r="D12406" t="str">
        <f>HYPERLINK("https://rhld.insurance.arkansas.gov/NPILookup?Npi=1447282991","1447282991")</f>
        <v>1447282991</v>
      </c>
      <c r="E12406" t="s">
        <v>1579</v>
      </c>
    </row>
    <row r="12407" spans="1:5" x14ac:dyDescent="0.25">
      <c r="A12407" t="s">
        <v>2</v>
      </c>
      <c r="B12407" t="s">
        <v>3458</v>
      </c>
      <c r="C12407" t="s">
        <v>23490</v>
      </c>
      <c r="D12407" t="str">
        <f>HYPERLINK("https://rhld.insurance.arkansas.gov/NPILookup?Npi=1447297320","1447297320")</f>
        <v>1447297320</v>
      </c>
      <c r="E12407" t="s">
        <v>8674</v>
      </c>
    </row>
    <row r="12408" spans="1:5" x14ac:dyDescent="0.25">
      <c r="A12408" t="s">
        <v>2</v>
      </c>
      <c r="B12408" t="s">
        <v>3458</v>
      </c>
      <c r="C12408" t="s">
        <v>23490</v>
      </c>
      <c r="D12408" t="str">
        <f>HYPERLINK("https://rhld.insurance.arkansas.gov/NPILookup?Npi=1447335708","1447335708")</f>
        <v>1447335708</v>
      </c>
      <c r="E12408" t="s">
        <v>1582</v>
      </c>
    </row>
    <row r="12409" spans="1:5" x14ac:dyDescent="0.25">
      <c r="A12409" t="s">
        <v>2</v>
      </c>
      <c r="B12409" t="s">
        <v>3458</v>
      </c>
      <c r="C12409" t="s">
        <v>23490</v>
      </c>
      <c r="D12409" t="str">
        <f>HYPERLINK("https://rhld.insurance.arkansas.gov/NPILookup?Npi=1447339312","1447339312")</f>
        <v>1447339312</v>
      </c>
      <c r="E12409" t="s">
        <v>1583</v>
      </c>
    </row>
    <row r="12410" spans="1:5" x14ac:dyDescent="0.25">
      <c r="A12410" t="s">
        <v>2</v>
      </c>
      <c r="B12410" t="s">
        <v>3458</v>
      </c>
      <c r="C12410" t="s">
        <v>23490</v>
      </c>
      <c r="D12410" t="str">
        <f>HYPERLINK("https://rhld.insurance.arkansas.gov/NPILookup?Npi=1447340005","1447340005")</f>
        <v>1447340005</v>
      </c>
      <c r="E12410" t="s">
        <v>8978</v>
      </c>
    </row>
    <row r="12411" spans="1:5" x14ac:dyDescent="0.25">
      <c r="A12411" t="s">
        <v>2</v>
      </c>
      <c r="B12411" t="s">
        <v>3458</v>
      </c>
      <c r="C12411" t="s">
        <v>23490</v>
      </c>
      <c r="D12411" t="str">
        <f>HYPERLINK("https://rhld.insurance.arkansas.gov/NPILookup?Npi=1447347885","1447347885")</f>
        <v>1447347885</v>
      </c>
      <c r="E12411" t="s">
        <v>8675</v>
      </c>
    </row>
    <row r="12412" spans="1:5" x14ac:dyDescent="0.25">
      <c r="A12412" t="s">
        <v>2</v>
      </c>
      <c r="B12412" t="s">
        <v>3458</v>
      </c>
      <c r="C12412" t="s">
        <v>23490</v>
      </c>
      <c r="D12412" t="str">
        <f>HYPERLINK("https://rhld.insurance.arkansas.gov/NPILookup?Npi=1447363833","1447363833")</f>
        <v>1447363833</v>
      </c>
      <c r="E12412" t="s">
        <v>1585</v>
      </c>
    </row>
    <row r="12413" spans="1:5" x14ac:dyDescent="0.25">
      <c r="A12413" t="s">
        <v>2</v>
      </c>
      <c r="B12413" t="s">
        <v>3458</v>
      </c>
      <c r="C12413" t="s">
        <v>23490</v>
      </c>
      <c r="D12413" t="str">
        <f>HYPERLINK("https://rhld.insurance.arkansas.gov/NPILookup?Npi=1447385398","1447385398")</f>
        <v>1447385398</v>
      </c>
      <c r="E12413" t="s">
        <v>3734</v>
      </c>
    </row>
    <row r="12414" spans="1:5" x14ac:dyDescent="0.25">
      <c r="A12414" t="s">
        <v>2</v>
      </c>
      <c r="B12414" t="s">
        <v>3458</v>
      </c>
      <c r="C12414" t="s">
        <v>23490</v>
      </c>
      <c r="D12414" t="str">
        <f>HYPERLINK("https://rhld.insurance.arkansas.gov/NPILookup?Npi=1447388186","1447388186")</f>
        <v>1447388186</v>
      </c>
      <c r="E12414" t="s">
        <v>1587</v>
      </c>
    </row>
    <row r="12415" spans="1:5" x14ac:dyDescent="0.25">
      <c r="A12415" t="s">
        <v>2</v>
      </c>
      <c r="B12415" t="s">
        <v>3458</v>
      </c>
      <c r="C12415" t="s">
        <v>23490</v>
      </c>
      <c r="D12415" t="str">
        <f>HYPERLINK("https://rhld.insurance.arkansas.gov/NPILookup?Npi=1447390893","1447390893")</f>
        <v>1447390893</v>
      </c>
      <c r="E12415" t="s">
        <v>15140</v>
      </c>
    </row>
    <row r="12416" spans="1:5" x14ac:dyDescent="0.25">
      <c r="A12416" t="s">
        <v>2</v>
      </c>
      <c r="B12416" t="s">
        <v>3458</v>
      </c>
      <c r="C12416" t="s">
        <v>23490</v>
      </c>
      <c r="D12416" t="str">
        <f>HYPERLINK("https://rhld.insurance.arkansas.gov/NPILookup?Npi=1447392287","1447392287")</f>
        <v>1447392287</v>
      </c>
      <c r="E12416" t="s">
        <v>15861</v>
      </c>
    </row>
    <row r="12417" spans="1:5" x14ac:dyDescent="0.25">
      <c r="A12417" t="s">
        <v>2</v>
      </c>
      <c r="B12417" t="s">
        <v>3458</v>
      </c>
      <c r="C12417" t="s">
        <v>23490</v>
      </c>
      <c r="D12417" t="str">
        <f>HYPERLINK("https://rhld.insurance.arkansas.gov/NPILookup?Npi=1447407671","1447407671")</f>
        <v>1447407671</v>
      </c>
      <c r="E12417" t="s">
        <v>1588</v>
      </c>
    </row>
    <row r="12418" spans="1:5" x14ac:dyDescent="0.25">
      <c r="A12418" t="s">
        <v>2</v>
      </c>
      <c r="B12418" t="s">
        <v>3458</v>
      </c>
      <c r="C12418" t="s">
        <v>23490</v>
      </c>
      <c r="D12418" t="str">
        <f>HYPERLINK("https://rhld.insurance.arkansas.gov/NPILookup?Npi=1447421482","1447421482")</f>
        <v>1447421482</v>
      </c>
      <c r="E12418" t="s">
        <v>1590</v>
      </c>
    </row>
    <row r="12419" spans="1:5" x14ac:dyDescent="0.25">
      <c r="A12419" t="s">
        <v>2</v>
      </c>
      <c r="B12419" t="s">
        <v>3458</v>
      </c>
      <c r="C12419" t="s">
        <v>23490</v>
      </c>
      <c r="D12419" t="str">
        <f>HYPERLINK("https://rhld.insurance.arkansas.gov/NPILookup?Npi=1447460993","1447460993")</f>
        <v>1447460993</v>
      </c>
      <c r="E12419" t="s">
        <v>13539</v>
      </c>
    </row>
    <row r="12420" spans="1:5" x14ac:dyDescent="0.25">
      <c r="A12420" t="s">
        <v>2</v>
      </c>
      <c r="B12420" t="s">
        <v>3458</v>
      </c>
      <c r="C12420" t="s">
        <v>23490</v>
      </c>
      <c r="D12420" t="str">
        <f>HYPERLINK("https://rhld.insurance.arkansas.gov/NPILookup?Npi=1447474697","1447474697")</f>
        <v>1447474697</v>
      </c>
      <c r="E12420" t="s">
        <v>15141</v>
      </c>
    </row>
    <row r="12421" spans="1:5" x14ac:dyDescent="0.25">
      <c r="A12421" t="s">
        <v>2</v>
      </c>
      <c r="B12421" t="s">
        <v>3458</v>
      </c>
      <c r="C12421" t="s">
        <v>23490</v>
      </c>
      <c r="D12421" t="str">
        <f>HYPERLINK("https://rhld.insurance.arkansas.gov/NPILookup?Npi=1447481072","1447481072")</f>
        <v>1447481072</v>
      </c>
      <c r="E12421" t="s">
        <v>1591</v>
      </c>
    </row>
    <row r="12422" spans="1:5" x14ac:dyDescent="0.25">
      <c r="A12422" t="s">
        <v>2</v>
      </c>
      <c r="B12422" t="s">
        <v>3458</v>
      </c>
      <c r="C12422" t="s">
        <v>23490</v>
      </c>
      <c r="D12422" t="str">
        <f>HYPERLINK("https://rhld.insurance.arkansas.gov/NPILookup?Npi=1447483151","1447483151")</f>
        <v>1447483151</v>
      </c>
      <c r="E12422" t="s">
        <v>1592</v>
      </c>
    </row>
    <row r="12423" spans="1:5" x14ac:dyDescent="0.25">
      <c r="A12423" t="s">
        <v>2</v>
      </c>
      <c r="B12423" t="s">
        <v>3458</v>
      </c>
      <c r="C12423" t="s">
        <v>23490</v>
      </c>
      <c r="D12423" t="str">
        <f>HYPERLINK("https://rhld.insurance.arkansas.gov/NPILookup?Npi=1447484860","1447484860")</f>
        <v>1447484860</v>
      </c>
      <c r="E12423" t="s">
        <v>1593</v>
      </c>
    </row>
    <row r="12424" spans="1:5" x14ac:dyDescent="0.25">
      <c r="A12424" t="s">
        <v>2</v>
      </c>
      <c r="B12424" t="s">
        <v>3458</v>
      </c>
      <c r="C12424" t="s">
        <v>23490</v>
      </c>
      <c r="D12424" t="str">
        <f>HYPERLINK("https://rhld.insurance.arkansas.gov/NPILookup?Npi=1447485727","1447485727")</f>
        <v>1447485727</v>
      </c>
      <c r="E12424" t="s">
        <v>1594</v>
      </c>
    </row>
    <row r="12425" spans="1:5" x14ac:dyDescent="0.25">
      <c r="A12425" t="s">
        <v>2</v>
      </c>
      <c r="B12425" t="s">
        <v>3458</v>
      </c>
      <c r="C12425" t="s">
        <v>23490</v>
      </c>
      <c r="D12425" t="str">
        <f>HYPERLINK("https://rhld.insurance.arkansas.gov/NPILookup?Npi=1447506365","1447506365")</f>
        <v>1447506365</v>
      </c>
      <c r="E12425" t="s">
        <v>3735</v>
      </c>
    </row>
    <row r="12426" spans="1:5" x14ac:dyDescent="0.25">
      <c r="A12426" t="s">
        <v>2</v>
      </c>
      <c r="B12426" t="s">
        <v>3458</v>
      </c>
      <c r="C12426" t="s">
        <v>23490</v>
      </c>
      <c r="D12426" t="str">
        <f>HYPERLINK("https://rhld.insurance.arkansas.gov/NPILookup?Npi=1447514310","1447514310")</f>
        <v>1447514310</v>
      </c>
      <c r="E12426" t="s">
        <v>19729</v>
      </c>
    </row>
    <row r="12427" spans="1:5" x14ac:dyDescent="0.25">
      <c r="A12427" t="s">
        <v>2</v>
      </c>
      <c r="B12427" t="s">
        <v>3458</v>
      </c>
      <c r="C12427" t="s">
        <v>23490</v>
      </c>
      <c r="D12427" t="str">
        <f>HYPERLINK("https://rhld.insurance.arkansas.gov/NPILookup?Npi=1447571583","1447571583")</f>
        <v>1447571583</v>
      </c>
      <c r="E12427" t="s">
        <v>10932</v>
      </c>
    </row>
    <row r="12428" spans="1:5" x14ac:dyDescent="0.25">
      <c r="A12428" t="s">
        <v>2</v>
      </c>
      <c r="B12428" t="s">
        <v>3458</v>
      </c>
      <c r="C12428" t="s">
        <v>23490</v>
      </c>
      <c r="D12428" t="str">
        <f>HYPERLINK("https://rhld.insurance.arkansas.gov/NPILookup?Npi=1447575162","1447575162")</f>
        <v>1447575162</v>
      </c>
      <c r="E12428" t="s">
        <v>13540</v>
      </c>
    </row>
    <row r="12429" spans="1:5" x14ac:dyDescent="0.25">
      <c r="A12429" t="s">
        <v>2</v>
      </c>
      <c r="B12429" t="s">
        <v>3458</v>
      </c>
      <c r="C12429" t="s">
        <v>8427</v>
      </c>
      <c r="D12429" t="str">
        <f>HYPERLINK("https://rhld.insurance.arkansas.gov/NPILookup?Npi=1447579073","1447579073")</f>
        <v>1447579073</v>
      </c>
      <c r="E12429" t="s">
        <v>22935</v>
      </c>
    </row>
    <row r="12430" spans="1:5" x14ac:dyDescent="0.25">
      <c r="A12430" t="s">
        <v>2</v>
      </c>
      <c r="B12430" t="s">
        <v>3458</v>
      </c>
      <c r="C12430" t="s">
        <v>23490</v>
      </c>
      <c r="D12430" t="str">
        <f>HYPERLINK("https://rhld.insurance.arkansas.gov/NPILookup?Npi=1447583885","1447583885")</f>
        <v>1447583885</v>
      </c>
      <c r="E12430" t="s">
        <v>1597</v>
      </c>
    </row>
    <row r="12431" spans="1:5" x14ac:dyDescent="0.25">
      <c r="A12431" t="s">
        <v>2</v>
      </c>
      <c r="B12431" t="s">
        <v>3458</v>
      </c>
      <c r="C12431" t="s">
        <v>23490</v>
      </c>
      <c r="D12431" t="str">
        <f>HYPERLINK("https://rhld.insurance.arkansas.gov/NPILookup?Npi=1447590864","1447590864")</f>
        <v>1447590864</v>
      </c>
      <c r="E12431" t="s">
        <v>8677</v>
      </c>
    </row>
    <row r="12432" spans="1:5" x14ac:dyDescent="0.25">
      <c r="A12432" t="s">
        <v>2</v>
      </c>
      <c r="B12432" t="s">
        <v>3458</v>
      </c>
      <c r="C12432" t="s">
        <v>23490</v>
      </c>
      <c r="D12432" t="str">
        <f>HYPERLINK("https://rhld.insurance.arkansas.gov/NPILookup?Npi=1447602321","1447602321")</f>
        <v>1447602321</v>
      </c>
      <c r="E12432" t="s">
        <v>10934</v>
      </c>
    </row>
    <row r="12433" spans="1:5" x14ac:dyDescent="0.25">
      <c r="A12433" t="s">
        <v>2</v>
      </c>
      <c r="B12433" t="s">
        <v>3458</v>
      </c>
      <c r="C12433" t="s">
        <v>23490</v>
      </c>
      <c r="D12433" t="str">
        <f>HYPERLINK("https://rhld.insurance.arkansas.gov/NPILookup?Npi=1447602909","1447602909")</f>
        <v>1447602909</v>
      </c>
      <c r="E12433" t="s">
        <v>10935</v>
      </c>
    </row>
    <row r="12434" spans="1:5" x14ac:dyDescent="0.25">
      <c r="A12434" t="s">
        <v>2</v>
      </c>
      <c r="B12434" t="s">
        <v>3458</v>
      </c>
      <c r="C12434" t="s">
        <v>23490</v>
      </c>
      <c r="D12434" t="str">
        <f>HYPERLINK("https://rhld.insurance.arkansas.gov/NPILookup?Npi=1447603808","1447603808")</f>
        <v>1447603808</v>
      </c>
      <c r="E12434" t="s">
        <v>10936</v>
      </c>
    </row>
    <row r="12435" spans="1:5" x14ac:dyDescent="0.25">
      <c r="A12435" t="s">
        <v>2</v>
      </c>
      <c r="B12435" t="s">
        <v>3458</v>
      </c>
      <c r="C12435" t="s">
        <v>23490</v>
      </c>
      <c r="D12435" t="str">
        <f>HYPERLINK("https://rhld.insurance.arkansas.gov/NPILookup?Npi=1447616040","1447616040")</f>
        <v>1447616040</v>
      </c>
      <c r="E12435" t="s">
        <v>8678</v>
      </c>
    </row>
    <row r="12436" spans="1:5" x14ac:dyDescent="0.25">
      <c r="A12436" t="s">
        <v>2</v>
      </c>
      <c r="B12436" t="s">
        <v>3458</v>
      </c>
      <c r="C12436" t="s">
        <v>23490</v>
      </c>
      <c r="D12436" t="str">
        <f>HYPERLINK("https://rhld.insurance.arkansas.gov/NPILookup?Npi=1447621255","1447621255")</f>
        <v>1447621255</v>
      </c>
      <c r="E12436" t="s">
        <v>1276</v>
      </c>
    </row>
    <row r="12437" spans="1:5" x14ac:dyDescent="0.25">
      <c r="A12437" t="s">
        <v>2</v>
      </c>
      <c r="B12437" t="s">
        <v>3458</v>
      </c>
      <c r="C12437" t="s">
        <v>23490</v>
      </c>
      <c r="D12437" t="str">
        <f>HYPERLINK("https://rhld.insurance.arkansas.gov/NPILookup?Npi=1447640123","1447640123")</f>
        <v>1447640123</v>
      </c>
      <c r="E12437" t="s">
        <v>15143</v>
      </c>
    </row>
    <row r="12438" spans="1:5" x14ac:dyDescent="0.25">
      <c r="A12438" t="s">
        <v>2</v>
      </c>
      <c r="B12438" t="s">
        <v>3458</v>
      </c>
      <c r="C12438" t="s">
        <v>23490</v>
      </c>
      <c r="D12438" t="str">
        <f>HYPERLINK("https://rhld.insurance.arkansas.gov/NPILookup?Npi=1447664560","1447664560")</f>
        <v>1447664560</v>
      </c>
      <c r="E12438" t="s">
        <v>1598</v>
      </c>
    </row>
    <row r="12439" spans="1:5" x14ac:dyDescent="0.25">
      <c r="A12439" t="s">
        <v>2</v>
      </c>
      <c r="B12439" t="s">
        <v>3458</v>
      </c>
      <c r="C12439" t="s">
        <v>23490</v>
      </c>
      <c r="D12439" t="str">
        <f>HYPERLINK("https://rhld.insurance.arkansas.gov/NPILookup?Npi=1447673132","1447673132")</f>
        <v>1447673132</v>
      </c>
      <c r="E12439" t="s">
        <v>10937</v>
      </c>
    </row>
    <row r="12440" spans="1:5" x14ac:dyDescent="0.25">
      <c r="A12440" t="s">
        <v>2</v>
      </c>
      <c r="B12440" t="s">
        <v>3458</v>
      </c>
      <c r="C12440" t="s">
        <v>23490</v>
      </c>
      <c r="D12440" t="str">
        <f>HYPERLINK("https://rhld.insurance.arkansas.gov/NPILookup?Npi=1447684527","1447684527")</f>
        <v>1447684527</v>
      </c>
      <c r="E12440" t="s">
        <v>1600</v>
      </c>
    </row>
    <row r="12441" spans="1:5" x14ac:dyDescent="0.25">
      <c r="A12441" t="s">
        <v>2</v>
      </c>
      <c r="B12441" t="s">
        <v>3458</v>
      </c>
      <c r="C12441" t="s">
        <v>23490</v>
      </c>
      <c r="D12441" t="str">
        <f>HYPERLINK("https://rhld.insurance.arkansas.gov/NPILookup?Npi=1447700299","1447700299")</f>
        <v>1447700299</v>
      </c>
      <c r="E12441" t="s">
        <v>13541</v>
      </c>
    </row>
    <row r="12442" spans="1:5" x14ac:dyDescent="0.25">
      <c r="A12442" t="s">
        <v>2</v>
      </c>
      <c r="B12442" t="s">
        <v>3458</v>
      </c>
      <c r="C12442" t="s">
        <v>23490</v>
      </c>
      <c r="D12442" t="str">
        <f>HYPERLINK("https://rhld.insurance.arkansas.gov/NPILookup?Npi=1447757935","1447757935")</f>
        <v>1447757935</v>
      </c>
      <c r="E12442" t="s">
        <v>15144</v>
      </c>
    </row>
    <row r="12443" spans="1:5" x14ac:dyDescent="0.25">
      <c r="A12443" t="s">
        <v>2</v>
      </c>
      <c r="B12443" t="s">
        <v>3458</v>
      </c>
      <c r="C12443" t="s">
        <v>23490</v>
      </c>
      <c r="D12443" t="str">
        <f>HYPERLINK("https://rhld.insurance.arkansas.gov/NPILookup?Npi=1447763032","1447763032")</f>
        <v>1447763032</v>
      </c>
      <c r="E12443" t="s">
        <v>21545</v>
      </c>
    </row>
    <row r="12444" spans="1:5" x14ac:dyDescent="0.25">
      <c r="A12444" t="s">
        <v>2</v>
      </c>
      <c r="B12444" t="s">
        <v>3458</v>
      </c>
      <c r="C12444" t="s">
        <v>23490</v>
      </c>
      <c r="D12444" t="str">
        <f>HYPERLINK("https://rhld.insurance.arkansas.gov/NPILookup?Npi=1447785282","1447785282")</f>
        <v>1447785282</v>
      </c>
      <c r="E12444" t="s">
        <v>1171</v>
      </c>
    </row>
    <row r="12445" spans="1:5" x14ac:dyDescent="0.25">
      <c r="A12445" t="s">
        <v>2</v>
      </c>
      <c r="B12445" t="s">
        <v>3458</v>
      </c>
      <c r="C12445" t="s">
        <v>8427</v>
      </c>
      <c r="D12445" t="str">
        <f>HYPERLINK("https://rhld.insurance.arkansas.gov/NPILookup?Npi=1447785787","1447785787")</f>
        <v>1447785787</v>
      </c>
      <c r="E12445" t="s">
        <v>22936</v>
      </c>
    </row>
    <row r="12446" spans="1:5" x14ac:dyDescent="0.25">
      <c r="A12446" t="s">
        <v>2</v>
      </c>
      <c r="B12446" t="s">
        <v>3458</v>
      </c>
      <c r="C12446" t="s">
        <v>23490</v>
      </c>
      <c r="D12446" t="str">
        <f>HYPERLINK("https://rhld.insurance.arkansas.gov/NPILookup?Npi=1447791983","1447791983")</f>
        <v>1447791983</v>
      </c>
      <c r="E12446" t="s">
        <v>10938</v>
      </c>
    </row>
    <row r="12447" spans="1:5" x14ac:dyDescent="0.25">
      <c r="A12447" t="s">
        <v>2</v>
      </c>
      <c r="B12447" t="s">
        <v>3458</v>
      </c>
      <c r="C12447" t="s">
        <v>23490</v>
      </c>
      <c r="D12447" t="str">
        <f>HYPERLINK("https://rhld.insurance.arkansas.gov/NPILookup?Npi=1447797741","1447797741")</f>
        <v>1447797741</v>
      </c>
      <c r="E12447" t="s">
        <v>13542</v>
      </c>
    </row>
    <row r="12448" spans="1:5" x14ac:dyDescent="0.25">
      <c r="A12448" t="s">
        <v>2</v>
      </c>
      <c r="B12448" t="s">
        <v>3458</v>
      </c>
      <c r="C12448" t="s">
        <v>23490</v>
      </c>
      <c r="D12448" t="str">
        <f>HYPERLINK("https://rhld.insurance.arkansas.gov/NPILookup?Npi=1447844923","1447844923")</f>
        <v>1447844923</v>
      </c>
      <c r="E12448" t="s">
        <v>21546</v>
      </c>
    </row>
    <row r="12449" spans="1:5" x14ac:dyDescent="0.25">
      <c r="A12449" t="s">
        <v>2</v>
      </c>
      <c r="B12449" t="s">
        <v>3458</v>
      </c>
      <c r="C12449" t="s">
        <v>23490</v>
      </c>
      <c r="D12449" t="str">
        <f>HYPERLINK("https://rhld.insurance.arkansas.gov/NPILookup?Npi=1447879168","1447879168")</f>
        <v>1447879168</v>
      </c>
      <c r="E12449" t="s">
        <v>17429</v>
      </c>
    </row>
    <row r="12450" spans="1:5" x14ac:dyDescent="0.25">
      <c r="A12450" t="s">
        <v>2</v>
      </c>
      <c r="B12450" t="s">
        <v>3458</v>
      </c>
      <c r="C12450" t="s">
        <v>23490</v>
      </c>
      <c r="D12450" t="str">
        <f>HYPERLINK("https://rhld.insurance.arkansas.gov/NPILookup?Npi=1447904503","1447904503")</f>
        <v>1447904503</v>
      </c>
      <c r="E12450" t="s">
        <v>20940</v>
      </c>
    </row>
    <row r="12451" spans="1:5" x14ac:dyDescent="0.25">
      <c r="A12451" t="s">
        <v>2</v>
      </c>
      <c r="B12451" t="s">
        <v>3458</v>
      </c>
      <c r="C12451" t="s">
        <v>23490</v>
      </c>
      <c r="D12451" t="str">
        <f>HYPERLINK("https://rhld.insurance.arkansas.gov/NPILookup?Npi=1447905682","1447905682")</f>
        <v>1447905682</v>
      </c>
      <c r="E12451" t="s">
        <v>19734</v>
      </c>
    </row>
    <row r="12452" spans="1:5" x14ac:dyDescent="0.25">
      <c r="A12452" t="s">
        <v>2</v>
      </c>
      <c r="B12452" t="s">
        <v>3458</v>
      </c>
      <c r="C12452" t="s">
        <v>23490</v>
      </c>
      <c r="D12452" t="str">
        <f>HYPERLINK("https://rhld.insurance.arkansas.gov/NPILookup?Npi=1447905989","1447905989")</f>
        <v>1447905989</v>
      </c>
      <c r="E12452" t="s">
        <v>19735</v>
      </c>
    </row>
    <row r="12453" spans="1:5" x14ac:dyDescent="0.25">
      <c r="A12453" t="s">
        <v>2</v>
      </c>
      <c r="B12453" t="s">
        <v>3458</v>
      </c>
      <c r="C12453" t="s">
        <v>23490</v>
      </c>
      <c r="D12453" t="str">
        <f>HYPERLINK("https://rhld.insurance.arkansas.gov/NPILookup?Npi=1447909411","1447909411")</f>
        <v>1447909411</v>
      </c>
      <c r="E12453" t="s">
        <v>21548</v>
      </c>
    </row>
    <row r="12454" spans="1:5" x14ac:dyDescent="0.25">
      <c r="A12454" t="s">
        <v>2</v>
      </c>
      <c r="B12454" t="s">
        <v>3458</v>
      </c>
      <c r="C12454" t="s">
        <v>23490</v>
      </c>
      <c r="D12454" t="str">
        <f>HYPERLINK("https://rhld.insurance.arkansas.gov/NPILookup?Npi=1447951439","1447951439")</f>
        <v>1447951439</v>
      </c>
      <c r="E12454" t="s">
        <v>21549</v>
      </c>
    </row>
    <row r="12455" spans="1:5" x14ac:dyDescent="0.25">
      <c r="A12455" t="s">
        <v>2</v>
      </c>
      <c r="B12455" t="s">
        <v>3458</v>
      </c>
      <c r="C12455" t="s">
        <v>23490</v>
      </c>
      <c r="D12455" t="str">
        <f>HYPERLINK("https://rhld.insurance.arkansas.gov/NPILookup?Npi=1447980073","1447980073")</f>
        <v>1447980073</v>
      </c>
      <c r="E12455" t="s">
        <v>20941</v>
      </c>
    </row>
    <row r="12456" spans="1:5" x14ac:dyDescent="0.25">
      <c r="A12456" t="s">
        <v>2</v>
      </c>
      <c r="B12456" t="s">
        <v>3458</v>
      </c>
      <c r="C12456" t="s">
        <v>23490</v>
      </c>
      <c r="D12456" t="str">
        <f>HYPERLINK("https://rhld.insurance.arkansas.gov/NPILookup?Npi=1447984851","1447984851")</f>
        <v>1447984851</v>
      </c>
      <c r="E12456" t="s">
        <v>14167</v>
      </c>
    </row>
    <row r="12457" spans="1:5" x14ac:dyDescent="0.25">
      <c r="A12457" t="s">
        <v>2</v>
      </c>
      <c r="B12457" t="s">
        <v>3458</v>
      </c>
      <c r="C12457" t="s">
        <v>23490</v>
      </c>
      <c r="D12457" t="str">
        <f>HYPERLINK("https://rhld.insurance.arkansas.gov/NPILookup?Npi=1447991880","1447991880")</f>
        <v>1447991880</v>
      </c>
      <c r="E12457" t="s">
        <v>20942</v>
      </c>
    </row>
    <row r="12458" spans="1:5" x14ac:dyDescent="0.25">
      <c r="A12458" t="s">
        <v>2</v>
      </c>
      <c r="B12458" t="s">
        <v>3458</v>
      </c>
      <c r="C12458" t="s">
        <v>23490</v>
      </c>
      <c r="D12458" t="str">
        <f>HYPERLINK("https://rhld.insurance.arkansas.gov/NPILookup?Npi=1447996517","1447996517")</f>
        <v>1447996517</v>
      </c>
      <c r="E12458" t="s">
        <v>20943</v>
      </c>
    </row>
    <row r="12459" spans="1:5" x14ac:dyDescent="0.25">
      <c r="A12459" t="s">
        <v>2</v>
      </c>
      <c r="B12459" t="s">
        <v>3458</v>
      </c>
      <c r="C12459" t="s">
        <v>23490</v>
      </c>
      <c r="D12459" t="str">
        <f>HYPERLINK("https://rhld.insurance.arkansas.gov/NPILookup?Npi=1457016370","1457016370")</f>
        <v>1457016370</v>
      </c>
      <c r="E12459" t="s">
        <v>19736</v>
      </c>
    </row>
    <row r="12460" spans="1:5" x14ac:dyDescent="0.25">
      <c r="A12460" t="s">
        <v>2</v>
      </c>
      <c r="B12460" t="s">
        <v>3458</v>
      </c>
      <c r="C12460" t="s">
        <v>23490</v>
      </c>
      <c r="D12460" t="str">
        <f>HYPERLINK("https://rhld.insurance.arkansas.gov/NPILookup?Npi=1457027377","1457027377")</f>
        <v>1457027377</v>
      </c>
      <c r="E12460" t="s">
        <v>18779</v>
      </c>
    </row>
    <row r="12461" spans="1:5" x14ac:dyDescent="0.25">
      <c r="A12461" t="s">
        <v>2</v>
      </c>
      <c r="B12461" t="s">
        <v>3458</v>
      </c>
      <c r="C12461" t="s">
        <v>23490</v>
      </c>
      <c r="D12461" t="str">
        <f>HYPERLINK("https://rhld.insurance.arkansas.gov/NPILookup?Npi=1457303927","1457303927")</f>
        <v>1457303927</v>
      </c>
      <c r="E12461" t="s">
        <v>1601</v>
      </c>
    </row>
    <row r="12462" spans="1:5" x14ac:dyDescent="0.25">
      <c r="A12462" t="s">
        <v>2</v>
      </c>
      <c r="B12462" t="s">
        <v>3458</v>
      </c>
      <c r="C12462" t="s">
        <v>23490</v>
      </c>
      <c r="D12462" t="str">
        <f>HYPERLINK("https://rhld.insurance.arkansas.gov/NPILookup?Npi=1457304131","1457304131")</f>
        <v>1457304131</v>
      </c>
      <c r="E12462" t="s">
        <v>8679</v>
      </c>
    </row>
    <row r="12463" spans="1:5" x14ac:dyDescent="0.25">
      <c r="A12463" t="s">
        <v>2</v>
      </c>
      <c r="B12463" t="s">
        <v>3458</v>
      </c>
      <c r="C12463" t="s">
        <v>23490</v>
      </c>
      <c r="D12463" t="str">
        <f>HYPERLINK("https://rhld.insurance.arkansas.gov/NPILookup?Npi=1457310476","1457310476")</f>
        <v>1457310476</v>
      </c>
      <c r="E12463" t="s">
        <v>1602</v>
      </c>
    </row>
    <row r="12464" spans="1:5" x14ac:dyDescent="0.25">
      <c r="A12464" t="s">
        <v>2</v>
      </c>
      <c r="B12464" t="s">
        <v>3458</v>
      </c>
      <c r="C12464" t="s">
        <v>23490</v>
      </c>
      <c r="D12464" t="str">
        <f>HYPERLINK("https://rhld.insurance.arkansas.gov/NPILookup?Npi=1457314007","1457314007")</f>
        <v>1457314007</v>
      </c>
      <c r="E12464" t="s">
        <v>1603</v>
      </c>
    </row>
    <row r="12465" spans="1:5" x14ac:dyDescent="0.25">
      <c r="A12465" t="s">
        <v>2</v>
      </c>
      <c r="B12465" t="s">
        <v>3458</v>
      </c>
      <c r="C12465" t="s">
        <v>23490</v>
      </c>
      <c r="D12465" t="str">
        <f>HYPERLINK("https://rhld.insurance.arkansas.gov/NPILookup?Npi=1457314635","1457314635")</f>
        <v>1457314635</v>
      </c>
      <c r="E12465" t="s">
        <v>1605</v>
      </c>
    </row>
    <row r="12466" spans="1:5" x14ac:dyDescent="0.25">
      <c r="A12466" t="s">
        <v>2</v>
      </c>
      <c r="B12466" t="s">
        <v>3458</v>
      </c>
      <c r="C12466" t="s">
        <v>23490</v>
      </c>
      <c r="D12466" t="str">
        <f>HYPERLINK("https://rhld.insurance.arkansas.gov/NPILookup?Npi=1457316556","1457316556")</f>
        <v>1457316556</v>
      </c>
      <c r="E12466" t="s">
        <v>1606</v>
      </c>
    </row>
    <row r="12467" spans="1:5" x14ac:dyDescent="0.25">
      <c r="A12467" t="s">
        <v>2</v>
      </c>
      <c r="B12467" t="s">
        <v>3458</v>
      </c>
      <c r="C12467" t="s">
        <v>23490</v>
      </c>
      <c r="D12467" t="str">
        <f>HYPERLINK("https://rhld.insurance.arkansas.gov/NPILookup?Npi=1457318065","1457318065")</f>
        <v>1457318065</v>
      </c>
      <c r="E12467" t="s">
        <v>1607</v>
      </c>
    </row>
    <row r="12468" spans="1:5" x14ac:dyDescent="0.25">
      <c r="A12468" t="s">
        <v>2</v>
      </c>
      <c r="B12468" t="s">
        <v>3458</v>
      </c>
      <c r="C12468" t="s">
        <v>23490</v>
      </c>
      <c r="D12468" t="str">
        <f>HYPERLINK("https://rhld.insurance.arkansas.gov/NPILookup?Npi=1457327389","1457327389")</f>
        <v>1457327389</v>
      </c>
      <c r="E12468" t="s">
        <v>1608</v>
      </c>
    </row>
    <row r="12469" spans="1:5" x14ac:dyDescent="0.25">
      <c r="A12469" t="s">
        <v>2</v>
      </c>
      <c r="B12469" t="s">
        <v>3458</v>
      </c>
      <c r="C12469" t="s">
        <v>23490</v>
      </c>
      <c r="D12469" t="str">
        <f>HYPERLINK("https://rhld.insurance.arkansas.gov/NPILookup?Npi=1457331076","1457331076")</f>
        <v>1457331076</v>
      </c>
      <c r="E12469" t="s">
        <v>10939</v>
      </c>
    </row>
    <row r="12470" spans="1:5" x14ac:dyDescent="0.25">
      <c r="A12470" t="s">
        <v>2</v>
      </c>
      <c r="B12470" t="s">
        <v>3458</v>
      </c>
      <c r="C12470" t="s">
        <v>23490</v>
      </c>
      <c r="D12470" t="str">
        <f>HYPERLINK("https://rhld.insurance.arkansas.gov/NPILookup?Npi=1457345779","1457345779")</f>
        <v>1457345779</v>
      </c>
      <c r="E12470" t="s">
        <v>8680</v>
      </c>
    </row>
    <row r="12471" spans="1:5" x14ac:dyDescent="0.25">
      <c r="A12471" t="s">
        <v>2</v>
      </c>
      <c r="B12471" t="s">
        <v>3458</v>
      </c>
      <c r="C12471" t="s">
        <v>23490</v>
      </c>
      <c r="D12471" t="str">
        <f>HYPERLINK("https://rhld.insurance.arkansas.gov/NPILookup?Npi=1457352577","1457352577")</f>
        <v>1457352577</v>
      </c>
      <c r="E12471" t="s">
        <v>1609</v>
      </c>
    </row>
    <row r="12472" spans="1:5" x14ac:dyDescent="0.25">
      <c r="A12472" t="s">
        <v>2</v>
      </c>
      <c r="B12472" t="s">
        <v>3458</v>
      </c>
      <c r="C12472" t="s">
        <v>23490</v>
      </c>
      <c r="D12472" t="str">
        <f>HYPERLINK("https://rhld.insurance.arkansas.gov/NPILookup?Npi=1457352742","1457352742")</f>
        <v>1457352742</v>
      </c>
      <c r="E12472" t="s">
        <v>12844</v>
      </c>
    </row>
    <row r="12473" spans="1:5" x14ac:dyDescent="0.25">
      <c r="A12473" t="s">
        <v>2</v>
      </c>
      <c r="B12473" t="s">
        <v>3458</v>
      </c>
      <c r="C12473" t="s">
        <v>23490</v>
      </c>
      <c r="D12473" t="str">
        <f>HYPERLINK("https://rhld.insurance.arkansas.gov/NPILookup?Npi=1457354599","1457354599")</f>
        <v>1457354599</v>
      </c>
      <c r="E12473" t="s">
        <v>1610</v>
      </c>
    </row>
    <row r="12474" spans="1:5" x14ac:dyDescent="0.25">
      <c r="A12474" t="s">
        <v>2</v>
      </c>
      <c r="B12474" t="s">
        <v>3458</v>
      </c>
      <c r="C12474" t="s">
        <v>23490</v>
      </c>
      <c r="D12474" t="str">
        <f>HYPERLINK("https://rhld.insurance.arkansas.gov/NPILookup?Npi=1457356347","1457356347")</f>
        <v>1457356347</v>
      </c>
      <c r="E12474" t="s">
        <v>1611</v>
      </c>
    </row>
    <row r="12475" spans="1:5" x14ac:dyDescent="0.25">
      <c r="A12475" t="s">
        <v>2</v>
      </c>
      <c r="B12475" t="s">
        <v>3458</v>
      </c>
      <c r="C12475" t="s">
        <v>23490</v>
      </c>
      <c r="D12475" t="str">
        <f>HYPERLINK("https://rhld.insurance.arkansas.gov/NPILookup?Npi=1457368854","1457368854")</f>
        <v>1457368854</v>
      </c>
      <c r="E12475" t="s">
        <v>1612</v>
      </c>
    </row>
    <row r="12476" spans="1:5" x14ac:dyDescent="0.25">
      <c r="A12476" t="s">
        <v>2</v>
      </c>
      <c r="B12476" t="s">
        <v>3458</v>
      </c>
      <c r="C12476" t="s">
        <v>23490</v>
      </c>
      <c r="D12476" t="str">
        <f>HYPERLINK("https://rhld.insurance.arkansas.gov/NPILookup?Npi=1457372237","1457372237")</f>
        <v>1457372237</v>
      </c>
      <c r="E12476" t="s">
        <v>3736</v>
      </c>
    </row>
    <row r="12477" spans="1:5" x14ac:dyDescent="0.25">
      <c r="A12477" t="s">
        <v>2</v>
      </c>
      <c r="B12477" t="s">
        <v>3458</v>
      </c>
      <c r="C12477" t="s">
        <v>23490</v>
      </c>
      <c r="D12477" t="str">
        <f>HYPERLINK("https://rhld.insurance.arkansas.gov/NPILookup?Npi=1457383127","1457383127")</f>
        <v>1457383127</v>
      </c>
      <c r="E12477" t="s">
        <v>10940</v>
      </c>
    </row>
    <row r="12478" spans="1:5" x14ac:dyDescent="0.25">
      <c r="A12478" t="s">
        <v>2</v>
      </c>
      <c r="B12478" t="s">
        <v>3458</v>
      </c>
      <c r="C12478" t="s">
        <v>23490</v>
      </c>
      <c r="D12478" t="str">
        <f>HYPERLINK("https://rhld.insurance.arkansas.gov/NPILookup?Npi=1457383655","1457383655")</f>
        <v>1457383655</v>
      </c>
      <c r="E12478" t="s">
        <v>15149</v>
      </c>
    </row>
    <row r="12479" spans="1:5" x14ac:dyDescent="0.25">
      <c r="A12479" t="s">
        <v>2</v>
      </c>
      <c r="B12479" t="s">
        <v>3458</v>
      </c>
      <c r="C12479" t="s">
        <v>23490</v>
      </c>
      <c r="D12479" t="str">
        <f>HYPERLINK("https://rhld.insurance.arkansas.gov/NPILookup?Npi=1457384588","1457384588")</f>
        <v>1457384588</v>
      </c>
      <c r="E12479" t="s">
        <v>12990</v>
      </c>
    </row>
    <row r="12480" spans="1:5" x14ac:dyDescent="0.25">
      <c r="A12480" t="s">
        <v>2</v>
      </c>
      <c r="B12480" t="s">
        <v>3458</v>
      </c>
      <c r="C12480" t="s">
        <v>23490</v>
      </c>
      <c r="D12480" t="str">
        <f>HYPERLINK("https://rhld.insurance.arkansas.gov/NPILookup?Npi=1457388985","1457388985")</f>
        <v>1457388985</v>
      </c>
      <c r="E12480" t="s">
        <v>6750</v>
      </c>
    </row>
    <row r="12481" spans="1:5" x14ac:dyDescent="0.25">
      <c r="A12481" t="s">
        <v>2</v>
      </c>
      <c r="B12481" t="s">
        <v>3458</v>
      </c>
      <c r="C12481" t="s">
        <v>23490</v>
      </c>
      <c r="D12481" t="str">
        <f>HYPERLINK("https://rhld.insurance.arkansas.gov/NPILookup?Npi=1457390734","1457390734")</f>
        <v>1457390734</v>
      </c>
      <c r="E12481" t="s">
        <v>1613</v>
      </c>
    </row>
    <row r="12482" spans="1:5" x14ac:dyDescent="0.25">
      <c r="A12482" t="s">
        <v>2</v>
      </c>
      <c r="B12482" t="s">
        <v>3458</v>
      </c>
      <c r="C12482" t="s">
        <v>23490</v>
      </c>
      <c r="D12482" t="str">
        <f>HYPERLINK("https://rhld.insurance.arkansas.gov/NPILookup?Npi=1457396160","1457396160")</f>
        <v>1457396160</v>
      </c>
      <c r="E12482" t="s">
        <v>3737</v>
      </c>
    </row>
    <row r="12483" spans="1:5" x14ac:dyDescent="0.25">
      <c r="A12483" t="s">
        <v>2</v>
      </c>
      <c r="B12483" t="s">
        <v>3458</v>
      </c>
      <c r="C12483" t="s">
        <v>23490</v>
      </c>
      <c r="D12483" t="str">
        <f>HYPERLINK("https://rhld.insurance.arkansas.gov/NPILookup?Npi=1457399438","1457399438")</f>
        <v>1457399438</v>
      </c>
      <c r="E12483" t="s">
        <v>1614</v>
      </c>
    </row>
    <row r="12484" spans="1:5" x14ac:dyDescent="0.25">
      <c r="A12484" t="s">
        <v>2</v>
      </c>
      <c r="B12484" t="s">
        <v>3458</v>
      </c>
      <c r="C12484" t="s">
        <v>23490</v>
      </c>
      <c r="D12484" t="str">
        <f>HYPERLINK("https://rhld.insurance.arkansas.gov/NPILookup?Npi=1457413858","1457413858")</f>
        <v>1457413858</v>
      </c>
      <c r="E12484" t="s">
        <v>10941</v>
      </c>
    </row>
    <row r="12485" spans="1:5" x14ac:dyDescent="0.25">
      <c r="A12485" t="s">
        <v>2</v>
      </c>
      <c r="B12485" t="s">
        <v>3458</v>
      </c>
      <c r="C12485" t="s">
        <v>23490</v>
      </c>
      <c r="D12485" t="str">
        <f>HYPERLINK("https://rhld.insurance.arkansas.gov/NPILookup?Npi=1457425902","1457425902")</f>
        <v>1457425902</v>
      </c>
      <c r="E12485" t="s">
        <v>1615</v>
      </c>
    </row>
    <row r="12486" spans="1:5" x14ac:dyDescent="0.25">
      <c r="A12486" t="s">
        <v>2</v>
      </c>
      <c r="B12486" t="s">
        <v>3458</v>
      </c>
      <c r="C12486" t="s">
        <v>23490</v>
      </c>
      <c r="D12486" t="str">
        <f>HYPERLINK("https://rhld.insurance.arkansas.gov/NPILookup?Npi=1457450827","1457450827")</f>
        <v>1457450827</v>
      </c>
      <c r="E12486" t="s">
        <v>17430</v>
      </c>
    </row>
    <row r="12487" spans="1:5" x14ac:dyDescent="0.25">
      <c r="A12487" t="s">
        <v>2</v>
      </c>
      <c r="B12487" t="s">
        <v>3458</v>
      </c>
      <c r="C12487" t="s">
        <v>23490</v>
      </c>
      <c r="D12487" t="str">
        <f>HYPERLINK("https://rhld.insurance.arkansas.gov/NPILookup?Npi=1457456808","1457456808")</f>
        <v>1457456808</v>
      </c>
      <c r="E12487" t="s">
        <v>1616</v>
      </c>
    </row>
    <row r="12488" spans="1:5" x14ac:dyDescent="0.25">
      <c r="A12488" t="s">
        <v>2</v>
      </c>
      <c r="B12488" t="s">
        <v>3458</v>
      </c>
      <c r="C12488" t="s">
        <v>23490</v>
      </c>
      <c r="D12488" t="str">
        <f>HYPERLINK("https://rhld.insurance.arkansas.gov/NPILookup?Npi=1457459182","1457459182")</f>
        <v>1457459182</v>
      </c>
      <c r="E12488" t="s">
        <v>1617</v>
      </c>
    </row>
    <row r="12489" spans="1:5" x14ac:dyDescent="0.25">
      <c r="A12489" t="s">
        <v>2</v>
      </c>
      <c r="B12489" t="s">
        <v>3458</v>
      </c>
      <c r="C12489" t="s">
        <v>23490</v>
      </c>
      <c r="D12489" t="str">
        <f>HYPERLINK("https://rhld.insurance.arkansas.gov/NPILookup?Npi=1457461105","1457461105")</f>
        <v>1457461105</v>
      </c>
      <c r="E12489" t="s">
        <v>1618</v>
      </c>
    </row>
    <row r="12490" spans="1:5" x14ac:dyDescent="0.25">
      <c r="A12490" t="s">
        <v>2</v>
      </c>
      <c r="B12490" t="s">
        <v>3458</v>
      </c>
      <c r="C12490" t="s">
        <v>23490</v>
      </c>
      <c r="D12490" t="str">
        <f>HYPERLINK("https://rhld.insurance.arkansas.gov/NPILookup?Npi=1457463960","1457463960")</f>
        <v>1457463960</v>
      </c>
      <c r="E12490" t="s">
        <v>19738</v>
      </c>
    </row>
    <row r="12491" spans="1:5" x14ac:dyDescent="0.25">
      <c r="A12491" t="s">
        <v>2</v>
      </c>
      <c r="B12491" t="s">
        <v>3458</v>
      </c>
      <c r="C12491" t="s">
        <v>23490</v>
      </c>
      <c r="D12491" t="str">
        <f>HYPERLINK("https://rhld.insurance.arkansas.gov/NPILookup?Npi=1457485013","1457485013")</f>
        <v>1457485013</v>
      </c>
      <c r="E12491" t="s">
        <v>12845</v>
      </c>
    </row>
    <row r="12492" spans="1:5" x14ac:dyDescent="0.25">
      <c r="A12492" t="s">
        <v>2</v>
      </c>
      <c r="B12492" t="s">
        <v>3458</v>
      </c>
      <c r="C12492" t="s">
        <v>23490</v>
      </c>
      <c r="D12492" t="str">
        <f>HYPERLINK("https://rhld.insurance.arkansas.gov/NPILookup?Npi=1457494296","1457494296")</f>
        <v>1457494296</v>
      </c>
      <c r="E12492" t="s">
        <v>21736</v>
      </c>
    </row>
    <row r="12493" spans="1:5" x14ac:dyDescent="0.25">
      <c r="A12493" t="s">
        <v>2</v>
      </c>
      <c r="B12493" t="s">
        <v>3458</v>
      </c>
      <c r="C12493" t="s">
        <v>23490</v>
      </c>
      <c r="D12493" t="str">
        <f>HYPERLINK("https://rhld.insurance.arkansas.gov/NPILookup?Npi=1457505323","1457505323")</f>
        <v>1457505323</v>
      </c>
      <c r="E12493" t="s">
        <v>1619</v>
      </c>
    </row>
    <row r="12494" spans="1:5" x14ac:dyDescent="0.25">
      <c r="A12494" t="s">
        <v>2</v>
      </c>
      <c r="B12494" t="s">
        <v>3458</v>
      </c>
      <c r="C12494" t="s">
        <v>23490</v>
      </c>
      <c r="D12494" t="str">
        <f>HYPERLINK("https://rhld.insurance.arkansas.gov/NPILookup?Npi=1457518821","1457518821")</f>
        <v>1457518821</v>
      </c>
      <c r="E12494" t="s">
        <v>1620</v>
      </c>
    </row>
    <row r="12495" spans="1:5" x14ac:dyDescent="0.25">
      <c r="A12495" t="s">
        <v>2</v>
      </c>
      <c r="B12495" t="s">
        <v>3458</v>
      </c>
      <c r="C12495" t="s">
        <v>23490</v>
      </c>
      <c r="D12495" t="str">
        <f>HYPERLINK("https://rhld.insurance.arkansas.gov/NPILookup?Npi=1457525909","1457525909")</f>
        <v>1457525909</v>
      </c>
      <c r="E12495" t="s">
        <v>1621</v>
      </c>
    </row>
    <row r="12496" spans="1:5" x14ac:dyDescent="0.25">
      <c r="A12496" t="s">
        <v>2</v>
      </c>
      <c r="B12496" t="s">
        <v>3458</v>
      </c>
      <c r="C12496" t="s">
        <v>23490</v>
      </c>
      <c r="D12496" t="str">
        <f>HYPERLINK("https://rhld.insurance.arkansas.gov/NPILookup?Npi=1457529661","1457529661")</f>
        <v>1457529661</v>
      </c>
      <c r="E12496" t="s">
        <v>1622</v>
      </c>
    </row>
    <row r="12497" spans="1:5" x14ac:dyDescent="0.25">
      <c r="A12497" t="s">
        <v>2</v>
      </c>
      <c r="B12497" t="s">
        <v>3458</v>
      </c>
      <c r="C12497" t="s">
        <v>23490</v>
      </c>
      <c r="D12497" t="str">
        <f>HYPERLINK("https://rhld.insurance.arkansas.gov/NPILookup?Npi=1457533424","1457533424")</f>
        <v>1457533424</v>
      </c>
      <c r="E12497" t="s">
        <v>15150</v>
      </c>
    </row>
    <row r="12498" spans="1:5" x14ac:dyDescent="0.25">
      <c r="A12498" t="s">
        <v>2</v>
      </c>
      <c r="B12498" t="s">
        <v>3458</v>
      </c>
      <c r="C12498" t="s">
        <v>23490</v>
      </c>
      <c r="D12498" t="str">
        <f>HYPERLINK("https://rhld.insurance.arkansas.gov/NPILookup?Npi=1457555294","1457555294")</f>
        <v>1457555294</v>
      </c>
      <c r="E12498" t="s">
        <v>3739</v>
      </c>
    </row>
    <row r="12499" spans="1:5" x14ac:dyDescent="0.25">
      <c r="A12499" t="s">
        <v>2</v>
      </c>
      <c r="B12499" t="s">
        <v>3458</v>
      </c>
      <c r="C12499" t="s">
        <v>23490</v>
      </c>
      <c r="D12499" t="str">
        <f>HYPERLINK("https://rhld.insurance.arkansas.gov/NPILookup?Npi=1457557936","1457557936")</f>
        <v>1457557936</v>
      </c>
      <c r="E12499" t="s">
        <v>1624</v>
      </c>
    </row>
    <row r="12500" spans="1:5" x14ac:dyDescent="0.25">
      <c r="A12500" t="s">
        <v>2</v>
      </c>
      <c r="B12500" t="s">
        <v>3458</v>
      </c>
      <c r="C12500" t="s">
        <v>23490</v>
      </c>
      <c r="D12500" t="str">
        <f>HYPERLINK("https://rhld.insurance.arkansas.gov/NPILookup?Npi=1457584344","1457584344")</f>
        <v>1457584344</v>
      </c>
      <c r="E12500" t="s">
        <v>6197</v>
      </c>
    </row>
    <row r="12501" spans="1:5" x14ac:dyDescent="0.25">
      <c r="A12501" t="s">
        <v>2</v>
      </c>
      <c r="B12501" t="s">
        <v>3458</v>
      </c>
      <c r="C12501" t="s">
        <v>23490</v>
      </c>
      <c r="D12501" t="str">
        <f>HYPERLINK("https://rhld.insurance.arkansas.gov/NPILookup?Npi=1457596959","1457596959")</f>
        <v>1457596959</v>
      </c>
      <c r="E12501" t="s">
        <v>22937</v>
      </c>
    </row>
    <row r="12502" spans="1:5" x14ac:dyDescent="0.25">
      <c r="A12502" t="s">
        <v>2</v>
      </c>
      <c r="B12502" t="s">
        <v>3458</v>
      </c>
      <c r="C12502" t="s">
        <v>23490</v>
      </c>
      <c r="D12502" t="str">
        <f>HYPERLINK("https://rhld.insurance.arkansas.gov/NPILookup?Npi=1457600405","1457600405")</f>
        <v>1457600405</v>
      </c>
      <c r="E12502" t="s">
        <v>10942</v>
      </c>
    </row>
    <row r="12503" spans="1:5" x14ac:dyDescent="0.25">
      <c r="A12503" t="s">
        <v>2</v>
      </c>
      <c r="B12503" t="s">
        <v>3458</v>
      </c>
      <c r="C12503" t="s">
        <v>23490</v>
      </c>
      <c r="D12503" t="str">
        <f>HYPERLINK("https://rhld.insurance.arkansas.gov/NPILookup?Npi=1457610743","1457610743")</f>
        <v>1457610743</v>
      </c>
      <c r="E12503" t="s">
        <v>1626</v>
      </c>
    </row>
    <row r="12504" spans="1:5" x14ac:dyDescent="0.25">
      <c r="A12504" t="s">
        <v>2</v>
      </c>
      <c r="B12504" t="s">
        <v>3458</v>
      </c>
      <c r="C12504" t="s">
        <v>23490</v>
      </c>
      <c r="D12504" t="str">
        <f>HYPERLINK("https://rhld.insurance.arkansas.gov/NPILookup?Npi=1457641763","1457641763")</f>
        <v>1457641763</v>
      </c>
      <c r="E12504" t="s">
        <v>1628</v>
      </c>
    </row>
    <row r="12505" spans="1:5" x14ac:dyDescent="0.25">
      <c r="A12505" t="s">
        <v>2</v>
      </c>
      <c r="B12505" t="s">
        <v>3458</v>
      </c>
      <c r="C12505" t="s">
        <v>23490</v>
      </c>
      <c r="D12505" t="str">
        <f>HYPERLINK("https://rhld.insurance.arkansas.gov/NPILookup?Npi=1457642092","1457642092")</f>
        <v>1457642092</v>
      </c>
      <c r="E12505" t="s">
        <v>3740</v>
      </c>
    </row>
    <row r="12506" spans="1:5" x14ac:dyDescent="0.25">
      <c r="A12506" t="s">
        <v>2</v>
      </c>
      <c r="B12506" t="s">
        <v>3458</v>
      </c>
      <c r="C12506" t="s">
        <v>23490</v>
      </c>
      <c r="D12506" t="str">
        <f>HYPERLINK("https://rhld.insurance.arkansas.gov/NPILookup?Npi=1457647414","1457647414")</f>
        <v>1457647414</v>
      </c>
      <c r="E12506" t="s">
        <v>10944</v>
      </c>
    </row>
    <row r="12507" spans="1:5" x14ac:dyDescent="0.25">
      <c r="A12507" t="s">
        <v>2</v>
      </c>
      <c r="B12507" t="s">
        <v>3458</v>
      </c>
      <c r="C12507" t="s">
        <v>23490</v>
      </c>
      <c r="D12507" t="str">
        <f>HYPERLINK("https://rhld.insurance.arkansas.gov/NPILookup?Npi=1457650699","1457650699")</f>
        <v>1457650699</v>
      </c>
      <c r="E12507" t="s">
        <v>1629</v>
      </c>
    </row>
    <row r="12508" spans="1:5" x14ac:dyDescent="0.25">
      <c r="A12508" t="s">
        <v>2</v>
      </c>
      <c r="B12508" t="s">
        <v>3458</v>
      </c>
      <c r="C12508" t="s">
        <v>23490</v>
      </c>
      <c r="D12508" t="str">
        <f>HYPERLINK("https://rhld.insurance.arkansas.gov/NPILookup?Npi=1457664435","1457664435")</f>
        <v>1457664435</v>
      </c>
      <c r="E12508" t="s">
        <v>8684</v>
      </c>
    </row>
    <row r="12509" spans="1:5" x14ac:dyDescent="0.25">
      <c r="A12509" t="s">
        <v>2</v>
      </c>
      <c r="B12509" t="s">
        <v>3458</v>
      </c>
      <c r="C12509" t="s">
        <v>23490</v>
      </c>
      <c r="D12509" t="str">
        <f>HYPERLINK("https://rhld.insurance.arkansas.gov/NPILookup?Npi=1457678054","1457678054")</f>
        <v>1457678054</v>
      </c>
      <c r="E12509" t="s">
        <v>13543</v>
      </c>
    </row>
    <row r="12510" spans="1:5" x14ac:dyDescent="0.25">
      <c r="A12510" t="s">
        <v>2</v>
      </c>
      <c r="B12510" t="s">
        <v>3458</v>
      </c>
      <c r="C12510" t="s">
        <v>23490</v>
      </c>
      <c r="D12510" t="str">
        <f>HYPERLINK("https://rhld.insurance.arkansas.gov/NPILookup?Npi=1457690414","1457690414")</f>
        <v>1457690414</v>
      </c>
      <c r="E12510" t="s">
        <v>15152</v>
      </c>
    </row>
    <row r="12511" spans="1:5" x14ac:dyDescent="0.25">
      <c r="A12511" t="s">
        <v>2</v>
      </c>
      <c r="B12511" t="s">
        <v>3458</v>
      </c>
      <c r="C12511" t="s">
        <v>23490</v>
      </c>
      <c r="D12511" t="str">
        <f>HYPERLINK("https://rhld.insurance.arkansas.gov/NPILookup?Npi=1457706012","1457706012")</f>
        <v>1457706012</v>
      </c>
      <c r="E12511" t="s">
        <v>10945</v>
      </c>
    </row>
    <row r="12512" spans="1:5" x14ac:dyDescent="0.25">
      <c r="A12512" t="s">
        <v>2</v>
      </c>
      <c r="B12512" t="s">
        <v>3458</v>
      </c>
      <c r="C12512" t="s">
        <v>23490</v>
      </c>
      <c r="D12512" t="str">
        <f>HYPERLINK("https://rhld.insurance.arkansas.gov/NPILookup?Npi=1457707572","1457707572")</f>
        <v>1457707572</v>
      </c>
      <c r="E12512" t="s">
        <v>15153</v>
      </c>
    </row>
    <row r="12513" spans="1:5" x14ac:dyDescent="0.25">
      <c r="A12513" t="s">
        <v>2</v>
      </c>
      <c r="B12513" t="s">
        <v>3458</v>
      </c>
      <c r="C12513" t="s">
        <v>23490</v>
      </c>
      <c r="D12513" t="str">
        <f>HYPERLINK("https://rhld.insurance.arkansas.gov/NPILookup?Npi=1457714123","1457714123")</f>
        <v>1457714123</v>
      </c>
      <c r="E12513" t="s">
        <v>15862</v>
      </c>
    </row>
    <row r="12514" spans="1:5" x14ac:dyDescent="0.25">
      <c r="A12514" t="s">
        <v>2</v>
      </c>
      <c r="B12514" t="s">
        <v>3458</v>
      </c>
      <c r="C12514" t="s">
        <v>23490</v>
      </c>
      <c r="D12514" t="str">
        <f>HYPERLINK("https://rhld.insurance.arkansas.gov/NPILookup?Npi=1457721359","1457721359")</f>
        <v>1457721359</v>
      </c>
      <c r="E12514" t="s">
        <v>1630</v>
      </c>
    </row>
    <row r="12515" spans="1:5" x14ac:dyDescent="0.25">
      <c r="A12515" t="s">
        <v>2</v>
      </c>
      <c r="B12515" t="s">
        <v>3458</v>
      </c>
      <c r="C12515" t="s">
        <v>23490</v>
      </c>
      <c r="D12515" t="str">
        <f>HYPERLINK("https://rhld.insurance.arkansas.gov/NPILookup?Npi=1457733875","1457733875")</f>
        <v>1457733875</v>
      </c>
      <c r="E12515" t="s">
        <v>1631</v>
      </c>
    </row>
    <row r="12516" spans="1:5" x14ac:dyDescent="0.25">
      <c r="A12516" t="s">
        <v>2</v>
      </c>
      <c r="B12516" t="s">
        <v>3458</v>
      </c>
      <c r="C12516" t="s">
        <v>23490</v>
      </c>
      <c r="D12516" t="str">
        <f>HYPERLINK("https://rhld.insurance.arkansas.gov/NPILookup?Npi=1457747297","1457747297")</f>
        <v>1457747297</v>
      </c>
      <c r="E12516" t="s">
        <v>13545</v>
      </c>
    </row>
    <row r="12517" spans="1:5" x14ac:dyDescent="0.25">
      <c r="A12517" t="s">
        <v>2</v>
      </c>
      <c r="B12517" t="s">
        <v>3458</v>
      </c>
      <c r="C12517" t="s">
        <v>23490</v>
      </c>
      <c r="D12517" t="str">
        <f>HYPERLINK("https://rhld.insurance.arkansas.gov/NPILookup?Npi=1457751182","1457751182")</f>
        <v>1457751182</v>
      </c>
      <c r="E12517" t="s">
        <v>1632</v>
      </c>
    </row>
    <row r="12518" spans="1:5" x14ac:dyDescent="0.25">
      <c r="A12518" t="s">
        <v>2</v>
      </c>
      <c r="B12518" t="s">
        <v>3458</v>
      </c>
      <c r="C12518" t="s">
        <v>23490</v>
      </c>
      <c r="D12518" t="str">
        <f>HYPERLINK("https://rhld.insurance.arkansas.gov/NPILookup?Npi=1457768533","1457768533")</f>
        <v>1457768533</v>
      </c>
      <c r="E12518" t="s">
        <v>20247</v>
      </c>
    </row>
    <row r="12519" spans="1:5" x14ac:dyDescent="0.25">
      <c r="A12519" t="s">
        <v>2</v>
      </c>
      <c r="B12519" t="s">
        <v>3458</v>
      </c>
      <c r="C12519" t="s">
        <v>23490</v>
      </c>
      <c r="D12519" t="str">
        <f>HYPERLINK("https://rhld.insurance.arkansas.gov/NPILookup?Npi=1457787400","1457787400")</f>
        <v>1457787400</v>
      </c>
      <c r="E12519" t="s">
        <v>1633</v>
      </c>
    </row>
    <row r="12520" spans="1:5" x14ac:dyDescent="0.25">
      <c r="A12520" t="s">
        <v>2</v>
      </c>
      <c r="B12520" t="s">
        <v>3458</v>
      </c>
      <c r="C12520" t="s">
        <v>23490</v>
      </c>
      <c r="D12520" t="str">
        <f>HYPERLINK("https://rhld.insurance.arkansas.gov/NPILookup?Npi=1457787426","1457787426")</f>
        <v>1457787426</v>
      </c>
      <c r="E12520" t="s">
        <v>1634</v>
      </c>
    </row>
    <row r="12521" spans="1:5" x14ac:dyDescent="0.25">
      <c r="A12521" t="s">
        <v>2</v>
      </c>
      <c r="B12521" t="s">
        <v>3458</v>
      </c>
      <c r="C12521" t="s">
        <v>23490</v>
      </c>
      <c r="D12521" t="str">
        <f>HYPERLINK("https://rhld.insurance.arkansas.gov/NPILookup?Npi=1457797839","1457797839")</f>
        <v>1457797839</v>
      </c>
      <c r="E12521" t="s">
        <v>10948</v>
      </c>
    </row>
    <row r="12522" spans="1:5" x14ac:dyDescent="0.25">
      <c r="A12522" t="s">
        <v>2</v>
      </c>
      <c r="B12522" t="s">
        <v>3458</v>
      </c>
      <c r="C12522" t="s">
        <v>23490</v>
      </c>
      <c r="D12522" t="str">
        <f>HYPERLINK("https://rhld.insurance.arkansas.gov/NPILookup?Npi=1457801342","1457801342")</f>
        <v>1457801342</v>
      </c>
      <c r="E12522" t="s">
        <v>23018</v>
      </c>
    </row>
    <row r="12523" spans="1:5" x14ac:dyDescent="0.25">
      <c r="A12523" t="s">
        <v>2</v>
      </c>
      <c r="B12523" t="s">
        <v>3458</v>
      </c>
      <c r="C12523" t="s">
        <v>23490</v>
      </c>
      <c r="D12523" t="str">
        <f>HYPERLINK("https://rhld.insurance.arkansas.gov/NPILookup?Npi=1457801797","1457801797")</f>
        <v>1457801797</v>
      </c>
      <c r="E12523" t="s">
        <v>10949</v>
      </c>
    </row>
    <row r="12524" spans="1:5" x14ac:dyDescent="0.25">
      <c r="A12524" t="s">
        <v>2</v>
      </c>
      <c r="B12524" t="s">
        <v>3458</v>
      </c>
      <c r="C12524" t="s">
        <v>23490</v>
      </c>
      <c r="D12524" t="str">
        <f>HYPERLINK("https://rhld.insurance.arkansas.gov/NPILookup?Npi=1457801904","1457801904")</f>
        <v>1457801904</v>
      </c>
      <c r="E12524" t="s">
        <v>10950</v>
      </c>
    </row>
    <row r="12525" spans="1:5" x14ac:dyDescent="0.25">
      <c r="A12525" t="s">
        <v>2</v>
      </c>
      <c r="B12525" t="s">
        <v>3458</v>
      </c>
      <c r="C12525" t="s">
        <v>23490</v>
      </c>
      <c r="D12525" t="str">
        <f>HYPERLINK("https://rhld.insurance.arkansas.gov/NPILookup?Npi=1457803363","1457803363")</f>
        <v>1457803363</v>
      </c>
      <c r="E12525" t="s">
        <v>15154</v>
      </c>
    </row>
    <row r="12526" spans="1:5" x14ac:dyDescent="0.25">
      <c r="A12526" t="s">
        <v>2</v>
      </c>
      <c r="B12526" t="s">
        <v>3458</v>
      </c>
      <c r="C12526" t="s">
        <v>23490</v>
      </c>
      <c r="D12526" t="str">
        <f>HYPERLINK("https://rhld.insurance.arkansas.gov/NPILookup?Npi=1457809501","1457809501")</f>
        <v>1457809501</v>
      </c>
      <c r="E12526" t="s">
        <v>15155</v>
      </c>
    </row>
    <row r="12527" spans="1:5" x14ac:dyDescent="0.25">
      <c r="A12527" t="s">
        <v>2</v>
      </c>
      <c r="B12527" t="s">
        <v>3458</v>
      </c>
      <c r="C12527" t="s">
        <v>23490</v>
      </c>
      <c r="D12527" t="str">
        <f>HYPERLINK("https://rhld.insurance.arkansas.gov/NPILookup?Npi=1457811390","1457811390")</f>
        <v>1457811390</v>
      </c>
      <c r="E12527" t="s">
        <v>21737</v>
      </c>
    </row>
    <row r="12528" spans="1:5" x14ac:dyDescent="0.25">
      <c r="A12528" t="s">
        <v>2</v>
      </c>
      <c r="B12528" t="s">
        <v>3458</v>
      </c>
      <c r="C12528" t="s">
        <v>23490</v>
      </c>
      <c r="D12528" t="str">
        <f>HYPERLINK("https://rhld.insurance.arkansas.gov/NPILookup?Npi=1457813933","1457813933")</f>
        <v>1457813933</v>
      </c>
      <c r="E12528" t="s">
        <v>21738</v>
      </c>
    </row>
    <row r="12529" spans="1:5" x14ac:dyDescent="0.25">
      <c r="A12529" t="s">
        <v>2</v>
      </c>
      <c r="B12529" t="s">
        <v>3458</v>
      </c>
      <c r="C12529" t="s">
        <v>23490</v>
      </c>
      <c r="D12529" t="str">
        <f>HYPERLINK("https://rhld.insurance.arkansas.gov/NPILookup?Npi=1457815755","1457815755")</f>
        <v>1457815755</v>
      </c>
      <c r="E12529" t="s">
        <v>13547</v>
      </c>
    </row>
    <row r="12530" spans="1:5" x14ac:dyDescent="0.25">
      <c r="A12530" t="s">
        <v>2</v>
      </c>
      <c r="B12530" t="s">
        <v>3458</v>
      </c>
      <c r="C12530" t="s">
        <v>23490</v>
      </c>
      <c r="D12530" t="str">
        <f>HYPERLINK("https://rhld.insurance.arkansas.gov/NPILookup?Npi=1457818452","1457818452")</f>
        <v>1457818452</v>
      </c>
      <c r="E12530" t="s">
        <v>15157</v>
      </c>
    </row>
    <row r="12531" spans="1:5" x14ac:dyDescent="0.25">
      <c r="A12531" t="s">
        <v>2</v>
      </c>
      <c r="B12531" t="s">
        <v>3458</v>
      </c>
      <c r="C12531" t="s">
        <v>23490</v>
      </c>
      <c r="D12531" t="str">
        <f>HYPERLINK("https://rhld.insurance.arkansas.gov/NPILookup?Npi=1457850372","1457850372")</f>
        <v>1457850372</v>
      </c>
      <c r="E12531" t="s">
        <v>12846</v>
      </c>
    </row>
    <row r="12532" spans="1:5" x14ac:dyDescent="0.25">
      <c r="A12532" t="s">
        <v>2</v>
      </c>
      <c r="B12532" t="s">
        <v>3458</v>
      </c>
      <c r="C12532" t="s">
        <v>23490</v>
      </c>
      <c r="D12532" t="str">
        <f>HYPERLINK("https://rhld.insurance.arkansas.gov/NPILookup?Npi=1457874208","1457874208")</f>
        <v>1457874208</v>
      </c>
      <c r="E12532" t="s">
        <v>10952</v>
      </c>
    </row>
    <row r="12533" spans="1:5" x14ac:dyDescent="0.25">
      <c r="A12533" t="s">
        <v>2</v>
      </c>
      <c r="B12533" t="s">
        <v>3458</v>
      </c>
      <c r="C12533" t="s">
        <v>23490</v>
      </c>
      <c r="D12533" t="str">
        <f>HYPERLINK("https://rhld.insurance.arkansas.gov/NPILookup?Npi=1457885543","1457885543")</f>
        <v>1457885543</v>
      </c>
      <c r="E12533" t="s">
        <v>15863</v>
      </c>
    </row>
    <row r="12534" spans="1:5" x14ac:dyDescent="0.25">
      <c r="A12534" t="s">
        <v>2</v>
      </c>
      <c r="B12534" t="s">
        <v>3458</v>
      </c>
      <c r="C12534" t="s">
        <v>23490</v>
      </c>
      <c r="D12534" t="str">
        <f>HYPERLINK("https://rhld.insurance.arkansas.gov/NPILookup?Npi=1457899338","1457899338")</f>
        <v>1457899338</v>
      </c>
      <c r="E12534" t="s">
        <v>10953</v>
      </c>
    </row>
    <row r="12535" spans="1:5" x14ac:dyDescent="0.25">
      <c r="A12535" t="s">
        <v>2</v>
      </c>
      <c r="B12535" t="s">
        <v>3458</v>
      </c>
      <c r="C12535" t="s">
        <v>23490</v>
      </c>
      <c r="D12535" t="str">
        <f>HYPERLINK("https://rhld.insurance.arkansas.gov/NPILookup?Npi=1457906653","1457906653")</f>
        <v>1457906653</v>
      </c>
      <c r="E12535" t="s">
        <v>18780</v>
      </c>
    </row>
    <row r="12536" spans="1:5" x14ac:dyDescent="0.25">
      <c r="A12536" t="s">
        <v>2</v>
      </c>
      <c r="B12536" t="s">
        <v>3458</v>
      </c>
      <c r="C12536" t="s">
        <v>23490</v>
      </c>
      <c r="D12536" t="str">
        <f>HYPERLINK("https://rhld.insurance.arkansas.gov/NPILookup?Npi=1457924086","1457924086")</f>
        <v>1457924086</v>
      </c>
      <c r="E12536" t="s">
        <v>18781</v>
      </c>
    </row>
    <row r="12537" spans="1:5" x14ac:dyDescent="0.25">
      <c r="A12537" t="s">
        <v>2</v>
      </c>
      <c r="B12537" t="s">
        <v>3458</v>
      </c>
      <c r="C12537" t="s">
        <v>23490</v>
      </c>
      <c r="D12537" t="str">
        <f>HYPERLINK("https://rhld.insurance.arkansas.gov/NPILookup?Npi=1457930497","1457930497")</f>
        <v>1457930497</v>
      </c>
      <c r="E12537" t="s">
        <v>19742</v>
      </c>
    </row>
    <row r="12538" spans="1:5" x14ac:dyDescent="0.25">
      <c r="A12538" t="s">
        <v>2</v>
      </c>
      <c r="B12538" t="s">
        <v>3458</v>
      </c>
      <c r="C12538" t="s">
        <v>23490</v>
      </c>
      <c r="D12538" t="str">
        <f>HYPERLINK("https://rhld.insurance.arkansas.gov/NPILookup?Npi=1457935074","1457935074")</f>
        <v>1457935074</v>
      </c>
      <c r="E12538" t="s">
        <v>19743</v>
      </c>
    </row>
    <row r="12539" spans="1:5" x14ac:dyDescent="0.25">
      <c r="A12539" t="s">
        <v>2</v>
      </c>
      <c r="B12539" t="s">
        <v>3458</v>
      </c>
      <c r="C12539" t="s">
        <v>23490</v>
      </c>
      <c r="D12539" t="str">
        <f>HYPERLINK("https://rhld.insurance.arkansas.gov/NPILookup?Npi=1457958233","1457958233")</f>
        <v>1457958233</v>
      </c>
      <c r="E12539" t="s">
        <v>18782</v>
      </c>
    </row>
    <row r="12540" spans="1:5" x14ac:dyDescent="0.25">
      <c r="A12540" t="s">
        <v>2</v>
      </c>
      <c r="B12540" t="s">
        <v>3458</v>
      </c>
      <c r="C12540" t="s">
        <v>23490</v>
      </c>
      <c r="D12540" t="str">
        <f>HYPERLINK("https://rhld.insurance.arkansas.gov/NPILookup?Npi=1457978173","1457978173")</f>
        <v>1457978173</v>
      </c>
      <c r="E12540" t="s">
        <v>19228</v>
      </c>
    </row>
    <row r="12541" spans="1:5" x14ac:dyDescent="0.25">
      <c r="A12541" t="s">
        <v>2</v>
      </c>
      <c r="B12541" t="s">
        <v>3458</v>
      </c>
      <c r="C12541" t="s">
        <v>23490</v>
      </c>
      <c r="D12541" t="str">
        <f>HYPERLINK("https://rhld.insurance.arkansas.gov/NPILookup?Npi=1467011239","1467011239")</f>
        <v>1467011239</v>
      </c>
      <c r="E12541" t="s">
        <v>18783</v>
      </c>
    </row>
    <row r="12542" spans="1:5" x14ac:dyDescent="0.25">
      <c r="A12542" t="s">
        <v>2</v>
      </c>
      <c r="B12542" t="s">
        <v>3458</v>
      </c>
      <c r="C12542" t="s">
        <v>23490</v>
      </c>
      <c r="D12542" t="str">
        <f>HYPERLINK("https://rhld.insurance.arkansas.gov/NPILookup?Npi=1467020529","1467020529")</f>
        <v>1467020529</v>
      </c>
      <c r="E12542" t="s">
        <v>18784</v>
      </c>
    </row>
    <row r="12543" spans="1:5" x14ac:dyDescent="0.25">
      <c r="A12543" t="s">
        <v>2</v>
      </c>
      <c r="B12543" t="s">
        <v>3458</v>
      </c>
      <c r="C12543" t="s">
        <v>23490</v>
      </c>
      <c r="D12543" t="str">
        <f>HYPERLINK("https://rhld.insurance.arkansas.gov/NPILookup?Npi=1467022723","1467022723")</f>
        <v>1467022723</v>
      </c>
      <c r="E12543" t="s">
        <v>18785</v>
      </c>
    </row>
    <row r="12544" spans="1:5" x14ac:dyDescent="0.25">
      <c r="A12544" t="s">
        <v>2</v>
      </c>
      <c r="B12544" t="s">
        <v>3458</v>
      </c>
      <c r="C12544" t="s">
        <v>23490</v>
      </c>
      <c r="D12544" t="str">
        <f>HYPERLINK("https://rhld.insurance.arkansas.gov/NPILookup?Npi=1467040394","1467040394")</f>
        <v>1467040394</v>
      </c>
      <c r="E12544" t="s">
        <v>17991</v>
      </c>
    </row>
    <row r="12545" spans="1:5" x14ac:dyDescent="0.25">
      <c r="A12545" t="s">
        <v>2</v>
      </c>
      <c r="B12545" t="s">
        <v>3458</v>
      </c>
      <c r="C12545" t="s">
        <v>23490</v>
      </c>
      <c r="D12545" t="str">
        <f>HYPERLINK("https://rhld.insurance.arkansas.gov/NPILookup?Npi=1467040923","1467040923")</f>
        <v>1467040923</v>
      </c>
      <c r="E12545" t="s">
        <v>17992</v>
      </c>
    </row>
    <row r="12546" spans="1:5" x14ac:dyDescent="0.25">
      <c r="A12546" t="s">
        <v>2</v>
      </c>
      <c r="B12546" t="s">
        <v>3458</v>
      </c>
      <c r="C12546" t="s">
        <v>23490</v>
      </c>
      <c r="D12546" t="str">
        <f>HYPERLINK("https://rhld.insurance.arkansas.gov/NPILookup?Npi=1467041046","1467041046")</f>
        <v>1467041046</v>
      </c>
      <c r="E12546" t="s">
        <v>17993</v>
      </c>
    </row>
    <row r="12547" spans="1:5" x14ac:dyDescent="0.25">
      <c r="A12547" t="s">
        <v>2</v>
      </c>
      <c r="B12547" t="s">
        <v>3458</v>
      </c>
      <c r="C12547" t="s">
        <v>23490</v>
      </c>
      <c r="D12547" t="str">
        <f>HYPERLINK("https://rhld.insurance.arkansas.gov/NPILookup?Npi=1467043026","1467043026")</f>
        <v>1467043026</v>
      </c>
      <c r="E12547" t="s">
        <v>18786</v>
      </c>
    </row>
    <row r="12548" spans="1:5" x14ac:dyDescent="0.25">
      <c r="A12548" t="s">
        <v>2</v>
      </c>
      <c r="B12548" t="s">
        <v>3458</v>
      </c>
      <c r="C12548" t="s">
        <v>23490</v>
      </c>
      <c r="D12548" t="str">
        <f>HYPERLINK("https://rhld.insurance.arkansas.gov/NPILookup?Npi=1467043224","1467043224")</f>
        <v>1467043224</v>
      </c>
      <c r="E12548" t="s">
        <v>17994</v>
      </c>
    </row>
    <row r="12549" spans="1:5" x14ac:dyDescent="0.25">
      <c r="A12549" t="s">
        <v>2</v>
      </c>
      <c r="B12549" t="s">
        <v>3458</v>
      </c>
      <c r="C12549" t="s">
        <v>23490</v>
      </c>
      <c r="D12549" t="str">
        <f>HYPERLINK("https://rhld.insurance.arkansas.gov/NPILookup?Npi=1467051029","1467051029")</f>
        <v>1467051029</v>
      </c>
      <c r="E12549" t="s">
        <v>18787</v>
      </c>
    </row>
    <row r="12550" spans="1:5" x14ac:dyDescent="0.25">
      <c r="A12550" t="s">
        <v>2</v>
      </c>
      <c r="B12550" t="s">
        <v>3458</v>
      </c>
      <c r="C12550" t="s">
        <v>23490</v>
      </c>
      <c r="D12550" t="str">
        <f>HYPERLINK("https://rhld.insurance.arkansas.gov/NPILookup?Npi=1467063792","1467063792")</f>
        <v>1467063792</v>
      </c>
      <c r="E12550" t="s">
        <v>22938</v>
      </c>
    </row>
    <row r="12551" spans="1:5" x14ac:dyDescent="0.25">
      <c r="A12551" t="s">
        <v>2</v>
      </c>
      <c r="B12551" t="s">
        <v>3458</v>
      </c>
      <c r="C12551" t="s">
        <v>8427</v>
      </c>
      <c r="D12551" t="str">
        <f>HYPERLINK("https://rhld.insurance.arkansas.gov/NPILookup?Npi=1467071902","1467071902")</f>
        <v>1467071902</v>
      </c>
      <c r="E12551" t="s">
        <v>22939</v>
      </c>
    </row>
    <row r="12552" spans="1:5" x14ac:dyDescent="0.25">
      <c r="A12552" t="s">
        <v>2</v>
      </c>
      <c r="B12552" t="s">
        <v>3458</v>
      </c>
      <c r="C12552" t="s">
        <v>23490</v>
      </c>
      <c r="D12552" t="str">
        <f>HYPERLINK("https://rhld.insurance.arkansas.gov/NPILookup?Npi=1467081000","1467081000")</f>
        <v>1467081000</v>
      </c>
      <c r="E12552" t="s">
        <v>17997</v>
      </c>
    </row>
    <row r="12553" spans="1:5" x14ac:dyDescent="0.25">
      <c r="A12553" t="s">
        <v>2</v>
      </c>
      <c r="B12553" t="s">
        <v>3458</v>
      </c>
      <c r="C12553" t="s">
        <v>23490</v>
      </c>
      <c r="D12553" t="str">
        <f>HYPERLINK("https://rhld.insurance.arkansas.gov/NPILookup?Npi=1467088690","1467088690")</f>
        <v>1467088690</v>
      </c>
      <c r="E12553" t="s">
        <v>17998</v>
      </c>
    </row>
    <row r="12554" spans="1:5" x14ac:dyDescent="0.25">
      <c r="A12554" t="s">
        <v>2</v>
      </c>
      <c r="B12554" t="s">
        <v>3458</v>
      </c>
      <c r="C12554" t="s">
        <v>23490</v>
      </c>
      <c r="D12554" t="str">
        <f>HYPERLINK("https://rhld.insurance.arkansas.gov/NPILookup?Npi=1467106971","1467106971")</f>
        <v>1467106971</v>
      </c>
      <c r="E12554" t="s">
        <v>20944</v>
      </c>
    </row>
    <row r="12555" spans="1:5" x14ac:dyDescent="0.25">
      <c r="A12555" t="s">
        <v>2</v>
      </c>
      <c r="B12555" t="s">
        <v>3458</v>
      </c>
      <c r="C12555" t="s">
        <v>23490</v>
      </c>
      <c r="D12555" t="str">
        <f>HYPERLINK("https://rhld.insurance.arkansas.gov/NPILookup?Npi=1467151902","1467151902")</f>
        <v>1467151902</v>
      </c>
      <c r="E12555" t="s">
        <v>21551</v>
      </c>
    </row>
    <row r="12556" spans="1:5" x14ac:dyDescent="0.25">
      <c r="A12556" t="s">
        <v>2</v>
      </c>
      <c r="B12556" t="s">
        <v>3458</v>
      </c>
      <c r="C12556" t="s">
        <v>23490</v>
      </c>
      <c r="D12556" t="str">
        <f>HYPERLINK("https://rhld.insurance.arkansas.gov/NPILookup?Npi=1467400549","1467400549")</f>
        <v>1467400549</v>
      </c>
      <c r="E12556" t="s">
        <v>1635</v>
      </c>
    </row>
    <row r="12557" spans="1:5" x14ac:dyDescent="0.25">
      <c r="A12557" t="s">
        <v>2</v>
      </c>
      <c r="B12557" t="s">
        <v>3458</v>
      </c>
      <c r="C12557" t="s">
        <v>23490</v>
      </c>
      <c r="D12557" t="str">
        <f>HYPERLINK("https://rhld.insurance.arkansas.gov/NPILookup?Npi=1467410241","1467410241")</f>
        <v>1467410241</v>
      </c>
      <c r="E12557" t="s">
        <v>3741</v>
      </c>
    </row>
    <row r="12558" spans="1:5" x14ac:dyDescent="0.25">
      <c r="A12558" t="s">
        <v>2</v>
      </c>
      <c r="B12558" t="s">
        <v>3458</v>
      </c>
      <c r="C12558" t="s">
        <v>23490</v>
      </c>
      <c r="D12558" t="str">
        <f>HYPERLINK("https://rhld.insurance.arkansas.gov/NPILookup?Npi=1467416149","1467416149")</f>
        <v>1467416149</v>
      </c>
      <c r="E12558" t="s">
        <v>1637</v>
      </c>
    </row>
    <row r="12559" spans="1:5" x14ac:dyDescent="0.25">
      <c r="A12559" t="s">
        <v>2</v>
      </c>
      <c r="B12559" t="s">
        <v>3458</v>
      </c>
      <c r="C12559" t="s">
        <v>23490</v>
      </c>
      <c r="D12559" t="str">
        <f>HYPERLINK("https://rhld.insurance.arkansas.gov/NPILookup?Npi=1467419036","1467419036")</f>
        <v>1467419036</v>
      </c>
      <c r="E12559" t="s">
        <v>1638</v>
      </c>
    </row>
    <row r="12560" spans="1:5" x14ac:dyDescent="0.25">
      <c r="A12560" t="s">
        <v>2</v>
      </c>
      <c r="B12560" t="s">
        <v>3458</v>
      </c>
      <c r="C12560" t="s">
        <v>23490</v>
      </c>
      <c r="D12560" t="str">
        <f>HYPERLINK("https://rhld.insurance.arkansas.gov/NPILookup?Npi=1467420570","1467420570")</f>
        <v>1467420570</v>
      </c>
      <c r="E12560" t="s">
        <v>1639</v>
      </c>
    </row>
    <row r="12561" spans="1:5" x14ac:dyDescent="0.25">
      <c r="A12561" t="s">
        <v>2</v>
      </c>
      <c r="B12561" t="s">
        <v>3458</v>
      </c>
      <c r="C12561" t="s">
        <v>23490</v>
      </c>
      <c r="D12561" t="str">
        <f>HYPERLINK("https://rhld.insurance.arkansas.gov/NPILookup?Npi=1467421099","1467421099")</f>
        <v>1467421099</v>
      </c>
      <c r="E12561" t="s">
        <v>3742</v>
      </c>
    </row>
    <row r="12562" spans="1:5" x14ac:dyDescent="0.25">
      <c r="A12562" t="s">
        <v>2</v>
      </c>
      <c r="B12562" t="s">
        <v>3458</v>
      </c>
      <c r="C12562" t="s">
        <v>23490</v>
      </c>
      <c r="D12562" t="str">
        <f>HYPERLINK("https://rhld.insurance.arkansas.gov/NPILookup?Npi=1467422766","1467422766")</f>
        <v>1467422766</v>
      </c>
      <c r="E12562" t="s">
        <v>1640</v>
      </c>
    </row>
    <row r="12563" spans="1:5" x14ac:dyDescent="0.25">
      <c r="A12563" t="s">
        <v>2</v>
      </c>
      <c r="B12563" t="s">
        <v>3458</v>
      </c>
      <c r="C12563" t="s">
        <v>23490</v>
      </c>
      <c r="D12563" t="str">
        <f>HYPERLINK("https://rhld.insurance.arkansas.gov/NPILookup?Npi=1467428441","1467428441")</f>
        <v>1467428441</v>
      </c>
      <c r="E12563" t="s">
        <v>1642</v>
      </c>
    </row>
    <row r="12564" spans="1:5" x14ac:dyDescent="0.25">
      <c r="A12564" t="s">
        <v>2</v>
      </c>
      <c r="B12564" t="s">
        <v>3458</v>
      </c>
      <c r="C12564" t="s">
        <v>23490</v>
      </c>
      <c r="D12564" t="str">
        <f>HYPERLINK("https://rhld.insurance.arkansas.gov/NPILookup?Npi=1467428847","1467428847")</f>
        <v>1467428847</v>
      </c>
      <c r="E12564" t="s">
        <v>1643</v>
      </c>
    </row>
    <row r="12565" spans="1:5" x14ac:dyDescent="0.25">
      <c r="A12565" t="s">
        <v>2</v>
      </c>
      <c r="B12565" t="s">
        <v>3458</v>
      </c>
      <c r="C12565" t="s">
        <v>23490</v>
      </c>
      <c r="D12565" t="str">
        <f>HYPERLINK("https://rhld.insurance.arkansas.gov/NPILookup?Npi=1467436725","1467436725")</f>
        <v>1467436725</v>
      </c>
      <c r="E12565" t="s">
        <v>1645</v>
      </c>
    </row>
    <row r="12566" spans="1:5" x14ac:dyDescent="0.25">
      <c r="A12566" t="s">
        <v>2</v>
      </c>
      <c r="B12566" t="s">
        <v>3458</v>
      </c>
      <c r="C12566" t="s">
        <v>23490</v>
      </c>
      <c r="D12566" t="str">
        <f>HYPERLINK("https://rhld.insurance.arkansas.gov/NPILookup?Npi=1467436758","1467436758")</f>
        <v>1467436758</v>
      </c>
      <c r="E12566" t="s">
        <v>1646</v>
      </c>
    </row>
    <row r="12567" spans="1:5" x14ac:dyDescent="0.25">
      <c r="A12567" t="s">
        <v>2</v>
      </c>
      <c r="B12567" t="s">
        <v>3458</v>
      </c>
      <c r="C12567" t="s">
        <v>23490</v>
      </c>
      <c r="D12567" t="str">
        <f>HYPERLINK("https://rhld.insurance.arkansas.gov/NPILookup?Npi=1467446716","1467446716")</f>
        <v>1467446716</v>
      </c>
      <c r="E12567" t="s">
        <v>3743</v>
      </c>
    </row>
    <row r="12568" spans="1:5" x14ac:dyDescent="0.25">
      <c r="A12568" t="s">
        <v>2</v>
      </c>
      <c r="B12568" t="s">
        <v>3458</v>
      </c>
      <c r="C12568" t="s">
        <v>23490</v>
      </c>
      <c r="D12568" t="str">
        <f>HYPERLINK("https://rhld.insurance.arkansas.gov/NPILookup?Npi=1467448837","1467448837")</f>
        <v>1467448837</v>
      </c>
      <c r="E12568" t="s">
        <v>1647</v>
      </c>
    </row>
    <row r="12569" spans="1:5" x14ac:dyDescent="0.25">
      <c r="A12569" t="s">
        <v>2</v>
      </c>
      <c r="B12569" t="s">
        <v>3458</v>
      </c>
      <c r="C12569" t="s">
        <v>23490</v>
      </c>
      <c r="D12569" t="str">
        <f>HYPERLINK("https://rhld.insurance.arkansas.gov/NPILookup?Npi=1467455287","1467455287")</f>
        <v>1467455287</v>
      </c>
      <c r="E12569" t="s">
        <v>15159</v>
      </c>
    </row>
    <row r="12570" spans="1:5" x14ac:dyDescent="0.25">
      <c r="A12570" t="s">
        <v>2</v>
      </c>
      <c r="B12570" t="s">
        <v>3458</v>
      </c>
      <c r="C12570" t="s">
        <v>23490</v>
      </c>
      <c r="D12570" t="str">
        <f>HYPERLINK("https://rhld.insurance.arkansas.gov/NPILookup?Npi=1467458539","1467458539")</f>
        <v>1467458539</v>
      </c>
      <c r="E12570" t="s">
        <v>8685</v>
      </c>
    </row>
    <row r="12571" spans="1:5" x14ac:dyDescent="0.25">
      <c r="A12571" t="s">
        <v>2</v>
      </c>
      <c r="B12571" t="s">
        <v>3458</v>
      </c>
      <c r="C12571" t="s">
        <v>23490</v>
      </c>
      <c r="D12571" t="str">
        <f>HYPERLINK("https://rhld.insurance.arkansas.gov/NPILookup?Npi=1467459149","1467459149")</f>
        <v>1467459149</v>
      </c>
      <c r="E12571" t="s">
        <v>1648</v>
      </c>
    </row>
    <row r="12572" spans="1:5" x14ac:dyDescent="0.25">
      <c r="A12572" t="s">
        <v>2</v>
      </c>
      <c r="B12572" t="s">
        <v>3458</v>
      </c>
      <c r="C12572" t="s">
        <v>23490</v>
      </c>
      <c r="D12572" t="str">
        <f>HYPERLINK("https://rhld.insurance.arkansas.gov/NPILookup?Npi=1467459370","1467459370")</f>
        <v>1467459370</v>
      </c>
      <c r="E12572" t="s">
        <v>1649</v>
      </c>
    </row>
    <row r="12573" spans="1:5" x14ac:dyDescent="0.25">
      <c r="A12573" t="s">
        <v>2</v>
      </c>
      <c r="B12573" t="s">
        <v>3458</v>
      </c>
      <c r="C12573" t="s">
        <v>23490</v>
      </c>
      <c r="D12573" t="str">
        <f>HYPERLINK("https://rhld.insurance.arkansas.gov/NPILookup?Npi=1467461764","1467461764")</f>
        <v>1467461764</v>
      </c>
      <c r="E12573" t="s">
        <v>3744</v>
      </c>
    </row>
    <row r="12574" spans="1:5" x14ac:dyDescent="0.25">
      <c r="A12574" t="s">
        <v>2</v>
      </c>
      <c r="B12574" t="s">
        <v>3458</v>
      </c>
      <c r="C12574" t="s">
        <v>23490</v>
      </c>
      <c r="D12574" t="str">
        <f>HYPERLINK("https://rhld.insurance.arkansas.gov/NPILookup?Npi=1467466136","1467466136")</f>
        <v>1467466136</v>
      </c>
      <c r="E12574" t="s">
        <v>1650</v>
      </c>
    </row>
    <row r="12575" spans="1:5" x14ac:dyDescent="0.25">
      <c r="A12575" t="s">
        <v>2</v>
      </c>
      <c r="B12575" t="s">
        <v>3458</v>
      </c>
      <c r="C12575" t="s">
        <v>23490</v>
      </c>
      <c r="D12575" t="str">
        <f>HYPERLINK("https://rhld.insurance.arkansas.gov/NPILookup?Npi=1467469775","1467469775")</f>
        <v>1467469775</v>
      </c>
      <c r="E12575" t="s">
        <v>1651</v>
      </c>
    </row>
    <row r="12576" spans="1:5" x14ac:dyDescent="0.25">
      <c r="A12576" t="s">
        <v>2</v>
      </c>
      <c r="B12576" t="s">
        <v>3458</v>
      </c>
      <c r="C12576" t="s">
        <v>23490</v>
      </c>
      <c r="D12576" t="str">
        <f>HYPERLINK("https://rhld.insurance.arkansas.gov/NPILookup?Npi=1467470799","1467470799")</f>
        <v>1467470799</v>
      </c>
      <c r="E12576" t="s">
        <v>15160</v>
      </c>
    </row>
    <row r="12577" spans="1:5" x14ac:dyDescent="0.25">
      <c r="A12577" t="s">
        <v>2</v>
      </c>
      <c r="B12577" t="s">
        <v>3458</v>
      </c>
      <c r="C12577" t="s">
        <v>23490</v>
      </c>
      <c r="D12577" t="str">
        <f>HYPERLINK("https://rhld.insurance.arkansas.gov/NPILookup?Npi=1467474981","1467474981")</f>
        <v>1467474981</v>
      </c>
      <c r="E12577" t="s">
        <v>1652</v>
      </c>
    </row>
    <row r="12578" spans="1:5" x14ac:dyDescent="0.25">
      <c r="A12578" t="s">
        <v>2</v>
      </c>
      <c r="B12578" t="s">
        <v>3458</v>
      </c>
      <c r="C12578" t="s">
        <v>23490</v>
      </c>
      <c r="D12578" t="str">
        <f>HYPERLINK("https://rhld.insurance.arkansas.gov/NPILookup?Npi=1467487751","1467487751")</f>
        <v>1467487751</v>
      </c>
      <c r="E12578" t="s">
        <v>13549</v>
      </c>
    </row>
    <row r="12579" spans="1:5" x14ac:dyDescent="0.25">
      <c r="A12579" t="s">
        <v>2</v>
      </c>
      <c r="B12579" t="s">
        <v>3458</v>
      </c>
      <c r="C12579" t="s">
        <v>23490</v>
      </c>
      <c r="D12579" t="str">
        <f>HYPERLINK("https://rhld.insurance.arkansas.gov/NPILookup?Npi=1467488791","1467488791")</f>
        <v>1467488791</v>
      </c>
      <c r="E12579" t="s">
        <v>1653</v>
      </c>
    </row>
    <row r="12580" spans="1:5" x14ac:dyDescent="0.25">
      <c r="A12580" t="s">
        <v>2</v>
      </c>
      <c r="B12580" t="s">
        <v>3458</v>
      </c>
      <c r="C12580" t="s">
        <v>23490</v>
      </c>
      <c r="D12580" t="str">
        <f>HYPERLINK("https://rhld.insurance.arkansas.gov/NPILookup?Npi=1467494617","1467494617")</f>
        <v>1467494617</v>
      </c>
      <c r="E12580" t="s">
        <v>8686</v>
      </c>
    </row>
    <row r="12581" spans="1:5" x14ac:dyDescent="0.25">
      <c r="A12581" t="s">
        <v>2</v>
      </c>
      <c r="B12581" t="s">
        <v>3458</v>
      </c>
      <c r="C12581" t="s">
        <v>23490</v>
      </c>
      <c r="D12581" t="str">
        <f>HYPERLINK("https://rhld.insurance.arkansas.gov/NPILookup?Npi=1467498154","1467498154")</f>
        <v>1467498154</v>
      </c>
      <c r="E12581" t="s">
        <v>1654</v>
      </c>
    </row>
    <row r="12582" spans="1:5" x14ac:dyDescent="0.25">
      <c r="A12582" t="s">
        <v>2</v>
      </c>
      <c r="B12582" t="s">
        <v>3458</v>
      </c>
      <c r="C12582" t="s">
        <v>23490</v>
      </c>
      <c r="D12582" t="str">
        <f>HYPERLINK("https://rhld.insurance.arkansas.gov/NPILookup?Npi=1467525865","1467525865")</f>
        <v>1467525865</v>
      </c>
      <c r="E12582" t="s">
        <v>1656</v>
      </c>
    </row>
    <row r="12583" spans="1:5" x14ac:dyDescent="0.25">
      <c r="A12583" t="s">
        <v>2</v>
      </c>
      <c r="B12583" t="s">
        <v>3458</v>
      </c>
      <c r="C12583" t="s">
        <v>23490</v>
      </c>
      <c r="D12583" t="str">
        <f>HYPERLINK("https://rhld.insurance.arkansas.gov/NPILookup?Npi=1467537357","1467537357")</f>
        <v>1467537357</v>
      </c>
      <c r="E12583" t="s">
        <v>3745</v>
      </c>
    </row>
    <row r="12584" spans="1:5" x14ac:dyDescent="0.25">
      <c r="A12584" t="s">
        <v>2</v>
      </c>
      <c r="B12584" t="s">
        <v>3458</v>
      </c>
      <c r="C12584" t="s">
        <v>23490</v>
      </c>
      <c r="D12584" t="str">
        <f>HYPERLINK("https://rhld.insurance.arkansas.gov/NPILookup?Npi=1467543140","1467543140")</f>
        <v>1467543140</v>
      </c>
      <c r="E12584" t="s">
        <v>1657</v>
      </c>
    </row>
    <row r="12585" spans="1:5" x14ac:dyDescent="0.25">
      <c r="A12585" t="s">
        <v>2</v>
      </c>
      <c r="B12585" t="s">
        <v>3458</v>
      </c>
      <c r="C12585" t="s">
        <v>23490</v>
      </c>
      <c r="D12585" t="str">
        <f>HYPERLINK("https://rhld.insurance.arkansas.gov/NPILookup?Npi=1467543488","1467543488")</f>
        <v>1467543488</v>
      </c>
      <c r="E12585" t="s">
        <v>1658</v>
      </c>
    </row>
    <row r="12586" spans="1:5" x14ac:dyDescent="0.25">
      <c r="A12586" t="s">
        <v>2</v>
      </c>
      <c r="B12586" t="s">
        <v>3458</v>
      </c>
      <c r="C12586" t="s">
        <v>23490</v>
      </c>
      <c r="D12586" t="str">
        <f>HYPERLINK("https://rhld.insurance.arkansas.gov/NPILookup?Npi=1467545558","1467545558")</f>
        <v>1467545558</v>
      </c>
      <c r="E12586" t="s">
        <v>13849</v>
      </c>
    </row>
    <row r="12587" spans="1:5" x14ac:dyDescent="0.25">
      <c r="A12587" t="s">
        <v>2</v>
      </c>
      <c r="B12587" t="s">
        <v>3458</v>
      </c>
      <c r="C12587" t="s">
        <v>23490</v>
      </c>
      <c r="D12587" t="str">
        <f>HYPERLINK("https://rhld.insurance.arkansas.gov/NPILookup?Npi=1467554279","1467554279")</f>
        <v>1467554279</v>
      </c>
      <c r="E12587" t="s">
        <v>8979</v>
      </c>
    </row>
    <row r="12588" spans="1:5" x14ac:dyDescent="0.25">
      <c r="A12588" t="s">
        <v>2</v>
      </c>
      <c r="B12588" t="s">
        <v>3458</v>
      </c>
      <c r="C12588" t="s">
        <v>23490</v>
      </c>
      <c r="D12588" t="str">
        <f>HYPERLINK("https://rhld.insurance.arkansas.gov/NPILookup?Npi=1467562678","1467562678")</f>
        <v>1467562678</v>
      </c>
      <c r="E12588" t="s">
        <v>1659</v>
      </c>
    </row>
    <row r="12589" spans="1:5" x14ac:dyDescent="0.25">
      <c r="A12589" t="s">
        <v>2</v>
      </c>
      <c r="B12589" t="s">
        <v>3458</v>
      </c>
      <c r="C12589" t="s">
        <v>23490</v>
      </c>
      <c r="D12589" t="str">
        <f>HYPERLINK("https://rhld.insurance.arkansas.gov/NPILookup?Npi=1467573360","1467573360")</f>
        <v>1467573360</v>
      </c>
      <c r="E12589" t="s">
        <v>1660</v>
      </c>
    </row>
    <row r="12590" spans="1:5" x14ac:dyDescent="0.25">
      <c r="A12590" t="s">
        <v>2</v>
      </c>
      <c r="B12590" t="s">
        <v>3458</v>
      </c>
      <c r="C12590" t="s">
        <v>23490</v>
      </c>
      <c r="D12590" t="str">
        <f>HYPERLINK("https://rhld.insurance.arkansas.gov/NPILookup?Npi=1467594184","1467594184")</f>
        <v>1467594184</v>
      </c>
      <c r="E12590" t="s">
        <v>1661</v>
      </c>
    </row>
    <row r="12591" spans="1:5" x14ac:dyDescent="0.25">
      <c r="A12591" t="s">
        <v>2</v>
      </c>
      <c r="B12591" t="s">
        <v>3458</v>
      </c>
      <c r="C12591" t="s">
        <v>23490</v>
      </c>
      <c r="D12591" t="str">
        <f>HYPERLINK("https://rhld.insurance.arkansas.gov/NPILookup?Npi=1467605444","1467605444")</f>
        <v>1467605444</v>
      </c>
      <c r="E12591" t="s">
        <v>10954</v>
      </c>
    </row>
    <row r="12592" spans="1:5" x14ac:dyDescent="0.25">
      <c r="A12592" t="s">
        <v>2</v>
      </c>
      <c r="B12592" t="s">
        <v>3458</v>
      </c>
      <c r="C12592" t="s">
        <v>23490</v>
      </c>
      <c r="D12592" t="str">
        <f>HYPERLINK("https://rhld.insurance.arkansas.gov/NPILookup?Npi=1467613000","1467613000")</f>
        <v>1467613000</v>
      </c>
      <c r="E12592" t="s">
        <v>1662</v>
      </c>
    </row>
    <row r="12593" spans="1:5" x14ac:dyDescent="0.25">
      <c r="A12593" t="s">
        <v>2</v>
      </c>
      <c r="B12593" t="s">
        <v>3458</v>
      </c>
      <c r="C12593" t="s">
        <v>23490</v>
      </c>
      <c r="D12593" t="str">
        <f>HYPERLINK("https://rhld.insurance.arkansas.gov/NPILookup?Npi=1467629790","1467629790")</f>
        <v>1467629790</v>
      </c>
      <c r="E12593" t="s">
        <v>1663</v>
      </c>
    </row>
    <row r="12594" spans="1:5" x14ac:dyDescent="0.25">
      <c r="A12594" t="s">
        <v>2</v>
      </c>
      <c r="B12594" t="s">
        <v>3458</v>
      </c>
      <c r="C12594" t="s">
        <v>23490</v>
      </c>
      <c r="D12594" t="str">
        <f>HYPERLINK("https://rhld.insurance.arkansas.gov/NPILookup?Npi=1467643668","1467643668")</f>
        <v>1467643668</v>
      </c>
      <c r="E12594" t="s">
        <v>8980</v>
      </c>
    </row>
    <row r="12595" spans="1:5" x14ac:dyDescent="0.25">
      <c r="A12595" t="s">
        <v>2</v>
      </c>
      <c r="B12595" t="s">
        <v>3458</v>
      </c>
      <c r="C12595" t="s">
        <v>23490</v>
      </c>
      <c r="D12595" t="str">
        <f>HYPERLINK("https://rhld.insurance.arkansas.gov/NPILookup?Npi=1467653626","1467653626")</f>
        <v>1467653626</v>
      </c>
      <c r="E12595" t="s">
        <v>1664</v>
      </c>
    </row>
    <row r="12596" spans="1:5" x14ac:dyDescent="0.25">
      <c r="A12596" t="s">
        <v>2</v>
      </c>
      <c r="B12596" t="s">
        <v>3458</v>
      </c>
      <c r="C12596" t="s">
        <v>23490</v>
      </c>
      <c r="D12596" t="str">
        <f>HYPERLINK("https://rhld.insurance.arkansas.gov/NPILookup?Npi=1467654715","1467654715")</f>
        <v>1467654715</v>
      </c>
      <c r="E12596" t="s">
        <v>19744</v>
      </c>
    </row>
    <row r="12597" spans="1:5" x14ac:dyDescent="0.25">
      <c r="A12597" t="s">
        <v>2</v>
      </c>
      <c r="B12597" t="s">
        <v>3458</v>
      </c>
      <c r="C12597" t="s">
        <v>23490</v>
      </c>
      <c r="D12597" t="str">
        <f>HYPERLINK("https://rhld.insurance.arkansas.gov/NPILookup?Npi=1467669770","1467669770")</f>
        <v>1467669770</v>
      </c>
      <c r="E12597" t="s">
        <v>3746</v>
      </c>
    </row>
    <row r="12598" spans="1:5" x14ac:dyDescent="0.25">
      <c r="A12598" t="s">
        <v>2</v>
      </c>
      <c r="B12598" t="s">
        <v>3458</v>
      </c>
      <c r="C12598" t="s">
        <v>23490</v>
      </c>
      <c r="D12598" t="str">
        <f>HYPERLINK("https://rhld.insurance.arkansas.gov/NPILookup?Npi=1467671677","1467671677")</f>
        <v>1467671677</v>
      </c>
      <c r="E12598" t="s">
        <v>15161</v>
      </c>
    </row>
    <row r="12599" spans="1:5" x14ac:dyDescent="0.25">
      <c r="A12599" t="s">
        <v>2</v>
      </c>
      <c r="B12599" t="s">
        <v>3458</v>
      </c>
      <c r="C12599" t="s">
        <v>23490</v>
      </c>
      <c r="D12599" t="str">
        <f>HYPERLINK("https://rhld.insurance.arkansas.gov/NPILookup?Npi=1467715656","1467715656")</f>
        <v>1467715656</v>
      </c>
      <c r="E12599" t="s">
        <v>1536</v>
      </c>
    </row>
    <row r="12600" spans="1:5" x14ac:dyDescent="0.25">
      <c r="A12600" t="s">
        <v>2</v>
      </c>
      <c r="B12600" t="s">
        <v>3458</v>
      </c>
      <c r="C12600" t="s">
        <v>23490</v>
      </c>
      <c r="D12600" t="str">
        <f>HYPERLINK("https://rhld.insurance.arkansas.gov/NPILookup?Npi=1467740225","1467740225")</f>
        <v>1467740225</v>
      </c>
      <c r="E12600" t="s">
        <v>1666</v>
      </c>
    </row>
    <row r="12601" spans="1:5" x14ac:dyDescent="0.25">
      <c r="A12601" t="s">
        <v>2</v>
      </c>
      <c r="B12601" t="s">
        <v>3458</v>
      </c>
      <c r="C12601" t="s">
        <v>23490</v>
      </c>
      <c r="D12601" t="str">
        <f>HYPERLINK("https://rhld.insurance.arkansas.gov/NPILookup?Npi=1467745984","1467745984")</f>
        <v>1467745984</v>
      </c>
      <c r="E12601" t="s">
        <v>15162</v>
      </c>
    </row>
    <row r="12602" spans="1:5" x14ac:dyDescent="0.25">
      <c r="A12602" t="s">
        <v>2</v>
      </c>
      <c r="B12602" t="s">
        <v>3458</v>
      </c>
      <c r="C12602" t="s">
        <v>23490</v>
      </c>
      <c r="D12602" t="str">
        <f>HYPERLINK("https://rhld.insurance.arkansas.gov/NPILookup?Npi=1467758904","1467758904")</f>
        <v>1467758904</v>
      </c>
      <c r="E12602" t="s">
        <v>1668</v>
      </c>
    </row>
    <row r="12603" spans="1:5" x14ac:dyDescent="0.25">
      <c r="A12603" t="s">
        <v>2</v>
      </c>
      <c r="B12603" t="s">
        <v>3458</v>
      </c>
      <c r="C12603" t="s">
        <v>23490</v>
      </c>
      <c r="D12603" t="str">
        <f>HYPERLINK("https://rhld.insurance.arkansas.gov/NPILookup?Npi=1467763110","1467763110")</f>
        <v>1467763110</v>
      </c>
      <c r="E12603" t="s">
        <v>1669</v>
      </c>
    </row>
    <row r="12604" spans="1:5" x14ac:dyDescent="0.25">
      <c r="A12604" t="s">
        <v>2</v>
      </c>
      <c r="B12604" t="s">
        <v>3458</v>
      </c>
      <c r="C12604" t="s">
        <v>23490</v>
      </c>
      <c r="D12604" t="str">
        <f>HYPERLINK("https://rhld.insurance.arkansas.gov/NPILookup?Npi=1467767087","1467767087")</f>
        <v>1467767087</v>
      </c>
      <c r="E12604" t="s">
        <v>15163</v>
      </c>
    </row>
    <row r="12605" spans="1:5" x14ac:dyDescent="0.25">
      <c r="A12605" t="s">
        <v>2</v>
      </c>
      <c r="B12605" t="s">
        <v>3458</v>
      </c>
      <c r="C12605" t="s">
        <v>23490</v>
      </c>
      <c r="D12605" t="str">
        <f>HYPERLINK("https://rhld.insurance.arkansas.gov/NPILookup?Npi=1467779140","1467779140")</f>
        <v>1467779140</v>
      </c>
      <c r="E12605" t="s">
        <v>3747</v>
      </c>
    </row>
    <row r="12606" spans="1:5" x14ac:dyDescent="0.25">
      <c r="A12606" t="s">
        <v>2</v>
      </c>
      <c r="B12606" t="s">
        <v>3458</v>
      </c>
      <c r="C12606" t="s">
        <v>23490</v>
      </c>
      <c r="D12606" t="str">
        <f>HYPERLINK("https://rhld.insurance.arkansas.gov/NPILookup?Npi=1467809004","1467809004")</f>
        <v>1467809004</v>
      </c>
      <c r="E12606" t="s">
        <v>10956</v>
      </c>
    </row>
    <row r="12607" spans="1:5" x14ac:dyDescent="0.25">
      <c r="A12607" t="s">
        <v>2</v>
      </c>
      <c r="B12607" t="s">
        <v>3458</v>
      </c>
      <c r="C12607" t="s">
        <v>23490</v>
      </c>
      <c r="D12607" t="str">
        <f>HYPERLINK("https://rhld.insurance.arkansas.gov/NPILookup?Npi=1467817486","1467817486")</f>
        <v>1467817486</v>
      </c>
      <c r="E12607" t="s">
        <v>8688</v>
      </c>
    </row>
    <row r="12608" spans="1:5" x14ac:dyDescent="0.25">
      <c r="A12608" t="s">
        <v>2</v>
      </c>
      <c r="B12608" t="s">
        <v>3458</v>
      </c>
      <c r="C12608" t="s">
        <v>23490</v>
      </c>
      <c r="D12608" t="str">
        <f>HYPERLINK("https://rhld.insurance.arkansas.gov/NPILookup?Npi=1467829515","1467829515")</f>
        <v>1467829515</v>
      </c>
      <c r="E12608" t="s">
        <v>15165</v>
      </c>
    </row>
    <row r="12609" spans="1:5" x14ac:dyDescent="0.25">
      <c r="A12609" t="s">
        <v>2</v>
      </c>
      <c r="B12609" t="s">
        <v>3458</v>
      </c>
      <c r="C12609" t="s">
        <v>23490</v>
      </c>
      <c r="D12609" t="str">
        <f>HYPERLINK("https://rhld.insurance.arkansas.gov/NPILookup?Npi=1467849794","1467849794")</f>
        <v>1467849794</v>
      </c>
      <c r="E12609" t="s">
        <v>1671</v>
      </c>
    </row>
    <row r="12610" spans="1:5" x14ac:dyDescent="0.25">
      <c r="A12610" t="s">
        <v>2</v>
      </c>
      <c r="B12610" t="s">
        <v>3458</v>
      </c>
      <c r="C12610" t="s">
        <v>23490</v>
      </c>
      <c r="D12610" t="str">
        <f>HYPERLINK("https://rhld.insurance.arkansas.gov/NPILookup?Npi=1467877340","1467877340")</f>
        <v>1467877340</v>
      </c>
      <c r="E12610" t="s">
        <v>1673</v>
      </c>
    </row>
    <row r="12611" spans="1:5" x14ac:dyDescent="0.25">
      <c r="A12611" t="s">
        <v>2</v>
      </c>
      <c r="B12611" t="s">
        <v>3458</v>
      </c>
      <c r="C12611" t="s">
        <v>23490</v>
      </c>
      <c r="D12611" t="str">
        <f>HYPERLINK("https://rhld.insurance.arkansas.gov/NPILookup?Npi=1467879247","1467879247")</f>
        <v>1467879247</v>
      </c>
      <c r="E12611" t="s">
        <v>1674</v>
      </c>
    </row>
    <row r="12612" spans="1:5" x14ac:dyDescent="0.25">
      <c r="A12612" t="s">
        <v>2</v>
      </c>
      <c r="B12612" t="s">
        <v>3458</v>
      </c>
      <c r="C12612" t="s">
        <v>23490</v>
      </c>
      <c r="D12612" t="str">
        <f>HYPERLINK("https://rhld.insurance.arkansas.gov/NPILookup?Npi=1467879957","1467879957")</f>
        <v>1467879957</v>
      </c>
      <c r="E12612" t="s">
        <v>20945</v>
      </c>
    </row>
    <row r="12613" spans="1:5" x14ac:dyDescent="0.25">
      <c r="A12613" t="s">
        <v>2</v>
      </c>
      <c r="B12613" t="s">
        <v>3458</v>
      </c>
      <c r="C12613" t="s">
        <v>23490</v>
      </c>
      <c r="D12613" t="str">
        <f>HYPERLINK("https://rhld.insurance.arkansas.gov/NPILookup?Npi=1467891945","1467891945")</f>
        <v>1467891945</v>
      </c>
      <c r="E12613" t="s">
        <v>1675</v>
      </c>
    </row>
    <row r="12614" spans="1:5" x14ac:dyDescent="0.25">
      <c r="A12614" t="s">
        <v>2</v>
      </c>
      <c r="B12614" t="s">
        <v>3458</v>
      </c>
      <c r="C12614" t="s">
        <v>23490</v>
      </c>
      <c r="D12614" t="str">
        <f>HYPERLINK("https://rhld.insurance.arkansas.gov/NPILookup?Npi=1467893479","1467893479")</f>
        <v>1467893479</v>
      </c>
      <c r="E12614" t="s">
        <v>10957</v>
      </c>
    </row>
    <row r="12615" spans="1:5" x14ac:dyDescent="0.25">
      <c r="A12615" t="s">
        <v>2</v>
      </c>
      <c r="B12615" t="s">
        <v>3458</v>
      </c>
      <c r="C12615" t="s">
        <v>23490</v>
      </c>
      <c r="D12615" t="str">
        <f>HYPERLINK("https://rhld.insurance.arkansas.gov/NPILookup?Npi=1467896886","1467896886")</f>
        <v>1467896886</v>
      </c>
      <c r="E12615" t="s">
        <v>17073</v>
      </c>
    </row>
    <row r="12616" spans="1:5" x14ac:dyDescent="0.25">
      <c r="A12616" t="s">
        <v>2</v>
      </c>
      <c r="B12616" t="s">
        <v>3458</v>
      </c>
      <c r="C12616" t="s">
        <v>23490</v>
      </c>
      <c r="D12616" t="str">
        <f>HYPERLINK("https://rhld.insurance.arkansas.gov/NPILookup?Npi=1467908970","1467908970")</f>
        <v>1467908970</v>
      </c>
      <c r="E12616" t="s">
        <v>13551</v>
      </c>
    </row>
    <row r="12617" spans="1:5" x14ac:dyDescent="0.25">
      <c r="A12617" t="s">
        <v>2</v>
      </c>
      <c r="B12617" t="s">
        <v>3458</v>
      </c>
      <c r="C12617" t="s">
        <v>23490</v>
      </c>
      <c r="D12617" t="str">
        <f>HYPERLINK("https://rhld.insurance.arkansas.gov/NPILookup?Npi=1467909366","1467909366")</f>
        <v>1467909366</v>
      </c>
      <c r="E12617" t="s">
        <v>10958</v>
      </c>
    </row>
    <row r="12618" spans="1:5" x14ac:dyDescent="0.25">
      <c r="A12618" t="s">
        <v>2</v>
      </c>
      <c r="B12618" t="s">
        <v>3458</v>
      </c>
      <c r="C12618" t="s">
        <v>23490</v>
      </c>
      <c r="D12618" t="str">
        <f>HYPERLINK("https://rhld.insurance.arkansas.gov/NPILookup?Npi=1467935114","1467935114")</f>
        <v>1467935114</v>
      </c>
      <c r="E12618" t="s">
        <v>15167</v>
      </c>
    </row>
    <row r="12619" spans="1:5" x14ac:dyDescent="0.25">
      <c r="A12619" t="s">
        <v>2</v>
      </c>
      <c r="B12619" t="s">
        <v>3458</v>
      </c>
      <c r="C12619" t="s">
        <v>23490</v>
      </c>
      <c r="D12619" t="str">
        <f>HYPERLINK("https://rhld.insurance.arkansas.gov/NPILookup?Npi=1467950501","1467950501")</f>
        <v>1467950501</v>
      </c>
      <c r="E12619" t="s">
        <v>12847</v>
      </c>
    </row>
    <row r="12620" spans="1:5" x14ac:dyDescent="0.25">
      <c r="A12620" t="s">
        <v>2</v>
      </c>
      <c r="B12620" t="s">
        <v>3458</v>
      </c>
      <c r="C12620" t="s">
        <v>8427</v>
      </c>
      <c r="D12620" t="str">
        <f>HYPERLINK("https://rhld.insurance.arkansas.gov/NPILookup?Npi=1467953026","1467953026")</f>
        <v>1467953026</v>
      </c>
      <c r="E12620" t="s">
        <v>22940</v>
      </c>
    </row>
    <row r="12621" spans="1:5" x14ac:dyDescent="0.25">
      <c r="A12621" t="s">
        <v>2</v>
      </c>
      <c r="B12621" t="s">
        <v>3458</v>
      </c>
      <c r="C12621" t="s">
        <v>23490</v>
      </c>
      <c r="D12621" t="str">
        <f>HYPERLINK("https://rhld.insurance.arkansas.gov/NPILookup?Npi=1467953174","1467953174")</f>
        <v>1467953174</v>
      </c>
      <c r="E12621" t="s">
        <v>21552</v>
      </c>
    </row>
    <row r="12622" spans="1:5" x14ac:dyDescent="0.25">
      <c r="A12622" t="s">
        <v>2</v>
      </c>
      <c r="B12622" t="s">
        <v>3458</v>
      </c>
      <c r="C12622" t="s">
        <v>23490</v>
      </c>
      <c r="D12622" t="str">
        <f>HYPERLINK("https://rhld.insurance.arkansas.gov/NPILookup?Npi=1467955088","1467955088")</f>
        <v>1467955088</v>
      </c>
      <c r="E12622" t="s">
        <v>12991</v>
      </c>
    </row>
    <row r="12623" spans="1:5" x14ac:dyDescent="0.25">
      <c r="A12623" t="s">
        <v>2</v>
      </c>
      <c r="B12623" t="s">
        <v>3458</v>
      </c>
      <c r="C12623" t="s">
        <v>23490</v>
      </c>
      <c r="D12623" t="str">
        <f>HYPERLINK("https://rhld.insurance.arkansas.gov/NPILookup?Npi=1467968271","1467968271")</f>
        <v>1467968271</v>
      </c>
      <c r="E12623" t="s">
        <v>15169</v>
      </c>
    </row>
    <row r="12624" spans="1:5" x14ac:dyDescent="0.25">
      <c r="A12624" t="s">
        <v>2</v>
      </c>
      <c r="B12624" t="s">
        <v>3458</v>
      </c>
      <c r="C12624" t="s">
        <v>23490</v>
      </c>
      <c r="D12624" t="str">
        <f>HYPERLINK("https://rhld.insurance.arkansas.gov/NPILookup?Npi=1467970954","1467970954")</f>
        <v>1467970954</v>
      </c>
      <c r="E12624" t="s">
        <v>21078</v>
      </c>
    </row>
    <row r="12625" spans="1:5" x14ac:dyDescent="0.25">
      <c r="A12625" t="s">
        <v>2</v>
      </c>
      <c r="B12625" t="s">
        <v>3458</v>
      </c>
      <c r="C12625" t="s">
        <v>23490</v>
      </c>
      <c r="D12625" t="str">
        <f>HYPERLINK("https://rhld.insurance.arkansas.gov/NPILookup?Npi=1467979229","1467979229")</f>
        <v>1467979229</v>
      </c>
      <c r="E12625" t="s">
        <v>12848</v>
      </c>
    </row>
    <row r="12626" spans="1:5" x14ac:dyDescent="0.25">
      <c r="A12626" t="s">
        <v>2</v>
      </c>
      <c r="B12626" t="s">
        <v>3458</v>
      </c>
      <c r="C12626" t="s">
        <v>23490</v>
      </c>
      <c r="D12626" t="str">
        <f>HYPERLINK("https://rhld.insurance.arkansas.gov/NPILookup?Npi=1467984799","1467984799")</f>
        <v>1467984799</v>
      </c>
      <c r="E12626" t="s">
        <v>17509</v>
      </c>
    </row>
    <row r="12627" spans="1:5" x14ac:dyDescent="0.25">
      <c r="A12627" t="s">
        <v>2</v>
      </c>
      <c r="B12627" t="s">
        <v>3458</v>
      </c>
      <c r="C12627" t="s">
        <v>23490</v>
      </c>
      <c r="D12627" t="str">
        <f>HYPERLINK("https://rhld.insurance.arkansas.gov/NPILookup?Npi=1467987875","1467987875")</f>
        <v>1467987875</v>
      </c>
      <c r="E12627" t="s">
        <v>17431</v>
      </c>
    </row>
    <row r="12628" spans="1:5" x14ac:dyDescent="0.25">
      <c r="A12628" t="s">
        <v>2</v>
      </c>
      <c r="B12628" t="s">
        <v>3458</v>
      </c>
      <c r="C12628" t="s">
        <v>23490</v>
      </c>
      <c r="D12628" t="str">
        <f>HYPERLINK("https://rhld.insurance.arkansas.gov/NPILookup?Npi=1467991000","1467991000")</f>
        <v>1467991000</v>
      </c>
      <c r="E12628" t="s">
        <v>10959</v>
      </c>
    </row>
    <row r="12629" spans="1:5" x14ac:dyDescent="0.25">
      <c r="A12629" t="s">
        <v>2</v>
      </c>
      <c r="B12629" t="s">
        <v>3458</v>
      </c>
      <c r="C12629" t="s">
        <v>23490</v>
      </c>
      <c r="D12629" t="str">
        <f>HYPERLINK("https://rhld.insurance.arkansas.gov/NPILookup?Npi=1467992933","1467992933")</f>
        <v>1467992933</v>
      </c>
      <c r="E12629" t="s">
        <v>10960</v>
      </c>
    </row>
    <row r="12630" spans="1:5" x14ac:dyDescent="0.25">
      <c r="A12630" t="s">
        <v>2</v>
      </c>
      <c r="B12630" t="s">
        <v>3458</v>
      </c>
      <c r="C12630" t="s">
        <v>23490</v>
      </c>
      <c r="D12630" t="str">
        <f>HYPERLINK("https://rhld.insurance.arkansas.gov/NPILookup?Npi=1477005429","1477005429")</f>
        <v>1477005429</v>
      </c>
      <c r="E12630" t="s">
        <v>12992</v>
      </c>
    </row>
    <row r="12631" spans="1:5" x14ac:dyDescent="0.25">
      <c r="A12631" t="s">
        <v>2</v>
      </c>
      <c r="B12631" t="s">
        <v>3458</v>
      </c>
      <c r="C12631" t="s">
        <v>23490</v>
      </c>
      <c r="D12631" t="str">
        <f>HYPERLINK("https://rhld.insurance.arkansas.gov/NPILookup?Npi=1477034981","1477034981")</f>
        <v>1477034981</v>
      </c>
      <c r="E12631" t="s">
        <v>19747</v>
      </c>
    </row>
    <row r="12632" spans="1:5" x14ac:dyDescent="0.25">
      <c r="A12632" t="s">
        <v>2</v>
      </c>
      <c r="B12632" t="s">
        <v>3458</v>
      </c>
      <c r="C12632" t="s">
        <v>23490</v>
      </c>
      <c r="D12632" t="str">
        <f>HYPERLINK("https://rhld.insurance.arkansas.gov/NPILookup?Npi=1477039105","1477039105")</f>
        <v>1477039105</v>
      </c>
      <c r="E12632" t="s">
        <v>13553</v>
      </c>
    </row>
    <row r="12633" spans="1:5" x14ac:dyDescent="0.25">
      <c r="A12633" t="s">
        <v>2</v>
      </c>
      <c r="B12633" t="s">
        <v>3458</v>
      </c>
      <c r="C12633" t="s">
        <v>23490</v>
      </c>
      <c r="D12633" t="str">
        <f>HYPERLINK("https://rhld.insurance.arkansas.gov/NPILookup?Npi=1477050110","1477050110")</f>
        <v>1477050110</v>
      </c>
      <c r="E12633" t="s">
        <v>19748</v>
      </c>
    </row>
    <row r="12634" spans="1:5" x14ac:dyDescent="0.25">
      <c r="A12634" t="s">
        <v>2</v>
      </c>
      <c r="B12634" t="s">
        <v>3458</v>
      </c>
      <c r="C12634" t="s">
        <v>23490</v>
      </c>
      <c r="D12634" t="str">
        <f>HYPERLINK("https://rhld.insurance.arkansas.gov/NPILookup?Npi=1477063873","1477063873")</f>
        <v>1477063873</v>
      </c>
      <c r="E12634" t="s">
        <v>12849</v>
      </c>
    </row>
    <row r="12635" spans="1:5" x14ac:dyDescent="0.25">
      <c r="A12635" t="s">
        <v>2</v>
      </c>
      <c r="B12635" t="s">
        <v>3458</v>
      </c>
      <c r="C12635" t="s">
        <v>23490</v>
      </c>
      <c r="D12635" t="str">
        <f>HYPERLINK("https://rhld.insurance.arkansas.gov/NPILookup?Npi=1477066926","1477066926")</f>
        <v>1477066926</v>
      </c>
      <c r="E12635" t="s">
        <v>12993</v>
      </c>
    </row>
    <row r="12636" spans="1:5" x14ac:dyDescent="0.25">
      <c r="A12636" t="s">
        <v>2</v>
      </c>
      <c r="B12636" t="s">
        <v>3458</v>
      </c>
      <c r="C12636" t="s">
        <v>23490</v>
      </c>
      <c r="D12636" t="str">
        <f>HYPERLINK("https://rhld.insurance.arkansas.gov/NPILookup?Npi=1477071504","1477071504")</f>
        <v>1477071504</v>
      </c>
      <c r="E12636" t="s">
        <v>18788</v>
      </c>
    </row>
    <row r="12637" spans="1:5" x14ac:dyDescent="0.25">
      <c r="A12637" t="s">
        <v>2</v>
      </c>
      <c r="B12637" t="s">
        <v>3458</v>
      </c>
      <c r="C12637" t="s">
        <v>23490</v>
      </c>
      <c r="D12637" t="str">
        <f>HYPERLINK("https://rhld.insurance.arkansas.gov/NPILookup?Npi=1477077295","1477077295")</f>
        <v>1477077295</v>
      </c>
      <c r="E12637" t="s">
        <v>12994</v>
      </c>
    </row>
    <row r="12638" spans="1:5" x14ac:dyDescent="0.25">
      <c r="A12638" t="s">
        <v>2</v>
      </c>
      <c r="B12638" t="s">
        <v>3458</v>
      </c>
      <c r="C12638" t="s">
        <v>23490</v>
      </c>
      <c r="D12638" t="str">
        <f>HYPERLINK("https://rhld.insurance.arkansas.gov/NPILookup?Npi=1477078962","1477078962")</f>
        <v>1477078962</v>
      </c>
      <c r="E12638" t="s">
        <v>10961</v>
      </c>
    </row>
    <row r="12639" spans="1:5" x14ac:dyDescent="0.25">
      <c r="A12639" t="s">
        <v>2</v>
      </c>
      <c r="B12639" t="s">
        <v>3458</v>
      </c>
      <c r="C12639" t="s">
        <v>23490</v>
      </c>
      <c r="D12639" t="str">
        <f>HYPERLINK("https://rhld.insurance.arkansas.gov/NPILookup?Npi=1477079085","1477079085")</f>
        <v>1477079085</v>
      </c>
      <c r="E12639" t="s">
        <v>13554</v>
      </c>
    </row>
    <row r="12640" spans="1:5" x14ac:dyDescent="0.25">
      <c r="A12640" t="s">
        <v>2</v>
      </c>
      <c r="B12640" t="s">
        <v>3458</v>
      </c>
      <c r="C12640" t="s">
        <v>23490</v>
      </c>
      <c r="D12640" t="str">
        <f>HYPERLINK("https://rhld.insurance.arkansas.gov/NPILookup?Npi=1477085728","1477085728")</f>
        <v>1477085728</v>
      </c>
      <c r="E12640" t="s">
        <v>18924</v>
      </c>
    </row>
    <row r="12641" spans="1:5" x14ac:dyDescent="0.25">
      <c r="A12641" t="s">
        <v>2</v>
      </c>
      <c r="B12641" t="s">
        <v>3458</v>
      </c>
      <c r="C12641" t="s">
        <v>23490</v>
      </c>
      <c r="D12641" t="str">
        <f>HYPERLINK("https://rhld.insurance.arkansas.gov/NPILookup?Npi=1477090637","1477090637")</f>
        <v>1477090637</v>
      </c>
      <c r="E12641" t="s">
        <v>10962</v>
      </c>
    </row>
    <row r="12642" spans="1:5" x14ac:dyDescent="0.25">
      <c r="A12642" t="s">
        <v>2</v>
      </c>
      <c r="B12642" t="s">
        <v>3458</v>
      </c>
      <c r="C12642" t="s">
        <v>23490</v>
      </c>
      <c r="D12642" t="str">
        <f>HYPERLINK("https://rhld.insurance.arkansas.gov/NPILookup?Npi=1477092906","1477092906")</f>
        <v>1477092906</v>
      </c>
      <c r="E12642" t="s">
        <v>15170</v>
      </c>
    </row>
    <row r="12643" spans="1:5" x14ac:dyDescent="0.25">
      <c r="A12643" t="s">
        <v>2</v>
      </c>
      <c r="B12643" t="s">
        <v>3458</v>
      </c>
      <c r="C12643" t="s">
        <v>23490</v>
      </c>
      <c r="D12643" t="str">
        <f>HYPERLINK("https://rhld.insurance.arkansas.gov/NPILookup?Npi=1477151157","1477151157")</f>
        <v>1477151157</v>
      </c>
      <c r="E12643" t="s">
        <v>17999</v>
      </c>
    </row>
    <row r="12644" spans="1:5" x14ac:dyDescent="0.25">
      <c r="A12644" t="s">
        <v>2</v>
      </c>
      <c r="B12644" t="s">
        <v>3458</v>
      </c>
      <c r="C12644" t="s">
        <v>23490</v>
      </c>
      <c r="D12644" t="str">
        <f>HYPERLINK("https://rhld.insurance.arkansas.gov/NPILookup?Npi=1477154771","1477154771")</f>
        <v>1477154771</v>
      </c>
      <c r="E12644" t="s">
        <v>18000</v>
      </c>
    </row>
    <row r="12645" spans="1:5" x14ac:dyDescent="0.25">
      <c r="A12645" t="s">
        <v>2</v>
      </c>
      <c r="B12645" t="s">
        <v>3458</v>
      </c>
      <c r="C12645" t="s">
        <v>23490</v>
      </c>
      <c r="D12645" t="str">
        <f>HYPERLINK("https://rhld.insurance.arkansas.gov/NPILookup?Npi=1477156719","1477156719")</f>
        <v>1477156719</v>
      </c>
      <c r="E12645" t="s">
        <v>18001</v>
      </c>
    </row>
    <row r="12646" spans="1:5" x14ac:dyDescent="0.25">
      <c r="A12646" t="s">
        <v>2</v>
      </c>
      <c r="B12646" t="s">
        <v>3458</v>
      </c>
      <c r="C12646" t="s">
        <v>23490</v>
      </c>
      <c r="D12646" t="str">
        <f>HYPERLINK("https://rhld.insurance.arkansas.gov/NPILookup?Npi=1477167468","1477167468")</f>
        <v>1477167468</v>
      </c>
      <c r="E12646" t="s">
        <v>18002</v>
      </c>
    </row>
    <row r="12647" spans="1:5" x14ac:dyDescent="0.25">
      <c r="A12647" t="s">
        <v>2</v>
      </c>
      <c r="B12647" t="s">
        <v>3458</v>
      </c>
      <c r="C12647" t="s">
        <v>23490</v>
      </c>
      <c r="D12647" t="str">
        <f>HYPERLINK("https://rhld.insurance.arkansas.gov/NPILookup?Npi=1477170082","1477170082")</f>
        <v>1477170082</v>
      </c>
      <c r="E12647" t="s">
        <v>19749</v>
      </c>
    </row>
    <row r="12648" spans="1:5" x14ac:dyDescent="0.25">
      <c r="A12648" t="s">
        <v>2</v>
      </c>
      <c r="B12648" t="s">
        <v>3458</v>
      </c>
      <c r="C12648" t="s">
        <v>23490</v>
      </c>
      <c r="D12648" t="str">
        <f>HYPERLINK("https://rhld.insurance.arkansas.gov/NPILookup?Npi=1477207678","1477207678")</f>
        <v>1477207678</v>
      </c>
      <c r="E12648" t="s">
        <v>19750</v>
      </c>
    </row>
    <row r="12649" spans="1:5" x14ac:dyDescent="0.25">
      <c r="A12649" t="s">
        <v>2</v>
      </c>
      <c r="B12649" t="s">
        <v>3458</v>
      </c>
      <c r="C12649" t="s">
        <v>23490</v>
      </c>
      <c r="D12649" t="str">
        <f>HYPERLINK("https://rhld.insurance.arkansas.gov/NPILookup?Npi=1477209401","1477209401")</f>
        <v>1477209401</v>
      </c>
      <c r="E12649" t="s">
        <v>20947</v>
      </c>
    </row>
    <row r="12650" spans="1:5" x14ac:dyDescent="0.25">
      <c r="A12650" t="s">
        <v>2</v>
      </c>
      <c r="B12650" t="s">
        <v>3458</v>
      </c>
      <c r="C12650" t="s">
        <v>23490</v>
      </c>
      <c r="D12650" t="str">
        <f>HYPERLINK("https://rhld.insurance.arkansas.gov/NPILookup?Npi=1477217438","1477217438")</f>
        <v>1477217438</v>
      </c>
      <c r="E12650" t="s">
        <v>19751</v>
      </c>
    </row>
    <row r="12651" spans="1:5" x14ac:dyDescent="0.25">
      <c r="A12651" t="s">
        <v>2</v>
      </c>
      <c r="B12651" t="s">
        <v>3458</v>
      </c>
      <c r="C12651" t="s">
        <v>23490</v>
      </c>
      <c r="D12651" t="str">
        <f>HYPERLINK("https://rhld.insurance.arkansas.gov/NPILookup?Npi=1477501518","1477501518")</f>
        <v>1477501518</v>
      </c>
      <c r="E12651" t="s">
        <v>1676</v>
      </c>
    </row>
    <row r="12652" spans="1:5" x14ac:dyDescent="0.25">
      <c r="A12652" t="s">
        <v>2</v>
      </c>
      <c r="B12652" t="s">
        <v>3458</v>
      </c>
      <c r="C12652" t="s">
        <v>23490</v>
      </c>
      <c r="D12652" t="str">
        <f>HYPERLINK("https://rhld.insurance.arkansas.gov/NPILookup?Npi=1477502268","1477502268")</f>
        <v>1477502268</v>
      </c>
      <c r="E12652" t="s">
        <v>15171</v>
      </c>
    </row>
    <row r="12653" spans="1:5" x14ac:dyDescent="0.25">
      <c r="A12653" t="s">
        <v>2</v>
      </c>
      <c r="B12653" t="s">
        <v>3458</v>
      </c>
      <c r="C12653" t="s">
        <v>23490</v>
      </c>
      <c r="D12653" t="str">
        <f>HYPERLINK("https://rhld.insurance.arkansas.gov/NPILookup?Npi=1477509008","1477509008")</f>
        <v>1477509008</v>
      </c>
      <c r="E12653" t="s">
        <v>1677</v>
      </c>
    </row>
    <row r="12654" spans="1:5" x14ac:dyDescent="0.25">
      <c r="A12654" t="s">
        <v>2</v>
      </c>
      <c r="B12654" t="s">
        <v>3458</v>
      </c>
      <c r="C12654" t="s">
        <v>23490</v>
      </c>
      <c r="D12654" t="str">
        <f>HYPERLINK("https://rhld.insurance.arkansas.gov/NPILookup?Npi=1477511434","1477511434")</f>
        <v>1477511434</v>
      </c>
      <c r="E12654" t="s">
        <v>1678</v>
      </c>
    </row>
    <row r="12655" spans="1:5" x14ac:dyDescent="0.25">
      <c r="A12655" t="s">
        <v>2</v>
      </c>
      <c r="B12655" t="s">
        <v>3458</v>
      </c>
      <c r="C12655" t="s">
        <v>23490</v>
      </c>
      <c r="D12655" t="str">
        <f>HYPERLINK("https://rhld.insurance.arkansas.gov/NPILookup?Npi=1477513992","1477513992")</f>
        <v>1477513992</v>
      </c>
      <c r="E12655" t="s">
        <v>3748</v>
      </c>
    </row>
    <row r="12656" spans="1:5" x14ac:dyDescent="0.25">
      <c r="A12656" t="s">
        <v>2</v>
      </c>
      <c r="B12656" t="s">
        <v>3458</v>
      </c>
      <c r="C12656" t="s">
        <v>23490</v>
      </c>
      <c r="D12656" t="str">
        <f>HYPERLINK("https://rhld.insurance.arkansas.gov/NPILookup?Npi=1477517217","1477517217")</f>
        <v>1477517217</v>
      </c>
      <c r="E12656" t="s">
        <v>1679</v>
      </c>
    </row>
    <row r="12657" spans="1:5" x14ac:dyDescent="0.25">
      <c r="A12657" t="s">
        <v>2</v>
      </c>
      <c r="B12657" t="s">
        <v>3458</v>
      </c>
      <c r="C12657" t="s">
        <v>23490</v>
      </c>
      <c r="D12657" t="str">
        <f>HYPERLINK("https://rhld.insurance.arkansas.gov/NPILookup?Npi=1477521037","1477521037")</f>
        <v>1477521037</v>
      </c>
      <c r="E12657" t="s">
        <v>10963</v>
      </c>
    </row>
    <row r="12658" spans="1:5" x14ac:dyDescent="0.25">
      <c r="A12658" t="s">
        <v>2</v>
      </c>
      <c r="B12658" t="s">
        <v>3458</v>
      </c>
      <c r="C12658" t="s">
        <v>23490</v>
      </c>
      <c r="D12658" t="str">
        <f>HYPERLINK("https://rhld.insurance.arkansas.gov/NPILookup?Npi=1477522431","1477522431")</f>
        <v>1477522431</v>
      </c>
      <c r="E12658" t="s">
        <v>3749</v>
      </c>
    </row>
    <row r="12659" spans="1:5" x14ac:dyDescent="0.25">
      <c r="A12659" t="s">
        <v>2</v>
      </c>
      <c r="B12659" t="s">
        <v>3458</v>
      </c>
      <c r="C12659" t="s">
        <v>23490</v>
      </c>
      <c r="D12659" t="str">
        <f>HYPERLINK("https://rhld.insurance.arkansas.gov/NPILookup?Npi=1477523215","1477523215")</f>
        <v>1477523215</v>
      </c>
      <c r="E12659" t="s">
        <v>1680</v>
      </c>
    </row>
    <row r="12660" spans="1:5" x14ac:dyDescent="0.25">
      <c r="A12660" t="s">
        <v>2</v>
      </c>
      <c r="B12660" t="s">
        <v>3458</v>
      </c>
      <c r="C12660" t="s">
        <v>23490</v>
      </c>
      <c r="D12660" t="str">
        <f>HYPERLINK("https://rhld.insurance.arkansas.gov/NPILookup?Npi=1477523322","1477523322")</f>
        <v>1477523322</v>
      </c>
      <c r="E12660" t="s">
        <v>8981</v>
      </c>
    </row>
    <row r="12661" spans="1:5" x14ac:dyDescent="0.25">
      <c r="A12661" t="s">
        <v>2</v>
      </c>
      <c r="B12661" t="s">
        <v>3458</v>
      </c>
      <c r="C12661" t="s">
        <v>23490</v>
      </c>
      <c r="D12661" t="str">
        <f>HYPERLINK("https://rhld.insurance.arkansas.gov/NPILookup?Npi=1477540532","1477540532")</f>
        <v>1477540532</v>
      </c>
      <c r="E12661" t="s">
        <v>1682</v>
      </c>
    </row>
    <row r="12662" spans="1:5" x14ac:dyDescent="0.25">
      <c r="A12662" t="s">
        <v>2</v>
      </c>
      <c r="B12662" t="s">
        <v>3458</v>
      </c>
      <c r="C12662" t="s">
        <v>23490</v>
      </c>
      <c r="D12662" t="str">
        <f>HYPERLINK("https://rhld.insurance.arkansas.gov/NPILookup?Npi=1477550093","1477550093")</f>
        <v>1477550093</v>
      </c>
      <c r="E12662" t="s">
        <v>15172</v>
      </c>
    </row>
    <row r="12663" spans="1:5" x14ac:dyDescent="0.25">
      <c r="A12663" t="s">
        <v>2</v>
      </c>
      <c r="B12663" t="s">
        <v>3458</v>
      </c>
      <c r="C12663" t="s">
        <v>23490</v>
      </c>
      <c r="D12663" t="str">
        <f>HYPERLINK("https://rhld.insurance.arkansas.gov/NPILookup?Npi=1477550283","1477550283")</f>
        <v>1477550283</v>
      </c>
      <c r="E12663" t="s">
        <v>15173</v>
      </c>
    </row>
    <row r="12664" spans="1:5" x14ac:dyDescent="0.25">
      <c r="A12664" t="s">
        <v>2</v>
      </c>
      <c r="B12664" t="s">
        <v>3458</v>
      </c>
      <c r="C12664" t="s">
        <v>23490</v>
      </c>
      <c r="D12664" t="str">
        <f>HYPERLINK("https://rhld.insurance.arkansas.gov/NPILookup?Npi=1477560712","1477560712")</f>
        <v>1477560712</v>
      </c>
      <c r="E12664" t="s">
        <v>15174</v>
      </c>
    </row>
    <row r="12665" spans="1:5" x14ac:dyDescent="0.25">
      <c r="A12665" t="s">
        <v>2</v>
      </c>
      <c r="B12665" t="s">
        <v>3458</v>
      </c>
      <c r="C12665" t="s">
        <v>23490</v>
      </c>
      <c r="D12665" t="str">
        <f>HYPERLINK("https://rhld.insurance.arkansas.gov/NPILookup?Npi=1477585859","1477585859")</f>
        <v>1477585859</v>
      </c>
      <c r="E12665" t="s">
        <v>4615</v>
      </c>
    </row>
    <row r="12666" spans="1:5" x14ac:dyDescent="0.25">
      <c r="A12666" t="s">
        <v>2</v>
      </c>
      <c r="B12666" t="s">
        <v>3458</v>
      </c>
      <c r="C12666" t="s">
        <v>23490</v>
      </c>
      <c r="D12666" t="str">
        <f>HYPERLINK("https://rhld.insurance.arkansas.gov/NPILookup?Npi=1477586345","1477586345")</f>
        <v>1477586345</v>
      </c>
      <c r="E12666" t="s">
        <v>1684</v>
      </c>
    </row>
    <row r="12667" spans="1:5" x14ac:dyDescent="0.25">
      <c r="A12667" t="s">
        <v>2</v>
      </c>
      <c r="B12667" t="s">
        <v>3458</v>
      </c>
      <c r="C12667" t="s">
        <v>23490</v>
      </c>
      <c r="D12667" t="str">
        <f>HYPERLINK("https://rhld.insurance.arkansas.gov/NPILookup?Npi=1477587525","1477587525")</f>
        <v>1477587525</v>
      </c>
      <c r="E12667" t="s">
        <v>15175</v>
      </c>
    </row>
    <row r="12668" spans="1:5" x14ac:dyDescent="0.25">
      <c r="A12668" t="s">
        <v>2</v>
      </c>
      <c r="B12668" t="s">
        <v>3458</v>
      </c>
      <c r="C12668" t="s">
        <v>23490</v>
      </c>
      <c r="D12668" t="str">
        <f>HYPERLINK("https://rhld.insurance.arkansas.gov/NPILookup?Npi=1477591147","1477591147")</f>
        <v>1477591147</v>
      </c>
      <c r="E12668" t="s">
        <v>8689</v>
      </c>
    </row>
    <row r="12669" spans="1:5" x14ac:dyDescent="0.25">
      <c r="A12669" t="s">
        <v>2</v>
      </c>
      <c r="B12669" t="s">
        <v>3458</v>
      </c>
      <c r="C12669" t="s">
        <v>23490</v>
      </c>
      <c r="D12669" t="str">
        <f>HYPERLINK("https://rhld.insurance.arkansas.gov/NPILookup?Npi=1477592632","1477592632")</f>
        <v>1477592632</v>
      </c>
      <c r="E12669" t="s">
        <v>15176</v>
      </c>
    </row>
    <row r="12670" spans="1:5" x14ac:dyDescent="0.25">
      <c r="A12670" t="s">
        <v>2</v>
      </c>
      <c r="B12670" t="s">
        <v>3458</v>
      </c>
      <c r="C12670" t="s">
        <v>23490</v>
      </c>
      <c r="D12670" t="str">
        <f>HYPERLINK("https://rhld.insurance.arkansas.gov/NPILookup?Npi=1477606028","1477606028")</f>
        <v>1477606028</v>
      </c>
      <c r="E12670" t="s">
        <v>1685</v>
      </c>
    </row>
    <row r="12671" spans="1:5" x14ac:dyDescent="0.25">
      <c r="A12671" t="s">
        <v>2</v>
      </c>
      <c r="B12671" t="s">
        <v>3458</v>
      </c>
      <c r="C12671" t="s">
        <v>23490</v>
      </c>
      <c r="D12671" t="str">
        <f>HYPERLINK("https://rhld.insurance.arkansas.gov/NPILookup?Npi=1477614402","1477614402")</f>
        <v>1477614402</v>
      </c>
      <c r="E12671" t="s">
        <v>15864</v>
      </c>
    </row>
    <row r="12672" spans="1:5" x14ac:dyDescent="0.25">
      <c r="A12672" t="s">
        <v>2</v>
      </c>
      <c r="B12672" t="s">
        <v>3458</v>
      </c>
      <c r="C12672" t="s">
        <v>23490</v>
      </c>
      <c r="D12672" t="str">
        <f>HYPERLINK("https://rhld.insurance.arkansas.gov/NPILookup?Npi=1477632099","1477632099")</f>
        <v>1477632099</v>
      </c>
      <c r="E12672" t="s">
        <v>1686</v>
      </c>
    </row>
    <row r="12673" spans="1:5" x14ac:dyDescent="0.25">
      <c r="A12673" t="s">
        <v>2</v>
      </c>
      <c r="B12673" t="s">
        <v>3458</v>
      </c>
      <c r="C12673" t="s">
        <v>23490</v>
      </c>
      <c r="D12673" t="str">
        <f>HYPERLINK("https://rhld.insurance.arkansas.gov/NPILookup?Npi=1477642817","1477642817")</f>
        <v>1477642817</v>
      </c>
      <c r="E12673" t="s">
        <v>1687</v>
      </c>
    </row>
    <row r="12674" spans="1:5" x14ac:dyDescent="0.25">
      <c r="A12674" t="s">
        <v>2</v>
      </c>
      <c r="B12674" t="s">
        <v>3458</v>
      </c>
      <c r="C12674" t="s">
        <v>23490</v>
      </c>
      <c r="D12674" t="str">
        <f>HYPERLINK("https://rhld.insurance.arkansas.gov/NPILookup?Npi=1477644979","1477644979")</f>
        <v>1477644979</v>
      </c>
      <c r="E12674" t="s">
        <v>1688</v>
      </c>
    </row>
    <row r="12675" spans="1:5" x14ac:dyDescent="0.25">
      <c r="A12675" t="s">
        <v>2</v>
      </c>
      <c r="B12675" t="s">
        <v>3458</v>
      </c>
      <c r="C12675" t="s">
        <v>23490</v>
      </c>
      <c r="D12675" t="str">
        <f>HYPERLINK("https://rhld.insurance.arkansas.gov/NPILookup?Npi=1477660637","1477660637")</f>
        <v>1477660637</v>
      </c>
      <c r="E12675" t="s">
        <v>1689</v>
      </c>
    </row>
    <row r="12676" spans="1:5" x14ac:dyDescent="0.25">
      <c r="A12676" t="s">
        <v>2</v>
      </c>
      <c r="B12676" t="s">
        <v>3458</v>
      </c>
      <c r="C12676" t="s">
        <v>23490</v>
      </c>
      <c r="D12676" t="str">
        <f>HYPERLINK("https://rhld.insurance.arkansas.gov/NPILookup?Npi=1477665446","1477665446")</f>
        <v>1477665446</v>
      </c>
      <c r="E12676" t="s">
        <v>1690</v>
      </c>
    </row>
    <row r="12677" spans="1:5" x14ac:dyDescent="0.25">
      <c r="A12677" t="s">
        <v>2</v>
      </c>
      <c r="B12677" t="s">
        <v>3458</v>
      </c>
      <c r="C12677" t="s">
        <v>23490</v>
      </c>
      <c r="D12677" t="str">
        <f>HYPERLINK("https://rhld.insurance.arkansas.gov/NPILookup?Npi=1477683886","1477683886")</f>
        <v>1477683886</v>
      </c>
      <c r="E12677" t="s">
        <v>8691</v>
      </c>
    </row>
    <row r="12678" spans="1:5" x14ac:dyDescent="0.25">
      <c r="A12678" t="s">
        <v>2</v>
      </c>
      <c r="B12678" t="s">
        <v>3458</v>
      </c>
      <c r="C12678" t="s">
        <v>23490</v>
      </c>
      <c r="D12678" t="str">
        <f>HYPERLINK("https://rhld.insurance.arkansas.gov/NPILookup?Npi=1477692630","1477692630")</f>
        <v>1477692630</v>
      </c>
      <c r="E12678" t="s">
        <v>8692</v>
      </c>
    </row>
    <row r="12679" spans="1:5" x14ac:dyDescent="0.25">
      <c r="A12679" t="s">
        <v>2</v>
      </c>
      <c r="B12679" t="s">
        <v>3458</v>
      </c>
      <c r="C12679" t="s">
        <v>23490</v>
      </c>
      <c r="D12679" t="str">
        <f>HYPERLINK("https://rhld.insurance.arkansas.gov/NPILookup?Npi=1477696284","1477696284")</f>
        <v>1477696284</v>
      </c>
      <c r="E12679" t="s">
        <v>1692</v>
      </c>
    </row>
    <row r="12680" spans="1:5" x14ac:dyDescent="0.25">
      <c r="A12680" t="s">
        <v>2</v>
      </c>
      <c r="B12680" t="s">
        <v>3458</v>
      </c>
      <c r="C12680" t="s">
        <v>23490</v>
      </c>
      <c r="D12680" t="str">
        <f>HYPERLINK("https://rhld.insurance.arkansas.gov/NPILookup?Npi=1477696821","1477696821")</f>
        <v>1477696821</v>
      </c>
      <c r="E12680" t="s">
        <v>15177</v>
      </c>
    </row>
    <row r="12681" spans="1:5" x14ac:dyDescent="0.25">
      <c r="A12681" t="s">
        <v>2</v>
      </c>
      <c r="B12681" t="s">
        <v>3458</v>
      </c>
      <c r="C12681" t="s">
        <v>23490</v>
      </c>
      <c r="D12681" t="str">
        <f>HYPERLINK("https://rhld.insurance.arkansas.gov/NPILookup?Npi=1477706836","1477706836")</f>
        <v>1477706836</v>
      </c>
      <c r="E12681" t="s">
        <v>10964</v>
      </c>
    </row>
    <row r="12682" spans="1:5" x14ac:dyDescent="0.25">
      <c r="A12682" t="s">
        <v>2</v>
      </c>
      <c r="B12682" t="s">
        <v>3458</v>
      </c>
      <c r="C12682" t="s">
        <v>23490</v>
      </c>
      <c r="D12682" t="str">
        <f>HYPERLINK("https://rhld.insurance.arkansas.gov/NPILookup?Npi=1477738342","1477738342")</f>
        <v>1477738342</v>
      </c>
      <c r="E12682" t="s">
        <v>1694</v>
      </c>
    </row>
    <row r="12683" spans="1:5" x14ac:dyDescent="0.25">
      <c r="A12683" t="s">
        <v>2</v>
      </c>
      <c r="B12683" t="s">
        <v>3458</v>
      </c>
      <c r="C12683" t="s">
        <v>23490</v>
      </c>
      <c r="D12683" t="str">
        <f>HYPERLINK("https://rhld.insurance.arkansas.gov/NPILookup?Npi=1477745644","1477745644")</f>
        <v>1477745644</v>
      </c>
      <c r="E12683" t="s">
        <v>1696</v>
      </c>
    </row>
    <row r="12684" spans="1:5" x14ac:dyDescent="0.25">
      <c r="A12684" t="s">
        <v>2</v>
      </c>
      <c r="B12684" t="s">
        <v>3458</v>
      </c>
      <c r="C12684" t="s">
        <v>23490</v>
      </c>
      <c r="D12684" t="str">
        <f>HYPERLINK("https://rhld.insurance.arkansas.gov/NPILookup?Npi=1477757912","1477757912")</f>
        <v>1477757912</v>
      </c>
      <c r="E12684" t="s">
        <v>3750</v>
      </c>
    </row>
    <row r="12685" spans="1:5" x14ac:dyDescent="0.25">
      <c r="A12685" t="s">
        <v>2</v>
      </c>
      <c r="B12685" t="s">
        <v>3458</v>
      </c>
      <c r="C12685" t="s">
        <v>23490</v>
      </c>
      <c r="D12685" t="str">
        <f>HYPERLINK("https://rhld.insurance.arkansas.gov/NPILookup?Npi=1477792869","1477792869")</f>
        <v>1477792869</v>
      </c>
      <c r="E12685" t="s">
        <v>1698</v>
      </c>
    </row>
    <row r="12686" spans="1:5" x14ac:dyDescent="0.25">
      <c r="A12686" t="s">
        <v>2</v>
      </c>
      <c r="B12686" t="s">
        <v>3458</v>
      </c>
      <c r="C12686" t="s">
        <v>23490</v>
      </c>
      <c r="D12686" t="str">
        <f>HYPERLINK("https://rhld.insurance.arkansas.gov/NPILookup?Npi=1477793362","1477793362")</f>
        <v>1477793362</v>
      </c>
      <c r="E12686" t="s">
        <v>3751</v>
      </c>
    </row>
    <row r="12687" spans="1:5" x14ac:dyDescent="0.25">
      <c r="A12687" t="s">
        <v>2</v>
      </c>
      <c r="B12687" t="s">
        <v>3458</v>
      </c>
      <c r="C12687" t="s">
        <v>23490</v>
      </c>
      <c r="D12687" t="str">
        <f>HYPERLINK("https://rhld.insurance.arkansas.gov/NPILookup?Npi=1477817914","1477817914")</f>
        <v>1477817914</v>
      </c>
      <c r="E12687" t="s">
        <v>10965</v>
      </c>
    </row>
    <row r="12688" spans="1:5" x14ac:dyDescent="0.25">
      <c r="A12688" t="s">
        <v>2</v>
      </c>
      <c r="B12688" t="s">
        <v>3458</v>
      </c>
      <c r="C12688" t="s">
        <v>23490</v>
      </c>
      <c r="D12688" t="str">
        <f>HYPERLINK("https://rhld.insurance.arkansas.gov/NPILookup?Npi=1477845451","1477845451")</f>
        <v>1477845451</v>
      </c>
      <c r="E12688" t="s">
        <v>3752</v>
      </c>
    </row>
    <row r="12689" spans="1:5" x14ac:dyDescent="0.25">
      <c r="A12689" t="s">
        <v>2</v>
      </c>
      <c r="B12689" t="s">
        <v>3458</v>
      </c>
      <c r="C12689" t="s">
        <v>23490</v>
      </c>
      <c r="D12689" t="str">
        <f>HYPERLINK("https://rhld.insurance.arkansas.gov/NPILookup?Npi=1477850964","1477850964")</f>
        <v>1477850964</v>
      </c>
      <c r="E12689" t="s">
        <v>15178</v>
      </c>
    </row>
    <row r="12690" spans="1:5" x14ac:dyDescent="0.25">
      <c r="A12690" t="s">
        <v>2</v>
      </c>
      <c r="B12690" t="s">
        <v>3458</v>
      </c>
      <c r="C12690" t="s">
        <v>23490</v>
      </c>
      <c r="D12690" t="str">
        <f>HYPERLINK("https://rhld.insurance.arkansas.gov/NPILookup?Npi=1477870822","1477870822")</f>
        <v>1477870822</v>
      </c>
      <c r="E12690" t="s">
        <v>15865</v>
      </c>
    </row>
    <row r="12691" spans="1:5" x14ac:dyDescent="0.25">
      <c r="A12691" t="s">
        <v>2</v>
      </c>
      <c r="B12691" t="s">
        <v>3458</v>
      </c>
      <c r="C12691" t="s">
        <v>23490</v>
      </c>
      <c r="D12691" t="str">
        <f>HYPERLINK("https://rhld.insurance.arkansas.gov/NPILookup?Npi=1477888105","1477888105")</f>
        <v>1477888105</v>
      </c>
      <c r="E12691" t="s">
        <v>16964</v>
      </c>
    </row>
    <row r="12692" spans="1:5" x14ac:dyDescent="0.25">
      <c r="A12692" t="s">
        <v>2</v>
      </c>
      <c r="B12692" t="s">
        <v>3458</v>
      </c>
      <c r="C12692" t="s">
        <v>23490</v>
      </c>
      <c r="D12692" t="str">
        <f>HYPERLINK("https://rhld.insurance.arkansas.gov/NPILookup?Npi=1477893873","1477893873")</f>
        <v>1477893873</v>
      </c>
      <c r="E12692" t="s">
        <v>15179</v>
      </c>
    </row>
    <row r="12693" spans="1:5" x14ac:dyDescent="0.25">
      <c r="A12693" t="s">
        <v>2</v>
      </c>
      <c r="B12693" t="s">
        <v>3458</v>
      </c>
      <c r="C12693" t="s">
        <v>23490</v>
      </c>
      <c r="D12693" t="str">
        <f>HYPERLINK("https://rhld.insurance.arkansas.gov/NPILookup?Npi=1477913853","1477913853")</f>
        <v>1477913853</v>
      </c>
      <c r="E12693" t="s">
        <v>10967</v>
      </c>
    </row>
    <row r="12694" spans="1:5" x14ac:dyDescent="0.25">
      <c r="A12694" t="s">
        <v>2</v>
      </c>
      <c r="B12694" t="s">
        <v>3458</v>
      </c>
      <c r="C12694" t="s">
        <v>23490</v>
      </c>
      <c r="D12694" t="str">
        <f>HYPERLINK("https://rhld.insurance.arkansas.gov/NPILookup?Npi=1477915593","1477915593")</f>
        <v>1477915593</v>
      </c>
      <c r="E12694" t="s">
        <v>10969</v>
      </c>
    </row>
    <row r="12695" spans="1:5" x14ac:dyDescent="0.25">
      <c r="A12695" t="s">
        <v>2</v>
      </c>
      <c r="B12695" t="s">
        <v>3458</v>
      </c>
      <c r="C12695" t="s">
        <v>23490</v>
      </c>
      <c r="D12695" t="str">
        <f>HYPERLINK("https://rhld.insurance.arkansas.gov/NPILookup?Npi=1477918738","1477918738")</f>
        <v>1477918738</v>
      </c>
      <c r="E12695" t="s">
        <v>10970</v>
      </c>
    </row>
    <row r="12696" spans="1:5" x14ac:dyDescent="0.25">
      <c r="A12696" t="s">
        <v>2</v>
      </c>
      <c r="B12696" t="s">
        <v>3458</v>
      </c>
      <c r="C12696" t="s">
        <v>23490</v>
      </c>
      <c r="D12696" t="str">
        <f>HYPERLINK("https://rhld.insurance.arkansas.gov/NPILookup?Npi=1477932242","1477932242")</f>
        <v>1477932242</v>
      </c>
      <c r="E12696" t="s">
        <v>13555</v>
      </c>
    </row>
    <row r="12697" spans="1:5" x14ac:dyDescent="0.25">
      <c r="A12697" t="s">
        <v>2</v>
      </c>
      <c r="B12697" t="s">
        <v>3458</v>
      </c>
      <c r="C12697" t="s">
        <v>23490</v>
      </c>
      <c r="D12697" t="str">
        <f>HYPERLINK("https://rhld.insurance.arkansas.gov/NPILookup?Npi=1477940971","1477940971")</f>
        <v>1477940971</v>
      </c>
      <c r="E12697" t="s">
        <v>12850</v>
      </c>
    </row>
    <row r="12698" spans="1:5" x14ac:dyDescent="0.25">
      <c r="A12698" t="s">
        <v>2</v>
      </c>
      <c r="B12698" t="s">
        <v>3458</v>
      </c>
      <c r="C12698" t="s">
        <v>23490</v>
      </c>
      <c r="D12698" t="str">
        <f>HYPERLINK("https://rhld.insurance.arkansas.gov/NPILookup?Npi=1477949238","1477949238")</f>
        <v>1477949238</v>
      </c>
      <c r="E12698" t="s">
        <v>13556</v>
      </c>
    </row>
    <row r="12699" spans="1:5" x14ac:dyDescent="0.25">
      <c r="A12699" t="s">
        <v>2</v>
      </c>
      <c r="B12699" t="s">
        <v>3458</v>
      </c>
      <c r="C12699" t="s">
        <v>23490</v>
      </c>
      <c r="D12699" t="str">
        <f>HYPERLINK("https://rhld.insurance.arkansas.gov/NPILookup?Npi=1477955078","1477955078")</f>
        <v>1477955078</v>
      </c>
      <c r="E12699" t="s">
        <v>15182</v>
      </c>
    </row>
    <row r="12700" spans="1:5" x14ac:dyDescent="0.25">
      <c r="A12700" t="s">
        <v>2</v>
      </c>
      <c r="B12700" t="s">
        <v>3458</v>
      </c>
      <c r="C12700" t="s">
        <v>23490</v>
      </c>
      <c r="D12700" t="str">
        <f>HYPERLINK("https://rhld.insurance.arkansas.gov/NPILookup?Npi=1477955177","1477955177")</f>
        <v>1477955177</v>
      </c>
      <c r="E12700" t="s">
        <v>15183</v>
      </c>
    </row>
    <row r="12701" spans="1:5" x14ac:dyDescent="0.25">
      <c r="A12701" t="s">
        <v>2</v>
      </c>
      <c r="B12701" t="s">
        <v>3458</v>
      </c>
      <c r="C12701" t="s">
        <v>23490</v>
      </c>
      <c r="D12701" t="str">
        <f>HYPERLINK("https://rhld.insurance.arkansas.gov/NPILookup?Npi=1477958114","1477958114")</f>
        <v>1477958114</v>
      </c>
      <c r="E12701" t="s">
        <v>1701</v>
      </c>
    </row>
    <row r="12702" spans="1:5" x14ac:dyDescent="0.25">
      <c r="A12702" t="s">
        <v>2</v>
      </c>
      <c r="B12702" t="s">
        <v>3458</v>
      </c>
      <c r="C12702" t="s">
        <v>23490</v>
      </c>
      <c r="D12702" t="str">
        <f>HYPERLINK("https://rhld.insurance.arkansas.gov/NPILookup?Npi=1477960995","1477960995")</f>
        <v>1477960995</v>
      </c>
      <c r="E12702" t="s">
        <v>1702</v>
      </c>
    </row>
    <row r="12703" spans="1:5" x14ac:dyDescent="0.25">
      <c r="A12703" t="s">
        <v>2</v>
      </c>
      <c r="B12703" t="s">
        <v>3458</v>
      </c>
      <c r="C12703" t="s">
        <v>23490</v>
      </c>
      <c r="D12703" t="str">
        <f>HYPERLINK("https://rhld.insurance.arkansas.gov/NPILookup?Npi=1477978054","1477978054")</f>
        <v>1477978054</v>
      </c>
      <c r="E12703" t="s">
        <v>1703</v>
      </c>
    </row>
    <row r="12704" spans="1:5" x14ac:dyDescent="0.25">
      <c r="A12704" t="s">
        <v>2</v>
      </c>
      <c r="B12704" t="s">
        <v>3458</v>
      </c>
      <c r="C12704" t="s">
        <v>23490</v>
      </c>
      <c r="D12704" t="str">
        <f>HYPERLINK("https://rhld.insurance.arkansas.gov/NPILookup?Npi=1477992352","1477992352")</f>
        <v>1477992352</v>
      </c>
      <c r="E12704" t="s">
        <v>8693</v>
      </c>
    </row>
    <row r="12705" spans="1:5" x14ac:dyDescent="0.25">
      <c r="A12705" t="s">
        <v>2</v>
      </c>
      <c r="B12705" t="s">
        <v>3458</v>
      </c>
      <c r="C12705" t="s">
        <v>23490</v>
      </c>
      <c r="D12705" t="str">
        <f>HYPERLINK("https://rhld.insurance.arkansas.gov/NPILookup?Npi=1477999282","1477999282")</f>
        <v>1477999282</v>
      </c>
      <c r="E12705" t="s">
        <v>10972</v>
      </c>
    </row>
    <row r="12706" spans="1:5" x14ac:dyDescent="0.25">
      <c r="A12706" t="s">
        <v>2</v>
      </c>
      <c r="B12706" t="s">
        <v>3458</v>
      </c>
      <c r="C12706" t="s">
        <v>23490</v>
      </c>
      <c r="D12706" t="str">
        <f>HYPERLINK("https://rhld.insurance.arkansas.gov/NPILookup?Npi=1487000808","1487000808")</f>
        <v>1487000808</v>
      </c>
      <c r="E12706" t="s">
        <v>10973</v>
      </c>
    </row>
    <row r="12707" spans="1:5" x14ac:dyDescent="0.25">
      <c r="A12707" t="s">
        <v>2</v>
      </c>
      <c r="B12707" t="s">
        <v>3458</v>
      </c>
      <c r="C12707" t="s">
        <v>23490</v>
      </c>
      <c r="D12707" t="str">
        <f>HYPERLINK("https://rhld.insurance.arkansas.gov/NPILookup?Npi=1487001848","1487001848")</f>
        <v>1487001848</v>
      </c>
      <c r="E12707" t="s">
        <v>12851</v>
      </c>
    </row>
    <row r="12708" spans="1:5" x14ac:dyDescent="0.25">
      <c r="A12708" t="s">
        <v>2</v>
      </c>
      <c r="B12708" t="s">
        <v>3458</v>
      </c>
      <c r="C12708" t="s">
        <v>23490</v>
      </c>
      <c r="D12708" t="str">
        <f>HYPERLINK("https://rhld.insurance.arkansas.gov/NPILookup?Npi=1487004461","1487004461")</f>
        <v>1487004461</v>
      </c>
      <c r="E12708" t="s">
        <v>10974</v>
      </c>
    </row>
    <row r="12709" spans="1:5" x14ac:dyDescent="0.25">
      <c r="A12709" t="s">
        <v>2</v>
      </c>
      <c r="B12709" t="s">
        <v>3458</v>
      </c>
      <c r="C12709" t="s">
        <v>23490</v>
      </c>
      <c r="D12709" t="str">
        <f>HYPERLINK("https://rhld.insurance.arkansas.gov/NPILookup?Npi=1487011383","1487011383")</f>
        <v>1487011383</v>
      </c>
      <c r="E12709" t="s">
        <v>16965</v>
      </c>
    </row>
    <row r="12710" spans="1:5" x14ac:dyDescent="0.25">
      <c r="A12710" t="s">
        <v>2</v>
      </c>
      <c r="B12710" t="s">
        <v>3458</v>
      </c>
      <c r="C12710" t="s">
        <v>23490</v>
      </c>
      <c r="D12710" t="str">
        <f>HYPERLINK("https://rhld.insurance.arkansas.gov/NPILookup?Npi=1487020855","1487020855")</f>
        <v>1487020855</v>
      </c>
      <c r="E12710" t="s">
        <v>1704</v>
      </c>
    </row>
    <row r="12711" spans="1:5" x14ac:dyDescent="0.25">
      <c r="A12711" t="s">
        <v>2</v>
      </c>
      <c r="B12711" t="s">
        <v>3458</v>
      </c>
      <c r="C12711" t="s">
        <v>23490</v>
      </c>
      <c r="D12711" t="str">
        <f>HYPERLINK("https://rhld.insurance.arkansas.gov/NPILookup?Npi=1487045795","1487045795")</f>
        <v>1487045795</v>
      </c>
      <c r="E12711" t="s">
        <v>21554</v>
      </c>
    </row>
    <row r="12712" spans="1:5" x14ac:dyDescent="0.25">
      <c r="A12712" t="s">
        <v>2</v>
      </c>
      <c r="B12712" t="s">
        <v>3458</v>
      </c>
      <c r="C12712" t="s">
        <v>23490</v>
      </c>
      <c r="D12712" t="str">
        <f>HYPERLINK("https://rhld.insurance.arkansas.gov/NPILookup?Npi=1487049953","1487049953")</f>
        <v>1487049953</v>
      </c>
      <c r="E12712" t="s">
        <v>13557</v>
      </c>
    </row>
    <row r="12713" spans="1:5" x14ac:dyDescent="0.25">
      <c r="A12713" t="s">
        <v>2</v>
      </c>
      <c r="B12713" t="s">
        <v>3458</v>
      </c>
      <c r="C12713" t="s">
        <v>23490</v>
      </c>
      <c r="D12713" t="str">
        <f>HYPERLINK("https://rhld.insurance.arkansas.gov/NPILookup?Npi=1487063897","1487063897")</f>
        <v>1487063897</v>
      </c>
      <c r="E12713" t="s">
        <v>8694</v>
      </c>
    </row>
    <row r="12714" spans="1:5" x14ac:dyDescent="0.25">
      <c r="A12714" t="s">
        <v>2</v>
      </c>
      <c r="B12714" t="s">
        <v>3458</v>
      </c>
      <c r="C12714" t="s">
        <v>23490</v>
      </c>
      <c r="D12714" t="str">
        <f>HYPERLINK("https://rhld.insurance.arkansas.gov/NPILookup?Npi=1487071031","1487071031")</f>
        <v>1487071031</v>
      </c>
      <c r="E12714" t="s">
        <v>10976</v>
      </c>
    </row>
    <row r="12715" spans="1:5" x14ac:dyDescent="0.25">
      <c r="A12715" t="s">
        <v>2</v>
      </c>
      <c r="B12715" t="s">
        <v>3458</v>
      </c>
      <c r="C12715" t="s">
        <v>23490</v>
      </c>
      <c r="D12715" t="str">
        <f>HYPERLINK("https://rhld.insurance.arkansas.gov/NPILookup?Npi=1487072906","1487072906")</f>
        <v>1487072906</v>
      </c>
      <c r="E12715" t="s">
        <v>11459</v>
      </c>
    </row>
    <row r="12716" spans="1:5" x14ac:dyDescent="0.25">
      <c r="A12716" t="s">
        <v>2</v>
      </c>
      <c r="B12716" t="s">
        <v>3458</v>
      </c>
      <c r="C12716" t="s">
        <v>23490</v>
      </c>
      <c r="D12716" t="str">
        <f>HYPERLINK("https://rhld.insurance.arkansas.gov/NPILookup?Npi=1487074639","1487074639")</f>
        <v>1487074639</v>
      </c>
      <c r="E12716" t="s">
        <v>8695</v>
      </c>
    </row>
    <row r="12717" spans="1:5" x14ac:dyDescent="0.25">
      <c r="A12717" t="s">
        <v>2</v>
      </c>
      <c r="B12717" t="s">
        <v>3458</v>
      </c>
      <c r="C12717" t="s">
        <v>23490</v>
      </c>
      <c r="D12717" t="str">
        <f>HYPERLINK("https://rhld.insurance.arkansas.gov/NPILookup?Npi=1487074712","1487074712")</f>
        <v>1487074712</v>
      </c>
      <c r="E12717" t="s">
        <v>13850</v>
      </c>
    </row>
    <row r="12718" spans="1:5" x14ac:dyDescent="0.25">
      <c r="A12718" t="s">
        <v>2</v>
      </c>
      <c r="B12718" t="s">
        <v>3458</v>
      </c>
      <c r="C12718" t="s">
        <v>23490</v>
      </c>
      <c r="D12718" t="str">
        <f>HYPERLINK("https://rhld.insurance.arkansas.gov/NPILookup?Npi=1487078879","1487078879")</f>
        <v>1487078879</v>
      </c>
      <c r="E12718" t="s">
        <v>10977</v>
      </c>
    </row>
    <row r="12719" spans="1:5" x14ac:dyDescent="0.25">
      <c r="A12719" t="s">
        <v>2</v>
      </c>
      <c r="B12719" t="s">
        <v>3458</v>
      </c>
      <c r="C12719" t="s">
        <v>23490</v>
      </c>
      <c r="D12719" t="str">
        <f>HYPERLINK("https://rhld.insurance.arkansas.gov/NPILookup?Npi=1487080461","1487080461")</f>
        <v>1487080461</v>
      </c>
      <c r="E12719" t="s">
        <v>1705</v>
      </c>
    </row>
    <row r="12720" spans="1:5" x14ac:dyDescent="0.25">
      <c r="A12720" t="s">
        <v>2</v>
      </c>
      <c r="B12720" t="s">
        <v>3458</v>
      </c>
      <c r="C12720" t="s">
        <v>23490</v>
      </c>
      <c r="D12720" t="str">
        <f>HYPERLINK("https://rhld.insurance.arkansas.gov/NPILookup?Npi=1487097028","1487097028")</f>
        <v>1487097028</v>
      </c>
      <c r="E12720" t="s">
        <v>10978</v>
      </c>
    </row>
    <row r="12721" spans="1:5" x14ac:dyDescent="0.25">
      <c r="A12721" t="s">
        <v>2</v>
      </c>
      <c r="B12721" t="s">
        <v>3458</v>
      </c>
      <c r="C12721" t="s">
        <v>23490</v>
      </c>
      <c r="D12721" t="str">
        <f>HYPERLINK("https://rhld.insurance.arkansas.gov/NPILookup?Npi=1487104907","1487104907")</f>
        <v>1487104907</v>
      </c>
      <c r="E12721" t="s">
        <v>10979</v>
      </c>
    </row>
    <row r="12722" spans="1:5" x14ac:dyDescent="0.25">
      <c r="A12722" t="s">
        <v>2</v>
      </c>
      <c r="B12722" t="s">
        <v>3458</v>
      </c>
      <c r="C12722" t="s">
        <v>23490</v>
      </c>
      <c r="D12722" t="str">
        <f>HYPERLINK("https://rhld.insurance.arkansas.gov/NPILookup?Npi=1487110573","1487110573")</f>
        <v>1487110573</v>
      </c>
      <c r="E12722" t="s">
        <v>18789</v>
      </c>
    </row>
    <row r="12723" spans="1:5" x14ac:dyDescent="0.25">
      <c r="A12723" t="s">
        <v>2</v>
      </c>
      <c r="B12723" t="s">
        <v>3458</v>
      </c>
      <c r="C12723" t="s">
        <v>23490</v>
      </c>
      <c r="D12723" t="str">
        <f>HYPERLINK("https://rhld.insurance.arkansas.gov/NPILookup?Npi=1487113148","1487113148")</f>
        <v>1487113148</v>
      </c>
      <c r="E12723" t="s">
        <v>19758</v>
      </c>
    </row>
    <row r="12724" spans="1:5" x14ac:dyDescent="0.25">
      <c r="A12724" t="s">
        <v>2</v>
      </c>
      <c r="B12724" t="s">
        <v>3458</v>
      </c>
      <c r="C12724" t="s">
        <v>23490</v>
      </c>
      <c r="D12724" t="str">
        <f>HYPERLINK("https://rhld.insurance.arkansas.gov/NPILookup?Npi=1487114997","1487114997")</f>
        <v>1487114997</v>
      </c>
      <c r="E12724" t="s">
        <v>13131</v>
      </c>
    </row>
    <row r="12725" spans="1:5" x14ac:dyDescent="0.25">
      <c r="A12725" t="s">
        <v>2</v>
      </c>
      <c r="B12725" t="s">
        <v>3458</v>
      </c>
      <c r="C12725" t="s">
        <v>23490</v>
      </c>
      <c r="D12725" t="str">
        <f>HYPERLINK("https://rhld.insurance.arkansas.gov/NPILookup?Npi=1487122784","1487122784")</f>
        <v>1487122784</v>
      </c>
      <c r="E12725" t="s">
        <v>13559</v>
      </c>
    </row>
    <row r="12726" spans="1:5" x14ac:dyDescent="0.25">
      <c r="A12726" t="s">
        <v>2</v>
      </c>
      <c r="B12726" t="s">
        <v>3458</v>
      </c>
      <c r="C12726" t="s">
        <v>23490</v>
      </c>
      <c r="D12726" t="str">
        <f>HYPERLINK("https://rhld.insurance.arkansas.gov/NPILookup?Npi=1487127973","1487127973")</f>
        <v>1487127973</v>
      </c>
      <c r="E12726" t="s">
        <v>18790</v>
      </c>
    </row>
    <row r="12727" spans="1:5" x14ac:dyDescent="0.25">
      <c r="A12727" t="s">
        <v>2</v>
      </c>
      <c r="B12727" t="s">
        <v>3458</v>
      </c>
      <c r="C12727" t="s">
        <v>23490</v>
      </c>
      <c r="D12727" t="str">
        <f>HYPERLINK("https://rhld.insurance.arkansas.gov/NPILookup?Npi=1487130696","1487130696")</f>
        <v>1487130696</v>
      </c>
      <c r="E12727" t="s">
        <v>18925</v>
      </c>
    </row>
    <row r="12728" spans="1:5" x14ac:dyDescent="0.25">
      <c r="A12728" t="s">
        <v>2</v>
      </c>
      <c r="B12728" t="s">
        <v>3458</v>
      </c>
      <c r="C12728" t="s">
        <v>23490</v>
      </c>
      <c r="D12728" t="str">
        <f>HYPERLINK("https://rhld.insurance.arkansas.gov/NPILookup?Npi=1487165387","1487165387")</f>
        <v>1487165387</v>
      </c>
      <c r="E12728" t="s">
        <v>15186</v>
      </c>
    </row>
    <row r="12729" spans="1:5" x14ac:dyDescent="0.25">
      <c r="A12729" t="s">
        <v>2</v>
      </c>
      <c r="B12729" t="s">
        <v>3458</v>
      </c>
      <c r="C12729" t="s">
        <v>23490</v>
      </c>
      <c r="D12729" t="str">
        <f>HYPERLINK("https://rhld.insurance.arkansas.gov/NPILookup?Npi=1487168282","1487168282")</f>
        <v>1487168282</v>
      </c>
      <c r="E12729" t="s">
        <v>17510</v>
      </c>
    </row>
    <row r="12730" spans="1:5" x14ac:dyDescent="0.25">
      <c r="A12730" t="s">
        <v>2</v>
      </c>
      <c r="B12730" t="s">
        <v>3458</v>
      </c>
      <c r="C12730" t="s">
        <v>23490</v>
      </c>
      <c r="D12730" t="str">
        <f>HYPERLINK("https://rhld.insurance.arkansas.gov/NPILookup?Npi=1487176764","1487176764")</f>
        <v>1487176764</v>
      </c>
      <c r="E12730" t="s">
        <v>10980</v>
      </c>
    </row>
    <row r="12731" spans="1:5" x14ac:dyDescent="0.25">
      <c r="A12731" t="s">
        <v>2</v>
      </c>
      <c r="B12731" t="s">
        <v>3458</v>
      </c>
      <c r="C12731" t="s">
        <v>23490</v>
      </c>
      <c r="D12731" t="str">
        <f>HYPERLINK("https://rhld.insurance.arkansas.gov/NPILookup?Npi=1487191987","1487191987")</f>
        <v>1487191987</v>
      </c>
      <c r="E12731" t="s">
        <v>10981</v>
      </c>
    </row>
    <row r="12732" spans="1:5" x14ac:dyDescent="0.25">
      <c r="A12732" t="s">
        <v>2</v>
      </c>
      <c r="B12732" t="s">
        <v>3458</v>
      </c>
      <c r="C12732" t="s">
        <v>23490</v>
      </c>
      <c r="D12732" t="str">
        <f>HYPERLINK("https://rhld.insurance.arkansas.gov/NPILookup?Npi=1487194346","1487194346")</f>
        <v>1487194346</v>
      </c>
      <c r="E12732" t="s">
        <v>10982</v>
      </c>
    </row>
    <row r="12733" spans="1:5" x14ac:dyDescent="0.25">
      <c r="A12733" t="s">
        <v>2</v>
      </c>
      <c r="B12733" t="s">
        <v>3458</v>
      </c>
      <c r="C12733" t="s">
        <v>23490</v>
      </c>
      <c r="D12733" t="str">
        <f>HYPERLINK("https://rhld.insurance.arkansas.gov/NPILookup?Npi=1487199816","1487199816")</f>
        <v>1487199816</v>
      </c>
      <c r="E12733" t="s">
        <v>10983</v>
      </c>
    </row>
    <row r="12734" spans="1:5" x14ac:dyDescent="0.25">
      <c r="A12734" t="s">
        <v>2</v>
      </c>
      <c r="B12734" t="s">
        <v>3458</v>
      </c>
      <c r="C12734" t="s">
        <v>23490</v>
      </c>
      <c r="D12734" t="str">
        <f>HYPERLINK("https://rhld.insurance.arkansas.gov/NPILookup?Npi=1487204319","1487204319")</f>
        <v>1487204319</v>
      </c>
      <c r="E12734" t="s">
        <v>21555</v>
      </c>
    </row>
    <row r="12735" spans="1:5" x14ac:dyDescent="0.25">
      <c r="A12735" t="s">
        <v>2</v>
      </c>
      <c r="B12735" t="s">
        <v>3458</v>
      </c>
      <c r="C12735" t="s">
        <v>23490</v>
      </c>
      <c r="D12735" t="str">
        <f>HYPERLINK("https://rhld.insurance.arkansas.gov/NPILookup?Npi=1487221537","1487221537")</f>
        <v>1487221537</v>
      </c>
      <c r="E12735" t="s">
        <v>18791</v>
      </c>
    </row>
    <row r="12736" spans="1:5" x14ac:dyDescent="0.25">
      <c r="A12736" t="s">
        <v>2</v>
      </c>
      <c r="B12736" t="s">
        <v>3458</v>
      </c>
      <c r="C12736" t="s">
        <v>23490</v>
      </c>
      <c r="D12736" t="str">
        <f>HYPERLINK("https://rhld.insurance.arkansas.gov/NPILookup?Npi=1487223632","1487223632")</f>
        <v>1487223632</v>
      </c>
      <c r="E12736" t="s">
        <v>19759</v>
      </c>
    </row>
    <row r="12737" spans="1:5" x14ac:dyDescent="0.25">
      <c r="A12737" t="s">
        <v>2</v>
      </c>
      <c r="B12737" t="s">
        <v>3458</v>
      </c>
      <c r="C12737" t="s">
        <v>23490</v>
      </c>
      <c r="D12737" t="str">
        <f>HYPERLINK("https://rhld.insurance.arkansas.gov/NPILookup?Npi=1487246278","1487246278")</f>
        <v>1487246278</v>
      </c>
      <c r="E12737" t="s">
        <v>18005</v>
      </c>
    </row>
    <row r="12738" spans="1:5" x14ac:dyDescent="0.25">
      <c r="A12738" t="s">
        <v>2</v>
      </c>
      <c r="B12738" t="s">
        <v>3458</v>
      </c>
      <c r="C12738" t="s">
        <v>23490</v>
      </c>
      <c r="D12738" t="str">
        <f>HYPERLINK("https://rhld.insurance.arkansas.gov/NPILookup?Npi=1487246765","1487246765")</f>
        <v>1487246765</v>
      </c>
      <c r="E12738" t="s">
        <v>18792</v>
      </c>
    </row>
    <row r="12739" spans="1:5" x14ac:dyDescent="0.25">
      <c r="A12739" t="s">
        <v>2</v>
      </c>
      <c r="B12739" t="s">
        <v>3458</v>
      </c>
      <c r="C12739" t="s">
        <v>23490</v>
      </c>
      <c r="D12739" t="str">
        <f>HYPERLINK("https://rhld.insurance.arkansas.gov/NPILookup?Npi=1487249306","1487249306")</f>
        <v>1487249306</v>
      </c>
      <c r="E12739" t="s">
        <v>19760</v>
      </c>
    </row>
    <row r="12740" spans="1:5" x14ac:dyDescent="0.25">
      <c r="A12740" t="s">
        <v>2</v>
      </c>
      <c r="B12740" t="s">
        <v>3458</v>
      </c>
      <c r="C12740" t="s">
        <v>23490</v>
      </c>
      <c r="D12740" t="str">
        <f>HYPERLINK("https://rhld.insurance.arkansas.gov/NPILookup?Npi=1487250775","1487250775")</f>
        <v>1487250775</v>
      </c>
      <c r="E12740" t="s">
        <v>18006</v>
      </c>
    </row>
    <row r="12741" spans="1:5" x14ac:dyDescent="0.25">
      <c r="A12741" t="s">
        <v>2</v>
      </c>
      <c r="B12741" t="s">
        <v>3458</v>
      </c>
      <c r="C12741" t="s">
        <v>23490</v>
      </c>
      <c r="D12741" t="str">
        <f>HYPERLINK("https://rhld.insurance.arkansas.gov/NPILookup?Npi=1487269726","1487269726")</f>
        <v>1487269726</v>
      </c>
      <c r="E12741" t="s">
        <v>18007</v>
      </c>
    </row>
    <row r="12742" spans="1:5" x14ac:dyDescent="0.25">
      <c r="A12742" t="s">
        <v>2</v>
      </c>
      <c r="B12742" t="s">
        <v>3458</v>
      </c>
      <c r="C12742" t="s">
        <v>23490</v>
      </c>
      <c r="D12742" t="str">
        <f>HYPERLINK("https://rhld.insurance.arkansas.gov/NPILookup?Npi=1487291498","1487291498")</f>
        <v>1487291498</v>
      </c>
      <c r="E12742" t="s">
        <v>22942</v>
      </c>
    </row>
    <row r="12743" spans="1:5" x14ac:dyDescent="0.25">
      <c r="A12743" t="s">
        <v>2</v>
      </c>
      <c r="B12743" t="s">
        <v>3458</v>
      </c>
      <c r="C12743" t="s">
        <v>23490</v>
      </c>
      <c r="D12743" t="str">
        <f>HYPERLINK("https://rhld.insurance.arkansas.gov/NPILookup?Npi=1487308706","1487308706")</f>
        <v>1487308706</v>
      </c>
      <c r="E12743" t="s">
        <v>20949</v>
      </c>
    </row>
    <row r="12744" spans="1:5" x14ac:dyDescent="0.25">
      <c r="A12744" t="s">
        <v>2</v>
      </c>
      <c r="B12744" t="s">
        <v>3458</v>
      </c>
      <c r="C12744" t="s">
        <v>23490</v>
      </c>
      <c r="D12744" t="str">
        <f>HYPERLINK("https://rhld.insurance.arkansas.gov/NPILookup?Npi=1487329843","1487329843")</f>
        <v>1487329843</v>
      </c>
      <c r="E12744" t="s">
        <v>19761</v>
      </c>
    </row>
    <row r="12745" spans="1:5" x14ac:dyDescent="0.25">
      <c r="A12745" t="s">
        <v>2</v>
      </c>
      <c r="B12745" t="s">
        <v>3458</v>
      </c>
      <c r="C12745" t="s">
        <v>8427</v>
      </c>
      <c r="D12745" t="str">
        <f>HYPERLINK("https://rhld.insurance.arkansas.gov/NPILookup?Npi=1487343752","1487343752")</f>
        <v>1487343752</v>
      </c>
      <c r="E12745" t="s">
        <v>22943</v>
      </c>
    </row>
    <row r="12746" spans="1:5" x14ac:dyDescent="0.25">
      <c r="A12746" t="s">
        <v>2</v>
      </c>
      <c r="B12746" t="s">
        <v>3458</v>
      </c>
      <c r="C12746" t="s">
        <v>23490</v>
      </c>
      <c r="D12746" t="str">
        <f>HYPERLINK("https://rhld.insurance.arkansas.gov/NPILookup?Npi=1487373049","1487373049")</f>
        <v>1487373049</v>
      </c>
      <c r="E12746" t="s">
        <v>20950</v>
      </c>
    </row>
    <row r="12747" spans="1:5" x14ac:dyDescent="0.25">
      <c r="A12747" t="s">
        <v>2</v>
      </c>
      <c r="B12747" t="s">
        <v>3458</v>
      </c>
      <c r="C12747" t="s">
        <v>23490</v>
      </c>
      <c r="D12747" t="str">
        <f>HYPERLINK("https://rhld.insurance.arkansas.gov/NPILookup?Npi=1487375622","1487375622")</f>
        <v>1487375622</v>
      </c>
      <c r="E12747" t="s">
        <v>20951</v>
      </c>
    </row>
    <row r="12748" spans="1:5" x14ac:dyDescent="0.25">
      <c r="A12748" t="s">
        <v>2</v>
      </c>
      <c r="B12748" t="s">
        <v>3458</v>
      </c>
      <c r="C12748" t="s">
        <v>23490</v>
      </c>
      <c r="D12748" t="str">
        <f>HYPERLINK("https://rhld.insurance.arkansas.gov/NPILookup?Npi=1487376935","1487376935")</f>
        <v>1487376935</v>
      </c>
      <c r="E12748" t="s">
        <v>20952</v>
      </c>
    </row>
    <row r="12749" spans="1:5" x14ac:dyDescent="0.25">
      <c r="A12749" t="s">
        <v>2</v>
      </c>
      <c r="B12749" t="s">
        <v>3458</v>
      </c>
      <c r="C12749" t="s">
        <v>23490</v>
      </c>
      <c r="D12749" t="str">
        <f>HYPERLINK("https://rhld.insurance.arkansas.gov/NPILookup?Npi=1487601712","1487601712")</f>
        <v>1487601712</v>
      </c>
      <c r="E12749" t="s">
        <v>1706</v>
      </c>
    </row>
    <row r="12750" spans="1:5" x14ac:dyDescent="0.25">
      <c r="A12750" t="s">
        <v>2</v>
      </c>
      <c r="B12750" t="s">
        <v>3458</v>
      </c>
      <c r="C12750" t="s">
        <v>23490</v>
      </c>
      <c r="D12750" t="str">
        <f>HYPERLINK("https://rhld.insurance.arkansas.gov/NPILookup?Npi=1487602470","1487602470")</f>
        <v>1487602470</v>
      </c>
      <c r="E12750" t="s">
        <v>1707</v>
      </c>
    </row>
    <row r="12751" spans="1:5" x14ac:dyDescent="0.25">
      <c r="A12751" t="s">
        <v>2</v>
      </c>
      <c r="B12751" t="s">
        <v>3458</v>
      </c>
      <c r="C12751" t="s">
        <v>23490</v>
      </c>
      <c r="D12751" t="str">
        <f>HYPERLINK("https://rhld.insurance.arkansas.gov/NPILookup?Npi=1487608170","1487608170")</f>
        <v>1487608170</v>
      </c>
      <c r="E12751" t="s">
        <v>10984</v>
      </c>
    </row>
    <row r="12752" spans="1:5" x14ac:dyDescent="0.25">
      <c r="A12752" t="s">
        <v>2</v>
      </c>
      <c r="B12752" t="s">
        <v>3458</v>
      </c>
      <c r="C12752" t="s">
        <v>23490</v>
      </c>
      <c r="D12752" t="str">
        <f>HYPERLINK("https://rhld.insurance.arkansas.gov/NPILookup?Npi=1487609491","1487609491")</f>
        <v>1487609491</v>
      </c>
      <c r="E12752" t="s">
        <v>8696</v>
      </c>
    </row>
    <row r="12753" spans="1:5" x14ac:dyDescent="0.25">
      <c r="A12753" t="s">
        <v>2</v>
      </c>
      <c r="B12753" t="s">
        <v>3458</v>
      </c>
      <c r="C12753" t="s">
        <v>23490</v>
      </c>
      <c r="D12753" t="str">
        <f>HYPERLINK("https://rhld.insurance.arkansas.gov/NPILookup?Npi=1487609541","1487609541")</f>
        <v>1487609541</v>
      </c>
      <c r="E12753" t="s">
        <v>8697</v>
      </c>
    </row>
    <row r="12754" spans="1:5" x14ac:dyDescent="0.25">
      <c r="A12754" t="s">
        <v>2</v>
      </c>
      <c r="B12754" t="s">
        <v>3458</v>
      </c>
      <c r="C12754" t="s">
        <v>23490</v>
      </c>
      <c r="D12754" t="str">
        <f>HYPERLINK("https://rhld.insurance.arkansas.gov/NPILookup?Npi=1487617031","1487617031")</f>
        <v>1487617031</v>
      </c>
      <c r="E12754" t="s">
        <v>17074</v>
      </c>
    </row>
    <row r="12755" spans="1:5" x14ac:dyDescent="0.25">
      <c r="A12755" t="s">
        <v>2</v>
      </c>
      <c r="B12755" t="s">
        <v>3458</v>
      </c>
      <c r="C12755" t="s">
        <v>23490</v>
      </c>
      <c r="D12755" t="str">
        <f>HYPERLINK("https://rhld.insurance.arkansas.gov/NPILookup?Npi=1487617791","1487617791")</f>
        <v>1487617791</v>
      </c>
      <c r="E12755" t="s">
        <v>1709</v>
      </c>
    </row>
    <row r="12756" spans="1:5" x14ac:dyDescent="0.25">
      <c r="A12756" t="s">
        <v>2</v>
      </c>
      <c r="B12756" t="s">
        <v>3458</v>
      </c>
      <c r="C12756" t="s">
        <v>23490</v>
      </c>
      <c r="D12756" t="str">
        <f>HYPERLINK("https://rhld.insurance.arkansas.gov/NPILookup?Npi=1487621157","1487621157")</f>
        <v>1487621157</v>
      </c>
      <c r="E12756" t="s">
        <v>12852</v>
      </c>
    </row>
    <row r="12757" spans="1:5" x14ac:dyDescent="0.25">
      <c r="A12757" t="s">
        <v>2</v>
      </c>
      <c r="B12757" t="s">
        <v>3458</v>
      </c>
      <c r="C12757" t="s">
        <v>23490</v>
      </c>
      <c r="D12757" t="str">
        <f>HYPERLINK("https://rhld.insurance.arkansas.gov/NPILookup?Npi=1487622387","1487622387")</f>
        <v>1487622387</v>
      </c>
      <c r="E12757" t="s">
        <v>3753</v>
      </c>
    </row>
    <row r="12758" spans="1:5" x14ac:dyDescent="0.25">
      <c r="A12758" t="s">
        <v>2</v>
      </c>
      <c r="B12758" t="s">
        <v>3458</v>
      </c>
      <c r="C12758" t="s">
        <v>23490</v>
      </c>
      <c r="D12758" t="str">
        <f>HYPERLINK("https://rhld.insurance.arkansas.gov/NPILookup?Npi=1487624896","1487624896")</f>
        <v>1487624896</v>
      </c>
      <c r="E12758" t="s">
        <v>1710</v>
      </c>
    </row>
    <row r="12759" spans="1:5" x14ac:dyDescent="0.25">
      <c r="A12759" t="s">
        <v>2</v>
      </c>
      <c r="B12759" t="s">
        <v>3458</v>
      </c>
      <c r="C12759" t="s">
        <v>23490</v>
      </c>
      <c r="D12759" t="str">
        <f>HYPERLINK("https://rhld.insurance.arkansas.gov/NPILookup?Npi=1487627394","1487627394")</f>
        <v>1487627394</v>
      </c>
      <c r="E12759" t="s">
        <v>937</v>
      </c>
    </row>
    <row r="12760" spans="1:5" x14ac:dyDescent="0.25">
      <c r="A12760" t="s">
        <v>2</v>
      </c>
      <c r="B12760" t="s">
        <v>3458</v>
      </c>
      <c r="C12760" t="s">
        <v>23490</v>
      </c>
      <c r="D12760" t="str">
        <f>HYPERLINK("https://rhld.insurance.arkansas.gov/NPILookup?Npi=1487629150","1487629150")</f>
        <v>1487629150</v>
      </c>
      <c r="E12760" t="s">
        <v>1711</v>
      </c>
    </row>
    <row r="12761" spans="1:5" x14ac:dyDescent="0.25">
      <c r="A12761" t="s">
        <v>2</v>
      </c>
      <c r="B12761" t="s">
        <v>3458</v>
      </c>
      <c r="C12761" t="s">
        <v>23490</v>
      </c>
      <c r="D12761" t="str">
        <f>HYPERLINK("https://rhld.insurance.arkansas.gov/NPILookup?Npi=1487629317","1487629317")</f>
        <v>1487629317</v>
      </c>
      <c r="E12761" t="s">
        <v>3754</v>
      </c>
    </row>
    <row r="12762" spans="1:5" x14ac:dyDescent="0.25">
      <c r="A12762" t="s">
        <v>2</v>
      </c>
      <c r="B12762" t="s">
        <v>3458</v>
      </c>
      <c r="C12762" t="s">
        <v>23490</v>
      </c>
      <c r="D12762" t="str">
        <f>HYPERLINK("https://rhld.insurance.arkansas.gov/NPILookup?Npi=1487635421","1487635421")</f>
        <v>1487635421</v>
      </c>
      <c r="E12762" t="s">
        <v>3755</v>
      </c>
    </row>
    <row r="12763" spans="1:5" x14ac:dyDescent="0.25">
      <c r="A12763" t="s">
        <v>2</v>
      </c>
      <c r="B12763" t="s">
        <v>3458</v>
      </c>
      <c r="C12763" t="s">
        <v>23490</v>
      </c>
      <c r="D12763" t="str">
        <f>HYPERLINK("https://rhld.insurance.arkansas.gov/NPILookup?Npi=1487644647","1487644647")</f>
        <v>1487644647</v>
      </c>
      <c r="E12763" t="s">
        <v>1712</v>
      </c>
    </row>
    <row r="12764" spans="1:5" x14ac:dyDescent="0.25">
      <c r="A12764" t="s">
        <v>2</v>
      </c>
      <c r="B12764" t="s">
        <v>3458</v>
      </c>
      <c r="C12764" t="s">
        <v>23490</v>
      </c>
      <c r="D12764" t="str">
        <f>HYPERLINK("https://rhld.insurance.arkansas.gov/NPILookup?Npi=1487653242","1487653242")</f>
        <v>1487653242</v>
      </c>
      <c r="E12764" t="s">
        <v>10985</v>
      </c>
    </row>
    <row r="12765" spans="1:5" x14ac:dyDescent="0.25">
      <c r="A12765" t="s">
        <v>2</v>
      </c>
      <c r="B12765" t="s">
        <v>3458</v>
      </c>
      <c r="C12765" t="s">
        <v>23490</v>
      </c>
      <c r="D12765" t="str">
        <f>HYPERLINK("https://rhld.insurance.arkansas.gov/NPILookup?Npi=1487654752","1487654752")</f>
        <v>1487654752</v>
      </c>
      <c r="E12765" t="s">
        <v>3756</v>
      </c>
    </row>
    <row r="12766" spans="1:5" x14ac:dyDescent="0.25">
      <c r="A12766" t="s">
        <v>2</v>
      </c>
      <c r="B12766" t="s">
        <v>3458</v>
      </c>
      <c r="C12766" t="s">
        <v>23490</v>
      </c>
      <c r="D12766" t="str">
        <f>HYPERLINK("https://rhld.insurance.arkansas.gov/NPILookup?Npi=1487655957","1487655957")</f>
        <v>1487655957</v>
      </c>
      <c r="E12766" t="s">
        <v>1714</v>
      </c>
    </row>
    <row r="12767" spans="1:5" x14ac:dyDescent="0.25">
      <c r="A12767" t="s">
        <v>2</v>
      </c>
      <c r="B12767" t="s">
        <v>3458</v>
      </c>
      <c r="C12767" t="s">
        <v>23490</v>
      </c>
      <c r="D12767" t="str">
        <f>HYPERLINK("https://rhld.insurance.arkansas.gov/NPILookup?Npi=1487682563","1487682563")</f>
        <v>1487682563</v>
      </c>
      <c r="E12767" t="s">
        <v>1716</v>
      </c>
    </row>
    <row r="12768" spans="1:5" x14ac:dyDescent="0.25">
      <c r="A12768" t="s">
        <v>2</v>
      </c>
      <c r="B12768" t="s">
        <v>3458</v>
      </c>
      <c r="C12768" t="s">
        <v>23490</v>
      </c>
      <c r="D12768" t="str">
        <f>HYPERLINK("https://rhld.insurance.arkansas.gov/NPILookup?Npi=1487690913","1487690913")</f>
        <v>1487690913</v>
      </c>
      <c r="E12768" t="s">
        <v>15189</v>
      </c>
    </row>
    <row r="12769" spans="1:5" x14ac:dyDescent="0.25">
      <c r="A12769" t="s">
        <v>2</v>
      </c>
      <c r="B12769" t="s">
        <v>3458</v>
      </c>
      <c r="C12769" t="s">
        <v>23490</v>
      </c>
      <c r="D12769" t="str">
        <f>HYPERLINK("https://rhld.insurance.arkansas.gov/NPILookup?Npi=1487692760","1487692760")</f>
        <v>1487692760</v>
      </c>
      <c r="E12769" t="s">
        <v>1717</v>
      </c>
    </row>
    <row r="12770" spans="1:5" x14ac:dyDescent="0.25">
      <c r="A12770" t="s">
        <v>2</v>
      </c>
      <c r="B12770" t="s">
        <v>3458</v>
      </c>
      <c r="C12770" t="s">
        <v>23490</v>
      </c>
      <c r="D12770" t="str">
        <f>HYPERLINK("https://rhld.insurance.arkansas.gov/NPILookup?Npi=1487697538","1487697538")</f>
        <v>1487697538</v>
      </c>
      <c r="E12770" t="s">
        <v>15190</v>
      </c>
    </row>
    <row r="12771" spans="1:5" x14ac:dyDescent="0.25">
      <c r="A12771" t="s">
        <v>2</v>
      </c>
      <c r="B12771" t="s">
        <v>3458</v>
      </c>
      <c r="C12771" t="s">
        <v>23490</v>
      </c>
      <c r="D12771" t="str">
        <f>HYPERLINK("https://rhld.insurance.arkansas.gov/NPILookup?Npi=1487712808","1487712808")</f>
        <v>1487712808</v>
      </c>
      <c r="E12771" t="s">
        <v>8698</v>
      </c>
    </row>
    <row r="12772" spans="1:5" x14ac:dyDescent="0.25">
      <c r="A12772" t="s">
        <v>2</v>
      </c>
      <c r="B12772" t="s">
        <v>3458</v>
      </c>
      <c r="C12772" t="s">
        <v>23490</v>
      </c>
      <c r="D12772" t="str">
        <f>HYPERLINK("https://rhld.insurance.arkansas.gov/NPILookup?Npi=1487744322","1487744322")</f>
        <v>1487744322</v>
      </c>
      <c r="E12772" t="s">
        <v>10986</v>
      </c>
    </row>
    <row r="12773" spans="1:5" x14ac:dyDescent="0.25">
      <c r="A12773" t="s">
        <v>2</v>
      </c>
      <c r="B12773" t="s">
        <v>3458</v>
      </c>
      <c r="C12773" t="s">
        <v>23490</v>
      </c>
      <c r="D12773" t="str">
        <f>HYPERLINK("https://rhld.insurance.arkansas.gov/NPILookup?Npi=1487744942","1487744942")</f>
        <v>1487744942</v>
      </c>
      <c r="E12773" t="s">
        <v>19764</v>
      </c>
    </row>
    <row r="12774" spans="1:5" x14ac:dyDescent="0.25">
      <c r="A12774" t="s">
        <v>2</v>
      </c>
      <c r="B12774" t="s">
        <v>3458</v>
      </c>
      <c r="C12774" t="s">
        <v>23490</v>
      </c>
      <c r="D12774" t="str">
        <f>HYPERLINK("https://rhld.insurance.arkansas.gov/NPILookup?Npi=1487748745","1487748745")</f>
        <v>1487748745</v>
      </c>
      <c r="E12774" t="s">
        <v>15191</v>
      </c>
    </row>
    <row r="12775" spans="1:5" x14ac:dyDescent="0.25">
      <c r="A12775" t="s">
        <v>2</v>
      </c>
      <c r="B12775" t="s">
        <v>3458</v>
      </c>
      <c r="C12775" t="s">
        <v>8427</v>
      </c>
      <c r="D12775" t="str">
        <f>HYPERLINK("https://rhld.insurance.arkansas.gov/NPILookup?Npi=1487815387","1487815387")</f>
        <v>1487815387</v>
      </c>
      <c r="E12775" t="s">
        <v>22944</v>
      </c>
    </row>
    <row r="12776" spans="1:5" x14ac:dyDescent="0.25">
      <c r="A12776" t="s">
        <v>2</v>
      </c>
      <c r="B12776" t="s">
        <v>3458</v>
      </c>
      <c r="C12776" t="s">
        <v>23490</v>
      </c>
      <c r="D12776" t="str">
        <f>HYPERLINK("https://rhld.insurance.arkansas.gov/NPILookup?Npi=1487835229","1487835229")</f>
        <v>1487835229</v>
      </c>
      <c r="E12776" t="s">
        <v>3757</v>
      </c>
    </row>
    <row r="12777" spans="1:5" x14ac:dyDescent="0.25">
      <c r="A12777" t="s">
        <v>2</v>
      </c>
      <c r="B12777" t="s">
        <v>3458</v>
      </c>
      <c r="C12777" t="s">
        <v>23490</v>
      </c>
      <c r="D12777" t="str">
        <f>HYPERLINK("https://rhld.insurance.arkansas.gov/NPILookup?Npi=1487845467","1487845467")</f>
        <v>1487845467</v>
      </c>
      <c r="E12777" t="s">
        <v>1722</v>
      </c>
    </row>
    <row r="12778" spans="1:5" x14ac:dyDescent="0.25">
      <c r="A12778" t="s">
        <v>2</v>
      </c>
      <c r="B12778" t="s">
        <v>3458</v>
      </c>
      <c r="C12778" t="s">
        <v>23490</v>
      </c>
      <c r="D12778" t="str">
        <f>HYPERLINK("https://rhld.insurance.arkansas.gov/NPILookup?Npi=1487850053","1487850053")</f>
        <v>1487850053</v>
      </c>
      <c r="E12778" t="s">
        <v>19765</v>
      </c>
    </row>
    <row r="12779" spans="1:5" x14ac:dyDescent="0.25">
      <c r="A12779" t="s">
        <v>2</v>
      </c>
      <c r="B12779" t="s">
        <v>3458</v>
      </c>
      <c r="C12779" t="s">
        <v>8427</v>
      </c>
      <c r="D12779" t="str">
        <f>HYPERLINK("https://rhld.insurance.arkansas.gov/NPILookup?Npi=1487856936","1487856936")</f>
        <v>1487856936</v>
      </c>
      <c r="E12779" t="s">
        <v>22945</v>
      </c>
    </row>
    <row r="12780" spans="1:5" x14ac:dyDescent="0.25">
      <c r="A12780" t="s">
        <v>2</v>
      </c>
      <c r="B12780" t="s">
        <v>3458</v>
      </c>
      <c r="C12780" t="s">
        <v>23490</v>
      </c>
      <c r="D12780" t="str">
        <f>HYPERLINK("https://rhld.insurance.arkansas.gov/NPILookup?Npi=1487861357","1487861357")</f>
        <v>1487861357</v>
      </c>
      <c r="E12780" t="s">
        <v>3758</v>
      </c>
    </row>
    <row r="12781" spans="1:5" x14ac:dyDescent="0.25">
      <c r="A12781" t="s">
        <v>2</v>
      </c>
      <c r="B12781" t="s">
        <v>3458</v>
      </c>
      <c r="C12781" t="s">
        <v>23490</v>
      </c>
      <c r="D12781" t="str">
        <f>HYPERLINK("https://rhld.insurance.arkansas.gov/NPILookup?Npi=1487869327","1487869327")</f>
        <v>1487869327</v>
      </c>
      <c r="E12781" t="s">
        <v>3759</v>
      </c>
    </row>
    <row r="12782" spans="1:5" x14ac:dyDescent="0.25">
      <c r="A12782" t="s">
        <v>2</v>
      </c>
      <c r="B12782" t="s">
        <v>3458</v>
      </c>
      <c r="C12782" t="s">
        <v>23490</v>
      </c>
      <c r="D12782" t="str">
        <f>HYPERLINK("https://rhld.insurance.arkansas.gov/NPILookup?Npi=1487875522","1487875522")</f>
        <v>1487875522</v>
      </c>
      <c r="E12782" t="s">
        <v>1724</v>
      </c>
    </row>
    <row r="12783" spans="1:5" x14ac:dyDescent="0.25">
      <c r="A12783" t="s">
        <v>2</v>
      </c>
      <c r="B12783" t="s">
        <v>3458</v>
      </c>
      <c r="C12783" t="s">
        <v>23490</v>
      </c>
      <c r="D12783" t="str">
        <f>HYPERLINK("https://rhld.insurance.arkansas.gov/NPILookup?Npi=1487878641","1487878641")</f>
        <v>1487878641</v>
      </c>
      <c r="E12783" t="s">
        <v>1725</v>
      </c>
    </row>
    <row r="12784" spans="1:5" x14ac:dyDescent="0.25">
      <c r="A12784" t="s">
        <v>2</v>
      </c>
      <c r="B12784" t="s">
        <v>3458</v>
      </c>
      <c r="C12784" t="s">
        <v>23490</v>
      </c>
      <c r="D12784" t="str">
        <f>HYPERLINK("https://rhld.insurance.arkansas.gov/NPILookup?Npi=1487897401","1487897401")</f>
        <v>1487897401</v>
      </c>
      <c r="E12784" t="s">
        <v>8699</v>
      </c>
    </row>
    <row r="12785" spans="1:5" x14ac:dyDescent="0.25">
      <c r="A12785" t="s">
        <v>2</v>
      </c>
      <c r="B12785" t="s">
        <v>3458</v>
      </c>
      <c r="C12785" t="s">
        <v>23490</v>
      </c>
      <c r="D12785" t="str">
        <f>HYPERLINK("https://rhld.insurance.arkansas.gov/NPILookup?Npi=1487903936","1487903936")</f>
        <v>1487903936</v>
      </c>
      <c r="E12785" t="s">
        <v>1728</v>
      </c>
    </row>
    <row r="12786" spans="1:5" x14ac:dyDescent="0.25">
      <c r="A12786" t="s">
        <v>2</v>
      </c>
      <c r="B12786" t="s">
        <v>3458</v>
      </c>
      <c r="C12786" t="s">
        <v>23490</v>
      </c>
      <c r="D12786" t="str">
        <f>HYPERLINK("https://rhld.insurance.arkansas.gov/NPILookup?Npi=1487918702","1487918702")</f>
        <v>1487918702</v>
      </c>
      <c r="E12786" t="s">
        <v>1729</v>
      </c>
    </row>
    <row r="12787" spans="1:5" x14ac:dyDescent="0.25">
      <c r="A12787" t="s">
        <v>2</v>
      </c>
      <c r="B12787" t="s">
        <v>3458</v>
      </c>
      <c r="C12787" t="s">
        <v>23490</v>
      </c>
      <c r="D12787" t="str">
        <f>HYPERLINK("https://rhld.insurance.arkansas.gov/NPILookup?Npi=1487927711","1487927711")</f>
        <v>1487927711</v>
      </c>
      <c r="E12787" t="s">
        <v>8700</v>
      </c>
    </row>
    <row r="12788" spans="1:5" x14ac:dyDescent="0.25">
      <c r="A12788" t="s">
        <v>2</v>
      </c>
      <c r="B12788" t="s">
        <v>3458</v>
      </c>
      <c r="C12788" t="s">
        <v>23490</v>
      </c>
      <c r="D12788" t="str">
        <f>HYPERLINK("https://rhld.insurance.arkansas.gov/NPILookup?Npi=1487936985","1487936985")</f>
        <v>1487936985</v>
      </c>
      <c r="E12788" t="s">
        <v>18793</v>
      </c>
    </row>
    <row r="12789" spans="1:5" x14ac:dyDescent="0.25">
      <c r="A12789" t="s">
        <v>2</v>
      </c>
      <c r="B12789" t="s">
        <v>3458</v>
      </c>
      <c r="C12789" t="s">
        <v>23490</v>
      </c>
      <c r="D12789" t="str">
        <f>HYPERLINK("https://rhld.insurance.arkansas.gov/NPILookup?Npi=1487938270","1487938270")</f>
        <v>1487938270</v>
      </c>
      <c r="E12789" t="s">
        <v>15192</v>
      </c>
    </row>
    <row r="12790" spans="1:5" x14ac:dyDescent="0.25">
      <c r="A12790" t="s">
        <v>2</v>
      </c>
      <c r="B12790" t="s">
        <v>3458</v>
      </c>
      <c r="C12790" t="s">
        <v>23490</v>
      </c>
      <c r="D12790" t="str">
        <f>HYPERLINK("https://rhld.insurance.arkansas.gov/NPILookup?Npi=1487943676","1487943676")</f>
        <v>1487943676</v>
      </c>
      <c r="E12790" t="s">
        <v>8701</v>
      </c>
    </row>
    <row r="12791" spans="1:5" x14ac:dyDescent="0.25">
      <c r="A12791" t="s">
        <v>2</v>
      </c>
      <c r="B12791" t="s">
        <v>3458</v>
      </c>
      <c r="C12791" t="s">
        <v>23490</v>
      </c>
      <c r="D12791" t="str">
        <f>HYPERLINK("https://rhld.insurance.arkansas.gov/NPILookup?Npi=1487944583","1487944583")</f>
        <v>1487944583</v>
      </c>
      <c r="E12791" t="s">
        <v>1730</v>
      </c>
    </row>
    <row r="12792" spans="1:5" x14ac:dyDescent="0.25">
      <c r="A12792" t="s">
        <v>2</v>
      </c>
      <c r="B12792" t="s">
        <v>3458</v>
      </c>
      <c r="C12792" t="s">
        <v>23490</v>
      </c>
      <c r="D12792" t="str">
        <f>HYPERLINK("https://rhld.insurance.arkansas.gov/NPILookup?Npi=1487950127","1487950127")</f>
        <v>1487950127</v>
      </c>
      <c r="E12792" t="s">
        <v>15193</v>
      </c>
    </row>
    <row r="12793" spans="1:5" x14ac:dyDescent="0.25">
      <c r="A12793" t="s">
        <v>2</v>
      </c>
      <c r="B12793" t="s">
        <v>3458</v>
      </c>
      <c r="C12793" t="s">
        <v>23490</v>
      </c>
      <c r="D12793" t="str">
        <f>HYPERLINK("https://rhld.insurance.arkansas.gov/NPILookup?Npi=1487960258","1487960258")</f>
        <v>1487960258</v>
      </c>
      <c r="E12793" t="s">
        <v>10987</v>
      </c>
    </row>
    <row r="12794" spans="1:5" x14ac:dyDescent="0.25">
      <c r="A12794" t="s">
        <v>2</v>
      </c>
      <c r="B12794" t="s">
        <v>3458</v>
      </c>
      <c r="C12794" t="s">
        <v>23490</v>
      </c>
      <c r="D12794" t="str">
        <f>HYPERLINK("https://rhld.insurance.arkansas.gov/NPILookup?Npi=1487961074","1487961074")</f>
        <v>1487961074</v>
      </c>
      <c r="E12794" t="s">
        <v>10988</v>
      </c>
    </row>
    <row r="12795" spans="1:5" x14ac:dyDescent="0.25">
      <c r="A12795" t="s">
        <v>2</v>
      </c>
      <c r="B12795" t="s">
        <v>3458</v>
      </c>
      <c r="C12795" t="s">
        <v>23490</v>
      </c>
      <c r="D12795" t="str">
        <f>HYPERLINK("https://rhld.insurance.arkansas.gov/NPILookup?Npi=1487966750","1487966750")</f>
        <v>1487966750</v>
      </c>
      <c r="E12795" t="s">
        <v>15194</v>
      </c>
    </row>
    <row r="12796" spans="1:5" x14ac:dyDescent="0.25">
      <c r="A12796" t="s">
        <v>2</v>
      </c>
      <c r="B12796" t="s">
        <v>3458</v>
      </c>
      <c r="C12796" t="s">
        <v>23490</v>
      </c>
      <c r="D12796" t="str">
        <f>HYPERLINK("https://rhld.insurance.arkansas.gov/NPILookup?Npi=1487992756","1487992756")</f>
        <v>1487992756</v>
      </c>
      <c r="E12796" t="s">
        <v>1731</v>
      </c>
    </row>
    <row r="12797" spans="1:5" x14ac:dyDescent="0.25">
      <c r="A12797" t="s">
        <v>2</v>
      </c>
      <c r="B12797" t="s">
        <v>3458</v>
      </c>
      <c r="C12797" t="s">
        <v>23490</v>
      </c>
      <c r="D12797" t="str">
        <f>HYPERLINK("https://rhld.insurance.arkansas.gov/NPILookup?Npi=1487994265","1487994265")</f>
        <v>1487994265</v>
      </c>
      <c r="E12797" t="s">
        <v>12995</v>
      </c>
    </row>
    <row r="12798" spans="1:5" x14ac:dyDescent="0.25">
      <c r="A12798" t="s">
        <v>2</v>
      </c>
      <c r="B12798" t="s">
        <v>3458</v>
      </c>
      <c r="C12798" t="s">
        <v>23490</v>
      </c>
      <c r="D12798" t="str">
        <f>HYPERLINK("https://rhld.insurance.arkansas.gov/NPILookup?Npi=1497008254","1497008254")</f>
        <v>1497008254</v>
      </c>
      <c r="E12798" t="s">
        <v>13561</v>
      </c>
    </row>
    <row r="12799" spans="1:5" x14ac:dyDescent="0.25">
      <c r="A12799" t="s">
        <v>2</v>
      </c>
      <c r="B12799" t="s">
        <v>3458</v>
      </c>
      <c r="C12799" t="s">
        <v>23490</v>
      </c>
      <c r="D12799" t="str">
        <f>HYPERLINK("https://rhld.insurance.arkansas.gov/NPILookup?Npi=1497032577","1497032577")</f>
        <v>1497032577</v>
      </c>
      <c r="E12799" t="s">
        <v>1732</v>
      </c>
    </row>
    <row r="12800" spans="1:5" x14ac:dyDescent="0.25">
      <c r="A12800" t="s">
        <v>2</v>
      </c>
      <c r="B12800" t="s">
        <v>3458</v>
      </c>
      <c r="C12800" t="s">
        <v>23490</v>
      </c>
      <c r="D12800" t="str">
        <f>HYPERLINK("https://rhld.insurance.arkansas.gov/NPILookup?Npi=1497046015","1497046015")</f>
        <v>1497046015</v>
      </c>
      <c r="E12800" t="s">
        <v>1733</v>
      </c>
    </row>
    <row r="12801" spans="1:5" x14ac:dyDescent="0.25">
      <c r="A12801" t="s">
        <v>2</v>
      </c>
      <c r="B12801" t="s">
        <v>3458</v>
      </c>
      <c r="C12801" t="s">
        <v>23490</v>
      </c>
      <c r="D12801" t="str">
        <f>HYPERLINK("https://rhld.insurance.arkansas.gov/NPILookup?Npi=1497051684","1497051684")</f>
        <v>1497051684</v>
      </c>
      <c r="E12801" t="s">
        <v>1734</v>
      </c>
    </row>
    <row r="12802" spans="1:5" x14ac:dyDescent="0.25">
      <c r="A12802" t="s">
        <v>2</v>
      </c>
      <c r="B12802" t="s">
        <v>3458</v>
      </c>
      <c r="C12802" t="s">
        <v>23490</v>
      </c>
      <c r="D12802" t="str">
        <f>HYPERLINK("https://rhld.insurance.arkansas.gov/NPILookup?Npi=1497061576","1497061576")</f>
        <v>1497061576</v>
      </c>
      <c r="E12802" t="s">
        <v>15195</v>
      </c>
    </row>
    <row r="12803" spans="1:5" x14ac:dyDescent="0.25">
      <c r="A12803" t="s">
        <v>2</v>
      </c>
      <c r="B12803" t="s">
        <v>3458</v>
      </c>
      <c r="C12803" t="s">
        <v>23490</v>
      </c>
      <c r="D12803" t="str">
        <f>HYPERLINK("https://rhld.insurance.arkansas.gov/NPILookup?Npi=1497103626","1497103626")</f>
        <v>1497103626</v>
      </c>
      <c r="E12803" t="s">
        <v>8703</v>
      </c>
    </row>
    <row r="12804" spans="1:5" x14ac:dyDescent="0.25">
      <c r="A12804" t="s">
        <v>2</v>
      </c>
      <c r="B12804" t="s">
        <v>3458</v>
      </c>
      <c r="C12804" t="s">
        <v>23490</v>
      </c>
      <c r="D12804" t="str">
        <f>HYPERLINK("https://rhld.insurance.arkansas.gov/NPILookup?Npi=1497115497","1497115497")</f>
        <v>1497115497</v>
      </c>
      <c r="E12804" t="s">
        <v>15196</v>
      </c>
    </row>
    <row r="12805" spans="1:5" x14ac:dyDescent="0.25">
      <c r="A12805" t="s">
        <v>2</v>
      </c>
      <c r="B12805" t="s">
        <v>3458</v>
      </c>
      <c r="C12805" t="s">
        <v>23490</v>
      </c>
      <c r="D12805" t="str">
        <f>HYPERLINK("https://rhld.insurance.arkansas.gov/NPILookup?Npi=1497115737","1497115737")</f>
        <v>1497115737</v>
      </c>
      <c r="E12805" t="s">
        <v>15197</v>
      </c>
    </row>
    <row r="12806" spans="1:5" x14ac:dyDescent="0.25">
      <c r="A12806" t="s">
        <v>2</v>
      </c>
      <c r="B12806" t="s">
        <v>3458</v>
      </c>
      <c r="C12806" t="s">
        <v>23490</v>
      </c>
      <c r="D12806" t="str">
        <f>HYPERLINK("https://rhld.insurance.arkansas.gov/NPILookup?Npi=1497118913","1497118913")</f>
        <v>1497118913</v>
      </c>
      <c r="E12806" t="s">
        <v>10989</v>
      </c>
    </row>
    <row r="12807" spans="1:5" x14ac:dyDescent="0.25">
      <c r="A12807" t="s">
        <v>2</v>
      </c>
      <c r="B12807" t="s">
        <v>3458</v>
      </c>
      <c r="C12807" t="s">
        <v>23490</v>
      </c>
      <c r="D12807" t="str">
        <f>HYPERLINK("https://rhld.insurance.arkansas.gov/NPILookup?Npi=1497124473","1497124473")</f>
        <v>1497124473</v>
      </c>
      <c r="E12807" t="s">
        <v>1737</v>
      </c>
    </row>
    <row r="12808" spans="1:5" x14ac:dyDescent="0.25">
      <c r="A12808" t="s">
        <v>2</v>
      </c>
      <c r="B12808" t="s">
        <v>3458</v>
      </c>
      <c r="C12808" t="s">
        <v>23490</v>
      </c>
      <c r="D12808" t="str">
        <f>HYPERLINK("https://rhld.insurance.arkansas.gov/NPILookup?Npi=1497124762","1497124762")</f>
        <v>1497124762</v>
      </c>
      <c r="E12808" t="s">
        <v>13563</v>
      </c>
    </row>
    <row r="12809" spans="1:5" x14ac:dyDescent="0.25">
      <c r="A12809" t="s">
        <v>2</v>
      </c>
      <c r="B12809" t="s">
        <v>3458</v>
      </c>
      <c r="C12809" t="s">
        <v>23490</v>
      </c>
      <c r="D12809" t="str">
        <f>HYPERLINK("https://rhld.insurance.arkansas.gov/NPILookup?Npi=1497134696","1497134696")</f>
        <v>1497134696</v>
      </c>
      <c r="E12809" t="s">
        <v>13564</v>
      </c>
    </row>
    <row r="12810" spans="1:5" x14ac:dyDescent="0.25">
      <c r="A12810" t="s">
        <v>2</v>
      </c>
      <c r="B12810" t="s">
        <v>3458</v>
      </c>
      <c r="C12810" t="s">
        <v>23490</v>
      </c>
      <c r="D12810" t="str">
        <f>HYPERLINK("https://rhld.insurance.arkansas.gov/NPILookup?Npi=1497138887","1497138887")</f>
        <v>1497138887</v>
      </c>
      <c r="E12810" t="s">
        <v>19769</v>
      </c>
    </row>
    <row r="12811" spans="1:5" x14ac:dyDescent="0.25">
      <c r="A12811" t="s">
        <v>2</v>
      </c>
      <c r="B12811" t="s">
        <v>3458</v>
      </c>
      <c r="C12811" t="s">
        <v>23490</v>
      </c>
      <c r="D12811" t="str">
        <f>HYPERLINK("https://rhld.insurance.arkansas.gov/NPILookup?Npi=1497169296","1497169296")</f>
        <v>1497169296</v>
      </c>
      <c r="E12811" t="s">
        <v>10990</v>
      </c>
    </row>
    <row r="12812" spans="1:5" x14ac:dyDescent="0.25">
      <c r="A12812" t="s">
        <v>2</v>
      </c>
      <c r="B12812" t="s">
        <v>3458</v>
      </c>
      <c r="C12812" t="s">
        <v>23490</v>
      </c>
      <c r="D12812" t="str">
        <f>HYPERLINK("https://rhld.insurance.arkansas.gov/NPILookup?Npi=1497194427","1497194427")</f>
        <v>1497194427</v>
      </c>
      <c r="E12812" t="s">
        <v>8704</v>
      </c>
    </row>
    <row r="12813" spans="1:5" x14ac:dyDescent="0.25">
      <c r="A12813" t="s">
        <v>2</v>
      </c>
      <c r="B12813" t="s">
        <v>3458</v>
      </c>
      <c r="C12813" t="s">
        <v>23490</v>
      </c>
      <c r="D12813" t="str">
        <f>HYPERLINK("https://rhld.insurance.arkansas.gov/NPILookup?Npi=1497198865","1497198865")</f>
        <v>1497198865</v>
      </c>
      <c r="E12813" t="s">
        <v>11461</v>
      </c>
    </row>
    <row r="12814" spans="1:5" x14ac:dyDescent="0.25">
      <c r="A12814" t="s">
        <v>2</v>
      </c>
      <c r="B12814" t="s">
        <v>3458</v>
      </c>
      <c r="C12814" t="s">
        <v>23490</v>
      </c>
      <c r="D12814" t="str">
        <f>HYPERLINK("https://rhld.insurance.arkansas.gov/NPILookup?Npi=1497200638","1497200638")</f>
        <v>1497200638</v>
      </c>
      <c r="E12814" t="s">
        <v>16969</v>
      </c>
    </row>
    <row r="12815" spans="1:5" x14ac:dyDescent="0.25">
      <c r="A12815" t="s">
        <v>2</v>
      </c>
      <c r="B12815" t="s">
        <v>3458</v>
      </c>
      <c r="C12815" t="s">
        <v>23490</v>
      </c>
      <c r="D12815" t="str">
        <f>HYPERLINK("https://rhld.insurance.arkansas.gov/NPILookup?Npi=1497203335","1497203335")</f>
        <v>1497203335</v>
      </c>
      <c r="E12815" t="s">
        <v>10992</v>
      </c>
    </row>
    <row r="12816" spans="1:5" x14ac:dyDescent="0.25">
      <c r="A12816" t="s">
        <v>2</v>
      </c>
      <c r="B12816" t="s">
        <v>3458</v>
      </c>
      <c r="C12816" t="s">
        <v>23490</v>
      </c>
      <c r="D12816" t="str">
        <f>HYPERLINK("https://rhld.insurance.arkansas.gov/NPILookup?Npi=1497206908","1497206908")</f>
        <v>1497206908</v>
      </c>
      <c r="E12816" t="s">
        <v>10993</v>
      </c>
    </row>
    <row r="12817" spans="1:5" x14ac:dyDescent="0.25">
      <c r="A12817" t="s">
        <v>2</v>
      </c>
      <c r="B12817" t="s">
        <v>3458</v>
      </c>
      <c r="C12817" t="s">
        <v>23490</v>
      </c>
      <c r="D12817" t="str">
        <f>HYPERLINK("https://rhld.insurance.arkansas.gov/NPILookup?Npi=1497208177","1497208177")</f>
        <v>1497208177</v>
      </c>
      <c r="E12817" t="s">
        <v>10994</v>
      </c>
    </row>
    <row r="12818" spans="1:5" x14ac:dyDescent="0.25">
      <c r="A12818" t="s">
        <v>2</v>
      </c>
      <c r="B12818" t="s">
        <v>3458</v>
      </c>
      <c r="C12818" t="s">
        <v>23490</v>
      </c>
      <c r="D12818" t="str">
        <f>HYPERLINK("https://rhld.insurance.arkansas.gov/NPILookup?Npi=1497209696","1497209696")</f>
        <v>1497209696</v>
      </c>
      <c r="E12818" t="s">
        <v>19773</v>
      </c>
    </row>
    <row r="12819" spans="1:5" x14ac:dyDescent="0.25">
      <c r="A12819" t="s">
        <v>2</v>
      </c>
      <c r="B12819" t="s">
        <v>3458</v>
      </c>
      <c r="C12819" t="s">
        <v>23490</v>
      </c>
      <c r="D12819" t="str">
        <f>HYPERLINK("https://rhld.insurance.arkansas.gov/NPILookup?Npi=1497222541","1497222541")</f>
        <v>1497222541</v>
      </c>
      <c r="E12819" t="s">
        <v>22947</v>
      </c>
    </row>
    <row r="12820" spans="1:5" x14ac:dyDescent="0.25">
      <c r="A12820" t="s">
        <v>2</v>
      </c>
      <c r="B12820" t="s">
        <v>3458</v>
      </c>
      <c r="C12820" t="s">
        <v>23490</v>
      </c>
      <c r="D12820" t="str">
        <f>HYPERLINK("https://rhld.insurance.arkansas.gov/NPILookup?Npi=1497241343","1497241343")</f>
        <v>1497241343</v>
      </c>
      <c r="E12820" t="s">
        <v>20954</v>
      </c>
    </row>
    <row r="12821" spans="1:5" x14ac:dyDescent="0.25">
      <c r="A12821" t="s">
        <v>2</v>
      </c>
      <c r="B12821" t="s">
        <v>3458</v>
      </c>
      <c r="C12821" t="s">
        <v>23490</v>
      </c>
      <c r="D12821" t="str">
        <f>HYPERLINK("https://rhld.insurance.arkansas.gov/NPILookup?Npi=1497246086","1497246086")</f>
        <v>1497246086</v>
      </c>
      <c r="E12821" t="s">
        <v>18008</v>
      </c>
    </row>
    <row r="12822" spans="1:5" x14ac:dyDescent="0.25">
      <c r="A12822" t="s">
        <v>2</v>
      </c>
      <c r="B12822" t="s">
        <v>3458</v>
      </c>
      <c r="C12822" t="s">
        <v>23490</v>
      </c>
      <c r="D12822" t="str">
        <f>HYPERLINK("https://rhld.insurance.arkansas.gov/NPILookup?Npi=1497251383","1497251383")</f>
        <v>1497251383</v>
      </c>
      <c r="E12822" t="s">
        <v>20248</v>
      </c>
    </row>
    <row r="12823" spans="1:5" x14ac:dyDescent="0.25">
      <c r="A12823" t="s">
        <v>2</v>
      </c>
      <c r="B12823" t="s">
        <v>3458</v>
      </c>
      <c r="C12823" t="s">
        <v>23490</v>
      </c>
      <c r="D12823" t="str">
        <f>HYPERLINK("https://rhld.insurance.arkansas.gov/NPILookup?Npi=1497261093","1497261093")</f>
        <v>1497261093</v>
      </c>
      <c r="E12823" t="s">
        <v>12853</v>
      </c>
    </row>
    <row r="12824" spans="1:5" x14ac:dyDescent="0.25">
      <c r="A12824" t="s">
        <v>2</v>
      </c>
      <c r="B12824" t="s">
        <v>3458</v>
      </c>
      <c r="C12824" t="s">
        <v>23490</v>
      </c>
      <c r="D12824" t="str">
        <f>HYPERLINK("https://rhld.insurance.arkansas.gov/NPILookup?Npi=1497263222","1497263222")</f>
        <v>1497263222</v>
      </c>
      <c r="E12824" t="s">
        <v>12996</v>
      </c>
    </row>
    <row r="12825" spans="1:5" x14ac:dyDescent="0.25">
      <c r="A12825" t="s">
        <v>2</v>
      </c>
      <c r="B12825" t="s">
        <v>3458</v>
      </c>
      <c r="C12825" t="s">
        <v>23490</v>
      </c>
      <c r="D12825" t="str">
        <f>HYPERLINK("https://rhld.insurance.arkansas.gov/NPILookup?Npi=1497270771","1497270771")</f>
        <v>1497270771</v>
      </c>
      <c r="E12825" t="s">
        <v>10996</v>
      </c>
    </row>
    <row r="12826" spans="1:5" x14ac:dyDescent="0.25">
      <c r="A12826" t="s">
        <v>2</v>
      </c>
      <c r="B12826" t="s">
        <v>3458</v>
      </c>
      <c r="C12826" t="s">
        <v>23490</v>
      </c>
      <c r="D12826" t="str">
        <f>HYPERLINK("https://rhld.insurance.arkansas.gov/NPILookup?Npi=1497271456","1497271456")</f>
        <v>1497271456</v>
      </c>
      <c r="E12826" t="s">
        <v>12997</v>
      </c>
    </row>
    <row r="12827" spans="1:5" x14ac:dyDescent="0.25">
      <c r="A12827" t="s">
        <v>2</v>
      </c>
      <c r="B12827" t="s">
        <v>3458</v>
      </c>
      <c r="C12827" t="s">
        <v>23490</v>
      </c>
      <c r="D12827" t="str">
        <f>HYPERLINK("https://rhld.insurance.arkansas.gov/NPILookup?Npi=1497280630","1497280630")</f>
        <v>1497280630</v>
      </c>
      <c r="E12827" t="s">
        <v>10997</v>
      </c>
    </row>
    <row r="12828" spans="1:5" x14ac:dyDescent="0.25">
      <c r="A12828" t="s">
        <v>2</v>
      </c>
      <c r="B12828" t="s">
        <v>3458</v>
      </c>
      <c r="C12828" t="s">
        <v>23490</v>
      </c>
      <c r="D12828" t="str">
        <f>HYPERLINK("https://rhld.insurance.arkansas.gov/NPILookup?Npi=1497284475","1497284475")</f>
        <v>1497284475</v>
      </c>
      <c r="E12828" t="s">
        <v>15198</v>
      </c>
    </row>
    <row r="12829" spans="1:5" x14ac:dyDescent="0.25">
      <c r="A12829" t="s">
        <v>2</v>
      </c>
      <c r="B12829" t="s">
        <v>3458</v>
      </c>
      <c r="C12829" t="s">
        <v>23490</v>
      </c>
      <c r="D12829" t="str">
        <f>HYPERLINK("https://rhld.insurance.arkansas.gov/NPILookup?Npi=1497291835","1497291835")</f>
        <v>1497291835</v>
      </c>
      <c r="E12829" t="s">
        <v>20249</v>
      </c>
    </row>
    <row r="12830" spans="1:5" x14ac:dyDescent="0.25">
      <c r="A12830" t="s">
        <v>2</v>
      </c>
      <c r="B12830" t="s">
        <v>3458</v>
      </c>
      <c r="C12830" t="s">
        <v>23490</v>
      </c>
      <c r="D12830" t="str">
        <f>HYPERLINK("https://rhld.insurance.arkansas.gov/NPILookup?Npi=1497299523","1497299523")</f>
        <v>1497299523</v>
      </c>
      <c r="E12830" t="s">
        <v>17075</v>
      </c>
    </row>
    <row r="12831" spans="1:5" x14ac:dyDescent="0.25">
      <c r="A12831" t="s">
        <v>2</v>
      </c>
      <c r="B12831" t="s">
        <v>3458</v>
      </c>
      <c r="C12831" t="s">
        <v>23490</v>
      </c>
      <c r="D12831" t="str">
        <f>HYPERLINK("https://rhld.insurance.arkansas.gov/NPILookup?Npi=1497320337","1497320337")</f>
        <v>1497320337</v>
      </c>
      <c r="E12831" t="s">
        <v>19777</v>
      </c>
    </row>
    <row r="12832" spans="1:5" x14ac:dyDescent="0.25">
      <c r="A12832" t="s">
        <v>2</v>
      </c>
      <c r="B12832" t="s">
        <v>3458</v>
      </c>
      <c r="C12832" t="s">
        <v>23490</v>
      </c>
      <c r="D12832" t="str">
        <f>HYPERLINK("https://rhld.insurance.arkansas.gov/NPILookup?Npi=1497325997","1497325997")</f>
        <v>1497325997</v>
      </c>
      <c r="E12832" t="s">
        <v>18794</v>
      </c>
    </row>
    <row r="12833" spans="1:5" x14ac:dyDescent="0.25">
      <c r="A12833" t="s">
        <v>2</v>
      </c>
      <c r="B12833" t="s">
        <v>3458</v>
      </c>
      <c r="C12833" t="s">
        <v>23490</v>
      </c>
      <c r="D12833" t="str">
        <f>HYPERLINK("https://rhld.insurance.arkansas.gov/NPILookup?Npi=1497326599","1497326599")</f>
        <v>1497326599</v>
      </c>
      <c r="E12833" t="s">
        <v>18795</v>
      </c>
    </row>
    <row r="12834" spans="1:5" x14ac:dyDescent="0.25">
      <c r="A12834" t="s">
        <v>2</v>
      </c>
      <c r="B12834" t="s">
        <v>3458</v>
      </c>
      <c r="C12834" t="s">
        <v>23490</v>
      </c>
      <c r="D12834" t="str">
        <f>HYPERLINK("https://rhld.insurance.arkansas.gov/NPILookup?Npi=1497332696","1497332696")</f>
        <v>1497332696</v>
      </c>
      <c r="E12834" t="s">
        <v>18796</v>
      </c>
    </row>
    <row r="12835" spans="1:5" x14ac:dyDescent="0.25">
      <c r="A12835" t="s">
        <v>2</v>
      </c>
      <c r="B12835" t="s">
        <v>3458</v>
      </c>
      <c r="C12835" t="s">
        <v>23490</v>
      </c>
      <c r="D12835" t="str">
        <f>HYPERLINK("https://rhld.insurance.arkansas.gov/NPILookup?Npi=1497376453","1497376453")</f>
        <v>1497376453</v>
      </c>
      <c r="E12835" t="s">
        <v>21557</v>
      </c>
    </row>
    <row r="12836" spans="1:5" x14ac:dyDescent="0.25">
      <c r="A12836" t="s">
        <v>2</v>
      </c>
      <c r="B12836" t="s">
        <v>3458</v>
      </c>
      <c r="C12836" t="s">
        <v>23490</v>
      </c>
      <c r="D12836" t="str">
        <f>HYPERLINK("https://rhld.insurance.arkansas.gov/NPILookup?Npi=1497380414","1497380414")</f>
        <v>1497380414</v>
      </c>
      <c r="E12836" t="s">
        <v>18009</v>
      </c>
    </row>
    <row r="12837" spans="1:5" x14ac:dyDescent="0.25">
      <c r="A12837" t="s">
        <v>2</v>
      </c>
      <c r="B12837" t="s">
        <v>3458</v>
      </c>
      <c r="C12837" t="s">
        <v>23490</v>
      </c>
      <c r="D12837" t="str">
        <f>HYPERLINK("https://rhld.insurance.arkansas.gov/NPILookup?Npi=1497397921","1497397921")</f>
        <v>1497397921</v>
      </c>
      <c r="E12837" t="s">
        <v>19780</v>
      </c>
    </row>
    <row r="12838" spans="1:5" x14ac:dyDescent="0.25">
      <c r="A12838" t="s">
        <v>2</v>
      </c>
      <c r="B12838" t="s">
        <v>3458</v>
      </c>
      <c r="C12838" t="s">
        <v>23490</v>
      </c>
      <c r="D12838" t="str">
        <f>HYPERLINK("https://rhld.insurance.arkansas.gov/NPILookup?Npi=1497419774","1497419774")</f>
        <v>1497419774</v>
      </c>
      <c r="E12838" t="s">
        <v>19782</v>
      </c>
    </row>
    <row r="12839" spans="1:5" x14ac:dyDescent="0.25">
      <c r="A12839" t="s">
        <v>2</v>
      </c>
      <c r="B12839" t="s">
        <v>3458</v>
      </c>
      <c r="C12839" t="s">
        <v>23490</v>
      </c>
      <c r="D12839" t="str">
        <f>HYPERLINK("https://rhld.insurance.arkansas.gov/NPILookup?Npi=1497493431","1497493431")</f>
        <v>1497493431</v>
      </c>
      <c r="E12839" t="s">
        <v>20955</v>
      </c>
    </row>
    <row r="12840" spans="1:5" x14ac:dyDescent="0.25">
      <c r="A12840" t="s">
        <v>2</v>
      </c>
      <c r="B12840" t="s">
        <v>3458</v>
      </c>
      <c r="C12840" t="s">
        <v>23490</v>
      </c>
      <c r="D12840" t="str">
        <f>HYPERLINK("https://rhld.insurance.arkansas.gov/NPILookup?Npi=1497701130","1497701130")</f>
        <v>1497701130</v>
      </c>
      <c r="E12840" t="s">
        <v>1739</v>
      </c>
    </row>
    <row r="12841" spans="1:5" x14ac:dyDescent="0.25">
      <c r="A12841" t="s">
        <v>2</v>
      </c>
      <c r="B12841" t="s">
        <v>3458</v>
      </c>
      <c r="C12841" t="s">
        <v>23490</v>
      </c>
      <c r="D12841" t="str">
        <f>HYPERLINK("https://rhld.insurance.arkansas.gov/NPILookup?Npi=1497702096","1497702096")</f>
        <v>1497702096</v>
      </c>
      <c r="E12841" t="s">
        <v>18010</v>
      </c>
    </row>
    <row r="12842" spans="1:5" x14ac:dyDescent="0.25">
      <c r="A12842" t="s">
        <v>2</v>
      </c>
      <c r="B12842" t="s">
        <v>3458</v>
      </c>
      <c r="C12842" t="s">
        <v>23490</v>
      </c>
      <c r="D12842" t="str">
        <f>HYPERLINK("https://rhld.insurance.arkansas.gov/NPILookup?Npi=1497705453","1497705453")</f>
        <v>1497705453</v>
      </c>
      <c r="E12842" t="s">
        <v>15199</v>
      </c>
    </row>
    <row r="12843" spans="1:5" x14ac:dyDescent="0.25">
      <c r="A12843" t="s">
        <v>2</v>
      </c>
      <c r="B12843" t="s">
        <v>3458</v>
      </c>
      <c r="C12843" t="s">
        <v>23490</v>
      </c>
      <c r="D12843" t="str">
        <f>HYPERLINK("https://rhld.insurance.arkansas.gov/NPILookup?Npi=1497711279","1497711279")</f>
        <v>1497711279</v>
      </c>
      <c r="E12843" t="s">
        <v>1740</v>
      </c>
    </row>
    <row r="12844" spans="1:5" x14ac:dyDescent="0.25">
      <c r="A12844" t="s">
        <v>2</v>
      </c>
      <c r="B12844" t="s">
        <v>3458</v>
      </c>
      <c r="C12844" t="s">
        <v>23490</v>
      </c>
      <c r="D12844" t="str">
        <f>HYPERLINK("https://rhld.insurance.arkansas.gov/NPILookup?Npi=1497712293","1497712293")</f>
        <v>1497712293</v>
      </c>
      <c r="E12844" t="s">
        <v>1741</v>
      </c>
    </row>
    <row r="12845" spans="1:5" x14ac:dyDescent="0.25">
      <c r="A12845" t="s">
        <v>2</v>
      </c>
      <c r="B12845" t="s">
        <v>3458</v>
      </c>
      <c r="C12845" t="s">
        <v>23490</v>
      </c>
      <c r="D12845" t="str">
        <f>HYPERLINK("https://rhld.insurance.arkansas.gov/NPILookup?Npi=1497712368","1497712368")</f>
        <v>1497712368</v>
      </c>
      <c r="E12845" t="s">
        <v>1742</v>
      </c>
    </row>
    <row r="12846" spans="1:5" x14ac:dyDescent="0.25">
      <c r="A12846" t="s">
        <v>2</v>
      </c>
      <c r="B12846" t="s">
        <v>3458</v>
      </c>
      <c r="C12846" t="s">
        <v>23490</v>
      </c>
      <c r="D12846" t="str">
        <f>HYPERLINK("https://rhld.insurance.arkansas.gov/NPILookup?Npi=1497720221","1497720221")</f>
        <v>1497720221</v>
      </c>
      <c r="E12846" t="s">
        <v>1744</v>
      </c>
    </row>
    <row r="12847" spans="1:5" x14ac:dyDescent="0.25">
      <c r="A12847" t="s">
        <v>2</v>
      </c>
      <c r="B12847" t="s">
        <v>3458</v>
      </c>
      <c r="C12847" t="s">
        <v>23490</v>
      </c>
      <c r="D12847" t="str">
        <f>HYPERLINK("https://rhld.insurance.arkansas.gov/NPILookup?Npi=1497724041","1497724041")</f>
        <v>1497724041</v>
      </c>
      <c r="E12847" t="s">
        <v>3760</v>
      </c>
    </row>
    <row r="12848" spans="1:5" x14ac:dyDescent="0.25">
      <c r="A12848" t="s">
        <v>2</v>
      </c>
      <c r="B12848" t="s">
        <v>3458</v>
      </c>
      <c r="C12848" t="s">
        <v>23490</v>
      </c>
      <c r="D12848" t="str">
        <f>HYPERLINK("https://rhld.insurance.arkansas.gov/NPILookup?Npi=1497724223","1497724223")</f>
        <v>1497724223</v>
      </c>
      <c r="E12848" t="s">
        <v>1745</v>
      </c>
    </row>
    <row r="12849" spans="1:5" x14ac:dyDescent="0.25">
      <c r="A12849" t="s">
        <v>2</v>
      </c>
      <c r="B12849" t="s">
        <v>3458</v>
      </c>
      <c r="C12849" t="s">
        <v>23490</v>
      </c>
      <c r="D12849" t="str">
        <f>HYPERLINK("https://rhld.insurance.arkansas.gov/NPILookup?Npi=1497728638","1497728638")</f>
        <v>1497728638</v>
      </c>
      <c r="E12849" t="s">
        <v>1746</v>
      </c>
    </row>
    <row r="12850" spans="1:5" x14ac:dyDescent="0.25">
      <c r="A12850" t="s">
        <v>2</v>
      </c>
      <c r="B12850" t="s">
        <v>3458</v>
      </c>
      <c r="C12850" t="s">
        <v>23490</v>
      </c>
      <c r="D12850" t="str">
        <f>HYPERLINK("https://rhld.insurance.arkansas.gov/NPILookup?Npi=1497735120","1497735120")</f>
        <v>1497735120</v>
      </c>
      <c r="E12850" t="s">
        <v>1748</v>
      </c>
    </row>
    <row r="12851" spans="1:5" x14ac:dyDescent="0.25">
      <c r="A12851" t="s">
        <v>2</v>
      </c>
      <c r="B12851" t="s">
        <v>3458</v>
      </c>
      <c r="C12851" t="s">
        <v>23490</v>
      </c>
      <c r="D12851" t="str">
        <f>HYPERLINK("https://rhld.insurance.arkansas.gov/NPILookup?Npi=1497735609","1497735609")</f>
        <v>1497735609</v>
      </c>
      <c r="E12851" t="s">
        <v>1749</v>
      </c>
    </row>
    <row r="12852" spans="1:5" x14ac:dyDescent="0.25">
      <c r="A12852" t="s">
        <v>2</v>
      </c>
      <c r="B12852" t="s">
        <v>3458</v>
      </c>
      <c r="C12852" t="s">
        <v>23490</v>
      </c>
      <c r="D12852" t="str">
        <f>HYPERLINK("https://rhld.insurance.arkansas.gov/NPILookup?Npi=1497744486","1497744486")</f>
        <v>1497744486</v>
      </c>
      <c r="E12852" t="s">
        <v>3761</v>
      </c>
    </row>
    <row r="12853" spans="1:5" x14ac:dyDescent="0.25">
      <c r="A12853" t="s">
        <v>2</v>
      </c>
      <c r="B12853" t="s">
        <v>3458</v>
      </c>
      <c r="C12853" t="s">
        <v>23490</v>
      </c>
      <c r="D12853" t="str">
        <f>HYPERLINK("https://rhld.insurance.arkansas.gov/NPILookup?Npi=1497745830","1497745830")</f>
        <v>1497745830</v>
      </c>
      <c r="E12853" t="s">
        <v>1751</v>
      </c>
    </row>
    <row r="12854" spans="1:5" x14ac:dyDescent="0.25">
      <c r="A12854" t="s">
        <v>2</v>
      </c>
      <c r="B12854" t="s">
        <v>3458</v>
      </c>
      <c r="C12854" t="s">
        <v>23490</v>
      </c>
      <c r="D12854" t="str">
        <f>HYPERLINK("https://rhld.insurance.arkansas.gov/NPILookup?Npi=1497747646","1497747646")</f>
        <v>1497747646</v>
      </c>
      <c r="E12854" t="s">
        <v>1752</v>
      </c>
    </row>
    <row r="12855" spans="1:5" x14ac:dyDescent="0.25">
      <c r="A12855" t="s">
        <v>2</v>
      </c>
      <c r="B12855" t="s">
        <v>3458</v>
      </c>
      <c r="C12855" t="s">
        <v>23490</v>
      </c>
      <c r="D12855" t="str">
        <f>HYPERLINK("https://rhld.insurance.arkansas.gov/NPILookup?Npi=1497748297","1497748297")</f>
        <v>1497748297</v>
      </c>
      <c r="E12855" t="s">
        <v>15200</v>
      </c>
    </row>
    <row r="12856" spans="1:5" x14ac:dyDescent="0.25">
      <c r="A12856" t="s">
        <v>2</v>
      </c>
      <c r="B12856" t="s">
        <v>3458</v>
      </c>
      <c r="C12856" t="s">
        <v>23490</v>
      </c>
      <c r="D12856" t="str">
        <f>HYPERLINK("https://rhld.insurance.arkansas.gov/NPILookup?Npi=1497749428","1497749428")</f>
        <v>1497749428</v>
      </c>
      <c r="E12856" t="s">
        <v>15866</v>
      </c>
    </row>
    <row r="12857" spans="1:5" x14ac:dyDescent="0.25">
      <c r="A12857" t="s">
        <v>2</v>
      </c>
      <c r="B12857" t="s">
        <v>3458</v>
      </c>
      <c r="C12857" t="s">
        <v>23490</v>
      </c>
      <c r="D12857" t="str">
        <f>HYPERLINK("https://rhld.insurance.arkansas.gov/NPILookup?Npi=1497753131","1497753131")</f>
        <v>1497753131</v>
      </c>
      <c r="E12857" t="s">
        <v>1754</v>
      </c>
    </row>
    <row r="12858" spans="1:5" x14ac:dyDescent="0.25">
      <c r="A12858" t="s">
        <v>2</v>
      </c>
      <c r="B12858" t="s">
        <v>3458</v>
      </c>
      <c r="C12858" t="s">
        <v>23490</v>
      </c>
      <c r="D12858" t="str">
        <f>HYPERLINK("https://rhld.insurance.arkansas.gov/NPILookup?Npi=1497757520","1497757520")</f>
        <v>1497757520</v>
      </c>
      <c r="E12858" t="s">
        <v>1756</v>
      </c>
    </row>
    <row r="12859" spans="1:5" x14ac:dyDescent="0.25">
      <c r="A12859" t="s">
        <v>2</v>
      </c>
      <c r="B12859" t="s">
        <v>3458</v>
      </c>
      <c r="C12859" t="s">
        <v>23490</v>
      </c>
      <c r="D12859" t="str">
        <f>HYPERLINK("https://rhld.insurance.arkansas.gov/NPILookup?Npi=1497765010","1497765010")</f>
        <v>1497765010</v>
      </c>
      <c r="E12859" t="s">
        <v>1757</v>
      </c>
    </row>
    <row r="12860" spans="1:5" x14ac:dyDescent="0.25">
      <c r="A12860" t="s">
        <v>2</v>
      </c>
      <c r="B12860" t="s">
        <v>3458</v>
      </c>
      <c r="C12860" t="s">
        <v>23490</v>
      </c>
      <c r="D12860" t="str">
        <f>HYPERLINK("https://rhld.insurance.arkansas.gov/NPILookup?Npi=1497769772","1497769772")</f>
        <v>1497769772</v>
      </c>
      <c r="E12860" t="s">
        <v>1758</v>
      </c>
    </row>
    <row r="12861" spans="1:5" x14ac:dyDescent="0.25">
      <c r="A12861" t="s">
        <v>2</v>
      </c>
      <c r="B12861" t="s">
        <v>3458</v>
      </c>
      <c r="C12861" t="s">
        <v>23490</v>
      </c>
      <c r="D12861" t="str">
        <f>HYPERLINK("https://rhld.insurance.arkansas.gov/NPILookup?Npi=1497771927","1497771927")</f>
        <v>1497771927</v>
      </c>
      <c r="E12861" t="s">
        <v>1759</v>
      </c>
    </row>
    <row r="12862" spans="1:5" x14ac:dyDescent="0.25">
      <c r="A12862" t="s">
        <v>2</v>
      </c>
      <c r="B12862" t="s">
        <v>3458</v>
      </c>
      <c r="C12862" t="s">
        <v>23490</v>
      </c>
      <c r="D12862" t="str">
        <f>HYPERLINK("https://rhld.insurance.arkansas.gov/NPILookup?Npi=1497781298","1497781298")</f>
        <v>1497781298</v>
      </c>
      <c r="E12862" t="s">
        <v>1760</v>
      </c>
    </row>
    <row r="12863" spans="1:5" x14ac:dyDescent="0.25">
      <c r="A12863" t="s">
        <v>2</v>
      </c>
      <c r="B12863" t="s">
        <v>3458</v>
      </c>
      <c r="C12863" t="s">
        <v>23490</v>
      </c>
      <c r="D12863" t="str">
        <f>HYPERLINK("https://rhld.insurance.arkansas.gov/NPILookup?Npi=1497781918","1497781918")</f>
        <v>1497781918</v>
      </c>
      <c r="E12863" t="s">
        <v>1761</v>
      </c>
    </row>
    <row r="12864" spans="1:5" x14ac:dyDescent="0.25">
      <c r="A12864" t="s">
        <v>2</v>
      </c>
      <c r="B12864" t="s">
        <v>3458</v>
      </c>
      <c r="C12864" t="s">
        <v>23490</v>
      </c>
      <c r="D12864" t="str">
        <f>HYPERLINK("https://rhld.insurance.arkansas.gov/NPILookup?Npi=1497782478","1497782478")</f>
        <v>1497782478</v>
      </c>
      <c r="E12864" t="s">
        <v>15201</v>
      </c>
    </row>
    <row r="12865" spans="1:5" x14ac:dyDescent="0.25">
      <c r="A12865" t="s">
        <v>2</v>
      </c>
      <c r="B12865" t="s">
        <v>3458</v>
      </c>
      <c r="C12865" t="s">
        <v>23490</v>
      </c>
      <c r="D12865" t="str">
        <f>HYPERLINK("https://rhld.insurance.arkansas.gov/NPILookup?Npi=1497824304","1497824304")</f>
        <v>1497824304</v>
      </c>
      <c r="E12865" t="s">
        <v>1762</v>
      </c>
    </row>
    <row r="12866" spans="1:5" x14ac:dyDescent="0.25">
      <c r="A12866" t="s">
        <v>2</v>
      </c>
      <c r="B12866" t="s">
        <v>3458</v>
      </c>
      <c r="C12866" t="s">
        <v>23490</v>
      </c>
      <c r="D12866" t="str">
        <f>HYPERLINK("https://rhld.insurance.arkansas.gov/NPILookup?Npi=1497833610","1497833610")</f>
        <v>1497833610</v>
      </c>
      <c r="E12866" t="s">
        <v>1763</v>
      </c>
    </row>
    <row r="12867" spans="1:5" x14ac:dyDescent="0.25">
      <c r="A12867" t="s">
        <v>2</v>
      </c>
      <c r="B12867" t="s">
        <v>3458</v>
      </c>
      <c r="C12867" t="s">
        <v>23490</v>
      </c>
      <c r="D12867" t="str">
        <f>HYPERLINK("https://rhld.insurance.arkansas.gov/NPILookup?Npi=1497835847","1497835847")</f>
        <v>1497835847</v>
      </c>
      <c r="E12867" t="s">
        <v>15867</v>
      </c>
    </row>
    <row r="12868" spans="1:5" x14ac:dyDescent="0.25">
      <c r="A12868" t="s">
        <v>2</v>
      </c>
      <c r="B12868" t="s">
        <v>3458</v>
      </c>
      <c r="C12868" t="s">
        <v>23490</v>
      </c>
      <c r="D12868" t="str">
        <f>HYPERLINK("https://rhld.insurance.arkansas.gov/NPILookup?Npi=1497836563","1497836563")</f>
        <v>1497836563</v>
      </c>
      <c r="E12868" t="s">
        <v>1764</v>
      </c>
    </row>
    <row r="12869" spans="1:5" x14ac:dyDescent="0.25">
      <c r="A12869" t="s">
        <v>2</v>
      </c>
      <c r="B12869" t="s">
        <v>3458</v>
      </c>
      <c r="C12869" t="s">
        <v>23490</v>
      </c>
      <c r="D12869" t="str">
        <f>HYPERLINK("https://rhld.insurance.arkansas.gov/NPILookup?Npi=1497841894","1497841894")</f>
        <v>1497841894</v>
      </c>
      <c r="E12869" t="s">
        <v>1765</v>
      </c>
    </row>
    <row r="12870" spans="1:5" x14ac:dyDescent="0.25">
      <c r="A12870" t="s">
        <v>2</v>
      </c>
      <c r="B12870" t="s">
        <v>3458</v>
      </c>
      <c r="C12870" t="s">
        <v>23490</v>
      </c>
      <c r="D12870" t="str">
        <f>HYPERLINK("https://rhld.insurance.arkansas.gov/NPILookup?Npi=1497848931","1497848931")</f>
        <v>1497848931</v>
      </c>
      <c r="E12870" t="s">
        <v>15868</v>
      </c>
    </row>
    <row r="12871" spans="1:5" x14ac:dyDescent="0.25">
      <c r="A12871" t="s">
        <v>2</v>
      </c>
      <c r="B12871" t="s">
        <v>3458</v>
      </c>
      <c r="C12871" t="s">
        <v>23490</v>
      </c>
      <c r="D12871" t="str">
        <f>HYPERLINK("https://rhld.insurance.arkansas.gov/NPILookup?Npi=1497866149","1497866149")</f>
        <v>1497866149</v>
      </c>
      <c r="E12871" t="s">
        <v>1766</v>
      </c>
    </row>
    <row r="12872" spans="1:5" x14ac:dyDescent="0.25">
      <c r="A12872" t="s">
        <v>2</v>
      </c>
      <c r="B12872" t="s">
        <v>3458</v>
      </c>
      <c r="C12872" t="s">
        <v>23490</v>
      </c>
      <c r="D12872" t="str">
        <f>HYPERLINK("https://rhld.insurance.arkansas.gov/NPILookup?Npi=1497871420","1497871420")</f>
        <v>1497871420</v>
      </c>
      <c r="E12872" t="s">
        <v>1767</v>
      </c>
    </row>
    <row r="12873" spans="1:5" x14ac:dyDescent="0.25">
      <c r="A12873" t="s">
        <v>2</v>
      </c>
      <c r="B12873" t="s">
        <v>3458</v>
      </c>
      <c r="C12873" t="s">
        <v>23490</v>
      </c>
      <c r="D12873" t="str">
        <f>HYPERLINK("https://rhld.insurance.arkansas.gov/NPILookup?Npi=1497876460","1497876460")</f>
        <v>1497876460</v>
      </c>
      <c r="E12873" t="s">
        <v>3762</v>
      </c>
    </row>
    <row r="12874" spans="1:5" x14ac:dyDescent="0.25">
      <c r="A12874" t="s">
        <v>2</v>
      </c>
      <c r="B12874" t="s">
        <v>3458</v>
      </c>
      <c r="C12874" t="s">
        <v>23490</v>
      </c>
      <c r="D12874" t="str">
        <f>HYPERLINK("https://rhld.insurance.arkansas.gov/NPILookup?Npi=1497877377","1497877377")</f>
        <v>1497877377</v>
      </c>
      <c r="E12874" t="s">
        <v>1768</v>
      </c>
    </row>
    <row r="12875" spans="1:5" x14ac:dyDescent="0.25">
      <c r="A12875" t="s">
        <v>2</v>
      </c>
      <c r="B12875" t="s">
        <v>3458</v>
      </c>
      <c r="C12875" t="s">
        <v>23490</v>
      </c>
      <c r="D12875" t="str">
        <f>HYPERLINK("https://rhld.insurance.arkansas.gov/NPILookup?Npi=1497893366","1497893366")</f>
        <v>1497893366</v>
      </c>
      <c r="E12875" t="s">
        <v>12998</v>
      </c>
    </row>
    <row r="12876" spans="1:5" x14ac:dyDescent="0.25">
      <c r="A12876" t="s">
        <v>2</v>
      </c>
      <c r="B12876" t="s">
        <v>3458</v>
      </c>
      <c r="C12876" t="s">
        <v>23490</v>
      </c>
      <c r="D12876" t="str">
        <f>HYPERLINK("https://rhld.insurance.arkansas.gov/NPILookup?Npi=1497899702","1497899702")</f>
        <v>1497899702</v>
      </c>
      <c r="E12876" t="s">
        <v>15203</v>
      </c>
    </row>
    <row r="12877" spans="1:5" x14ac:dyDescent="0.25">
      <c r="A12877" t="s">
        <v>2</v>
      </c>
      <c r="B12877" t="s">
        <v>3458</v>
      </c>
      <c r="C12877" t="s">
        <v>23490</v>
      </c>
      <c r="D12877" t="str">
        <f>HYPERLINK("https://rhld.insurance.arkansas.gov/NPILookup?Npi=1497910624","1497910624")</f>
        <v>1497910624</v>
      </c>
      <c r="E12877" t="s">
        <v>1769</v>
      </c>
    </row>
    <row r="12878" spans="1:5" x14ac:dyDescent="0.25">
      <c r="A12878" t="s">
        <v>2</v>
      </c>
      <c r="B12878" t="s">
        <v>3458</v>
      </c>
      <c r="C12878" t="s">
        <v>23490</v>
      </c>
      <c r="D12878" t="str">
        <f>HYPERLINK("https://rhld.insurance.arkansas.gov/NPILookup?Npi=1497914386","1497914386")</f>
        <v>1497914386</v>
      </c>
      <c r="E12878" t="s">
        <v>1770</v>
      </c>
    </row>
    <row r="12879" spans="1:5" x14ac:dyDescent="0.25">
      <c r="A12879" t="s">
        <v>2</v>
      </c>
      <c r="B12879" t="s">
        <v>3458</v>
      </c>
      <c r="C12879" t="s">
        <v>23490</v>
      </c>
      <c r="D12879" t="str">
        <f>HYPERLINK("https://rhld.insurance.arkansas.gov/NPILookup?Npi=1497923445","1497923445")</f>
        <v>1497923445</v>
      </c>
      <c r="E12879" t="s">
        <v>1771</v>
      </c>
    </row>
    <row r="12880" spans="1:5" x14ac:dyDescent="0.25">
      <c r="A12880" t="s">
        <v>2</v>
      </c>
      <c r="B12880" t="s">
        <v>3458</v>
      </c>
      <c r="C12880" t="s">
        <v>23490</v>
      </c>
      <c r="D12880" t="str">
        <f>HYPERLINK("https://rhld.insurance.arkansas.gov/NPILookup?Npi=1497932032","1497932032")</f>
        <v>1497932032</v>
      </c>
      <c r="E12880" t="s">
        <v>15869</v>
      </c>
    </row>
    <row r="12881" spans="1:5" x14ac:dyDescent="0.25">
      <c r="A12881" t="s">
        <v>2</v>
      </c>
      <c r="B12881" t="s">
        <v>3458</v>
      </c>
      <c r="C12881" t="s">
        <v>23490</v>
      </c>
      <c r="D12881" t="str">
        <f>HYPERLINK("https://rhld.insurance.arkansas.gov/NPILookup?Npi=1497999155","1497999155")</f>
        <v>1497999155</v>
      </c>
      <c r="E12881" t="s">
        <v>8707</v>
      </c>
    </row>
    <row r="12882" spans="1:5" x14ac:dyDescent="0.25">
      <c r="A12882" t="s">
        <v>2</v>
      </c>
      <c r="B12882" t="s">
        <v>3458</v>
      </c>
      <c r="C12882" t="s">
        <v>23490</v>
      </c>
      <c r="D12882" t="str">
        <f>HYPERLINK("https://rhld.insurance.arkansas.gov/NPILookup?Npi=1508022211","1508022211")</f>
        <v>1508022211</v>
      </c>
      <c r="E12882" t="s">
        <v>10998</v>
      </c>
    </row>
    <row r="12883" spans="1:5" x14ac:dyDescent="0.25">
      <c r="A12883" t="s">
        <v>2</v>
      </c>
      <c r="B12883" t="s">
        <v>3458</v>
      </c>
      <c r="C12883" t="s">
        <v>23490</v>
      </c>
      <c r="D12883" t="str">
        <f>HYPERLINK("https://rhld.insurance.arkansas.gov/NPILookup?Npi=1508027459","1508027459")</f>
        <v>1508027459</v>
      </c>
      <c r="E12883" t="s">
        <v>3763</v>
      </c>
    </row>
    <row r="12884" spans="1:5" x14ac:dyDescent="0.25">
      <c r="A12884" t="s">
        <v>2</v>
      </c>
      <c r="B12884" t="s">
        <v>3458</v>
      </c>
      <c r="C12884" t="s">
        <v>23490</v>
      </c>
      <c r="D12884" t="str">
        <f>HYPERLINK("https://rhld.insurance.arkansas.gov/NPILookup?Npi=1508060641","1508060641")</f>
        <v>1508060641</v>
      </c>
      <c r="E12884" t="s">
        <v>1772</v>
      </c>
    </row>
    <row r="12885" spans="1:5" x14ac:dyDescent="0.25">
      <c r="A12885" t="s">
        <v>2</v>
      </c>
      <c r="B12885" t="s">
        <v>3458</v>
      </c>
      <c r="C12885" t="s">
        <v>23490</v>
      </c>
      <c r="D12885" t="str">
        <f>HYPERLINK("https://rhld.insurance.arkansas.gov/NPILookup?Npi=1508070673","1508070673")</f>
        <v>1508070673</v>
      </c>
      <c r="E12885" t="s">
        <v>1773</v>
      </c>
    </row>
    <row r="12886" spans="1:5" x14ac:dyDescent="0.25">
      <c r="A12886" t="s">
        <v>2</v>
      </c>
      <c r="B12886" t="s">
        <v>3458</v>
      </c>
      <c r="C12886" t="s">
        <v>23490</v>
      </c>
      <c r="D12886" t="str">
        <f>HYPERLINK("https://rhld.insurance.arkansas.gov/NPILookup?Npi=1508085838","1508085838")</f>
        <v>1508085838</v>
      </c>
      <c r="E12886" t="s">
        <v>11462</v>
      </c>
    </row>
    <row r="12887" spans="1:5" x14ac:dyDescent="0.25">
      <c r="A12887" t="s">
        <v>2</v>
      </c>
      <c r="B12887" t="s">
        <v>3458</v>
      </c>
      <c r="C12887" t="s">
        <v>23490</v>
      </c>
      <c r="D12887" t="str">
        <f>HYPERLINK("https://rhld.insurance.arkansas.gov/NPILookup?Npi=1508087115","1508087115")</f>
        <v>1508087115</v>
      </c>
      <c r="E12887" t="s">
        <v>1774</v>
      </c>
    </row>
    <row r="12888" spans="1:5" x14ac:dyDescent="0.25">
      <c r="A12888" t="s">
        <v>2</v>
      </c>
      <c r="B12888" t="s">
        <v>3458</v>
      </c>
      <c r="C12888" t="s">
        <v>23490</v>
      </c>
      <c r="D12888" t="str">
        <f>HYPERLINK("https://rhld.insurance.arkansas.gov/NPILookup?Npi=1508126921","1508126921")</f>
        <v>1508126921</v>
      </c>
      <c r="E12888" t="s">
        <v>3764</v>
      </c>
    </row>
    <row r="12889" spans="1:5" x14ac:dyDescent="0.25">
      <c r="A12889" t="s">
        <v>2</v>
      </c>
      <c r="B12889" t="s">
        <v>3458</v>
      </c>
      <c r="C12889" t="s">
        <v>23490</v>
      </c>
      <c r="D12889" t="str">
        <f>HYPERLINK("https://rhld.insurance.arkansas.gov/NPILookup?Npi=1508132697","1508132697")</f>
        <v>1508132697</v>
      </c>
      <c r="E12889" t="s">
        <v>13851</v>
      </c>
    </row>
    <row r="12890" spans="1:5" x14ac:dyDescent="0.25">
      <c r="A12890" t="s">
        <v>2</v>
      </c>
      <c r="B12890" t="s">
        <v>3458</v>
      </c>
      <c r="C12890" t="s">
        <v>23490</v>
      </c>
      <c r="D12890" t="str">
        <f>HYPERLINK("https://rhld.insurance.arkansas.gov/NPILookup?Npi=1508157371","1508157371")</f>
        <v>1508157371</v>
      </c>
      <c r="E12890" t="s">
        <v>15205</v>
      </c>
    </row>
    <row r="12891" spans="1:5" x14ac:dyDescent="0.25">
      <c r="A12891" t="s">
        <v>2</v>
      </c>
      <c r="B12891" t="s">
        <v>3458</v>
      </c>
      <c r="C12891" t="s">
        <v>23490</v>
      </c>
      <c r="D12891" t="str">
        <f>HYPERLINK("https://rhld.insurance.arkansas.gov/NPILookup?Npi=1508168964","1508168964")</f>
        <v>1508168964</v>
      </c>
      <c r="E12891" t="s">
        <v>18011</v>
      </c>
    </row>
    <row r="12892" spans="1:5" x14ac:dyDescent="0.25">
      <c r="A12892" t="s">
        <v>2</v>
      </c>
      <c r="B12892" t="s">
        <v>3458</v>
      </c>
      <c r="C12892" t="s">
        <v>23490</v>
      </c>
      <c r="D12892" t="str">
        <f>HYPERLINK("https://rhld.insurance.arkansas.gov/NPILookup?Npi=1508178955","1508178955")</f>
        <v>1508178955</v>
      </c>
      <c r="E12892" t="s">
        <v>13566</v>
      </c>
    </row>
    <row r="12893" spans="1:5" x14ac:dyDescent="0.25">
      <c r="A12893" t="s">
        <v>2</v>
      </c>
      <c r="B12893" t="s">
        <v>3458</v>
      </c>
      <c r="C12893" t="s">
        <v>23490</v>
      </c>
      <c r="D12893" t="str">
        <f>HYPERLINK("https://rhld.insurance.arkansas.gov/NPILookup?Npi=1508181090","1508181090")</f>
        <v>1508181090</v>
      </c>
      <c r="E12893" t="s">
        <v>8708</v>
      </c>
    </row>
    <row r="12894" spans="1:5" x14ac:dyDescent="0.25">
      <c r="A12894" t="s">
        <v>2</v>
      </c>
      <c r="B12894" t="s">
        <v>3458</v>
      </c>
      <c r="C12894" t="s">
        <v>23490</v>
      </c>
      <c r="D12894" t="str">
        <f>HYPERLINK("https://rhld.insurance.arkansas.gov/NPILookup?Npi=1508183955","1508183955")</f>
        <v>1508183955</v>
      </c>
      <c r="E12894" t="s">
        <v>8709</v>
      </c>
    </row>
    <row r="12895" spans="1:5" x14ac:dyDescent="0.25">
      <c r="A12895" t="s">
        <v>2</v>
      </c>
      <c r="B12895" t="s">
        <v>3458</v>
      </c>
      <c r="C12895" t="s">
        <v>23490</v>
      </c>
      <c r="D12895" t="str">
        <f>HYPERLINK("https://rhld.insurance.arkansas.gov/NPILookup?Npi=1508193459","1508193459")</f>
        <v>1508193459</v>
      </c>
      <c r="E12895" t="s">
        <v>15206</v>
      </c>
    </row>
    <row r="12896" spans="1:5" x14ac:dyDescent="0.25">
      <c r="A12896" t="s">
        <v>2</v>
      </c>
      <c r="B12896" t="s">
        <v>3458</v>
      </c>
      <c r="C12896" t="s">
        <v>23490</v>
      </c>
      <c r="D12896" t="str">
        <f>HYPERLINK("https://rhld.insurance.arkansas.gov/NPILookup?Npi=1508200510","1508200510")</f>
        <v>1508200510</v>
      </c>
      <c r="E12896" t="s">
        <v>15207</v>
      </c>
    </row>
    <row r="12897" spans="1:5" x14ac:dyDescent="0.25">
      <c r="A12897" t="s">
        <v>2</v>
      </c>
      <c r="B12897" t="s">
        <v>3458</v>
      </c>
      <c r="C12897" t="s">
        <v>23490</v>
      </c>
      <c r="D12897" t="str">
        <f>HYPERLINK("https://rhld.insurance.arkansas.gov/NPILookup?Npi=1508206152","1508206152")</f>
        <v>1508206152</v>
      </c>
      <c r="E12897" t="s">
        <v>11000</v>
      </c>
    </row>
    <row r="12898" spans="1:5" x14ac:dyDescent="0.25">
      <c r="A12898" t="s">
        <v>2</v>
      </c>
      <c r="B12898" t="s">
        <v>3458</v>
      </c>
      <c r="C12898" t="s">
        <v>23490</v>
      </c>
      <c r="D12898" t="str">
        <f>HYPERLINK("https://rhld.insurance.arkansas.gov/NPILookup?Npi=1508208992","1508208992")</f>
        <v>1508208992</v>
      </c>
      <c r="E12898" t="s">
        <v>15208</v>
      </c>
    </row>
    <row r="12899" spans="1:5" x14ac:dyDescent="0.25">
      <c r="A12899" t="s">
        <v>2</v>
      </c>
      <c r="B12899" t="s">
        <v>3458</v>
      </c>
      <c r="C12899" t="s">
        <v>23490</v>
      </c>
      <c r="D12899" t="str">
        <f>HYPERLINK("https://rhld.insurance.arkansas.gov/NPILookup?Npi=1508213984","1508213984")</f>
        <v>1508213984</v>
      </c>
      <c r="E12899" t="s">
        <v>11001</v>
      </c>
    </row>
    <row r="12900" spans="1:5" x14ac:dyDescent="0.25">
      <c r="A12900" t="s">
        <v>2</v>
      </c>
      <c r="B12900" t="s">
        <v>3458</v>
      </c>
      <c r="C12900" t="s">
        <v>23490</v>
      </c>
      <c r="D12900" t="str">
        <f>HYPERLINK("https://rhld.insurance.arkansas.gov/NPILookup?Npi=1508232067","1508232067")</f>
        <v>1508232067</v>
      </c>
      <c r="E12900" t="s">
        <v>11002</v>
      </c>
    </row>
    <row r="12901" spans="1:5" x14ac:dyDescent="0.25">
      <c r="A12901" t="s">
        <v>2</v>
      </c>
      <c r="B12901" t="s">
        <v>3458</v>
      </c>
      <c r="C12901" t="s">
        <v>23490</v>
      </c>
      <c r="D12901" t="str">
        <f>HYPERLINK("https://rhld.insurance.arkansas.gov/NPILookup?Npi=1508236027","1508236027")</f>
        <v>1508236027</v>
      </c>
      <c r="E12901" t="s">
        <v>8710</v>
      </c>
    </row>
    <row r="12902" spans="1:5" x14ac:dyDescent="0.25">
      <c r="A12902" t="s">
        <v>2</v>
      </c>
      <c r="B12902" t="s">
        <v>3458</v>
      </c>
      <c r="C12902" t="s">
        <v>23490</v>
      </c>
      <c r="D12902" t="str">
        <f>HYPERLINK("https://rhld.insurance.arkansas.gov/NPILookup?Npi=1508239674","1508239674")</f>
        <v>1508239674</v>
      </c>
      <c r="E12902" t="s">
        <v>8711</v>
      </c>
    </row>
    <row r="12903" spans="1:5" x14ac:dyDescent="0.25">
      <c r="A12903" t="s">
        <v>2</v>
      </c>
      <c r="B12903" t="s">
        <v>3458</v>
      </c>
      <c r="C12903" t="s">
        <v>23490</v>
      </c>
      <c r="D12903" t="str">
        <f>HYPERLINK("https://rhld.insurance.arkansas.gov/NPILookup?Npi=1508252644","1508252644")</f>
        <v>1508252644</v>
      </c>
      <c r="E12903" t="s">
        <v>1776</v>
      </c>
    </row>
    <row r="12904" spans="1:5" x14ac:dyDescent="0.25">
      <c r="A12904" t="s">
        <v>2</v>
      </c>
      <c r="B12904" t="s">
        <v>3458</v>
      </c>
      <c r="C12904" t="s">
        <v>23490</v>
      </c>
      <c r="D12904" t="str">
        <f>HYPERLINK("https://rhld.insurance.arkansas.gov/NPILookup?Npi=1508254962","1508254962")</f>
        <v>1508254962</v>
      </c>
      <c r="E12904" t="s">
        <v>1777</v>
      </c>
    </row>
    <row r="12905" spans="1:5" x14ac:dyDescent="0.25">
      <c r="A12905" t="s">
        <v>2</v>
      </c>
      <c r="B12905" t="s">
        <v>3458</v>
      </c>
      <c r="C12905" t="s">
        <v>23490</v>
      </c>
      <c r="D12905" t="str">
        <f>HYPERLINK("https://rhld.insurance.arkansas.gov/NPILookup?Npi=1508272618","1508272618")</f>
        <v>1508272618</v>
      </c>
      <c r="E12905" t="s">
        <v>15209</v>
      </c>
    </row>
    <row r="12906" spans="1:5" x14ac:dyDescent="0.25">
      <c r="A12906" t="s">
        <v>2</v>
      </c>
      <c r="B12906" t="s">
        <v>3458</v>
      </c>
      <c r="C12906" t="s">
        <v>23490</v>
      </c>
      <c r="D12906" t="str">
        <f>HYPERLINK("https://rhld.insurance.arkansas.gov/NPILookup?Npi=1508295601","1508295601")</f>
        <v>1508295601</v>
      </c>
      <c r="E12906" t="s">
        <v>13568</v>
      </c>
    </row>
    <row r="12907" spans="1:5" x14ac:dyDescent="0.25">
      <c r="A12907" t="s">
        <v>2</v>
      </c>
      <c r="B12907" t="s">
        <v>3458</v>
      </c>
      <c r="C12907" t="s">
        <v>23490</v>
      </c>
      <c r="D12907" t="str">
        <f>HYPERLINK("https://rhld.insurance.arkansas.gov/NPILookup?Npi=1508301276","1508301276")</f>
        <v>1508301276</v>
      </c>
      <c r="E12907" t="s">
        <v>15870</v>
      </c>
    </row>
    <row r="12908" spans="1:5" x14ac:dyDescent="0.25">
      <c r="A12908" t="s">
        <v>2</v>
      </c>
      <c r="B12908" t="s">
        <v>3458</v>
      </c>
      <c r="C12908" t="s">
        <v>23490</v>
      </c>
      <c r="D12908" t="str">
        <f>HYPERLINK("https://rhld.insurance.arkansas.gov/NPILookup?Npi=1508308131","1508308131")</f>
        <v>1508308131</v>
      </c>
      <c r="E12908" t="s">
        <v>11003</v>
      </c>
    </row>
    <row r="12909" spans="1:5" x14ac:dyDescent="0.25">
      <c r="A12909" t="s">
        <v>2</v>
      </c>
      <c r="B12909" t="s">
        <v>3458</v>
      </c>
      <c r="C12909" t="s">
        <v>23490</v>
      </c>
      <c r="D12909" t="str">
        <f>HYPERLINK("https://rhld.insurance.arkansas.gov/NPILookup?Npi=1508316647","1508316647")</f>
        <v>1508316647</v>
      </c>
      <c r="E12909" t="s">
        <v>15210</v>
      </c>
    </row>
    <row r="12910" spans="1:5" x14ac:dyDescent="0.25">
      <c r="A12910" t="s">
        <v>2</v>
      </c>
      <c r="B12910" t="s">
        <v>3458</v>
      </c>
      <c r="C12910" t="s">
        <v>23490</v>
      </c>
      <c r="D12910" t="str">
        <f>HYPERLINK("https://rhld.insurance.arkansas.gov/NPILookup?Npi=1508317157","1508317157")</f>
        <v>1508317157</v>
      </c>
      <c r="E12910" t="s">
        <v>15211</v>
      </c>
    </row>
    <row r="12911" spans="1:5" x14ac:dyDescent="0.25">
      <c r="A12911" t="s">
        <v>2</v>
      </c>
      <c r="B12911" t="s">
        <v>3458</v>
      </c>
      <c r="C12911" t="s">
        <v>23490</v>
      </c>
      <c r="D12911" t="str">
        <f>HYPERLINK("https://rhld.insurance.arkansas.gov/NPILookup?Npi=1508337643","1508337643")</f>
        <v>1508337643</v>
      </c>
      <c r="E12911" t="s">
        <v>20958</v>
      </c>
    </row>
    <row r="12912" spans="1:5" x14ac:dyDescent="0.25">
      <c r="A12912" t="s">
        <v>2</v>
      </c>
      <c r="B12912" t="s">
        <v>3458</v>
      </c>
      <c r="C12912" t="s">
        <v>23490</v>
      </c>
      <c r="D12912" t="str">
        <f>HYPERLINK("https://rhld.insurance.arkansas.gov/NPILookup?Npi=1508349978","1508349978")</f>
        <v>1508349978</v>
      </c>
      <c r="E12912" t="s">
        <v>13569</v>
      </c>
    </row>
    <row r="12913" spans="1:5" x14ac:dyDescent="0.25">
      <c r="A12913" t="s">
        <v>2</v>
      </c>
      <c r="B12913" t="s">
        <v>3458</v>
      </c>
      <c r="C12913" t="s">
        <v>23490</v>
      </c>
      <c r="D12913" t="str">
        <f>HYPERLINK("https://rhld.insurance.arkansas.gov/NPILookup?Npi=1508360900","1508360900")</f>
        <v>1508360900</v>
      </c>
      <c r="E12913" t="s">
        <v>13852</v>
      </c>
    </row>
    <row r="12914" spans="1:5" x14ac:dyDescent="0.25">
      <c r="A12914" t="s">
        <v>2</v>
      </c>
      <c r="B12914" t="s">
        <v>3458</v>
      </c>
      <c r="C12914" t="s">
        <v>23490</v>
      </c>
      <c r="D12914" t="str">
        <f>HYPERLINK("https://rhld.insurance.arkansas.gov/NPILookup?Npi=1508362245","1508362245")</f>
        <v>1508362245</v>
      </c>
      <c r="E12914" t="s">
        <v>12999</v>
      </c>
    </row>
    <row r="12915" spans="1:5" x14ac:dyDescent="0.25">
      <c r="A12915" t="s">
        <v>2</v>
      </c>
      <c r="B12915" t="s">
        <v>3458</v>
      </c>
      <c r="C12915" t="s">
        <v>23490</v>
      </c>
      <c r="D12915" t="str">
        <f>HYPERLINK("https://rhld.insurance.arkansas.gov/NPILookup?Npi=1508391566","1508391566")</f>
        <v>1508391566</v>
      </c>
      <c r="E12915" t="s">
        <v>15213</v>
      </c>
    </row>
    <row r="12916" spans="1:5" x14ac:dyDescent="0.25">
      <c r="A12916" t="s">
        <v>2</v>
      </c>
      <c r="B12916" t="s">
        <v>3458</v>
      </c>
      <c r="C12916" t="s">
        <v>23490</v>
      </c>
      <c r="D12916" t="str">
        <f>HYPERLINK("https://rhld.insurance.arkansas.gov/NPILookup?Npi=1508398884","1508398884")</f>
        <v>1508398884</v>
      </c>
      <c r="E12916" t="s">
        <v>11004</v>
      </c>
    </row>
    <row r="12917" spans="1:5" x14ac:dyDescent="0.25">
      <c r="A12917" t="s">
        <v>2</v>
      </c>
      <c r="B12917" t="s">
        <v>3458</v>
      </c>
      <c r="C12917" t="s">
        <v>23490</v>
      </c>
      <c r="D12917" t="str">
        <f>HYPERLINK("https://rhld.insurance.arkansas.gov/NPILookup?Npi=1508401852","1508401852")</f>
        <v>1508401852</v>
      </c>
      <c r="E12917" t="s">
        <v>18013</v>
      </c>
    </row>
    <row r="12918" spans="1:5" x14ac:dyDescent="0.25">
      <c r="A12918" t="s">
        <v>2</v>
      </c>
      <c r="B12918" t="s">
        <v>3458</v>
      </c>
      <c r="C12918" t="s">
        <v>23490</v>
      </c>
      <c r="D12918" t="str">
        <f>HYPERLINK("https://rhld.insurance.arkansas.gov/NPILookup?Npi=1508451170","1508451170")</f>
        <v>1508451170</v>
      </c>
      <c r="E12918" t="s">
        <v>18798</v>
      </c>
    </row>
    <row r="12919" spans="1:5" x14ac:dyDescent="0.25">
      <c r="A12919" t="s">
        <v>2</v>
      </c>
      <c r="B12919" t="s">
        <v>3458</v>
      </c>
      <c r="C12919" t="s">
        <v>8427</v>
      </c>
      <c r="D12919" t="str">
        <f>HYPERLINK("https://rhld.insurance.arkansas.gov/NPILookup?Npi=1508487042","1508487042")</f>
        <v>1508487042</v>
      </c>
      <c r="E12919" t="s">
        <v>22948</v>
      </c>
    </row>
    <row r="12920" spans="1:5" x14ac:dyDescent="0.25">
      <c r="A12920" t="s">
        <v>2</v>
      </c>
      <c r="B12920" t="s">
        <v>3458</v>
      </c>
      <c r="C12920" t="s">
        <v>8427</v>
      </c>
      <c r="D12920" t="str">
        <f>HYPERLINK("https://rhld.insurance.arkansas.gov/NPILookup?Npi=1508493610","1508493610")</f>
        <v>1508493610</v>
      </c>
      <c r="E12920" t="s">
        <v>22949</v>
      </c>
    </row>
    <row r="12921" spans="1:5" x14ac:dyDescent="0.25">
      <c r="A12921" t="s">
        <v>2</v>
      </c>
      <c r="B12921" t="s">
        <v>3458</v>
      </c>
      <c r="C12921" t="s">
        <v>23490</v>
      </c>
      <c r="D12921" t="str">
        <f>HYPERLINK("https://rhld.insurance.arkansas.gov/NPILookup?Npi=1508526906","1508526906")</f>
        <v>1508526906</v>
      </c>
      <c r="E12921" t="s">
        <v>19787</v>
      </c>
    </row>
    <row r="12922" spans="1:5" x14ac:dyDescent="0.25">
      <c r="A12922" t="s">
        <v>2</v>
      </c>
      <c r="B12922" t="s">
        <v>3458</v>
      </c>
      <c r="C12922" t="s">
        <v>23490</v>
      </c>
      <c r="D12922" t="str">
        <f>HYPERLINK("https://rhld.insurance.arkansas.gov/NPILookup?Npi=1508533050","1508533050")</f>
        <v>1508533050</v>
      </c>
      <c r="E12922" t="s">
        <v>19788</v>
      </c>
    </row>
    <row r="12923" spans="1:5" x14ac:dyDescent="0.25">
      <c r="A12923" t="s">
        <v>2</v>
      </c>
      <c r="B12923" t="s">
        <v>3458</v>
      </c>
      <c r="C12923" t="s">
        <v>23490</v>
      </c>
      <c r="D12923" t="str">
        <f>HYPERLINK("https://rhld.insurance.arkansas.gov/NPILookup?Npi=1508807736","1508807736")</f>
        <v>1508807736</v>
      </c>
      <c r="E12923" t="s">
        <v>11006</v>
      </c>
    </row>
    <row r="12924" spans="1:5" x14ac:dyDescent="0.25">
      <c r="A12924" t="s">
        <v>2</v>
      </c>
      <c r="B12924" t="s">
        <v>3458</v>
      </c>
      <c r="C12924" t="s">
        <v>23490</v>
      </c>
      <c r="D12924" t="str">
        <f>HYPERLINK("https://rhld.insurance.arkansas.gov/NPILookup?Npi=1508808742","1508808742")</f>
        <v>1508808742</v>
      </c>
      <c r="E12924" t="s">
        <v>1781</v>
      </c>
    </row>
    <row r="12925" spans="1:5" x14ac:dyDescent="0.25">
      <c r="A12925" t="s">
        <v>2</v>
      </c>
      <c r="B12925" t="s">
        <v>3458</v>
      </c>
      <c r="C12925" t="s">
        <v>23490</v>
      </c>
      <c r="D12925" t="str">
        <f>HYPERLINK("https://rhld.insurance.arkansas.gov/NPILookup?Npi=1508810375","1508810375")</f>
        <v>1508810375</v>
      </c>
      <c r="E12925" t="s">
        <v>3765</v>
      </c>
    </row>
    <row r="12926" spans="1:5" x14ac:dyDescent="0.25">
      <c r="A12926" t="s">
        <v>2</v>
      </c>
      <c r="B12926" t="s">
        <v>3458</v>
      </c>
      <c r="C12926" t="s">
        <v>23490</v>
      </c>
      <c r="D12926" t="str">
        <f>HYPERLINK("https://rhld.insurance.arkansas.gov/NPILookup?Npi=1508814617","1508814617")</f>
        <v>1508814617</v>
      </c>
      <c r="E12926" t="s">
        <v>15215</v>
      </c>
    </row>
    <row r="12927" spans="1:5" x14ac:dyDescent="0.25">
      <c r="A12927" t="s">
        <v>2</v>
      </c>
      <c r="B12927" t="s">
        <v>3458</v>
      </c>
      <c r="C12927" t="s">
        <v>23490</v>
      </c>
      <c r="D12927" t="str">
        <f>HYPERLINK("https://rhld.insurance.arkansas.gov/NPILookup?Npi=1508817719","1508817719")</f>
        <v>1508817719</v>
      </c>
      <c r="E12927" t="s">
        <v>1782</v>
      </c>
    </row>
    <row r="12928" spans="1:5" x14ac:dyDescent="0.25">
      <c r="A12928" t="s">
        <v>2</v>
      </c>
      <c r="B12928" t="s">
        <v>3458</v>
      </c>
      <c r="C12928" t="s">
        <v>23490</v>
      </c>
      <c r="D12928" t="str">
        <f>HYPERLINK("https://rhld.insurance.arkansas.gov/NPILookup?Npi=1508823147","1508823147")</f>
        <v>1508823147</v>
      </c>
      <c r="E12928" t="s">
        <v>3766</v>
      </c>
    </row>
    <row r="12929" spans="1:5" x14ac:dyDescent="0.25">
      <c r="A12929" t="s">
        <v>2</v>
      </c>
      <c r="B12929" t="s">
        <v>3458</v>
      </c>
      <c r="C12929" t="s">
        <v>23490</v>
      </c>
      <c r="D12929" t="str">
        <f>HYPERLINK("https://rhld.insurance.arkansas.gov/NPILookup?Npi=1508824285","1508824285")</f>
        <v>1508824285</v>
      </c>
      <c r="E12929" t="s">
        <v>1783</v>
      </c>
    </row>
    <row r="12930" spans="1:5" x14ac:dyDescent="0.25">
      <c r="A12930" t="s">
        <v>2</v>
      </c>
      <c r="B12930" t="s">
        <v>3458</v>
      </c>
      <c r="C12930" t="s">
        <v>23490</v>
      </c>
      <c r="D12930" t="str">
        <f>HYPERLINK("https://rhld.insurance.arkansas.gov/NPILookup?Npi=1508824871","1508824871")</f>
        <v>1508824871</v>
      </c>
      <c r="E12930" t="s">
        <v>1784</v>
      </c>
    </row>
    <row r="12931" spans="1:5" x14ac:dyDescent="0.25">
      <c r="A12931" t="s">
        <v>2</v>
      </c>
      <c r="B12931" t="s">
        <v>3458</v>
      </c>
      <c r="C12931" t="s">
        <v>23490</v>
      </c>
      <c r="D12931" t="str">
        <f>HYPERLINK("https://rhld.insurance.arkansas.gov/NPILookup?Npi=1508827700","1508827700")</f>
        <v>1508827700</v>
      </c>
      <c r="E12931" t="s">
        <v>1785</v>
      </c>
    </row>
    <row r="12932" spans="1:5" x14ac:dyDescent="0.25">
      <c r="A12932" t="s">
        <v>2</v>
      </c>
      <c r="B12932" t="s">
        <v>3458</v>
      </c>
      <c r="C12932" t="s">
        <v>23490</v>
      </c>
      <c r="D12932" t="str">
        <f>HYPERLINK("https://rhld.insurance.arkansas.gov/NPILookup?Npi=1508831264","1508831264")</f>
        <v>1508831264</v>
      </c>
      <c r="E12932" t="s">
        <v>1786</v>
      </c>
    </row>
    <row r="12933" spans="1:5" x14ac:dyDescent="0.25">
      <c r="A12933" t="s">
        <v>2</v>
      </c>
      <c r="B12933" t="s">
        <v>3458</v>
      </c>
      <c r="C12933" t="s">
        <v>23490</v>
      </c>
      <c r="D12933" t="str">
        <f>HYPERLINK("https://rhld.insurance.arkansas.gov/NPILookup?Npi=1508837485","1508837485")</f>
        <v>1508837485</v>
      </c>
      <c r="E12933" t="s">
        <v>3767</v>
      </c>
    </row>
    <row r="12934" spans="1:5" x14ac:dyDescent="0.25">
      <c r="A12934" t="s">
        <v>2</v>
      </c>
      <c r="B12934" t="s">
        <v>3458</v>
      </c>
      <c r="C12934" t="s">
        <v>23490</v>
      </c>
      <c r="D12934" t="str">
        <f>HYPERLINK("https://rhld.insurance.arkansas.gov/NPILookup?Npi=1508839986","1508839986")</f>
        <v>1508839986</v>
      </c>
      <c r="E12934" t="s">
        <v>15216</v>
      </c>
    </row>
    <row r="12935" spans="1:5" x14ac:dyDescent="0.25">
      <c r="A12935" t="s">
        <v>2</v>
      </c>
      <c r="B12935" t="s">
        <v>3458</v>
      </c>
      <c r="C12935" t="s">
        <v>23490</v>
      </c>
      <c r="D12935" t="str">
        <f>HYPERLINK("https://rhld.insurance.arkansas.gov/NPILookup?Npi=1508848672","1508848672")</f>
        <v>1508848672</v>
      </c>
      <c r="E12935" t="s">
        <v>1789</v>
      </c>
    </row>
    <row r="12936" spans="1:5" x14ac:dyDescent="0.25">
      <c r="A12936" t="s">
        <v>2</v>
      </c>
      <c r="B12936" t="s">
        <v>3458</v>
      </c>
      <c r="C12936" t="s">
        <v>23490</v>
      </c>
      <c r="D12936" t="str">
        <f>HYPERLINK("https://rhld.insurance.arkansas.gov/NPILookup?Npi=1508853466","1508853466")</f>
        <v>1508853466</v>
      </c>
      <c r="E12936" t="s">
        <v>1790</v>
      </c>
    </row>
    <row r="12937" spans="1:5" x14ac:dyDescent="0.25">
      <c r="A12937" t="s">
        <v>2</v>
      </c>
      <c r="B12937" t="s">
        <v>3458</v>
      </c>
      <c r="C12937" t="s">
        <v>23490</v>
      </c>
      <c r="D12937" t="str">
        <f>HYPERLINK("https://rhld.insurance.arkansas.gov/NPILookup?Npi=1508861865","1508861865")</f>
        <v>1508861865</v>
      </c>
      <c r="E12937" t="s">
        <v>1791</v>
      </c>
    </row>
    <row r="12938" spans="1:5" x14ac:dyDescent="0.25">
      <c r="A12938" t="s">
        <v>2</v>
      </c>
      <c r="B12938" t="s">
        <v>3458</v>
      </c>
      <c r="C12938" t="s">
        <v>23490</v>
      </c>
      <c r="D12938" t="str">
        <f>HYPERLINK("https://rhld.insurance.arkansas.gov/NPILookup?Npi=1508863267","1508863267")</f>
        <v>1508863267</v>
      </c>
      <c r="E12938" t="s">
        <v>1792</v>
      </c>
    </row>
    <row r="12939" spans="1:5" x14ac:dyDescent="0.25">
      <c r="A12939" t="s">
        <v>2</v>
      </c>
      <c r="B12939" t="s">
        <v>3458</v>
      </c>
      <c r="C12939" t="s">
        <v>23490</v>
      </c>
      <c r="D12939" t="str">
        <f>HYPERLINK("https://rhld.insurance.arkansas.gov/NPILookup?Npi=1508864034","1508864034")</f>
        <v>1508864034</v>
      </c>
      <c r="E12939" t="s">
        <v>3768</v>
      </c>
    </row>
    <row r="12940" spans="1:5" x14ac:dyDescent="0.25">
      <c r="A12940" t="s">
        <v>2</v>
      </c>
      <c r="B12940" t="s">
        <v>3458</v>
      </c>
      <c r="C12940" t="s">
        <v>23490</v>
      </c>
      <c r="D12940" t="str">
        <f>HYPERLINK("https://rhld.insurance.arkansas.gov/NPILookup?Npi=1508882952","1508882952")</f>
        <v>1508882952</v>
      </c>
      <c r="E12940" t="s">
        <v>1794</v>
      </c>
    </row>
    <row r="12941" spans="1:5" x14ac:dyDescent="0.25">
      <c r="A12941" t="s">
        <v>2</v>
      </c>
      <c r="B12941" t="s">
        <v>3458</v>
      </c>
      <c r="C12941" t="s">
        <v>23490</v>
      </c>
      <c r="D12941" t="str">
        <f>HYPERLINK("https://rhld.insurance.arkansas.gov/NPILookup?Npi=1508887365","1508887365")</f>
        <v>1508887365</v>
      </c>
      <c r="E12941" t="s">
        <v>1795</v>
      </c>
    </row>
    <row r="12942" spans="1:5" x14ac:dyDescent="0.25">
      <c r="A12942" t="s">
        <v>2</v>
      </c>
      <c r="B12942" t="s">
        <v>3458</v>
      </c>
      <c r="C12942" t="s">
        <v>23490</v>
      </c>
      <c r="D12942" t="str">
        <f>HYPERLINK("https://rhld.insurance.arkansas.gov/NPILookup?Npi=1508890989","1508890989")</f>
        <v>1508890989</v>
      </c>
      <c r="E12942" t="s">
        <v>1796</v>
      </c>
    </row>
    <row r="12943" spans="1:5" x14ac:dyDescent="0.25">
      <c r="A12943" t="s">
        <v>2</v>
      </c>
      <c r="B12943" t="s">
        <v>3458</v>
      </c>
      <c r="C12943" t="s">
        <v>23490</v>
      </c>
      <c r="D12943" t="str">
        <f>HYPERLINK("https://rhld.insurance.arkansas.gov/NPILookup?Npi=1518006170","1518006170")</f>
        <v>1518006170</v>
      </c>
      <c r="E12943" t="s">
        <v>15217</v>
      </c>
    </row>
    <row r="12944" spans="1:5" x14ac:dyDescent="0.25">
      <c r="A12944" t="s">
        <v>2</v>
      </c>
      <c r="B12944" t="s">
        <v>3458</v>
      </c>
      <c r="C12944" t="s">
        <v>23490</v>
      </c>
      <c r="D12944" t="str">
        <f>HYPERLINK("https://rhld.insurance.arkansas.gov/NPILookup?Npi=1518018514","1518018514")</f>
        <v>1518018514</v>
      </c>
      <c r="E12944" t="s">
        <v>1798</v>
      </c>
    </row>
    <row r="12945" spans="1:5" x14ac:dyDescent="0.25">
      <c r="A12945" t="s">
        <v>2</v>
      </c>
      <c r="B12945" t="s">
        <v>3458</v>
      </c>
      <c r="C12945" t="s">
        <v>23490</v>
      </c>
      <c r="D12945" t="str">
        <f>HYPERLINK("https://rhld.insurance.arkansas.gov/NPILookup?Npi=1518039452","1518039452")</f>
        <v>1518039452</v>
      </c>
      <c r="E12945" t="s">
        <v>1151</v>
      </c>
    </row>
    <row r="12946" spans="1:5" x14ac:dyDescent="0.25">
      <c r="A12946" t="s">
        <v>2</v>
      </c>
      <c r="B12946" t="s">
        <v>3458</v>
      </c>
      <c r="C12946" t="s">
        <v>23490</v>
      </c>
      <c r="D12946" t="str">
        <f>HYPERLINK("https://rhld.insurance.arkansas.gov/NPILookup?Npi=1518057082","1518057082")</f>
        <v>1518057082</v>
      </c>
      <c r="E12946" t="s">
        <v>1799</v>
      </c>
    </row>
    <row r="12947" spans="1:5" x14ac:dyDescent="0.25">
      <c r="A12947" t="s">
        <v>2</v>
      </c>
      <c r="B12947" t="s">
        <v>3458</v>
      </c>
      <c r="C12947" t="s">
        <v>23490</v>
      </c>
      <c r="D12947" t="str">
        <f>HYPERLINK("https://rhld.insurance.arkansas.gov/NPILookup?Npi=1518057173","1518057173")</f>
        <v>1518057173</v>
      </c>
      <c r="E12947" t="s">
        <v>3769</v>
      </c>
    </row>
    <row r="12948" spans="1:5" x14ac:dyDescent="0.25">
      <c r="A12948" t="s">
        <v>2</v>
      </c>
      <c r="B12948" t="s">
        <v>3458</v>
      </c>
      <c r="C12948" t="s">
        <v>23490</v>
      </c>
      <c r="D12948" t="str">
        <f>HYPERLINK("https://rhld.insurance.arkansas.gov/NPILookup?Npi=1518067164","1518067164")</f>
        <v>1518067164</v>
      </c>
      <c r="E12948" t="s">
        <v>3770</v>
      </c>
    </row>
    <row r="12949" spans="1:5" x14ac:dyDescent="0.25">
      <c r="A12949" t="s">
        <v>2</v>
      </c>
      <c r="B12949" t="s">
        <v>3458</v>
      </c>
      <c r="C12949" t="s">
        <v>23490</v>
      </c>
      <c r="D12949" t="str">
        <f>HYPERLINK("https://rhld.insurance.arkansas.gov/NPILookup?Npi=1518074517","1518074517")</f>
        <v>1518074517</v>
      </c>
      <c r="E12949" t="s">
        <v>3771</v>
      </c>
    </row>
    <row r="12950" spans="1:5" x14ac:dyDescent="0.25">
      <c r="A12950" t="s">
        <v>2</v>
      </c>
      <c r="B12950" t="s">
        <v>3458</v>
      </c>
      <c r="C12950" t="s">
        <v>23490</v>
      </c>
      <c r="D12950" t="str">
        <f>HYPERLINK("https://rhld.insurance.arkansas.gov/NPILookup?Npi=1518090703","1518090703")</f>
        <v>1518090703</v>
      </c>
      <c r="E12950" t="s">
        <v>1800</v>
      </c>
    </row>
    <row r="12951" spans="1:5" x14ac:dyDescent="0.25">
      <c r="A12951" t="s">
        <v>2</v>
      </c>
      <c r="B12951" t="s">
        <v>3458</v>
      </c>
      <c r="C12951" t="s">
        <v>23490</v>
      </c>
      <c r="D12951" t="str">
        <f>HYPERLINK("https://rhld.insurance.arkansas.gov/NPILookup?Npi=1518127620","1518127620")</f>
        <v>1518127620</v>
      </c>
      <c r="E12951" t="s">
        <v>1801</v>
      </c>
    </row>
    <row r="12952" spans="1:5" x14ac:dyDescent="0.25">
      <c r="A12952" t="s">
        <v>2</v>
      </c>
      <c r="B12952" t="s">
        <v>3458</v>
      </c>
      <c r="C12952" t="s">
        <v>23490</v>
      </c>
      <c r="D12952" t="str">
        <f>HYPERLINK("https://rhld.insurance.arkansas.gov/NPILookup?Npi=1518144534","1518144534")</f>
        <v>1518144534</v>
      </c>
      <c r="E12952" t="s">
        <v>15218</v>
      </c>
    </row>
    <row r="12953" spans="1:5" x14ac:dyDescent="0.25">
      <c r="A12953" t="s">
        <v>2</v>
      </c>
      <c r="B12953" t="s">
        <v>3458</v>
      </c>
      <c r="C12953" t="s">
        <v>23490</v>
      </c>
      <c r="D12953" t="str">
        <f>HYPERLINK("https://rhld.insurance.arkansas.gov/NPILookup?Npi=1518147776","1518147776")</f>
        <v>1518147776</v>
      </c>
      <c r="E12953" t="s">
        <v>1802</v>
      </c>
    </row>
    <row r="12954" spans="1:5" x14ac:dyDescent="0.25">
      <c r="A12954" t="s">
        <v>2</v>
      </c>
      <c r="B12954" t="s">
        <v>3458</v>
      </c>
      <c r="C12954" t="s">
        <v>23490</v>
      </c>
      <c r="D12954" t="str">
        <f>HYPERLINK("https://rhld.insurance.arkansas.gov/NPILookup?Npi=1518148162","1518148162")</f>
        <v>1518148162</v>
      </c>
      <c r="E12954" t="s">
        <v>1803</v>
      </c>
    </row>
    <row r="12955" spans="1:5" x14ac:dyDescent="0.25">
      <c r="A12955" t="s">
        <v>2</v>
      </c>
      <c r="B12955" t="s">
        <v>3458</v>
      </c>
      <c r="C12955" t="s">
        <v>23490</v>
      </c>
      <c r="D12955" t="str">
        <f>HYPERLINK("https://rhld.insurance.arkansas.gov/NPILookup?Npi=1518155761","1518155761")</f>
        <v>1518155761</v>
      </c>
      <c r="E12955" t="s">
        <v>1804</v>
      </c>
    </row>
    <row r="12956" spans="1:5" x14ac:dyDescent="0.25">
      <c r="A12956" t="s">
        <v>2</v>
      </c>
      <c r="B12956" t="s">
        <v>3458</v>
      </c>
      <c r="C12956" t="s">
        <v>23490</v>
      </c>
      <c r="D12956" t="str">
        <f>HYPERLINK("https://rhld.insurance.arkansas.gov/NPILookup?Npi=1518173483","1518173483")</f>
        <v>1518173483</v>
      </c>
      <c r="E12956" t="s">
        <v>1805</v>
      </c>
    </row>
    <row r="12957" spans="1:5" x14ac:dyDescent="0.25">
      <c r="A12957" t="s">
        <v>2</v>
      </c>
      <c r="B12957" t="s">
        <v>3458</v>
      </c>
      <c r="C12957" t="s">
        <v>23490</v>
      </c>
      <c r="D12957" t="str">
        <f>HYPERLINK("https://rhld.insurance.arkansas.gov/NPILookup?Npi=1518181767","1518181767")</f>
        <v>1518181767</v>
      </c>
      <c r="E12957" t="s">
        <v>3772</v>
      </c>
    </row>
    <row r="12958" spans="1:5" x14ac:dyDescent="0.25">
      <c r="A12958" t="s">
        <v>2</v>
      </c>
      <c r="B12958" t="s">
        <v>3458</v>
      </c>
      <c r="C12958" t="s">
        <v>23490</v>
      </c>
      <c r="D12958" t="str">
        <f>HYPERLINK("https://rhld.insurance.arkansas.gov/NPILookup?Npi=1518189497","1518189497")</f>
        <v>1518189497</v>
      </c>
      <c r="E12958" t="s">
        <v>1806</v>
      </c>
    </row>
    <row r="12959" spans="1:5" x14ac:dyDescent="0.25">
      <c r="A12959" t="s">
        <v>2</v>
      </c>
      <c r="B12959" t="s">
        <v>3458</v>
      </c>
      <c r="C12959" t="s">
        <v>23490</v>
      </c>
      <c r="D12959" t="str">
        <f>HYPERLINK("https://rhld.insurance.arkansas.gov/NPILookup?Npi=1518190370","1518190370")</f>
        <v>1518190370</v>
      </c>
      <c r="E12959" t="s">
        <v>1807</v>
      </c>
    </row>
    <row r="12960" spans="1:5" x14ac:dyDescent="0.25">
      <c r="A12960" t="s">
        <v>2</v>
      </c>
      <c r="B12960" t="s">
        <v>3458</v>
      </c>
      <c r="C12960" t="s">
        <v>23490</v>
      </c>
      <c r="D12960" t="str">
        <f>HYPERLINK("https://rhld.insurance.arkansas.gov/NPILookup?Npi=1518194711","1518194711")</f>
        <v>1518194711</v>
      </c>
      <c r="E12960" t="s">
        <v>1808</v>
      </c>
    </row>
    <row r="12961" spans="1:5" x14ac:dyDescent="0.25">
      <c r="A12961" t="s">
        <v>2</v>
      </c>
      <c r="B12961" t="s">
        <v>3458</v>
      </c>
      <c r="C12961" t="s">
        <v>23490</v>
      </c>
      <c r="D12961" t="str">
        <f>HYPERLINK("https://rhld.insurance.arkansas.gov/NPILookup?Npi=1518223130","1518223130")</f>
        <v>1518223130</v>
      </c>
      <c r="E12961" t="s">
        <v>15219</v>
      </c>
    </row>
    <row r="12962" spans="1:5" x14ac:dyDescent="0.25">
      <c r="A12962" t="s">
        <v>2</v>
      </c>
      <c r="B12962" t="s">
        <v>3458</v>
      </c>
      <c r="C12962" t="s">
        <v>23490</v>
      </c>
      <c r="D12962" t="str">
        <f>HYPERLINK("https://rhld.insurance.arkansas.gov/NPILookup?Npi=1518230929","1518230929")</f>
        <v>1518230929</v>
      </c>
      <c r="E12962" t="s">
        <v>21561</v>
      </c>
    </row>
    <row r="12963" spans="1:5" x14ac:dyDescent="0.25">
      <c r="A12963" t="s">
        <v>2</v>
      </c>
      <c r="B12963" t="s">
        <v>3458</v>
      </c>
      <c r="C12963" t="s">
        <v>23490</v>
      </c>
      <c r="D12963" t="str">
        <f>HYPERLINK("https://rhld.insurance.arkansas.gov/NPILookup?Npi=1518238450","1518238450")</f>
        <v>1518238450</v>
      </c>
      <c r="E12963" t="s">
        <v>11007</v>
      </c>
    </row>
    <row r="12964" spans="1:5" x14ac:dyDescent="0.25">
      <c r="A12964" t="s">
        <v>2</v>
      </c>
      <c r="B12964" t="s">
        <v>3458</v>
      </c>
      <c r="C12964" t="s">
        <v>23490</v>
      </c>
      <c r="D12964" t="str">
        <f>HYPERLINK("https://rhld.insurance.arkansas.gov/NPILookup?Npi=1518245828","1518245828")</f>
        <v>1518245828</v>
      </c>
      <c r="E12964" t="s">
        <v>13853</v>
      </c>
    </row>
    <row r="12965" spans="1:5" x14ac:dyDescent="0.25">
      <c r="A12965" t="s">
        <v>2</v>
      </c>
      <c r="B12965" t="s">
        <v>3458</v>
      </c>
      <c r="C12965" t="s">
        <v>23490</v>
      </c>
      <c r="D12965" t="str">
        <f>HYPERLINK("https://rhld.insurance.arkansas.gov/NPILookup?Npi=1518252725","1518252725")</f>
        <v>1518252725</v>
      </c>
      <c r="E12965" t="s">
        <v>11008</v>
      </c>
    </row>
    <row r="12966" spans="1:5" x14ac:dyDescent="0.25">
      <c r="A12966" t="s">
        <v>2</v>
      </c>
      <c r="B12966" t="s">
        <v>3458</v>
      </c>
      <c r="C12966" t="s">
        <v>23490</v>
      </c>
      <c r="D12966" t="str">
        <f>HYPERLINK("https://rhld.insurance.arkansas.gov/NPILookup?Npi=1518254580","1518254580")</f>
        <v>1518254580</v>
      </c>
      <c r="E12966" t="s">
        <v>17432</v>
      </c>
    </row>
    <row r="12967" spans="1:5" x14ac:dyDescent="0.25">
      <c r="A12967" t="s">
        <v>2</v>
      </c>
      <c r="B12967" t="s">
        <v>3458</v>
      </c>
      <c r="C12967" t="s">
        <v>23490</v>
      </c>
      <c r="D12967" t="str">
        <f>HYPERLINK("https://rhld.insurance.arkansas.gov/NPILookup?Npi=1518254713","1518254713")</f>
        <v>1518254713</v>
      </c>
      <c r="E12967" t="s">
        <v>11009</v>
      </c>
    </row>
    <row r="12968" spans="1:5" x14ac:dyDescent="0.25">
      <c r="A12968" t="s">
        <v>2</v>
      </c>
      <c r="B12968" t="s">
        <v>3458</v>
      </c>
      <c r="C12968" t="s">
        <v>23490</v>
      </c>
      <c r="D12968" t="str">
        <f>HYPERLINK("https://rhld.insurance.arkansas.gov/NPILookup?Npi=1518270636","1518270636")</f>
        <v>1518270636</v>
      </c>
      <c r="E12968" t="s">
        <v>16974</v>
      </c>
    </row>
    <row r="12969" spans="1:5" x14ac:dyDescent="0.25">
      <c r="A12969" t="s">
        <v>2</v>
      </c>
      <c r="B12969" t="s">
        <v>3458</v>
      </c>
      <c r="C12969" t="s">
        <v>23490</v>
      </c>
      <c r="D12969" t="str">
        <f>HYPERLINK("https://rhld.insurance.arkansas.gov/NPILookup?Npi=1518273242","1518273242")</f>
        <v>1518273242</v>
      </c>
      <c r="E12969" t="s">
        <v>11010</v>
      </c>
    </row>
    <row r="12970" spans="1:5" x14ac:dyDescent="0.25">
      <c r="A12970" t="s">
        <v>2</v>
      </c>
      <c r="B12970" t="s">
        <v>3458</v>
      </c>
      <c r="C12970" t="s">
        <v>23490</v>
      </c>
      <c r="D12970" t="str">
        <f>HYPERLINK("https://rhld.insurance.arkansas.gov/NPILookup?Npi=1518287226","1518287226")</f>
        <v>1518287226</v>
      </c>
      <c r="E12970" t="s">
        <v>1809</v>
      </c>
    </row>
    <row r="12971" spans="1:5" x14ac:dyDescent="0.25">
      <c r="A12971" t="s">
        <v>2</v>
      </c>
      <c r="B12971" t="s">
        <v>3458</v>
      </c>
      <c r="C12971" t="s">
        <v>23490</v>
      </c>
      <c r="D12971" t="str">
        <f>HYPERLINK("https://rhld.insurance.arkansas.gov/NPILookup?Npi=1518301084","1518301084")</f>
        <v>1518301084</v>
      </c>
      <c r="E12971" t="s">
        <v>2673</v>
      </c>
    </row>
    <row r="12972" spans="1:5" x14ac:dyDescent="0.25">
      <c r="A12972" t="s">
        <v>2</v>
      </c>
      <c r="B12972" t="s">
        <v>3458</v>
      </c>
      <c r="C12972" t="s">
        <v>23490</v>
      </c>
      <c r="D12972" t="str">
        <f>HYPERLINK("https://rhld.insurance.arkansas.gov/NPILookup?Npi=1518316702","1518316702")</f>
        <v>1518316702</v>
      </c>
      <c r="E12972" t="s">
        <v>17433</v>
      </c>
    </row>
    <row r="12973" spans="1:5" x14ac:dyDescent="0.25">
      <c r="A12973" t="s">
        <v>2</v>
      </c>
      <c r="B12973" t="s">
        <v>3458</v>
      </c>
      <c r="C12973" t="s">
        <v>23490</v>
      </c>
      <c r="D12973" t="str">
        <f>HYPERLINK("https://rhld.insurance.arkansas.gov/NPILookup?Npi=1518323542","1518323542")</f>
        <v>1518323542</v>
      </c>
      <c r="E12973" t="s">
        <v>8714</v>
      </c>
    </row>
    <row r="12974" spans="1:5" x14ac:dyDescent="0.25">
      <c r="A12974" t="s">
        <v>2</v>
      </c>
      <c r="B12974" t="s">
        <v>3458</v>
      </c>
      <c r="C12974" t="s">
        <v>23490</v>
      </c>
      <c r="D12974" t="str">
        <f>HYPERLINK("https://rhld.insurance.arkansas.gov/NPILookup?Npi=1518324912","1518324912")</f>
        <v>1518324912</v>
      </c>
      <c r="E12974" t="s">
        <v>8715</v>
      </c>
    </row>
    <row r="12975" spans="1:5" x14ac:dyDescent="0.25">
      <c r="A12975" t="s">
        <v>2</v>
      </c>
      <c r="B12975" t="s">
        <v>3458</v>
      </c>
      <c r="C12975" t="s">
        <v>23490</v>
      </c>
      <c r="D12975" t="str">
        <f>HYPERLINK("https://rhld.insurance.arkansas.gov/NPILookup?Npi=1518335587","1518335587")</f>
        <v>1518335587</v>
      </c>
      <c r="E12975" t="s">
        <v>21562</v>
      </c>
    </row>
    <row r="12976" spans="1:5" x14ac:dyDescent="0.25">
      <c r="A12976" t="s">
        <v>2</v>
      </c>
      <c r="B12976" t="s">
        <v>3458</v>
      </c>
      <c r="C12976" t="s">
        <v>23490</v>
      </c>
      <c r="D12976" t="str">
        <f>HYPERLINK("https://rhld.insurance.arkansas.gov/NPILookup?Npi=1518337732","1518337732")</f>
        <v>1518337732</v>
      </c>
      <c r="E12976" t="s">
        <v>8716</v>
      </c>
    </row>
    <row r="12977" spans="1:5" x14ac:dyDescent="0.25">
      <c r="A12977" t="s">
        <v>2</v>
      </c>
      <c r="B12977" t="s">
        <v>3458</v>
      </c>
      <c r="C12977" t="s">
        <v>23490</v>
      </c>
      <c r="D12977" t="str">
        <f>HYPERLINK("https://rhld.insurance.arkansas.gov/NPILookup?Npi=1518337765","1518337765")</f>
        <v>1518337765</v>
      </c>
      <c r="E12977" t="s">
        <v>15221</v>
      </c>
    </row>
    <row r="12978" spans="1:5" x14ac:dyDescent="0.25">
      <c r="A12978" t="s">
        <v>2</v>
      </c>
      <c r="B12978" t="s">
        <v>3458</v>
      </c>
      <c r="C12978" t="s">
        <v>23490</v>
      </c>
      <c r="D12978" t="str">
        <f>HYPERLINK("https://rhld.insurance.arkansas.gov/NPILookup?Npi=1518349950","1518349950")</f>
        <v>1518349950</v>
      </c>
      <c r="E12978" t="s">
        <v>1810</v>
      </c>
    </row>
    <row r="12979" spans="1:5" x14ac:dyDescent="0.25">
      <c r="A12979" t="s">
        <v>2</v>
      </c>
      <c r="B12979" t="s">
        <v>3458</v>
      </c>
      <c r="C12979" t="s">
        <v>23490</v>
      </c>
      <c r="D12979" t="str">
        <f>HYPERLINK("https://rhld.insurance.arkansas.gov/NPILookup?Npi=1518351428","1518351428")</f>
        <v>1518351428</v>
      </c>
      <c r="E12979" t="s">
        <v>13854</v>
      </c>
    </row>
    <row r="12980" spans="1:5" x14ac:dyDescent="0.25">
      <c r="A12980" t="s">
        <v>2</v>
      </c>
      <c r="B12980" t="s">
        <v>3458</v>
      </c>
      <c r="C12980" t="s">
        <v>23490</v>
      </c>
      <c r="D12980" t="str">
        <f>HYPERLINK("https://rhld.insurance.arkansas.gov/NPILookup?Npi=1518352616","1518352616")</f>
        <v>1518352616</v>
      </c>
      <c r="E12980" t="s">
        <v>1811</v>
      </c>
    </row>
    <row r="12981" spans="1:5" x14ac:dyDescent="0.25">
      <c r="A12981" t="s">
        <v>2</v>
      </c>
      <c r="B12981" t="s">
        <v>3458</v>
      </c>
      <c r="C12981" t="s">
        <v>23490</v>
      </c>
      <c r="D12981" t="str">
        <f>HYPERLINK("https://rhld.insurance.arkansas.gov/NPILookup?Npi=1518356013","1518356013")</f>
        <v>1518356013</v>
      </c>
      <c r="E12981" t="s">
        <v>1812</v>
      </c>
    </row>
    <row r="12982" spans="1:5" x14ac:dyDescent="0.25">
      <c r="A12982" t="s">
        <v>2</v>
      </c>
      <c r="B12982" t="s">
        <v>3458</v>
      </c>
      <c r="C12982" t="s">
        <v>23490</v>
      </c>
      <c r="D12982" t="str">
        <f>HYPERLINK("https://rhld.insurance.arkansas.gov/NPILookup?Npi=1518362227","1518362227")</f>
        <v>1518362227</v>
      </c>
      <c r="E12982" t="s">
        <v>1813</v>
      </c>
    </row>
    <row r="12983" spans="1:5" x14ac:dyDescent="0.25">
      <c r="A12983" t="s">
        <v>2</v>
      </c>
      <c r="B12983" t="s">
        <v>3458</v>
      </c>
      <c r="C12983" t="s">
        <v>23490</v>
      </c>
      <c r="D12983" t="str">
        <f>HYPERLINK("https://rhld.insurance.arkansas.gov/NPILookup?Npi=1518374610","1518374610")</f>
        <v>1518374610</v>
      </c>
      <c r="E12983" t="s">
        <v>1814</v>
      </c>
    </row>
    <row r="12984" spans="1:5" x14ac:dyDescent="0.25">
      <c r="A12984" t="s">
        <v>2</v>
      </c>
      <c r="B12984" t="s">
        <v>3458</v>
      </c>
      <c r="C12984" t="s">
        <v>23490</v>
      </c>
      <c r="D12984" t="str">
        <f>HYPERLINK("https://rhld.insurance.arkansas.gov/NPILookup?Npi=1518389709","1518389709")</f>
        <v>1518389709</v>
      </c>
      <c r="E12984" t="s">
        <v>1815</v>
      </c>
    </row>
    <row r="12985" spans="1:5" x14ac:dyDescent="0.25">
      <c r="A12985" t="s">
        <v>2</v>
      </c>
      <c r="B12985" t="s">
        <v>3458</v>
      </c>
      <c r="C12985" t="s">
        <v>23490</v>
      </c>
      <c r="D12985" t="str">
        <f>HYPERLINK("https://rhld.insurance.arkansas.gov/NPILookup?Npi=1518443670","1518443670")</f>
        <v>1518443670</v>
      </c>
      <c r="E12985" t="s">
        <v>13570</v>
      </c>
    </row>
    <row r="12986" spans="1:5" x14ac:dyDescent="0.25">
      <c r="A12986" t="s">
        <v>2</v>
      </c>
      <c r="B12986" t="s">
        <v>3458</v>
      </c>
      <c r="C12986" t="s">
        <v>23490</v>
      </c>
      <c r="D12986" t="str">
        <f>HYPERLINK("https://rhld.insurance.arkansas.gov/NPILookup?Npi=1518447960","1518447960")</f>
        <v>1518447960</v>
      </c>
      <c r="E12986" t="s">
        <v>13571</v>
      </c>
    </row>
    <row r="12987" spans="1:5" x14ac:dyDescent="0.25">
      <c r="A12987" t="s">
        <v>2</v>
      </c>
      <c r="B12987" t="s">
        <v>3458</v>
      </c>
      <c r="C12987" t="s">
        <v>23490</v>
      </c>
      <c r="D12987" t="str">
        <f>HYPERLINK("https://rhld.insurance.arkansas.gov/NPILookup?Npi=1518459965","1518459965")</f>
        <v>1518459965</v>
      </c>
      <c r="E12987" t="s">
        <v>13572</v>
      </c>
    </row>
    <row r="12988" spans="1:5" x14ac:dyDescent="0.25">
      <c r="A12988" t="s">
        <v>2</v>
      </c>
      <c r="B12988" t="s">
        <v>3458</v>
      </c>
      <c r="C12988" t="s">
        <v>23490</v>
      </c>
      <c r="D12988" t="str">
        <f>HYPERLINK("https://rhld.insurance.arkansas.gov/NPILookup?Npi=1518475466","1518475466")</f>
        <v>1518475466</v>
      </c>
      <c r="E12988" t="s">
        <v>12854</v>
      </c>
    </row>
    <row r="12989" spans="1:5" x14ac:dyDescent="0.25">
      <c r="A12989" t="s">
        <v>2</v>
      </c>
      <c r="B12989" t="s">
        <v>3458</v>
      </c>
      <c r="C12989" t="s">
        <v>23490</v>
      </c>
      <c r="D12989" t="str">
        <f>HYPERLINK("https://rhld.insurance.arkansas.gov/NPILookup?Npi=1518481589","1518481589")</f>
        <v>1518481589</v>
      </c>
      <c r="E12989" t="s">
        <v>11011</v>
      </c>
    </row>
    <row r="12990" spans="1:5" x14ac:dyDescent="0.25">
      <c r="A12990" t="s">
        <v>2</v>
      </c>
      <c r="B12990" t="s">
        <v>3458</v>
      </c>
      <c r="C12990" t="s">
        <v>23490</v>
      </c>
      <c r="D12990" t="str">
        <f>HYPERLINK("https://rhld.insurance.arkansas.gov/NPILookup?Npi=1518491182","1518491182")</f>
        <v>1518491182</v>
      </c>
      <c r="E12990" t="s">
        <v>1554</v>
      </c>
    </row>
    <row r="12991" spans="1:5" x14ac:dyDescent="0.25">
      <c r="A12991" t="s">
        <v>2</v>
      </c>
      <c r="B12991" t="s">
        <v>3458</v>
      </c>
      <c r="C12991" t="s">
        <v>23490</v>
      </c>
      <c r="D12991" t="str">
        <f>HYPERLINK("https://rhld.insurance.arkansas.gov/NPILookup?Npi=1518496538","1518496538")</f>
        <v>1518496538</v>
      </c>
      <c r="E12991" t="s">
        <v>11012</v>
      </c>
    </row>
    <row r="12992" spans="1:5" x14ac:dyDescent="0.25">
      <c r="A12992" t="s">
        <v>2</v>
      </c>
      <c r="B12992" t="s">
        <v>3458</v>
      </c>
      <c r="C12992" t="s">
        <v>23490</v>
      </c>
      <c r="D12992" t="str">
        <f>HYPERLINK("https://rhld.insurance.arkansas.gov/NPILookup?Npi=1518496660","1518496660")</f>
        <v>1518496660</v>
      </c>
      <c r="E12992" t="s">
        <v>13000</v>
      </c>
    </row>
    <row r="12993" spans="1:5" x14ac:dyDescent="0.25">
      <c r="A12993" t="s">
        <v>2</v>
      </c>
      <c r="B12993" t="s">
        <v>3458</v>
      </c>
      <c r="C12993" t="s">
        <v>23490</v>
      </c>
      <c r="D12993" t="str">
        <f>HYPERLINK("https://rhld.insurance.arkansas.gov/NPILookup?Npi=1518497528","1518497528")</f>
        <v>1518497528</v>
      </c>
      <c r="E12993" t="s">
        <v>15223</v>
      </c>
    </row>
    <row r="12994" spans="1:5" x14ac:dyDescent="0.25">
      <c r="A12994" t="s">
        <v>2</v>
      </c>
      <c r="B12994" t="s">
        <v>3458</v>
      </c>
      <c r="C12994" t="s">
        <v>23490</v>
      </c>
      <c r="D12994" t="str">
        <f>HYPERLINK("https://rhld.insurance.arkansas.gov/NPILookup?Npi=1518499888","1518499888")</f>
        <v>1518499888</v>
      </c>
      <c r="E12994" t="s">
        <v>20250</v>
      </c>
    </row>
    <row r="12995" spans="1:5" x14ac:dyDescent="0.25">
      <c r="A12995" t="s">
        <v>2</v>
      </c>
      <c r="B12995" t="s">
        <v>3458</v>
      </c>
      <c r="C12995" t="s">
        <v>23490</v>
      </c>
      <c r="D12995" t="str">
        <f>HYPERLINK("https://rhld.insurance.arkansas.gov/NPILookup?Npi=1518507995","1518507995")</f>
        <v>1518507995</v>
      </c>
      <c r="E12995" t="s">
        <v>18799</v>
      </c>
    </row>
    <row r="12996" spans="1:5" x14ac:dyDescent="0.25">
      <c r="A12996" t="s">
        <v>2</v>
      </c>
      <c r="B12996" t="s">
        <v>3458</v>
      </c>
      <c r="C12996" t="s">
        <v>23490</v>
      </c>
      <c r="D12996" t="str">
        <f>HYPERLINK("https://rhld.insurance.arkansas.gov/NPILookup?Npi=1518532704","1518532704")</f>
        <v>1518532704</v>
      </c>
      <c r="E12996" t="s">
        <v>18800</v>
      </c>
    </row>
    <row r="12997" spans="1:5" x14ac:dyDescent="0.25">
      <c r="A12997" t="s">
        <v>2</v>
      </c>
      <c r="B12997" t="s">
        <v>3458</v>
      </c>
      <c r="C12997" t="s">
        <v>23490</v>
      </c>
      <c r="D12997" t="str">
        <f>HYPERLINK("https://rhld.insurance.arkansas.gov/NPILookup?Npi=1518572528","1518572528")</f>
        <v>1518572528</v>
      </c>
      <c r="E12997" t="s">
        <v>20960</v>
      </c>
    </row>
    <row r="12998" spans="1:5" x14ac:dyDescent="0.25">
      <c r="A12998" t="s">
        <v>2</v>
      </c>
      <c r="B12998" t="s">
        <v>3458</v>
      </c>
      <c r="C12998" t="s">
        <v>23490</v>
      </c>
      <c r="D12998" t="str">
        <f>HYPERLINK("https://rhld.insurance.arkansas.gov/NPILookup?Npi=1518581115","1518581115")</f>
        <v>1518581115</v>
      </c>
      <c r="E12998" t="s">
        <v>18016</v>
      </c>
    </row>
    <row r="12999" spans="1:5" x14ac:dyDescent="0.25">
      <c r="A12999" t="s">
        <v>2</v>
      </c>
      <c r="B12999" t="s">
        <v>3458</v>
      </c>
      <c r="C12999" t="s">
        <v>23490</v>
      </c>
      <c r="D12999" t="str">
        <f>HYPERLINK("https://rhld.insurance.arkansas.gov/NPILookup?Npi=1518582154","1518582154")</f>
        <v>1518582154</v>
      </c>
      <c r="E12999" t="s">
        <v>18017</v>
      </c>
    </row>
    <row r="13000" spans="1:5" x14ac:dyDescent="0.25">
      <c r="A13000" t="s">
        <v>2</v>
      </c>
      <c r="B13000" t="s">
        <v>3458</v>
      </c>
      <c r="C13000" t="s">
        <v>23490</v>
      </c>
      <c r="D13000" t="str">
        <f>HYPERLINK("https://rhld.insurance.arkansas.gov/NPILookup?Npi=1518583129","1518583129")</f>
        <v>1518583129</v>
      </c>
      <c r="E13000" t="s">
        <v>19793</v>
      </c>
    </row>
    <row r="13001" spans="1:5" x14ac:dyDescent="0.25">
      <c r="A13001" t="s">
        <v>2</v>
      </c>
      <c r="B13001" t="s">
        <v>3458</v>
      </c>
      <c r="C13001" t="s">
        <v>23490</v>
      </c>
      <c r="D13001" t="str">
        <f>HYPERLINK("https://rhld.insurance.arkansas.gov/NPILookup?Npi=1518614874","1518614874")</f>
        <v>1518614874</v>
      </c>
      <c r="E13001" t="s">
        <v>19794</v>
      </c>
    </row>
    <row r="13002" spans="1:5" x14ac:dyDescent="0.25">
      <c r="A13002" t="s">
        <v>2</v>
      </c>
      <c r="B13002" t="s">
        <v>3458</v>
      </c>
      <c r="C13002" t="s">
        <v>23490</v>
      </c>
      <c r="D13002" t="str">
        <f>HYPERLINK("https://rhld.insurance.arkansas.gov/NPILookup?Npi=1518621739","1518621739")</f>
        <v>1518621739</v>
      </c>
      <c r="E13002" t="s">
        <v>19795</v>
      </c>
    </row>
    <row r="13003" spans="1:5" x14ac:dyDescent="0.25">
      <c r="A13003" t="s">
        <v>2</v>
      </c>
      <c r="B13003" t="s">
        <v>3458</v>
      </c>
      <c r="C13003" t="s">
        <v>23490</v>
      </c>
      <c r="D13003" t="str">
        <f>HYPERLINK("https://rhld.insurance.arkansas.gov/NPILookup?Npi=1518622042","1518622042")</f>
        <v>1518622042</v>
      </c>
      <c r="E13003" t="s">
        <v>20961</v>
      </c>
    </row>
    <row r="13004" spans="1:5" x14ac:dyDescent="0.25">
      <c r="A13004" t="s">
        <v>2</v>
      </c>
      <c r="B13004" t="s">
        <v>3458</v>
      </c>
      <c r="C13004" t="s">
        <v>23490</v>
      </c>
      <c r="D13004" t="str">
        <f>HYPERLINK("https://rhld.insurance.arkansas.gov/NPILookup?Npi=1518630961","1518630961")</f>
        <v>1518630961</v>
      </c>
      <c r="E13004" t="s">
        <v>19796</v>
      </c>
    </row>
    <row r="13005" spans="1:5" x14ac:dyDescent="0.25">
      <c r="A13005" t="s">
        <v>2</v>
      </c>
      <c r="B13005" t="s">
        <v>3458</v>
      </c>
      <c r="C13005" t="s">
        <v>23490</v>
      </c>
      <c r="D13005" t="str">
        <f>HYPERLINK("https://rhld.insurance.arkansas.gov/NPILookup?Npi=1518900554","1518900554")</f>
        <v>1518900554</v>
      </c>
      <c r="E13005" t="s">
        <v>11013</v>
      </c>
    </row>
    <row r="13006" spans="1:5" x14ac:dyDescent="0.25">
      <c r="A13006" t="s">
        <v>2</v>
      </c>
      <c r="B13006" t="s">
        <v>3458</v>
      </c>
      <c r="C13006" t="s">
        <v>23490</v>
      </c>
      <c r="D13006" t="str">
        <f>HYPERLINK("https://rhld.insurance.arkansas.gov/NPILookup?Npi=1518906015","1518906015")</f>
        <v>1518906015</v>
      </c>
      <c r="E13006" t="s">
        <v>11464</v>
      </c>
    </row>
    <row r="13007" spans="1:5" x14ac:dyDescent="0.25">
      <c r="A13007" t="s">
        <v>2</v>
      </c>
      <c r="B13007" t="s">
        <v>3458</v>
      </c>
      <c r="C13007" t="s">
        <v>23490</v>
      </c>
      <c r="D13007" t="str">
        <f>HYPERLINK("https://rhld.insurance.arkansas.gov/NPILookup?Npi=1518906858","1518906858")</f>
        <v>1518906858</v>
      </c>
      <c r="E13007" t="s">
        <v>1817</v>
      </c>
    </row>
    <row r="13008" spans="1:5" x14ac:dyDescent="0.25">
      <c r="A13008" t="s">
        <v>2</v>
      </c>
      <c r="B13008" t="s">
        <v>3458</v>
      </c>
      <c r="C13008" t="s">
        <v>23490</v>
      </c>
      <c r="D13008" t="str">
        <f>HYPERLINK("https://rhld.insurance.arkansas.gov/NPILookup?Npi=1518908417","1518908417")</f>
        <v>1518908417</v>
      </c>
      <c r="E13008" t="s">
        <v>3773</v>
      </c>
    </row>
    <row r="13009" spans="1:5" x14ac:dyDescent="0.25">
      <c r="A13009" t="s">
        <v>2</v>
      </c>
      <c r="B13009" t="s">
        <v>3458</v>
      </c>
      <c r="C13009" t="s">
        <v>23490</v>
      </c>
      <c r="D13009" t="str">
        <f>HYPERLINK("https://rhld.insurance.arkansas.gov/NPILookup?Npi=1518918937","1518918937")</f>
        <v>1518918937</v>
      </c>
      <c r="E13009" t="s">
        <v>1819</v>
      </c>
    </row>
    <row r="13010" spans="1:5" x14ac:dyDescent="0.25">
      <c r="A13010" t="s">
        <v>2</v>
      </c>
      <c r="B13010" t="s">
        <v>3458</v>
      </c>
      <c r="C13010" t="s">
        <v>23490</v>
      </c>
      <c r="D13010" t="str">
        <f>HYPERLINK("https://rhld.insurance.arkansas.gov/NPILookup?Npi=1518921006","1518921006")</f>
        <v>1518921006</v>
      </c>
      <c r="E13010" t="s">
        <v>3774</v>
      </c>
    </row>
    <row r="13011" spans="1:5" x14ac:dyDescent="0.25">
      <c r="A13011" t="s">
        <v>2</v>
      </c>
      <c r="B13011" t="s">
        <v>3458</v>
      </c>
      <c r="C13011" t="s">
        <v>23490</v>
      </c>
      <c r="D13011" t="str">
        <f>HYPERLINK("https://rhld.insurance.arkansas.gov/NPILookup?Npi=1518921287","1518921287")</f>
        <v>1518921287</v>
      </c>
      <c r="E13011" t="s">
        <v>15224</v>
      </c>
    </row>
    <row r="13012" spans="1:5" x14ac:dyDescent="0.25">
      <c r="A13012" t="s">
        <v>2</v>
      </c>
      <c r="B13012" t="s">
        <v>3458</v>
      </c>
      <c r="C13012" t="s">
        <v>23490</v>
      </c>
      <c r="D13012" t="str">
        <f>HYPERLINK("https://rhld.insurance.arkansas.gov/NPILookup?Npi=1518923861","1518923861")</f>
        <v>1518923861</v>
      </c>
      <c r="E13012" t="s">
        <v>1821</v>
      </c>
    </row>
    <row r="13013" spans="1:5" x14ac:dyDescent="0.25">
      <c r="A13013" t="s">
        <v>2</v>
      </c>
      <c r="B13013" t="s">
        <v>3458</v>
      </c>
      <c r="C13013" t="s">
        <v>23490</v>
      </c>
      <c r="D13013" t="str">
        <f>HYPERLINK("https://rhld.insurance.arkansas.gov/NPILookup?Npi=1518923903","1518923903")</f>
        <v>1518923903</v>
      </c>
      <c r="E13013" t="s">
        <v>1822</v>
      </c>
    </row>
    <row r="13014" spans="1:5" x14ac:dyDescent="0.25">
      <c r="A13014" t="s">
        <v>2</v>
      </c>
      <c r="B13014" t="s">
        <v>3458</v>
      </c>
      <c r="C13014" t="s">
        <v>23490</v>
      </c>
      <c r="D13014" t="str">
        <f>HYPERLINK("https://rhld.insurance.arkansas.gov/NPILookup?Npi=1518925817","1518925817")</f>
        <v>1518925817</v>
      </c>
      <c r="E13014" t="s">
        <v>13001</v>
      </c>
    </row>
    <row r="13015" spans="1:5" x14ac:dyDescent="0.25">
      <c r="A13015" t="s">
        <v>2</v>
      </c>
      <c r="B13015" t="s">
        <v>3458</v>
      </c>
      <c r="C13015" t="s">
        <v>23490</v>
      </c>
      <c r="D13015" t="str">
        <f>HYPERLINK("https://rhld.insurance.arkansas.gov/NPILookup?Npi=1518928027","1518928027")</f>
        <v>1518928027</v>
      </c>
      <c r="E13015" t="s">
        <v>1823</v>
      </c>
    </row>
    <row r="13016" spans="1:5" x14ac:dyDescent="0.25">
      <c r="A13016" t="s">
        <v>2</v>
      </c>
      <c r="B13016" t="s">
        <v>3458</v>
      </c>
      <c r="C13016" t="s">
        <v>23490</v>
      </c>
      <c r="D13016" t="str">
        <f>HYPERLINK("https://rhld.insurance.arkansas.gov/NPILookup?Npi=1518933167","1518933167")</f>
        <v>1518933167</v>
      </c>
      <c r="E13016" t="s">
        <v>1824</v>
      </c>
    </row>
    <row r="13017" spans="1:5" x14ac:dyDescent="0.25">
      <c r="A13017" t="s">
        <v>2</v>
      </c>
      <c r="B13017" t="s">
        <v>3458</v>
      </c>
      <c r="C13017" t="s">
        <v>23490</v>
      </c>
      <c r="D13017" t="str">
        <f>HYPERLINK("https://rhld.insurance.arkansas.gov/NPILookup?Npi=1518935733","1518935733")</f>
        <v>1518935733</v>
      </c>
      <c r="E13017" t="s">
        <v>15225</v>
      </c>
    </row>
    <row r="13018" spans="1:5" x14ac:dyDescent="0.25">
      <c r="A13018" t="s">
        <v>2</v>
      </c>
      <c r="B13018" t="s">
        <v>3458</v>
      </c>
      <c r="C13018" t="s">
        <v>23490</v>
      </c>
      <c r="D13018" t="str">
        <f>HYPERLINK("https://rhld.insurance.arkansas.gov/NPILookup?Npi=1518940154","1518940154")</f>
        <v>1518940154</v>
      </c>
      <c r="E13018" t="s">
        <v>21739</v>
      </c>
    </row>
    <row r="13019" spans="1:5" x14ac:dyDescent="0.25">
      <c r="A13019" t="s">
        <v>2</v>
      </c>
      <c r="B13019" t="s">
        <v>3458</v>
      </c>
      <c r="C13019" t="s">
        <v>23490</v>
      </c>
      <c r="D13019" t="str">
        <f>HYPERLINK("https://rhld.insurance.arkansas.gov/NPILookup?Npi=1518944149","1518944149")</f>
        <v>1518944149</v>
      </c>
      <c r="E13019" t="s">
        <v>21740</v>
      </c>
    </row>
    <row r="13020" spans="1:5" x14ac:dyDescent="0.25">
      <c r="A13020" t="s">
        <v>2</v>
      </c>
      <c r="B13020" t="s">
        <v>3458</v>
      </c>
      <c r="C13020" t="s">
        <v>23490</v>
      </c>
      <c r="D13020" t="str">
        <f>HYPERLINK("https://rhld.insurance.arkansas.gov/NPILookup?Npi=1518949429","1518949429")</f>
        <v>1518949429</v>
      </c>
      <c r="E13020" t="s">
        <v>1825</v>
      </c>
    </row>
    <row r="13021" spans="1:5" x14ac:dyDescent="0.25">
      <c r="A13021" t="s">
        <v>2</v>
      </c>
      <c r="B13021" t="s">
        <v>3458</v>
      </c>
      <c r="C13021" t="s">
        <v>23490</v>
      </c>
      <c r="D13021" t="str">
        <f>HYPERLINK("https://rhld.insurance.arkansas.gov/NPILookup?Npi=1518951664","1518951664")</f>
        <v>1518951664</v>
      </c>
      <c r="E13021" t="s">
        <v>1826</v>
      </c>
    </row>
    <row r="13022" spans="1:5" x14ac:dyDescent="0.25">
      <c r="A13022" t="s">
        <v>2</v>
      </c>
      <c r="B13022" t="s">
        <v>3458</v>
      </c>
      <c r="C13022" t="s">
        <v>23490</v>
      </c>
      <c r="D13022" t="str">
        <f>HYPERLINK("https://rhld.insurance.arkansas.gov/NPILookup?Npi=1518961234","1518961234")</f>
        <v>1518961234</v>
      </c>
      <c r="E13022" t="s">
        <v>1827</v>
      </c>
    </row>
    <row r="13023" spans="1:5" x14ac:dyDescent="0.25">
      <c r="A13023" t="s">
        <v>2</v>
      </c>
      <c r="B13023" t="s">
        <v>3458</v>
      </c>
      <c r="C13023" t="s">
        <v>23490</v>
      </c>
      <c r="D13023" t="str">
        <f>HYPERLINK("https://rhld.insurance.arkansas.gov/NPILookup?Npi=1518962968","1518962968")</f>
        <v>1518962968</v>
      </c>
      <c r="E13023" t="s">
        <v>1829</v>
      </c>
    </row>
    <row r="13024" spans="1:5" x14ac:dyDescent="0.25">
      <c r="A13024" t="s">
        <v>2</v>
      </c>
      <c r="B13024" t="s">
        <v>3458</v>
      </c>
      <c r="C13024" t="s">
        <v>23490</v>
      </c>
      <c r="D13024" t="str">
        <f>HYPERLINK("https://rhld.insurance.arkansas.gov/NPILookup?Npi=1518967181","1518967181")</f>
        <v>1518967181</v>
      </c>
      <c r="E13024" t="s">
        <v>1831</v>
      </c>
    </row>
    <row r="13025" spans="1:5" x14ac:dyDescent="0.25">
      <c r="A13025" t="s">
        <v>2</v>
      </c>
      <c r="B13025" t="s">
        <v>3458</v>
      </c>
      <c r="C13025" t="s">
        <v>23490</v>
      </c>
      <c r="D13025" t="str">
        <f>HYPERLINK("https://rhld.insurance.arkansas.gov/NPILookup?Npi=1518968734","1518968734")</f>
        <v>1518968734</v>
      </c>
      <c r="E13025" t="s">
        <v>1832</v>
      </c>
    </row>
    <row r="13026" spans="1:5" x14ac:dyDescent="0.25">
      <c r="A13026" t="s">
        <v>2</v>
      </c>
      <c r="B13026" t="s">
        <v>3458</v>
      </c>
      <c r="C13026" t="s">
        <v>23490</v>
      </c>
      <c r="D13026" t="str">
        <f>HYPERLINK("https://rhld.insurance.arkansas.gov/NPILookup?Npi=1518980887","1518980887")</f>
        <v>1518980887</v>
      </c>
      <c r="E13026" t="s">
        <v>2194</v>
      </c>
    </row>
    <row r="13027" spans="1:5" x14ac:dyDescent="0.25">
      <c r="A13027" t="s">
        <v>2</v>
      </c>
      <c r="B13027" t="s">
        <v>3458</v>
      </c>
      <c r="C13027" t="s">
        <v>23490</v>
      </c>
      <c r="D13027" t="str">
        <f>HYPERLINK("https://rhld.insurance.arkansas.gov/NPILookup?Npi=1518982305","1518982305")</f>
        <v>1518982305</v>
      </c>
      <c r="E13027" t="s">
        <v>1833</v>
      </c>
    </row>
    <row r="13028" spans="1:5" x14ac:dyDescent="0.25">
      <c r="A13028" t="s">
        <v>2</v>
      </c>
      <c r="B13028" t="s">
        <v>3458</v>
      </c>
      <c r="C13028" t="s">
        <v>23490</v>
      </c>
      <c r="D13028" t="str">
        <f>HYPERLINK("https://rhld.insurance.arkansas.gov/NPILookup?Npi=1518984194","1518984194")</f>
        <v>1518984194</v>
      </c>
      <c r="E13028" t="s">
        <v>6925</v>
      </c>
    </row>
    <row r="13029" spans="1:5" x14ac:dyDescent="0.25">
      <c r="A13029" t="s">
        <v>2</v>
      </c>
      <c r="B13029" t="s">
        <v>3458</v>
      </c>
      <c r="C13029" t="s">
        <v>23490</v>
      </c>
      <c r="D13029" t="str">
        <f>HYPERLINK("https://rhld.insurance.arkansas.gov/NPILookup?Npi=1518985456","1518985456")</f>
        <v>1518985456</v>
      </c>
      <c r="E13029" t="s">
        <v>15226</v>
      </c>
    </row>
    <row r="13030" spans="1:5" x14ac:dyDescent="0.25">
      <c r="A13030" t="s">
        <v>2</v>
      </c>
      <c r="B13030" t="s">
        <v>3458</v>
      </c>
      <c r="C13030" t="s">
        <v>23490</v>
      </c>
      <c r="D13030" t="str">
        <f>HYPERLINK("https://rhld.insurance.arkansas.gov/NPILookup?Npi=1518985753","1518985753")</f>
        <v>1518985753</v>
      </c>
      <c r="E13030" t="s">
        <v>3775</v>
      </c>
    </row>
    <row r="13031" spans="1:5" x14ac:dyDescent="0.25">
      <c r="A13031" t="s">
        <v>2</v>
      </c>
      <c r="B13031" t="s">
        <v>3458</v>
      </c>
      <c r="C13031" t="s">
        <v>23490</v>
      </c>
      <c r="D13031" t="str">
        <f>HYPERLINK("https://rhld.insurance.arkansas.gov/NPILookup?Npi=1518986355","1518986355")</f>
        <v>1518986355</v>
      </c>
      <c r="E13031" t="s">
        <v>8717</v>
      </c>
    </row>
    <row r="13032" spans="1:5" x14ac:dyDescent="0.25">
      <c r="A13032" t="s">
        <v>2</v>
      </c>
      <c r="B13032" t="s">
        <v>3458</v>
      </c>
      <c r="C13032" t="s">
        <v>23490</v>
      </c>
      <c r="D13032" t="str">
        <f>HYPERLINK("https://rhld.insurance.arkansas.gov/NPILookup?Npi=1518990308","1518990308")</f>
        <v>1518990308</v>
      </c>
      <c r="E13032" t="s">
        <v>11465</v>
      </c>
    </row>
    <row r="13033" spans="1:5" x14ac:dyDescent="0.25">
      <c r="A13033" t="s">
        <v>2</v>
      </c>
      <c r="B13033" t="s">
        <v>3458</v>
      </c>
      <c r="C13033" t="s">
        <v>23490</v>
      </c>
      <c r="D13033" t="str">
        <f>HYPERLINK("https://rhld.insurance.arkansas.gov/NPILookup?Npi=1518993567","1518993567")</f>
        <v>1518993567</v>
      </c>
      <c r="E13033" t="s">
        <v>15227</v>
      </c>
    </row>
    <row r="13034" spans="1:5" x14ac:dyDescent="0.25">
      <c r="A13034" t="s">
        <v>2</v>
      </c>
      <c r="B13034" t="s">
        <v>3458</v>
      </c>
      <c r="C13034" t="s">
        <v>23490</v>
      </c>
      <c r="D13034" t="str">
        <f>HYPERLINK("https://rhld.insurance.arkansas.gov/NPILookup?Npi=1518994169","1518994169")</f>
        <v>1518994169</v>
      </c>
      <c r="E13034" t="s">
        <v>1835</v>
      </c>
    </row>
    <row r="13035" spans="1:5" x14ac:dyDescent="0.25">
      <c r="A13035" t="s">
        <v>2</v>
      </c>
      <c r="B13035" t="s">
        <v>3458</v>
      </c>
      <c r="C13035" t="s">
        <v>23490</v>
      </c>
      <c r="D13035" t="str">
        <f>HYPERLINK("https://rhld.insurance.arkansas.gov/NPILookup?Npi=1518994250","1518994250")</f>
        <v>1518994250</v>
      </c>
      <c r="E13035" t="s">
        <v>3776</v>
      </c>
    </row>
    <row r="13036" spans="1:5" x14ac:dyDescent="0.25">
      <c r="A13036" t="s">
        <v>2</v>
      </c>
      <c r="B13036" t="s">
        <v>3458</v>
      </c>
      <c r="C13036" t="s">
        <v>23490</v>
      </c>
      <c r="D13036" t="str">
        <f>HYPERLINK("https://rhld.insurance.arkansas.gov/NPILookup?Npi=1528002649","1528002649")</f>
        <v>1528002649</v>
      </c>
      <c r="E13036" t="s">
        <v>3777</v>
      </c>
    </row>
    <row r="13037" spans="1:5" x14ac:dyDescent="0.25">
      <c r="A13037" t="s">
        <v>2</v>
      </c>
      <c r="B13037" t="s">
        <v>3458</v>
      </c>
      <c r="C13037" t="s">
        <v>23490</v>
      </c>
      <c r="D13037" t="str">
        <f>HYPERLINK("https://rhld.insurance.arkansas.gov/NPILookup?Npi=1528006673","1528006673")</f>
        <v>1528006673</v>
      </c>
      <c r="E13037" t="s">
        <v>1836</v>
      </c>
    </row>
    <row r="13038" spans="1:5" x14ac:dyDescent="0.25">
      <c r="A13038" t="s">
        <v>2</v>
      </c>
      <c r="B13038" t="s">
        <v>3458</v>
      </c>
      <c r="C13038" t="s">
        <v>23490</v>
      </c>
      <c r="D13038" t="str">
        <f>HYPERLINK("https://rhld.insurance.arkansas.gov/NPILookup?Npi=1528007705","1528007705")</f>
        <v>1528007705</v>
      </c>
      <c r="E13038" t="s">
        <v>13573</v>
      </c>
    </row>
    <row r="13039" spans="1:5" x14ac:dyDescent="0.25">
      <c r="A13039" t="s">
        <v>2</v>
      </c>
      <c r="B13039" t="s">
        <v>3458</v>
      </c>
      <c r="C13039" t="s">
        <v>23490</v>
      </c>
      <c r="D13039" t="str">
        <f>HYPERLINK("https://rhld.insurance.arkansas.gov/NPILookup?Npi=1528009529","1528009529")</f>
        <v>1528009529</v>
      </c>
      <c r="E13039" t="s">
        <v>15228</v>
      </c>
    </row>
    <row r="13040" spans="1:5" x14ac:dyDescent="0.25">
      <c r="A13040" t="s">
        <v>2</v>
      </c>
      <c r="B13040" t="s">
        <v>3458</v>
      </c>
      <c r="C13040" t="s">
        <v>23490</v>
      </c>
      <c r="D13040" t="str">
        <f>HYPERLINK("https://rhld.insurance.arkansas.gov/NPILookup?Npi=1528013851","1528013851")</f>
        <v>1528013851</v>
      </c>
      <c r="E13040" t="s">
        <v>1837</v>
      </c>
    </row>
    <row r="13041" spans="1:5" x14ac:dyDescent="0.25">
      <c r="A13041" t="s">
        <v>2</v>
      </c>
      <c r="B13041" t="s">
        <v>3458</v>
      </c>
      <c r="C13041" t="s">
        <v>23490</v>
      </c>
      <c r="D13041" t="str">
        <f>HYPERLINK("https://rhld.insurance.arkansas.gov/NPILookup?Npi=1528014545","1528014545")</f>
        <v>1528014545</v>
      </c>
      <c r="E13041" t="s">
        <v>21741</v>
      </c>
    </row>
    <row r="13042" spans="1:5" x14ac:dyDescent="0.25">
      <c r="A13042" t="s">
        <v>2</v>
      </c>
      <c r="B13042" t="s">
        <v>3458</v>
      </c>
      <c r="C13042" t="s">
        <v>23490</v>
      </c>
      <c r="D13042" t="str">
        <f>HYPERLINK("https://rhld.insurance.arkansas.gov/NPILookup?Npi=1528019098","1528019098")</f>
        <v>1528019098</v>
      </c>
      <c r="E13042" t="s">
        <v>1838</v>
      </c>
    </row>
    <row r="13043" spans="1:5" x14ac:dyDescent="0.25">
      <c r="A13043" t="s">
        <v>2</v>
      </c>
      <c r="B13043" t="s">
        <v>3458</v>
      </c>
      <c r="C13043" t="s">
        <v>23490</v>
      </c>
      <c r="D13043" t="str">
        <f>HYPERLINK("https://rhld.insurance.arkansas.gov/NPILookup?Npi=1528021649","1528021649")</f>
        <v>1528021649</v>
      </c>
      <c r="E13043" t="s">
        <v>1839</v>
      </c>
    </row>
    <row r="13044" spans="1:5" x14ac:dyDescent="0.25">
      <c r="A13044" t="s">
        <v>2</v>
      </c>
      <c r="B13044" t="s">
        <v>3458</v>
      </c>
      <c r="C13044" t="s">
        <v>23490</v>
      </c>
      <c r="D13044" t="str">
        <f>HYPERLINK("https://rhld.insurance.arkansas.gov/NPILookup?Npi=1528022167","1528022167")</f>
        <v>1528022167</v>
      </c>
      <c r="E13044" t="s">
        <v>1840</v>
      </c>
    </row>
    <row r="13045" spans="1:5" x14ac:dyDescent="0.25">
      <c r="A13045" t="s">
        <v>2</v>
      </c>
      <c r="B13045" t="s">
        <v>3458</v>
      </c>
      <c r="C13045" t="s">
        <v>23490</v>
      </c>
      <c r="D13045" t="str">
        <f>HYPERLINK("https://rhld.insurance.arkansas.gov/NPILookup?Npi=1528024783","1528024783")</f>
        <v>1528024783</v>
      </c>
      <c r="E13045" t="s">
        <v>18926</v>
      </c>
    </row>
    <row r="13046" spans="1:5" x14ac:dyDescent="0.25">
      <c r="A13046" t="s">
        <v>2</v>
      </c>
      <c r="B13046" t="s">
        <v>3458</v>
      </c>
      <c r="C13046" t="s">
        <v>23490</v>
      </c>
      <c r="D13046" t="str">
        <f>HYPERLINK("https://rhld.insurance.arkansas.gov/NPILookup?Npi=1528024866","1528024866")</f>
        <v>1528024866</v>
      </c>
      <c r="E13046" t="s">
        <v>1841</v>
      </c>
    </row>
    <row r="13047" spans="1:5" x14ac:dyDescent="0.25">
      <c r="A13047" t="s">
        <v>2</v>
      </c>
      <c r="B13047" t="s">
        <v>3458</v>
      </c>
      <c r="C13047" t="s">
        <v>23490</v>
      </c>
      <c r="D13047" t="str">
        <f>HYPERLINK("https://rhld.insurance.arkansas.gov/NPILookup?Npi=1528025038","1528025038")</f>
        <v>1528025038</v>
      </c>
      <c r="E13047" t="s">
        <v>1842</v>
      </c>
    </row>
    <row r="13048" spans="1:5" x14ac:dyDescent="0.25">
      <c r="A13048" t="s">
        <v>2</v>
      </c>
      <c r="B13048" t="s">
        <v>3458</v>
      </c>
      <c r="C13048" t="s">
        <v>23490</v>
      </c>
      <c r="D13048" t="str">
        <f>HYPERLINK("https://rhld.insurance.arkansas.gov/NPILookup?Npi=1528025368","1528025368")</f>
        <v>1528025368</v>
      </c>
      <c r="E13048" t="s">
        <v>3778</v>
      </c>
    </row>
    <row r="13049" spans="1:5" x14ac:dyDescent="0.25">
      <c r="A13049" t="s">
        <v>2</v>
      </c>
      <c r="B13049" t="s">
        <v>3458</v>
      </c>
      <c r="C13049" t="s">
        <v>23490</v>
      </c>
      <c r="D13049" t="str">
        <f>HYPERLINK("https://rhld.insurance.arkansas.gov/NPILookup?Npi=1528025525","1528025525")</f>
        <v>1528025525</v>
      </c>
      <c r="E13049" t="s">
        <v>3779</v>
      </c>
    </row>
    <row r="13050" spans="1:5" x14ac:dyDescent="0.25">
      <c r="A13050" t="s">
        <v>2</v>
      </c>
      <c r="B13050" t="s">
        <v>3458</v>
      </c>
      <c r="C13050" t="s">
        <v>23490</v>
      </c>
      <c r="D13050" t="str">
        <f>HYPERLINK("https://rhld.insurance.arkansas.gov/NPILookup?Npi=1528025970","1528025970")</f>
        <v>1528025970</v>
      </c>
      <c r="E13050" t="s">
        <v>3780</v>
      </c>
    </row>
    <row r="13051" spans="1:5" x14ac:dyDescent="0.25">
      <c r="A13051" t="s">
        <v>2</v>
      </c>
      <c r="B13051" t="s">
        <v>3458</v>
      </c>
      <c r="C13051" t="s">
        <v>23490</v>
      </c>
      <c r="D13051" t="str">
        <f>HYPERLINK("https://rhld.insurance.arkansas.gov/NPILookup?Npi=1528027828","1528027828")</f>
        <v>1528027828</v>
      </c>
      <c r="E13051" t="s">
        <v>1843</v>
      </c>
    </row>
    <row r="13052" spans="1:5" x14ac:dyDescent="0.25">
      <c r="A13052" t="s">
        <v>2</v>
      </c>
      <c r="B13052" t="s">
        <v>3458</v>
      </c>
      <c r="C13052" t="s">
        <v>23490</v>
      </c>
      <c r="D13052" t="str">
        <f>HYPERLINK("https://rhld.insurance.arkansas.gov/NPILookup?Npi=1528039443","1528039443")</f>
        <v>1528039443</v>
      </c>
      <c r="E13052" t="s">
        <v>1844</v>
      </c>
    </row>
    <row r="13053" spans="1:5" x14ac:dyDescent="0.25">
      <c r="A13053" t="s">
        <v>2</v>
      </c>
      <c r="B13053" t="s">
        <v>3458</v>
      </c>
      <c r="C13053" t="s">
        <v>23490</v>
      </c>
      <c r="D13053" t="str">
        <f>HYPERLINK("https://rhld.insurance.arkansas.gov/NPILookup?Npi=1528041696","1528041696")</f>
        <v>1528041696</v>
      </c>
      <c r="E13053" t="s">
        <v>15229</v>
      </c>
    </row>
    <row r="13054" spans="1:5" x14ac:dyDescent="0.25">
      <c r="A13054" t="s">
        <v>2</v>
      </c>
      <c r="B13054" t="s">
        <v>3458</v>
      </c>
      <c r="C13054" t="s">
        <v>23490</v>
      </c>
      <c r="D13054" t="str">
        <f>HYPERLINK("https://rhld.insurance.arkansas.gov/NPILookup?Npi=1528051927","1528051927")</f>
        <v>1528051927</v>
      </c>
      <c r="E13054" t="s">
        <v>3781</v>
      </c>
    </row>
    <row r="13055" spans="1:5" x14ac:dyDescent="0.25">
      <c r="A13055" t="s">
        <v>2</v>
      </c>
      <c r="B13055" t="s">
        <v>3458</v>
      </c>
      <c r="C13055" t="s">
        <v>23490</v>
      </c>
      <c r="D13055" t="str">
        <f>HYPERLINK("https://rhld.insurance.arkansas.gov/NPILookup?Npi=1528052784","1528052784")</f>
        <v>1528052784</v>
      </c>
      <c r="E13055" t="s">
        <v>1845</v>
      </c>
    </row>
    <row r="13056" spans="1:5" x14ac:dyDescent="0.25">
      <c r="A13056" t="s">
        <v>2</v>
      </c>
      <c r="B13056" t="s">
        <v>3458</v>
      </c>
      <c r="C13056" t="s">
        <v>23490</v>
      </c>
      <c r="D13056" t="str">
        <f>HYPERLINK("https://rhld.insurance.arkansas.gov/NPILookup?Npi=1528052800","1528052800")</f>
        <v>1528052800</v>
      </c>
      <c r="E13056" t="s">
        <v>1846</v>
      </c>
    </row>
    <row r="13057" spans="1:5" x14ac:dyDescent="0.25">
      <c r="A13057" t="s">
        <v>2</v>
      </c>
      <c r="B13057" t="s">
        <v>3458</v>
      </c>
      <c r="C13057" t="s">
        <v>23490</v>
      </c>
      <c r="D13057" t="str">
        <f>HYPERLINK("https://rhld.insurance.arkansas.gov/NPILookup?Npi=1528055738","1528055738")</f>
        <v>1528055738</v>
      </c>
      <c r="E13057" t="s">
        <v>1847</v>
      </c>
    </row>
    <row r="13058" spans="1:5" x14ac:dyDescent="0.25">
      <c r="A13058" t="s">
        <v>2</v>
      </c>
      <c r="B13058" t="s">
        <v>3458</v>
      </c>
      <c r="C13058" t="s">
        <v>23490</v>
      </c>
      <c r="D13058" t="str">
        <f>HYPERLINK("https://rhld.insurance.arkansas.gov/NPILookup?Npi=1528058765","1528058765")</f>
        <v>1528058765</v>
      </c>
      <c r="E13058" t="s">
        <v>15230</v>
      </c>
    </row>
    <row r="13059" spans="1:5" x14ac:dyDescent="0.25">
      <c r="A13059" t="s">
        <v>2</v>
      </c>
      <c r="B13059" t="s">
        <v>3458</v>
      </c>
      <c r="C13059" t="s">
        <v>23490</v>
      </c>
      <c r="D13059" t="str">
        <f>HYPERLINK("https://rhld.insurance.arkansas.gov/NPILookup?Npi=1528063807","1528063807")</f>
        <v>1528063807</v>
      </c>
      <c r="E13059" t="s">
        <v>15231</v>
      </c>
    </row>
    <row r="13060" spans="1:5" x14ac:dyDescent="0.25">
      <c r="A13060" t="s">
        <v>2</v>
      </c>
      <c r="B13060" t="s">
        <v>3458</v>
      </c>
      <c r="C13060" t="s">
        <v>23490</v>
      </c>
      <c r="D13060" t="str">
        <f>HYPERLINK("https://rhld.insurance.arkansas.gov/NPILookup?Npi=1528086857","1528086857")</f>
        <v>1528086857</v>
      </c>
      <c r="E13060" t="s">
        <v>15232</v>
      </c>
    </row>
    <row r="13061" spans="1:5" x14ac:dyDescent="0.25">
      <c r="A13061" t="s">
        <v>2</v>
      </c>
      <c r="B13061" t="s">
        <v>3458</v>
      </c>
      <c r="C13061" t="s">
        <v>23490</v>
      </c>
      <c r="D13061" t="str">
        <f>HYPERLINK("https://rhld.insurance.arkansas.gov/NPILookup?Npi=1528088846","1528088846")</f>
        <v>1528088846</v>
      </c>
      <c r="E13061" t="s">
        <v>11014</v>
      </c>
    </row>
    <row r="13062" spans="1:5" x14ac:dyDescent="0.25">
      <c r="A13062" t="s">
        <v>2</v>
      </c>
      <c r="B13062" t="s">
        <v>3458</v>
      </c>
      <c r="C13062" t="s">
        <v>23490</v>
      </c>
      <c r="D13062" t="str">
        <f>HYPERLINK("https://rhld.insurance.arkansas.gov/NPILookup?Npi=1528102506","1528102506")</f>
        <v>1528102506</v>
      </c>
      <c r="E13062" t="s">
        <v>1852</v>
      </c>
    </row>
    <row r="13063" spans="1:5" x14ac:dyDescent="0.25">
      <c r="A13063" t="s">
        <v>2</v>
      </c>
      <c r="B13063" t="s">
        <v>3458</v>
      </c>
      <c r="C13063" t="s">
        <v>23490</v>
      </c>
      <c r="D13063" t="str">
        <f>HYPERLINK("https://rhld.insurance.arkansas.gov/NPILookup?Npi=1528145695","1528145695")</f>
        <v>1528145695</v>
      </c>
      <c r="E13063" t="s">
        <v>1853</v>
      </c>
    </row>
    <row r="13064" spans="1:5" x14ac:dyDescent="0.25">
      <c r="A13064" t="s">
        <v>2</v>
      </c>
      <c r="B13064" t="s">
        <v>3458</v>
      </c>
      <c r="C13064" t="s">
        <v>23490</v>
      </c>
      <c r="D13064" t="str">
        <f>HYPERLINK("https://rhld.insurance.arkansas.gov/NPILookup?Npi=1528148178","1528148178")</f>
        <v>1528148178</v>
      </c>
      <c r="E13064" t="s">
        <v>20251</v>
      </c>
    </row>
    <row r="13065" spans="1:5" x14ac:dyDescent="0.25">
      <c r="A13065" t="s">
        <v>2</v>
      </c>
      <c r="B13065" t="s">
        <v>3458</v>
      </c>
      <c r="C13065" t="s">
        <v>23490</v>
      </c>
      <c r="D13065" t="str">
        <f>HYPERLINK("https://rhld.insurance.arkansas.gov/NPILookup?Npi=1528158227","1528158227")</f>
        <v>1528158227</v>
      </c>
      <c r="E13065" t="s">
        <v>11015</v>
      </c>
    </row>
    <row r="13066" spans="1:5" x14ac:dyDescent="0.25">
      <c r="A13066" t="s">
        <v>2</v>
      </c>
      <c r="B13066" t="s">
        <v>3458</v>
      </c>
      <c r="C13066" t="s">
        <v>23490</v>
      </c>
      <c r="D13066" t="str">
        <f>HYPERLINK("https://rhld.insurance.arkansas.gov/NPILookup?Npi=1528160660","1528160660")</f>
        <v>1528160660</v>
      </c>
      <c r="E13066" t="s">
        <v>15871</v>
      </c>
    </row>
    <row r="13067" spans="1:5" x14ac:dyDescent="0.25">
      <c r="A13067" t="s">
        <v>2</v>
      </c>
      <c r="B13067" t="s">
        <v>3458</v>
      </c>
      <c r="C13067" t="s">
        <v>23490</v>
      </c>
      <c r="D13067" t="str">
        <f>HYPERLINK("https://rhld.insurance.arkansas.gov/NPILookup?Npi=1528172095","1528172095")</f>
        <v>1528172095</v>
      </c>
      <c r="E13067" t="s">
        <v>8719</v>
      </c>
    </row>
    <row r="13068" spans="1:5" x14ac:dyDescent="0.25">
      <c r="A13068" t="s">
        <v>2</v>
      </c>
      <c r="B13068" t="s">
        <v>3458</v>
      </c>
      <c r="C13068" t="s">
        <v>23490</v>
      </c>
      <c r="D13068" t="str">
        <f>HYPERLINK("https://rhld.insurance.arkansas.gov/NPILookup?Npi=1528175130","1528175130")</f>
        <v>1528175130</v>
      </c>
      <c r="E13068" t="s">
        <v>3782</v>
      </c>
    </row>
    <row r="13069" spans="1:5" x14ac:dyDescent="0.25">
      <c r="A13069" t="s">
        <v>2</v>
      </c>
      <c r="B13069" t="s">
        <v>3458</v>
      </c>
      <c r="C13069" t="s">
        <v>23490</v>
      </c>
      <c r="D13069" t="str">
        <f>HYPERLINK("https://rhld.insurance.arkansas.gov/NPILookup?Npi=1528177151","1528177151")</f>
        <v>1528177151</v>
      </c>
      <c r="E13069" t="s">
        <v>15233</v>
      </c>
    </row>
    <row r="13070" spans="1:5" x14ac:dyDescent="0.25">
      <c r="A13070" t="s">
        <v>2</v>
      </c>
      <c r="B13070" t="s">
        <v>3458</v>
      </c>
      <c r="C13070" t="s">
        <v>23490</v>
      </c>
      <c r="D13070" t="str">
        <f>HYPERLINK("https://rhld.insurance.arkansas.gov/NPILookup?Npi=1528200417","1528200417")</f>
        <v>1528200417</v>
      </c>
      <c r="E13070" t="s">
        <v>18018</v>
      </c>
    </row>
    <row r="13071" spans="1:5" x14ac:dyDescent="0.25">
      <c r="A13071" t="s">
        <v>2</v>
      </c>
      <c r="B13071" t="s">
        <v>3458</v>
      </c>
      <c r="C13071" t="s">
        <v>23490</v>
      </c>
      <c r="D13071" t="str">
        <f>HYPERLINK("https://rhld.insurance.arkansas.gov/NPILookup?Npi=1528225844","1528225844")</f>
        <v>1528225844</v>
      </c>
      <c r="E13071" t="s">
        <v>1854</v>
      </c>
    </row>
    <row r="13072" spans="1:5" x14ac:dyDescent="0.25">
      <c r="A13072" t="s">
        <v>2</v>
      </c>
      <c r="B13072" t="s">
        <v>3458</v>
      </c>
      <c r="C13072" t="s">
        <v>23490</v>
      </c>
      <c r="D13072" t="str">
        <f>HYPERLINK("https://rhld.insurance.arkansas.gov/NPILookup?Npi=1528231867","1528231867")</f>
        <v>1528231867</v>
      </c>
      <c r="E13072" t="s">
        <v>1855</v>
      </c>
    </row>
    <row r="13073" spans="1:5" x14ac:dyDescent="0.25">
      <c r="A13073" t="s">
        <v>2</v>
      </c>
      <c r="B13073" t="s">
        <v>3458</v>
      </c>
      <c r="C13073" t="s">
        <v>23490</v>
      </c>
      <c r="D13073" t="str">
        <f>HYPERLINK("https://rhld.insurance.arkansas.gov/NPILookup?Npi=1528257003","1528257003")</f>
        <v>1528257003</v>
      </c>
      <c r="E13073" t="s">
        <v>1857</v>
      </c>
    </row>
    <row r="13074" spans="1:5" x14ac:dyDescent="0.25">
      <c r="A13074" t="s">
        <v>2</v>
      </c>
      <c r="B13074" t="s">
        <v>3458</v>
      </c>
      <c r="C13074" t="s">
        <v>23490</v>
      </c>
      <c r="D13074" t="str">
        <f>HYPERLINK("https://rhld.insurance.arkansas.gov/NPILookup?Npi=1528258514","1528258514")</f>
        <v>1528258514</v>
      </c>
      <c r="E13074" t="s">
        <v>1858</v>
      </c>
    </row>
    <row r="13075" spans="1:5" x14ac:dyDescent="0.25">
      <c r="A13075" t="s">
        <v>2</v>
      </c>
      <c r="B13075" t="s">
        <v>3458</v>
      </c>
      <c r="C13075" t="s">
        <v>23490</v>
      </c>
      <c r="D13075" t="str">
        <f>HYPERLINK("https://rhld.insurance.arkansas.gov/NPILookup?Npi=1528275542","1528275542")</f>
        <v>1528275542</v>
      </c>
      <c r="E13075" t="s">
        <v>13855</v>
      </c>
    </row>
    <row r="13076" spans="1:5" x14ac:dyDescent="0.25">
      <c r="A13076" t="s">
        <v>2</v>
      </c>
      <c r="B13076" t="s">
        <v>3458</v>
      </c>
      <c r="C13076" t="s">
        <v>23490</v>
      </c>
      <c r="D13076" t="str">
        <f>HYPERLINK("https://rhld.insurance.arkansas.gov/NPILookup?Npi=1528287869","1528287869")</f>
        <v>1528287869</v>
      </c>
      <c r="E13076" t="s">
        <v>3783</v>
      </c>
    </row>
    <row r="13077" spans="1:5" x14ac:dyDescent="0.25">
      <c r="A13077" t="s">
        <v>2</v>
      </c>
      <c r="B13077" t="s">
        <v>3458</v>
      </c>
      <c r="C13077" t="s">
        <v>23490</v>
      </c>
      <c r="D13077" t="str">
        <f>HYPERLINK("https://rhld.insurance.arkansas.gov/NPILookup?Npi=1528291531","1528291531")</f>
        <v>1528291531</v>
      </c>
      <c r="E13077" t="s">
        <v>15234</v>
      </c>
    </row>
    <row r="13078" spans="1:5" x14ac:dyDescent="0.25">
      <c r="A13078" t="s">
        <v>2</v>
      </c>
      <c r="B13078" t="s">
        <v>3458</v>
      </c>
      <c r="C13078" t="s">
        <v>23490</v>
      </c>
      <c r="D13078" t="str">
        <f>HYPERLINK("https://rhld.insurance.arkansas.gov/NPILookup?Npi=1528294667","1528294667")</f>
        <v>1528294667</v>
      </c>
      <c r="E13078" t="s">
        <v>18019</v>
      </c>
    </row>
    <row r="13079" spans="1:5" x14ac:dyDescent="0.25">
      <c r="A13079" t="s">
        <v>2</v>
      </c>
      <c r="B13079" t="s">
        <v>3458</v>
      </c>
      <c r="C13079" t="s">
        <v>23490</v>
      </c>
      <c r="D13079" t="str">
        <f>HYPERLINK("https://rhld.insurance.arkansas.gov/NPILookup?Npi=1528296878","1528296878")</f>
        <v>1528296878</v>
      </c>
      <c r="E13079" t="s">
        <v>1860</v>
      </c>
    </row>
    <row r="13080" spans="1:5" x14ac:dyDescent="0.25">
      <c r="A13080" t="s">
        <v>2</v>
      </c>
      <c r="B13080" t="s">
        <v>3458</v>
      </c>
      <c r="C13080" t="s">
        <v>23490</v>
      </c>
      <c r="D13080" t="str">
        <f>HYPERLINK("https://rhld.insurance.arkansas.gov/NPILookup?Npi=1528309986","1528309986")</f>
        <v>1528309986</v>
      </c>
      <c r="E13080" t="s">
        <v>11017</v>
      </c>
    </row>
    <row r="13081" spans="1:5" x14ac:dyDescent="0.25">
      <c r="A13081" t="s">
        <v>2</v>
      </c>
      <c r="B13081" t="s">
        <v>3458</v>
      </c>
      <c r="C13081" t="s">
        <v>23490</v>
      </c>
      <c r="D13081" t="str">
        <f>HYPERLINK("https://rhld.insurance.arkansas.gov/NPILookup?Npi=1528319167","1528319167")</f>
        <v>1528319167</v>
      </c>
      <c r="E13081" t="s">
        <v>15235</v>
      </c>
    </row>
    <row r="13082" spans="1:5" x14ac:dyDescent="0.25">
      <c r="A13082" t="s">
        <v>2</v>
      </c>
      <c r="B13082" t="s">
        <v>3458</v>
      </c>
      <c r="C13082" t="s">
        <v>23490</v>
      </c>
      <c r="D13082" t="str">
        <f>HYPERLINK("https://rhld.insurance.arkansas.gov/NPILookup?Npi=1528325529","1528325529")</f>
        <v>1528325529</v>
      </c>
      <c r="E13082" t="s">
        <v>11018</v>
      </c>
    </row>
    <row r="13083" spans="1:5" x14ac:dyDescent="0.25">
      <c r="A13083" t="s">
        <v>2</v>
      </c>
      <c r="B13083" t="s">
        <v>3458</v>
      </c>
      <c r="C13083" t="s">
        <v>23490</v>
      </c>
      <c r="D13083" t="str">
        <f>HYPERLINK("https://rhld.insurance.arkansas.gov/NPILookup?Npi=1528350006","1528350006")</f>
        <v>1528350006</v>
      </c>
      <c r="E13083" t="s">
        <v>15236</v>
      </c>
    </row>
    <row r="13084" spans="1:5" x14ac:dyDescent="0.25">
      <c r="A13084" t="s">
        <v>2</v>
      </c>
      <c r="B13084" t="s">
        <v>3458</v>
      </c>
      <c r="C13084" t="s">
        <v>23490</v>
      </c>
      <c r="D13084" t="str">
        <f>HYPERLINK("https://rhld.insurance.arkansas.gov/NPILookup?Npi=1528386547","1528386547")</f>
        <v>1528386547</v>
      </c>
      <c r="E13084" t="s">
        <v>1863</v>
      </c>
    </row>
    <row r="13085" spans="1:5" x14ac:dyDescent="0.25">
      <c r="A13085" t="s">
        <v>2</v>
      </c>
      <c r="B13085" t="s">
        <v>3458</v>
      </c>
      <c r="C13085" t="s">
        <v>23490</v>
      </c>
      <c r="D13085" t="str">
        <f>HYPERLINK("https://rhld.insurance.arkansas.gov/NPILookup?Npi=1528409059","1528409059")</f>
        <v>1528409059</v>
      </c>
      <c r="E13085" t="s">
        <v>21564</v>
      </c>
    </row>
    <row r="13086" spans="1:5" x14ac:dyDescent="0.25">
      <c r="A13086" t="s">
        <v>2</v>
      </c>
      <c r="B13086" t="s">
        <v>3458</v>
      </c>
      <c r="C13086" t="s">
        <v>23490</v>
      </c>
      <c r="D13086" t="str">
        <f>HYPERLINK("https://rhld.insurance.arkansas.gov/NPILookup?Npi=1528415999","1528415999")</f>
        <v>1528415999</v>
      </c>
      <c r="E13086" t="s">
        <v>13575</v>
      </c>
    </row>
    <row r="13087" spans="1:5" x14ac:dyDescent="0.25">
      <c r="A13087" t="s">
        <v>2</v>
      </c>
      <c r="B13087" t="s">
        <v>3458</v>
      </c>
      <c r="C13087" t="s">
        <v>23490</v>
      </c>
      <c r="D13087" t="str">
        <f>HYPERLINK("https://rhld.insurance.arkansas.gov/NPILookup?Npi=1528418753","1528418753")</f>
        <v>1528418753</v>
      </c>
      <c r="E13087" t="s">
        <v>21742</v>
      </c>
    </row>
    <row r="13088" spans="1:5" x14ac:dyDescent="0.25">
      <c r="A13088" t="s">
        <v>2</v>
      </c>
      <c r="B13088" t="s">
        <v>3458</v>
      </c>
      <c r="C13088" t="s">
        <v>23490</v>
      </c>
      <c r="D13088" t="str">
        <f>HYPERLINK("https://rhld.insurance.arkansas.gov/NPILookup?Npi=1528422037","1528422037")</f>
        <v>1528422037</v>
      </c>
      <c r="E13088" t="s">
        <v>15237</v>
      </c>
    </row>
    <row r="13089" spans="1:5" x14ac:dyDescent="0.25">
      <c r="A13089" t="s">
        <v>2</v>
      </c>
      <c r="B13089" t="s">
        <v>3458</v>
      </c>
      <c r="C13089" t="s">
        <v>23490</v>
      </c>
      <c r="D13089" t="str">
        <f>HYPERLINK("https://rhld.insurance.arkansas.gov/NPILookup?Npi=1528422441","1528422441")</f>
        <v>1528422441</v>
      </c>
      <c r="E13089" t="s">
        <v>8721</v>
      </c>
    </row>
    <row r="13090" spans="1:5" x14ac:dyDescent="0.25">
      <c r="A13090" t="s">
        <v>2</v>
      </c>
      <c r="B13090" t="s">
        <v>3458</v>
      </c>
      <c r="C13090" t="s">
        <v>23490</v>
      </c>
      <c r="D13090" t="str">
        <f>HYPERLINK("https://rhld.insurance.arkansas.gov/NPILookup?Npi=1528423563","1528423563")</f>
        <v>1528423563</v>
      </c>
      <c r="E13090" t="s">
        <v>13002</v>
      </c>
    </row>
    <row r="13091" spans="1:5" x14ac:dyDescent="0.25">
      <c r="A13091" t="s">
        <v>2</v>
      </c>
      <c r="B13091" t="s">
        <v>3458</v>
      </c>
      <c r="C13091" t="s">
        <v>23490</v>
      </c>
      <c r="D13091" t="str">
        <f>HYPERLINK("https://rhld.insurance.arkansas.gov/NPILookup?Npi=1528446283","1528446283")</f>
        <v>1528446283</v>
      </c>
      <c r="E13091" t="s">
        <v>13577</v>
      </c>
    </row>
    <row r="13092" spans="1:5" x14ac:dyDescent="0.25">
      <c r="A13092" t="s">
        <v>2</v>
      </c>
      <c r="B13092" t="s">
        <v>3458</v>
      </c>
      <c r="C13092" t="s">
        <v>23490</v>
      </c>
      <c r="D13092" t="str">
        <f>HYPERLINK("https://rhld.insurance.arkansas.gov/NPILookup?Npi=1528459799","1528459799")</f>
        <v>1528459799</v>
      </c>
      <c r="E13092" t="s">
        <v>1865</v>
      </c>
    </row>
    <row r="13093" spans="1:5" x14ac:dyDescent="0.25">
      <c r="A13093" t="s">
        <v>2</v>
      </c>
      <c r="B13093" t="s">
        <v>3458</v>
      </c>
      <c r="C13093" t="s">
        <v>23490</v>
      </c>
      <c r="D13093" t="str">
        <f>HYPERLINK("https://rhld.insurance.arkansas.gov/NPILookup?Npi=1528461456","1528461456")</f>
        <v>1528461456</v>
      </c>
      <c r="E13093" t="s">
        <v>11020</v>
      </c>
    </row>
    <row r="13094" spans="1:5" x14ac:dyDescent="0.25">
      <c r="A13094" t="s">
        <v>2</v>
      </c>
      <c r="B13094" t="s">
        <v>3458</v>
      </c>
      <c r="C13094" t="s">
        <v>23490</v>
      </c>
      <c r="D13094" t="str">
        <f>HYPERLINK("https://rhld.insurance.arkansas.gov/NPILookup?Npi=1528461621","1528461621")</f>
        <v>1528461621</v>
      </c>
      <c r="E13094" t="s">
        <v>8722</v>
      </c>
    </row>
    <row r="13095" spans="1:5" x14ac:dyDescent="0.25">
      <c r="A13095" t="s">
        <v>2</v>
      </c>
      <c r="B13095" t="s">
        <v>3458</v>
      </c>
      <c r="C13095" t="s">
        <v>23490</v>
      </c>
      <c r="D13095" t="str">
        <f>HYPERLINK("https://rhld.insurance.arkansas.gov/NPILookup?Npi=1528464054","1528464054")</f>
        <v>1528464054</v>
      </c>
      <c r="E13095" t="s">
        <v>17511</v>
      </c>
    </row>
    <row r="13096" spans="1:5" x14ac:dyDescent="0.25">
      <c r="A13096" t="s">
        <v>2</v>
      </c>
      <c r="B13096" t="s">
        <v>3458</v>
      </c>
      <c r="C13096" t="s">
        <v>23490</v>
      </c>
      <c r="D13096" t="str">
        <f>HYPERLINK("https://rhld.insurance.arkansas.gov/NPILookup?Npi=1528472289","1528472289")</f>
        <v>1528472289</v>
      </c>
      <c r="E13096" t="s">
        <v>11021</v>
      </c>
    </row>
    <row r="13097" spans="1:5" x14ac:dyDescent="0.25">
      <c r="A13097" t="s">
        <v>2</v>
      </c>
      <c r="B13097" t="s">
        <v>3458</v>
      </c>
      <c r="C13097" t="s">
        <v>23490</v>
      </c>
      <c r="D13097" t="str">
        <f>HYPERLINK("https://rhld.insurance.arkansas.gov/NPILookup?Npi=1528473915","1528473915")</f>
        <v>1528473915</v>
      </c>
      <c r="E13097" t="s">
        <v>3784</v>
      </c>
    </row>
    <row r="13098" spans="1:5" x14ac:dyDescent="0.25">
      <c r="A13098" t="s">
        <v>2</v>
      </c>
      <c r="B13098" t="s">
        <v>3458</v>
      </c>
      <c r="C13098" t="s">
        <v>23490</v>
      </c>
      <c r="D13098" t="str">
        <f>HYPERLINK("https://rhld.insurance.arkansas.gov/NPILookup?Npi=1528481868","1528481868")</f>
        <v>1528481868</v>
      </c>
      <c r="E13098" t="s">
        <v>1866</v>
      </c>
    </row>
    <row r="13099" spans="1:5" x14ac:dyDescent="0.25">
      <c r="A13099" t="s">
        <v>2</v>
      </c>
      <c r="B13099" t="s">
        <v>3458</v>
      </c>
      <c r="C13099" t="s">
        <v>23490</v>
      </c>
      <c r="D13099" t="str">
        <f>HYPERLINK("https://rhld.insurance.arkansas.gov/NPILookup?Npi=1528482189","1528482189")</f>
        <v>1528482189</v>
      </c>
      <c r="E13099" t="s">
        <v>3785</v>
      </c>
    </row>
    <row r="13100" spans="1:5" x14ac:dyDescent="0.25">
      <c r="A13100" t="s">
        <v>2</v>
      </c>
      <c r="B13100" t="s">
        <v>3458</v>
      </c>
      <c r="C13100" t="s">
        <v>23490</v>
      </c>
      <c r="D13100" t="str">
        <f>HYPERLINK("https://rhld.insurance.arkansas.gov/NPILookup?Npi=1528517844","1528517844")</f>
        <v>1528517844</v>
      </c>
      <c r="E13100" t="s">
        <v>15238</v>
      </c>
    </row>
    <row r="13101" spans="1:5" x14ac:dyDescent="0.25">
      <c r="A13101" t="s">
        <v>2</v>
      </c>
      <c r="B13101" t="s">
        <v>3458</v>
      </c>
      <c r="C13101" t="s">
        <v>23490</v>
      </c>
      <c r="D13101" t="str">
        <f>HYPERLINK("https://rhld.insurance.arkansas.gov/NPILookup?Npi=1528552130","1528552130")</f>
        <v>1528552130</v>
      </c>
      <c r="E13101" t="s">
        <v>18801</v>
      </c>
    </row>
    <row r="13102" spans="1:5" x14ac:dyDescent="0.25">
      <c r="A13102" t="s">
        <v>2</v>
      </c>
      <c r="B13102" t="s">
        <v>3458</v>
      </c>
      <c r="C13102" t="s">
        <v>23490</v>
      </c>
      <c r="D13102" t="str">
        <f>HYPERLINK("https://rhld.insurance.arkansas.gov/NPILookup?Npi=1528568433","1528568433")</f>
        <v>1528568433</v>
      </c>
      <c r="E13102" t="s">
        <v>13003</v>
      </c>
    </row>
    <row r="13103" spans="1:5" x14ac:dyDescent="0.25">
      <c r="A13103" t="s">
        <v>2</v>
      </c>
      <c r="B13103" t="s">
        <v>3458</v>
      </c>
      <c r="C13103" t="s">
        <v>23490</v>
      </c>
      <c r="D13103" t="str">
        <f>HYPERLINK("https://rhld.insurance.arkansas.gov/NPILookup?Npi=1528570819","1528570819")</f>
        <v>1528570819</v>
      </c>
      <c r="E13103" t="s">
        <v>15239</v>
      </c>
    </row>
    <row r="13104" spans="1:5" x14ac:dyDescent="0.25">
      <c r="A13104" t="s">
        <v>2</v>
      </c>
      <c r="B13104" t="s">
        <v>3458</v>
      </c>
      <c r="C13104" t="s">
        <v>23490</v>
      </c>
      <c r="D13104" t="str">
        <f>HYPERLINK("https://rhld.insurance.arkansas.gov/NPILookup?Npi=1528575545","1528575545")</f>
        <v>1528575545</v>
      </c>
      <c r="E13104" t="s">
        <v>18020</v>
      </c>
    </row>
    <row r="13105" spans="1:5" x14ac:dyDescent="0.25">
      <c r="A13105" t="s">
        <v>2</v>
      </c>
      <c r="B13105" t="s">
        <v>3458</v>
      </c>
      <c r="C13105" t="s">
        <v>23490</v>
      </c>
      <c r="D13105" t="str">
        <f>HYPERLINK("https://rhld.insurance.arkansas.gov/NPILookup?Npi=1528575602","1528575602")</f>
        <v>1528575602</v>
      </c>
      <c r="E13105" t="s">
        <v>22950</v>
      </c>
    </row>
    <row r="13106" spans="1:5" x14ac:dyDescent="0.25">
      <c r="A13106" t="s">
        <v>2</v>
      </c>
      <c r="B13106" t="s">
        <v>3458</v>
      </c>
      <c r="C13106" t="s">
        <v>23490</v>
      </c>
      <c r="D13106" t="str">
        <f>HYPERLINK("https://rhld.insurance.arkansas.gov/NPILookup?Npi=1528577012","1528577012")</f>
        <v>1528577012</v>
      </c>
      <c r="E13106" t="s">
        <v>15240</v>
      </c>
    </row>
    <row r="13107" spans="1:5" x14ac:dyDescent="0.25">
      <c r="A13107" t="s">
        <v>2</v>
      </c>
      <c r="B13107" t="s">
        <v>3458</v>
      </c>
      <c r="C13107" t="s">
        <v>23490</v>
      </c>
      <c r="D13107" t="str">
        <f>HYPERLINK("https://rhld.insurance.arkansas.gov/NPILookup?Npi=1528582186","1528582186")</f>
        <v>1528582186</v>
      </c>
      <c r="E13107" t="s">
        <v>11022</v>
      </c>
    </row>
    <row r="13108" spans="1:5" x14ac:dyDescent="0.25">
      <c r="A13108" t="s">
        <v>2</v>
      </c>
      <c r="B13108" t="s">
        <v>3458</v>
      </c>
      <c r="C13108" t="s">
        <v>23490</v>
      </c>
      <c r="D13108" t="str">
        <f>HYPERLINK("https://rhld.insurance.arkansas.gov/NPILookup?Npi=1528592862","1528592862")</f>
        <v>1528592862</v>
      </c>
      <c r="E13108" t="s">
        <v>18021</v>
      </c>
    </row>
    <row r="13109" spans="1:5" x14ac:dyDescent="0.25">
      <c r="A13109" t="s">
        <v>2</v>
      </c>
      <c r="B13109" t="s">
        <v>3458</v>
      </c>
      <c r="C13109" t="s">
        <v>23490</v>
      </c>
      <c r="D13109" t="str">
        <f>HYPERLINK("https://rhld.insurance.arkansas.gov/NPILookup?Npi=1528597028","1528597028")</f>
        <v>1528597028</v>
      </c>
      <c r="E13109" t="s">
        <v>11023</v>
      </c>
    </row>
    <row r="13110" spans="1:5" x14ac:dyDescent="0.25">
      <c r="A13110" t="s">
        <v>2</v>
      </c>
      <c r="B13110" t="s">
        <v>3458</v>
      </c>
      <c r="C13110" t="s">
        <v>23490</v>
      </c>
      <c r="D13110" t="str">
        <f>HYPERLINK("https://rhld.insurance.arkansas.gov/NPILookup?Npi=1528598018","1528598018")</f>
        <v>1528598018</v>
      </c>
      <c r="E13110" t="s">
        <v>15241</v>
      </c>
    </row>
    <row r="13111" spans="1:5" x14ac:dyDescent="0.25">
      <c r="A13111" t="s">
        <v>2</v>
      </c>
      <c r="B13111" t="s">
        <v>3458</v>
      </c>
      <c r="C13111" t="s">
        <v>23490</v>
      </c>
      <c r="D13111" t="str">
        <f>HYPERLINK("https://rhld.insurance.arkansas.gov/NPILookup?Npi=1528613726","1528613726")</f>
        <v>1528613726</v>
      </c>
      <c r="E13111" t="s">
        <v>21565</v>
      </c>
    </row>
    <row r="13112" spans="1:5" x14ac:dyDescent="0.25">
      <c r="A13112" t="s">
        <v>2</v>
      </c>
      <c r="B13112" t="s">
        <v>3458</v>
      </c>
      <c r="C13112" t="s">
        <v>23490</v>
      </c>
      <c r="D13112" t="str">
        <f>HYPERLINK("https://rhld.insurance.arkansas.gov/NPILookup?Npi=1528668241","1528668241")</f>
        <v>1528668241</v>
      </c>
      <c r="E13112" t="s">
        <v>18023</v>
      </c>
    </row>
    <row r="13113" spans="1:5" x14ac:dyDescent="0.25">
      <c r="A13113" t="s">
        <v>2</v>
      </c>
      <c r="B13113" t="s">
        <v>3458</v>
      </c>
      <c r="C13113" t="s">
        <v>23490</v>
      </c>
      <c r="D13113" t="str">
        <f>HYPERLINK("https://rhld.insurance.arkansas.gov/NPILookup?Npi=1528675386","1528675386")</f>
        <v>1528675386</v>
      </c>
      <c r="E13113" t="s">
        <v>18802</v>
      </c>
    </row>
    <row r="13114" spans="1:5" x14ac:dyDescent="0.25">
      <c r="A13114" t="s">
        <v>2</v>
      </c>
      <c r="B13114" t="s">
        <v>3458</v>
      </c>
      <c r="C13114" t="s">
        <v>23490</v>
      </c>
      <c r="D13114" t="str">
        <f>HYPERLINK("https://rhld.insurance.arkansas.gov/NPILookup?Npi=1528686870","1528686870")</f>
        <v>1528686870</v>
      </c>
      <c r="E13114" t="s">
        <v>17434</v>
      </c>
    </row>
    <row r="13115" spans="1:5" x14ac:dyDescent="0.25">
      <c r="A13115" t="s">
        <v>2</v>
      </c>
      <c r="B13115" t="s">
        <v>3458</v>
      </c>
      <c r="C13115" t="s">
        <v>8427</v>
      </c>
      <c r="D13115" t="str">
        <f>HYPERLINK("https://rhld.insurance.arkansas.gov/NPILookup?Npi=1528689239","1528689239")</f>
        <v>1528689239</v>
      </c>
      <c r="E13115" t="s">
        <v>22951</v>
      </c>
    </row>
    <row r="13116" spans="1:5" x14ac:dyDescent="0.25">
      <c r="A13116" t="s">
        <v>2</v>
      </c>
      <c r="B13116" t="s">
        <v>3458</v>
      </c>
      <c r="C13116" t="s">
        <v>23490</v>
      </c>
      <c r="D13116" t="str">
        <f>HYPERLINK("https://rhld.insurance.arkansas.gov/NPILookup?Npi=1528693033","1528693033")</f>
        <v>1528693033</v>
      </c>
      <c r="E13116" t="s">
        <v>21566</v>
      </c>
    </row>
    <row r="13117" spans="1:5" x14ac:dyDescent="0.25">
      <c r="A13117" t="s">
        <v>2</v>
      </c>
      <c r="B13117" t="s">
        <v>3458</v>
      </c>
      <c r="C13117" t="s">
        <v>8427</v>
      </c>
      <c r="D13117" t="str">
        <f>HYPERLINK("https://rhld.insurance.arkansas.gov/NPILookup?Npi=1528694544","1528694544")</f>
        <v>1528694544</v>
      </c>
      <c r="E13117" t="s">
        <v>22952</v>
      </c>
    </row>
    <row r="13118" spans="1:5" x14ac:dyDescent="0.25">
      <c r="A13118" t="s">
        <v>2</v>
      </c>
      <c r="B13118" t="s">
        <v>3458</v>
      </c>
      <c r="C13118" t="s">
        <v>23490</v>
      </c>
      <c r="D13118" t="str">
        <f>HYPERLINK("https://rhld.insurance.arkansas.gov/NPILookup?Npi=1528765146","1528765146")</f>
        <v>1528765146</v>
      </c>
      <c r="E13118" t="s">
        <v>21567</v>
      </c>
    </row>
    <row r="13119" spans="1:5" x14ac:dyDescent="0.25">
      <c r="A13119" t="s">
        <v>2</v>
      </c>
      <c r="B13119" t="s">
        <v>3458</v>
      </c>
      <c r="C13119" t="s">
        <v>23490</v>
      </c>
      <c r="D13119" t="str">
        <f>HYPERLINK("https://rhld.insurance.arkansas.gov/NPILookup?Npi=1528780343","1528780343")</f>
        <v>1528780343</v>
      </c>
      <c r="E13119" t="s">
        <v>20964</v>
      </c>
    </row>
    <row r="13120" spans="1:5" x14ac:dyDescent="0.25">
      <c r="A13120" t="s">
        <v>2</v>
      </c>
      <c r="B13120" t="s">
        <v>3458</v>
      </c>
      <c r="C13120" t="s">
        <v>23490</v>
      </c>
      <c r="D13120" t="str">
        <f>HYPERLINK("https://rhld.insurance.arkansas.gov/NPILookup?Npi=1538102322","1538102322")</f>
        <v>1538102322</v>
      </c>
      <c r="E13120" t="s">
        <v>1867</v>
      </c>
    </row>
    <row r="13121" spans="1:5" x14ac:dyDescent="0.25">
      <c r="A13121" t="s">
        <v>2</v>
      </c>
      <c r="B13121" t="s">
        <v>3458</v>
      </c>
      <c r="C13121" t="s">
        <v>23490</v>
      </c>
      <c r="D13121" t="str">
        <f>HYPERLINK("https://rhld.insurance.arkansas.gov/NPILookup?Npi=1538107511","1538107511")</f>
        <v>1538107511</v>
      </c>
      <c r="E13121" t="s">
        <v>1868</v>
      </c>
    </row>
    <row r="13122" spans="1:5" x14ac:dyDescent="0.25">
      <c r="A13122" t="s">
        <v>2</v>
      </c>
      <c r="B13122" t="s">
        <v>3458</v>
      </c>
      <c r="C13122" t="s">
        <v>23490</v>
      </c>
      <c r="D13122" t="str">
        <f>HYPERLINK("https://rhld.insurance.arkansas.gov/NPILookup?Npi=1538110978","1538110978")</f>
        <v>1538110978</v>
      </c>
      <c r="E13122" t="s">
        <v>8982</v>
      </c>
    </row>
    <row r="13123" spans="1:5" x14ac:dyDescent="0.25">
      <c r="A13123" t="s">
        <v>2</v>
      </c>
      <c r="B13123" t="s">
        <v>3458</v>
      </c>
      <c r="C13123" t="s">
        <v>23490</v>
      </c>
      <c r="D13123" t="str">
        <f>HYPERLINK("https://rhld.insurance.arkansas.gov/NPILookup?Npi=1538114822","1538114822")</f>
        <v>1538114822</v>
      </c>
      <c r="E13123" t="s">
        <v>1869</v>
      </c>
    </row>
    <row r="13124" spans="1:5" x14ac:dyDescent="0.25">
      <c r="A13124" t="s">
        <v>2</v>
      </c>
      <c r="B13124" t="s">
        <v>3458</v>
      </c>
      <c r="C13124" t="s">
        <v>23490</v>
      </c>
      <c r="D13124" t="str">
        <f>HYPERLINK("https://rhld.insurance.arkansas.gov/NPILookup?Npi=1538116389","1538116389")</f>
        <v>1538116389</v>
      </c>
      <c r="E13124" t="s">
        <v>1870</v>
      </c>
    </row>
    <row r="13125" spans="1:5" x14ac:dyDescent="0.25">
      <c r="A13125" t="s">
        <v>2</v>
      </c>
      <c r="B13125" t="s">
        <v>3458</v>
      </c>
      <c r="C13125" t="s">
        <v>23490</v>
      </c>
      <c r="D13125" t="str">
        <f>HYPERLINK("https://rhld.insurance.arkansas.gov/NPILookup?Npi=1538117171","1538117171")</f>
        <v>1538117171</v>
      </c>
      <c r="E13125" t="s">
        <v>1871</v>
      </c>
    </row>
    <row r="13126" spans="1:5" x14ac:dyDescent="0.25">
      <c r="A13126" t="s">
        <v>2</v>
      </c>
      <c r="B13126" t="s">
        <v>3458</v>
      </c>
      <c r="C13126" t="s">
        <v>23490</v>
      </c>
      <c r="D13126" t="str">
        <f>HYPERLINK("https://rhld.insurance.arkansas.gov/NPILookup?Npi=1538122858","1538122858")</f>
        <v>1538122858</v>
      </c>
      <c r="E13126" t="s">
        <v>1873</v>
      </c>
    </row>
    <row r="13127" spans="1:5" x14ac:dyDescent="0.25">
      <c r="A13127" t="s">
        <v>2</v>
      </c>
      <c r="B13127" t="s">
        <v>3458</v>
      </c>
      <c r="C13127" t="s">
        <v>23490</v>
      </c>
      <c r="D13127" t="str">
        <f>HYPERLINK("https://rhld.insurance.arkansas.gov/NPILookup?Npi=1538126784","1538126784")</f>
        <v>1538126784</v>
      </c>
      <c r="E13127" t="s">
        <v>1874</v>
      </c>
    </row>
    <row r="13128" spans="1:5" x14ac:dyDescent="0.25">
      <c r="A13128" t="s">
        <v>2</v>
      </c>
      <c r="B13128" t="s">
        <v>3458</v>
      </c>
      <c r="C13128" t="s">
        <v>23490</v>
      </c>
      <c r="D13128" t="str">
        <f>HYPERLINK("https://rhld.insurance.arkansas.gov/NPILookup?Npi=1538132279","1538132279")</f>
        <v>1538132279</v>
      </c>
      <c r="E13128" t="s">
        <v>1875</v>
      </c>
    </row>
    <row r="13129" spans="1:5" x14ac:dyDescent="0.25">
      <c r="A13129" t="s">
        <v>2</v>
      </c>
      <c r="B13129" t="s">
        <v>3458</v>
      </c>
      <c r="C13129" t="s">
        <v>23490</v>
      </c>
      <c r="D13129" t="str">
        <f>HYPERLINK("https://rhld.insurance.arkansas.gov/NPILookup?Npi=1538135314","1538135314")</f>
        <v>1538135314</v>
      </c>
      <c r="E13129" t="s">
        <v>15242</v>
      </c>
    </row>
    <row r="13130" spans="1:5" x14ac:dyDescent="0.25">
      <c r="A13130" t="s">
        <v>2</v>
      </c>
      <c r="B13130" t="s">
        <v>3458</v>
      </c>
      <c r="C13130" t="s">
        <v>23490</v>
      </c>
      <c r="D13130" t="str">
        <f>HYPERLINK("https://rhld.insurance.arkansas.gov/NPILookup?Npi=1538137633","1538137633")</f>
        <v>1538137633</v>
      </c>
      <c r="E13130" t="s">
        <v>1877</v>
      </c>
    </row>
    <row r="13131" spans="1:5" x14ac:dyDescent="0.25">
      <c r="A13131" t="s">
        <v>2</v>
      </c>
      <c r="B13131" t="s">
        <v>3458</v>
      </c>
      <c r="C13131" t="s">
        <v>23490</v>
      </c>
      <c r="D13131" t="str">
        <f>HYPERLINK("https://rhld.insurance.arkansas.gov/NPILookup?Npi=1538137864","1538137864")</f>
        <v>1538137864</v>
      </c>
      <c r="E13131" t="s">
        <v>1878</v>
      </c>
    </row>
    <row r="13132" spans="1:5" x14ac:dyDescent="0.25">
      <c r="A13132" t="s">
        <v>2</v>
      </c>
      <c r="B13132" t="s">
        <v>3458</v>
      </c>
      <c r="C13132" t="s">
        <v>23490</v>
      </c>
      <c r="D13132" t="str">
        <f>HYPERLINK("https://rhld.insurance.arkansas.gov/NPILookup?Npi=1538141221","1538141221")</f>
        <v>1538141221</v>
      </c>
      <c r="E13132" t="s">
        <v>19805</v>
      </c>
    </row>
    <row r="13133" spans="1:5" x14ac:dyDescent="0.25">
      <c r="A13133" t="s">
        <v>2</v>
      </c>
      <c r="B13133" t="s">
        <v>3458</v>
      </c>
      <c r="C13133" t="s">
        <v>23490</v>
      </c>
      <c r="D13133" t="str">
        <f>HYPERLINK("https://rhld.insurance.arkansas.gov/NPILookup?Npi=1538151014","1538151014")</f>
        <v>1538151014</v>
      </c>
      <c r="E13133" t="s">
        <v>1881</v>
      </c>
    </row>
    <row r="13134" spans="1:5" x14ac:dyDescent="0.25">
      <c r="A13134" t="s">
        <v>2</v>
      </c>
      <c r="B13134" t="s">
        <v>3458</v>
      </c>
      <c r="C13134" t="s">
        <v>23490</v>
      </c>
      <c r="D13134" t="str">
        <f>HYPERLINK("https://rhld.insurance.arkansas.gov/NPILookup?Npi=1538152699","1538152699")</f>
        <v>1538152699</v>
      </c>
      <c r="E13134" t="s">
        <v>1882</v>
      </c>
    </row>
    <row r="13135" spans="1:5" x14ac:dyDescent="0.25">
      <c r="A13135" t="s">
        <v>2</v>
      </c>
      <c r="B13135" t="s">
        <v>3458</v>
      </c>
      <c r="C13135" t="s">
        <v>23490</v>
      </c>
      <c r="D13135" t="str">
        <f>HYPERLINK("https://rhld.insurance.arkansas.gov/NPILookup?Npi=1538154570","1538154570")</f>
        <v>1538154570</v>
      </c>
      <c r="E13135" t="s">
        <v>1883</v>
      </c>
    </row>
    <row r="13136" spans="1:5" x14ac:dyDescent="0.25">
      <c r="A13136" t="s">
        <v>2</v>
      </c>
      <c r="B13136" t="s">
        <v>3458</v>
      </c>
      <c r="C13136" t="s">
        <v>23490</v>
      </c>
      <c r="D13136" t="str">
        <f>HYPERLINK("https://rhld.insurance.arkansas.gov/NPILookup?Npi=1538155338","1538155338")</f>
        <v>1538155338</v>
      </c>
      <c r="E13136" t="s">
        <v>1884</v>
      </c>
    </row>
    <row r="13137" spans="1:5" x14ac:dyDescent="0.25">
      <c r="A13137" t="s">
        <v>2</v>
      </c>
      <c r="B13137" t="s">
        <v>3458</v>
      </c>
      <c r="C13137" t="s">
        <v>23490</v>
      </c>
      <c r="D13137" t="str">
        <f>HYPERLINK("https://rhld.insurance.arkansas.gov/NPILookup?Npi=1538160536","1538160536")</f>
        <v>1538160536</v>
      </c>
      <c r="E13137" t="s">
        <v>8724</v>
      </c>
    </row>
    <row r="13138" spans="1:5" x14ac:dyDescent="0.25">
      <c r="A13138" t="s">
        <v>2</v>
      </c>
      <c r="B13138" t="s">
        <v>3458</v>
      </c>
      <c r="C13138" t="s">
        <v>23490</v>
      </c>
      <c r="D13138" t="str">
        <f>HYPERLINK("https://rhld.insurance.arkansas.gov/NPILookup?Npi=1538161385","1538161385")</f>
        <v>1538161385</v>
      </c>
      <c r="E13138" t="s">
        <v>1885</v>
      </c>
    </row>
    <row r="13139" spans="1:5" x14ac:dyDescent="0.25">
      <c r="A13139" t="s">
        <v>2</v>
      </c>
      <c r="B13139" t="s">
        <v>3458</v>
      </c>
      <c r="C13139" t="s">
        <v>23490</v>
      </c>
      <c r="D13139" t="str">
        <f>HYPERLINK("https://rhld.insurance.arkansas.gov/NPILookup?Npi=1538163506","1538163506")</f>
        <v>1538163506</v>
      </c>
      <c r="E13139" t="s">
        <v>8725</v>
      </c>
    </row>
    <row r="13140" spans="1:5" x14ac:dyDescent="0.25">
      <c r="A13140" t="s">
        <v>2</v>
      </c>
      <c r="B13140" t="s">
        <v>3458</v>
      </c>
      <c r="C13140" t="s">
        <v>23490</v>
      </c>
      <c r="D13140" t="str">
        <f>HYPERLINK("https://rhld.insurance.arkansas.gov/NPILookup?Npi=1538166483","1538166483")</f>
        <v>1538166483</v>
      </c>
      <c r="E13140" t="s">
        <v>1886</v>
      </c>
    </row>
    <row r="13141" spans="1:5" x14ac:dyDescent="0.25">
      <c r="A13141" t="s">
        <v>2</v>
      </c>
      <c r="B13141" t="s">
        <v>3458</v>
      </c>
      <c r="C13141" t="s">
        <v>23490</v>
      </c>
      <c r="D13141" t="str">
        <f>HYPERLINK("https://rhld.insurance.arkansas.gov/NPILookup?Npi=1538168133","1538168133")</f>
        <v>1538168133</v>
      </c>
      <c r="E13141" t="s">
        <v>1887</v>
      </c>
    </row>
    <row r="13142" spans="1:5" x14ac:dyDescent="0.25">
      <c r="A13142" t="s">
        <v>2</v>
      </c>
      <c r="B13142" t="s">
        <v>3458</v>
      </c>
      <c r="C13142" t="s">
        <v>23490</v>
      </c>
      <c r="D13142" t="str">
        <f>HYPERLINK("https://rhld.insurance.arkansas.gov/NPILookup?Npi=1538168505","1538168505")</f>
        <v>1538168505</v>
      </c>
      <c r="E13142" t="s">
        <v>1888</v>
      </c>
    </row>
    <row r="13143" spans="1:5" x14ac:dyDescent="0.25">
      <c r="A13143" t="s">
        <v>2</v>
      </c>
      <c r="B13143" t="s">
        <v>3458</v>
      </c>
      <c r="C13143" t="s">
        <v>23490</v>
      </c>
      <c r="D13143" t="str">
        <f>HYPERLINK("https://rhld.insurance.arkansas.gov/NPILookup?Npi=1538169131","1538169131")</f>
        <v>1538169131</v>
      </c>
      <c r="E13143" t="s">
        <v>1889</v>
      </c>
    </row>
    <row r="13144" spans="1:5" x14ac:dyDescent="0.25">
      <c r="A13144" t="s">
        <v>2</v>
      </c>
      <c r="B13144" t="s">
        <v>3458</v>
      </c>
      <c r="C13144" t="s">
        <v>23490</v>
      </c>
      <c r="D13144" t="str">
        <f>HYPERLINK("https://rhld.insurance.arkansas.gov/NPILookup?Npi=1538178132","1538178132")</f>
        <v>1538178132</v>
      </c>
      <c r="E13144" t="s">
        <v>3786</v>
      </c>
    </row>
    <row r="13145" spans="1:5" x14ac:dyDescent="0.25">
      <c r="A13145" t="s">
        <v>2</v>
      </c>
      <c r="B13145" t="s">
        <v>3458</v>
      </c>
      <c r="C13145" t="s">
        <v>23490</v>
      </c>
      <c r="D13145" t="str">
        <f>HYPERLINK("https://rhld.insurance.arkansas.gov/NPILookup?Npi=1538179536","1538179536")</f>
        <v>1538179536</v>
      </c>
      <c r="E13145" t="s">
        <v>15243</v>
      </c>
    </row>
    <row r="13146" spans="1:5" x14ac:dyDescent="0.25">
      <c r="A13146" t="s">
        <v>2</v>
      </c>
      <c r="B13146" t="s">
        <v>3458</v>
      </c>
      <c r="C13146" t="s">
        <v>23490</v>
      </c>
      <c r="D13146" t="str">
        <f>HYPERLINK("https://rhld.insurance.arkansas.gov/NPILookup?Npi=1538181078","1538181078")</f>
        <v>1538181078</v>
      </c>
      <c r="E13146" t="s">
        <v>1890</v>
      </c>
    </row>
    <row r="13147" spans="1:5" x14ac:dyDescent="0.25">
      <c r="A13147" t="s">
        <v>2</v>
      </c>
      <c r="B13147" t="s">
        <v>3458</v>
      </c>
      <c r="C13147" t="s">
        <v>23490</v>
      </c>
      <c r="D13147" t="str">
        <f>HYPERLINK("https://rhld.insurance.arkansas.gov/NPILookup?Npi=1538185889","1538185889")</f>
        <v>1538185889</v>
      </c>
      <c r="E13147" t="s">
        <v>1891</v>
      </c>
    </row>
    <row r="13148" spans="1:5" x14ac:dyDescent="0.25">
      <c r="A13148" t="s">
        <v>2</v>
      </c>
      <c r="B13148" t="s">
        <v>3458</v>
      </c>
      <c r="C13148" t="s">
        <v>23490</v>
      </c>
      <c r="D13148" t="str">
        <f>HYPERLINK("https://rhld.insurance.arkansas.gov/NPILookup?Npi=1538189634","1538189634")</f>
        <v>1538189634</v>
      </c>
      <c r="E13148" t="s">
        <v>1894</v>
      </c>
    </row>
    <row r="13149" spans="1:5" x14ac:dyDescent="0.25">
      <c r="A13149" t="s">
        <v>2</v>
      </c>
      <c r="B13149" t="s">
        <v>3458</v>
      </c>
      <c r="C13149" t="s">
        <v>23490</v>
      </c>
      <c r="D13149" t="str">
        <f>HYPERLINK("https://rhld.insurance.arkansas.gov/NPILookup?Npi=1538198858","1538198858")</f>
        <v>1538198858</v>
      </c>
      <c r="E13149" t="s">
        <v>3787</v>
      </c>
    </row>
    <row r="13150" spans="1:5" x14ac:dyDescent="0.25">
      <c r="A13150" t="s">
        <v>2</v>
      </c>
      <c r="B13150" t="s">
        <v>3458</v>
      </c>
      <c r="C13150" t="s">
        <v>23490</v>
      </c>
      <c r="D13150" t="str">
        <f>HYPERLINK("https://rhld.insurance.arkansas.gov/NPILookup?Npi=1538200134","1538200134")</f>
        <v>1538200134</v>
      </c>
      <c r="E13150" t="s">
        <v>15244</v>
      </c>
    </row>
    <row r="13151" spans="1:5" x14ac:dyDescent="0.25">
      <c r="A13151" t="s">
        <v>2</v>
      </c>
      <c r="B13151" t="s">
        <v>3458</v>
      </c>
      <c r="C13151" t="s">
        <v>23490</v>
      </c>
      <c r="D13151" t="str">
        <f>HYPERLINK("https://rhld.insurance.arkansas.gov/NPILookup?Npi=1538204649","1538204649")</f>
        <v>1538204649</v>
      </c>
      <c r="E13151" t="s">
        <v>1895</v>
      </c>
    </row>
    <row r="13152" spans="1:5" x14ac:dyDescent="0.25">
      <c r="A13152" t="s">
        <v>2</v>
      </c>
      <c r="B13152" t="s">
        <v>3458</v>
      </c>
      <c r="C13152" t="s">
        <v>23490</v>
      </c>
      <c r="D13152" t="str">
        <f>HYPERLINK("https://rhld.insurance.arkansas.gov/NPILookup?Npi=1538230032","1538230032")</f>
        <v>1538230032</v>
      </c>
      <c r="E13152" t="s">
        <v>15872</v>
      </c>
    </row>
    <row r="13153" spans="1:5" x14ac:dyDescent="0.25">
      <c r="A13153" t="s">
        <v>2</v>
      </c>
      <c r="B13153" t="s">
        <v>3458</v>
      </c>
      <c r="C13153" t="s">
        <v>23490</v>
      </c>
      <c r="D13153" t="str">
        <f>HYPERLINK("https://rhld.insurance.arkansas.gov/NPILookup?Npi=1538246624","1538246624")</f>
        <v>1538246624</v>
      </c>
      <c r="E13153" t="s">
        <v>3788</v>
      </c>
    </row>
    <row r="13154" spans="1:5" x14ac:dyDescent="0.25">
      <c r="A13154" t="s">
        <v>2</v>
      </c>
      <c r="B13154" t="s">
        <v>3458</v>
      </c>
      <c r="C13154" t="s">
        <v>23490</v>
      </c>
      <c r="D13154" t="str">
        <f>HYPERLINK("https://rhld.insurance.arkansas.gov/NPILookup?Npi=1538257894","1538257894")</f>
        <v>1538257894</v>
      </c>
      <c r="E13154" t="s">
        <v>1896</v>
      </c>
    </row>
    <row r="13155" spans="1:5" x14ac:dyDescent="0.25">
      <c r="A13155" t="s">
        <v>2</v>
      </c>
      <c r="B13155" t="s">
        <v>3458</v>
      </c>
      <c r="C13155" t="s">
        <v>23490</v>
      </c>
      <c r="D13155" t="str">
        <f>HYPERLINK("https://rhld.insurance.arkansas.gov/NPILookup?Npi=1538258348","1538258348")</f>
        <v>1538258348</v>
      </c>
      <c r="E13155" t="s">
        <v>15245</v>
      </c>
    </row>
    <row r="13156" spans="1:5" x14ac:dyDescent="0.25">
      <c r="A13156" t="s">
        <v>2</v>
      </c>
      <c r="B13156" t="s">
        <v>3458</v>
      </c>
      <c r="C13156" t="s">
        <v>23490</v>
      </c>
      <c r="D13156" t="str">
        <f>HYPERLINK("https://rhld.insurance.arkansas.gov/NPILookup?Npi=1538276191","1538276191")</f>
        <v>1538276191</v>
      </c>
      <c r="E13156" t="s">
        <v>15246</v>
      </c>
    </row>
    <row r="13157" spans="1:5" x14ac:dyDescent="0.25">
      <c r="A13157" t="s">
        <v>2</v>
      </c>
      <c r="B13157" t="s">
        <v>3458</v>
      </c>
      <c r="C13157" t="s">
        <v>23490</v>
      </c>
      <c r="D13157" t="str">
        <f>HYPERLINK("https://rhld.insurance.arkansas.gov/NPILookup?Npi=1538279724","1538279724")</f>
        <v>1538279724</v>
      </c>
      <c r="E13157" t="s">
        <v>21743</v>
      </c>
    </row>
    <row r="13158" spans="1:5" x14ac:dyDescent="0.25">
      <c r="A13158" t="s">
        <v>2</v>
      </c>
      <c r="B13158" t="s">
        <v>3458</v>
      </c>
      <c r="C13158" t="s">
        <v>23490</v>
      </c>
      <c r="D13158" t="str">
        <f>HYPERLINK("https://rhld.insurance.arkansas.gov/NPILookup?Npi=1538327150","1538327150")</f>
        <v>1538327150</v>
      </c>
      <c r="E13158" t="s">
        <v>21079</v>
      </c>
    </row>
    <row r="13159" spans="1:5" x14ac:dyDescent="0.25">
      <c r="A13159" t="s">
        <v>2</v>
      </c>
      <c r="B13159" t="s">
        <v>3458</v>
      </c>
      <c r="C13159" t="s">
        <v>23490</v>
      </c>
      <c r="D13159" t="str">
        <f>HYPERLINK("https://rhld.insurance.arkansas.gov/NPILookup?Npi=1538330220","1538330220")</f>
        <v>1538330220</v>
      </c>
      <c r="E13159" t="s">
        <v>469</v>
      </c>
    </row>
    <row r="13160" spans="1:5" x14ac:dyDescent="0.25">
      <c r="A13160" t="s">
        <v>2</v>
      </c>
      <c r="B13160" t="s">
        <v>3458</v>
      </c>
      <c r="C13160" t="s">
        <v>23490</v>
      </c>
      <c r="D13160" t="str">
        <f>HYPERLINK("https://rhld.insurance.arkansas.gov/NPILookup?Npi=1538331962","1538331962")</f>
        <v>1538331962</v>
      </c>
      <c r="E13160" t="s">
        <v>1899</v>
      </c>
    </row>
    <row r="13161" spans="1:5" x14ac:dyDescent="0.25">
      <c r="A13161" t="s">
        <v>2</v>
      </c>
      <c r="B13161" t="s">
        <v>3458</v>
      </c>
      <c r="C13161" t="s">
        <v>23490</v>
      </c>
      <c r="D13161" t="str">
        <f>HYPERLINK("https://rhld.insurance.arkansas.gov/NPILookup?Npi=1538340682","1538340682")</f>
        <v>1538340682</v>
      </c>
      <c r="E13161" t="s">
        <v>1900</v>
      </c>
    </row>
    <row r="13162" spans="1:5" x14ac:dyDescent="0.25">
      <c r="A13162" t="s">
        <v>2</v>
      </c>
      <c r="B13162" t="s">
        <v>3458</v>
      </c>
      <c r="C13162" t="s">
        <v>23490</v>
      </c>
      <c r="D13162" t="str">
        <f>HYPERLINK("https://rhld.insurance.arkansas.gov/NPILookup?Npi=1538360060","1538360060")</f>
        <v>1538360060</v>
      </c>
      <c r="E13162" t="s">
        <v>3789</v>
      </c>
    </row>
    <row r="13163" spans="1:5" x14ac:dyDescent="0.25">
      <c r="A13163" t="s">
        <v>2</v>
      </c>
      <c r="B13163" t="s">
        <v>3458</v>
      </c>
      <c r="C13163" t="s">
        <v>23490</v>
      </c>
      <c r="D13163" t="str">
        <f>HYPERLINK("https://rhld.insurance.arkansas.gov/NPILookup?Npi=1538367610","1538367610")</f>
        <v>1538367610</v>
      </c>
      <c r="E13163" t="s">
        <v>3790</v>
      </c>
    </row>
    <row r="13164" spans="1:5" x14ac:dyDescent="0.25">
      <c r="A13164" t="s">
        <v>2</v>
      </c>
      <c r="B13164" t="s">
        <v>3458</v>
      </c>
      <c r="C13164" t="s">
        <v>23490</v>
      </c>
      <c r="D13164" t="str">
        <f>HYPERLINK("https://rhld.insurance.arkansas.gov/NPILookup?Npi=1538395967","1538395967")</f>
        <v>1538395967</v>
      </c>
      <c r="E13164" t="s">
        <v>1901</v>
      </c>
    </row>
    <row r="13165" spans="1:5" x14ac:dyDescent="0.25">
      <c r="A13165" t="s">
        <v>2</v>
      </c>
      <c r="B13165" t="s">
        <v>3458</v>
      </c>
      <c r="C13165" t="s">
        <v>23490</v>
      </c>
      <c r="D13165" t="str">
        <f>HYPERLINK("https://rhld.insurance.arkansas.gov/NPILookup?Npi=1538414420","1538414420")</f>
        <v>1538414420</v>
      </c>
      <c r="E13165" t="s">
        <v>11028</v>
      </c>
    </row>
    <row r="13166" spans="1:5" x14ac:dyDescent="0.25">
      <c r="A13166" t="s">
        <v>2</v>
      </c>
      <c r="B13166" t="s">
        <v>3458</v>
      </c>
      <c r="C13166" t="s">
        <v>23490</v>
      </c>
      <c r="D13166" t="str">
        <f>HYPERLINK("https://rhld.insurance.arkansas.gov/NPILookup?Npi=1538424833","1538424833")</f>
        <v>1538424833</v>
      </c>
      <c r="E13166" t="s">
        <v>15248</v>
      </c>
    </row>
    <row r="13167" spans="1:5" x14ac:dyDescent="0.25">
      <c r="A13167" t="s">
        <v>2</v>
      </c>
      <c r="B13167" t="s">
        <v>3458</v>
      </c>
      <c r="C13167" t="s">
        <v>23490</v>
      </c>
      <c r="D13167" t="str">
        <f>HYPERLINK("https://rhld.insurance.arkansas.gov/NPILookup?Npi=1538426333","1538426333")</f>
        <v>1538426333</v>
      </c>
      <c r="E13167" t="s">
        <v>13004</v>
      </c>
    </row>
    <row r="13168" spans="1:5" x14ac:dyDescent="0.25">
      <c r="A13168" t="s">
        <v>2</v>
      </c>
      <c r="B13168" t="s">
        <v>3458</v>
      </c>
      <c r="C13168" t="s">
        <v>23490</v>
      </c>
      <c r="D13168" t="str">
        <f>HYPERLINK("https://rhld.insurance.arkansas.gov/NPILookup?Npi=1538434295","1538434295")</f>
        <v>1538434295</v>
      </c>
      <c r="E13168" t="s">
        <v>1903</v>
      </c>
    </row>
    <row r="13169" spans="1:5" x14ac:dyDescent="0.25">
      <c r="A13169" t="s">
        <v>2</v>
      </c>
      <c r="B13169" t="s">
        <v>3458</v>
      </c>
      <c r="C13169" t="s">
        <v>23490</v>
      </c>
      <c r="D13169" t="str">
        <f>HYPERLINK("https://rhld.insurance.arkansas.gov/NPILookup?Npi=1538459425","1538459425")</f>
        <v>1538459425</v>
      </c>
      <c r="E13169" t="s">
        <v>1905</v>
      </c>
    </row>
    <row r="13170" spans="1:5" x14ac:dyDescent="0.25">
      <c r="A13170" t="s">
        <v>2</v>
      </c>
      <c r="B13170" t="s">
        <v>3458</v>
      </c>
      <c r="C13170" t="s">
        <v>23490</v>
      </c>
      <c r="D13170" t="str">
        <f>HYPERLINK("https://rhld.insurance.arkansas.gov/NPILookup?Npi=1538485941","1538485941")</f>
        <v>1538485941</v>
      </c>
      <c r="E13170" t="s">
        <v>1906</v>
      </c>
    </row>
    <row r="13171" spans="1:5" x14ac:dyDescent="0.25">
      <c r="A13171" t="s">
        <v>2</v>
      </c>
      <c r="B13171" t="s">
        <v>3458</v>
      </c>
      <c r="C13171" t="s">
        <v>23490</v>
      </c>
      <c r="D13171" t="str">
        <f>HYPERLINK("https://rhld.insurance.arkansas.gov/NPILookup?Npi=1538499454","1538499454")</f>
        <v>1538499454</v>
      </c>
      <c r="E13171" t="s">
        <v>15249</v>
      </c>
    </row>
    <row r="13172" spans="1:5" x14ac:dyDescent="0.25">
      <c r="A13172" t="s">
        <v>2</v>
      </c>
      <c r="B13172" t="s">
        <v>3458</v>
      </c>
      <c r="C13172" t="s">
        <v>23490</v>
      </c>
      <c r="D13172" t="str">
        <f>HYPERLINK("https://rhld.insurance.arkansas.gov/NPILookup?Npi=1538510490","1538510490")</f>
        <v>1538510490</v>
      </c>
      <c r="E13172" t="s">
        <v>11029</v>
      </c>
    </row>
    <row r="13173" spans="1:5" x14ac:dyDescent="0.25">
      <c r="A13173" t="s">
        <v>2</v>
      </c>
      <c r="B13173" t="s">
        <v>3458</v>
      </c>
      <c r="C13173" t="s">
        <v>23490</v>
      </c>
      <c r="D13173" t="str">
        <f>HYPERLINK("https://rhld.insurance.arkansas.gov/NPILookup?Npi=1538514419","1538514419")</f>
        <v>1538514419</v>
      </c>
      <c r="E13173" t="s">
        <v>13580</v>
      </c>
    </row>
    <row r="13174" spans="1:5" x14ac:dyDescent="0.25">
      <c r="A13174" t="s">
        <v>2</v>
      </c>
      <c r="B13174" t="s">
        <v>3458</v>
      </c>
      <c r="C13174" t="s">
        <v>23490</v>
      </c>
      <c r="D13174" t="str">
        <f>HYPERLINK("https://rhld.insurance.arkansas.gov/NPILookup?Npi=1538530316","1538530316")</f>
        <v>1538530316</v>
      </c>
      <c r="E13174" t="s">
        <v>8727</v>
      </c>
    </row>
    <row r="13175" spans="1:5" x14ac:dyDescent="0.25">
      <c r="A13175" t="s">
        <v>2</v>
      </c>
      <c r="B13175" t="s">
        <v>3458</v>
      </c>
      <c r="C13175" t="s">
        <v>23490</v>
      </c>
      <c r="D13175" t="str">
        <f>HYPERLINK("https://rhld.insurance.arkansas.gov/NPILookup?Npi=1538532809","1538532809")</f>
        <v>1538532809</v>
      </c>
      <c r="E13175" t="s">
        <v>15251</v>
      </c>
    </row>
    <row r="13176" spans="1:5" x14ac:dyDescent="0.25">
      <c r="A13176" t="s">
        <v>2</v>
      </c>
      <c r="B13176" t="s">
        <v>3458</v>
      </c>
      <c r="C13176" t="s">
        <v>23490</v>
      </c>
      <c r="D13176" t="str">
        <f>HYPERLINK("https://rhld.insurance.arkansas.gov/NPILookup?Npi=1538539325","1538539325")</f>
        <v>1538539325</v>
      </c>
      <c r="E13176" t="s">
        <v>15252</v>
      </c>
    </row>
    <row r="13177" spans="1:5" x14ac:dyDescent="0.25">
      <c r="A13177" t="s">
        <v>2</v>
      </c>
      <c r="B13177" t="s">
        <v>3458</v>
      </c>
      <c r="C13177" t="s">
        <v>23490</v>
      </c>
      <c r="D13177" t="str">
        <f>HYPERLINK("https://rhld.insurance.arkansas.gov/NPILookup?Npi=1538546874","1538546874")</f>
        <v>1538546874</v>
      </c>
      <c r="E13177" t="s">
        <v>1907</v>
      </c>
    </row>
    <row r="13178" spans="1:5" x14ac:dyDescent="0.25">
      <c r="A13178" t="s">
        <v>2</v>
      </c>
      <c r="B13178" t="s">
        <v>3458</v>
      </c>
      <c r="C13178" t="s">
        <v>23490</v>
      </c>
      <c r="D13178" t="str">
        <f>HYPERLINK("https://rhld.insurance.arkansas.gov/NPILookup?Npi=1538555248","1538555248")</f>
        <v>1538555248</v>
      </c>
      <c r="E13178" t="s">
        <v>13581</v>
      </c>
    </row>
    <row r="13179" spans="1:5" x14ac:dyDescent="0.25">
      <c r="A13179" t="s">
        <v>2</v>
      </c>
      <c r="B13179" t="s">
        <v>3458</v>
      </c>
      <c r="C13179" t="s">
        <v>23490</v>
      </c>
      <c r="D13179" t="str">
        <f>HYPERLINK("https://rhld.insurance.arkansas.gov/NPILookup?Npi=1538556634","1538556634")</f>
        <v>1538556634</v>
      </c>
      <c r="E13179" t="s">
        <v>13583</v>
      </c>
    </row>
    <row r="13180" spans="1:5" x14ac:dyDescent="0.25">
      <c r="A13180" t="s">
        <v>2</v>
      </c>
      <c r="B13180" t="s">
        <v>3458</v>
      </c>
      <c r="C13180" t="s">
        <v>23490</v>
      </c>
      <c r="D13180" t="str">
        <f>HYPERLINK("https://rhld.insurance.arkansas.gov/NPILookup?Npi=1538558812","1538558812")</f>
        <v>1538558812</v>
      </c>
      <c r="E13180" t="s">
        <v>1908</v>
      </c>
    </row>
    <row r="13181" spans="1:5" x14ac:dyDescent="0.25">
      <c r="A13181" t="s">
        <v>2</v>
      </c>
      <c r="B13181" t="s">
        <v>3458</v>
      </c>
      <c r="C13181" t="s">
        <v>23490</v>
      </c>
      <c r="D13181" t="str">
        <f>HYPERLINK("https://rhld.insurance.arkansas.gov/NPILookup?Npi=1538574199","1538574199")</f>
        <v>1538574199</v>
      </c>
      <c r="E13181" t="s">
        <v>1909</v>
      </c>
    </row>
    <row r="13182" spans="1:5" x14ac:dyDescent="0.25">
      <c r="A13182" t="s">
        <v>2</v>
      </c>
      <c r="B13182" t="s">
        <v>3458</v>
      </c>
      <c r="C13182" t="s">
        <v>23490</v>
      </c>
      <c r="D13182" t="str">
        <f>HYPERLINK("https://rhld.insurance.arkansas.gov/NPILookup?Npi=1538609920","1538609920")</f>
        <v>1538609920</v>
      </c>
      <c r="E13182" t="s">
        <v>11030</v>
      </c>
    </row>
    <row r="13183" spans="1:5" x14ac:dyDescent="0.25">
      <c r="A13183" t="s">
        <v>2</v>
      </c>
      <c r="B13183" t="s">
        <v>3458</v>
      </c>
      <c r="C13183" t="s">
        <v>23490</v>
      </c>
      <c r="D13183" t="str">
        <f>HYPERLINK("https://rhld.insurance.arkansas.gov/NPILookup?Npi=1538610316","1538610316")</f>
        <v>1538610316</v>
      </c>
      <c r="E13183" t="s">
        <v>15254</v>
      </c>
    </row>
    <row r="13184" spans="1:5" x14ac:dyDescent="0.25">
      <c r="A13184" t="s">
        <v>2</v>
      </c>
      <c r="B13184" t="s">
        <v>3458</v>
      </c>
      <c r="C13184" t="s">
        <v>23490</v>
      </c>
      <c r="D13184" t="str">
        <f>HYPERLINK("https://rhld.insurance.arkansas.gov/NPILookup?Npi=1538611975","1538611975")</f>
        <v>1538611975</v>
      </c>
      <c r="E13184" t="s">
        <v>12855</v>
      </c>
    </row>
    <row r="13185" spans="1:5" x14ac:dyDescent="0.25">
      <c r="A13185" t="s">
        <v>2</v>
      </c>
      <c r="B13185" t="s">
        <v>3458</v>
      </c>
      <c r="C13185" t="s">
        <v>23490</v>
      </c>
      <c r="D13185" t="str">
        <f>HYPERLINK("https://rhld.insurance.arkansas.gov/NPILookup?Npi=1538624580","1538624580")</f>
        <v>1538624580</v>
      </c>
      <c r="E13185" t="s">
        <v>15255</v>
      </c>
    </row>
    <row r="13186" spans="1:5" x14ac:dyDescent="0.25">
      <c r="A13186" t="s">
        <v>2</v>
      </c>
      <c r="B13186" t="s">
        <v>3458</v>
      </c>
      <c r="C13186" t="s">
        <v>23490</v>
      </c>
      <c r="D13186" t="str">
        <f>HYPERLINK("https://rhld.insurance.arkansas.gov/NPILookup?Npi=1538625900","1538625900")</f>
        <v>1538625900</v>
      </c>
      <c r="E13186" t="s">
        <v>18803</v>
      </c>
    </row>
    <row r="13187" spans="1:5" x14ac:dyDescent="0.25">
      <c r="A13187" t="s">
        <v>2</v>
      </c>
      <c r="B13187" t="s">
        <v>3458</v>
      </c>
      <c r="C13187" t="s">
        <v>23490</v>
      </c>
      <c r="D13187" t="str">
        <f>HYPERLINK("https://rhld.insurance.arkansas.gov/NPILookup?Npi=1538629035","1538629035")</f>
        <v>1538629035</v>
      </c>
      <c r="E13187" t="s">
        <v>21080</v>
      </c>
    </row>
    <row r="13188" spans="1:5" x14ac:dyDescent="0.25">
      <c r="A13188" t="s">
        <v>2</v>
      </c>
      <c r="B13188" t="s">
        <v>3458</v>
      </c>
      <c r="C13188" t="s">
        <v>23490</v>
      </c>
      <c r="D13188" t="str">
        <f>HYPERLINK("https://rhld.insurance.arkansas.gov/NPILookup?Npi=1538633995","1538633995")</f>
        <v>1538633995</v>
      </c>
      <c r="E13188" t="s">
        <v>13584</v>
      </c>
    </row>
    <row r="13189" spans="1:5" x14ac:dyDescent="0.25">
      <c r="A13189" t="s">
        <v>2</v>
      </c>
      <c r="B13189" t="s">
        <v>3458</v>
      </c>
      <c r="C13189" t="s">
        <v>23490</v>
      </c>
      <c r="D13189" t="str">
        <f>HYPERLINK("https://rhld.insurance.arkansas.gov/NPILookup?Npi=1538634837","1538634837")</f>
        <v>1538634837</v>
      </c>
      <c r="E13189" t="s">
        <v>18025</v>
      </c>
    </row>
    <row r="13190" spans="1:5" x14ac:dyDescent="0.25">
      <c r="A13190" t="s">
        <v>2</v>
      </c>
      <c r="B13190" t="s">
        <v>3458</v>
      </c>
      <c r="C13190" t="s">
        <v>23490</v>
      </c>
      <c r="D13190" t="str">
        <f>HYPERLINK("https://rhld.insurance.arkansas.gov/NPILookup?Npi=1538642053","1538642053")</f>
        <v>1538642053</v>
      </c>
      <c r="E13190" t="s">
        <v>18026</v>
      </c>
    </row>
    <row r="13191" spans="1:5" x14ac:dyDescent="0.25">
      <c r="A13191" t="s">
        <v>2</v>
      </c>
      <c r="B13191" t="s">
        <v>3458</v>
      </c>
      <c r="C13191" t="s">
        <v>23490</v>
      </c>
      <c r="D13191" t="str">
        <f>HYPERLINK("https://rhld.insurance.arkansas.gov/NPILookup?Npi=1538648258","1538648258")</f>
        <v>1538648258</v>
      </c>
      <c r="E13191" t="s">
        <v>13586</v>
      </c>
    </row>
    <row r="13192" spans="1:5" x14ac:dyDescent="0.25">
      <c r="A13192" t="s">
        <v>2</v>
      </c>
      <c r="B13192" t="s">
        <v>3458</v>
      </c>
      <c r="C13192" t="s">
        <v>23490</v>
      </c>
      <c r="D13192" t="str">
        <f>HYPERLINK("https://rhld.insurance.arkansas.gov/NPILookup?Npi=1538649231","1538649231")</f>
        <v>1538649231</v>
      </c>
      <c r="E13192" t="s">
        <v>13587</v>
      </c>
    </row>
    <row r="13193" spans="1:5" x14ac:dyDescent="0.25">
      <c r="A13193" t="s">
        <v>2</v>
      </c>
      <c r="B13193" t="s">
        <v>3458</v>
      </c>
      <c r="C13193" t="s">
        <v>23490</v>
      </c>
      <c r="D13193" t="str">
        <f>HYPERLINK("https://rhld.insurance.arkansas.gov/NPILookup?Npi=1538669189","1538669189")</f>
        <v>1538669189</v>
      </c>
      <c r="E13193" t="s">
        <v>21570</v>
      </c>
    </row>
    <row r="13194" spans="1:5" x14ac:dyDescent="0.25">
      <c r="A13194" t="s">
        <v>2</v>
      </c>
      <c r="B13194" t="s">
        <v>3458</v>
      </c>
      <c r="C13194" t="s">
        <v>23490</v>
      </c>
      <c r="D13194" t="str">
        <f>HYPERLINK("https://rhld.insurance.arkansas.gov/NPILookup?Npi=1538684170","1538684170")</f>
        <v>1538684170</v>
      </c>
      <c r="E13194" t="s">
        <v>20965</v>
      </c>
    </row>
    <row r="13195" spans="1:5" x14ac:dyDescent="0.25">
      <c r="A13195" t="s">
        <v>2</v>
      </c>
      <c r="B13195" t="s">
        <v>3458</v>
      </c>
      <c r="C13195" t="s">
        <v>23490</v>
      </c>
      <c r="D13195" t="str">
        <f>HYPERLINK("https://rhld.insurance.arkansas.gov/NPILookup?Npi=1538689203","1538689203")</f>
        <v>1538689203</v>
      </c>
      <c r="E13195" t="s">
        <v>11031</v>
      </c>
    </row>
    <row r="13196" spans="1:5" x14ac:dyDescent="0.25">
      <c r="A13196" t="s">
        <v>2</v>
      </c>
      <c r="B13196" t="s">
        <v>3458</v>
      </c>
      <c r="C13196" t="s">
        <v>23490</v>
      </c>
      <c r="D13196" t="str">
        <f>HYPERLINK("https://rhld.insurance.arkansas.gov/NPILookup?Npi=1538690342","1538690342")</f>
        <v>1538690342</v>
      </c>
      <c r="E13196" t="s">
        <v>11032</v>
      </c>
    </row>
    <row r="13197" spans="1:5" x14ac:dyDescent="0.25">
      <c r="A13197" t="s">
        <v>2</v>
      </c>
      <c r="B13197" t="s">
        <v>3458</v>
      </c>
      <c r="C13197" t="s">
        <v>23490</v>
      </c>
      <c r="D13197" t="str">
        <f>HYPERLINK("https://rhld.insurance.arkansas.gov/NPILookup?Npi=1538696497","1538696497")</f>
        <v>1538696497</v>
      </c>
      <c r="E13197" t="s">
        <v>11033</v>
      </c>
    </row>
    <row r="13198" spans="1:5" x14ac:dyDescent="0.25">
      <c r="A13198" t="s">
        <v>2</v>
      </c>
      <c r="B13198" t="s">
        <v>3458</v>
      </c>
      <c r="C13198" t="s">
        <v>23490</v>
      </c>
      <c r="D13198" t="str">
        <f>HYPERLINK("https://rhld.insurance.arkansas.gov/NPILookup?Npi=1538697586","1538697586")</f>
        <v>1538697586</v>
      </c>
      <c r="E13198" t="s">
        <v>4946</v>
      </c>
    </row>
    <row r="13199" spans="1:5" x14ac:dyDescent="0.25">
      <c r="A13199" t="s">
        <v>2</v>
      </c>
      <c r="B13199" t="s">
        <v>3458</v>
      </c>
      <c r="C13199" t="s">
        <v>23490</v>
      </c>
      <c r="D13199" t="str">
        <f>HYPERLINK("https://rhld.insurance.arkansas.gov/NPILookup?Npi=1538714738","1538714738")</f>
        <v>1538714738</v>
      </c>
      <c r="E13199" t="s">
        <v>19810</v>
      </c>
    </row>
    <row r="13200" spans="1:5" x14ac:dyDescent="0.25">
      <c r="A13200" t="s">
        <v>2</v>
      </c>
      <c r="B13200" t="s">
        <v>3458</v>
      </c>
      <c r="C13200" t="s">
        <v>23490</v>
      </c>
      <c r="D13200" t="str">
        <f>HYPERLINK("https://rhld.insurance.arkansas.gov/NPILookup?Npi=1538756754","1538756754")</f>
        <v>1538756754</v>
      </c>
      <c r="E13200" t="s">
        <v>18028</v>
      </c>
    </row>
    <row r="13201" spans="1:5" x14ac:dyDescent="0.25">
      <c r="A13201" t="s">
        <v>2</v>
      </c>
      <c r="B13201" t="s">
        <v>3458</v>
      </c>
      <c r="C13201" t="s">
        <v>23490</v>
      </c>
      <c r="D13201" t="str">
        <f>HYPERLINK("https://rhld.insurance.arkansas.gov/NPILookup?Npi=1538762737","1538762737")</f>
        <v>1538762737</v>
      </c>
      <c r="E13201" t="s">
        <v>18029</v>
      </c>
    </row>
    <row r="13202" spans="1:5" x14ac:dyDescent="0.25">
      <c r="A13202" t="s">
        <v>2</v>
      </c>
      <c r="B13202" t="s">
        <v>3458</v>
      </c>
      <c r="C13202" t="s">
        <v>23490</v>
      </c>
      <c r="D13202" t="str">
        <f>HYPERLINK("https://rhld.insurance.arkansas.gov/NPILookup?Npi=1538763677","1538763677")</f>
        <v>1538763677</v>
      </c>
      <c r="E13202" t="s">
        <v>18030</v>
      </c>
    </row>
    <row r="13203" spans="1:5" x14ac:dyDescent="0.25">
      <c r="A13203" t="s">
        <v>2</v>
      </c>
      <c r="B13203" t="s">
        <v>3458</v>
      </c>
      <c r="C13203" t="s">
        <v>23490</v>
      </c>
      <c r="D13203" t="str">
        <f>HYPERLINK("https://rhld.insurance.arkansas.gov/NPILookup?Npi=1538798087","1538798087")</f>
        <v>1538798087</v>
      </c>
      <c r="E13203" t="s">
        <v>21571</v>
      </c>
    </row>
    <row r="13204" spans="1:5" x14ac:dyDescent="0.25">
      <c r="A13204" t="s">
        <v>2</v>
      </c>
      <c r="B13204" t="s">
        <v>3458</v>
      </c>
      <c r="C13204" t="s">
        <v>23490</v>
      </c>
      <c r="D13204" t="str">
        <f>HYPERLINK("https://rhld.insurance.arkansas.gov/NPILookup?Npi=1538801741","1538801741")</f>
        <v>1538801741</v>
      </c>
      <c r="E13204" t="s">
        <v>19811</v>
      </c>
    </row>
    <row r="13205" spans="1:5" x14ac:dyDescent="0.25">
      <c r="A13205" t="s">
        <v>2</v>
      </c>
      <c r="B13205" t="s">
        <v>3458</v>
      </c>
      <c r="C13205" t="s">
        <v>23490</v>
      </c>
      <c r="D13205" t="str">
        <f>HYPERLINK("https://rhld.insurance.arkansas.gov/NPILookup?Npi=1538818018","1538818018")</f>
        <v>1538818018</v>
      </c>
      <c r="E13205" t="s">
        <v>20967</v>
      </c>
    </row>
    <row r="13206" spans="1:5" x14ac:dyDescent="0.25">
      <c r="A13206" t="s">
        <v>2</v>
      </c>
      <c r="B13206" t="s">
        <v>3458</v>
      </c>
      <c r="C13206" t="s">
        <v>23490</v>
      </c>
      <c r="D13206" t="str">
        <f>HYPERLINK("https://rhld.insurance.arkansas.gov/NPILookup?Npi=1538825443","1538825443")</f>
        <v>1538825443</v>
      </c>
      <c r="E13206" t="s">
        <v>19812</v>
      </c>
    </row>
    <row r="13207" spans="1:5" x14ac:dyDescent="0.25">
      <c r="A13207" t="s">
        <v>2</v>
      </c>
      <c r="B13207" t="s">
        <v>3458</v>
      </c>
      <c r="C13207" t="s">
        <v>23490</v>
      </c>
      <c r="D13207" t="str">
        <f>HYPERLINK("https://rhld.insurance.arkansas.gov/NPILookup?Npi=1538896196","1538896196")</f>
        <v>1538896196</v>
      </c>
      <c r="E13207" t="s">
        <v>21574</v>
      </c>
    </row>
    <row r="13208" spans="1:5" x14ac:dyDescent="0.25">
      <c r="A13208" t="s">
        <v>2</v>
      </c>
      <c r="B13208" t="s">
        <v>3458</v>
      </c>
      <c r="C13208" t="s">
        <v>8427</v>
      </c>
      <c r="D13208" t="str">
        <f>HYPERLINK("https://rhld.insurance.arkansas.gov/NPILookup?Npi=1538948484","1538948484")</f>
        <v>1538948484</v>
      </c>
      <c r="E13208" t="s">
        <v>22953</v>
      </c>
    </row>
    <row r="13209" spans="1:5" x14ac:dyDescent="0.25">
      <c r="A13209" t="s">
        <v>2</v>
      </c>
      <c r="B13209" t="s">
        <v>3458</v>
      </c>
      <c r="C13209" t="s">
        <v>23490</v>
      </c>
      <c r="D13209" t="str">
        <f>HYPERLINK("https://rhld.insurance.arkansas.gov/NPILookup?Npi=1548203664","1548203664")</f>
        <v>1548203664</v>
      </c>
      <c r="E13209" t="s">
        <v>1910</v>
      </c>
    </row>
    <row r="13210" spans="1:5" x14ac:dyDescent="0.25">
      <c r="A13210" t="s">
        <v>2</v>
      </c>
      <c r="B13210" t="s">
        <v>3458</v>
      </c>
      <c r="C13210" t="s">
        <v>23490</v>
      </c>
      <c r="D13210" t="str">
        <f>HYPERLINK("https://rhld.insurance.arkansas.gov/NPILookup?Npi=1548204654","1548204654")</f>
        <v>1548204654</v>
      </c>
      <c r="E13210" t="s">
        <v>1911</v>
      </c>
    </row>
    <row r="13211" spans="1:5" x14ac:dyDescent="0.25">
      <c r="A13211" t="s">
        <v>2</v>
      </c>
      <c r="B13211" t="s">
        <v>3458</v>
      </c>
      <c r="C13211" t="s">
        <v>23490</v>
      </c>
      <c r="D13211" t="str">
        <f>HYPERLINK("https://rhld.insurance.arkansas.gov/NPILookup?Npi=1548207905","1548207905")</f>
        <v>1548207905</v>
      </c>
      <c r="E13211" t="s">
        <v>1912</v>
      </c>
    </row>
    <row r="13212" spans="1:5" x14ac:dyDescent="0.25">
      <c r="A13212" t="s">
        <v>2</v>
      </c>
      <c r="B13212" t="s">
        <v>3458</v>
      </c>
      <c r="C13212" t="s">
        <v>23490</v>
      </c>
      <c r="D13212" t="str">
        <f>HYPERLINK("https://rhld.insurance.arkansas.gov/NPILookup?Npi=1548210172","1548210172")</f>
        <v>1548210172</v>
      </c>
      <c r="E13212" t="s">
        <v>1913</v>
      </c>
    </row>
    <row r="13213" spans="1:5" x14ac:dyDescent="0.25">
      <c r="A13213" t="s">
        <v>2</v>
      </c>
      <c r="B13213" t="s">
        <v>3458</v>
      </c>
      <c r="C13213" t="s">
        <v>23490</v>
      </c>
      <c r="D13213" t="str">
        <f>HYPERLINK("https://rhld.insurance.arkansas.gov/NPILookup?Npi=1548226863","1548226863")</f>
        <v>1548226863</v>
      </c>
      <c r="E13213" t="s">
        <v>1915</v>
      </c>
    </row>
    <row r="13214" spans="1:5" x14ac:dyDescent="0.25">
      <c r="A13214" t="s">
        <v>2</v>
      </c>
      <c r="B13214" t="s">
        <v>3458</v>
      </c>
      <c r="C13214" t="s">
        <v>23490</v>
      </c>
      <c r="D13214" t="str">
        <f>HYPERLINK("https://rhld.insurance.arkansas.gov/NPILookup?Npi=1548227481","1548227481")</f>
        <v>1548227481</v>
      </c>
      <c r="E13214" t="s">
        <v>1916</v>
      </c>
    </row>
    <row r="13215" spans="1:5" x14ac:dyDescent="0.25">
      <c r="A13215" t="s">
        <v>2</v>
      </c>
      <c r="B13215" t="s">
        <v>3458</v>
      </c>
      <c r="C13215" t="s">
        <v>23490</v>
      </c>
      <c r="D13215" t="str">
        <f>HYPERLINK("https://rhld.insurance.arkansas.gov/NPILookup?Npi=1548230899","1548230899")</f>
        <v>1548230899</v>
      </c>
      <c r="E13215" t="s">
        <v>1834</v>
      </c>
    </row>
    <row r="13216" spans="1:5" x14ac:dyDescent="0.25">
      <c r="A13216" t="s">
        <v>2</v>
      </c>
      <c r="B13216" t="s">
        <v>3458</v>
      </c>
      <c r="C13216" t="s">
        <v>23490</v>
      </c>
      <c r="D13216" t="str">
        <f>HYPERLINK("https://rhld.insurance.arkansas.gov/NPILookup?Npi=1548242894","1548242894")</f>
        <v>1548242894</v>
      </c>
      <c r="E13216" t="s">
        <v>15873</v>
      </c>
    </row>
    <row r="13217" spans="1:5" x14ac:dyDescent="0.25">
      <c r="A13217" t="s">
        <v>2</v>
      </c>
      <c r="B13217" t="s">
        <v>3458</v>
      </c>
      <c r="C13217" t="s">
        <v>23490</v>
      </c>
      <c r="D13217" t="str">
        <f>HYPERLINK("https://rhld.insurance.arkansas.gov/NPILookup?Npi=1548246630","1548246630")</f>
        <v>1548246630</v>
      </c>
      <c r="E13217" t="s">
        <v>11034</v>
      </c>
    </row>
    <row r="13218" spans="1:5" x14ac:dyDescent="0.25">
      <c r="A13218" t="s">
        <v>2</v>
      </c>
      <c r="B13218" t="s">
        <v>3458</v>
      </c>
      <c r="C13218" t="s">
        <v>23490</v>
      </c>
      <c r="D13218" t="str">
        <f>HYPERLINK("https://rhld.insurance.arkansas.gov/NPILookup?Npi=1548249196","1548249196")</f>
        <v>1548249196</v>
      </c>
      <c r="E13218" t="s">
        <v>1917</v>
      </c>
    </row>
    <row r="13219" spans="1:5" x14ac:dyDescent="0.25">
      <c r="A13219" t="s">
        <v>2</v>
      </c>
      <c r="B13219" t="s">
        <v>3458</v>
      </c>
      <c r="C13219" t="s">
        <v>23490</v>
      </c>
      <c r="D13219" t="str">
        <f>HYPERLINK("https://rhld.insurance.arkansas.gov/NPILookup?Npi=1548258361","1548258361")</f>
        <v>1548258361</v>
      </c>
      <c r="E13219" t="s">
        <v>1918</v>
      </c>
    </row>
    <row r="13220" spans="1:5" x14ac:dyDescent="0.25">
      <c r="A13220" t="s">
        <v>2</v>
      </c>
      <c r="B13220" t="s">
        <v>3458</v>
      </c>
      <c r="C13220" t="s">
        <v>23490</v>
      </c>
      <c r="D13220" t="str">
        <f>HYPERLINK("https://rhld.insurance.arkansas.gov/NPILookup?Npi=1548263296","1548263296")</f>
        <v>1548263296</v>
      </c>
      <c r="E13220" t="s">
        <v>1919</v>
      </c>
    </row>
    <row r="13221" spans="1:5" x14ac:dyDescent="0.25">
      <c r="A13221" t="s">
        <v>2</v>
      </c>
      <c r="B13221" t="s">
        <v>3458</v>
      </c>
      <c r="C13221" t="s">
        <v>23490</v>
      </c>
      <c r="D13221" t="str">
        <f>HYPERLINK("https://rhld.insurance.arkansas.gov/NPILookup?Npi=1548291420","1548291420")</f>
        <v>1548291420</v>
      </c>
      <c r="E13221" t="s">
        <v>1921</v>
      </c>
    </row>
    <row r="13222" spans="1:5" x14ac:dyDescent="0.25">
      <c r="A13222" t="s">
        <v>2</v>
      </c>
      <c r="B13222" t="s">
        <v>3458</v>
      </c>
      <c r="C13222" t="s">
        <v>23490</v>
      </c>
      <c r="D13222" t="str">
        <f>HYPERLINK("https://rhld.insurance.arkansas.gov/NPILookup?Npi=1548303381","1548303381")</f>
        <v>1548303381</v>
      </c>
      <c r="E13222" t="s">
        <v>8728</v>
      </c>
    </row>
    <row r="13223" spans="1:5" x14ac:dyDescent="0.25">
      <c r="A13223" t="s">
        <v>2</v>
      </c>
      <c r="B13223" t="s">
        <v>3458</v>
      </c>
      <c r="C13223" t="s">
        <v>23490</v>
      </c>
      <c r="D13223" t="str">
        <f>HYPERLINK("https://rhld.insurance.arkansas.gov/NPILookup?Npi=1548327950","1548327950")</f>
        <v>1548327950</v>
      </c>
      <c r="E13223" t="s">
        <v>1924</v>
      </c>
    </row>
    <row r="13224" spans="1:5" x14ac:dyDescent="0.25">
      <c r="A13224" t="s">
        <v>2</v>
      </c>
      <c r="B13224" t="s">
        <v>3458</v>
      </c>
      <c r="C13224" t="s">
        <v>23490</v>
      </c>
      <c r="D13224" t="str">
        <f>HYPERLINK("https://rhld.insurance.arkansas.gov/NPILookup?Npi=1548329857","1548329857")</f>
        <v>1548329857</v>
      </c>
      <c r="E13224" t="s">
        <v>1925</v>
      </c>
    </row>
    <row r="13225" spans="1:5" x14ac:dyDescent="0.25">
      <c r="A13225" t="s">
        <v>2</v>
      </c>
      <c r="B13225" t="s">
        <v>3458</v>
      </c>
      <c r="C13225" t="s">
        <v>23490</v>
      </c>
      <c r="D13225" t="str">
        <f>HYPERLINK("https://rhld.insurance.arkansas.gov/NPILookup?Npi=1548334337","1548334337")</f>
        <v>1548334337</v>
      </c>
      <c r="E13225" t="s">
        <v>1926</v>
      </c>
    </row>
    <row r="13226" spans="1:5" x14ac:dyDescent="0.25">
      <c r="A13226" t="s">
        <v>2</v>
      </c>
      <c r="B13226" t="s">
        <v>3458</v>
      </c>
      <c r="C13226" t="s">
        <v>23490</v>
      </c>
      <c r="D13226" t="str">
        <f>HYPERLINK("https://rhld.insurance.arkansas.gov/NPILookup?Npi=1548354194","1548354194")</f>
        <v>1548354194</v>
      </c>
      <c r="E13226" t="s">
        <v>1928</v>
      </c>
    </row>
    <row r="13227" spans="1:5" x14ac:dyDescent="0.25">
      <c r="A13227" t="s">
        <v>2</v>
      </c>
      <c r="B13227" t="s">
        <v>3458</v>
      </c>
      <c r="C13227" t="s">
        <v>23490</v>
      </c>
      <c r="D13227" t="str">
        <f>HYPERLINK("https://rhld.insurance.arkansas.gov/NPILookup?Npi=1548360753","1548360753")</f>
        <v>1548360753</v>
      </c>
      <c r="E13227" t="s">
        <v>3791</v>
      </c>
    </row>
    <row r="13228" spans="1:5" x14ac:dyDescent="0.25">
      <c r="A13228" t="s">
        <v>2</v>
      </c>
      <c r="B13228" t="s">
        <v>3458</v>
      </c>
      <c r="C13228" t="s">
        <v>23490</v>
      </c>
      <c r="D13228" t="str">
        <f>HYPERLINK("https://rhld.insurance.arkansas.gov/NPILookup?Npi=1548366354","1548366354")</f>
        <v>1548366354</v>
      </c>
      <c r="E13228" t="s">
        <v>1930</v>
      </c>
    </row>
    <row r="13229" spans="1:5" x14ac:dyDescent="0.25">
      <c r="A13229" t="s">
        <v>2</v>
      </c>
      <c r="B13229" t="s">
        <v>3458</v>
      </c>
      <c r="C13229" t="s">
        <v>23490</v>
      </c>
      <c r="D13229" t="str">
        <f>HYPERLINK("https://rhld.insurance.arkansas.gov/NPILookup?Npi=1548373947","1548373947")</f>
        <v>1548373947</v>
      </c>
      <c r="E13229" t="s">
        <v>1931</v>
      </c>
    </row>
    <row r="13230" spans="1:5" x14ac:dyDescent="0.25">
      <c r="A13230" t="s">
        <v>2</v>
      </c>
      <c r="B13230" t="s">
        <v>3458</v>
      </c>
      <c r="C13230" t="s">
        <v>23490</v>
      </c>
      <c r="D13230" t="str">
        <f>HYPERLINK("https://rhld.insurance.arkansas.gov/NPILookup?Npi=1548398498","1548398498")</f>
        <v>1548398498</v>
      </c>
      <c r="E13230" t="s">
        <v>1932</v>
      </c>
    </row>
    <row r="13231" spans="1:5" x14ac:dyDescent="0.25">
      <c r="A13231" t="s">
        <v>2</v>
      </c>
      <c r="B13231" t="s">
        <v>3458</v>
      </c>
      <c r="C13231" t="s">
        <v>23490</v>
      </c>
      <c r="D13231" t="str">
        <f>HYPERLINK("https://rhld.insurance.arkansas.gov/NPILookup?Npi=1548418767","1548418767")</f>
        <v>1548418767</v>
      </c>
      <c r="E13231" t="s">
        <v>12777</v>
      </c>
    </row>
    <row r="13232" spans="1:5" x14ac:dyDescent="0.25">
      <c r="A13232" t="s">
        <v>2</v>
      </c>
      <c r="B13232" t="s">
        <v>3458</v>
      </c>
      <c r="C13232" t="s">
        <v>23490</v>
      </c>
      <c r="D13232" t="str">
        <f>HYPERLINK("https://rhld.insurance.arkansas.gov/NPILookup?Npi=1548443393","1548443393")</f>
        <v>1548443393</v>
      </c>
      <c r="E13232" t="s">
        <v>1934</v>
      </c>
    </row>
    <row r="13233" spans="1:5" x14ac:dyDescent="0.25">
      <c r="A13233" t="s">
        <v>2</v>
      </c>
      <c r="B13233" t="s">
        <v>3458</v>
      </c>
      <c r="C13233" t="s">
        <v>23490</v>
      </c>
      <c r="D13233" t="str">
        <f>HYPERLINK("https://rhld.insurance.arkansas.gov/NPILookup?Npi=1548464936","1548464936")</f>
        <v>1548464936</v>
      </c>
      <c r="E13233" t="s">
        <v>1935</v>
      </c>
    </row>
    <row r="13234" spans="1:5" x14ac:dyDescent="0.25">
      <c r="A13234" t="s">
        <v>2</v>
      </c>
      <c r="B13234" t="s">
        <v>3458</v>
      </c>
      <c r="C13234" t="s">
        <v>23490</v>
      </c>
      <c r="D13234" t="str">
        <f>HYPERLINK("https://rhld.insurance.arkansas.gov/NPILookup?Npi=1548464993","1548464993")</f>
        <v>1548464993</v>
      </c>
      <c r="E13234" t="s">
        <v>1936</v>
      </c>
    </row>
    <row r="13235" spans="1:5" x14ac:dyDescent="0.25">
      <c r="A13235" t="s">
        <v>2</v>
      </c>
      <c r="B13235" t="s">
        <v>3458</v>
      </c>
      <c r="C13235" t="s">
        <v>23490</v>
      </c>
      <c r="D13235" t="str">
        <f>HYPERLINK("https://rhld.insurance.arkansas.gov/NPILookup?Npi=1548471832","1548471832")</f>
        <v>1548471832</v>
      </c>
      <c r="E13235" t="s">
        <v>3792</v>
      </c>
    </row>
    <row r="13236" spans="1:5" x14ac:dyDescent="0.25">
      <c r="A13236" t="s">
        <v>2</v>
      </c>
      <c r="B13236" t="s">
        <v>3458</v>
      </c>
      <c r="C13236" t="s">
        <v>23490</v>
      </c>
      <c r="D13236" t="str">
        <f>HYPERLINK("https://rhld.insurance.arkansas.gov/NPILookup?Npi=1548476252","1548476252")</f>
        <v>1548476252</v>
      </c>
      <c r="E13236" t="s">
        <v>1937</v>
      </c>
    </row>
    <row r="13237" spans="1:5" x14ac:dyDescent="0.25">
      <c r="A13237" t="s">
        <v>2</v>
      </c>
      <c r="B13237" t="s">
        <v>3458</v>
      </c>
      <c r="C13237" t="s">
        <v>23490</v>
      </c>
      <c r="D13237" t="str">
        <f>HYPERLINK("https://rhld.insurance.arkansas.gov/NPILookup?Npi=1548500770","1548500770")</f>
        <v>1548500770</v>
      </c>
      <c r="E13237" t="s">
        <v>1939</v>
      </c>
    </row>
    <row r="13238" spans="1:5" x14ac:dyDescent="0.25">
      <c r="A13238" t="s">
        <v>2</v>
      </c>
      <c r="B13238" t="s">
        <v>3458</v>
      </c>
      <c r="C13238" t="s">
        <v>23490</v>
      </c>
      <c r="D13238" t="str">
        <f>HYPERLINK("https://rhld.insurance.arkansas.gov/NPILookup?Npi=1548524861","1548524861")</f>
        <v>1548524861</v>
      </c>
      <c r="E13238" t="s">
        <v>11036</v>
      </c>
    </row>
    <row r="13239" spans="1:5" x14ac:dyDescent="0.25">
      <c r="A13239" t="s">
        <v>2</v>
      </c>
      <c r="B13239" t="s">
        <v>3458</v>
      </c>
      <c r="C13239" t="s">
        <v>23490</v>
      </c>
      <c r="D13239" t="str">
        <f>HYPERLINK("https://rhld.insurance.arkansas.gov/NPILookup?Npi=1548540115","1548540115")</f>
        <v>1548540115</v>
      </c>
      <c r="E13239" t="s">
        <v>1940</v>
      </c>
    </row>
    <row r="13240" spans="1:5" x14ac:dyDescent="0.25">
      <c r="A13240" t="s">
        <v>2</v>
      </c>
      <c r="B13240" t="s">
        <v>3458</v>
      </c>
      <c r="C13240" t="s">
        <v>23490</v>
      </c>
      <c r="D13240" t="str">
        <f>HYPERLINK("https://rhld.insurance.arkansas.gov/NPILookup?Npi=1548540396","1548540396")</f>
        <v>1548540396</v>
      </c>
      <c r="E13240" t="s">
        <v>17435</v>
      </c>
    </row>
    <row r="13241" spans="1:5" x14ac:dyDescent="0.25">
      <c r="A13241" t="s">
        <v>2</v>
      </c>
      <c r="B13241" t="s">
        <v>3458</v>
      </c>
      <c r="C13241" t="s">
        <v>23490</v>
      </c>
      <c r="D13241" t="str">
        <f>HYPERLINK("https://rhld.insurance.arkansas.gov/NPILookup?Npi=1548546336","1548546336")</f>
        <v>1548546336</v>
      </c>
      <c r="E13241" t="s">
        <v>19818</v>
      </c>
    </row>
    <row r="13242" spans="1:5" x14ac:dyDescent="0.25">
      <c r="A13242" t="s">
        <v>2</v>
      </c>
      <c r="B13242" t="s">
        <v>3458</v>
      </c>
      <c r="C13242" t="s">
        <v>23490</v>
      </c>
      <c r="D13242" t="str">
        <f>HYPERLINK("https://rhld.insurance.arkansas.gov/NPILookup?Npi=1548550015","1548550015")</f>
        <v>1548550015</v>
      </c>
      <c r="E13242" t="s">
        <v>1941</v>
      </c>
    </row>
    <row r="13243" spans="1:5" x14ac:dyDescent="0.25">
      <c r="A13243" t="s">
        <v>2</v>
      </c>
      <c r="B13243" t="s">
        <v>3458</v>
      </c>
      <c r="C13243" t="s">
        <v>23490</v>
      </c>
      <c r="D13243" t="str">
        <f>HYPERLINK("https://rhld.insurance.arkansas.gov/NPILookup?Npi=1548555378","1548555378")</f>
        <v>1548555378</v>
      </c>
      <c r="E13243" t="s">
        <v>1942</v>
      </c>
    </row>
    <row r="13244" spans="1:5" x14ac:dyDescent="0.25">
      <c r="A13244" t="s">
        <v>2</v>
      </c>
      <c r="B13244" t="s">
        <v>3458</v>
      </c>
      <c r="C13244" t="s">
        <v>23490</v>
      </c>
      <c r="D13244" t="str">
        <f>HYPERLINK("https://rhld.insurance.arkansas.gov/NPILookup?Npi=1548569551","1548569551")</f>
        <v>1548569551</v>
      </c>
      <c r="E13244" t="s">
        <v>1943</v>
      </c>
    </row>
    <row r="13245" spans="1:5" x14ac:dyDescent="0.25">
      <c r="A13245" t="s">
        <v>2</v>
      </c>
      <c r="B13245" t="s">
        <v>3458</v>
      </c>
      <c r="C13245" t="s">
        <v>23490</v>
      </c>
      <c r="D13245" t="str">
        <f>HYPERLINK("https://rhld.insurance.arkansas.gov/NPILookup?Npi=1548572027","1548572027")</f>
        <v>1548572027</v>
      </c>
      <c r="E13245" t="s">
        <v>3793</v>
      </c>
    </row>
    <row r="13246" spans="1:5" x14ac:dyDescent="0.25">
      <c r="A13246" t="s">
        <v>2</v>
      </c>
      <c r="B13246" t="s">
        <v>3458</v>
      </c>
      <c r="C13246" t="s">
        <v>23490</v>
      </c>
      <c r="D13246" t="str">
        <f>HYPERLINK("https://rhld.insurance.arkansas.gov/NPILookup?Npi=1548579857","1548579857")</f>
        <v>1548579857</v>
      </c>
      <c r="E13246" t="s">
        <v>15256</v>
      </c>
    </row>
    <row r="13247" spans="1:5" x14ac:dyDescent="0.25">
      <c r="A13247" t="s">
        <v>2</v>
      </c>
      <c r="B13247" t="s">
        <v>3458</v>
      </c>
      <c r="C13247" t="s">
        <v>23490</v>
      </c>
      <c r="D13247" t="str">
        <f>HYPERLINK("https://rhld.insurance.arkansas.gov/NPILookup?Npi=1548580236","1548580236")</f>
        <v>1548580236</v>
      </c>
      <c r="E13247" t="s">
        <v>1944</v>
      </c>
    </row>
    <row r="13248" spans="1:5" x14ac:dyDescent="0.25">
      <c r="A13248" t="s">
        <v>2</v>
      </c>
      <c r="B13248" t="s">
        <v>3458</v>
      </c>
      <c r="C13248" t="s">
        <v>23490</v>
      </c>
      <c r="D13248" t="str">
        <f>HYPERLINK("https://rhld.insurance.arkansas.gov/NPILookup?Npi=1548605256","1548605256")</f>
        <v>1548605256</v>
      </c>
      <c r="E13248" t="s">
        <v>11037</v>
      </c>
    </row>
    <row r="13249" spans="1:5" x14ac:dyDescent="0.25">
      <c r="A13249" t="s">
        <v>2</v>
      </c>
      <c r="B13249" t="s">
        <v>3458</v>
      </c>
      <c r="C13249" t="s">
        <v>23490</v>
      </c>
      <c r="D13249" t="str">
        <f>HYPERLINK("https://rhld.insurance.arkansas.gov/NPILookup?Npi=1548608128","1548608128")</f>
        <v>1548608128</v>
      </c>
      <c r="E13249" t="s">
        <v>15257</v>
      </c>
    </row>
    <row r="13250" spans="1:5" x14ac:dyDescent="0.25">
      <c r="A13250" t="s">
        <v>2</v>
      </c>
      <c r="B13250" t="s">
        <v>3458</v>
      </c>
      <c r="C13250" t="s">
        <v>23490</v>
      </c>
      <c r="D13250" t="str">
        <f>HYPERLINK("https://rhld.insurance.arkansas.gov/NPILookup?Npi=1548613029","1548613029")</f>
        <v>1548613029</v>
      </c>
      <c r="E13250" t="s">
        <v>11038</v>
      </c>
    </row>
    <row r="13251" spans="1:5" x14ac:dyDescent="0.25">
      <c r="A13251" t="s">
        <v>2</v>
      </c>
      <c r="B13251" t="s">
        <v>3458</v>
      </c>
      <c r="C13251" t="s">
        <v>23490</v>
      </c>
      <c r="D13251" t="str">
        <f>HYPERLINK("https://rhld.insurance.arkansas.gov/NPILookup?Npi=1548614340","1548614340")</f>
        <v>1548614340</v>
      </c>
      <c r="E13251" t="s">
        <v>12856</v>
      </c>
    </row>
    <row r="13252" spans="1:5" x14ac:dyDescent="0.25">
      <c r="A13252" t="s">
        <v>2</v>
      </c>
      <c r="B13252" t="s">
        <v>3458</v>
      </c>
      <c r="C13252" t="s">
        <v>23490</v>
      </c>
      <c r="D13252" t="str">
        <f>HYPERLINK("https://rhld.insurance.arkansas.gov/NPILookup?Npi=1548626310","1548626310")</f>
        <v>1548626310</v>
      </c>
      <c r="E13252" t="s">
        <v>15259</v>
      </c>
    </row>
    <row r="13253" spans="1:5" x14ac:dyDescent="0.25">
      <c r="A13253" t="s">
        <v>2</v>
      </c>
      <c r="B13253" t="s">
        <v>3458</v>
      </c>
      <c r="C13253" t="s">
        <v>23490</v>
      </c>
      <c r="D13253" t="str">
        <f>HYPERLINK("https://rhld.insurance.arkansas.gov/NPILookup?Npi=1548629199","1548629199")</f>
        <v>1548629199</v>
      </c>
      <c r="E13253" t="s">
        <v>11039</v>
      </c>
    </row>
    <row r="13254" spans="1:5" x14ac:dyDescent="0.25">
      <c r="A13254" t="s">
        <v>2</v>
      </c>
      <c r="B13254" t="s">
        <v>3458</v>
      </c>
      <c r="C13254" t="s">
        <v>23490</v>
      </c>
      <c r="D13254" t="str">
        <f>HYPERLINK("https://rhld.insurance.arkansas.gov/NPILookup?Npi=1548657406","1548657406")</f>
        <v>1548657406</v>
      </c>
      <c r="E13254" t="s">
        <v>13590</v>
      </c>
    </row>
    <row r="13255" spans="1:5" x14ac:dyDescent="0.25">
      <c r="A13255" t="s">
        <v>2</v>
      </c>
      <c r="B13255" t="s">
        <v>3458</v>
      </c>
      <c r="C13255" t="s">
        <v>23490</v>
      </c>
      <c r="D13255" t="str">
        <f>HYPERLINK("https://rhld.insurance.arkansas.gov/NPILookup?Npi=1548665607","1548665607")</f>
        <v>1548665607</v>
      </c>
      <c r="E13255" t="s">
        <v>15260</v>
      </c>
    </row>
    <row r="13256" spans="1:5" x14ac:dyDescent="0.25">
      <c r="A13256" t="s">
        <v>2</v>
      </c>
      <c r="B13256" t="s">
        <v>3458</v>
      </c>
      <c r="C13256" t="s">
        <v>23490</v>
      </c>
      <c r="D13256" t="str">
        <f>HYPERLINK("https://rhld.insurance.arkansas.gov/NPILookup?Npi=1548669823","1548669823")</f>
        <v>1548669823</v>
      </c>
      <c r="E13256" t="s">
        <v>8731</v>
      </c>
    </row>
    <row r="13257" spans="1:5" x14ac:dyDescent="0.25">
      <c r="A13257" t="s">
        <v>2</v>
      </c>
      <c r="B13257" t="s">
        <v>3458</v>
      </c>
      <c r="C13257" t="s">
        <v>23490</v>
      </c>
      <c r="D13257" t="str">
        <f>HYPERLINK("https://rhld.insurance.arkansas.gov/NPILookup?Npi=1548671415","1548671415")</f>
        <v>1548671415</v>
      </c>
      <c r="E13257" t="s">
        <v>11040</v>
      </c>
    </row>
    <row r="13258" spans="1:5" x14ac:dyDescent="0.25">
      <c r="A13258" t="s">
        <v>2</v>
      </c>
      <c r="B13258" t="s">
        <v>3458</v>
      </c>
      <c r="C13258" t="s">
        <v>23490</v>
      </c>
      <c r="D13258" t="str">
        <f>HYPERLINK("https://rhld.insurance.arkansas.gov/NPILookup?Npi=1548675028","1548675028")</f>
        <v>1548675028</v>
      </c>
      <c r="E13258" t="s">
        <v>11041</v>
      </c>
    </row>
    <row r="13259" spans="1:5" x14ac:dyDescent="0.25">
      <c r="A13259" t="s">
        <v>2</v>
      </c>
      <c r="B13259" t="s">
        <v>3458</v>
      </c>
      <c r="C13259" t="s">
        <v>23490</v>
      </c>
      <c r="D13259" t="str">
        <f>HYPERLINK("https://rhld.insurance.arkansas.gov/NPILookup?Npi=1548681430","1548681430")</f>
        <v>1548681430</v>
      </c>
      <c r="E13259" t="s">
        <v>8732</v>
      </c>
    </row>
    <row r="13260" spans="1:5" x14ac:dyDescent="0.25">
      <c r="A13260" t="s">
        <v>2</v>
      </c>
      <c r="B13260" t="s">
        <v>3458</v>
      </c>
      <c r="C13260" t="s">
        <v>23490</v>
      </c>
      <c r="D13260" t="str">
        <f>HYPERLINK("https://rhld.insurance.arkansas.gov/NPILookup?Npi=1548683790","1548683790")</f>
        <v>1548683790</v>
      </c>
      <c r="E13260" t="s">
        <v>15261</v>
      </c>
    </row>
    <row r="13261" spans="1:5" x14ac:dyDescent="0.25">
      <c r="A13261" t="s">
        <v>2</v>
      </c>
      <c r="B13261" t="s">
        <v>3458</v>
      </c>
      <c r="C13261" t="s">
        <v>23490</v>
      </c>
      <c r="D13261" t="str">
        <f>HYPERLINK("https://rhld.insurance.arkansas.gov/NPILookup?Npi=1548722507","1548722507")</f>
        <v>1548722507</v>
      </c>
      <c r="E13261" t="s">
        <v>21081</v>
      </c>
    </row>
    <row r="13262" spans="1:5" x14ac:dyDescent="0.25">
      <c r="A13262" t="s">
        <v>2</v>
      </c>
      <c r="B13262" t="s">
        <v>3458</v>
      </c>
      <c r="C13262" t="s">
        <v>23490</v>
      </c>
      <c r="D13262" t="str">
        <f>HYPERLINK("https://rhld.insurance.arkansas.gov/NPILookup?Npi=1548729262","1548729262")</f>
        <v>1548729262</v>
      </c>
      <c r="E13262" t="s">
        <v>3256</v>
      </c>
    </row>
    <row r="13263" spans="1:5" x14ac:dyDescent="0.25">
      <c r="A13263" t="s">
        <v>2</v>
      </c>
      <c r="B13263" t="s">
        <v>3458</v>
      </c>
      <c r="C13263" t="s">
        <v>23490</v>
      </c>
      <c r="D13263" t="str">
        <f>HYPERLINK("https://rhld.insurance.arkansas.gov/NPILookup?Npi=1548741895","1548741895")</f>
        <v>1548741895</v>
      </c>
      <c r="E13263" t="s">
        <v>13592</v>
      </c>
    </row>
    <row r="13264" spans="1:5" x14ac:dyDescent="0.25">
      <c r="A13264" t="s">
        <v>2</v>
      </c>
      <c r="B13264" t="s">
        <v>3458</v>
      </c>
      <c r="C13264" t="s">
        <v>23490</v>
      </c>
      <c r="D13264" t="str">
        <f>HYPERLINK("https://rhld.insurance.arkansas.gov/NPILookup?Npi=1548745334","1548745334")</f>
        <v>1548745334</v>
      </c>
      <c r="E13264" t="s">
        <v>13593</v>
      </c>
    </row>
    <row r="13265" spans="1:5" x14ac:dyDescent="0.25">
      <c r="A13265" t="s">
        <v>2</v>
      </c>
      <c r="B13265" t="s">
        <v>3458</v>
      </c>
      <c r="C13265" t="s">
        <v>23490</v>
      </c>
      <c r="D13265" t="str">
        <f>HYPERLINK("https://rhld.insurance.arkansas.gov/NPILookup?Npi=1548749906","1548749906")</f>
        <v>1548749906</v>
      </c>
      <c r="E13265" t="s">
        <v>13594</v>
      </c>
    </row>
    <row r="13266" spans="1:5" x14ac:dyDescent="0.25">
      <c r="A13266" t="s">
        <v>2</v>
      </c>
      <c r="B13266" t="s">
        <v>3458</v>
      </c>
      <c r="C13266" t="s">
        <v>23490</v>
      </c>
      <c r="D13266" t="str">
        <f>HYPERLINK("https://rhld.insurance.arkansas.gov/NPILookup?Npi=1548770514","1548770514")</f>
        <v>1548770514</v>
      </c>
      <c r="E13266" t="s">
        <v>15263</v>
      </c>
    </row>
    <row r="13267" spans="1:5" x14ac:dyDescent="0.25">
      <c r="A13267" t="s">
        <v>2</v>
      </c>
      <c r="B13267" t="s">
        <v>3458</v>
      </c>
      <c r="C13267" t="s">
        <v>23490</v>
      </c>
      <c r="D13267" t="str">
        <f>HYPERLINK("https://rhld.insurance.arkansas.gov/NPILookup?Npi=1548773179","1548773179")</f>
        <v>1548773179</v>
      </c>
      <c r="E13267" t="s">
        <v>12857</v>
      </c>
    </row>
    <row r="13268" spans="1:5" x14ac:dyDescent="0.25">
      <c r="A13268" t="s">
        <v>2</v>
      </c>
      <c r="B13268" t="s">
        <v>3458</v>
      </c>
      <c r="C13268" t="s">
        <v>23490</v>
      </c>
      <c r="D13268" t="str">
        <f>HYPERLINK("https://rhld.insurance.arkansas.gov/NPILookup?Npi=1548791510","1548791510")</f>
        <v>1548791510</v>
      </c>
      <c r="E13268" t="s">
        <v>9540</v>
      </c>
    </row>
    <row r="13269" spans="1:5" x14ac:dyDescent="0.25">
      <c r="A13269" t="s">
        <v>2</v>
      </c>
      <c r="B13269" t="s">
        <v>3458</v>
      </c>
      <c r="C13269" t="s">
        <v>23490</v>
      </c>
      <c r="D13269" t="str">
        <f>HYPERLINK("https://rhld.insurance.arkansas.gov/NPILookup?Npi=1548793011","1548793011")</f>
        <v>1548793011</v>
      </c>
      <c r="E13269" t="s">
        <v>12858</v>
      </c>
    </row>
    <row r="13270" spans="1:5" x14ac:dyDescent="0.25">
      <c r="A13270" t="s">
        <v>2</v>
      </c>
      <c r="B13270" t="s">
        <v>3458</v>
      </c>
      <c r="C13270" t="s">
        <v>23490</v>
      </c>
      <c r="D13270" t="str">
        <f>HYPERLINK("https://rhld.insurance.arkansas.gov/NPILookup?Npi=1548793748","1548793748")</f>
        <v>1548793748</v>
      </c>
      <c r="E13270" t="s">
        <v>20252</v>
      </c>
    </row>
    <row r="13271" spans="1:5" x14ac:dyDescent="0.25">
      <c r="A13271" t="s">
        <v>2</v>
      </c>
      <c r="B13271" t="s">
        <v>3458</v>
      </c>
      <c r="C13271" t="s">
        <v>23490</v>
      </c>
      <c r="D13271" t="str">
        <f>HYPERLINK("https://rhld.insurance.arkansas.gov/NPILookup?Npi=1548824428","1548824428")</f>
        <v>1548824428</v>
      </c>
      <c r="E13271" t="s">
        <v>15264</v>
      </c>
    </row>
    <row r="13272" spans="1:5" x14ac:dyDescent="0.25">
      <c r="A13272" t="s">
        <v>2</v>
      </c>
      <c r="B13272" t="s">
        <v>3458</v>
      </c>
      <c r="C13272" t="s">
        <v>23490</v>
      </c>
      <c r="D13272" t="str">
        <f>HYPERLINK("https://rhld.insurance.arkansas.gov/NPILookup?Npi=1548831696","1548831696")</f>
        <v>1548831696</v>
      </c>
      <c r="E13272" t="s">
        <v>18804</v>
      </c>
    </row>
    <row r="13273" spans="1:5" x14ac:dyDescent="0.25">
      <c r="A13273" t="s">
        <v>2</v>
      </c>
      <c r="B13273" t="s">
        <v>3458</v>
      </c>
      <c r="C13273" t="s">
        <v>23490</v>
      </c>
      <c r="D13273" t="str">
        <f>HYPERLINK("https://rhld.insurance.arkansas.gov/NPILookup?Npi=1548837826","1548837826")</f>
        <v>1548837826</v>
      </c>
      <c r="E13273" t="s">
        <v>18805</v>
      </c>
    </row>
    <row r="13274" spans="1:5" x14ac:dyDescent="0.25">
      <c r="A13274" t="s">
        <v>2</v>
      </c>
      <c r="B13274" t="s">
        <v>3458</v>
      </c>
      <c r="C13274" t="s">
        <v>23490</v>
      </c>
      <c r="D13274" t="str">
        <f>HYPERLINK("https://rhld.insurance.arkansas.gov/NPILookup?Npi=1548847197","1548847197")</f>
        <v>1548847197</v>
      </c>
      <c r="E13274" t="s">
        <v>18806</v>
      </c>
    </row>
    <row r="13275" spans="1:5" x14ac:dyDescent="0.25">
      <c r="A13275" t="s">
        <v>2</v>
      </c>
      <c r="B13275" t="s">
        <v>3458</v>
      </c>
      <c r="C13275" t="s">
        <v>8427</v>
      </c>
      <c r="D13275" t="str">
        <f>HYPERLINK("https://rhld.insurance.arkansas.gov/NPILookup?Npi=1548858749","1548858749")</f>
        <v>1548858749</v>
      </c>
      <c r="E13275" t="s">
        <v>22954</v>
      </c>
    </row>
    <row r="13276" spans="1:5" x14ac:dyDescent="0.25">
      <c r="A13276" t="s">
        <v>2</v>
      </c>
      <c r="B13276" t="s">
        <v>3458</v>
      </c>
      <c r="C13276" t="s">
        <v>23490</v>
      </c>
      <c r="D13276" t="str">
        <f>HYPERLINK("https://rhld.insurance.arkansas.gov/NPILookup?Npi=1548869845","1548869845")</f>
        <v>1548869845</v>
      </c>
      <c r="E13276" t="s">
        <v>17436</v>
      </c>
    </row>
    <row r="13277" spans="1:5" x14ac:dyDescent="0.25">
      <c r="A13277" t="s">
        <v>2</v>
      </c>
      <c r="B13277" t="s">
        <v>3458</v>
      </c>
      <c r="C13277" t="s">
        <v>23490</v>
      </c>
      <c r="D13277" t="str">
        <f>HYPERLINK("https://rhld.insurance.arkansas.gov/NPILookup?Npi=1548870892","1548870892")</f>
        <v>1548870892</v>
      </c>
      <c r="E13277" t="s">
        <v>18031</v>
      </c>
    </row>
    <row r="13278" spans="1:5" x14ac:dyDescent="0.25">
      <c r="A13278" t="s">
        <v>2</v>
      </c>
      <c r="B13278" t="s">
        <v>3458</v>
      </c>
      <c r="C13278" t="s">
        <v>8427</v>
      </c>
      <c r="D13278" t="str">
        <f>HYPERLINK("https://rhld.insurance.arkansas.gov/NPILookup?Npi=1548871510","1548871510")</f>
        <v>1548871510</v>
      </c>
      <c r="E13278" t="s">
        <v>22955</v>
      </c>
    </row>
    <row r="13279" spans="1:5" x14ac:dyDescent="0.25">
      <c r="A13279" t="s">
        <v>2</v>
      </c>
      <c r="B13279" t="s">
        <v>3458</v>
      </c>
      <c r="C13279" t="s">
        <v>23490</v>
      </c>
      <c r="D13279" t="str">
        <f>HYPERLINK("https://rhld.insurance.arkansas.gov/NPILookup?Npi=1548895568","1548895568")</f>
        <v>1548895568</v>
      </c>
      <c r="E13279" t="s">
        <v>18807</v>
      </c>
    </row>
    <row r="13280" spans="1:5" x14ac:dyDescent="0.25">
      <c r="A13280" t="s">
        <v>2</v>
      </c>
      <c r="B13280" t="s">
        <v>3458</v>
      </c>
      <c r="C13280" t="s">
        <v>23490</v>
      </c>
      <c r="D13280" t="str">
        <f>HYPERLINK("https://rhld.insurance.arkansas.gov/NPILookup?Npi=1548921497","1548921497")</f>
        <v>1548921497</v>
      </c>
      <c r="E13280" t="s">
        <v>19824</v>
      </c>
    </row>
    <row r="13281" spans="1:5" x14ac:dyDescent="0.25">
      <c r="A13281" t="s">
        <v>2</v>
      </c>
      <c r="B13281" t="s">
        <v>3458</v>
      </c>
      <c r="C13281" t="s">
        <v>23490</v>
      </c>
      <c r="D13281" t="str">
        <f>HYPERLINK("https://rhld.insurance.arkansas.gov/NPILookup?Npi=1548927619","1548927619")</f>
        <v>1548927619</v>
      </c>
      <c r="E13281" t="s">
        <v>19825</v>
      </c>
    </row>
    <row r="13282" spans="1:5" x14ac:dyDescent="0.25">
      <c r="A13282" t="s">
        <v>2</v>
      </c>
      <c r="B13282" t="s">
        <v>3458</v>
      </c>
      <c r="C13282" t="s">
        <v>23490</v>
      </c>
      <c r="D13282" t="str">
        <f>HYPERLINK("https://rhld.insurance.arkansas.gov/NPILookup?Npi=1548931132","1548931132")</f>
        <v>1548931132</v>
      </c>
      <c r="E13282" t="s">
        <v>18808</v>
      </c>
    </row>
    <row r="13283" spans="1:5" x14ac:dyDescent="0.25">
      <c r="A13283" t="s">
        <v>2</v>
      </c>
      <c r="B13283" t="s">
        <v>3458</v>
      </c>
      <c r="C13283" t="s">
        <v>23490</v>
      </c>
      <c r="D13283" t="str">
        <f>HYPERLINK("https://rhld.insurance.arkansas.gov/NPILookup?Npi=1548995756","1548995756")</f>
        <v>1548995756</v>
      </c>
      <c r="E13283" t="s">
        <v>20969</v>
      </c>
    </row>
    <row r="13284" spans="1:5" x14ac:dyDescent="0.25">
      <c r="A13284" t="s">
        <v>2</v>
      </c>
      <c r="B13284" t="s">
        <v>3458</v>
      </c>
      <c r="C13284" t="s">
        <v>23490</v>
      </c>
      <c r="D13284" t="str">
        <f>HYPERLINK("https://rhld.insurance.arkansas.gov/NPILookup?Npi=1558035121","1558035121")</f>
        <v>1558035121</v>
      </c>
      <c r="E13284" t="s">
        <v>18809</v>
      </c>
    </row>
    <row r="13285" spans="1:5" x14ac:dyDescent="0.25">
      <c r="A13285" t="s">
        <v>2</v>
      </c>
      <c r="B13285" t="s">
        <v>3458</v>
      </c>
      <c r="C13285" t="s">
        <v>23490</v>
      </c>
      <c r="D13285" t="str">
        <f>HYPERLINK("https://rhld.insurance.arkansas.gov/NPILookup?Npi=1558039297","1558039297")</f>
        <v>1558039297</v>
      </c>
      <c r="E13285" t="s">
        <v>19826</v>
      </c>
    </row>
    <row r="13286" spans="1:5" x14ac:dyDescent="0.25">
      <c r="A13286" t="s">
        <v>2</v>
      </c>
      <c r="B13286" t="s">
        <v>3458</v>
      </c>
      <c r="C13286" t="s">
        <v>23490</v>
      </c>
      <c r="D13286" t="str">
        <f>HYPERLINK("https://rhld.insurance.arkansas.gov/NPILookup?Npi=1558094631","1558094631")</f>
        <v>1558094631</v>
      </c>
      <c r="E13286" t="s">
        <v>20970</v>
      </c>
    </row>
    <row r="13287" spans="1:5" x14ac:dyDescent="0.25">
      <c r="A13287" t="s">
        <v>2</v>
      </c>
      <c r="B13287" t="s">
        <v>3458</v>
      </c>
      <c r="C13287" t="s">
        <v>23490</v>
      </c>
      <c r="D13287" t="str">
        <f>HYPERLINK("https://rhld.insurance.arkansas.gov/NPILookup?Npi=1558304527","1558304527")</f>
        <v>1558304527</v>
      </c>
      <c r="E13287" t="s">
        <v>1945</v>
      </c>
    </row>
    <row r="13288" spans="1:5" x14ac:dyDescent="0.25">
      <c r="A13288" t="s">
        <v>2</v>
      </c>
      <c r="B13288" t="s">
        <v>3458</v>
      </c>
      <c r="C13288" t="s">
        <v>23490</v>
      </c>
      <c r="D13288" t="str">
        <f>HYPERLINK("https://rhld.insurance.arkansas.gov/NPILookup?Npi=1558304659","1558304659")</f>
        <v>1558304659</v>
      </c>
      <c r="E13288" t="s">
        <v>1946</v>
      </c>
    </row>
    <row r="13289" spans="1:5" x14ac:dyDescent="0.25">
      <c r="A13289" t="s">
        <v>2</v>
      </c>
      <c r="B13289" t="s">
        <v>3458</v>
      </c>
      <c r="C13289" t="s">
        <v>23490</v>
      </c>
      <c r="D13289" t="str">
        <f>HYPERLINK("https://rhld.insurance.arkansas.gov/NPILookup?Npi=1558305722","1558305722")</f>
        <v>1558305722</v>
      </c>
      <c r="E13289" t="s">
        <v>15265</v>
      </c>
    </row>
    <row r="13290" spans="1:5" x14ac:dyDescent="0.25">
      <c r="A13290" t="s">
        <v>2</v>
      </c>
      <c r="B13290" t="s">
        <v>3458</v>
      </c>
      <c r="C13290" t="s">
        <v>23490</v>
      </c>
      <c r="D13290" t="str">
        <f>HYPERLINK("https://rhld.insurance.arkansas.gov/NPILookup?Npi=1558306019","1558306019")</f>
        <v>1558306019</v>
      </c>
      <c r="E13290" t="s">
        <v>11042</v>
      </c>
    </row>
    <row r="13291" spans="1:5" x14ac:dyDescent="0.25">
      <c r="A13291" t="s">
        <v>2</v>
      </c>
      <c r="B13291" t="s">
        <v>3458</v>
      </c>
      <c r="C13291" t="s">
        <v>23490</v>
      </c>
      <c r="D13291" t="str">
        <f>HYPERLINK("https://rhld.insurance.arkansas.gov/NPILookup?Npi=1558326454","1558326454")</f>
        <v>1558326454</v>
      </c>
      <c r="E13291" t="s">
        <v>1948</v>
      </c>
    </row>
    <row r="13292" spans="1:5" x14ac:dyDescent="0.25">
      <c r="A13292" t="s">
        <v>2</v>
      </c>
      <c r="B13292" t="s">
        <v>3458</v>
      </c>
      <c r="C13292" t="s">
        <v>23490</v>
      </c>
      <c r="D13292" t="str">
        <f>HYPERLINK("https://rhld.insurance.arkansas.gov/NPILookup?Npi=1558326488","1558326488")</f>
        <v>1558326488</v>
      </c>
      <c r="E13292" t="s">
        <v>11466</v>
      </c>
    </row>
    <row r="13293" spans="1:5" x14ac:dyDescent="0.25">
      <c r="A13293" t="s">
        <v>2</v>
      </c>
      <c r="B13293" t="s">
        <v>3458</v>
      </c>
      <c r="C13293" t="s">
        <v>23490</v>
      </c>
      <c r="D13293" t="str">
        <f>HYPERLINK("https://rhld.insurance.arkansas.gov/NPILookup?Npi=1558330704","1558330704")</f>
        <v>1558330704</v>
      </c>
      <c r="E13293" t="s">
        <v>1949</v>
      </c>
    </row>
    <row r="13294" spans="1:5" x14ac:dyDescent="0.25">
      <c r="A13294" t="s">
        <v>2</v>
      </c>
      <c r="B13294" t="s">
        <v>3458</v>
      </c>
      <c r="C13294" t="s">
        <v>23490</v>
      </c>
      <c r="D13294" t="str">
        <f>HYPERLINK("https://rhld.insurance.arkansas.gov/NPILookup?Npi=1558340844","1558340844")</f>
        <v>1558340844</v>
      </c>
      <c r="E13294" t="s">
        <v>8733</v>
      </c>
    </row>
    <row r="13295" spans="1:5" x14ac:dyDescent="0.25">
      <c r="A13295" t="s">
        <v>2</v>
      </c>
      <c r="B13295" t="s">
        <v>3458</v>
      </c>
      <c r="C13295" t="s">
        <v>23490</v>
      </c>
      <c r="D13295" t="str">
        <f>HYPERLINK("https://rhld.insurance.arkansas.gov/NPILookup?Npi=1558348235","1558348235")</f>
        <v>1558348235</v>
      </c>
      <c r="E13295" t="s">
        <v>17076</v>
      </c>
    </row>
    <row r="13296" spans="1:5" x14ac:dyDescent="0.25">
      <c r="A13296" t="s">
        <v>2</v>
      </c>
      <c r="B13296" t="s">
        <v>3458</v>
      </c>
      <c r="C13296" t="s">
        <v>23490</v>
      </c>
      <c r="D13296" t="str">
        <f>HYPERLINK("https://rhld.insurance.arkansas.gov/NPILookup?Npi=1558354027","1558354027")</f>
        <v>1558354027</v>
      </c>
      <c r="E13296" t="s">
        <v>1446</v>
      </c>
    </row>
    <row r="13297" spans="1:5" x14ac:dyDescent="0.25">
      <c r="A13297" t="s">
        <v>2</v>
      </c>
      <c r="B13297" t="s">
        <v>3458</v>
      </c>
      <c r="C13297" t="s">
        <v>23490</v>
      </c>
      <c r="D13297" t="str">
        <f>HYPERLINK("https://rhld.insurance.arkansas.gov/NPILookup?Npi=1558359398","1558359398")</f>
        <v>1558359398</v>
      </c>
      <c r="E13297" t="s">
        <v>1950</v>
      </c>
    </row>
    <row r="13298" spans="1:5" x14ac:dyDescent="0.25">
      <c r="A13298" t="s">
        <v>2</v>
      </c>
      <c r="B13298" t="s">
        <v>3458</v>
      </c>
      <c r="C13298" t="s">
        <v>23490</v>
      </c>
      <c r="D13298" t="str">
        <f>HYPERLINK("https://rhld.insurance.arkansas.gov/NPILookup?Npi=1558363689","1558363689")</f>
        <v>1558363689</v>
      </c>
      <c r="E13298" t="s">
        <v>1952</v>
      </c>
    </row>
    <row r="13299" spans="1:5" x14ac:dyDescent="0.25">
      <c r="A13299" t="s">
        <v>2</v>
      </c>
      <c r="B13299" t="s">
        <v>3458</v>
      </c>
      <c r="C13299" t="s">
        <v>23490</v>
      </c>
      <c r="D13299" t="str">
        <f>HYPERLINK("https://rhld.insurance.arkansas.gov/NPILookup?Npi=1558365429","1558365429")</f>
        <v>1558365429</v>
      </c>
      <c r="E13299" t="s">
        <v>3794</v>
      </c>
    </row>
    <row r="13300" spans="1:5" x14ac:dyDescent="0.25">
      <c r="A13300" t="s">
        <v>2</v>
      </c>
      <c r="B13300" t="s">
        <v>3458</v>
      </c>
      <c r="C13300" t="s">
        <v>23490</v>
      </c>
      <c r="D13300" t="str">
        <f>HYPERLINK("https://rhld.insurance.arkansas.gov/NPILookup?Npi=1558386920","1558386920")</f>
        <v>1558386920</v>
      </c>
      <c r="E13300" t="s">
        <v>15266</v>
      </c>
    </row>
    <row r="13301" spans="1:5" x14ac:dyDescent="0.25">
      <c r="A13301" t="s">
        <v>2</v>
      </c>
      <c r="B13301" t="s">
        <v>3458</v>
      </c>
      <c r="C13301" t="s">
        <v>23490</v>
      </c>
      <c r="D13301" t="str">
        <f>HYPERLINK("https://rhld.insurance.arkansas.gov/NPILookup?Npi=1558389114","1558389114")</f>
        <v>1558389114</v>
      </c>
      <c r="E13301" t="s">
        <v>1953</v>
      </c>
    </row>
    <row r="13302" spans="1:5" x14ac:dyDescent="0.25">
      <c r="A13302" t="s">
        <v>2</v>
      </c>
      <c r="B13302" t="s">
        <v>3458</v>
      </c>
      <c r="C13302" t="s">
        <v>23490</v>
      </c>
      <c r="D13302" t="str">
        <f>HYPERLINK("https://rhld.insurance.arkansas.gov/NPILookup?Npi=1558440180","1558440180")</f>
        <v>1558440180</v>
      </c>
      <c r="E13302" t="s">
        <v>1957</v>
      </c>
    </row>
    <row r="13303" spans="1:5" x14ac:dyDescent="0.25">
      <c r="A13303" t="s">
        <v>2</v>
      </c>
      <c r="B13303" t="s">
        <v>3458</v>
      </c>
      <c r="C13303" t="s">
        <v>23490</v>
      </c>
      <c r="D13303" t="str">
        <f>HYPERLINK("https://rhld.insurance.arkansas.gov/NPILookup?Npi=1558470815","1558470815")</f>
        <v>1558470815</v>
      </c>
      <c r="E13303" t="s">
        <v>1722</v>
      </c>
    </row>
    <row r="13304" spans="1:5" x14ac:dyDescent="0.25">
      <c r="A13304" t="s">
        <v>2</v>
      </c>
      <c r="B13304" t="s">
        <v>3458</v>
      </c>
      <c r="C13304" t="s">
        <v>23490</v>
      </c>
      <c r="D13304" t="str">
        <f>HYPERLINK("https://rhld.insurance.arkansas.gov/NPILookup?Npi=1558473058","1558473058")</f>
        <v>1558473058</v>
      </c>
      <c r="E13304" t="s">
        <v>1958</v>
      </c>
    </row>
    <row r="13305" spans="1:5" x14ac:dyDescent="0.25">
      <c r="A13305" t="s">
        <v>2</v>
      </c>
      <c r="B13305" t="s">
        <v>3458</v>
      </c>
      <c r="C13305" t="s">
        <v>23490</v>
      </c>
      <c r="D13305" t="str">
        <f>HYPERLINK("https://rhld.insurance.arkansas.gov/NPILookup?Npi=1558473165","1558473165")</f>
        <v>1558473165</v>
      </c>
      <c r="E13305" t="s">
        <v>1959</v>
      </c>
    </row>
    <row r="13306" spans="1:5" x14ac:dyDescent="0.25">
      <c r="A13306" t="s">
        <v>2</v>
      </c>
      <c r="B13306" t="s">
        <v>3458</v>
      </c>
      <c r="C13306" t="s">
        <v>23490</v>
      </c>
      <c r="D13306" t="str">
        <f>HYPERLINK("https://rhld.insurance.arkansas.gov/NPILookup?Npi=1558477455","1558477455")</f>
        <v>1558477455</v>
      </c>
      <c r="E13306" t="s">
        <v>1960</v>
      </c>
    </row>
    <row r="13307" spans="1:5" x14ac:dyDescent="0.25">
      <c r="A13307" t="s">
        <v>2</v>
      </c>
      <c r="B13307" t="s">
        <v>3458</v>
      </c>
      <c r="C13307" t="s">
        <v>23490</v>
      </c>
      <c r="D13307" t="str">
        <f>HYPERLINK("https://rhld.insurance.arkansas.gov/NPILookup?Npi=1558485656","1558485656")</f>
        <v>1558485656</v>
      </c>
      <c r="E13307" t="s">
        <v>1961</v>
      </c>
    </row>
    <row r="13308" spans="1:5" x14ac:dyDescent="0.25">
      <c r="A13308" t="s">
        <v>2</v>
      </c>
      <c r="B13308" t="s">
        <v>3458</v>
      </c>
      <c r="C13308" t="s">
        <v>23490</v>
      </c>
      <c r="D13308" t="str">
        <f>HYPERLINK("https://rhld.insurance.arkansas.gov/NPILookup?Npi=1558492306","1558492306")</f>
        <v>1558492306</v>
      </c>
      <c r="E13308" t="s">
        <v>11043</v>
      </c>
    </row>
    <row r="13309" spans="1:5" x14ac:dyDescent="0.25">
      <c r="A13309" t="s">
        <v>2</v>
      </c>
      <c r="B13309" t="s">
        <v>3458</v>
      </c>
      <c r="C13309" t="s">
        <v>23490</v>
      </c>
      <c r="D13309" t="str">
        <f>HYPERLINK("https://rhld.insurance.arkansas.gov/NPILookup?Npi=1558529297","1558529297")</f>
        <v>1558529297</v>
      </c>
      <c r="E13309" t="s">
        <v>3795</v>
      </c>
    </row>
    <row r="13310" spans="1:5" x14ac:dyDescent="0.25">
      <c r="A13310" t="s">
        <v>2</v>
      </c>
      <c r="B13310" t="s">
        <v>3458</v>
      </c>
      <c r="C13310" t="s">
        <v>23490</v>
      </c>
      <c r="D13310" t="str">
        <f>HYPERLINK("https://rhld.insurance.arkansas.gov/NPILookup?Npi=1558529347","1558529347")</f>
        <v>1558529347</v>
      </c>
      <c r="E13310" t="s">
        <v>1962</v>
      </c>
    </row>
    <row r="13311" spans="1:5" x14ac:dyDescent="0.25">
      <c r="A13311" t="s">
        <v>2</v>
      </c>
      <c r="B13311" t="s">
        <v>3458</v>
      </c>
      <c r="C13311" t="s">
        <v>23490</v>
      </c>
      <c r="D13311" t="str">
        <f>HYPERLINK("https://rhld.insurance.arkansas.gov/NPILookup?Npi=1558544312","1558544312")</f>
        <v>1558544312</v>
      </c>
      <c r="E13311" t="s">
        <v>1963</v>
      </c>
    </row>
    <row r="13312" spans="1:5" x14ac:dyDescent="0.25">
      <c r="A13312" t="s">
        <v>2</v>
      </c>
      <c r="B13312" t="s">
        <v>3458</v>
      </c>
      <c r="C13312" t="s">
        <v>23490</v>
      </c>
      <c r="D13312" t="str">
        <f>HYPERLINK("https://rhld.insurance.arkansas.gov/NPILookup?Npi=1558547919","1558547919")</f>
        <v>1558547919</v>
      </c>
      <c r="E13312" t="s">
        <v>4360</v>
      </c>
    </row>
    <row r="13313" spans="1:5" x14ac:dyDescent="0.25">
      <c r="A13313" t="s">
        <v>2</v>
      </c>
      <c r="B13313" t="s">
        <v>3458</v>
      </c>
      <c r="C13313" t="s">
        <v>23490</v>
      </c>
      <c r="D13313" t="str">
        <f>HYPERLINK("https://rhld.insurance.arkansas.gov/NPILookup?Npi=1558568253","1558568253")</f>
        <v>1558568253</v>
      </c>
      <c r="E13313" t="s">
        <v>18034</v>
      </c>
    </row>
    <row r="13314" spans="1:5" x14ac:dyDescent="0.25">
      <c r="A13314" t="s">
        <v>2</v>
      </c>
      <c r="B13314" t="s">
        <v>3458</v>
      </c>
      <c r="C13314" t="s">
        <v>23490</v>
      </c>
      <c r="D13314" t="str">
        <f>HYPERLINK("https://rhld.insurance.arkansas.gov/NPILookup?Npi=1558594424","1558594424")</f>
        <v>1558594424</v>
      </c>
      <c r="E13314" t="s">
        <v>15269</v>
      </c>
    </row>
    <row r="13315" spans="1:5" x14ac:dyDescent="0.25">
      <c r="A13315" t="s">
        <v>2</v>
      </c>
      <c r="B13315" t="s">
        <v>3458</v>
      </c>
      <c r="C13315" t="s">
        <v>23490</v>
      </c>
      <c r="D13315" t="str">
        <f>HYPERLINK("https://rhld.insurance.arkansas.gov/NPILookup?Npi=1558608067","1558608067")</f>
        <v>1558608067</v>
      </c>
      <c r="E13315" t="s">
        <v>16983</v>
      </c>
    </row>
    <row r="13316" spans="1:5" x14ac:dyDescent="0.25">
      <c r="A13316" t="s">
        <v>2</v>
      </c>
      <c r="B13316" t="s">
        <v>3458</v>
      </c>
      <c r="C13316" t="s">
        <v>23490</v>
      </c>
      <c r="D13316" t="str">
        <f>HYPERLINK("https://rhld.insurance.arkansas.gov/NPILookup?Npi=1558614008","1558614008")</f>
        <v>1558614008</v>
      </c>
      <c r="E13316" t="s">
        <v>3796</v>
      </c>
    </row>
    <row r="13317" spans="1:5" x14ac:dyDescent="0.25">
      <c r="A13317" t="s">
        <v>2</v>
      </c>
      <c r="B13317" t="s">
        <v>3458</v>
      </c>
      <c r="C13317" t="s">
        <v>23490</v>
      </c>
      <c r="D13317" t="str">
        <f>HYPERLINK("https://rhld.insurance.arkansas.gov/NPILookup?Npi=1558618462","1558618462")</f>
        <v>1558618462</v>
      </c>
      <c r="E13317" t="s">
        <v>15874</v>
      </c>
    </row>
    <row r="13318" spans="1:5" x14ac:dyDescent="0.25">
      <c r="A13318" t="s">
        <v>2</v>
      </c>
      <c r="B13318" t="s">
        <v>3458</v>
      </c>
      <c r="C13318" t="s">
        <v>23490</v>
      </c>
      <c r="D13318" t="str">
        <f>HYPERLINK("https://rhld.insurance.arkansas.gov/NPILookup?Npi=1558620856","1558620856")</f>
        <v>1558620856</v>
      </c>
      <c r="E13318" t="s">
        <v>1965</v>
      </c>
    </row>
    <row r="13319" spans="1:5" x14ac:dyDescent="0.25">
      <c r="A13319" t="s">
        <v>2</v>
      </c>
      <c r="B13319" t="s">
        <v>3458</v>
      </c>
      <c r="C13319" t="s">
        <v>23490</v>
      </c>
      <c r="D13319" t="str">
        <f>HYPERLINK("https://rhld.insurance.arkansas.gov/NPILookup?Npi=1558633222","1558633222")</f>
        <v>1558633222</v>
      </c>
      <c r="E13319" t="s">
        <v>15270</v>
      </c>
    </row>
    <row r="13320" spans="1:5" x14ac:dyDescent="0.25">
      <c r="A13320" t="s">
        <v>2</v>
      </c>
      <c r="B13320" t="s">
        <v>3458</v>
      </c>
      <c r="C13320" t="s">
        <v>23490</v>
      </c>
      <c r="D13320" t="str">
        <f>HYPERLINK("https://rhld.insurance.arkansas.gov/NPILookup?Npi=1558653576","1558653576")</f>
        <v>1558653576</v>
      </c>
      <c r="E13320" t="s">
        <v>11044</v>
      </c>
    </row>
    <row r="13321" spans="1:5" x14ac:dyDescent="0.25">
      <c r="A13321" t="s">
        <v>2</v>
      </c>
      <c r="B13321" t="s">
        <v>3458</v>
      </c>
      <c r="C13321" t="s">
        <v>23490</v>
      </c>
      <c r="D13321" t="str">
        <f>HYPERLINK("https://rhld.insurance.arkansas.gov/NPILookup?Npi=1558655167","1558655167")</f>
        <v>1558655167</v>
      </c>
      <c r="E13321" t="s">
        <v>8734</v>
      </c>
    </row>
    <row r="13322" spans="1:5" x14ac:dyDescent="0.25">
      <c r="A13322" t="s">
        <v>2</v>
      </c>
      <c r="B13322" t="s">
        <v>3458</v>
      </c>
      <c r="C13322" t="s">
        <v>23490</v>
      </c>
      <c r="D13322" t="str">
        <f>HYPERLINK("https://rhld.insurance.arkansas.gov/NPILookup?Npi=1558657635","1558657635")</f>
        <v>1558657635</v>
      </c>
      <c r="E13322" t="s">
        <v>1967</v>
      </c>
    </row>
    <row r="13323" spans="1:5" x14ac:dyDescent="0.25">
      <c r="A13323" t="s">
        <v>2</v>
      </c>
      <c r="B13323" t="s">
        <v>3458</v>
      </c>
      <c r="C13323" t="s">
        <v>23490</v>
      </c>
      <c r="D13323" t="str">
        <f>HYPERLINK("https://rhld.insurance.arkansas.gov/NPILookup?Npi=1558657999","1558657999")</f>
        <v>1558657999</v>
      </c>
      <c r="E13323" t="s">
        <v>1968</v>
      </c>
    </row>
    <row r="13324" spans="1:5" x14ac:dyDescent="0.25">
      <c r="A13324" t="s">
        <v>2</v>
      </c>
      <c r="B13324" t="s">
        <v>3458</v>
      </c>
      <c r="C13324" t="s">
        <v>23490</v>
      </c>
      <c r="D13324" t="str">
        <f>HYPERLINK("https://rhld.insurance.arkansas.gov/NPILookup?Npi=1558658302","1558658302")</f>
        <v>1558658302</v>
      </c>
      <c r="E13324" t="s">
        <v>15272</v>
      </c>
    </row>
    <row r="13325" spans="1:5" x14ac:dyDescent="0.25">
      <c r="A13325" t="s">
        <v>2</v>
      </c>
      <c r="B13325" t="s">
        <v>3458</v>
      </c>
      <c r="C13325" t="s">
        <v>23490</v>
      </c>
      <c r="D13325" t="str">
        <f>HYPERLINK("https://rhld.insurance.arkansas.gov/NPILookup?Npi=1558662965","1558662965")</f>
        <v>1558662965</v>
      </c>
      <c r="E13325" t="s">
        <v>15273</v>
      </c>
    </row>
    <row r="13326" spans="1:5" x14ac:dyDescent="0.25">
      <c r="A13326" t="s">
        <v>2</v>
      </c>
      <c r="B13326" t="s">
        <v>3458</v>
      </c>
      <c r="C13326" t="s">
        <v>23490</v>
      </c>
      <c r="D13326" t="str">
        <f>HYPERLINK("https://rhld.insurance.arkansas.gov/NPILookup?Npi=1558672048","1558672048")</f>
        <v>1558672048</v>
      </c>
      <c r="E13326" t="s">
        <v>8983</v>
      </c>
    </row>
    <row r="13327" spans="1:5" x14ac:dyDescent="0.25">
      <c r="A13327" t="s">
        <v>2</v>
      </c>
      <c r="B13327" t="s">
        <v>3458</v>
      </c>
      <c r="C13327" t="s">
        <v>23490</v>
      </c>
      <c r="D13327" t="str">
        <f>HYPERLINK("https://rhld.insurance.arkansas.gov/NPILookup?Npi=1558686105","1558686105")</f>
        <v>1558686105</v>
      </c>
      <c r="E13327" t="s">
        <v>1969</v>
      </c>
    </row>
    <row r="13328" spans="1:5" x14ac:dyDescent="0.25">
      <c r="A13328" t="s">
        <v>2</v>
      </c>
      <c r="B13328" t="s">
        <v>3458</v>
      </c>
      <c r="C13328" t="s">
        <v>23490</v>
      </c>
      <c r="D13328" t="str">
        <f>HYPERLINK("https://rhld.insurance.arkansas.gov/NPILookup?Npi=1558686402","1558686402")</f>
        <v>1558686402</v>
      </c>
      <c r="E13328" t="s">
        <v>1970</v>
      </c>
    </row>
    <row r="13329" spans="1:5" x14ac:dyDescent="0.25">
      <c r="A13329" t="s">
        <v>2</v>
      </c>
      <c r="B13329" t="s">
        <v>3458</v>
      </c>
      <c r="C13329" t="s">
        <v>23490</v>
      </c>
      <c r="D13329" t="str">
        <f>HYPERLINK("https://rhld.insurance.arkansas.gov/NPILookup?Npi=1558704536","1558704536")</f>
        <v>1558704536</v>
      </c>
      <c r="E13329" t="s">
        <v>13856</v>
      </c>
    </row>
    <row r="13330" spans="1:5" x14ac:dyDescent="0.25">
      <c r="A13330" t="s">
        <v>2</v>
      </c>
      <c r="B13330" t="s">
        <v>3458</v>
      </c>
      <c r="C13330" t="s">
        <v>23490</v>
      </c>
      <c r="D13330" t="str">
        <f>HYPERLINK("https://rhld.insurance.arkansas.gov/NPILookup?Npi=1558710608","1558710608")</f>
        <v>1558710608</v>
      </c>
      <c r="E13330" t="s">
        <v>11045</v>
      </c>
    </row>
    <row r="13331" spans="1:5" x14ac:dyDescent="0.25">
      <c r="A13331" t="s">
        <v>2</v>
      </c>
      <c r="B13331" t="s">
        <v>3458</v>
      </c>
      <c r="C13331" t="s">
        <v>23490</v>
      </c>
      <c r="D13331" t="str">
        <f>HYPERLINK("https://rhld.insurance.arkansas.gov/NPILookup?Npi=1558715987","1558715987")</f>
        <v>1558715987</v>
      </c>
      <c r="E13331" t="s">
        <v>11046</v>
      </c>
    </row>
    <row r="13332" spans="1:5" x14ac:dyDescent="0.25">
      <c r="A13332" t="s">
        <v>2</v>
      </c>
      <c r="B13332" t="s">
        <v>3458</v>
      </c>
      <c r="C13332" t="s">
        <v>23490</v>
      </c>
      <c r="D13332" t="str">
        <f>HYPERLINK("https://rhld.insurance.arkansas.gov/NPILookup?Npi=1558716738","1558716738")</f>
        <v>1558716738</v>
      </c>
      <c r="E13332" t="s">
        <v>13597</v>
      </c>
    </row>
    <row r="13333" spans="1:5" x14ac:dyDescent="0.25">
      <c r="A13333" t="s">
        <v>2</v>
      </c>
      <c r="B13333" t="s">
        <v>3458</v>
      </c>
      <c r="C13333" t="s">
        <v>23490</v>
      </c>
      <c r="D13333" t="str">
        <f>HYPERLINK("https://rhld.insurance.arkansas.gov/NPILookup?Npi=1558735845","1558735845")</f>
        <v>1558735845</v>
      </c>
      <c r="E13333" t="s">
        <v>11047</v>
      </c>
    </row>
    <row r="13334" spans="1:5" x14ac:dyDescent="0.25">
      <c r="A13334" t="s">
        <v>2</v>
      </c>
      <c r="B13334" t="s">
        <v>3458</v>
      </c>
      <c r="C13334" t="s">
        <v>23490</v>
      </c>
      <c r="D13334" t="str">
        <f>HYPERLINK("https://rhld.insurance.arkansas.gov/NPILookup?Npi=1558744391","1558744391")</f>
        <v>1558744391</v>
      </c>
      <c r="E13334" t="s">
        <v>21577</v>
      </c>
    </row>
    <row r="13335" spans="1:5" x14ac:dyDescent="0.25">
      <c r="A13335" t="s">
        <v>2</v>
      </c>
      <c r="B13335" t="s">
        <v>3458</v>
      </c>
      <c r="C13335" t="s">
        <v>23490</v>
      </c>
      <c r="D13335" t="str">
        <f>HYPERLINK("https://rhld.insurance.arkansas.gov/NPILookup?Npi=1558748657","1558748657")</f>
        <v>1558748657</v>
      </c>
      <c r="E13335" t="s">
        <v>8735</v>
      </c>
    </row>
    <row r="13336" spans="1:5" x14ac:dyDescent="0.25">
      <c r="A13336" t="s">
        <v>2</v>
      </c>
      <c r="B13336" t="s">
        <v>3458</v>
      </c>
      <c r="C13336" t="s">
        <v>23490</v>
      </c>
      <c r="D13336" t="str">
        <f>HYPERLINK("https://rhld.insurance.arkansas.gov/NPILookup?Npi=1558758730","1558758730")</f>
        <v>1558758730</v>
      </c>
      <c r="E13336" t="s">
        <v>13599</v>
      </c>
    </row>
    <row r="13337" spans="1:5" x14ac:dyDescent="0.25">
      <c r="A13337" t="s">
        <v>2</v>
      </c>
      <c r="B13337" t="s">
        <v>3458</v>
      </c>
      <c r="C13337" t="s">
        <v>23490</v>
      </c>
      <c r="D13337" t="str">
        <f>HYPERLINK("https://rhld.insurance.arkansas.gov/NPILookup?Npi=1558761148","1558761148")</f>
        <v>1558761148</v>
      </c>
      <c r="E13337" t="s">
        <v>12859</v>
      </c>
    </row>
    <row r="13338" spans="1:5" x14ac:dyDescent="0.25">
      <c r="A13338" t="s">
        <v>2</v>
      </c>
      <c r="B13338" t="s">
        <v>3458</v>
      </c>
      <c r="C13338" t="s">
        <v>23490</v>
      </c>
      <c r="D13338" t="str">
        <f>HYPERLINK("https://rhld.insurance.arkansas.gov/NPILookup?Npi=1558761668","1558761668")</f>
        <v>1558761668</v>
      </c>
      <c r="E13338" t="s">
        <v>15275</v>
      </c>
    </row>
    <row r="13339" spans="1:5" x14ac:dyDescent="0.25">
      <c r="A13339" t="s">
        <v>2</v>
      </c>
      <c r="B13339" t="s">
        <v>3458</v>
      </c>
      <c r="C13339" t="s">
        <v>23490</v>
      </c>
      <c r="D13339" t="str">
        <f>HYPERLINK("https://rhld.insurance.arkansas.gov/NPILookup?Npi=1558767178","1558767178")</f>
        <v>1558767178</v>
      </c>
      <c r="E13339" t="s">
        <v>11048</v>
      </c>
    </row>
    <row r="13340" spans="1:5" x14ac:dyDescent="0.25">
      <c r="A13340" t="s">
        <v>2</v>
      </c>
      <c r="B13340" t="s">
        <v>3458</v>
      </c>
      <c r="C13340" t="s">
        <v>23490</v>
      </c>
      <c r="D13340" t="str">
        <f>HYPERLINK("https://rhld.insurance.arkansas.gov/NPILookup?Npi=1558775023","1558775023")</f>
        <v>1558775023</v>
      </c>
      <c r="E13340" t="s">
        <v>1972</v>
      </c>
    </row>
    <row r="13341" spans="1:5" x14ac:dyDescent="0.25">
      <c r="A13341" t="s">
        <v>2</v>
      </c>
      <c r="B13341" t="s">
        <v>3458</v>
      </c>
      <c r="C13341" t="s">
        <v>23490</v>
      </c>
      <c r="D13341" t="str">
        <f>HYPERLINK("https://rhld.insurance.arkansas.gov/NPILookup?Npi=1558779710","1558779710")</f>
        <v>1558779710</v>
      </c>
      <c r="E13341" t="s">
        <v>1974</v>
      </c>
    </row>
    <row r="13342" spans="1:5" x14ac:dyDescent="0.25">
      <c r="A13342" t="s">
        <v>2</v>
      </c>
      <c r="B13342" t="s">
        <v>3458</v>
      </c>
      <c r="C13342" t="s">
        <v>23490</v>
      </c>
      <c r="D13342" t="str">
        <f>HYPERLINK("https://rhld.insurance.arkansas.gov/NPILookup?Npi=1558781740","1558781740")</f>
        <v>1558781740</v>
      </c>
      <c r="E13342" t="s">
        <v>13005</v>
      </c>
    </row>
    <row r="13343" spans="1:5" x14ac:dyDescent="0.25">
      <c r="A13343" t="s">
        <v>2</v>
      </c>
      <c r="B13343" t="s">
        <v>3458</v>
      </c>
      <c r="C13343" t="s">
        <v>23490</v>
      </c>
      <c r="D13343" t="str">
        <f>HYPERLINK("https://rhld.insurance.arkansas.gov/NPILookup?Npi=1558784728","1558784728")</f>
        <v>1558784728</v>
      </c>
      <c r="E13343" t="s">
        <v>1975</v>
      </c>
    </row>
    <row r="13344" spans="1:5" x14ac:dyDescent="0.25">
      <c r="A13344" t="s">
        <v>2</v>
      </c>
      <c r="B13344" t="s">
        <v>3458</v>
      </c>
      <c r="C13344" t="s">
        <v>23490</v>
      </c>
      <c r="D13344" t="str">
        <f>HYPERLINK("https://rhld.insurance.arkansas.gov/NPILookup?Npi=1558809475","1558809475")</f>
        <v>1558809475</v>
      </c>
      <c r="E13344" t="s">
        <v>11049</v>
      </c>
    </row>
    <row r="13345" spans="1:5" x14ac:dyDescent="0.25">
      <c r="A13345" t="s">
        <v>2</v>
      </c>
      <c r="B13345" t="s">
        <v>3458</v>
      </c>
      <c r="C13345" t="s">
        <v>23490</v>
      </c>
      <c r="D13345" t="str">
        <f>HYPERLINK("https://rhld.insurance.arkansas.gov/NPILookup?Npi=1558811935","1558811935")</f>
        <v>1558811935</v>
      </c>
      <c r="E13345" t="s">
        <v>11050</v>
      </c>
    </row>
    <row r="13346" spans="1:5" x14ac:dyDescent="0.25">
      <c r="A13346" t="s">
        <v>2</v>
      </c>
      <c r="B13346" t="s">
        <v>3458</v>
      </c>
      <c r="C13346" t="s">
        <v>23490</v>
      </c>
      <c r="D13346" t="str">
        <f>HYPERLINK("https://rhld.insurance.arkansas.gov/NPILookup?Npi=1558813352","1558813352")</f>
        <v>1558813352</v>
      </c>
      <c r="E13346" t="s">
        <v>11051</v>
      </c>
    </row>
    <row r="13347" spans="1:5" x14ac:dyDescent="0.25">
      <c r="A13347" t="s">
        <v>2</v>
      </c>
      <c r="B13347" t="s">
        <v>3458</v>
      </c>
      <c r="C13347" t="s">
        <v>23490</v>
      </c>
      <c r="D13347" t="str">
        <f>HYPERLINK("https://rhld.insurance.arkansas.gov/NPILookup?Npi=1558817205","1558817205")</f>
        <v>1558817205</v>
      </c>
      <c r="E13347" t="s">
        <v>21744</v>
      </c>
    </row>
    <row r="13348" spans="1:5" x14ac:dyDescent="0.25">
      <c r="A13348" t="s">
        <v>2</v>
      </c>
      <c r="B13348" t="s">
        <v>3458</v>
      </c>
      <c r="C13348" t="s">
        <v>23490</v>
      </c>
      <c r="D13348" t="str">
        <f>HYPERLINK("https://rhld.insurance.arkansas.gov/NPILookup?Npi=1558820688","1558820688")</f>
        <v>1558820688</v>
      </c>
      <c r="E13348" t="s">
        <v>13600</v>
      </c>
    </row>
    <row r="13349" spans="1:5" x14ac:dyDescent="0.25">
      <c r="A13349" t="s">
        <v>2</v>
      </c>
      <c r="B13349" t="s">
        <v>3458</v>
      </c>
      <c r="C13349" t="s">
        <v>23490</v>
      </c>
      <c r="D13349" t="str">
        <f>HYPERLINK("https://rhld.insurance.arkansas.gov/NPILookup?Npi=1558831644","1558831644")</f>
        <v>1558831644</v>
      </c>
      <c r="E13349" t="s">
        <v>13601</v>
      </c>
    </row>
    <row r="13350" spans="1:5" x14ac:dyDescent="0.25">
      <c r="A13350" t="s">
        <v>2</v>
      </c>
      <c r="B13350" t="s">
        <v>3458</v>
      </c>
      <c r="C13350" t="s">
        <v>23490</v>
      </c>
      <c r="D13350" t="str">
        <f>HYPERLINK("https://rhld.insurance.arkansas.gov/NPILookup?Npi=1558871814","1558871814")</f>
        <v>1558871814</v>
      </c>
      <c r="E13350" t="s">
        <v>20971</v>
      </c>
    </row>
    <row r="13351" spans="1:5" x14ac:dyDescent="0.25">
      <c r="A13351" t="s">
        <v>2</v>
      </c>
      <c r="B13351" t="s">
        <v>3458</v>
      </c>
      <c r="C13351" t="s">
        <v>23490</v>
      </c>
      <c r="D13351" t="str">
        <f>HYPERLINK("https://rhld.insurance.arkansas.gov/NPILookup?Npi=1558882639","1558882639")</f>
        <v>1558882639</v>
      </c>
      <c r="E13351" t="s">
        <v>11052</v>
      </c>
    </row>
    <row r="13352" spans="1:5" x14ac:dyDescent="0.25">
      <c r="A13352" t="s">
        <v>2</v>
      </c>
      <c r="B13352" t="s">
        <v>3458</v>
      </c>
      <c r="C13352" t="s">
        <v>23490</v>
      </c>
      <c r="D13352" t="str">
        <f>HYPERLINK("https://rhld.insurance.arkansas.gov/NPILookup?Npi=1558894295","1558894295")</f>
        <v>1558894295</v>
      </c>
      <c r="E13352" t="s">
        <v>11053</v>
      </c>
    </row>
    <row r="13353" spans="1:5" x14ac:dyDescent="0.25">
      <c r="A13353" t="s">
        <v>2</v>
      </c>
      <c r="B13353" t="s">
        <v>3458</v>
      </c>
      <c r="C13353" t="s">
        <v>23490</v>
      </c>
      <c r="D13353" t="str">
        <f>HYPERLINK("https://rhld.insurance.arkansas.gov/NPILookup?Npi=1558897967","1558897967")</f>
        <v>1558897967</v>
      </c>
      <c r="E13353" t="s">
        <v>17437</v>
      </c>
    </row>
    <row r="13354" spans="1:5" x14ac:dyDescent="0.25">
      <c r="A13354" t="s">
        <v>2</v>
      </c>
      <c r="B13354" t="s">
        <v>3458</v>
      </c>
      <c r="C13354" t="s">
        <v>23490</v>
      </c>
      <c r="D13354" t="str">
        <f>HYPERLINK("https://rhld.insurance.arkansas.gov/NPILookup?Npi=1558902577","1558902577")</f>
        <v>1558902577</v>
      </c>
      <c r="E13354" t="s">
        <v>20972</v>
      </c>
    </row>
    <row r="13355" spans="1:5" x14ac:dyDescent="0.25">
      <c r="A13355" t="s">
        <v>2</v>
      </c>
      <c r="B13355" t="s">
        <v>3458</v>
      </c>
      <c r="C13355" t="s">
        <v>23490</v>
      </c>
      <c r="D13355" t="str">
        <f>HYPERLINK("https://rhld.insurance.arkansas.gov/NPILookup?Npi=1558919365","1558919365")</f>
        <v>1558919365</v>
      </c>
      <c r="E13355" t="s">
        <v>21578</v>
      </c>
    </row>
    <row r="13356" spans="1:5" x14ac:dyDescent="0.25">
      <c r="A13356" t="s">
        <v>2</v>
      </c>
      <c r="B13356" t="s">
        <v>3458</v>
      </c>
      <c r="C13356" t="s">
        <v>23490</v>
      </c>
      <c r="D13356" t="str">
        <f>HYPERLINK("https://rhld.insurance.arkansas.gov/NPILookup?Npi=1558924563","1558924563")</f>
        <v>1558924563</v>
      </c>
      <c r="E13356" t="s">
        <v>15875</v>
      </c>
    </row>
    <row r="13357" spans="1:5" x14ac:dyDescent="0.25">
      <c r="A13357" t="s">
        <v>2</v>
      </c>
      <c r="B13357" t="s">
        <v>3458</v>
      </c>
      <c r="C13357" t="s">
        <v>23490</v>
      </c>
      <c r="D13357" t="str">
        <f>HYPERLINK("https://rhld.insurance.arkansas.gov/NPILookup?Npi=1558942094","1558942094")</f>
        <v>1558942094</v>
      </c>
      <c r="E13357" t="s">
        <v>18035</v>
      </c>
    </row>
    <row r="13358" spans="1:5" x14ac:dyDescent="0.25">
      <c r="A13358" t="s">
        <v>2</v>
      </c>
      <c r="B13358" t="s">
        <v>3458</v>
      </c>
      <c r="C13358" t="s">
        <v>23490</v>
      </c>
      <c r="D13358" t="str">
        <f>HYPERLINK("https://rhld.insurance.arkansas.gov/NPILookup?Npi=1558957787","1558957787")</f>
        <v>1558957787</v>
      </c>
      <c r="E13358" t="s">
        <v>18036</v>
      </c>
    </row>
    <row r="13359" spans="1:5" x14ac:dyDescent="0.25">
      <c r="A13359" t="s">
        <v>2</v>
      </c>
      <c r="B13359" t="s">
        <v>3458</v>
      </c>
      <c r="C13359" t="s">
        <v>23490</v>
      </c>
      <c r="D13359" t="str">
        <f>HYPERLINK("https://rhld.insurance.arkansas.gov/NPILookup?Npi=1568038206","1568038206")</f>
        <v>1568038206</v>
      </c>
      <c r="E13359" t="s">
        <v>18810</v>
      </c>
    </row>
    <row r="13360" spans="1:5" x14ac:dyDescent="0.25">
      <c r="A13360" t="s">
        <v>2</v>
      </c>
      <c r="B13360" t="s">
        <v>3458</v>
      </c>
      <c r="C13360" t="s">
        <v>23490</v>
      </c>
      <c r="D13360" t="str">
        <f>HYPERLINK("https://rhld.insurance.arkansas.gov/NPILookup?Npi=1568054930","1568054930")</f>
        <v>1568054930</v>
      </c>
      <c r="E13360" t="s">
        <v>19831</v>
      </c>
    </row>
    <row r="13361" spans="1:5" x14ac:dyDescent="0.25">
      <c r="A13361" t="s">
        <v>2</v>
      </c>
      <c r="B13361" t="s">
        <v>3458</v>
      </c>
      <c r="C13361" t="s">
        <v>8427</v>
      </c>
      <c r="D13361" t="str">
        <f>HYPERLINK("https://rhld.insurance.arkansas.gov/NPILookup?Npi=1568089555","1568089555")</f>
        <v>1568089555</v>
      </c>
      <c r="E13361" t="s">
        <v>12327</v>
      </c>
    </row>
    <row r="13362" spans="1:5" x14ac:dyDescent="0.25">
      <c r="A13362" t="s">
        <v>2</v>
      </c>
      <c r="B13362" t="s">
        <v>3458</v>
      </c>
      <c r="C13362" t="s">
        <v>8427</v>
      </c>
      <c r="D13362" t="str">
        <f>HYPERLINK("https://rhld.insurance.arkansas.gov/NPILookup?Npi=1568090959","1568090959")</f>
        <v>1568090959</v>
      </c>
      <c r="E13362" t="s">
        <v>22956</v>
      </c>
    </row>
    <row r="13363" spans="1:5" x14ac:dyDescent="0.25">
      <c r="A13363" t="s">
        <v>2</v>
      </c>
      <c r="B13363" t="s">
        <v>3458</v>
      </c>
      <c r="C13363" t="s">
        <v>23490</v>
      </c>
      <c r="D13363" t="str">
        <f>HYPERLINK("https://rhld.insurance.arkansas.gov/NPILookup?Npi=1568406551","1568406551")</f>
        <v>1568406551</v>
      </c>
      <c r="E13363" t="s">
        <v>1976</v>
      </c>
    </row>
    <row r="13364" spans="1:5" x14ac:dyDescent="0.25">
      <c r="A13364" t="s">
        <v>2</v>
      </c>
      <c r="B13364" t="s">
        <v>3458</v>
      </c>
      <c r="C13364" t="s">
        <v>23490</v>
      </c>
      <c r="D13364" t="str">
        <f>HYPERLINK("https://rhld.insurance.arkansas.gov/NPILookup?Npi=1568407088","1568407088")</f>
        <v>1568407088</v>
      </c>
      <c r="E13364" t="s">
        <v>1977</v>
      </c>
    </row>
    <row r="13365" spans="1:5" x14ac:dyDescent="0.25">
      <c r="A13365" t="s">
        <v>2</v>
      </c>
      <c r="B13365" t="s">
        <v>3458</v>
      </c>
      <c r="C13365" t="s">
        <v>23490</v>
      </c>
      <c r="D13365" t="str">
        <f>HYPERLINK("https://rhld.insurance.arkansas.gov/NPILookup?Npi=1568407666","1568407666")</f>
        <v>1568407666</v>
      </c>
      <c r="E13365" t="s">
        <v>1978</v>
      </c>
    </row>
    <row r="13366" spans="1:5" x14ac:dyDescent="0.25">
      <c r="A13366" t="s">
        <v>2</v>
      </c>
      <c r="B13366" t="s">
        <v>3458</v>
      </c>
      <c r="C13366" t="s">
        <v>23490</v>
      </c>
      <c r="D13366" t="str">
        <f>HYPERLINK("https://rhld.insurance.arkansas.gov/NPILookup?Npi=1568414415","1568414415")</f>
        <v>1568414415</v>
      </c>
      <c r="E13366" t="s">
        <v>1979</v>
      </c>
    </row>
    <row r="13367" spans="1:5" x14ac:dyDescent="0.25">
      <c r="A13367" t="s">
        <v>2</v>
      </c>
      <c r="B13367" t="s">
        <v>3458</v>
      </c>
      <c r="C13367" t="s">
        <v>23490</v>
      </c>
      <c r="D13367" t="str">
        <f>HYPERLINK("https://rhld.insurance.arkansas.gov/NPILookup?Npi=1568414704","1568414704")</f>
        <v>1568414704</v>
      </c>
      <c r="E13367" t="s">
        <v>1980</v>
      </c>
    </row>
    <row r="13368" spans="1:5" x14ac:dyDescent="0.25">
      <c r="A13368" t="s">
        <v>2</v>
      </c>
      <c r="B13368" t="s">
        <v>3458</v>
      </c>
      <c r="C13368" t="s">
        <v>23490</v>
      </c>
      <c r="D13368" t="str">
        <f>HYPERLINK("https://rhld.insurance.arkansas.gov/NPILookup?Npi=1568425510","1568425510")</f>
        <v>1568425510</v>
      </c>
      <c r="E13368" t="s">
        <v>1981</v>
      </c>
    </row>
    <row r="13369" spans="1:5" x14ac:dyDescent="0.25">
      <c r="A13369" t="s">
        <v>2</v>
      </c>
      <c r="B13369" t="s">
        <v>3458</v>
      </c>
      <c r="C13369" t="s">
        <v>23490</v>
      </c>
      <c r="D13369" t="str">
        <f>HYPERLINK("https://rhld.insurance.arkansas.gov/NPILookup?Npi=1568428175","1568428175")</f>
        <v>1568428175</v>
      </c>
      <c r="E13369" t="s">
        <v>3797</v>
      </c>
    </row>
    <row r="13370" spans="1:5" x14ac:dyDescent="0.25">
      <c r="A13370" t="s">
        <v>2</v>
      </c>
      <c r="B13370" t="s">
        <v>3458</v>
      </c>
      <c r="C13370" t="s">
        <v>23490</v>
      </c>
      <c r="D13370" t="str">
        <f>HYPERLINK("https://rhld.insurance.arkansas.gov/NPILookup?Npi=1568441616","1568441616")</f>
        <v>1568441616</v>
      </c>
      <c r="E13370" t="s">
        <v>19833</v>
      </c>
    </row>
    <row r="13371" spans="1:5" x14ac:dyDescent="0.25">
      <c r="A13371" t="s">
        <v>2</v>
      </c>
      <c r="B13371" t="s">
        <v>3458</v>
      </c>
      <c r="C13371" t="s">
        <v>23490</v>
      </c>
      <c r="D13371" t="str">
        <f>HYPERLINK("https://rhld.insurance.arkansas.gov/NPILookup?Npi=1568450393","1568450393")</f>
        <v>1568450393</v>
      </c>
      <c r="E13371" t="s">
        <v>1985</v>
      </c>
    </row>
    <row r="13372" spans="1:5" x14ac:dyDescent="0.25">
      <c r="A13372" t="s">
        <v>2</v>
      </c>
      <c r="B13372" t="s">
        <v>3458</v>
      </c>
      <c r="C13372" t="s">
        <v>23490</v>
      </c>
      <c r="D13372" t="str">
        <f>HYPERLINK("https://rhld.insurance.arkansas.gov/NPILookup?Npi=1568451136","1568451136")</f>
        <v>1568451136</v>
      </c>
      <c r="E13372" t="s">
        <v>1986</v>
      </c>
    </row>
    <row r="13373" spans="1:5" x14ac:dyDescent="0.25">
      <c r="A13373" t="s">
        <v>2</v>
      </c>
      <c r="B13373" t="s">
        <v>3458</v>
      </c>
      <c r="C13373" t="s">
        <v>23490</v>
      </c>
      <c r="D13373" t="str">
        <f>HYPERLINK("https://rhld.insurance.arkansas.gov/NPILookup?Npi=1568462463","1568462463")</f>
        <v>1568462463</v>
      </c>
      <c r="E13373" t="s">
        <v>1988</v>
      </c>
    </row>
    <row r="13374" spans="1:5" x14ac:dyDescent="0.25">
      <c r="A13374" t="s">
        <v>2</v>
      </c>
      <c r="B13374" t="s">
        <v>3458</v>
      </c>
      <c r="C13374" t="s">
        <v>23490</v>
      </c>
      <c r="D13374" t="str">
        <f>HYPERLINK("https://rhld.insurance.arkansas.gov/NPILookup?Npi=1568467603","1568467603")</f>
        <v>1568467603</v>
      </c>
      <c r="E13374" t="s">
        <v>1989</v>
      </c>
    </row>
    <row r="13375" spans="1:5" x14ac:dyDescent="0.25">
      <c r="A13375" t="s">
        <v>2</v>
      </c>
      <c r="B13375" t="s">
        <v>3458</v>
      </c>
      <c r="C13375" t="s">
        <v>23490</v>
      </c>
      <c r="D13375" t="str">
        <f>HYPERLINK("https://rhld.insurance.arkansas.gov/NPILookup?Npi=1568469179","1568469179")</f>
        <v>1568469179</v>
      </c>
      <c r="E13375" t="s">
        <v>1990</v>
      </c>
    </row>
    <row r="13376" spans="1:5" x14ac:dyDescent="0.25">
      <c r="A13376" t="s">
        <v>2</v>
      </c>
      <c r="B13376" t="s">
        <v>3458</v>
      </c>
      <c r="C13376" t="s">
        <v>23490</v>
      </c>
      <c r="D13376" t="str">
        <f>HYPERLINK("https://rhld.insurance.arkansas.gov/NPILookup?Npi=1568469211","1568469211")</f>
        <v>1568469211</v>
      </c>
      <c r="E13376" t="s">
        <v>1991</v>
      </c>
    </row>
    <row r="13377" spans="1:5" x14ac:dyDescent="0.25">
      <c r="A13377" t="s">
        <v>2</v>
      </c>
      <c r="B13377" t="s">
        <v>3458</v>
      </c>
      <c r="C13377" t="s">
        <v>23490</v>
      </c>
      <c r="D13377" t="str">
        <f>HYPERLINK("https://rhld.insurance.arkansas.gov/NPILookup?Npi=1568469237","1568469237")</f>
        <v>1568469237</v>
      </c>
      <c r="E13377" t="s">
        <v>1992</v>
      </c>
    </row>
    <row r="13378" spans="1:5" x14ac:dyDescent="0.25">
      <c r="A13378" t="s">
        <v>2</v>
      </c>
      <c r="B13378" t="s">
        <v>3458</v>
      </c>
      <c r="C13378" t="s">
        <v>23490</v>
      </c>
      <c r="D13378" t="str">
        <f>HYPERLINK("https://rhld.insurance.arkansas.gov/NPILookup?Npi=1568501096","1568501096")</f>
        <v>1568501096</v>
      </c>
      <c r="E13378" t="s">
        <v>3835</v>
      </c>
    </row>
    <row r="13379" spans="1:5" x14ac:dyDescent="0.25">
      <c r="A13379" t="s">
        <v>2</v>
      </c>
      <c r="B13379" t="s">
        <v>3458</v>
      </c>
      <c r="C13379" t="s">
        <v>23490</v>
      </c>
      <c r="D13379" t="str">
        <f>HYPERLINK("https://rhld.insurance.arkansas.gov/NPILookup?Npi=1568501112","1568501112")</f>
        <v>1568501112</v>
      </c>
      <c r="E13379" t="s">
        <v>15278</v>
      </c>
    </row>
    <row r="13380" spans="1:5" x14ac:dyDescent="0.25">
      <c r="A13380" t="s">
        <v>2</v>
      </c>
      <c r="B13380" t="s">
        <v>3458</v>
      </c>
      <c r="C13380" t="s">
        <v>23490</v>
      </c>
      <c r="D13380" t="str">
        <f>HYPERLINK("https://rhld.insurance.arkansas.gov/NPILookup?Npi=1568502938","1568502938")</f>
        <v>1568502938</v>
      </c>
      <c r="E13380" t="s">
        <v>1995</v>
      </c>
    </row>
    <row r="13381" spans="1:5" x14ac:dyDescent="0.25">
      <c r="A13381" t="s">
        <v>2</v>
      </c>
      <c r="B13381" t="s">
        <v>3458</v>
      </c>
      <c r="C13381" t="s">
        <v>23490</v>
      </c>
      <c r="D13381" t="str">
        <f>HYPERLINK("https://rhld.insurance.arkansas.gov/NPILookup?Npi=1568564870","1568564870")</f>
        <v>1568564870</v>
      </c>
      <c r="E13381" t="s">
        <v>15279</v>
      </c>
    </row>
    <row r="13382" spans="1:5" x14ac:dyDescent="0.25">
      <c r="A13382" t="s">
        <v>2</v>
      </c>
      <c r="B13382" t="s">
        <v>3458</v>
      </c>
      <c r="C13382" t="s">
        <v>23490</v>
      </c>
      <c r="D13382" t="str">
        <f>HYPERLINK("https://rhld.insurance.arkansas.gov/NPILookup?Npi=1568571438","1568571438")</f>
        <v>1568571438</v>
      </c>
      <c r="E13382" t="s">
        <v>2000</v>
      </c>
    </row>
    <row r="13383" spans="1:5" x14ac:dyDescent="0.25">
      <c r="A13383" t="s">
        <v>2</v>
      </c>
      <c r="B13383" t="s">
        <v>3458</v>
      </c>
      <c r="C13383" t="s">
        <v>23490</v>
      </c>
      <c r="D13383" t="str">
        <f>HYPERLINK("https://rhld.insurance.arkansas.gov/NPILookup?Npi=1568653822","1568653822")</f>
        <v>1568653822</v>
      </c>
      <c r="E13383" t="s">
        <v>8736</v>
      </c>
    </row>
    <row r="13384" spans="1:5" x14ac:dyDescent="0.25">
      <c r="A13384" t="s">
        <v>2</v>
      </c>
      <c r="B13384" t="s">
        <v>3458</v>
      </c>
      <c r="C13384" t="s">
        <v>23490</v>
      </c>
      <c r="D13384" t="str">
        <f>HYPERLINK("https://rhld.insurance.arkansas.gov/NPILookup?Npi=1568657344","1568657344")</f>
        <v>1568657344</v>
      </c>
      <c r="E13384" t="s">
        <v>15280</v>
      </c>
    </row>
    <row r="13385" spans="1:5" x14ac:dyDescent="0.25">
      <c r="A13385" t="s">
        <v>2</v>
      </c>
      <c r="B13385" t="s">
        <v>3458</v>
      </c>
      <c r="C13385" t="s">
        <v>23490</v>
      </c>
      <c r="D13385" t="str">
        <f>HYPERLINK("https://rhld.insurance.arkansas.gov/NPILookup?Npi=1568660553","1568660553")</f>
        <v>1568660553</v>
      </c>
      <c r="E13385" t="s">
        <v>8737</v>
      </c>
    </row>
    <row r="13386" spans="1:5" x14ac:dyDescent="0.25">
      <c r="A13386" t="s">
        <v>2</v>
      </c>
      <c r="B13386" t="s">
        <v>3458</v>
      </c>
      <c r="C13386" t="s">
        <v>23490</v>
      </c>
      <c r="D13386" t="str">
        <f>HYPERLINK("https://rhld.insurance.arkansas.gov/NPILookup?Npi=1568667723","1568667723")</f>
        <v>1568667723</v>
      </c>
      <c r="E13386" t="s">
        <v>15876</v>
      </c>
    </row>
    <row r="13387" spans="1:5" x14ac:dyDescent="0.25">
      <c r="A13387" t="s">
        <v>2</v>
      </c>
      <c r="B13387" t="s">
        <v>3458</v>
      </c>
      <c r="C13387" t="s">
        <v>23490</v>
      </c>
      <c r="D13387" t="str">
        <f>HYPERLINK("https://rhld.insurance.arkansas.gov/NPILookup?Npi=1568742401","1568742401")</f>
        <v>1568742401</v>
      </c>
      <c r="E13387" t="s">
        <v>8738</v>
      </c>
    </row>
    <row r="13388" spans="1:5" x14ac:dyDescent="0.25">
      <c r="A13388" t="s">
        <v>2</v>
      </c>
      <c r="B13388" t="s">
        <v>3458</v>
      </c>
      <c r="C13388" t="s">
        <v>23490</v>
      </c>
      <c r="D13388" t="str">
        <f>HYPERLINK("https://rhld.insurance.arkansas.gov/NPILookup?Npi=1568750941","1568750941")</f>
        <v>1568750941</v>
      </c>
      <c r="E13388" t="s">
        <v>2004</v>
      </c>
    </row>
    <row r="13389" spans="1:5" x14ac:dyDescent="0.25">
      <c r="A13389" t="s">
        <v>2</v>
      </c>
      <c r="B13389" t="s">
        <v>3458</v>
      </c>
      <c r="C13389" t="s">
        <v>23490</v>
      </c>
      <c r="D13389" t="str">
        <f>HYPERLINK("https://rhld.insurance.arkansas.gov/NPILookup?Npi=1568751345","1568751345")</f>
        <v>1568751345</v>
      </c>
      <c r="E13389" t="s">
        <v>745</v>
      </c>
    </row>
    <row r="13390" spans="1:5" x14ac:dyDescent="0.25">
      <c r="A13390" t="s">
        <v>2</v>
      </c>
      <c r="B13390" t="s">
        <v>3458</v>
      </c>
      <c r="C13390" t="s">
        <v>23490</v>
      </c>
      <c r="D13390" t="str">
        <f>HYPERLINK("https://rhld.insurance.arkansas.gov/NPILookup?Npi=1568753481","1568753481")</f>
        <v>1568753481</v>
      </c>
      <c r="E13390" t="s">
        <v>2005</v>
      </c>
    </row>
    <row r="13391" spans="1:5" x14ac:dyDescent="0.25">
      <c r="A13391" t="s">
        <v>2</v>
      </c>
      <c r="B13391" t="s">
        <v>3458</v>
      </c>
      <c r="C13391" t="s">
        <v>23490</v>
      </c>
      <c r="D13391" t="str">
        <f>HYPERLINK("https://rhld.insurance.arkansas.gov/NPILookup?Npi=1568753903","1568753903")</f>
        <v>1568753903</v>
      </c>
      <c r="E13391" t="s">
        <v>11467</v>
      </c>
    </row>
    <row r="13392" spans="1:5" x14ac:dyDescent="0.25">
      <c r="A13392" t="s">
        <v>2</v>
      </c>
      <c r="B13392" t="s">
        <v>3458</v>
      </c>
      <c r="C13392" t="s">
        <v>23490</v>
      </c>
      <c r="D13392" t="str">
        <f>HYPERLINK("https://rhld.insurance.arkansas.gov/NPILookup?Npi=1568754851","1568754851")</f>
        <v>1568754851</v>
      </c>
      <c r="E13392" t="s">
        <v>2006</v>
      </c>
    </row>
    <row r="13393" spans="1:5" x14ac:dyDescent="0.25">
      <c r="A13393" t="s">
        <v>2</v>
      </c>
      <c r="B13393" t="s">
        <v>3458</v>
      </c>
      <c r="C13393" t="s">
        <v>23490</v>
      </c>
      <c r="D13393" t="str">
        <f>HYPERLINK("https://rhld.insurance.arkansas.gov/NPILookup?Npi=1568757730","1568757730")</f>
        <v>1568757730</v>
      </c>
      <c r="E13393" t="s">
        <v>11054</v>
      </c>
    </row>
    <row r="13394" spans="1:5" x14ac:dyDescent="0.25">
      <c r="A13394" t="s">
        <v>2</v>
      </c>
      <c r="B13394" t="s">
        <v>3458</v>
      </c>
      <c r="C13394" t="s">
        <v>23490</v>
      </c>
      <c r="D13394" t="str">
        <f>HYPERLINK("https://rhld.insurance.arkansas.gov/NPILookup?Npi=1568763514","1568763514")</f>
        <v>1568763514</v>
      </c>
      <c r="E13394" t="s">
        <v>18041</v>
      </c>
    </row>
    <row r="13395" spans="1:5" x14ac:dyDescent="0.25">
      <c r="A13395" t="s">
        <v>2</v>
      </c>
      <c r="B13395" t="s">
        <v>3458</v>
      </c>
      <c r="C13395" t="s">
        <v>23490</v>
      </c>
      <c r="D13395" t="str">
        <f>HYPERLINK("https://rhld.insurance.arkansas.gov/NPILookup?Npi=1568780161","1568780161")</f>
        <v>1568780161</v>
      </c>
      <c r="E13395" t="s">
        <v>3798</v>
      </c>
    </row>
    <row r="13396" spans="1:5" x14ac:dyDescent="0.25">
      <c r="A13396" t="s">
        <v>2</v>
      </c>
      <c r="B13396" t="s">
        <v>3458</v>
      </c>
      <c r="C13396" t="s">
        <v>23490</v>
      </c>
      <c r="D13396" t="str">
        <f>HYPERLINK("https://rhld.insurance.arkansas.gov/NPILookup?Npi=1568791259","1568791259")</f>
        <v>1568791259</v>
      </c>
      <c r="E13396" t="s">
        <v>11055</v>
      </c>
    </row>
    <row r="13397" spans="1:5" x14ac:dyDescent="0.25">
      <c r="A13397" t="s">
        <v>2</v>
      </c>
      <c r="B13397" t="s">
        <v>3458</v>
      </c>
      <c r="C13397" t="s">
        <v>23490</v>
      </c>
      <c r="D13397" t="str">
        <f>HYPERLINK("https://rhld.insurance.arkansas.gov/NPILookup?Npi=1568801447","1568801447")</f>
        <v>1568801447</v>
      </c>
      <c r="E13397" t="s">
        <v>8739</v>
      </c>
    </row>
    <row r="13398" spans="1:5" x14ac:dyDescent="0.25">
      <c r="A13398" t="s">
        <v>2</v>
      </c>
      <c r="B13398" t="s">
        <v>3458</v>
      </c>
      <c r="C13398" t="s">
        <v>23490</v>
      </c>
      <c r="D13398" t="str">
        <f>HYPERLINK("https://rhld.insurance.arkansas.gov/NPILookup?Npi=1568809044","1568809044")</f>
        <v>1568809044</v>
      </c>
      <c r="E13398" t="s">
        <v>12860</v>
      </c>
    </row>
    <row r="13399" spans="1:5" x14ac:dyDescent="0.25">
      <c r="A13399" t="s">
        <v>2</v>
      </c>
      <c r="B13399" t="s">
        <v>3458</v>
      </c>
      <c r="C13399" t="s">
        <v>8427</v>
      </c>
      <c r="D13399" t="str">
        <f>HYPERLINK("https://rhld.insurance.arkansas.gov/NPILookup?Npi=1568811321","1568811321")</f>
        <v>1568811321</v>
      </c>
      <c r="E13399" t="s">
        <v>22957</v>
      </c>
    </row>
    <row r="13400" spans="1:5" x14ac:dyDescent="0.25">
      <c r="A13400" t="s">
        <v>2</v>
      </c>
      <c r="B13400" t="s">
        <v>3458</v>
      </c>
      <c r="C13400" t="s">
        <v>23490</v>
      </c>
      <c r="D13400" t="str">
        <f>HYPERLINK("https://rhld.insurance.arkansas.gov/NPILookup?Npi=1568813608","1568813608")</f>
        <v>1568813608</v>
      </c>
      <c r="E13400" t="s">
        <v>12861</v>
      </c>
    </row>
    <row r="13401" spans="1:5" x14ac:dyDescent="0.25">
      <c r="A13401" t="s">
        <v>2</v>
      </c>
      <c r="B13401" t="s">
        <v>3458</v>
      </c>
      <c r="C13401" t="s">
        <v>23490</v>
      </c>
      <c r="D13401" t="str">
        <f>HYPERLINK("https://rhld.insurance.arkansas.gov/NPILookup?Npi=1568814655","1568814655")</f>
        <v>1568814655</v>
      </c>
      <c r="E13401" t="s">
        <v>11056</v>
      </c>
    </row>
    <row r="13402" spans="1:5" x14ac:dyDescent="0.25">
      <c r="A13402" t="s">
        <v>2</v>
      </c>
      <c r="B13402" t="s">
        <v>3458</v>
      </c>
      <c r="C13402" t="s">
        <v>23490</v>
      </c>
      <c r="D13402" t="str">
        <f>HYPERLINK("https://rhld.insurance.arkansas.gov/NPILookup?Npi=1568820389","1568820389")</f>
        <v>1568820389</v>
      </c>
      <c r="E13402" t="s">
        <v>8740</v>
      </c>
    </row>
    <row r="13403" spans="1:5" x14ac:dyDescent="0.25">
      <c r="A13403" t="s">
        <v>2</v>
      </c>
      <c r="B13403" t="s">
        <v>3458</v>
      </c>
      <c r="C13403" t="s">
        <v>23490</v>
      </c>
      <c r="D13403" t="str">
        <f>HYPERLINK("https://rhld.insurance.arkansas.gov/NPILookup?Npi=1568822401","1568822401")</f>
        <v>1568822401</v>
      </c>
      <c r="E13403" t="s">
        <v>8741</v>
      </c>
    </row>
    <row r="13404" spans="1:5" x14ac:dyDescent="0.25">
      <c r="A13404" t="s">
        <v>2</v>
      </c>
      <c r="B13404" t="s">
        <v>3458</v>
      </c>
      <c r="C13404" t="s">
        <v>23490</v>
      </c>
      <c r="D13404" t="str">
        <f>HYPERLINK("https://rhld.insurance.arkansas.gov/NPILookup?Npi=1568825438","1568825438")</f>
        <v>1568825438</v>
      </c>
      <c r="E13404" t="s">
        <v>15877</v>
      </c>
    </row>
    <row r="13405" spans="1:5" x14ac:dyDescent="0.25">
      <c r="A13405" t="s">
        <v>2</v>
      </c>
      <c r="B13405" t="s">
        <v>3458</v>
      </c>
      <c r="C13405" t="s">
        <v>23490</v>
      </c>
      <c r="D13405" t="str">
        <f>HYPERLINK("https://rhld.insurance.arkansas.gov/NPILookup?Npi=1568837144","1568837144")</f>
        <v>1568837144</v>
      </c>
      <c r="E13405" t="s">
        <v>8742</v>
      </c>
    </row>
    <row r="13406" spans="1:5" x14ac:dyDescent="0.25">
      <c r="A13406" t="s">
        <v>2</v>
      </c>
      <c r="B13406" t="s">
        <v>3458</v>
      </c>
      <c r="C13406" t="s">
        <v>23490</v>
      </c>
      <c r="D13406" t="str">
        <f>HYPERLINK("https://rhld.insurance.arkansas.gov/NPILookup?Npi=1568840205","1568840205")</f>
        <v>1568840205</v>
      </c>
      <c r="E13406" t="s">
        <v>11057</v>
      </c>
    </row>
    <row r="13407" spans="1:5" x14ac:dyDescent="0.25">
      <c r="A13407" t="s">
        <v>2</v>
      </c>
      <c r="B13407" t="s">
        <v>3458</v>
      </c>
      <c r="C13407" t="s">
        <v>23490</v>
      </c>
      <c r="D13407" t="str">
        <f>HYPERLINK("https://rhld.insurance.arkansas.gov/NPILookup?Npi=1568845071","1568845071")</f>
        <v>1568845071</v>
      </c>
      <c r="E13407" t="s">
        <v>2008</v>
      </c>
    </row>
    <row r="13408" spans="1:5" x14ac:dyDescent="0.25">
      <c r="A13408" t="s">
        <v>2</v>
      </c>
      <c r="B13408" t="s">
        <v>3458</v>
      </c>
      <c r="C13408" t="s">
        <v>23490</v>
      </c>
      <c r="D13408" t="str">
        <f>HYPERLINK("https://rhld.insurance.arkansas.gov/NPILookup?Npi=1568850147","1568850147")</f>
        <v>1568850147</v>
      </c>
      <c r="E13408" t="s">
        <v>8743</v>
      </c>
    </row>
    <row r="13409" spans="1:5" x14ac:dyDescent="0.25">
      <c r="A13409" t="s">
        <v>2</v>
      </c>
      <c r="B13409" t="s">
        <v>3458</v>
      </c>
      <c r="C13409" t="s">
        <v>23490</v>
      </c>
      <c r="D13409" t="str">
        <f>HYPERLINK("https://rhld.insurance.arkansas.gov/NPILookup?Npi=1568853356","1568853356")</f>
        <v>1568853356</v>
      </c>
      <c r="E13409" t="s">
        <v>8744</v>
      </c>
    </row>
    <row r="13410" spans="1:5" x14ac:dyDescent="0.25">
      <c r="A13410" t="s">
        <v>2</v>
      </c>
      <c r="B13410" t="s">
        <v>3458</v>
      </c>
      <c r="C13410" t="s">
        <v>23490</v>
      </c>
      <c r="D13410" t="str">
        <f>HYPERLINK("https://rhld.insurance.arkansas.gov/NPILookup?Npi=1568859486","1568859486")</f>
        <v>1568859486</v>
      </c>
      <c r="E13410" t="s">
        <v>13857</v>
      </c>
    </row>
    <row r="13411" spans="1:5" x14ac:dyDescent="0.25">
      <c r="A13411" t="s">
        <v>2</v>
      </c>
      <c r="B13411" t="s">
        <v>3458</v>
      </c>
      <c r="C13411" t="s">
        <v>23490</v>
      </c>
      <c r="D13411" t="str">
        <f>HYPERLINK("https://rhld.insurance.arkansas.gov/NPILookup?Npi=1568864148","1568864148")</f>
        <v>1568864148</v>
      </c>
      <c r="E13411" t="s">
        <v>2009</v>
      </c>
    </row>
    <row r="13412" spans="1:5" x14ac:dyDescent="0.25">
      <c r="A13412" t="s">
        <v>2</v>
      </c>
      <c r="B13412" t="s">
        <v>3458</v>
      </c>
      <c r="C13412" t="s">
        <v>23490</v>
      </c>
      <c r="D13412" t="str">
        <f>HYPERLINK("https://rhld.insurance.arkansas.gov/NPILookup?Npi=1568870640","1568870640")</f>
        <v>1568870640</v>
      </c>
      <c r="E13412" t="s">
        <v>2010</v>
      </c>
    </row>
    <row r="13413" spans="1:5" x14ac:dyDescent="0.25">
      <c r="A13413" t="s">
        <v>2</v>
      </c>
      <c r="B13413" t="s">
        <v>3458</v>
      </c>
      <c r="C13413" t="s">
        <v>23490</v>
      </c>
      <c r="D13413" t="str">
        <f>HYPERLINK("https://rhld.insurance.arkansas.gov/NPILookup?Npi=1568878668","1568878668")</f>
        <v>1568878668</v>
      </c>
      <c r="E13413" t="s">
        <v>2011</v>
      </c>
    </row>
    <row r="13414" spans="1:5" x14ac:dyDescent="0.25">
      <c r="A13414" t="s">
        <v>2</v>
      </c>
      <c r="B13414" t="s">
        <v>3458</v>
      </c>
      <c r="C13414" t="s">
        <v>23490</v>
      </c>
      <c r="D13414" t="str">
        <f>HYPERLINK("https://rhld.insurance.arkansas.gov/NPILookup?Npi=1568881845","1568881845")</f>
        <v>1568881845</v>
      </c>
      <c r="E13414" t="s">
        <v>11468</v>
      </c>
    </row>
    <row r="13415" spans="1:5" x14ac:dyDescent="0.25">
      <c r="A13415" t="s">
        <v>2</v>
      </c>
      <c r="B13415" t="s">
        <v>3458</v>
      </c>
      <c r="C13415" t="s">
        <v>23490</v>
      </c>
      <c r="D13415" t="str">
        <f>HYPERLINK("https://rhld.insurance.arkansas.gov/NPILookup?Npi=1568885499","1568885499")</f>
        <v>1568885499</v>
      </c>
      <c r="E13415" t="s">
        <v>13602</v>
      </c>
    </row>
    <row r="13416" spans="1:5" x14ac:dyDescent="0.25">
      <c r="A13416" t="s">
        <v>2</v>
      </c>
      <c r="B13416" t="s">
        <v>3458</v>
      </c>
      <c r="C13416" t="s">
        <v>23490</v>
      </c>
      <c r="D13416" t="str">
        <f>HYPERLINK("https://rhld.insurance.arkansas.gov/NPILookup?Npi=1568900793","1568900793")</f>
        <v>1568900793</v>
      </c>
      <c r="E13416" t="s">
        <v>18042</v>
      </c>
    </row>
    <row r="13417" spans="1:5" x14ac:dyDescent="0.25">
      <c r="A13417" t="s">
        <v>2</v>
      </c>
      <c r="B13417" t="s">
        <v>3458</v>
      </c>
      <c r="C13417" t="s">
        <v>23490</v>
      </c>
      <c r="D13417" t="str">
        <f>HYPERLINK("https://rhld.insurance.arkansas.gov/NPILookup?Npi=1568932119","1568932119")</f>
        <v>1568932119</v>
      </c>
      <c r="E13417" t="s">
        <v>20253</v>
      </c>
    </row>
    <row r="13418" spans="1:5" x14ac:dyDescent="0.25">
      <c r="A13418" t="s">
        <v>2</v>
      </c>
      <c r="B13418" t="s">
        <v>3458</v>
      </c>
      <c r="C13418" t="s">
        <v>23490</v>
      </c>
      <c r="D13418" t="str">
        <f>HYPERLINK("https://rhld.insurance.arkansas.gov/NPILookup?Npi=1568947752","1568947752")</f>
        <v>1568947752</v>
      </c>
      <c r="E13418" t="s">
        <v>13603</v>
      </c>
    </row>
    <row r="13419" spans="1:5" x14ac:dyDescent="0.25">
      <c r="A13419" t="s">
        <v>2</v>
      </c>
      <c r="B13419" t="s">
        <v>3458</v>
      </c>
      <c r="C13419" t="s">
        <v>23490</v>
      </c>
      <c r="D13419" t="str">
        <f>HYPERLINK("https://rhld.insurance.arkansas.gov/NPILookup?Npi=1568958833","1568958833")</f>
        <v>1568958833</v>
      </c>
      <c r="E13419" t="s">
        <v>13858</v>
      </c>
    </row>
    <row r="13420" spans="1:5" x14ac:dyDescent="0.25">
      <c r="A13420" t="s">
        <v>2</v>
      </c>
      <c r="B13420" t="s">
        <v>3458</v>
      </c>
      <c r="C13420" t="s">
        <v>8427</v>
      </c>
      <c r="D13420" t="str">
        <f>HYPERLINK("https://rhld.insurance.arkansas.gov/NPILookup?Npi=1568959674","1568959674")</f>
        <v>1568959674</v>
      </c>
      <c r="E13420" t="s">
        <v>22958</v>
      </c>
    </row>
    <row r="13421" spans="1:5" x14ac:dyDescent="0.25">
      <c r="A13421" t="s">
        <v>2</v>
      </c>
      <c r="B13421" t="s">
        <v>3458</v>
      </c>
      <c r="C13421" t="s">
        <v>23490</v>
      </c>
      <c r="D13421" t="str">
        <f>HYPERLINK("https://rhld.insurance.arkansas.gov/NPILookup?Npi=1568979052","1568979052")</f>
        <v>1568979052</v>
      </c>
      <c r="E13421" t="s">
        <v>12862</v>
      </c>
    </row>
    <row r="13422" spans="1:5" x14ac:dyDescent="0.25">
      <c r="A13422" t="s">
        <v>2</v>
      </c>
      <c r="B13422" t="s">
        <v>3458</v>
      </c>
      <c r="C13422" t="s">
        <v>23490</v>
      </c>
      <c r="D13422" t="str">
        <f>HYPERLINK("https://rhld.insurance.arkansas.gov/NPILookup?Npi=1568984698","1568984698")</f>
        <v>1568984698</v>
      </c>
      <c r="E13422" t="s">
        <v>15878</v>
      </c>
    </row>
    <row r="13423" spans="1:5" x14ac:dyDescent="0.25">
      <c r="A13423" t="s">
        <v>2</v>
      </c>
      <c r="B13423" t="s">
        <v>3458</v>
      </c>
      <c r="C13423" t="s">
        <v>23490</v>
      </c>
      <c r="D13423" t="str">
        <f>HYPERLINK("https://rhld.insurance.arkansas.gov/NPILookup?Npi=1568998235","1568998235")</f>
        <v>1568998235</v>
      </c>
      <c r="E13423" t="s">
        <v>17440</v>
      </c>
    </row>
    <row r="13424" spans="1:5" x14ac:dyDescent="0.25">
      <c r="A13424" t="s">
        <v>2</v>
      </c>
      <c r="B13424" t="s">
        <v>3458</v>
      </c>
      <c r="C13424" t="s">
        <v>23490</v>
      </c>
      <c r="D13424" t="str">
        <f>HYPERLINK("https://rhld.insurance.arkansas.gov/NPILookup?Npi=1578000287","1578000287")</f>
        <v>1578000287</v>
      </c>
      <c r="E13424" t="s">
        <v>11058</v>
      </c>
    </row>
    <row r="13425" spans="1:5" x14ac:dyDescent="0.25">
      <c r="A13425" t="s">
        <v>2</v>
      </c>
      <c r="B13425" t="s">
        <v>3458</v>
      </c>
      <c r="C13425" t="s">
        <v>23490</v>
      </c>
      <c r="D13425" t="str">
        <f>HYPERLINK("https://rhld.insurance.arkansas.gov/NPILookup?Npi=1578004685","1578004685")</f>
        <v>1578004685</v>
      </c>
      <c r="E13425" t="s">
        <v>11059</v>
      </c>
    </row>
    <row r="13426" spans="1:5" x14ac:dyDescent="0.25">
      <c r="A13426" t="s">
        <v>2</v>
      </c>
      <c r="B13426" t="s">
        <v>3458</v>
      </c>
      <c r="C13426" t="s">
        <v>23490</v>
      </c>
      <c r="D13426" t="str">
        <f>HYPERLINK("https://rhld.insurance.arkansas.gov/NPILookup?Npi=1578006565","1578006565")</f>
        <v>1578006565</v>
      </c>
      <c r="E13426" t="s">
        <v>11060</v>
      </c>
    </row>
    <row r="13427" spans="1:5" x14ac:dyDescent="0.25">
      <c r="A13427" t="s">
        <v>2</v>
      </c>
      <c r="B13427" t="s">
        <v>3458</v>
      </c>
      <c r="C13427" t="s">
        <v>23490</v>
      </c>
      <c r="D13427" t="str">
        <f>HYPERLINK("https://rhld.insurance.arkansas.gov/NPILookup?Npi=1578050472","1578050472")</f>
        <v>1578050472</v>
      </c>
      <c r="E13427" t="s">
        <v>18811</v>
      </c>
    </row>
    <row r="13428" spans="1:5" x14ac:dyDescent="0.25">
      <c r="A13428" t="s">
        <v>2</v>
      </c>
      <c r="B13428" t="s">
        <v>3458</v>
      </c>
      <c r="C13428" t="s">
        <v>23490</v>
      </c>
      <c r="D13428" t="str">
        <f>HYPERLINK("https://rhld.insurance.arkansas.gov/NPILookup?Npi=1578098570","1578098570")</f>
        <v>1578098570</v>
      </c>
      <c r="E13428" t="s">
        <v>11061</v>
      </c>
    </row>
    <row r="13429" spans="1:5" x14ac:dyDescent="0.25">
      <c r="A13429" t="s">
        <v>2</v>
      </c>
      <c r="B13429" t="s">
        <v>3458</v>
      </c>
      <c r="C13429" t="s">
        <v>23490</v>
      </c>
      <c r="D13429" t="str">
        <f>HYPERLINK("https://rhld.insurance.arkansas.gov/NPILookup?Npi=1578101655","1578101655")</f>
        <v>1578101655</v>
      </c>
      <c r="E13429" t="s">
        <v>17441</v>
      </c>
    </row>
    <row r="13430" spans="1:5" x14ac:dyDescent="0.25">
      <c r="A13430" t="s">
        <v>2</v>
      </c>
      <c r="B13430" t="s">
        <v>3458</v>
      </c>
      <c r="C13430" t="s">
        <v>23490</v>
      </c>
      <c r="D13430" t="str">
        <f>HYPERLINK("https://rhld.insurance.arkansas.gov/NPILookup?Npi=1578118873","1578118873")</f>
        <v>1578118873</v>
      </c>
      <c r="E13430" t="s">
        <v>18812</v>
      </c>
    </row>
    <row r="13431" spans="1:5" x14ac:dyDescent="0.25">
      <c r="A13431" t="s">
        <v>2</v>
      </c>
      <c r="B13431" t="s">
        <v>3458</v>
      </c>
      <c r="C13431" t="s">
        <v>23490</v>
      </c>
      <c r="D13431" t="str">
        <f>HYPERLINK("https://rhld.insurance.arkansas.gov/NPILookup?Npi=1578134946","1578134946")</f>
        <v>1578134946</v>
      </c>
      <c r="E13431" t="s">
        <v>18813</v>
      </c>
    </row>
    <row r="13432" spans="1:5" x14ac:dyDescent="0.25">
      <c r="A13432" t="s">
        <v>2</v>
      </c>
      <c r="B13432" t="s">
        <v>3458</v>
      </c>
      <c r="C13432" t="s">
        <v>23490</v>
      </c>
      <c r="D13432" t="str">
        <f>HYPERLINK("https://rhld.insurance.arkansas.gov/NPILookup?Npi=1578141180","1578141180")</f>
        <v>1578141180</v>
      </c>
      <c r="E13432" t="s">
        <v>18044</v>
      </c>
    </row>
    <row r="13433" spans="1:5" x14ac:dyDescent="0.25">
      <c r="A13433" t="s">
        <v>2</v>
      </c>
      <c r="B13433" t="s">
        <v>3458</v>
      </c>
      <c r="C13433" t="s">
        <v>23490</v>
      </c>
      <c r="D13433" t="str">
        <f>HYPERLINK("https://rhld.insurance.arkansas.gov/NPILookup?Npi=1578165858","1578165858")</f>
        <v>1578165858</v>
      </c>
      <c r="E13433" t="s">
        <v>18045</v>
      </c>
    </row>
    <row r="13434" spans="1:5" x14ac:dyDescent="0.25">
      <c r="A13434" t="s">
        <v>2</v>
      </c>
      <c r="B13434" t="s">
        <v>3458</v>
      </c>
      <c r="C13434" t="s">
        <v>23490</v>
      </c>
      <c r="D13434" t="str">
        <f>HYPERLINK("https://rhld.insurance.arkansas.gov/NPILookup?Npi=1578169744","1578169744")</f>
        <v>1578169744</v>
      </c>
      <c r="E13434" t="s">
        <v>21580</v>
      </c>
    </row>
    <row r="13435" spans="1:5" x14ac:dyDescent="0.25">
      <c r="A13435" t="s">
        <v>2</v>
      </c>
      <c r="B13435" t="s">
        <v>3458</v>
      </c>
      <c r="C13435" t="s">
        <v>23490</v>
      </c>
      <c r="D13435" t="str">
        <f>HYPERLINK("https://rhld.insurance.arkansas.gov/NPILookup?Npi=1578183653","1578183653")</f>
        <v>1578183653</v>
      </c>
      <c r="E13435" t="s">
        <v>21581</v>
      </c>
    </row>
    <row r="13436" spans="1:5" x14ac:dyDescent="0.25">
      <c r="A13436" t="s">
        <v>2</v>
      </c>
      <c r="B13436" t="s">
        <v>3458</v>
      </c>
      <c r="C13436" t="s">
        <v>23490</v>
      </c>
      <c r="D13436" t="str">
        <f>HYPERLINK("https://rhld.insurance.arkansas.gov/NPILookup?Npi=1578186631","1578186631")</f>
        <v>1578186631</v>
      </c>
      <c r="E13436" t="s">
        <v>19839</v>
      </c>
    </row>
    <row r="13437" spans="1:5" x14ac:dyDescent="0.25">
      <c r="A13437" t="s">
        <v>2</v>
      </c>
      <c r="B13437" t="s">
        <v>3458</v>
      </c>
      <c r="C13437" t="s">
        <v>23490</v>
      </c>
      <c r="D13437" t="str">
        <f>HYPERLINK("https://rhld.insurance.arkansas.gov/NPILookup?Npi=1578193637","1578193637")</f>
        <v>1578193637</v>
      </c>
      <c r="E13437" t="s">
        <v>19840</v>
      </c>
    </row>
    <row r="13438" spans="1:5" x14ac:dyDescent="0.25">
      <c r="A13438" t="s">
        <v>2</v>
      </c>
      <c r="B13438" t="s">
        <v>3458</v>
      </c>
      <c r="C13438" t="s">
        <v>23490</v>
      </c>
      <c r="D13438" t="str">
        <f>HYPERLINK("https://rhld.insurance.arkansas.gov/NPILookup?Npi=1578234365","1578234365")</f>
        <v>1578234365</v>
      </c>
      <c r="E13438" t="s">
        <v>18814</v>
      </c>
    </row>
    <row r="13439" spans="1:5" x14ac:dyDescent="0.25">
      <c r="A13439" t="s">
        <v>2</v>
      </c>
      <c r="B13439" t="s">
        <v>3458</v>
      </c>
      <c r="C13439" t="s">
        <v>23490</v>
      </c>
      <c r="D13439" t="str">
        <f>HYPERLINK("https://rhld.insurance.arkansas.gov/NPILookup?Npi=1578236113","1578236113")</f>
        <v>1578236113</v>
      </c>
      <c r="E13439" t="s">
        <v>18815</v>
      </c>
    </row>
    <row r="13440" spans="1:5" x14ac:dyDescent="0.25">
      <c r="A13440" t="s">
        <v>2</v>
      </c>
      <c r="B13440" t="s">
        <v>3458</v>
      </c>
      <c r="C13440" t="s">
        <v>23490</v>
      </c>
      <c r="D13440" t="str">
        <f>HYPERLINK("https://rhld.insurance.arkansas.gov/NPILookup?Npi=1578285383","1578285383")</f>
        <v>1578285383</v>
      </c>
      <c r="E13440" t="s">
        <v>21745</v>
      </c>
    </row>
    <row r="13441" spans="1:5" x14ac:dyDescent="0.25">
      <c r="A13441" t="s">
        <v>2</v>
      </c>
      <c r="B13441" t="s">
        <v>3458</v>
      </c>
      <c r="C13441" t="s">
        <v>23490</v>
      </c>
      <c r="D13441" t="str">
        <f>HYPERLINK("https://rhld.insurance.arkansas.gov/NPILookup?Npi=1578501300","1578501300")</f>
        <v>1578501300</v>
      </c>
      <c r="E13441" t="s">
        <v>2012</v>
      </c>
    </row>
    <row r="13442" spans="1:5" x14ac:dyDescent="0.25">
      <c r="A13442" t="s">
        <v>2</v>
      </c>
      <c r="B13442" t="s">
        <v>3458</v>
      </c>
      <c r="C13442" t="s">
        <v>23490</v>
      </c>
      <c r="D13442" t="str">
        <f>HYPERLINK("https://rhld.insurance.arkansas.gov/NPILookup?Npi=1578507661","1578507661")</f>
        <v>1578507661</v>
      </c>
      <c r="E13442" t="s">
        <v>2013</v>
      </c>
    </row>
    <row r="13443" spans="1:5" x14ac:dyDescent="0.25">
      <c r="A13443" t="s">
        <v>2</v>
      </c>
      <c r="B13443" t="s">
        <v>3458</v>
      </c>
      <c r="C13443" t="s">
        <v>23490</v>
      </c>
      <c r="D13443" t="str">
        <f>HYPERLINK("https://rhld.insurance.arkansas.gov/NPILookup?Npi=1578510996","1578510996")</f>
        <v>1578510996</v>
      </c>
      <c r="E13443" t="s">
        <v>8748</v>
      </c>
    </row>
    <row r="13444" spans="1:5" x14ac:dyDescent="0.25">
      <c r="A13444" t="s">
        <v>2</v>
      </c>
      <c r="B13444" t="s">
        <v>3458</v>
      </c>
      <c r="C13444" t="s">
        <v>23490</v>
      </c>
      <c r="D13444" t="str">
        <f>HYPERLINK("https://rhld.insurance.arkansas.gov/NPILookup?Npi=1578512356","1578512356")</f>
        <v>1578512356</v>
      </c>
      <c r="E13444" t="s">
        <v>11062</v>
      </c>
    </row>
    <row r="13445" spans="1:5" x14ac:dyDescent="0.25">
      <c r="A13445" t="s">
        <v>2</v>
      </c>
      <c r="B13445" t="s">
        <v>3458</v>
      </c>
      <c r="C13445" t="s">
        <v>23490</v>
      </c>
      <c r="D13445" t="str">
        <f>HYPERLINK("https://rhld.insurance.arkansas.gov/NPILookup?Npi=1578514816","1578514816")</f>
        <v>1578514816</v>
      </c>
      <c r="E13445" t="s">
        <v>3799</v>
      </c>
    </row>
    <row r="13446" spans="1:5" x14ac:dyDescent="0.25">
      <c r="A13446" t="s">
        <v>2</v>
      </c>
      <c r="B13446" t="s">
        <v>3458</v>
      </c>
      <c r="C13446" t="s">
        <v>23490</v>
      </c>
      <c r="D13446" t="str">
        <f>HYPERLINK("https://rhld.insurance.arkansas.gov/NPILookup?Npi=1578517421","1578517421")</f>
        <v>1578517421</v>
      </c>
      <c r="E13446" t="s">
        <v>15281</v>
      </c>
    </row>
    <row r="13447" spans="1:5" x14ac:dyDescent="0.25">
      <c r="A13447" t="s">
        <v>2</v>
      </c>
      <c r="B13447" t="s">
        <v>3458</v>
      </c>
      <c r="C13447" t="s">
        <v>23490</v>
      </c>
      <c r="D13447" t="str">
        <f>HYPERLINK("https://rhld.insurance.arkansas.gov/NPILookup?Npi=1578517504","1578517504")</f>
        <v>1578517504</v>
      </c>
      <c r="E13447" t="s">
        <v>2014</v>
      </c>
    </row>
    <row r="13448" spans="1:5" x14ac:dyDescent="0.25">
      <c r="A13448" t="s">
        <v>2</v>
      </c>
      <c r="B13448" t="s">
        <v>3458</v>
      </c>
      <c r="C13448" t="s">
        <v>23490</v>
      </c>
      <c r="D13448" t="str">
        <f>HYPERLINK("https://rhld.insurance.arkansas.gov/NPILookup?Npi=1578520227","1578520227")</f>
        <v>1578520227</v>
      </c>
      <c r="E13448" t="s">
        <v>2015</v>
      </c>
    </row>
    <row r="13449" spans="1:5" x14ac:dyDescent="0.25">
      <c r="A13449" t="s">
        <v>2</v>
      </c>
      <c r="B13449" t="s">
        <v>3458</v>
      </c>
      <c r="C13449" t="s">
        <v>23490</v>
      </c>
      <c r="D13449" t="str">
        <f>HYPERLINK("https://rhld.insurance.arkansas.gov/NPILookup?Npi=1578523585","1578523585")</f>
        <v>1578523585</v>
      </c>
      <c r="E13449" t="s">
        <v>2016</v>
      </c>
    </row>
    <row r="13450" spans="1:5" x14ac:dyDescent="0.25">
      <c r="A13450" t="s">
        <v>2</v>
      </c>
      <c r="B13450" t="s">
        <v>3458</v>
      </c>
      <c r="C13450" t="s">
        <v>23490</v>
      </c>
      <c r="D13450" t="str">
        <f>HYPERLINK("https://rhld.insurance.arkansas.gov/NPILookup?Npi=1578524047","1578524047")</f>
        <v>1578524047</v>
      </c>
      <c r="E13450" t="s">
        <v>2017</v>
      </c>
    </row>
    <row r="13451" spans="1:5" x14ac:dyDescent="0.25">
      <c r="A13451" t="s">
        <v>2</v>
      </c>
      <c r="B13451" t="s">
        <v>3458</v>
      </c>
      <c r="C13451" t="s">
        <v>23490</v>
      </c>
      <c r="D13451" t="str">
        <f>HYPERLINK("https://rhld.insurance.arkansas.gov/NPILookup?Npi=1578524435","1578524435")</f>
        <v>1578524435</v>
      </c>
      <c r="E13451" t="s">
        <v>2018</v>
      </c>
    </row>
    <row r="13452" spans="1:5" x14ac:dyDescent="0.25">
      <c r="A13452" t="s">
        <v>2</v>
      </c>
      <c r="B13452" t="s">
        <v>3458</v>
      </c>
      <c r="C13452" t="s">
        <v>23490</v>
      </c>
      <c r="D13452" t="str">
        <f>HYPERLINK("https://rhld.insurance.arkansas.gov/NPILookup?Npi=1578525085","1578525085")</f>
        <v>1578525085</v>
      </c>
      <c r="E13452" t="s">
        <v>3800</v>
      </c>
    </row>
    <row r="13453" spans="1:5" x14ac:dyDescent="0.25">
      <c r="A13453" t="s">
        <v>2</v>
      </c>
      <c r="B13453" t="s">
        <v>3458</v>
      </c>
      <c r="C13453" t="s">
        <v>23490</v>
      </c>
      <c r="D13453" t="str">
        <f>HYPERLINK("https://rhld.insurance.arkansas.gov/NPILookup?Npi=1578527412","1578527412")</f>
        <v>1578527412</v>
      </c>
      <c r="E13453" t="s">
        <v>2019</v>
      </c>
    </row>
    <row r="13454" spans="1:5" x14ac:dyDescent="0.25">
      <c r="A13454" t="s">
        <v>2</v>
      </c>
      <c r="B13454" t="s">
        <v>3458</v>
      </c>
      <c r="C13454" t="s">
        <v>23490</v>
      </c>
      <c r="D13454" t="str">
        <f>HYPERLINK("https://rhld.insurance.arkansas.gov/NPILookup?Npi=1578530366","1578530366")</f>
        <v>1578530366</v>
      </c>
      <c r="E13454" t="s">
        <v>2020</v>
      </c>
    </row>
    <row r="13455" spans="1:5" x14ac:dyDescent="0.25">
      <c r="A13455" t="s">
        <v>2</v>
      </c>
      <c r="B13455" t="s">
        <v>3458</v>
      </c>
      <c r="C13455" t="s">
        <v>23490</v>
      </c>
      <c r="D13455" t="str">
        <f>HYPERLINK("https://rhld.insurance.arkansas.gov/NPILookup?Npi=1578534012","1578534012")</f>
        <v>1578534012</v>
      </c>
      <c r="E13455" t="s">
        <v>2021</v>
      </c>
    </row>
    <row r="13456" spans="1:5" x14ac:dyDescent="0.25">
      <c r="A13456" t="s">
        <v>2</v>
      </c>
      <c r="B13456" t="s">
        <v>3458</v>
      </c>
      <c r="C13456" t="s">
        <v>23490</v>
      </c>
      <c r="D13456" t="str">
        <f>HYPERLINK("https://rhld.insurance.arkansas.gov/NPILookup?Npi=1578536017","1578536017")</f>
        <v>1578536017</v>
      </c>
      <c r="E13456" t="s">
        <v>2022</v>
      </c>
    </row>
    <row r="13457" spans="1:5" x14ac:dyDescent="0.25">
      <c r="A13457" t="s">
        <v>2</v>
      </c>
      <c r="B13457" t="s">
        <v>3458</v>
      </c>
      <c r="C13457" t="s">
        <v>23490</v>
      </c>
      <c r="D13457" t="str">
        <f>HYPERLINK("https://rhld.insurance.arkansas.gov/NPILookup?Npi=1578538591","1578538591")</f>
        <v>1578538591</v>
      </c>
      <c r="E13457" t="s">
        <v>15282</v>
      </c>
    </row>
    <row r="13458" spans="1:5" x14ac:dyDescent="0.25">
      <c r="A13458" t="s">
        <v>2</v>
      </c>
      <c r="B13458" t="s">
        <v>3458</v>
      </c>
      <c r="C13458" t="s">
        <v>23490</v>
      </c>
      <c r="D13458" t="str">
        <f>HYPERLINK("https://rhld.insurance.arkansas.gov/NPILookup?Npi=1578542015","1578542015")</f>
        <v>1578542015</v>
      </c>
      <c r="E13458" t="s">
        <v>11063</v>
      </c>
    </row>
    <row r="13459" spans="1:5" x14ac:dyDescent="0.25">
      <c r="A13459" t="s">
        <v>2</v>
      </c>
      <c r="B13459" t="s">
        <v>3458</v>
      </c>
      <c r="C13459" t="s">
        <v>23490</v>
      </c>
      <c r="D13459" t="str">
        <f>HYPERLINK("https://rhld.insurance.arkansas.gov/NPILookup?Npi=1578558607","1578558607")</f>
        <v>1578558607</v>
      </c>
      <c r="E13459" t="s">
        <v>15283</v>
      </c>
    </row>
    <row r="13460" spans="1:5" x14ac:dyDescent="0.25">
      <c r="A13460" t="s">
        <v>2</v>
      </c>
      <c r="B13460" t="s">
        <v>3458</v>
      </c>
      <c r="C13460" t="s">
        <v>23490</v>
      </c>
      <c r="D13460" t="str">
        <f>HYPERLINK("https://rhld.insurance.arkansas.gov/NPILookup?Npi=1578559027","1578559027")</f>
        <v>1578559027</v>
      </c>
      <c r="E13460" t="s">
        <v>2024</v>
      </c>
    </row>
    <row r="13461" spans="1:5" x14ac:dyDescent="0.25">
      <c r="A13461" t="s">
        <v>2</v>
      </c>
      <c r="B13461" t="s">
        <v>3458</v>
      </c>
      <c r="C13461" t="s">
        <v>23490</v>
      </c>
      <c r="D13461" t="str">
        <f>HYPERLINK("https://rhld.insurance.arkansas.gov/NPILookup?Npi=1578562567","1578562567")</f>
        <v>1578562567</v>
      </c>
      <c r="E13461" t="s">
        <v>3801</v>
      </c>
    </row>
    <row r="13462" spans="1:5" x14ac:dyDescent="0.25">
      <c r="A13462" t="s">
        <v>2</v>
      </c>
      <c r="B13462" t="s">
        <v>3458</v>
      </c>
      <c r="C13462" t="s">
        <v>23490</v>
      </c>
      <c r="D13462" t="str">
        <f>HYPERLINK("https://rhld.insurance.arkansas.gov/NPILookup?Npi=1578565321","1578565321")</f>
        <v>1578565321</v>
      </c>
      <c r="E13462" t="s">
        <v>2025</v>
      </c>
    </row>
    <row r="13463" spans="1:5" x14ac:dyDescent="0.25">
      <c r="A13463" t="s">
        <v>2</v>
      </c>
      <c r="B13463" t="s">
        <v>3458</v>
      </c>
      <c r="C13463" t="s">
        <v>23490</v>
      </c>
      <c r="D13463" t="str">
        <f>HYPERLINK("https://rhld.insurance.arkansas.gov/NPILookup?Npi=1578584553","1578584553")</f>
        <v>1578584553</v>
      </c>
      <c r="E13463" t="s">
        <v>15284</v>
      </c>
    </row>
    <row r="13464" spans="1:5" x14ac:dyDescent="0.25">
      <c r="A13464" t="s">
        <v>2</v>
      </c>
      <c r="B13464" t="s">
        <v>3458</v>
      </c>
      <c r="C13464" t="s">
        <v>23490</v>
      </c>
      <c r="D13464" t="str">
        <f>HYPERLINK("https://rhld.insurance.arkansas.gov/NPILookup?Npi=1578595203","1578595203")</f>
        <v>1578595203</v>
      </c>
      <c r="E13464" t="s">
        <v>15285</v>
      </c>
    </row>
    <row r="13465" spans="1:5" x14ac:dyDescent="0.25">
      <c r="A13465" t="s">
        <v>2</v>
      </c>
      <c r="B13465" t="s">
        <v>3458</v>
      </c>
      <c r="C13465" t="s">
        <v>23490</v>
      </c>
      <c r="D13465" t="str">
        <f>HYPERLINK("https://rhld.insurance.arkansas.gov/NPILookup?Npi=1578599239","1578599239")</f>
        <v>1578599239</v>
      </c>
      <c r="E13465" t="s">
        <v>2027</v>
      </c>
    </row>
    <row r="13466" spans="1:5" x14ac:dyDescent="0.25">
      <c r="A13466" t="s">
        <v>2</v>
      </c>
      <c r="B13466" t="s">
        <v>3458</v>
      </c>
      <c r="C13466" t="s">
        <v>23490</v>
      </c>
      <c r="D13466" t="str">
        <f>HYPERLINK("https://rhld.insurance.arkansas.gov/NPILookup?Npi=1578632485","1578632485")</f>
        <v>1578632485</v>
      </c>
      <c r="E13466" t="s">
        <v>2030</v>
      </c>
    </row>
    <row r="13467" spans="1:5" x14ac:dyDescent="0.25">
      <c r="A13467" t="s">
        <v>2</v>
      </c>
      <c r="B13467" t="s">
        <v>3458</v>
      </c>
      <c r="C13467" t="s">
        <v>23490</v>
      </c>
      <c r="D13467" t="str">
        <f>HYPERLINK("https://rhld.insurance.arkansas.gov/NPILookup?Npi=1578643581","1578643581")</f>
        <v>1578643581</v>
      </c>
      <c r="E13467" t="s">
        <v>720</v>
      </c>
    </row>
    <row r="13468" spans="1:5" x14ac:dyDescent="0.25">
      <c r="A13468" t="s">
        <v>2</v>
      </c>
      <c r="B13468" t="s">
        <v>3458</v>
      </c>
      <c r="C13468" t="s">
        <v>23490</v>
      </c>
      <c r="D13468" t="str">
        <f>HYPERLINK("https://rhld.insurance.arkansas.gov/NPILookup?Npi=1578654083","1578654083")</f>
        <v>1578654083</v>
      </c>
      <c r="E13468" t="s">
        <v>12863</v>
      </c>
    </row>
    <row r="13469" spans="1:5" x14ac:dyDescent="0.25">
      <c r="A13469" t="s">
        <v>2</v>
      </c>
      <c r="B13469" t="s">
        <v>3458</v>
      </c>
      <c r="C13469" t="s">
        <v>23490</v>
      </c>
      <c r="D13469" t="str">
        <f>HYPERLINK("https://rhld.insurance.arkansas.gov/NPILookup?Npi=1578656120","1578656120")</f>
        <v>1578656120</v>
      </c>
      <c r="E13469" t="s">
        <v>12864</v>
      </c>
    </row>
    <row r="13470" spans="1:5" x14ac:dyDescent="0.25">
      <c r="A13470" t="s">
        <v>2</v>
      </c>
      <c r="B13470" t="s">
        <v>3458</v>
      </c>
      <c r="C13470" t="s">
        <v>23490</v>
      </c>
      <c r="D13470" t="str">
        <f>HYPERLINK("https://rhld.insurance.arkansas.gov/NPILookup?Npi=1578663118","1578663118")</f>
        <v>1578663118</v>
      </c>
      <c r="E13470" t="s">
        <v>3802</v>
      </c>
    </row>
    <row r="13471" spans="1:5" x14ac:dyDescent="0.25">
      <c r="A13471" t="s">
        <v>2</v>
      </c>
      <c r="B13471" t="s">
        <v>3458</v>
      </c>
      <c r="C13471" t="s">
        <v>23490</v>
      </c>
      <c r="D13471" t="str">
        <f>HYPERLINK("https://rhld.insurance.arkansas.gov/NPILookup?Npi=1578663696","1578663696")</f>
        <v>1578663696</v>
      </c>
      <c r="E13471" t="s">
        <v>2031</v>
      </c>
    </row>
    <row r="13472" spans="1:5" x14ac:dyDescent="0.25">
      <c r="A13472" t="s">
        <v>2</v>
      </c>
      <c r="B13472" t="s">
        <v>3458</v>
      </c>
      <c r="C13472" t="s">
        <v>23490</v>
      </c>
      <c r="D13472" t="str">
        <f>HYPERLINK("https://rhld.insurance.arkansas.gov/NPILookup?Npi=1578667010","1578667010")</f>
        <v>1578667010</v>
      </c>
      <c r="E13472" t="s">
        <v>2032</v>
      </c>
    </row>
    <row r="13473" spans="1:5" x14ac:dyDescent="0.25">
      <c r="A13473" t="s">
        <v>2</v>
      </c>
      <c r="B13473" t="s">
        <v>3458</v>
      </c>
      <c r="C13473" t="s">
        <v>23490</v>
      </c>
      <c r="D13473" t="str">
        <f>HYPERLINK("https://rhld.insurance.arkansas.gov/NPILookup?Npi=1578690756","1578690756")</f>
        <v>1578690756</v>
      </c>
      <c r="E13473" t="s">
        <v>11064</v>
      </c>
    </row>
    <row r="13474" spans="1:5" x14ac:dyDescent="0.25">
      <c r="A13474" t="s">
        <v>2</v>
      </c>
      <c r="B13474" t="s">
        <v>3458</v>
      </c>
      <c r="C13474" t="s">
        <v>23490</v>
      </c>
      <c r="D13474" t="str">
        <f>HYPERLINK("https://rhld.insurance.arkansas.gov/NPILookup?Npi=1578691135","1578691135")</f>
        <v>1578691135</v>
      </c>
      <c r="E13474" t="s">
        <v>2033</v>
      </c>
    </row>
    <row r="13475" spans="1:5" x14ac:dyDescent="0.25">
      <c r="A13475" t="s">
        <v>2</v>
      </c>
      <c r="B13475" t="s">
        <v>3458</v>
      </c>
      <c r="C13475" t="s">
        <v>23490</v>
      </c>
      <c r="D13475" t="str">
        <f>HYPERLINK("https://rhld.insurance.arkansas.gov/NPILookup?Npi=1578731154","1578731154")</f>
        <v>1578731154</v>
      </c>
      <c r="E13475" t="s">
        <v>3803</v>
      </c>
    </row>
    <row r="13476" spans="1:5" x14ac:dyDescent="0.25">
      <c r="A13476" t="s">
        <v>2</v>
      </c>
      <c r="B13476" t="s">
        <v>3458</v>
      </c>
      <c r="C13476" t="s">
        <v>23490</v>
      </c>
      <c r="D13476" t="str">
        <f>HYPERLINK("https://rhld.insurance.arkansas.gov/NPILookup?Npi=1578793469","1578793469")</f>
        <v>1578793469</v>
      </c>
      <c r="E13476" t="s">
        <v>2035</v>
      </c>
    </row>
    <row r="13477" spans="1:5" x14ac:dyDescent="0.25">
      <c r="A13477" t="s">
        <v>2</v>
      </c>
      <c r="B13477" t="s">
        <v>3458</v>
      </c>
      <c r="C13477" t="s">
        <v>23490</v>
      </c>
      <c r="D13477" t="str">
        <f>HYPERLINK("https://rhld.insurance.arkansas.gov/NPILookup?Npi=1578816575","1578816575")</f>
        <v>1578816575</v>
      </c>
      <c r="E13477" t="s">
        <v>13606</v>
      </c>
    </row>
    <row r="13478" spans="1:5" x14ac:dyDescent="0.25">
      <c r="A13478" t="s">
        <v>2</v>
      </c>
      <c r="B13478" t="s">
        <v>3458</v>
      </c>
      <c r="C13478" t="s">
        <v>23490</v>
      </c>
      <c r="D13478" t="str">
        <f>HYPERLINK("https://rhld.insurance.arkansas.gov/NPILookup?Npi=1578819405","1578819405")</f>
        <v>1578819405</v>
      </c>
      <c r="E13478" t="s">
        <v>2036</v>
      </c>
    </row>
    <row r="13479" spans="1:5" x14ac:dyDescent="0.25">
      <c r="A13479" t="s">
        <v>2</v>
      </c>
      <c r="B13479" t="s">
        <v>3458</v>
      </c>
      <c r="C13479" t="s">
        <v>23490</v>
      </c>
      <c r="D13479" t="str">
        <f>HYPERLINK("https://rhld.insurance.arkansas.gov/NPILookup?Npi=1578826020","1578826020")</f>
        <v>1578826020</v>
      </c>
      <c r="E13479" t="s">
        <v>2037</v>
      </c>
    </row>
    <row r="13480" spans="1:5" x14ac:dyDescent="0.25">
      <c r="A13480" t="s">
        <v>2</v>
      </c>
      <c r="B13480" t="s">
        <v>3458</v>
      </c>
      <c r="C13480" t="s">
        <v>23490</v>
      </c>
      <c r="D13480" t="str">
        <f>HYPERLINK("https://rhld.insurance.arkansas.gov/NPILookup?Npi=1578835534","1578835534")</f>
        <v>1578835534</v>
      </c>
      <c r="E13480" t="s">
        <v>2038</v>
      </c>
    </row>
    <row r="13481" spans="1:5" x14ac:dyDescent="0.25">
      <c r="A13481" t="s">
        <v>2</v>
      </c>
      <c r="B13481" t="s">
        <v>3458</v>
      </c>
      <c r="C13481" t="s">
        <v>23490</v>
      </c>
      <c r="D13481" t="str">
        <f>HYPERLINK("https://rhld.insurance.arkansas.gov/NPILookup?Npi=1578841441","1578841441")</f>
        <v>1578841441</v>
      </c>
      <c r="E13481" t="s">
        <v>2039</v>
      </c>
    </row>
    <row r="13482" spans="1:5" x14ac:dyDescent="0.25">
      <c r="A13482" t="s">
        <v>2</v>
      </c>
      <c r="B13482" t="s">
        <v>3458</v>
      </c>
      <c r="C13482" t="s">
        <v>23490</v>
      </c>
      <c r="D13482" t="str">
        <f>HYPERLINK("https://rhld.insurance.arkansas.gov/NPILookup?Npi=1578862785","1578862785")</f>
        <v>1578862785</v>
      </c>
      <c r="E13482" t="s">
        <v>2040</v>
      </c>
    </row>
    <row r="13483" spans="1:5" x14ac:dyDescent="0.25">
      <c r="A13483" t="s">
        <v>2</v>
      </c>
      <c r="B13483" t="s">
        <v>3458</v>
      </c>
      <c r="C13483" t="s">
        <v>23490</v>
      </c>
      <c r="D13483" t="str">
        <f>HYPERLINK("https://rhld.insurance.arkansas.gov/NPILookup?Npi=1578869764","1578869764")</f>
        <v>1578869764</v>
      </c>
      <c r="E13483" t="s">
        <v>21582</v>
      </c>
    </row>
    <row r="13484" spans="1:5" x14ac:dyDescent="0.25">
      <c r="A13484" t="s">
        <v>2</v>
      </c>
      <c r="B13484" t="s">
        <v>3458</v>
      </c>
      <c r="C13484" t="s">
        <v>23490</v>
      </c>
      <c r="D13484" t="str">
        <f>HYPERLINK("https://rhld.insurance.arkansas.gov/NPILookup?Npi=1578876959","1578876959")</f>
        <v>1578876959</v>
      </c>
      <c r="E13484" t="s">
        <v>2042</v>
      </c>
    </row>
    <row r="13485" spans="1:5" x14ac:dyDescent="0.25">
      <c r="A13485" t="s">
        <v>2</v>
      </c>
      <c r="B13485" t="s">
        <v>3458</v>
      </c>
      <c r="C13485" t="s">
        <v>23490</v>
      </c>
      <c r="D13485" t="str">
        <f>HYPERLINK("https://rhld.insurance.arkansas.gov/NPILookup?Npi=1578881488","1578881488")</f>
        <v>1578881488</v>
      </c>
      <c r="E13485" t="s">
        <v>2043</v>
      </c>
    </row>
    <row r="13486" spans="1:5" x14ac:dyDescent="0.25">
      <c r="A13486" t="s">
        <v>2</v>
      </c>
      <c r="B13486" t="s">
        <v>3458</v>
      </c>
      <c r="C13486" t="s">
        <v>23490</v>
      </c>
      <c r="D13486" t="str">
        <f>HYPERLINK("https://rhld.insurance.arkansas.gov/NPILookup?Npi=1578883377","1578883377")</f>
        <v>1578883377</v>
      </c>
      <c r="E13486" t="s">
        <v>8749</v>
      </c>
    </row>
    <row r="13487" spans="1:5" x14ac:dyDescent="0.25">
      <c r="A13487" t="s">
        <v>2</v>
      </c>
      <c r="B13487" t="s">
        <v>3458</v>
      </c>
      <c r="C13487" t="s">
        <v>23490</v>
      </c>
      <c r="D13487" t="str">
        <f>HYPERLINK("https://rhld.insurance.arkansas.gov/NPILookup?Npi=1578884540","1578884540")</f>
        <v>1578884540</v>
      </c>
      <c r="E13487" t="s">
        <v>11066</v>
      </c>
    </row>
    <row r="13488" spans="1:5" x14ac:dyDescent="0.25">
      <c r="A13488" t="s">
        <v>2</v>
      </c>
      <c r="B13488" t="s">
        <v>3458</v>
      </c>
      <c r="C13488" t="s">
        <v>23490</v>
      </c>
      <c r="D13488" t="str">
        <f>HYPERLINK("https://rhld.insurance.arkansas.gov/NPILookup?Npi=1578889440","1578889440")</f>
        <v>1578889440</v>
      </c>
      <c r="E13488" t="s">
        <v>2044</v>
      </c>
    </row>
    <row r="13489" spans="1:5" x14ac:dyDescent="0.25">
      <c r="A13489" t="s">
        <v>2</v>
      </c>
      <c r="B13489" t="s">
        <v>3458</v>
      </c>
      <c r="C13489" t="s">
        <v>23490</v>
      </c>
      <c r="D13489" t="str">
        <f>HYPERLINK("https://rhld.insurance.arkansas.gov/NPILookup?Npi=1578890257","1578890257")</f>
        <v>1578890257</v>
      </c>
      <c r="E13489" t="s">
        <v>3804</v>
      </c>
    </row>
    <row r="13490" spans="1:5" x14ac:dyDescent="0.25">
      <c r="A13490" t="s">
        <v>2</v>
      </c>
      <c r="B13490" t="s">
        <v>3458</v>
      </c>
      <c r="C13490" t="s">
        <v>23490</v>
      </c>
      <c r="D13490" t="str">
        <f>HYPERLINK("https://rhld.insurance.arkansas.gov/NPILookup?Npi=1578921698","1578921698")</f>
        <v>1578921698</v>
      </c>
      <c r="E13490" t="s">
        <v>11067</v>
      </c>
    </row>
    <row r="13491" spans="1:5" x14ac:dyDescent="0.25">
      <c r="A13491" t="s">
        <v>2</v>
      </c>
      <c r="B13491" t="s">
        <v>3458</v>
      </c>
      <c r="C13491" t="s">
        <v>23490</v>
      </c>
      <c r="D13491" t="str">
        <f>HYPERLINK("https://rhld.insurance.arkansas.gov/NPILookup?Npi=1578930715","1578930715")</f>
        <v>1578930715</v>
      </c>
      <c r="E13491" t="s">
        <v>2045</v>
      </c>
    </row>
    <row r="13492" spans="1:5" x14ac:dyDescent="0.25">
      <c r="A13492" t="s">
        <v>2</v>
      </c>
      <c r="B13492" t="s">
        <v>3458</v>
      </c>
      <c r="C13492" t="s">
        <v>23490</v>
      </c>
      <c r="D13492" t="str">
        <f>HYPERLINK("https://rhld.insurance.arkansas.gov/NPILookup?Npi=1578931655","1578931655")</f>
        <v>1578931655</v>
      </c>
      <c r="E13492" t="s">
        <v>15288</v>
      </c>
    </row>
    <row r="13493" spans="1:5" x14ac:dyDescent="0.25">
      <c r="A13493" t="s">
        <v>2</v>
      </c>
      <c r="B13493" t="s">
        <v>3458</v>
      </c>
      <c r="C13493" t="s">
        <v>23490</v>
      </c>
      <c r="D13493" t="str">
        <f>HYPERLINK("https://rhld.insurance.arkansas.gov/NPILookup?Npi=1578932695","1578932695")</f>
        <v>1578932695</v>
      </c>
      <c r="E13493" t="s">
        <v>2046</v>
      </c>
    </row>
    <row r="13494" spans="1:5" x14ac:dyDescent="0.25">
      <c r="A13494" t="s">
        <v>2</v>
      </c>
      <c r="B13494" t="s">
        <v>3458</v>
      </c>
      <c r="C13494" t="s">
        <v>23490</v>
      </c>
      <c r="D13494" t="str">
        <f>HYPERLINK("https://rhld.insurance.arkansas.gov/NPILookup?Npi=1578947925","1578947925")</f>
        <v>1578947925</v>
      </c>
      <c r="E13494" t="s">
        <v>4815</v>
      </c>
    </row>
    <row r="13495" spans="1:5" x14ac:dyDescent="0.25">
      <c r="A13495" t="s">
        <v>2</v>
      </c>
      <c r="B13495" t="s">
        <v>3458</v>
      </c>
      <c r="C13495" t="s">
        <v>23490</v>
      </c>
      <c r="D13495" t="str">
        <f>HYPERLINK("https://rhld.insurance.arkansas.gov/NPILookup?Npi=1578954616","1578954616")</f>
        <v>1578954616</v>
      </c>
      <c r="E13495" t="s">
        <v>2048</v>
      </c>
    </row>
    <row r="13496" spans="1:5" x14ac:dyDescent="0.25">
      <c r="A13496" t="s">
        <v>2</v>
      </c>
      <c r="B13496" t="s">
        <v>3458</v>
      </c>
      <c r="C13496" t="s">
        <v>23490</v>
      </c>
      <c r="D13496" t="str">
        <f>HYPERLINK("https://rhld.insurance.arkansas.gov/NPILookup?Npi=1578956223","1578956223")</f>
        <v>1578956223</v>
      </c>
      <c r="E13496" t="s">
        <v>2049</v>
      </c>
    </row>
    <row r="13497" spans="1:5" x14ac:dyDescent="0.25">
      <c r="A13497" t="s">
        <v>2</v>
      </c>
      <c r="B13497" t="s">
        <v>3458</v>
      </c>
      <c r="C13497" t="s">
        <v>23490</v>
      </c>
      <c r="D13497" t="str">
        <f>HYPERLINK("https://rhld.insurance.arkansas.gov/NPILookup?Npi=1578957122","1578957122")</f>
        <v>1578957122</v>
      </c>
      <c r="E13497" t="s">
        <v>11068</v>
      </c>
    </row>
    <row r="13498" spans="1:5" x14ac:dyDescent="0.25">
      <c r="A13498" t="s">
        <v>2</v>
      </c>
      <c r="B13498" t="s">
        <v>3458</v>
      </c>
      <c r="C13498" t="s">
        <v>23490</v>
      </c>
      <c r="D13498" t="str">
        <f>HYPERLINK("https://rhld.insurance.arkansas.gov/NPILookup?Npi=1578960100","1578960100")</f>
        <v>1578960100</v>
      </c>
      <c r="E13498" t="s">
        <v>13609</v>
      </c>
    </row>
    <row r="13499" spans="1:5" x14ac:dyDescent="0.25">
      <c r="A13499" t="s">
        <v>2</v>
      </c>
      <c r="B13499" t="s">
        <v>3458</v>
      </c>
      <c r="C13499" t="s">
        <v>23490</v>
      </c>
      <c r="D13499" t="str">
        <f>HYPERLINK("https://rhld.insurance.arkansas.gov/NPILookup?Npi=1578970364","1578970364")</f>
        <v>1578970364</v>
      </c>
      <c r="E13499" t="s">
        <v>8751</v>
      </c>
    </row>
    <row r="13500" spans="1:5" x14ac:dyDescent="0.25">
      <c r="A13500" t="s">
        <v>2</v>
      </c>
      <c r="B13500" t="s">
        <v>3458</v>
      </c>
      <c r="C13500" t="s">
        <v>23490</v>
      </c>
      <c r="D13500" t="str">
        <f>HYPERLINK("https://rhld.insurance.arkansas.gov/NPILookup?Npi=1578976908","1578976908")</f>
        <v>1578976908</v>
      </c>
      <c r="E13500" t="s">
        <v>11070</v>
      </c>
    </row>
    <row r="13501" spans="1:5" x14ac:dyDescent="0.25">
      <c r="A13501" t="s">
        <v>2</v>
      </c>
      <c r="B13501" t="s">
        <v>3458</v>
      </c>
      <c r="C13501" t="s">
        <v>23490</v>
      </c>
      <c r="D13501" t="str">
        <f>HYPERLINK("https://rhld.insurance.arkansas.gov/NPILookup?Npi=1578977658","1578977658")</f>
        <v>1578977658</v>
      </c>
      <c r="E13501" t="s">
        <v>17442</v>
      </c>
    </row>
    <row r="13502" spans="1:5" x14ac:dyDescent="0.25">
      <c r="A13502" t="s">
        <v>2</v>
      </c>
      <c r="B13502" t="s">
        <v>3458</v>
      </c>
      <c r="C13502" t="s">
        <v>23490</v>
      </c>
      <c r="D13502" t="str">
        <f>HYPERLINK("https://rhld.insurance.arkansas.gov/NPILookup?Npi=1578980595","1578980595")</f>
        <v>1578980595</v>
      </c>
      <c r="E13502" t="s">
        <v>16987</v>
      </c>
    </row>
    <row r="13503" spans="1:5" x14ac:dyDescent="0.25">
      <c r="A13503" t="s">
        <v>2</v>
      </c>
      <c r="B13503" t="s">
        <v>3458</v>
      </c>
      <c r="C13503" t="s">
        <v>23490</v>
      </c>
      <c r="D13503" t="str">
        <f>HYPERLINK("https://rhld.insurance.arkansas.gov/NPILookup?Npi=1578983805","1578983805")</f>
        <v>1578983805</v>
      </c>
      <c r="E13503" t="s">
        <v>13610</v>
      </c>
    </row>
    <row r="13504" spans="1:5" x14ac:dyDescent="0.25">
      <c r="A13504" t="s">
        <v>2</v>
      </c>
      <c r="B13504" t="s">
        <v>3458</v>
      </c>
      <c r="C13504" t="s">
        <v>23490</v>
      </c>
      <c r="D13504" t="str">
        <f>HYPERLINK("https://rhld.insurance.arkansas.gov/NPILookup?Npi=1578986212","1578986212")</f>
        <v>1578986212</v>
      </c>
      <c r="E13504" t="s">
        <v>2050</v>
      </c>
    </row>
    <row r="13505" spans="1:5" x14ac:dyDescent="0.25">
      <c r="A13505" t="s">
        <v>2</v>
      </c>
      <c r="B13505" t="s">
        <v>3458</v>
      </c>
      <c r="C13505" t="s">
        <v>23490</v>
      </c>
      <c r="D13505" t="str">
        <f>HYPERLINK("https://rhld.insurance.arkansas.gov/NPILookup?Npi=1588003297","1588003297")</f>
        <v>1588003297</v>
      </c>
      <c r="E13505" t="s">
        <v>11071</v>
      </c>
    </row>
    <row r="13506" spans="1:5" x14ac:dyDescent="0.25">
      <c r="A13506" t="s">
        <v>2</v>
      </c>
      <c r="B13506" t="s">
        <v>3458</v>
      </c>
      <c r="C13506" t="s">
        <v>23490</v>
      </c>
      <c r="D13506" t="str">
        <f>HYPERLINK("https://rhld.insurance.arkansas.gov/NPILookup?Npi=1588007454","1588007454")</f>
        <v>1588007454</v>
      </c>
      <c r="E13506" t="s">
        <v>11072</v>
      </c>
    </row>
    <row r="13507" spans="1:5" x14ac:dyDescent="0.25">
      <c r="A13507" t="s">
        <v>2</v>
      </c>
      <c r="B13507" t="s">
        <v>3458</v>
      </c>
      <c r="C13507" t="s">
        <v>23490</v>
      </c>
      <c r="D13507" t="str">
        <f>HYPERLINK("https://rhld.insurance.arkansas.gov/NPILookup?Npi=1588014294","1588014294")</f>
        <v>1588014294</v>
      </c>
      <c r="E13507" t="s">
        <v>11073</v>
      </c>
    </row>
    <row r="13508" spans="1:5" x14ac:dyDescent="0.25">
      <c r="A13508" t="s">
        <v>2</v>
      </c>
      <c r="B13508" t="s">
        <v>3458</v>
      </c>
      <c r="C13508" t="s">
        <v>23490</v>
      </c>
      <c r="D13508" t="str">
        <f>HYPERLINK("https://rhld.insurance.arkansas.gov/NPILookup?Npi=1588016646","1588016646")</f>
        <v>1588016646</v>
      </c>
      <c r="E13508" t="s">
        <v>11074</v>
      </c>
    </row>
    <row r="13509" spans="1:5" x14ac:dyDescent="0.25">
      <c r="A13509" t="s">
        <v>2</v>
      </c>
      <c r="B13509" t="s">
        <v>3458</v>
      </c>
      <c r="C13509" t="s">
        <v>23490</v>
      </c>
      <c r="D13509" t="str">
        <f>HYPERLINK("https://rhld.insurance.arkansas.gov/NPILookup?Npi=1588028302","1588028302")</f>
        <v>1588028302</v>
      </c>
      <c r="E13509" t="s">
        <v>11759</v>
      </c>
    </row>
    <row r="13510" spans="1:5" x14ac:dyDescent="0.25">
      <c r="A13510" t="s">
        <v>2</v>
      </c>
      <c r="B13510" t="s">
        <v>3458</v>
      </c>
      <c r="C13510" t="s">
        <v>23490</v>
      </c>
      <c r="D13510" t="str">
        <f>HYPERLINK("https://rhld.insurance.arkansas.gov/NPILookup?Npi=1588042220","1588042220")</f>
        <v>1588042220</v>
      </c>
      <c r="E13510" t="s">
        <v>11075</v>
      </c>
    </row>
    <row r="13511" spans="1:5" x14ac:dyDescent="0.25">
      <c r="A13511" t="s">
        <v>2</v>
      </c>
      <c r="B13511" t="s">
        <v>3458</v>
      </c>
      <c r="C13511" t="s">
        <v>23490</v>
      </c>
      <c r="D13511" t="str">
        <f>HYPERLINK("https://rhld.insurance.arkansas.gov/NPILookup?Npi=1588042246","1588042246")</f>
        <v>1588042246</v>
      </c>
      <c r="E13511" t="s">
        <v>12865</v>
      </c>
    </row>
    <row r="13512" spans="1:5" x14ac:dyDescent="0.25">
      <c r="A13512" t="s">
        <v>2</v>
      </c>
      <c r="B13512" t="s">
        <v>3458</v>
      </c>
      <c r="C13512" t="s">
        <v>23490</v>
      </c>
      <c r="D13512" t="str">
        <f>HYPERLINK("https://rhld.insurance.arkansas.gov/NPILookup?Npi=1588047443","1588047443")</f>
        <v>1588047443</v>
      </c>
      <c r="E13512" t="s">
        <v>18048</v>
      </c>
    </row>
    <row r="13513" spans="1:5" x14ac:dyDescent="0.25">
      <c r="A13513" t="s">
        <v>2</v>
      </c>
      <c r="B13513" t="s">
        <v>3458</v>
      </c>
      <c r="C13513" t="s">
        <v>23490</v>
      </c>
      <c r="D13513" t="str">
        <f>HYPERLINK("https://rhld.insurance.arkansas.gov/NPILookup?Npi=1588049704","1588049704")</f>
        <v>1588049704</v>
      </c>
      <c r="E13513" t="s">
        <v>2052</v>
      </c>
    </row>
    <row r="13514" spans="1:5" x14ac:dyDescent="0.25">
      <c r="A13514" t="s">
        <v>2</v>
      </c>
      <c r="B13514" t="s">
        <v>3458</v>
      </c>
      <c r="C13514" t="s">
        <v>23490</v>
      </c>
      <c r="D13514" t="str">
        <f>HYPERLINK("https://rhld.insurance.arkansas.gov/NPILookup?Npi=1588053789","1588053789")</f>
        <v>1588053789</v>
      </c>
      <c r="E13514" t="s">
        <v>2053</v>
      </c>
    </row>
    <row r="13515" spans="1:5" x14ac:dyDescent="0.25">
      <c r="A13515" t="s">
        <v>2</v>
      </c>
      <c r="B13515" t="s">
        <v>3458</v>
      </c>
      <c r="C13515" t="s">
        <v>23490</v>
      </c>
      <c r="D13515" t="str">
        <f>HYPERLINK("https://rhld.insurance.arkansas.gov/NPILookup?Npi=1588054001","1588054001")</f>
        <v>1588054001</v>
      </c>
      <c r="E13515" t="s">
        <v>2054</v>
      </c>
    </row>
    <row r="13516" spans="1:5" x14ac:dyDescent="0.25">
      <c r="A13516" t="s">
        <v>2</v>
      </c>
      <c r="B13516" t="s">
        <v>3458</v>
      </c>
      <c r="C13516" t="s">
        <v>23490</v>
      </c>
      <c r="D13516" t="str">
        <f>HYPERLINK("https://rhld.insurance.arkansas.gov/NPILookup?Npi=1588055578","1588055578")</f>
        <v>1588055578</v>
      </c>
      <c r="E13516" t="s">
        <v>15291</v>
      </c>
    </row>
    <row r="13517" spans="1:5" x14ac:dyDescent="0.25">
      <c r="A13517" t="s">
        <v>2</v>
      </c>
      <c r="B13517" t="s">
        <v>3458</v>
      </c>
      <c r="C13517" t="s">
        <v>23490</v>
      </c>
      <c r="D13517" t="str">
        <f>HYPERLINK("https://rhld.insurance.arkansas.gov/NPILookup?Npi=1588058895","1588058895")</f>
        <v>1588058895</v>
      </c>
      <c r="E13517" t="s">
        <v>2055</v>
      </c>
    </row>
    <row r="13518" spans="1:5" x14ac:dyDescent="0.25">
      <c r="A13518" t="s">
        <v>2</v>
      </c>
      <c r="B13518" t="s">
        <v>3458</v>
      </c>
      <c r="C13518" t="s">
        <v>23490</v>
      </c>
      <c r="D13518" t="str">
        <f>HYPERLINK("https://rhld.insurance.arkansas.gov/NPILookup?Npi=1588059281","1588059281")</f>
        <v>1588059281</v>
      </c>
      <c r="E13518" t="s">
        <v>13611</v>
      </c>
    </row>
    <row r="13519" spans="1:5" x14ac:dyDescent="0.25">
      <c r="A13519" t="s">
        <v>2</v>
      </c>
      <c r="B13519" t="s">
        <v>3458</v>
      </c>
      <c r="C13519" t="s">
        <v>23490</v>
      </c>
      <c r="D13519" t="str">
        <f>HYPERLINK("https://rhld.insurance.arkansas.gov/NPILookup?Npi=1588073738","1588073738")</f>
        <v>1588073738</v>
      </c>
      <c r="E13519" t="s">
        <v>8753</v>
      </c>
    </row>
    <row r="13520" spans="1:5" x14ac:dyDescent="0.25">
      <c r="A13520" t="s">
        <v>2</v>
      </c>
      <c r="B13520" t="s">
        <v>3458</v>
      </c>
      <c r="C13520" t="s">
        <v>23490</v>
      </c>
      <c r="D13520" t="str">
        <f>HYPERLINK("https://rhld.insurance.arkansas.gov/NPILookup?Npi=1588081228","1588081228")</f>
        <v>1588081228</v>
      </c>
      <c r="E13520" t="s">
        <v>11076</v>
      </c>
    </row>
    <row r="13521" spans="1:5" x14ac:dyDescent="0.25">
      <c r="A13521" t="s">
        <v>2</v>
      </c>
      <c r="B13521" t="s">
        <v>3458</v>
      </c>
      <c r="C13521" t="s">
        <v>23490</v>
      </c>
      <c r="D13521" t="str">
        <f>HYPERLINK("https://rhld.insurance.arkansas.gov/NPILookup?Npi=1588085468","1588085468")</f>
        <v>1588085468</v>
      </c>
      <c r="E13521" t="s">
        <v>2056</v>
      </c>
    </row>
    <row r="13522" spans="1:5" x14ac:dyDescent="0.25">
      <c r="A13522" t="s">
        <v>2</v>
      </c>
      <c r="B13522" t="s">
        <v>3458</v>
      </c>
      <c r="C13522" t="s">
        <v>23490</v>
      </c>
      <c r="D13522" t="str">
        <f>HYPERLINK("https://rhld.insurance.arkansas.gov/NPILookup?Npi=1588097471","1588097471")</f>
        <v>1588097471</v>
      </c>
      <c r="E13522" t="s">
        <v>15292</v>
      </c>
    </row>
    <row r="13523" spans="1:5" x14ac:dyDescent="0.25">
      <c r="A13523" t="s">
        <v>2</v>
      </c>
      <c r="B13523" t="s">
        <v>3458</v>
      </c>
      <c r="C13523" t="s">
        <v>23490</v>
      </c>
      <c r="D13523" t="str">
        <f>HYPERLINK("https://rhld.insurance.arkansas.gov/NPILookup?Npi=1588097836","1588097836")</f>
        <v>1588097836</v>
      </c>
      <c r="E13523" t="s">
        <v>2058</v>
      </c>
    </row>
    <row r="13524" spans="1:5" x14ac:dyDescent="0.25">
      <c r="A13524" t="s">
        <v>2</v>
      </c>
      <c r="B13524" t="s">
        <v>3458</v>
      </c>
      <c r="C13524" t="s">
        <v>23490</v>
      </c>
      <c r="D13524" t="str">
        <f>HYPERLINK("https://rhld.insurance.arkansas.gov/NPILookup?Npi=1588104590","1588104590")</f>
        <v>1588104590</v>
      </c>
      <c r="E13524" t="s">
        <v>11077</v>
      </c>
    </row>
    <row r="13525" spans="1:5" x14ac:dyDescent="0.25">
      <c r="A13525" t="s">
        <v>2</v>
      </c>
      <c r="B13525" t="s">
        <v>3458</v>
      </c>
      <c r="C13525" t="s">
        <v>23490</v>
      </c>
      <c r="D13525" t="str">
        <f>HYPERLINK("https://rhld.insurance.arkansas.gov/NPILookup?Npi=1588106678","1588106678")</f>
        <v>1588106678</v>
      </c>
      <c r="E13525" t="s">
        <v>11469</v>
      </c>
    </row>
    <row r="13526" spans="1:5" x14ac:dyDescent="0.25">
      <c r="A13526" t="s">
        <v>2</v>
      </c>
      <c r="B13526" t="s">
        <v>3458</v>
      </c>
      <c r="C13526" t="s">
        <v>23490</v>
      </c>
      <c r="D13526" t="str">
        <f>HYPERLINK("https://rhld.insurance.arkansas.gov/NPILookup?Npi=1588109094","1588109094")</f>
        <v>1588109094</v>
      </c>
      <c r="E13526" t="s">
        <v>11078</v>
      </c>
    </row>
    <row r="13527" spans="1:5" x14ac:dyDescent="0.25">
      <c r="A13527" t="s">
        <v>2</v>
      </c>
      <c r="B13527" t="s">
        <v>3458</v>
      </c>
      <c r="C13527" t="s">
        <v>23490</v>
      </c>
      <c r="D13527" t="str">
        <f>HYPERLINK("https://rhld.insurance.arkansas.gov/NPILookup?Npi=1588148431","1588148431")</f>
        <v>1588148431</v>
      </c>
      <c r="E13527" t="s">
        <v>15294</v>
      </c>
    </row>
    <row r="13528" spans="1:5" x14ac:dyDescent="0.25">
      <c r="A13528" t="s">
        <v>2</v>
      </c>
      <c r="B13528" t="s">
        <v>3458</v>
      </c>
      <c r="C13528" t="s">
        <v>23490</v>
      </c>
      <c r="D13528" t="str">
        <f>HYPERLINK("https://rhld.insurance.arkansas.gov/NPILookup?Npi=1588160576","1588160576")</f>
        <v>1588160576</v>
      </c>
      <c r="E13528" t="s">
        <v>18927</v>
      </c>
    </row>
    <row r="13529" spans="1:5" x14ac:dyDescent="0.25">
      <c r="A13529" t="s">
        <v>2</v>
      </c>
      <c r="B13529" t="s">
        <v>3458</v>
      </c>
      <c r="C13529" t="s">
        <v>23490</v>
      </c>
      <c r="D13529" t="str">
        <f>HYPERLINK("https://rhld.insurance.arkansas.gov/NPILookup?Npi=1588160915","1588160915")</f>
        <v>1588160915</v>
      </c>
      <c r="E13529" t="s">
        <v>18816</v>
      </c>
    </row>
    <row r="13530" spans="1:5" x14ac:dyDescent="0.25">
      <c r="A13530" t="s">
        <v>2</v>
      </c>
      <c r="B13530" t="s">
        <v>3458</v>
      </c>
      <c r="C13530" t="s">
        <v>23490</v>
      </c>
      <c r="D13530" t="str">
        <f>HYPERLINK("https://rhld.insurance.arkansas.gov/NPILookup?Npi=1588192553","1588192553")</f>
        <v>1588192553</v>
      </c>
      <c r="E13530" t="s">
        <v>11079</v>
      </c>
    </row>
    <row r="13531" spans="1:5" x14ac:dyDescent="0.25">
      <c r="A13531" t="s">
        <v>2</v>
      </c>
      <c r="B13531" t="s">
        <v>3458</v>
      </c>
      <c r="C13531" t="s">
        <v>23490</v>
      </c>
      <c r="D13531" t="str">
        <f>HYPERLINK("https://rhld.insurance.arkansas.gov/NPILookup?Npi=1588197362","1588197362")</f>
        <v>1588197362</v>
      </c>
      <c r="E13531" t="s">
        <v>11080</v>
      </c>
    </row>
    <row r="13532" spans="1:5" x14ac:dyDescent="0.25">
      <c r="A13532" t="s">
        <v>2</v>
      </c>
      <c r="B13532" t="s">
        <v>3458</v>
      </c>
      <c r="C13532" t="s">
        <v>23490</v>
      </c>
      <c r="D13532" t="str">
        <f>HYPERLINK("https://rhld.insurance.arkansas.gov/NPILookup?Npi=1588277289","1588277289")</f>
        <v>1588277289</v>
      </c>
      <c r="E13532" t="s">
        <v>18049</v>
      </c>
    </row>
    <row r="13533" spans="1:5" x14ac:dyDescent="0.25">
      <c r="A13533" t="s">
        <v>2</v>
      </c>
      <c r="B13533" t="s">
        <v>3458</v>
      </c>
      <c r="C13533" t="s">
        <v>23490</v>
      </c>
      <c r="D13533" t="str">
        <f>HYPERLINK("https://rhld.insurance.arkansas.gov/NPILookup?Npi=1588279475","1588279475")</f>
        <v>1588279475</v>
      </c>
      <c r="E13533" t="s">
        <v>20977</v>
      </c>
    </row>
    <row r="13534" spans="1:5" x14ac:dyDescent="0.25">
      <c r="A13534" t="s">
        <v>2</v>
      </c>
      <c r="B13534" t="s">
        <v>3458</v>
      </c>
      <c r="C13534" t="s">
        <v>8427</v>
      </c>
      <c r="D13534" t="str">
        <f>HYPERLINK("https://rhld.insurance.arkansas.gov/NPILookup?Npi=1588293062","1588293062")</f>
        <v>1588293062</v>
      </c>
      <c r="E13534" t="s">
        <v>22959</v>
      </c>
    </row>
    <row r="13535" spans="1:5" x14ac:dyDescent="0.25">
      <c r="A13535" t="s">
        <v>2</v>
      </c>
      <c r="B13535" t="s">
        <v>3458</v>
      </c>
      <c r="C13535" t="s">
        <v>23490</v>
      </c>
      <c r="D13535" t="str">
        <f>HYPERLINK("https://rhld.insurance.arkansas.gov/NPILookup?Npi=1588296586","1588296586")</f>
        <v>1588296586</v>
      </c>
      <c r="E13535" t="s">
        <v>18050</v>
      </c>
    </row>
    <row r="13536" spans="1:5" x14ac:dyDescent="0.25">
      <c r="A13536" t="s">
        <v>2</v>
      </c>
      <c r="B13536" t="s">
        <v>3458</v>
      </c>
      <c r="C13536" t="s">
        <v>23490</v>
      </c>
      <c r="D13536" t="str">
        <f>HYPERLINK("https://rhld.insurance.arkansas.gov/NPILookup?Npi=1588297972","1588297972")</f>
        <v>1588297972</v>
      </c>
      <c r="E13536" t="s">
        <v>19848</v>
      </c>
    </row>
    <row r="13537" spans="1:5" x14ac:dyDescent="0.25">
      <c r="A13537" t="s">
        <v>2</v>
      </c>
      <c r="B13537" t="s">
        <v>3458</v>
      </c>
      <c r="C13537" t="s">
        <v>23490</v>
      </c>
      <c r="D13537" t="str">
        <f>HYPERLINK("https://rhld.insurance.arkansas.gov/NPILookup?Npi=1588299291","1588299291")</f>
        <v>1588299291</v>
      </c>
      <c r="E13537" t="s">
        <v>22960</v>
      </c>
    </row>
    <row r="13538" spans="1:5" x14ac:dyDescent="0.25">
      <c r="A13538" t="s">
        <v>2</v>
      </c>
      <c r="B13538" t="s">
        <v>3458</v>
      </c>
      <c r="C13538" t="s">
        <v>23490</v>
      </c>
      <c r="D13538" t="str">
        <f>HYPERLINK("https://rhld.insurance.arkansas.gov/NPILookup?Npi=1588327407","1588327407")</f>
        <v>1588327407</v>
      </c>
      <c r="E13538" t="s">
        <v>13391</v>
      </c>
    </row>
    <row r="13539" spans="1:5" x14ac:dyDescent="0.25">
      <c r="A13539" t="s">
        <v>2</v>
      </c>
      <c r="B13539" t="s">
        <v>3458</v>
      </c>
      <c r="C13539" t="s">
        <v>23490</v>
      </c>
      <c r="D13539" t="str">
        <f>HYPERLINK("https://rhld.insurance.arkansas.gov/NPILookup?Npi=1588391858","1588391858")</f>
        <v>1588391858</v>
      </c>
      <c r="E13539" t="s">
        <v>20978</v>
      </c>
    </row>
    <row r="13540" spans="1:5" x14ac:dyDescent="0.25">
      <c r="A13540" t="s">
        <v>2</v>
      </c>
      <c r="B13540" t="s">
        <v>3458</v>
      </c>
      <c r="C13540" t="s">
        <v>23490</v>
      </c>
      <c r="D13540" t="str">
        <f>HYPERLINK("https://rhld.insurance.arkansas.gov/NPILookup?Npi=1588396600","1588396600")</f>
        <v>1588396600</v>
      </c>
      <c r="E13540" t="s">
        <v>21584</v>
      </c>
    </row>
    <row r="13541" spans="1:5" x14ac:dyDescent="0.25">
      <c r="A13541" t="s">
        <v>2</v>
      </c>
      <c r="B13541" t="s">
        <v>3458</v>
      </c>
      <c r="C13541" t="s">
        <v>23490</v>
      </c>
      <c r="D13541" t="str">
        <f>HYPERLINK("https://rhld.insurance.arkansas.gov/NPILookup?Npi=1588602718","1588602718")</f>
        <v>1588602718</v>
      </c>
      <c r="E13541" t="s">
        <v>15297</v>
      </c>
    </row>
    <row r="13542" spans="1:5" x14ac:dyDescent="0.25">
      <c r="A13542" t="s">
        <v>2</v>
      </c>
      <c r="B13542" t="s">
        <v>3458</v>
      </c>
      <c r="C13542" t="s">
        <v>23490</v>
      </c>
      <c r="D13542" t="str">
        <f>HYPERLINK("https://rhld.insurance.arkansas.gov/NPILookup?Npi=1588608699","1588608699")</f>
        <v>1588608699</v>
      </c>
      <c r="E13542" t="s">
        <v>3805</v>
      </c>
    </row>
    <row r="13543" spans="1:5" x14ac:dyDescent="0.25">
      <c r="A13543" t="s">
        <v>2</v>
      </c>
      <c r="B13543" t="s">
        <v>3458</v>
      </c>
      <c r="C13543" t="s">
        <v>23490</v>
      </c>
      <c r="D13543" t="str">
        <f>HYPERLINK("https://rhld.insurance.arkansas.gov/NPILookup?Npi=1588613327","1588613327")</f>
        <v>1588613327</v>
      </c>
      <c r="E13543" t="s">
        <v>1008</v>
      </c>
    </row>
    <row r="13544" spans="1:5" x14ac:dyDescent="0.25">
      <c r="A13544" t="s">
        <v>2</v>
      </c>
      <c r="B13544" t="s">
        <v>3458</v>
      </c>
      <c r="C13544" t="s">
        <v>23490</v>
      </c>
      <c r="D13544" t="str">
        <f>HYPERLINK("https://rhld.insurance.arkansas.gov/NPILookup?Npi=1588618599","1588618599")</f>
        <v>1588618599</v>
      </c>
      <c r="E13544" t="s">
        <v>2059</v>
      </c>
    </row>
    <row r="13545" spans="1:5" x14ac:dyDescent="0.25">
      <c r="A13545" t="s">
        <v>2</v>
      </c>
      <c r="B13545" t="s">
        <v>3458</v>
      </c>
      <c r="C13545" t="s">
        <v>23490</v>
      </c>
      <c r="D13545" t="str">
        <f>HYPERLINK("https://rhld.insurance.arkansas.gov/NPILookup?Npi=1588619621","1588619621")</f>
        <v>1588619621</v>
      </c>
      <c r="E13545" t="s">
        <v>15298</v>
      </c>
    </row>
    <row r="13546" spans="1:5" x14ac:dyDescent="0.25">
      <c r="A13546" t="s">
        <v>2</v>
      </c>
      <c r="B13546" t="s">
        <v>3458</v>
      </c>
      <c r="C13546" t="s">
        <v>23490</v>
      </c>
      <c r="D13546" t="str">
        <f>HYPERLINK("https://rhld.insurance.arkansas.gov/NPILookup?Npi=1588621742","1588621742")</f>
        <v>1588621742</v>
      </c>
      <c r="E13546" t="s">
        <v>2060</v>
      </c>
    </row>
    <row r="13547" spans="1:5" x14ac:dyDescent="0.25">
      <c r="A13547" t="s">
        <v>2</v>
      </c>
      <c r="B13547" t="s">
        <v>3458</v>
      </c>
      <c r="C13547" t="s">
        <v>23490</v>
      </c>
      <c r="D13547" t="str">
        <f>HYPERLINK("https://rhld.insurance.arkansas.gov/NPILookup?Npi=1588632384","1588632384")</f>
        <v>1588632384</v>
      </c>
      <c r="E13547" t="s">
        <v>15299</v>
      </c>
    </row>
    <row r="13548" spans="1:5" x14ac:dyDescent="0.25">
      <c r="A13548" t="s">
        <v>2</v>
      </c>
      <c r="B13548" t="s">
        <v>3458</v>
      </c>
      <c r="C13548" t="s">
        <v>23490</v>
      </c>
      <c r="D13548" t="str">
        <f>HYPERLINK("https://rhld.insurance.arkansas.gov/NPILookup?Npi=1588637698","1588637698")</f>
        <v>1588637698</v>
      </c>
      <c r="E13548" t="s">
        <v>2062</v>
      </c>
    </row>
    <row r="13549" spans="1:5" x14ac:dyDescent="0.25">
      <c r="A13549" t="s">
        <v>2</v>
      </c>
      <c r="B13549" t="s">
        <v>3458</v>
      </c>
      <c r="C13549" t="s">
        <v>23490</v>
      </c>
      <c r="D13549" t="str">
        <f>HYPERLINK("https://rhld.insurance.arkansas.gov/NPILookup?Npi=1588644397","1588644397")</f>
        <v>1588644397</v>
      </c>
      <c r="E13549" t="s">
        <v>15300</v>
      </c>
    </row>
    <row r="13550" spans="1:5" x14ac:dyDescent="0.25">
      <c r="A13550" t="s">
        <v>2</v>
      </c>
      <c r="B13550" t="s">
        <v>3458</v>
      </c>
      <c r="C13550" t="s">
        <v>23490</v>
      </c>
      <c r="D13550" t="str">
        <f>HYPERLINK("https://rhld.insurance.arkansas.gov/NPILookup?Npi=1588651954","1588651954")</f>
        <v>1588651954</v>
      </c>
      <c r="E13550" t="s">
        <v>3806</v>
      </c>
    </row>
    <row r="13551" spans="1:5" x14ac:dyDescent="0.25">
      <c r="A13551" t="s">
        <v>2</v>
      </c>
      <c r="B13551" t="s">
        <v>3458</v>
      </c>
      <c r="C13551" t="s">
        <v>23490</v>
      </c>
      <c r="D13551" t="str">
        <f>HYPERLINK("https://rhld.insurance.arkansas.gov/NPILookup?Npi=1588656730","1588656730")</f>
        <v>1588656730</v>
      </c>
      <c r="E13551" t="s">
        <v>8754</v>
      </c>
    </row>
    <row r="13552" spans="1:5" x14ac:dyDescent="0.25">
      <c r="A13552" t="s">
        <v>2</v>
      </c>
      <c r="B13552" t="s">
        <v>3458</v>
      </c>
      <c r="C13552" t="s">
        <v>23490</v>
      </c>
      <c r="D13552" t="str">
        <f>HYPERLINK("https://rhld.insurance.arkansas.gov/NPILookup?Npi=1588658173","1588658173")</f>
        <v>1588658173</v>
      </c>
      <c r="E13552" t="s">
        <v>3807</v>
      </c>
    </row>
    <row r="13553" spans="1:5" x14ac:dyDescent="0.25">
      <c r="A13553" t="s">
        <v>2</v>
      </c>
      <c r="B13553" t="s">
        <v>3458</v>
      </c>
      <c r="C13553" t="s">
        <v>23490</v>
      </c>
      <c r="D13553" t="str">
        <f>HYPERLINK("https://rhld.insurance.arkansas.gov/NPILookup?Npi=1588664510","1588664510")</f>
        <v>1588664510</v>
      </c>
      <c r="E13553" t="s">
        <v>15301</v>
      </c>
    </row>
    <row r="13554" spans="1:5" x14ac:dyDescent="0.25">
      <c r="A13554" t="s">
        <v>2</v>
      </c>
      <c r="B13554" t="s">
        <v>3458</v>
      </c>
      <c r="C13554" t="s">
        <v>23490</v>
      </c>
      <c r="D13554" t="str">
        <f>HYPERLINK("https://rhld.insurance.arkansas.gov/NPILookup?Npi=1588664726","1588664726")</f>
        <v>1588664726</v>
      </c>
      <c r="E13554" t="s">
        <v>3808</v>
      </c>
    </row>
    <row r="13555" spans="1:5" x14ac:dyDescent="0.25">
      <c r="A13555" t="s">
        <v>2</v>
      </c>
      <c r="B13555" t="s">
        <v>3458</v>
      </c>
      <c r="C13555" t="s">
        <v>23490</v>
      </c>
      <c r="D13555" t="str">
        <f>HYPERLINK("https://rhld.insurance.arkansas.gov/NPILookup?Npi=1588668453","1588668453")</f>
        <v>1588668453</v>
      </c>
      <c r="E13555" t="s">
        <v>11081</v>
      </c>
    </row>
    <row r="13556" spans="1:5" x14ac:dyDescent="0.25">
      <c r="A13556" t="s">
        <v>2</v>
      </c>
      <c r="B13556" t="s">
        <v>3458</v>
      </c>
      <c r="C13556" t="s">
        <v>23490</v>
      </c>
      <c r="D13556" t="str">
        <f>HYPERLINK("https://rhld.insurance.arkansas.gov/NPILookup?Npi=1588671747","1588671747")</f>
        <v>1588671747</v>
      </c>
      <c r="E13556" t="s">
        <v>2063</v>
      </c>
    </row>
    <row r="13557" spans="1:5" x14ac:dyDescent="0.25">
      <c r="A13557" t="s">
        <v>2</v>
      </c>
      <c r="B13557" t="s">
        <v>3458</v>
      </c>
      <c r="C13557" t="s">
        <v>23490</v>
      </c>
      <c r="D13557" t="str">
        <f>HYPERLINK("https://rhld.insurance.arkansas.gov/NPILookup?Npi=1588682785","1588682785")</f>
        <v>1588682785</v>
      </c>
      <c r="E13557" t="s">
        <v>11082</v>
      </c>
    </row>
    <row r="13558" spans="1:5" x14ac:dyDescent="0.25">
      <c r="A13558" t="s">
        <v>2</v>
      </c>
      <c r="B13558" t="s">
        <v>3458</v>
      </c>
      <c r="C13558" t="s">
        <v>23490</v>
      </c>
      <c r="D13558" t="str">
        <f>HYPERLINK("https://rhld.insurance.arkansas.gov/NPILookup?Npi=1588682801","1588682801")</f>
        <v>1588682801</v>
      </c>
      <c r="E13558" t="s">
        <v>11083</v>
      </c>
    </row>
    <row r="13559" spans="1:5" x14ac:dyDescent="0.25">
      <c r="A13559" t="s">
        <v>2</v>
      </c>
      <c r="B13559" t="s">
        <v>3458</v>
      </c>
      <c r="C13559" t="s">
        <v>23490</v>
      </c>
      <c r="D13559" t="str">
        <f>HYPERLINK("https://rhld.insurance.arkansas.gov/NPILookup?Npi=1588684492","1588684492")</f>
        <v>1588684492</v>
      </c>
      <c r="E13559" t="s">
        <v>13859</v>
      </c>
    </row>
    <row r="13560" spans="1:5" x14ac:dyDescent="0.25">
      <c r="A13560" t="s">
        <v>2</v>
      </c>
      <c r="B13560" t="s">
        <v>3458</v>
      </c>
      <c r="C13560" t="s">
        <v>23490</v>
      </c>
      <c r="D13560" t="str">
        <f>HYPERLINK("https://rhld.insurance.arkansas.gov/NPILookup?Npi=1588690689","1588690689")</f>
        <v>1588690689</v>
      </c>
      <c r="E13560" t="s">
        <v>18051</v>
      </c>
    </row>
    <row r="13561" spans="1:5" x14ac:dyDescent="0.25">
      <c r="A13561" t="s">
        <v>2</v>
      </c>
      <c r="B13561" t="s">
        <v>3458</v>
      </c>
      <c r="C13561" t="s">
        <v>23490</v>
      </c>
      <c r="D13561" t="str">
        <f>HYPERLINK("https://rhld.insurance.arkansas.gov/NPILookup?Npi=1588692719","1588692719")</f>
        <v>1588692719</v>
      </c>
      <c r="E13561" t="s">
        <v>3809</v>
      </c>
    </row>
    <row r="13562" spans="1:5" x14ac:dyDescent="0.25">
      <c r="A13562" t="s">
        <v>2</v>
      </c>
      <c r="B13562" t="s">
        <v>3458</v>
      </c>
      <c r="C13562" t="s">
        <v>23490</v>
      </c>
      <c r="D13562" t="str">
        <f>HYPERLINK("https://rhld.insurance.arkansas.gov/NPILookup?Npi=1588692826","1588692826")</f>
        <v>1588692826</v>
      </c>
      <c r="E13562" t="s">
        <v>3810</v>
      </c>
    </row>
    <row r="13563" spans="1:5" x14ac:dyDescent="0.25">
      <c r="A13563" t="s">
        <v>2</v>
      </c>
      <c r="B13563" t="s">
        <v>3458</v>
      </c>
      <c r="C13563" t="s">
        <v>23490</v>
      </c>
      <c r="D13563" t="str">
        <f>HYPERLINK("https://rhld.insurance.arkansas.gov/NPILookup?Npi=1588698906","1588698906")</f>
        <v>1588698906</v>
      </c>
      <c r="E13563" t="s">
        <v>2065</v>
      </c>
    </row>
    <row r="13564" spans="1:5" x14ac:dyDescent="0.25">
      <c r="A13564" t="s">
        <v>2</v>
      </c>
      <c r="B13564" t="s">
        <v>3458</v>
      </c>
      <c r="C13564" t="s">
        <v>23490</v>
      </c>
      <c r="D13564" t="str">
        <f>HYPERLINK("https://rhld.insurance.arkansas.gov/NPILookup?Npi=1588699904","1588699904")</f>
        <v>1588699904</v>
      </c>
      <c r="E13564" t="s">
        <v>2066</v>
      </c>
    </row>
    <row r="13565" spans="1:5" x14ac:dyDescent="0.25">
      <c r="A13565" t="s">
        <v>2</v>
      </c>
      <c r="B13565" t="s">
        <v>3458</v>
      </c>
      <c r="C13565" t="s">
        <v>23490</v>
      </c>
      <c r="D13565" t="str">
        <f>HYPERLINK("https://rhld.insurance.arkansas.gov/NPILookup?Npi=1588733497","1588733497")</f>
        <v>1588733497</v>
      </c>
      <c r="E13565" t="s">
        <v>19852</v>
      </c>
    </row>
    <row r="13566" spans="1:5" x14ac:dyDescent="0.25">
      <c r="A13566" t="s">
        <v>2</v>
      </c>
      <c r="B13566" t="s">
        <v>3458</v>
      </c>
      <c r="C13566" t="s">
        <v>23490</v>
      </c>
      <c r="D13566" t="str">
        <f>HYPERLINK("https://rhld.insurance.arkansas.gov/NPILookup?Npi=1588739783","1588739783")</f>
        <v>1588739783</v>
      </c>
      <c r="E13566" t="s">
        <v>13860</v>
      </c>
    </row>
    <row r="13567" spans="1:5" x14ac:dyDescent="0.25">
      <c r="A13567" t="s">
        <v>2</v>
      </c>
      <c r="B13567" t="s">
        <v>3458</v>
      </c>
      <c r="C13567" t="s">
        <v>23490</v>
      </c>
      <c r="D13567" t="str">
        <f>HYPERLINK("https://rhld.insurance.arkansas.gov/NPILookup?Npi=1588742134","1588742134")</f>
        <v>1588742134</v>
      </c>
      <c r="E13567" t="s">
        <v>1195</v>
      </c>
    </row>
    <row r="13568" spans="1:5" x14ac:dyDescent="0.25">
      <c r="A13568" t="s">
        <v>2</v>
      </c>
      <c r="B13568" t="s">
        <v>3458</v>
      </c>
      <c r="C13568" t="s">
        <v>23490</v>
      </c>
      <c r="D13568" t="str">
        <f>HYPERLINK("https://rhld.insurance.arkansas.gov/NPILookup?Npi=1588743314","1588743314")</f>
        <v>1588743314</v>
      </c>
      <c r="E13568" t="s">
        <v>2068</v>
      </c>
    </row>
    <row r="13569" spans="1:5" x14ac:dyDescent="0.25">
      <c r="A13569" t="s">
        <v>2</v>
      </c>
      <c r="B13569" t="s">
        <v>3458</v>
      </c>
      <c r="C13569" t="s">
        <v>23490</v>
      </c>
      <c r="D13569" t="str">
        <f>HYPERLINK("https://rhld.insurance.arkansas.gov/NPILookup?Npi=1588754147","1588754147")</f>
        <v>1588754147</v>
      </c>
      <c r="E13569" t="s">
        <v>3811</v>
      </c>
    </row>
    <row r="13570" spans="1:5" x14ac:dyDescent="0.25">
      <c r="A13570" t="s">
        <v>2</v>
      </c>
      <c r="B13570" t="s">
        <v>3458</v>
      </c>
      <c r="C13570" t="s">
        <v>23490</v>
      </c>
      <c r="D13570" t="str">
        <f>HYPERLINK("https://rhld.insurance.arkansas.gov/NPILookup?Npi=1588756233","1588756233")</f>
        <v>1588756233</v>
      </c>
      <c r="E13570" t="s">
        <v>8755</v>
      </c>
    </row>
    <row r="13571" spans="1:5" x14ac:dyDescent="0.25">
      <c r="A13571" t="s">
        <v>2</v>
      </c>
      <c r="B13571" t="s">
        <v>3458</v>
      </c>
      <c r="C13571" t="s">
        <v>23490</v>
      </c>
      <c r="D13571" t="str">
        <f>HYPERLINK("https://rhld.insurance.arkansas.gov/NPILookup?Npi=1588775894","1588775894")</f>
        <v>1588775894</v>
      </c>
      <c r="E13571" t="s">
        <v>2070</v>
      </c>
    </row>
    <row r="13572" spans="1:5" x14ac:dyDescent="0.25">
      <c r="A13572" t="s">
        <v>2</v>
      </c>
      <c r="B13572" t="s">
        <v>3458</v>
      </c>
      <c r="C13572" t="s">
        <v>23490</v>
      </c>
      <c r="D13572" t="str">
        <f>HYPERLINK("https://rhld.insurance.arkansas.gov/NPILookup?Npi=1588783666","1588783666")</f>
        <v>1588783666</v>
      </c>
      <c r="E13572" t="s">
        <v>2071</v>
      </c>
    </row>
    <row r="13573" spans="1:5" x14ac:dyDescent="0.25">
      <c r="A13573" t="s">
        <v>2</v>
      </c>
      <c r="B13573" t="s">
        <v>3458</v>
      </c>
      <c r="C13573" t="s">
        <v>23490</v>
      </c>
      <c r="D13573" t="str">
        <f>HYPERLINK("https://rhld.insurance.arkansas.gov/NPILookup?Npi=1588806582","1588806582")</f>
        <v>1588806582</v>
      </c>
      <c r="E13573" t="s">
        <v>13006</v>
      </c>
    </row>
    <row r="13574" spans="1:5" x14ac:dyDescent="0.25">
      <c r="A13574" t="s">
        <v>2</v>
      </c>
      <c r="B13574" t="s">
        <v>3458</v>
      </c>
      <c r="C13574" t="s">
        <v>23490</v>
      </c>
      <c r="D13574" t="str">
        <f>HYPERLINK("https://rhld.insurance.arkansas.gov/NPILookup?Npi=1588807655","1588807655")</f>
        <v>1588807655</v>
      </c>
      <c r="E13574" t="s">
        <v>2072</v>
      </c>
    </row>
    <row r="13575" spans="1:5" x14ac:dyDescent="0.25">
      <c r="A13575" t="s">
        <v>2</v>
      </c>
      <c r="B13575" t="s">
        <v>3458</v>
      </c>
      <c r="C13575" t="s">
        <v>23490</v>
      </c>
      <c r="D13575" t="str">
        <f>HYPERLINK("https://rhld.insurance.arkansas.gov/NPILookup?Npi=1588807994","1588807994")</f>
        <v>1588807994</v>
      </c>
      <c r="E13575" t="s">
        <v>8756</v>
      </c>
    </row>
    <row r="13576" spans="1:5" x14ac:dyDescent="0.25">
      <c r="A13576" t="s">
        <v>2</v>
      </c>
      <c r="B13576" t="s">
        <v>3458</v>
      </c>
      <c r="C13576" t="s">
        <v>23490</v>
      </c>
      <c r="D13576" t="str">
        <f>HYPERLINK("https://rhld.insurance.arkansas.gov/NPILookup?Npi=1588821797","1588821797")</f>
        <v>1588821797</v>
      </c>
      <c r="E13576" t="s">
        <v>11470</v>
      </c>
    </row>
    <row r="13577" spans="1:5" x14ac:dyDescent="0.25">
      <c r="A13577" t="s">
        <v>2</v>
      </c>
      <c r="B13577" t="s">
        <v>3458</v>
      </c>
      <c r="C13577" t="s">
        <v>23490</v>
      </c>
      <c r="D13577" t="str">
        <f>HYPERLINK("https://rhld.insurance.arkansas.gov/NPILookup?Npi=1588825517","1588825517")</f>
        <v>1588825517</v>
      </c>
      <c r="E13577" t="s">
        <v>21746</v>
      </c>
    </row>
    <row r="13578" spans="1:5" x14ac:dyDescent="0.25">
      <c r="A13578" t="s">
        <v>2</v>
      </c>
      <c r="B13578" t="s">
        <v>3458</v>
      </c>
      <c r="C13578" t="s">
        <v>23490</v>
      </c>
      <c r="D13578" t="str">
        <f>HYPERLINK("https://rhld.insurance.arkansas.gov/NPILookup?Npi=1588826903","1588826903")</f>
        <v>1588826903</v>
      </c>
      <c r="E13578" t="s">
        <v>2073</v>
      </c>
    </row>
    <row r="13579" spans="1:5" x14ac:dyDescent="0.25">
      <c r="A13579" t="s">
        <v>2</v>
      </c>
      <c r="B13579" t="s">
        <v>3458</v>
      </c>
      <c r="C13579" t="s">
        <v>23490</v>
      </c>
      <c r="D13579" t="str">
        <f>HYPERLINK("https://rhld.insurance.arkansas.gov/NPILookup?Npi=1588847925","1588847925")</f>
        <v>1588847925</v>
      </c>
      <c r="E13579" t="s">
        <v>15302</v>
      </c>
    </row>
    <row r="13580" spans="1:5" x14ac:dyDescent="0.25">
      <c r="A13580" t="s">
        <v>2</v>
      </c>
      <c r="B13580" t="s">
        <v>3458</v>
      </c>
      <c r="C13580" t="s">
        <v>23490</v>
      </c>
      <c r="D13580" t="str">
        <f>HYPERLINK("https://rhld.insurance.arkansas.gov/NPILookup?Npi=1588853535","1588853535")</f>
        <v>1588853535</v>
      </c>
      <c r="E13580" t="s">
        <v>11085</v>
      </c>
    </row>
    <row r="13581" spans="1:5" x14ac:dyDescent="0.25">
      <c r="A13581" t="s">
        <v>2</v>
      </c>
      <c r="B13581" t="s">
        <v>3458</v>
      </c>
      <c r="C13581" t="s">
        <v>23490</v>
      </c>
      <c r="D13581" t="str">
        <f>HYPERLINK("https://rhld.insurance.arkansas.gov/NPILookup?Npi=1588862445","1588862445")</f>
        <v>1588862445</v>
      </c>
      <c r="E13581" t="s">
        <v>2074</v>
      </c>
    </row>
    <row r="13582" spans="1:5" x14ac:dyDescent="0.25">
      <c r="A13582" t="s">
        <v>2</v>
      </c>
      <c r="B13582" t="s">
        <v>3458</v>
      </c>
      <c r="C13582" t="s">
        <v>23490</v>
      </c>
      <c r="D13582" t="str">
        <f>HYPERLINK("https://rhld.insurance.arkansas.gov/NPILookup?Npi=1588866297","1588866297")</f>
        <v>1588866297</v>
      </c>
      <c r="E13582" t="s">
        <v>2075</v>
      </c>
    </row>
    <row r="13583" spans="1:5" x14ac:dyDescent="0.25">
      <c r="A13583" t="s">
        <v>2</v>
      </c>
      <c r="B13583" t="s">
        <v>3458</v>
      </c>
      <c r="C13583" t="s">
        <v>23490</v>
      </c>
      <c r="D13583" t="str">
        <f>HYPERLINK("https://rhld.insurance.arkansas.gov/NPILookup?Npi=1588903603","1588903603")</f>
        <v>1588903603</v>
      </c>
      <c r="E13583" t="s">
        <v>2076</v>
      </c>
    </row>
    <row r="13584" spans="1:5" x14ac:dyDescent="0.25">
      <c r="A13584" t="s">
        <v>2</v>
      </c>
      <c r="B13584" t="s">
        <v>3458</v>
      </c>
      <c r="C13584" t="s">
        <v>23490</v>
      </c>
      <c r="D13584" t="str">
        <f>HYPERLINK("https://rhld.insurance.arkansas.gov/NPILookup?Npi=1588909162","1588909162")</f>
        <v>1588909162</v>
      </c>
      <c r="E13584" t="s">
        <v>18213</v>
      </c>
    </row>
    <row r="13585" spans="1:5" x14ac:dyDescent="0.25">
      <c r="A13585" t="s">
        <v>2</v>
      </c>
      <c r="B13585" t="s">
        <v>3458</v>
      </c>
      <c r="C13585" t="s">
        <v>23490</v>
      </c>
      <c r="D13585" t="str">
        <f>HYPERLINK("https://rhld.insurance.arkansas.gov/NPILookup?Npi=1588911580","1588911580")</f>
        <v>1588911580</v>
      </c>
      <c r="E13585" t="s">
        <v>15303</v>
      </c>
    </row>
    <row r="13586" spans="1:5" x14ac:dyDescent="0.25">
      <c r="A13586" t="s">
        <v>2</v>
      </c>
      <c r="B13586" t="s">
        <v>3458</v>
      </c>
      <c r="C13586" t="s">
        <v>23490</v>
      </c>
      <c r="D13586" t="str">
        <f>HYPERLINK("https://rhld.insurance.arkansas.gov/NPILookup?Npi=1588928436","1588928436")</f>
        <v>1588928436</v>
      </c>
      <c r="E13586" t="s">
        <v>2077</v>
      </c>
    </row>
    <row r="13587" spans="1:5" x14ac:dyDescent="0.25">
      <c r="A13587" t="s">
        <v>2</v>
      </c>
      <c r="B13587" t="s">
        <v>3458</v>
      </c>
      <c r="C13587" t="s">
        <v>23490</v>
      </c>
      <c r="D13587" t="str">
        <f>HYPERLINK("https://rhld.insurance.arkansas.gov/NPILookup?Npi=1588968606","1588968606")</f>
        <v>1588968606</v>
      </c>
      <c r="E13587" t="s">
        <v>8757</v>
      </c>
    </row>
    <row r="13588" spans="1:5" x14ac:dyDescent="0.25">
      <c r="A13588" t="s">
        <v>2</v>
      </c>
      <c r="B13588" t="s">
        <v>3458</v>
      </c>
      <c r="C13588" t="s">
        <v>23490</v>
      </c>
      <c r="D13588" t="str">
        <f>HYPERLINK("https://rhld.insurance.arkansas.gov/NPILookup?Npi=1588993810","1588993810")</f>
        <v>1588993810</v>
      </c>
      <c r="E13588" t="s">
        <v>2078</v>
      </c>
    </row>
    <row r="13589" spans="1:5" x14ac:dyDescent="0.25">
      <c r="A13589" t="s">
        <v>2</v>
      </c>
      <c r="B13589" t="s">
        <v>3458</v>
      </c>
      <c r="C13589" t="s">
        <v>23490</v>
      </c>
      <c r="D13589" t="str">
        <f>HYPERLINK("https://rhld.insurance.arkansas.gov/NPILookup?Npi=1598012957","1598012957")</f>
        <v>1598012957</v>
      </c>
      <c r="E13589" t="s">
        <v>11086</v>
      </c>
    </row>
    <row r="13590" spans="1:5" x14ac:dyDescent="0.25">
      <c r="A13590" t="s">
        <v>2</v>
      </c>
      <c r="B13590" t="s">
        <v>3458</v>
      </c>
      <c r="C13590" t="s">
        <v>23490</v>
      </c>
      <c r="D13590" t="str">
        <f>HYPERLINK("https://rhld.insurance.arkansas.gov/NPILookup?Npi=1598013815","1598013815")</f>
        <v>1598013815</v>
      </c>
      <c r="E13590" t="s">
        <v>2079</v>
      </c>
    </row>
    <row r="13591" spans="1:5" x14ac:dyDescent="0.25">
      <c r="A13591" t="s">
        <v>2</v>
      </c>
      <c r="B13591" t="s">
        <v>3458</v>
      </c>
      <c r="C13591" t="s">
        <v>23490</v>
      </c>
      <c r="D13591" t="str">
        <f>HYPERLINK("https://rhld.insurance.arkansas.gov/NPILookup?Npi=1598021453","1598021453")</f>
        <v>1598021453</v>
      </c>
      <c r="E13591" t="s">
        <v>11087</v>
      </c>
    </row>
    <row r="13592" spans="1:5" x14ac:dyDescent="0.25">
      <c r="A13592" t="s">
        <v>2</v>
      </c>
      <c r="B13592" t="s">
        <v>3458</v>
      </c>
      <c r="C13592" t="s">
        <v>23490</v>
      </c>
      <c r="D13592" t="str">
        <f>HYPERLINK("https://rhld.insurance.arkansas.gov/NPILookup?Npi=1598030603","1598030603")</f>
        <v>1598030603</v>
      </c>
      <c r="E13592" t="s">
        <v>2080</v>
      </c>
    </row>
    <row r="13593" spans="1:5" x14ac:dyDescent="0.25">
      <c r="A13593" t="s">
        <v>2</v>
      </c>
      <c r="B13593" t="s">
        <v>3458</v>
      </c>
      <c r="C13593" t="s">
        <v>23490</v>
      </c>
      <c r="D13593" t="str">
        <f>HYPERLINK("https://rhld.insurance.arkansas.gov/NPILookup?Npi=1598037814","1598037814")</f>
        <v>1598037814</v>
      </c>
      <c r="E13593" t="s">
        <v>2081</v>
      </c>
    </row>
    <row r="13594" spans="1:5" x14ac:dyDescent="0.25">
      <c r="A13594" t="s">
        <v>2</v>
      </c>
      <c r="B13594" t="s">
        <v>3458</v>
      </c>
      <c r="C13594" t="s">
        <v>23490</v>
      </c>
      <c r="D13594" t="str">
        <f>HYPERLINK("https://rhld.insurance.arkansas.gov/NPILookup?Npi=1598052250","1598052250")</f>
        <v>1598052250</v>
      </c>
      <c r="E13594" t="s">
        <v>2082</v>
      </c>
    </row>
    <row r="13595" spans="1:5" x14ac:dyDescent="0.25">
      <c r="A13595" t="s">
        <v>2</v>
      </c>
      <c r="B13595" t="s">
        <v>3458</v>
      </c>
      <c r="C13595" t="s">
        <v>23490</v>
      </c>
      <c r="D13595" t="str">
        <f>HYPERLINK("https://rhld.insurance.arkansas.gov/NPILookup?Npi=1598055287","1598055287")</f>
        <v>1598055287</v>
      </c>
      <c r="E13595" t="s">
        <v>18052</v>
      </c>
    </row>
    <row r="13596" spans="1:5" x14ac:dyDescent="0.25">
      <c r="A13596" t="s">
        <v>2</v>
      </c>
      <c r="B13596" t="s">
        <v>3458</v>
      </c>
      <c r="C13596" t="s">
        <v>23490</v>
      </c>
      <c r="D13596" t="str">
        <f>HYPERLINK("https://rhld.insurance.arkansas.gov/NPILookup?Npi=1598075558","1598075558")</f>
        <v>1598075558</v>
      </c>
      <c r="E13596" t="s">
        <v>11088</v>
      </c>
    </row>
    <row r="13597" spans="1:5" x14ac:dyDescent="0.25">
      <c r="A13597" t="s">
        <v>2</v>
      </c>
      <c r="B13597" t="s">
        <v>3458</v>
      </c>
      <c r="C13597" t="s">
        <v>23490</v>
      </c>
      <c r="D13597" t="str">
        <f>HYPERLINK("https://rhld.insurance.arkansas.gov/NPILookup?Npi=1598077323","1598077323")</f>
        <v>1598077323</v>
      </c>
      <c r="E13597" t="s">
        <v>3812</v>
      </c>
    </row>
    <row r="13598" spans="1:5" x14ac:dyDescent="0.25">
      <c r="A13598" t="s">
        <v>2</v>
      </c>
      <c r="B13598" t="s">
        <v>3458</v>
      </c>
      <c r="C13598" t="s">
        <v>23490</v>
      </c>
      <c r="D13598" t="str">
        <f>HYPERLINK("https://rhld.insurance.arkansas.gov/NPILookup?Npi=1598080970","1598080970")</f>
        <v>1598080970</v>
      </c>
      <c r="E13598" t="s">
        <v>3813</v>
      </c>
    </row>
    <row r="13599" spans="1:5" x14ac:dyDescent="0.25">
      <c r="A13599" t="s">
        <v>2</v>
      </c>
      <c r="B13599" t="s">
        <v>3458</v>
      </c>
      <c r="C13599" t="s">
        <v>23490</v>
      </c>
      <c r="D13599" t="str">
        <f>HYPERLINK("https://rhld.insurance.arkansas.gov/NPILookup?Npi=1598099632","1598099632")</f>
        <v>1598099632</v>
      </c>
      <c r="E13599" t="s">
        <v>3814</v>
      </c>
    </row>
    <row r="13600" spans="1:5" x14ac:dyDescent="0.25">
      <c r="A13600" t="s">
        <v>2</v>
      </c>
      <c r="B13600" t="s">
        <v>3458</v>
      </c>
      <c r="C13600" t="s">
        <v>23490</v>
      </c>
      <c r="D13600" t="str">
        <f>HYPERLINK("https://rhld.insurance.arkansas.gov/NPILookup?Npi=1598104689","1598104689")</f>
        <v>1598104689</v>
      </c>
      <c r="E13600" t="s">
        <v>11089</v>
      </c>
    </row>
    <row r="13601" spans="1:5" x14ac:dyDescent="0.25">
      <c r="A13601" t="s">
        <v>2</v>
      </c>
      <c r="B13601" t="s">
        <v>3458</v>
      </c>
      <c r="C13601" t="s">
        <v>23490</v>
      </c>
      <c r="D13601" t="str">
        <f>HYPERLINK("https://rhld.insurance.arkansas.gov/NPILookup?Npi=1598105033","1598105033")</f>
        <v>1598105033</v>
      </c>
      <c r="E13601" t="s">
        <v>3815</v>
      </c>
    </row>
    <row r="13602" spans="1:5" x14ac:dyDescent="0.25">
      <c r="A13602" t="s">
        <v>2</v>
      </c>
      <c r="B13602" t="s">
        <v>3458</v>
      </c>
      <c r="C13602" t="s">
        <v>23490</v>
      </c>
      <c r="D13602" t="str">
        <f>HYPERLINK("https://rhld.insurance.arkansas.gov/NPILookup?Npi=1598116402","1598116402")</f>
        <v>1598116402</v>
      </c>
      <c r="E13602" t="s">
        <v>15304</v>
      </c>
    </row>
    <row r="13603" spans="1:5" x14ac:dyDescent="0.25">
      <c r="A13603" t="s">
        <v>2</v>
      </c>
      <c r="B13603" t="s">
        <v>3458</v>
      </c>
      <c r="C13603" t="s">
        <v>23490</v>
      </c>
      <c r="D13603" t="str">
        <f>HYPERLINK("https://rhld.insurance.arkansas.gov/NPILookup?Npi=1598132771","1598132771")</f>
        <v>1598132771</v>
      </c>
      <c r="E13603" t="s">
        <v>15305</v>
      </c>
    </row>
    <row r="13604" spans="1:5" x14ac:dyDescent="0.25">
      <c r="A13604" t="s">
        <v>2</v>
      </c>
      <c r="B13604" t="s">
        <v>3458</v>
      </c>
      <c r="C13604" t="s">
        <v>23490</v>
      </c>
      <c r="D13604" t="str">
        <f>HYPERLINK("https://rhld.insurance.arkansas.gov/NPILookup?Npi=1598153157","1598153157")</f>
        <v>1598153157</v>
      </c>
      <c r="E13604" t="s">
        <v>2085</v>
      </c>
    </row>
    <row r="13605" spans="1:5" x14ac:dyDescent="0.25">
      <c r="A13605" t="s">
        <v>2</v>
      </c>
      <c r="B13605" t="s">
        <v>3458</v>
      </c>
      <c r="C13605" t="s">
        <v>23490</v>
      </c>
      <c r="D13605" t="str">
        <f>HYPERLINK("https://rhld.insurance.arkansas.gov/NPILookup?Npi=1598168544","1598168544")</f>
        <v>1598168544</v>
      </c>
      <c r="E13605" t="s">
        <v>16990</v>
      </c>
    </row>
    <row r="13606" spans="1:5" x14ac:dyDescent="0.25">
      <c r="A13606" t="s">
        <v>2</v>
      </c>
      <c r="B13606" t="s">
        <v>3458</v>
      </c>
      <c r="C13606" t="s">
        <v>23490</v>
      </c>
      <c r="D13606" t="str">
        <f>HYPERLINK("https://rhld.insurance.arkansas.gov/NPILookup?Npi=1598180812","1598180812")</f>
        <v>1598180812</v>
      </c>
      <c r="E13606" t="s">
        <v>11090</v>
      </c>
    </row>
    <row r="13607" spans="1:5" x14ac:dyDescent="0.25">
      <c r="A13607" t="s">
        <v>2</v>
      </c>
      <c r="B13607" t="s">
        <v>3458</v>
      </c>
      <c r="C13607" t="s">
        <v>23490</v>
      </c>
      <c r="D13607" t="str">
        <f>HYPERLINK("https://rhld.insurance.arkansas.gov/NPILookup?Npi=1598184970","1598184970")</f>
        <v>1598184970</v>
      </c>
      <c r="E13607" t="s">
        <v>11091</v>
      </c>
    </row>
    <row r="13608" spans="1:5" x14ac:dyDescent="0.25">
      <c r="A13608" t="s">
        <v>2</v>
      </c>
      <c r="B13608" t="s">
        <v>3458</v>
      </c>
      <c r="C13608" t="s">
        <v>23490</v>
      </c>
      <c r="D13608" t="str">
        <f>HYPERLINK("https://rhld.insurance.arkansas.gov/NPILookup?Npi=1598186926","1598186926")</f>
        <v>1598186926</v>
      </c>
      <c r="E13608" t="s">
        <v>2087</v>
      </c>
    </row>
    <row r="13609" spans="1:5" x14ac:dyDescent="0.25">
      <c r="A13609" t="s">
        <v>2</v>
      </c>
      <c r="B13609" t="s">
        <v>3458</v>
      </c>
      <c r="C13609" t="s">
        <v>23490</v>
      </c>
      <c r="D13609" t="str">
        <f>HYPERLINK("https://rhld.insurance.arkansas.gov/NPILookup?Npi=1598187452","1598187452")</f>
        <v>1598187452</v>
      </c>
      <c r="E13609" t="s">
        <v>8759</v>
      </c>
    </row>
    <row r="13610" spans="1:5" x14ac:dyDescent="0.25">
      <c r="A13610" t="s">
        <v>2</v>
      </c>
      <c r="B13610" t="s">
        <v>3458</v>
      </c>
      <c r="C13610" t="s">
        <v>23490</v>
      </c>
      <c r="D13610" t="str">
        <f>HYPERLINK("https://rhld.insurance.arkansas.gov/NPILookup?Npi=1598193468","1598193468")</f>
        <v>1598193468</v>
      </c>
      <c r="E13610" t="s">
        <v>11092</v>
      </c>
    </row>
    <row r="13611" spans="1:5" x14ac:dyDescent="0.25">
      <c r="A13611" t="s">
        <v>2</v>
      </c>
      <c r="B13611" t="s">
        <v>3458</v>
      </c>
      <c r="C13611" t="s">
        <v>23490</v>
      </c>
      <c r="D13611" t="str">
        <f>HYPERLINK("https://rhld.insurance.arkansas.gov/NPILookup?Npi=1598205320","1598205320")</f>
        <v>1598205320</v>
      </c>
      <c r="E13611" t="s">
        <v>20979</v>
      </c>
    </row>
    <row r="13612" spans="1:5" x14ac:dyDescent="0.25">
      <c r="A13612" t="s">
        <v>2</v>
      </c>
      <c r="B13612" t="s">
        <v>3458</v>
      </c>
      <c r="C13612" t="s">
        <v>23490</v>
      </c>
      <c r="D13612" t="str">
        <f>HYPERLINK("https://rhld.insurance.arkansas.gov/NPILookup?Npi=1598219263","1598219263")</f>
        <v>1598219263</v>
      </c>
      <c r="E13612" t="s">
        <v>19857</v>
      </c>
    </row>
    <row r="13613" spans="1:5" x14ac:dyDescent="0.25">
      <c r="A13613" t="s">
        <v>2</v>
      </c>
      <c r="B13613" t="s">
        <v>3458</v>
      </c>
      <c r="C13613" t="s">
        <v>23490</v>
      </c>
      <c r="D13613" t="str">
        <f>HYPERLINK("https://rhld.insurance.arkansas.gov/NPILookup?Npi=1598244394","1598244394")</f>
        <v>1598244394</v>
      </c>
      <c r="E13613" t="s">
        <v>13613</v>
      </c>
    </row>
    <row r="13614" spans="1:5" x14ac:dyDescent="0.25">
      <c r="A13614" t="s">
        <v>2</v>
      </c>
      <c r="B13614" t="s">
        <v>3458</v>
      </c>
      <c r="C13614" t="s">
        <v>23490</v>
      </c>
      <c r="D13614" t="str">
        <f>HYPERLINK("https://rhld.insurance.arkansas.gov/NPILookup?Npi=1598256497","1598256497")</f>
        <v>1598256497</v>
      </c>
      <c r="E13614" t="s">
        <v>19859</v>
      </c>
    </row>
    <row r="13615" spans="1:5" x14ac:dyDescent="0.25">
      <c r="A13615" t="s">
        <v>2</v>
      </c>
      <c r="B13615" t="s">
        <v>3458</v>
      </c>
      <c r="C13615" t="s">
        <v>23490</v>
      </c>
      <c r="D13615" t="str">
        <f>HYPERLINK("https://rhld.insurance.arkansas.gov/NPILookup?Npi=1598272866","1598272866")</f>
        <v>1598272866</v>
      </c>
      <c r="E13615" t="s">
        <v>12866</v>
      </c>
    </row>
    <row r="13616" spans="1:5" x14ac:dyDescent="0.25">
      <c r="A13616" t="s">
        <v>2</v>
      </c>
      <c r="B13616" t="s">
        <v>3458</v>
      </c>
      <c r="C13616" t="s">
        <v>23490</v>
      </c>
      <c r="D13616" t="str">
        <f>HYPERLINK("https://rhld.insurance.arkansas.gov/NPILookup?Npi=1598282345","1598282345")</f>
        <v>1598282345</v>
      </c>
      <c r="E13616" t="s">
        <v>13614</v>
      </c>
    </row>
    <row r="13617" spans="1:5" x14ac:dyDescent="0.25">
      <c r="A13617" t="s">
        <v>2</v>
      </c>
      <c r="B13617" t="s">
        <v>3458</v>
      </c>
      <c r="C13617" t="s">
        <v>23490</v>
      </c>
      <c r="D13617" t="str">
        <f>HYPERLINK("https://rhld.insurance.arkansas.gov/NPILookup?Npi=1598282808","1598282808")</f>
        <v>1598282808</v>
      </c>
      <c r="E13617" t="s">
        <v>15879</v>
      </c>
    </row>
    <row r="13618" spans="1:5" x14ac:dyDescent="0.25">
      <c r="A13618" t="s">
        <v>2</v>
      </c>
      <c r="B13618" t="s">
        <v>3458</v>
      </c>
      <c r="C13618" t="s">
        <v>23490</v>
      </c>
      <c r="D13618" t="str">
        <f>HYPERLINK("https://rhld.insurance.arkansas.gov/NPILookup?Npi=1598283988","1598283988")</f>
        <v>1598283988</v>
      </c>
      <c r="E13618" t="s">
        <v>15307</v>
      </c>
    </row>
    <row r="13619" spans="1:5" x14ac:dyDescent="0.25">
      <c r="A13619" t="s">
        <v>2</v>
      </c>
      <c r="B13619" t="s">
        <v>3458</v>
      </c>
      <c r="C13619" t="s">
        <v>23490</v>
      </c>
      <c r="D13619" t="str">
        <f>HYPERLINK("https://rhld.insurance.arkansas.gov/NPILookup?Npi=1598285181","1598285181")</f>
        <v>1598285181</v>
      </c>
      <c r="E13619" t="s">
        <v>17443</v>
      </c>
    </row>
    <row r="13620" spans="1:5" x14ac:dyDescent="0.25">
      <c r="A13620" t="s">
        <v>2</v>
      </c>
      <c r="B13620" t="s">
        <v>3458</v>
      </c>
      <c r="C13620" t="s">
        <v>23490</v>
      </c>
      <c r="D13620" t="str">
        <f>HYPERLINK("https://rhld.insurance.arkansas.gov/NPILookup?Npi=1598286007","1598286007")</f>
        <v>1598286007</v>
      </c>
      <c r="E13620" t="s">
        <v>15308</v>
      </c>
    </row>
    <row r="13621" spans="1:5" x14ac:dyDescent="0.25">
      <c r="A13621" t="s">
        <v>2</v>
      </c>
      <c r="B13621" t="s">
        <v>3458</v>
      </c>
      <c r="C13621" t="s">
        <v>23490</v>
      </c>
      <c r="D13621" t="str">
        <f>HYPERLINK("https://rhld.insurance.arkansas.gov/NPILookup?Npi=1598289746","1598289746")</f>
        <v>1598289746</v>
      </c>
      <c r="E13621" t="s">
        <v>13615</v>
      </c>
    </row>
    <row r="13622" spans="1:5" x14ac:dyDescent="0.25">
      <c r="A13622" t="s">
        <v>2</v>
      </c>
      <c r="B13622" t="s">
        <v>3458</v>
      </c>
      <c r="C13622" t="s">
        <v>23490</v>
      </c>
      <c r="D13622" t="str">
        <f>HYPERLINK("https://rhld.insurance.arkansas.gov/NPILookup?Npi=1598315913","1598315913")</f>
        <v>1598315913</v>
      </c>
      <c r="E13622" t="s">
        <v>16991</v>
      </c>
    </row>
    <row r="13623" spans="1:5" x14ac:dyDescent="0.25">
      <c r="A13623" t="s">
        <v>2</v>
      </c>
      <c r="B13623" t="s">
        <v>3458</v>
      </c>
      <c r="C13623" t="s">
        <v>23490</v>
      </c>
      <c r="D13623" t="str">
        <f>HYPERLINK("https://rhld.insurance.arkansas.gov/NPILookup?Npi=1598334609","1598334609")</f>
        <v>1598334609</v>
      </c>
      <c r="E13623" t="s">
        <v>18817</v>
      </c>
    </row>
    <row r="13624" spans="1:5" x14ac:dyDescent="0.25">
      <c r="A13624" t="s">
        <v>2</v>
      </c>
      <c r="B13624" t="s">
        <v>3458</v>
      </c>
      <c r="C13624" t="s">
        <v>23490</v>
      </c>
      <c r="D13624" t="str">
        <f>HYPERLINK("https://rhld.insurance.arkansas.gov/NPILookup?Npi=1598358616","1598358616")</f>
        <v>1598358616</v>
      </c>
      <c r="E13624" t="s">
        <v>18053</v>
      </c>
    </row>
    <row r="13625" spans="1:5" x14ac:dyDescent="0.25">
      <c r="A13625" t="s">
        <v>2</v>
      </c>
      <c r="B13625" t="s">
        <v>3458</v>
      </c>
      <c r="C13625" t="s">
        <v>8427</v>
      </c>
      <c r="D13625" t="str">
        <f>HYPERLINK("https://rhld.insurance.arkansas.gov/NPILookup?Npi=1598387417","1598387417")</f>
        <v>1598387417</v>
      </c>
      <c r="E13625" t="s">
        <v>22962</v>
      </c>
    </row>
    <row r="13626" spans="1:5" x14ac:dyDescent="0.25">
      <c r="A13626" t="s">
        <v>2</v>
      </c>
      <c r="B13626" t="s">
        <v>3458</v>
      </c>
      <c r="C13626" t="s">
        <v>23490</v>
      </c>
      <c r="D13626" t="str">
        <f>HYPERLINK("https://rhld.insurance.arkansas.gov/NPILookup?Npi=1598417511","1598417511")</f>
        <v>1598417511</v>
      </c>
      <c r="E13626" t="s">
        <v>17493</v>
      </c>
    </row>
    <row r="13627" spans="1:5" x14ac:dyDescent="0.25">
      <c r="A13627" t="s">
        <v>2</v>
      </c>
      <c r="B13627" t="s">
        <v>3458</v>
      </c>
      <c r="C13627" t="s">
        <v>23490</v>
      </c>
      <c r="D13627" t="str">
        <f>HYPERLINK("https://rhld.insurance.arkansas.gov/NPILookup?Npi=1598420911","1598420911")</f>
        <v>1598420911</v>
      </c>
      <c r="E13627" t="s">
        <v>20981</v>
      </c>
    </row>
    <row r="13628" spans="1:5" x14ac:dyDescent="0.25">
      <c r="A13628" t="s">
        <v>2</v>
      </c>
      <c r="B13628" t="s">
        <v>3458</v>
      </c>
      <c r="C13628" t="s">
        <v>23490</v>
      </c>
      <c r="D13628" t="str">
        <f>HYPERLINK("https://rhld.insurance.arkansas.gov/NPILookup?Npi=1598422263","1598422263")</f>
        <v>1598422263</v>
      </c>
      <c r="E13628" t="s">
        <v>21587</v>
      </c>
    </row>
    <row r="13629" spans="1:5" x14ac:dyDescent="0.25">
      <c r="A13629" t="s">
        <v>2</v>
      </c>
      <c r="B13629" t="s">
        <v>3458</v>
      </c>
      <c r="C13629" t="s">
        <v>23490</v>
      </c>
      <c r="D13629" t="str">
        <f>HYPERLINK("https://rhld.insurance.arkansas.gov/NPILookup?Npi=1598422636","1598422636")</f>
        <v>1598422636</v>
      </c>
      <c r="E13629" t="s">
        <v>18270</v>
      </c>
    </row>
    <row r="13630" spans="1:5" x14ac:dyDescent="0.25">
      <c r="A13630" t="s">
        <v>2</v>
      </c>
      <c r="B13630" t="s">
        <v>3458</v>
      </c>
      <c r="C13630" t="s">
        <v>23490</v>
      </c>
      <c r="D13630" t="str">
        <f>HYPERLINK("https://rhld.insurance.arkansas.gov/NPILookup?Npi=1598430068","1598430068")</f>
        <v>1598430068</v>
      </c>
      <c r="E13630" t="s">
        <v>21588</v>
      </c>
    </row>
    <row r="13631" spans="1:5" x14ac:dyDescent="0.25">
      <c r="A13631" t="s">
        <v>2</v>
      </c>
      <c r="B13631" t="s">
        <v>3458</v>
      </c>
      <c r="C13631" t="s">
        <v>23490</v>
      </c>
      <c r="D13631" t="str">
        <f>HYPERLINK("https://rhld.insurance.arkansas.gov/NPILookup?Npi=1598438459","1598438459")</f>
        <v>1598438459</v>
      </c>
      <c r="E13631" t="s">
        <v>18818</v>
      </c>
    </row>
    <row r="13632" spans="1:5" x14ac:dyDescent="0.25">
      <c r="A13632" t="s">
        <v>2</v>
      </c>
      <c r="B13632" t="s">
        <v>3458</v>
      </c>
      <c r="C13632" t="s">
        <v>23490</v>
      </c>
      <c r="D13632" t="str">
        <f>HYPERLINK("https://rhld.insurance.arkansas.gov/NPILookup?Npi=1598702235","1598702235")</f>
        <v>1598702235</v>
      </c>
      <c r="E13632" t="s">
        <v>15311</v>
      </c>
    </row>
    <row r="13633" spans="1:5" x14ac:dyDescent="0.25">
      <c r="A13633" t="s">
        <v>2</v>
      </c>
      <c r="B13633" t="s">
        <v>3458</v>
      </c>
      <c r="C13633" t="s">
        <v>23490</v>
      </c>
      <c r="D13633" t="str">
        <f>HYPERLINK("https://rhld.insurance.arkansas.gov/NPILookup?Npi=1598702888","1598702888")</f>
        <v>1598702888</v>
      </c>
      <c r="E13633" t="s">
        <v>18054</v>
      </c>
    </row>
    <row r="13634" spans="1:5" x14ac:dyDescent="0.25">
      <c r="A13634" t="s">
        <v>2</v>
      </c>
      <c r="B13634" t="s">
        <v>3458</v>
      </c>
      <c r="C13634" t="s">
        <v>23490</v>
      </c>
      <c r="D13634" t="str">
        <f>HYPERLINK("https://rhld.insurance.arkansas.gov/NPILookup?Npi=1598705683","1598705683")</f>
        <v>1598705683</v>
      </c>
      <c r="E13634" t="s">
        <v>2088</v>
      </c>
    </row>
    <row r="13635" spans="1:5" x14ac:dyDescent="0.25">
      <c r="A13635" t="s">
        <v>2</v>
      </c>
      <c r="B13635" t="s">
        <v>3458</v>
      </c>
      <c r="C13635" t="s">
        <v>23490</v>
      </c>
      <c r="D13635" t="str">
        <f>HYPERLINK("https://rhld.insurance.arkansas.gov/NPILookup?Npi=1598712499","1598712499")</f>
        <v>1598712499</v>
      </c>
      <c r="E13635" t="s">
        <v>2089</v>
      </c>
    </row>
    <row r="13636" spans="1:5" x14ac:dyDescent="0.25">
      <c r="A13636" t="s">
        <v>2</v>
      </c>
      <c r="B13636" t="s">
        <v>3458</v>
      </c>
      <c r="C13636" t="s">
        <v>23490</v>
      </c>
      <c r="D13636" t="str">
        <f>HYPERLINK("https://rhld.insurance.arkansas.gov/NPILookup?Npi=1598716763","1598716763")</f>
        <v>1598716763</v>
      </c>
      <c r="E13636" t="s">
        <v>15880</v>
      </c>
    </row>
    <row r="13637" spans="1:5" x14ac:dyDescent="0.25">
      <c r="A13637" t="s">
        <v>2</v>
      </c>
      <c r="B13637" t="s">
        <v>3458</v>
      </c>
      <c r="C13637" t="s">
        <v>23490</v>
      </c>
      <c r="D13637" t="str">
        <f>HYPERLINK("https://rhld.insurance.arkansas.gov/NPILookup?Npi=1598717738","1598717738")</f>
        <v>1598717738</v>
      </c>
      <c r="E13637" t="s">
        <v>2091</v>
      </c>
    </row>
    <row r="13638" spans="1:5" x14ac:dyDescent="0.25">
      <c r="A13638" t="s">
        <v>2</v>
      </c>
      <c r="B13638" t="s">
        <v>3458</v>
      </c>
      <c r="C13638" t="s">
        <v>23490</v>
      </c>
      <c r="D13638" t="str">
        <f>HYPERLINK("https://rhld.insurance.arkansas.gov/NPILookup?Npi=1598723371","1598723371")</f>
        <v>1598723371</v>
      </c>
      <c r="E13638" t="s">
        <v>3816</v>
      </c>
    </row>
    <row r="13639" spans="1:5" x14ac:dyDescent="0.25">
      <c r="A13639" t="s">
        <v>2</v>
      </c>
      <c r="B13639" t="s">
        <v>3458</v>
      </c>
      <c r="C13639" t="s">
        <v>23490</v>
      </c>
      <c r="D13639" t="str">
        <f>HYPERLINK("https://rhld.insurance.arkansas.gov/NPILookup?Npi=1598731259","1598731259")</f>
        <v>1598731259</v>
      </c>
      <c r="E13639" t="s">
        <v>2092</v>
      </c>
    </row>
    <row r="13640" spans="1:5" x14ac:dyDescent="0.25">
      <c r="A13640" t="s">
        <v>2</v>
      </c>
      <c r="B13640" t="s">
        <v>3458</v>
      </c>
      <c r="C13640" t="s">
        <v>23490</v>
      </c>
      <c r="D13640" t="str">
        <f>HYPERLINK("https://rhld.insurance.arkansas.gov/NPILookup?Npi=1598732315","1598732315")</f>
        <v>1598732315</v>
      </c>
      <c r="E13640" t="s">
        <v>575</v>
      </c>
    </row>
    <row r="13641" spans="1:5" x14ac:dyDescent="0.25">
      <c r="A13641" t="s">
        <v>2</v>
      </c>
      <c r="B13641" t="s">
        <v>3458</v>
      </c>
      <c r="C13641" t="s">
        <v>23490</v>
      </c>
      <c r="D13641" t="str">
        <f>HYPERLINK("https://rhld.insurance.arkansas.gov/NPILookup?Npi=1598733065","1598733065")</f>
        <v>1598733065</v>
      </c>
      <c r="E13641" t="s">
        <v>3817</v>
      </c>
    </row>
    <row r="13642" spans="1:5" x14ac:dyDescent="0.25">
      <c r="A13642" t="s">
        <v>2</v>
      </c>
      <c r="B13642" t="s">
        <v>3458</v>
      </c>
      <c r="C13642" t="s">
        <v>23490</v>
      </c>
      <c r="D13642" t="str">
        <f>HYPERLINK("https://rhld.insurance.arkansas.gov/NPILookup?Npi=1598733602","1598733602")</f>
        <v>1598733602</v>
      </c>
      <c r="E13642" t="s">
        <v>2094</v>
      </c>
    </row>
    <row r="13643" spans="1:5" x14ac:dyDescent="0.25">
      <c r="A13643" t="s">
        <v>2</v>
      </c>
      <c r="B13643" t="s">
        <v>3458</v>
      </c>
      <c r="C13643" t="s">
        <v>23490</v>
      </c>
      <c r="D13643" t="str">
        <f>HYPERLINK("https://rhld.insurance.arkansas.gov/NPILookup?Npi=1598743247","1598743247")</f>
        <v>1598743247</v>
      </c>
      <c r="E13643" t="s">
        <v>3818</v>
      </c>
    </row>
    <row r="13644" spans="1:5" x14ac:dyDescent="0.25">
      <c r="A13644" t="s">
        <v>2</v>
      </c>
      <c r="B13644" t="s">
        <v>3458</v>
      </c>
      <c r="C13644" t="s">
        <v>23490</v>
      </c>
      <c r="D13644" t="str">
        <f>HYPERLINK("https://rhld.insurance.arkansas.gov/NPILookup?Npi=1598758120","1598758120")</f>
        <v>1598758120</v>
      </c>
      <c r="E13644" t="s">
        <v>2096</v>
      </c>
    </row>
    <row r="13645" spans="1:5" x14ac:dyDescent="0.25">
      <c r="A13645" t="s">
        <v>2</v>
      </c>
      <c r="B13645" t="s">
        <v>3458</v>
      </c>
      <c r="C13645" t="s">
        <v>23490</v>
      </c>
      <c r="D13645" t="str">
        <f>HYPERLINK("https://rhld.insurance.arkansas.gov/NPILookup?Npi=1598759359","1598759359")</f>
        <v>1598759359</v>
      </c>
      <c r="E13645" t="s">
        <v>3819</v>
      </c>
    </row>
    <row r="13646" spans="1:5" x14ac:dyDescent="0.25">
      <c r="A13646" t="s">
        <v>2</v>
      </c>
      <c r="B13646" t="s">
        <v>3458</v>
      </c>
      <c r="C13646" t="s">
        <v>23490</v>
      </c>
      <c r="D13646" t="str">
        <f>HYPERLINK("https://rhld.insurance.arkansas.gov/NPILookup?Npi=1598764896","1598764896")</f>
        <v>1598764896</v>
      </c>
      <c r="E13646" t="s">
        <v>2098</v>
      </c>
    </row>
    <row r="13647" spans="1:5" x14ac:dyDescent="0.25">
      <c r="A13647" t="s">
        <v>2</v>
      </c>
      <c r="B13647" t="s">
        <v>3458</v>
      </c>
      <c r="C13647" t="s">
        <v>23490</v>
      </c>
      <c r="D13647" t="str">
        <f>HYPERLINK("https://rhld.insurance.arkansas.gov/NPILookup?Npi=1598771677","1598771677")</f>
        <v>1598771677</v>
      </c>
      <c r="E13647" t="s">
        <v>2100</v>
      </c>
    </row>
    <row r="13648" spans="1:5" x14ac:dyDescent="0.25">
      <c r="A13648" t="s">
        <v>2</v>
      </c>
      <c r="B13648" t="s">
        <v>3458</v>
      </c>
      <c r="C13648" t="s">
        <v>23490</v>
      </c>
      <c r="D13648" t="str">
        <f>HYPERLINK("https://rhld.insurance.arkansas.gov/NPILookup?Npi=1598773079","1598773079")</f>
        <v>1598773079</v>
      </c>
      <c r="E13648" t="s">
        <v>3820</v>
      </c>
    </row>
    <row r="13649" spans="1:5" x14ac:dyDescent="0.25">
      <c r="A13649" t="s">
        <v>2</v>
      </c>
      <c r="B13649" t="s">
        <v>3458</v>
      </c>
      <c r="C13649" t="s">
        <v>23490</v>
      </c>
      <c r="D13649" t="str">
        <f>HYPERLINK("https://rhld.insurance.arkansas.gov/NPILookup?Npi=1598788341","1598788341")</f>
        <v>1598788341</v>
      </c>
      <c r="E13649" t="s">
        <v>2102</v>
      </c>
    </row>
    <row r="13650" spans="1:5" x14ac:dyDescent="0.25">
      <c r="A13650" t="s">
        <v>2</v>
      </c>
      <c r="B13650" t="s">
        <v>3458</v>
      </c>
      <c r="C13650" t="s">
        <v>23490</v>
      </c>
      <c r="D13650" t="str">
        <f>HYPERLINK("https://rhld.insurance.arkansas.gov/NPILookup?Npi=1598796690","1598796690")</f>
        <v>1598796690</v>
      </c>
      <c r="E13650" t="s">
        <v>19864</v>
      </c>
    </row>
    <row r="13651" spans="1:5" x14ac:dyDescent="0.25">
      <c r="A13651" t="s">
        <v>2</v>
      </c>
      <c r="B13651" t="s">
        <v>3458</v>
      </c>
      <c r="C13651" t="s">
        <v>23490</v>
      </c>
      <c r="D13651" t="str">
        <f>HYPERLINK("https://rhld.insurance.arkansas.gov/NPILookup?Npi=1598797391","1598797391")</f>
        <v>1598797391</v>
      </c>
      <c r="E13651" t="s">
        <v>2103</v>
      </c>
    </row>
    <row r="13652" spans="1:5" x14ac:dyDescent="0.25">
      <c r="A13652" t="s">
        <v>2</v>
      </c>
      <c r="B13652" t="s">
        <v>3458</v>
      </c>
      <c r="C13652" t="s">
        <v>23490</v>
      </c>
      <c r="D13652" t="str">
        <f>HYPERLINK("https://rhld.insurance.arkansas.gov/NPILookup?Npi=1598800609","1598800609")</f>
        <v>1598800609</v>
      </c>
      <c r="E13652" t="s">
        <v>15312</v>
      </c>
    </row>
    <row r="13653" spans="1:5" x14ac:dyDescent="0.25">
      <c r="A13653" t="s">
        <v>2</v>
      </c>
      <c r="B13653" t="s">
        <v>3458</v>
      </c>
      <c r="C13653" t="s">
        <v>23490</v>
      </c>
      <c r="D13653" t="str">
        <f>HYPERLINK("https://rhld.insurance.arkansas.gov/NPILookup?Npi=1598806192","1598806192")</f>
        <v>1598806192</v>
      </c>
      <c r="E13653" t="s">
        <v>2104</v>
      </c>
    </row>
    <row r="13654" spans="1:5" x14ac:dyDescent="0.25">
      <c r="A13654" t="s">
        <v>2</v>
      </c>
      <c r="B13654" t="s">
        <v>3458</v>
      </c>
      <c r="C13654" t="s">
        <v>23490</v>
      </c>
      <c r="D13654" t="str">
        <f>HYPERLINK("https://rhld.insurance.arkansas.gov/NPILookup?Npi=1598841710","1598841710")</f>
        <v>1598841710</v>
      </c>
      <c r="E13654" t="s">
        <v>11094</v>
      </c>
    </row>
    <row r="13655" spans="1:5" x14ac:dyDescent="0.25">
      <c r="A13655" t="s">
        <v>2</v>
      </c>
      <c r="B13655" t="s">
        <v>3458</v>
      </c>
      <c r="C13655" t="s">
        <v>23490</v>
      </c>
      <c r="D13655" t="str">
        <f>HYPERLINK("https://rhld.insurance.arkansas.gov/NPILookup?Npi=1598849234","1598849234")</f>
        <v>1598849234</v>
      </c>
      <c r="E13655" t="s">
        <v>11095</v>
      </c>
    </row>
    <row r="13656" spans="1:5" x14ac:dyDescent="0.25">
      <c r="A13656" t="s">
        <v>2</v>
      </c>
      <c r="B13656" t="s">
        <v>3458</v>
      </c>
      <c r="C13656" t="s">
        <v>23490</v>
      </c>
      <c r="D13656" t="str">
        <f>HYPERLINK("https://rhld.insurance.arkansas.gov/NPILookup?Npi=1598855090","1598855090")</f>
        <v>1598855090</v>
      </c>
      <c r="E13656" t="s">
        <v>3821</v>
      </c>
    </row>
    <row r="13657" spans="1:5" x14ac:dyDescent="0.25">
      <c r="A13657" t="s">
        <v>2</v>
      </c>
      <c r="B13657" t="s">
        <v>3458</v>
      </c>
      <c r="C13657" t="s">
        <v>23490</v>
      </c>
      <c r="D13657" t="str">
        <f>HYPERLINK("https://rhld.insurance.arkansas.gov/NPILookup?Npi=1598855157","1598855157")</f>
        <v>1598855157</v>
      </c>
      <c r="E13657" t="s">
        <v>3822</v>
      </c>
    </row>
    <row r="13658" spans="1:5" x14ac:dyDescent="0.25">
      <c r="A13658" t="s">
        <v>2</v>
      </c>
      <c r="B13658" t="s">
        <v>3458</v>
      </c>
      <c r="C13658" t="s">
        <v>23490</v>
      </c>
      <c r="D13658" t="str">
        <f>HYPERLINK("https://rhld.insurance.arkansas.gov/NPILookup?Npi=1598859688","1598859688")</f>
        <v>1598859688</v>
      </c>
      <c r="E13658" t="s">
        <v>15313</v>
      </c>
    </row>
    <row r="13659" spans="1:5" x14ac:dyDescent="0.25">
      <c r="A13659" t="s">
        <v>2</v>
      </c>
      <c r="B13659" t="s">
        <v>3458</v>
      </c>
      <c r="C13659" t="s">
        <v>23490</v>
      </c>
      <c r="D13659" t="str">
        <f>HYPERLINK("https://rhld.insurance.arkansas.gov/NPILookup?Npi=1598861759","1598861759")</f>
        <v>1598861759</v>
      </c>
      <c r="E13659" t="s">
        <v>13861</v>
      </c>
    </row>
    <row r="13660" spans="1:5" x14ac:dyDescent="0.25">
      <c r="A13660" t="s">
        <v>2</v>
      </c>
      <c r="B13660" t="s">
        <v>3458</v>
      </c>
      <c r="C13660" t="s">
        <v>23490</v>
      </c>
      <c r="D13660" t="str">
        <f>HYPERLINK("https://rhld.insurance.arkansas.gov/NPILookup?Npi=1598866568","1598866568")</f>
        <v>1598866568</v>
      </c>
      <c r="E13660" t="s">
        <v>15314</v>
      </c>
    </row>
    <row r="13661" spans="1:5" x14ac:dyDescent="0.25">
      <c r="A13661" t="s">
        <v>2</v>
      </c>
      <c r="B13661" t="s">
        <v>3458</v>
      </c>
      <c r="C13661" t="s">
        <v>23490</v>
      </c>
      <c r="D13661" t="str">
        <f>HYPERLINK("https://rhld.insurance.arkansas.gov/NPILookup?Npi=1598879686","1598879686")</f>
        <v>1598879686</v>
      </c>
      <c r="E13661" t="s">
        <v>2057</v>
      </c>
    </row>
    <row r="13662" spans="1:5" x14ac:dyDescent="0.25">
      <c r="A13662" t="s">
        <v>2</v>
      </c>
      <c r="B13662" t="s">
        <v>3458</v>
      </c>
      <c r="C13662" t="s">
        <v>23490</v>
      </c>
      <c r="D13662" t="str">
        <f>HYPERLINK("https://rhld.insurance.arkansas.gov/NPILookup?Npi=1598909129","1598909129")</f>
        <v>1598909129</v>
      </c>
      <c r="E13662" t="s">
        <v>18214</v>
      </c>
    </row>
    <row r="13663" spans="1:5" x14ac:dyDescent="0.25">
      <c r="A13663" t="s">
        <v>2</v>
      </c>
      <c r="B13663" t="s">
        <v>3458</v>
      </c>
      <c r="C13663" t="s">
        <v>23490</v>
      </c>
      <c r="D13663" t="str">
        <f>HYPERLINK("https://rhld.insurance.arkansas.gov/NPILookup?Npi=1598916942","1598916942")</f>
        <v>1598916942</v>
      </c>
      <c r="E13663" t="s">
        <v>11096</v>
      </c>
    </row>
    <row r="13664" spans="1:5" x14ac:dyDescent="0.25">
      <c r="A13664" t="s">
        <v>2</v>
      </c>
      <c r="B13664" t="s">
        <v>3458</v>
      </c>
      <c r="C13664" t="s">
        <v>23490</v>
      </c>
      <c r="D13664" t="str">
        <f>HYPERLINK("https://rhld.insurance.arkansas.gov/NPILookup?Npi=1598920704","1598920704")</f>
        <v>1598920704</v>
      </c>
      <c r="E13664" t="s">
        <v>8760</v>
      </c>
    </row>
    <row r="13665" spans="1:5" x14ac:dyDescent="0.25">
      <c r="A13665" t="s">
        <v>2</v>
      </c>
      <c r="B13665" t="s">
        <v>3458</v>
      </c>
      <c r="C13665" t="s">
        <v>23490</v>
      </c>
      <c r="D13665" t="str">
        <f>HYPERLINK("https://rhld.insurance.arkansas.gov/NPILookup?Npi=1598932915","1598932915")</f>
        <v>1598932915</v>
      </c>
      <c r="E13665" t="s">
        <v>11097</v>
      </c>
    </row>
    <row r="13666" spans="1:5" x14ac:dyDescent="0.25">
      <c r="A13666" t="s">
        <v>2</v>
      </c>
      <c r="B13666" t="s">
        <v>3458</v>
      </c>
      <c r="C13666" t="s">
        <v>23490</v>
      </c>
      <c r="D13666" t="str">
        <f>HYPERLINK("https://rhld.insurance.arkansas.gov/NPILookup?Npi=1598998353","1598998353")</f>
        <v>1598998353</v>
      </c>
      <c r="E13666" t="s">
        <v>2111</v>
      </c>
    </row>
    <row r="13667" spans="1:5" x14ac:dyDescent="0.25">
      <c r="A13667" t="s">
        <v>2</v>
      </c>
      <c r="B13667" t="s">
        <v>3458</v>
      </c>
      <c r="C13667" t="s">
        <v>23490</v>
      </c>
      <c r="D13667" t="str">
        <f>HYPERLINK("https://rhld.insurance.arkansas.gov/NPILookup?Npi=1598999849","1598999849")</f>
        <v>1598999849</v>
      </c>
      <c r="E13667" t="s">
        <v>13862</v>
      </c>
    </row>
    <row r="13668" spans="1:5" x14ac:dyDescent="0.25">
      <c r="A13668" t="s">
        <v>2</v>
      </c>
      <c r="B13668" t="s">
        <v>3458</v>
      </c>
      <c r="C13668" t="s">
        <v>23490</v>
      </c>
      <c r="D13668" t="str">
        <f>HYPERLINK("https://rhld.insurance.arkansas.gov/NPILookup?Npi=1609024835","1609024835")</f>
        <v>1609024835</v>
      </c>
      <c r="E13668" t="s">
        <v>20982</v>
      </c>
    </row>
    <row r="13669" spans="1:5" x14ac:dyDescent="0.25">
      <c r="A13669" t="s">
        <v>2</v>
      </c>
      <c r="B13669" t="s">
        <v>3458</v>
      </c>
      <c r="C13669" t="s">
        <v>23490</v>
      </c>
      <c r="D13669" t="str">
        <f>HYPERLINK("https://rhld.insurance.arkansas.gov/NPILookup?Npi=1609027465","1609027465")</f>
        <v>1609027465</v>
      </c>
      <c r="E13669" t="s">
        <v>11098</v>
      </c>
    </row>
    <row r="13670" spans="1:5" x14ac:dyDescent="0.25">
      <c r="A13670" t="s">
        <v>2</v>
      </c>
      <c r="B13670" t="s">
        <v>3458</v>
      </c>
      <c r="C13670" t="s">
        <v>23490</v>
      </c>
      <c r="D13670" t="str">
        <f>HYPERLINK("https://rhld.insurance.arkansas.gov/NPILookup?Npi=1609028828","1609028828")</f>
        <v>1609028828</v>
      </c>
      <c r="E13670" t="s">
        <v>2113</v>
      </c>
    </row>
    <row r="13671" spans="1:5" x14ac:dyDescent="0.25">
      <c r="A13671" t="s">
        <v>2</v>
      </c>
      <c r="B13671" t="s">
        <v>3458</v>
      </c>
      <c r="C13671" t="s">
        <v>23490</v>
      </c>
      <c r="D13671" t="str">
        <f>HYPERLINK("https://rhld.insurance.arkansas.gov/NPILookup?Npi=1609033265","1609033265")</f>
        <v>1609033265</v>
      </c>
      <c r="E13671" t="s">
        <v>13616</v>
      </c>
    </row>
    <row r="13672" spans="1:5" x14ac:dyDescent="0.25">
      <c r="A13672" t="s">
        <v>2</v>
      </c>
      <c r="B13672" t="s">
        <v>3458</v>
      </c>
      <c r="C13672" t="s">
        <v>23490</v>
      </c>
      <c r="D13672" t="str">
        <f>HYPERLINK("https://rhld.insurance.arkansas.gov/NPILookup?Npi=1609037993","1609037993")</f>
        <v>1609037993</v>
      </c>
      <c r="E13672" t="s">
        <v>2114</v>
      </c>
    </row>
    <row r="13673" spans="1:5" x14ac:dyDescent="0.25">
      <c r="A13673" t="s">
        <v>2</v>
      </c>
      <c r="B13673" t="s">
        <v>3458</v>
      </c>
      <c r="C13673" t="s">
        <v>23490</v>
      </c>
      <c r="D13673" t="str">
        <f>HYPERLINK("https://rhld.insurance.arkansas.gov/NPILookup?Npi=1609040849","1609040849")</f>
        <v>1609040849</v>
      </c>
      <c r="E13673" t="s">
        <v>2115</v>
      </c>
    </row>
    <row r="13674" spans="1:5" x14ac:dyDescent="0.25">
      <c r="A13674" t="s">
        <v>2</v>
      </c>
      <c r="B13674" t="s">
        <v>3458</v>
      </c>
      <c r="C13674" t="s">
        <v>23490</v>
      </c>
      <c r="D13674" t="str">
        <f>HYPERLINK("https://rhld.insurance.arkansas.gov/NPILookup?Npi=1609047943","1609047943")</f>
        <v>1609047943</v>
      </c>
      <c r="E13674" t="s">
        <v>15315</v>
      </c>
    </row>
    <row r="13675" spans="1:5" x14ac:dyDescent="0.25">
      <c r="A13675" t="s">
        <v>2</v>
      </c>
      <c r="B13675" t="s">
        <v>3458</v>
      </c>
      <c r="C13675" t="s">
        <v>23490</v>
      </c>
      <c r="D13675" t="str">
        <f>HYPERLINK("https://rhld.insurance.arkansas.gov/NPILookup?Npi=1609050087","1609050087")</f>
        <v>1609050087</v>
      </c>
      <c r="E13675" t="s">
        <v>2117</v>
      </c>
    </row>
    <row r="13676" spans="1:5" x14ac:dyDescent="0.25">
      <c r="A13676" t="s">
        <v>2</v>
      </c>
      <c r="B13676" t="s">
        <v>3458</v>
      </c>
      <c r="C13676" t="s">
        <v>23490</v>
      </c>
      <c r="D13676" t="str">
        <f>HYPERLINK("https://rhld.insurance.arkansas.gov/NPILookup?Npi=1609073022","1609073022")</f>
        <v>1609073022</v>
      </c>
      <c r="E13676" t="s">
        <v>2118</v>
      </c>
    </row>
    <row r="13677" spans="1:5" x14ac:dyDescent="0.25">
      <c r="A13677" t="s">
        <v>2</v>
      </c>
      <c r="B13677" t="s">
        <v>3458</v>
      </c>
      <c r="C13677" t="s">
        <v>23490</v>
      </c>
      <c r="D13677" t="str">
        <f>HYPERLINK("https://rhld.insurance.arkansas.gov/NPILookup?Npi=1609087923","1609087923")</f>
        <v>1609087923</v>
      </c>
      <c r="E13677" t="s">
        <v>8761</v>
      </c>
    </row>
    <row r="13678" spans="1:5" x14ac:dyDescent="0.25">
      <c r="A13678" t="s">
        <v>2</v>
      </c>
      <c r="B13678" t="s">
        <v>3458</v>
      </c>
      <c r="C13678" t="s">
        <v>23490</v>
      </c>
      <c r="D13678" t="str">
        <f>HYPERLINK("https://rhld.insurance.arkansas.gov/NPILookup?Npi=1609090869","1609090869")</f>
        <v>1609090869</v>
      </c>
      <c r="E13678" t="s">
        <v>3823</v>
      </c>
    </row>
    <row r="13679" spans="1:5" x14ac:dyDescent="0.25">
      <c r="A13679" t="s">
        <v>2</v>
      </c>
      <c r="B13679" t="s">
        <v>3458</v>
      </c>
      <c r="C13679" t="s">
        <v>23490</v>
      </c>
      <c r="D13679" t="str">
        <f>HYPERLINK("https://rhld.insurance.arkansas.gov/NPILookup?Npi=1609096148","1609096148")</f>
        <v>1609096148</v>
      </c>
      <c r="E13679" t="s">
        <v>2119</v>
      </c>
    </row>
    <row r="13680" spans="1:5" x14ac:dyDescent="0.25">
      <c r="A13680" t="s">
        <v>2</v>
      </c>
      <c r="B13680" t="s">
        <v>3458</v>
      </c>
      <c r="C13680" t="s">
        <v>23490</v>
      </c>
      <c r="D13680" t="str">
        <f>HYPERLINK("https://rhld.insurance.arkansas.gov/NPILookup?Npi=1609114032","1609114032")</f>
        <v>1609114032</v>
      </c>
      <c r="E13680" t="s">
        <v>3824</v>
      </c>
    </row>
    <row r="13681" spans="1:5" x14ac:dyDescent="0.25">
      <c r="A13681" t="s">
        <v>2</v>
      </c>
      <c r="B13681" t="s">
        <v>3458</v>
      </c>
      <c r="C13681" t="s">
        <v>23490</v>
      </c>
      <c r="D13681" t="str">
        <f>HYPERLINK("https://rhld.insurance.arkansas.gov/NPILookup?Npi=1609131358","1609131358")</f>
        <v>1609131358</v>
      </c>
      <c r="E13681" t="s">
        <v>15317</v>
      </c>
    </row>
    <row r="13682" spans="1:5" x14ac:dyDescent="0.25">
      <c r="A13682" t="s">
        <v>2</v>
      </c>
      <c r="B13682" t="s">
        <v>3458</v>
      </c>
      <c r="C13682" t="s">
        <v>23490</v>
      </c>
      <c r="D13682" t="str">
        <f>HYPERLINK("https://rhld.insurance.arkansas.gov/NPILookup?Npi=1609134006","1609134006")</f>
        <v>1609134006</v>
      </c>
      <c r="E13682" t="s">
        <v>8762</v>
      </c>
    </row>
    <row r="13683" spans="1:5" x14ac:dyDescent="0.25">
      <c r="A13683" t="s">
        <v>2</v>
      </c>
      <c r="B13683" t="s">
        <v>3458</v>
      </c>
      <c r="C13683" t="s">
        <v>23490</v>
      </c>
      <c r="D13683" t="str">
        <f>HYPERLINK("https://rhld.insurance.arkansas.gov/NPILookup?Npi=1609135011","1609135011")</f>
        <v>1609135011</v>
      </c>
      <c r="E13683" t="s">
        <v>15318</v>
      </c>
    </row>
    <row r="13684" spans="1:5" x14ac:dyDescent="0.25">
      <c r="A13684" t="s">
        <v>2</v>
      </c>
      <c r="B13684" t="s">
        <v>3458</v>
      </c>
      <c r="C13684" t="s">
        <v>23490</v>
      </c>
      <c r="D13684" t="str">
        <f>HYPERLINK("https://rhld.insurance.arkansas.gov/NPILookup?Npi=1609165364","1609165364")</f>
        <v>1609165364</v>
      </c>
      <c r="E13684" t="s">
        <v>2121</v>
      </c>
    </row>
    <row r="13685" spans="1:5" x14ac:dyDescent="0.25">
      <c r="A13685" t="s">
        <v>2</v>
      </c>
      <c r="B13685" t="s">
        <v>3458</v>
      </c>
      <c r="C13685" t="s">
        <v>23490</v>
      </c>
      <c r="D13685" t="str">
        <f>HYPERLINK("https://rhld.insurance.arkansas.gov/NPILookup?Npi=1609171123","1609171123")</f>
        <v>1609171123</v>
      </c>
      <c r="E13685" t="s">
        <v>2123</v>
      </c>
    </row>
    <row r="13686" spans="1:5" x14ac:dyDescent="0.25">
      <c r="A13686" t="s">
        <v>2</v>
      </c>
      <c r="B13686" t="s">
        <v>3458</v>
      </c>
      <c r="C13686" t="s">
        <v>23490</v>
      </c>
      <c r="D13686" t="str">
        <f>HYPERLINK("https://rhld.insurance.arkansas.gov/NPILookup?Npi=1609183599","1609183599")</f>
        <v>1609183599</v>
      </c>
      <c r="E13686" t="s">
        <v>8763</v>
      </c>
    </row>
    <row r="13687" spans="1:5" x14ac:dyDescent="0.25">
      <c r="A13687" t="s">
        <v>2</v>
      </c>
      <c r="B13687" t="s">
        <v>3458</v>
      </c>
      <c r="C13687" t="s">
        <v>23490</v>
      </c>
      <c r="D13687" t="str">
        <f>HYPERLINK("https://rhld.insurance.arkansas.gov/NPILookup?Npi=1609185859","1609185859")</f>
        <v>1609185859</v>
      </c>
      <c r="E13687" t="s">
        <v>19393</v>
      </c>
    </row>
    <row r="13688" spans="1:5" x14ac:dyDescent="0.25">
      <c r="A13688" t="s">
        <v>2</v>
      </c>
      <c r="B13688" t="s">
        <v>3458</v>
      </c>
      <c r="C13688" t="s">
        <v>23490</v>
      </c>
      <c r="D13688" t="str">
        <f>HYPERLINK("https://rhld.insurance.arkansas.gov/NPILookup?Npi=1609188614","1609188614")</f>
        <v>1609188614</v>
      </c>
      <c r="E13688" t="s">
        <v>2125</v>
      </c>
    </row>
    <row r="13689" spans="1:5" x14ac:dyDescent="0.25">
      <c r="A13689" t="s">
        <v>2</v>
      </c>
      <c r="B13689" t="s">
        <v>3458</v>
      </c>
      <c r="C13689" t="s">
        <v>23490</v>
      </c>
      <c r="D13689" t="str">
        <f>HYPERLINK("https://rhld.insurance.arkansas.gov/NPILookup?Npi=1609189588","1609189588")</f>
        <v>1609189588</v>
      </c>
      <c r="E13689" t="s">
        <v>2126</v>
      </c>
    </row>
    <row r="13690" spans="1:5" x14ac:dyDescent="0.25">
      <c r="A13690" t="s">
        <v>2</v>
      </c>
      <c r="B13690" t="s">
        <v>3458</v>
      </c>
      <c r="C13690" t="s">
        <v>23490</v>
      </c>
      <c r="D13690" t="str">
        <f>HYPERLINK("https://rhld.insurance.arkansas.gov/NPILookup?Npi=1609190826","1609190826")</f>
        <v>1609190826</v>
      </c>
      <c r="E13690" t="s">
        <v>2127</v>
      </c>
    </row>
    <row r="13691" spans="1:5" x14ac:dyDescent="0.25">
      <c r="A13691" t="s">
        <v>2</v>
      </c>
      <c r="B13691" t="s">
        <v>3458</v>
      </c>
      <c r="C13691" t="s">
        <v>23490</v>
      </c>
      <c r="D13691" t="str">
        <f>HYPERLINK("https://rhld.insurance.arkansas.gov/NPILookup?Npi=1609194109","1609194109")</f>
        <v>1609194109</v>
      </c>
      <c r="E13691" t="s">
        <v>15319</v>
      </c>
    </row>
    <row r="13692" spans="1:5" x14ac:dyDescent="0.25">
      <c r="A13692" t="s">
        <v>2</v>
      </c>
      <c r="B13692" t="s">
        <v>3458</v>
      </c>
      <c r="C13692" t="s">
        <v>23490</v>
      </c>
      <c r="D13692" t="str">
        <f>HYPERLINK("https://rhld.insurance.arkansas.gov/NPILookup?Npi=1609194430","1609194430")</f>
        <v>1609194430</v>
      </c>
      <c r="E13692" t="s">
        <v>3825</v>
      </c>
    </row>
    <row r="13693" spans="1:5" x14ac:dyDescent="0.25">
      <c r="A13693" t="s">
        <v>2</v>
      </c>
      <c r="B13693" t="s">
        <v>3458</v>
      </c>
      <c r="C13693" t="s">
        <v>23490</v>
      </c>
      <c r="D13693" t="str">
        <f>HYPERLINK("https://rhld.insurance.arkansas.gov/NPILookup?Npi=1609211374","1609211374")</f>
        <v>1609211374</v>
      </c>
      <c r="E13693" t="s">
        <v>15320</v>
      </c>
    </row>
    <row r="13694" spans="1:5" x14ac:dyDescent="0.25">
      <c r="A13694" t="s">
        <v>2</v>
      </c>
      <c r="B13694" t="s">
        <v>3458</v>
      </c>
      <c r="C13694" t="s">
        <v>23490</v>
      </c>
      <c r="D13694" t="str">
        <f>HYPERLINK("https://rhld.insurance.arkansas.gov/NPILookup?Npi=1609220110","1609220110")</f>
        <v>1609220110</v>
      </c>
      <c r="E13694" t="s">
        <v>12867</v>
      </c>
    </row>
    <row r="13695" spans="1:5" x14ac:dyDescent="0.25">
      <c r="A13695" t="s">
        <v>2</v>
      </c>
      <c r="B13695" t="s">
        <v>3458</v>
      </c>
      <c r="C13695" t="s">
        <v>23490</v>
      </c>
      <c r="D13695" t="str">
        <f>HYPERLINK("https://rhld.insurance.arkansas.gov/NPILookup?Npi=1609233535","1609233535")</f>
        <v>1609233535</v>
      </c>
      <c r="E13695" t="s">
        <v>8764</v>
      </c>
    </row>
    <row r="13696" spans="1:5" x14ac:dyDescent="0.25">
      <c r="A13696" t="s">
        <v>2</v>
      </c>
      <c r="B13696" t="s">
        <v>3458</v>
      </c>
      <c r="C13696" t="s">
        <v>23490</v>
      </c>
      <c r="D13696" t="str">
        <f>HYPERLINK("https://rhld.insurance.arkansas.gov/NPILookup?Npi=1609235076","1609235076")</f>
        <v>1609235076</v>
      </c>
      <c r="E13696" t="s">
        <v>8765</v>
      </c>
    </row>
    <row r="13697" spans="1:5" x14ac:dyDescent="0.25">
      <c r="A13697" t="s">
        <v>2</v>
      </c>
      <c r="B13697" t="s">
        <v>3458</v>
      </c>
      <c r="C13697" t="s">
        <v>23490</v>
      </c>
      <c r="D13697" t="str">
        <f>HYPERLINK("https://rhld.insurance.arkansas.gov/NPILookup?Npi=1609236900","1609236900")</f>
        <v>1609236900</v>
      </c>
      <c r="E13697" t="s">
        <v>11100</v>
      </c>
    </row>
    <row r="13698" spans="1:5" x14ac:dyDescent="0.25">
      <c r="A13698" t="s">
        <v>2</v>
      </c>
      <c r="B13698" t="s">
        <v>3458</v>
      </c>
      <c r="C13698" t="s">
        <v>23490</v>
      </c>
      <c r="D13698" t="str">
        <f>HYPERLINK("https://rhld.insurance.arkansas.gov/NPILookup?Npi=1609247998","1609247998")</f>
        <v>1609247998</v>
      </c>
      <c r="E13698" t="s">
        <v>13007</v>
      </c>
    </row>
    <row r="13699" spans="1:5" x14ac:dyDescent="0.25">
      <c r="A13699" t="s">
        <v>2</v>
      </c>
      <c r="B13699" t="s">
        <v>3458</v>
      </c>
      <c r="C13699" t="s">
        <v>23490</v>
      </c>
      <c r="D13699" t="str">
        <f>HYPERLINK("https://rhld.insurance.arkansas.gov/NPILookup?Npi=1609260785","1609260785")</f>
        <v>1609260785</v>
      </c>
      <c r="E13699" t="s">
        <v>18928</v>
      </c>
    </row>
    <row r="13700" spans="1:5" x14ac:dyDescent="0.25">
      <c r="A13700" t="s">
        <v>2</v>
      </c>
      <c r="B13700" t="s">
        <v>3458</v>
      </c>
      <c r="C13700" t="s">
        <v>23490</v>
      </c>
      <c r="D13700" t="str">
        <f>HYPERLINK("https://rhld.insurance.arkansas.gov/NPILookup?Npi=1609265420","1609265420")</f>
        <v>1609265420</v>
      </c>
      <c r="E13700" t="s">
        <v>2129</v>
      </c>
    </row>
    <row r="13701" spans="1:5" x14ac:dyDescent="0.25">
      <c r="A13701" t="s">
        <v>2</v>
      </c>
      <c r="B13701" t="s">
        <v>3458</v>
      </c>
      <c r="C13701" t="s">
        <v>23490</v>
      </c>
      <c r="D13701" t="str">
        <f>HYPERLINK("https://rhld.insurance.arkansas.gov/NPILookup?Npi=1609268762","1609268762")</f>
        <v>1609268762</v>
      </c>
      <c r="E13701" t="s">
        <v>2130</v>
      </c>
    </row>
    <row r="13702" spans="1:5" x14ac:dyDescent="0.25">
      <c r="A13702" t="s">
        <v>2</v>
      </c>
      <c r="B13702" t="s">
        <v>3458</v>
      </c>
      <c r="C13702" t="s">
        <v>23490</v>
      </c>
      <c r="D13702" t="str">
        <f>HYPERLINK("https://rhld.insurance.arkansas.gov/NPILookup?Npi=1609281070","1609281070")</f>
        <v>1609281070</v>
      </c>
      <c r="E13702" t="s">
        <v>11101</v>
      </c>
    </row>
    <row r="13703" spans="1:5" x14ac:dyDescent="0.25">
      <c r="A13703" t="s">
        <v>2</v>
      </c>
      <c r="B13703" t="s">
        <v>3458</v>
      </c>
      <c r="C13703" t="s">
        <v>23490</v>
      </c>
      <c r="D13703" t="str">
        <f>HYPERLINK("https://rhld.insurance.arkansas.gov/NPILookup?Npi=1609286780","1609286780")</f>
        <v>1609286780</v>
      </c>
      <c r="E13703" t="s">
        <v>11102</v>
      </c>
    </row>
    <row r="13704" spans="1:5" x14ac:dyDescent="0.25">
      <c r="A13704" t="s">
        <v>2</v>
      </c>
      <c r="B13704" t="s">
        <v>3458</v>
      </c>
      <c r="C13704" t="s">
        <v>23490</v>
      </c>
      <c r="D13704" t="str">
        <f>HYPERLINK("https://rhld.insurance.arkansas.gov/NPILookup?Npi=1609290220","1609290220")</f>
        <v>1609290220</v>
      </c>
      <c r="E13704" t="s">
        <v>2132</v>
      </c>
    </row>
    <row r="13705" spans="1:5" x14ac:dyDescent="0.25">
      <c r="A13705" t="s">
        <v>2</v>
      </c>
      <c r="B13705" t="s">
        <v>3458</v>
      </c>
      <c r="C13705" t="s">
        <v>23490</v>
      </c>
      <c r="D13705" t="str">
        <f>HYPERLINK("https://rhld.insurance.arkansas.gov/NPILookup?Npi=1609295922","1609295922")</f>
        <v>1609295922</v>
      </c>
      <c r="E13705" t="s">
        <v>11471</v>
      </c>
    </row>
    <row r="13706" spans="1:5" x14ac:dyDescent="0.25">
      <c r="A13706" t="s">
        <v>2</v>
      </c>
      <c r="B13706" t="s">
        <v>3458</v>
      </c>
      <c r="C13706" t="s">
        <v>23490</v>
      </c>
      <c r="D13706" t="str">
        <f>HYPERLINK("https://rhld.insurance.arkansas.gov/NPILookup?Npi=1609301068","1609301068")</f>
        <v>1609301068</v>
      </c>
      <c r="E13706" t="s">
        <v>11103</v>
      </c>
    </row>
    <row r="13707" spans="1:5" x14ac:dyDescent="0.25">
      <c r="A13707" t="s">
        <v>2</v>
      </c>
      <c r="B13707" t="s">
        <v>3458</v>
      </c>
      <c r="C13707" t="s">
        <v>23490</v>
      </c>
      <c r="D13707" t="str">
        <f>HYPERLINK("https://rhld.insurance.arkansas.gov/NPILookup?Npi=1609304286","1609304286")</f>
        <v>1609304286</v>
      </c>
      <c r="E13707" t="s">
        <v>18819</v>
      </c>
    </row>
    <row r="13708" spans="1:5" x14ac:dyDescent="0.25">
      <c r="A13708" t="s">
        <v>2</v>
      </c>
      <c r="B13708" t="s">
        <v>3458</v>
      </c>
      <c r="C13708" t="s">
        <v>23490</v>
      </c>
      <c r="D13708" t="str">
        <f>HYPERLINK("https://rhld.insurance.arkansas.gov/NPILookup?Npi=1609304526","1609304526")</f>
        <v>1609304526</v>
      </c>
      <c r="E13708" t="s">
        <v>17444</v>
      </c>
    </row>
    <row r="13709" spans="1:5" x14ac:dyDescent="0.25">
      <c r="A13709" t="s">
        <v>2</v>
      </c>
      <c r="B13709" t="s">
        <v>3458</v>
      </c>
      <c r="C13709" t="s">
        <v>23490</v>
      </c>
      <c r="D13709" t="str">
        <f>HYPERLINK("https://rhld.insurance.arkansas.gov/NPILookup?Npi=1609305929","1609305929")</f>
        <v>1609305929</v>
      </c>
      <c r="E13709" t="s">
        <v>20983</v>
      </c>
    </row>
    <row r="13710" spans="1:5" x14ac:dyDescent="0.25">
      <c r="A13710" t="s">
        <v>2</v>
      </c>
      <c r="B13710" t="s">
        <v>3458</v>
      </c>
      <c r="C13710" t="s">
        <v>23490</v>
      </c>
      <c r="D13710" t="str">
        <f>HYPERLINK("https://rhld.insurance.arkansas.gov/NPILookup?Npi=1609311737","1609311737")</f>
        <v>1609311737</v>
      </c>
      <c r="E13710" t="s">
        <v>15323</v>
      </c>
    </row>
    <row r="13711" spans="1:5" x14ac:dyDescent="0.25">
      <c r="A13711" t="s">
        <v>2</v>
      </c>
      <c r="B13711" t="s">
        <v>3458</v>
      </c>
      <c r="C13711" t="s">
        <v>23490</v>
      </c>
      <c r="D13711" t="str">
        <f>HYPERLINK("https://rhld.insurance.arkansas.gov/NPILookup?Npi=1609323658","1609323658")</f>
        <v>1609323658</v>
      </c>
      <c r="E13711" t="s">
        <v>11104</v>
      </c>
    </row>
    <row r="13712" spans="1:5" x14ac:dyDescent="0.25">
      <c r="A13712" t="s">
        <v>2</v>
      </c>
      <c r="B13712" t="s">
        <v>3458</v>
      </c>
      <c r="C13712" t="s">
        <v>23490</v>
      </c>
      <c r="D13712" t="str">
        <f>HYPERLINK("https://rhld.insurance.arkansas.gov/NPILookup?Npi=1609358928","1609358928")</f>
        <v>1609358928</v>
      </c>
      <c r="E13712" t="s">
        <v>15324</v>
      </c>
    </row>
    <row r="13713" spans="1:5" x14ac:dyDescent="0.25">
      <c r="A13713" t="s">
        <v>2</v>
      </c>
      <c r="B13713" t="s">
        <v>3458</v>
      </c>
      <c r="C13713" t="s">
        <v>23490</v>
      </c>
      <c r="D13713" t="str">
        <f>HYPERLINK("https://rhld.insurance.arkansas.gov/NPILookup?Npi=1609363514","1609363514")</f>
        <v>1609363514</v>
      </c>
      <c r="E13713" t="s">
        <v>12777</v>
      </c>
    </row>
    <row r="13714" spans="1:5" x14ac:dyDescent="0.25">
      <c r="A13714" t="s">
        <v>2</v>
      </c>
      <c r="B13714" t="s">
        <v>3458</v>
      </c>
      <c r="C13714" t="s">
        <v>23490</v>
      </c>
      <c r="D13714" t="str">
        <f>HYPERLINK("https://rhld.insurance.arkansas.gov/NPILookup?Npi=1609385715","1609385715")</f>
        <v>1609385715</v>
      </c>
      <c r="E13714" t="s">
        <v>11105</v>
      </c>
    </row>
    <row r="13715" spans="1:5" x14ac:dyDescent="0.25">
      <c r="A13715" t="s">
        <v>2</v>
      </c>
      <c r="B13715" t="s">
        <v>3458</v>
      </c>
      <c r="C13715" t="s">
        <v>23490</v>
      </c>
      <c r="D13715" t="str">
        <f>HYPERLINK("https://rhld.insurance.arkansas.gov/NPILookup?Npi=1609395938","1609395938")</f>
        <v>1609395938</v>
      </c>
      <c r="E13715" t="s">
        <v>13008</v>
      </c>
    </row>
    <row r="13716" spans="1:5" x14ac:dyDescent="0.25">
      <c r="A13716" t="s">
        <v>2</v>
      </c>
      <c r="B13716" t="s">
        <v>3458</v>
      </c>
      <c r="C13716" t="s">
        <v>23490</v>
      </c>
      <c r="D13716" t="str">
        <f>HYPERLINK("https://rhld.insurance.arkansas.gov/NPILookup?Npi=1609447515","1609447515")</f>
        <v>1609447515</v>
      </c>
      <c r="E13716" t="s">
        <v>19873</v>
      </c>
    </row>
    <row r="13717" spans="1:5" x14ac:dyDescent="0.25">
      <c r="A13717" t="s">
        <v>2</v>
      </c>
      <c r="B13717" t="s">
        <v>3458</v>
      </c>
      <c r="C13717" t="s">
        <v>23490</v>
      </c>
      <c r="D13717" t="str">
        <f>HYPERLINK("https://rhld.insurance.arkansas.gov/NPILookup?Npi=1609466473","1609466473")</f>
        <v>1609466473</v>
      </c>
      <c r="E13717" t="s">
        <v>18055</v>
      </c>
    </row>
    <row r="13718" spans="1:5" x14ac:dyDescent="0.25">
      <c r="A13718" t="s">
        <v>2</v>
      </c>
      <c r="B13718" t="s">
        <v>3458</v>
      </c>
      <c r="C13718" t="s">
        <v>23490</v>
      </c>
      <c r="D13718" t="str">
        <f>HYPERLINK("https://rhld.insurance.arkansas.gov/NPILookup?Npi=1609485663","1609485663")</f>
        <v>1609485663</v>
      </c>
      <c r="E13718" t="s">
        <v>21593</v>
      </c>
    </row>
    <row r="13719" spans="1:5" x14ac:dyDescent="0.25">
      <c r="A13719" t="s">
        <v>2</v>
      </c>
      <c r="B13719" t="s">
        <v>3458</v>
      </c>
      <c r="C13719" t="s">
        <v>23490</v>
      </c>
      <c r="D13719" t="str">
        <f>HYPERLINK("https://rhld.insurance.arkansas.gov/NPILookup?Npi=1609487024","1609487024")</f>
        <v>1609487024</v>
      </c>
      <c r="E13719" t="s">
        <v>19874</v>
      </c>
    </row>
    <row r="13720" spans="1:5" x14ac:dyDescent="0.25">
      <c r="A13720" t="s">
        <v>2</v>
      </c>
      <c r="B13720" t="s">
        <v>3458</v>
      </c>
      <c r="C13720" t="s">
        <v>23490</v>
      </c>
      <c r="D13720" t="str">
        <f>HYPERLINK("https://rhld.insurance.arkansas.gov/NPILookup?Npi=1609487933","1609487933")</f>
        <v>1609487933</v>
      </c>
      <c r="E13720" t="s">
        <v>19875</v>
      </c>
    </row>
    <row r="13721" spans="1:5" x14ac:dyDescent="0.25">
      <c r="A13721" t="s">
        <v>2</v>
      </c>
      <c r="B13721" t="s">
        <v>3458</v>
      </c>
      <c r="C13721" t="s">
        <v>23490</v>
      </c>
      <c r="D13721" t="str">
        <f>HYPERLINK("https://rhld.insurance.arkansas.gov/NPILookup?Npi=1609492420","1609492420")</f>
        <v>1609492420</v>
      </c>
      <c r="E13721" t="s">
        <v>17445</v>
      </c>
    </row>
    <row r="13722" spans="1:5" x14ac:dyDescent="0.25">
      <c r="A13722" t="s">
        <v>2</v>
      </c>
      <c r="B13722" t="s">
        <v>3458</v>
      </c>
      <c r="C13722" t="s">
        <v>23490</v>
      </c>
      <c r="D13722" t="str">
        <f>HYPERLINK("https://rhld.insurance.arkansas.gov/NPILookup?Npi=1609504430","1609504430")</f>
        <v>1609504430</v>
      </c>
      <c r="E13722" t="s">
        <v>20985</v>
      </c>
    </row>
    <row r="13723" spans="1:5" x14ac:dyDescent="0.25">
      <c r="A13723" t="s">
        <v>2</v>
      </c>
      <c r="B13723" t="s">
        <v>3458</v>
      </c>
      <c r="C13723" t="s">
        <v>23490</v>
      </c>
      <c r="D13723" t="str">
        <f>HYPERLINK("https://rhld.insurance.arkansas.gov/NPILookup?Npi=1609526995","1609526995")</f>
        <v>1609526995</v>
      </c>
      <c r="E13723" t="s">
        <v>19876</v>
      </c>
    </row>
    <row r="13724" spans="1:5" x14ac:dyDescent="0.25">
      <c r="A13724" t="s">
        <v>2</v>
      </c>
      <c r="B13724" t="s">
        <v>3458</v>
      </c>
      <c r="C13724" t="s">
        <v>23490</v>
      </c>
      <c r="D13724" t="str">
        <f>HYPERLINK("https://rhld.insurance.arkansas.gov/NPILookup?Npi=1609534981","1609534981")</f>
        <v>1609534981</v>
      </c>
      <c r="E13724" t="s">
        <v>19877</v>
      </c>
    </row>
    <row r="13725" spans="1:5" x14ac:dyDescent="0.25">
      <c r="A13725" t="s">
        <v>2</v>
      </c>
      <c r="B13725" t="s">
        <v>3458</v>
      </c>
      <c r="C13725" t="s">
        <v>8427</v>
      </c>
      <c r="D13725" t="str">
        <f>HYPERLINK("https://rhld.insurance.arkansas.gov/NPILookup?Npi=1609570431","1609570431")</f>
        <v>1609570431</v>
      </c>
      <c r="E13725" t="s">
        <v>22963</v>
      </c>
    </row>
    <row r="13726" spans="1:5" x14ac:dyDescent="0.25">
      <c r="A13726" t="s">
        <v>2</v>
      </c>
      <c r="B13726" t="s">
        <v>3458</v>
      </c>
      <c r="C13726" t="s">
        <v>23490</v>
      </c>
      <c r="D13726" t="str">
        <f>HYPERLINK("https://rhld.insurance.arkansas.gov/NPILookup?Npi=1609815877","1609815877")</f>
        <v>1609815877</v>
      </c>
      <c r="E13726" t="s">
        <v>2134</v>
      </c>
    </row>
    <row r="13727" spans="1:5" x14ac:dyDescent="0.25">
      <c r="A13727" t="s">
        <v>2</v>
      </c>
      <c r="B13727" t="s">
        <v>3458</v>
      </c>
      <c r="C13727" t="s">
        <v>23490</v>
      </c>
      <c r="D13727" t="str">
        <f>HYPERLINK("https://rhld.insurance.arkansas.gov/NPILookup?Npi=1609815919","1609815919")</f>
        <v>1609815919</v>
      </c>
      <c r="E13727" t="s">
        <v>12868</v>
      </c>
    </row>
    <row r="13728" spans="1:5" x14ac:dyDescent="0.25">
      <c r="A13728" t="s">
        <v>2</v>
      </c>
      <c r="B13728" t="s">
        <v>3458</v>
      </c>
      <c r="C13728" t="s">
        <v>23490</v>
      </c>
      <c r="D13728" t="str">
        <f>HYPERLINK("https://rhld.insurance.arkansas.gov/NPILookup?Npi=1609819077","1609819077")</f>
        <v>1609819077</v>
      </c>
      <c r="E13728" t="s">
        <v>2135</v>
      </c>
    </row>
    <row r="13729" spans="1:5" x14ac:dyDescent="0.25">
      <c r="A13729" t="s">
        <v>2</v>
      </c>
      <c r="B13729" t="s">
        <v>3458</v>
      </c>
      <c r="C13729" t="s">
        <v>23490</v>
      </c>
      <c r="D13729" t="str">
        <f>HYPERLINK("https://rhld.insurance.arkansas.gov/NPILookup?Npi=1609825330","1609825330")</f>
        <v>1609825330</v>
      </c>
      <c r="E13729" t="s">
        <v>15327</v>
      </c>
    </row>
    <row r="13730" spans="1:5" x14ac:dyDescent="0.25">
      <c r="A13730" t="s">
        <v>2</v>
      </c>
      <c r="B13730" t="s">
        <v>3458</v>
      </c>
      <c r="C13730" t="s">
        <v>23490</v>
      </c>
      <c r="D13730" t="str">
        <f>HYPERLINK("https://rhld.insurance.arkansas.gov/NPILookup?Npi=1609826486","1609826486")</f>
        <v>1609826486</v>
      </c>
      <c r="E13730" t="s">
        <v>2136</v>
      </c>
    </row>
    <row r="13731" spans="1:5" x14ac:dyDescent="0.25">
      <c r="A13731" t="s">
        <v>2</v>
      </c>
      <c r="B13731" t="s">
        <v>3458</v>
      </c>
      <c r="C13731" t="s">
        <v>23490</v>
      </c>
      <c r="D13731" t="str">
        <f>HYPERLINK("https://rhld.insurance.arkansas.gov/NPILookup?Npi=1609834597","1609834597")</f>
        <v>1609834597</v>
      </c>
      <c r="E13731" t="s">
        <v>2137</v>
      </c>
    </row>
    <row r="13732" spans="1:5" x14ac:dyDescent="0.25">
      <c r="A13732" t="s">
        <v>2</v>
      </c>
      <c r="B13732" t="s">
        <v>3458</v>
      </c>
      <c r="C13732" t="s">
        <v>23490</v>
      </c>
      <c r="D13732" t="str">
        <f>HYPERLINK("https://rhld.insurance.arkansas.gov/NPILookup?Npi=1609835909","1609835909")</f>
        <v>1609835909</v>
      </c>
      <c r="E13732" t="s">
        <v>2138</v>
      </c>
    </row>
    <row r="13733" spans="1:5" x14ac:dyDescent="0.25">
      <c r="A13733" t="s">
        <v>2</v>
      </c>
      <c r="B13733" t="s">
        <v>3458</v>
      </c>
      <c r="C13733" t="s">
        <v>23490</v>
      </c>
      <c r="D13733" t="str">
        <f>HYPERLINK("https://rhld.insurance.arkansas.gov/NPILookup?Npi=1609839653","1609839653")</f>
        <v>1609839653</v>
      </c>
      <c r="E13733" t="s">
        <v>2139</v>
      </c>
    </row>
    <row r="13734" spans="1:5" x14ac:dyDescent="0.25">
      <c r="A13734" t="s">
        <v>2</v>
      </c>
      <c r="B13734" t="s">
        <v>3458</v>
      </c>
      <c r="C13734" t="s">
        <v>23490</v>
      </c>
      <c r="D13734" t="str">
        <f>HYPERLINK("https://rhld.insurance.arkansas.gov/NPILookup?Npi=1609851849","1609851849")</f>
        <v>1609851849</v>
      </c>
      <c r="E13734" t="s">
        <v>18820</v>
      </c>
    </row>
    <row r="13735" spans="1:5" x14ac:dyDescent="0.25">
      <c r="A13735" t="s">
        <v>2</v>
      </c>
      <c r="B13735" t="s">
        <v>3458</v>
      </c>
      <c r="C13735" t="s">
        <v>23490</v>
      </c>
      <c r="D13735" t="str">
        <f>HYPERLINK("https://rhld.insurance.arkansas.gov/NPILookup?Npi=1609853381","1609853381")</f>
        <v>1609853381</v>
      </c>
      <c r="E13735" t="s">
        <v>3826</v>
      </c>
    </row>
    <row r="13736" spans="1:5" x14ac:dyDescent="0.25">
      <c r="A13736" t="s">
        <v>2</v>
      </c>
      <c r="B13736" t="s">
        <v>3458</v>
      </c>
      <c r="C13736" t="s">
        <v>23490</v>
      </c>
      <c r="D13736" t="str">
        <f>HYPERLINK("https://rhld.insurance.arkansas.gov/NPILookup?Npi=1609854025","1609854025")</f>
        <v>1609854025</v>
      </c>
      <c r="E13736" t="s">
        <v>3827</v>
      </c>
    </row>
    <row r="13737" spans="1:5" x14ac:dyDescent="0.25">
      <c r="A13737" t="s">
        <v>2</v>
      </c>
      <c r="B13737" t="s">
        <v>3458</v>
      </c>
      <c r="C13737" t="s">
        <v>23490</v>
      </c>
      <c r="D13737" t="str">
        <f>HYPERLINK("https://rhld.insurance.arkansas.gov/NPILookup?Npi=1609857937","1609857937")</f>
        <v>1609857937</v>
      </c>
      <c r="E13737" t="s">
        <v>11472</v>
      </c>
    </row>
    <row r="13738" spans="1:5" x14ac:dyDescent="0.25">
      <c r="A13738" t="s">
        <v>2</v>
      </c>
      <c r="B13738" t="s">
        <v>3458</v>
      </c>
      <c r="C13738" t="s">
        <v>23490</v>
      </c>
      <c r="D13738" t="str">
        <f>HYPERLINK("https://rhld.insurance.arkansas.gov/NPILookup?Npi=1609858109","1609858109")</f>
        <v>1609858109</v>
      </c>
      <c r="E13738" t="s">
        <v>15328</v>
      </c>
    </row>
    <row r="13739" spans="1:5" x14ac:dyDescent="0.25">
      <c r="A13739" t="s">
        <v>2</v>
      </c>
      <c r="B13739" t="s">
        <v>3458</v>
      </c>
      <c r="C13739" t="s">
        <v>23490</v>
      </c>
      <c r="D13739" t="str">
        <f>HYPERLINK("https://rhld.insurance.arkansas.gov/NPILookup?Npi=1609871607","1609871607")</f>
        <v>1609871607</v>
      </c>
      <c r="E13739" t="s">
        <v>15329</v>
      </c>
    </row>
    <row r="13740" spans="1:5" x14ac:dyDescent="0.25">
      <c r="A13740" t="s">
        <v>2</v>
      </c>
      <c r="B13740" t="s">
        <v>3458</v>
      </c>
      <c r="C13740" t="s">
        <v>23490</v>
      </c>
      <c r="D13740" t="str">
        <f>HYPERLINK("https://rhld.insurance.arkansas.gov/NPILookup?Npi=1609873132","1609873132")</f>
        <v>1609873132</v>
      </c>
      <c r="E13740" t="s">
        <v>2141</v>
      </c>
    </row>
    <row r="13741" spans="1:5" x14ac:dyDescent="0.25">
      <c r="A13741" t="s">
        <v>2</v>
      </c>
      <c r="B13741" t="s">
        <v>3458</v>
      </c>
      <c r="C13741" t="s">
        <v>23490</v>
      </c>
      <c r="D13741" t="str">
        <f>HYPERLINK("https://rhld.insurance.arkansas.gov/NPILookup?Npi=1609873983","1609873983")</f>
        <v>1609873983</v>
      </c>
      <c r="E13741" t="s">
        <v>2142</v>
      </c>
    </row>
    <row r="13742" spans="1:5" x14ac:dyDescent="0.25">
      <c r="A13742" t="s">
        <v>2</v>
      </c>
      <c r="B13742" t="s">
        <v>3458</v>
      </c>
      <c r="C13742" t="s">
        <v>23490</v>
      </c>
      <c r="D13742" t="str">
        <f>HYPERLINK("https://rhld.insurance.arkansas.gov/NPILookup?Npi=1609874346","1609874346")</f>
        <v>1609874346</v>
      </c>
      <c r="E13742" t="s">
        <v>2143</v>
      </c>
    </row>
    <row r="13743" spans="1:5" x14ac:dyDescent="0.25">
      <c r="A13743" t="s">
        <v>2</v>
      </c>
      <c r="B13743" t="s">
        <v>3458</v>
      </c>
      <c r="C13743" t="s">
        <v>23490</v>
      </c>
      <c r="D13743" t="str">
        <f>HYPERLINK("https://rhld.insurance.arkansas.gov/NPILookup?Npi=1609882497","1609882497")</f>
        <v>1609882497</v>
      </c>
      <c r="E13743" t="s">
        <v>2145</v>
      </c>
    </row>
    <row r="13744" spans="1:5" x14ac:dyDescent="0.25">
      <c r="A13744" t="s">
        <v>2</v>
      </c>
      <c r="B13744" t="s">
        <v>3458</v>
      </c>
      <c r="C13744" t="s">
        <v>23490</v>
      </c>
      <c r="D13744" t="str">
        <f>HYPERLINK("https://rhld.insurance.arkansas.gov/NPILookup?Npi=1609895911","1609895911")</f>
        <v>1609895911</v>
      </c>
      <c r="E13744" t="s">
        <v>11106</v>
      </c>
    </row>
    <row r="13745" spans="1:5" x14ac:dyDescent="0.25">
      <c r="A13745" t="s">
        <v>2</v>
      </c>
      <c r="B13745" t="s">
        <v>3458</v>
      </c>
      <c r="C13745" t="s">
        <v>23490</v>
      </c>
      <c r="D13745" t="str">
        <f>HYPERLINK("https://rhld.insurance.arkansas.gov/NPILookup?Npi=1609927706","1609927706")</f>
        <v>1609927706</v>
      </c>
      <c r="E13745" t="s">
        <v>2146</v>
      </c>
    </row>
    <row r="13746" spans="1:5" x14ac:dyDescent="0.25">
      <c r="A13746" t="s">
        <v>2</v>
      </c>
      <c r="B13746" t="s">
        <v>3458</v>
      </c>
      <c r="C13746" t="s">
        <v>23490</v>
      </c>
      <c r="D13746" t="str">
        <f>HYPERLINK("https://rhld.insurance.arkansas.gov/NPILookup?Npi=1609949023","1609949023")</f>
        <v>1609949023</v>
      </c>
      <c r="E13746" t="s">
        <v>2147</v>
      </c>
    </row>
    <row r="13747" spans="1:5" x14ac:dyDescent="0.25">
      <c r="A13747" t="s">
        <v>2</v>
      </c>
      <c r="B13747" t="s">
        <v>3458</v>
      </c>
      <c r="C13747" t="s">
        <v>23490</v>
      </c>
      <c r="D13747" t="str">
        <f>HYPERLINK("https://rhld.insurance.arkansas.gov/NPILookup?Npi=1609949692","1609949692")</f>
        <v>1609949692</v>
      </c>
      <c r="E13747" t="s">
        <v>15330</v>
      </c>
    </row>
    <row r="13748" spans="1:5" x14ac:dyDescent="0.25">
      <c r="A13748" t="s">
        <v>2</v>
      </c>
      <c r="B13748" t="s">
        <v>3458</v>
      </c>
      <c r="C13748" t="s">
        <v>23490</v>
      </c>
      <c r="D13748" t="str">
        <f>HYPERLINK("https://rhld.insurance.arkansas.gov/NPILookup?Npi=1609954148","1609954148")</f>
        <v>1609954148</v>
      </c>
      <c r="E13748" t="s">
        <v>2149</v>
      </c>
    </row>
    <row r="13749" spans="1:5" x14ac:dyDescent="0.25">
      <c r="A13749" t="s">
        <v>2</v>
      </c>
      <c r="B13749" t="s">
        <v>3458</v>
      </c>
      <c r="C13749" t="s">
        <v>23490</v>
      </c>
      <c r="D13749" t="str">
        <f>HYPERLINK("https://rhld.insurance.arkansas.gov/NPILookup?Npi=1609979426","1609979426")</f>
        <v>1609979426</v>
      </c>
      <c r="E13749" t="s">
        <v>2150</v>
      </c>
    </row>
    <row r="13750" spans="1:5" x14ac:dyDescent="0.25">
      <c r="A13750" t="s">
        <v>2</v>
      </c>
      <c r="B13750" t="s">
        <v>3458</v>
      </c>
      <c r="C13750" t="s">
        <v>23490</v>
      </c>
      <c r="D13750" t="str">
        <f>HYPERLINK("https://rhld.insurance.arkansas.gov/NPILookup?Npi=1609980705","1609980705")</f>
        <v>1609980705</v>
      </c>
      <c r="E13750" t="s">
        <v>3828</v>
      </c>
    </row>
    <row r="13751" spans="1:5" x14ac:dyDescent="0.25">
      <c r="A13751" t="s">
        <v>2</v>
      </c>
      <c r="B13751" t="s">
        <v>3458</v>
      </c>
      <c r="C13751" t="s">
        <v>23490</v>
      </c>
      <c r="D13751" t="str">
        <f>HYPERLINK("https://rhld.insurance.arkansas.gov/NPILookup?Npi=1609988278","1609988278")</f>
        <v>1609988278</v>
      </c>
      <c r="E13751" t="s">
        <v>3829</v>
      </c>
    </row>
    <row r="13752" spans="1:5" x14ac:dyDescent="0.25">
      <c r="A13752" t="s">
        <v>2</v>
      </c>
      <c r="B13752" t="s">
        <v>3458</v>
      </c>
      <c r="C13752" t="s">
        <v>23490</v>
      </c>
      <c r="D13752" t="str">
        <f>HYPERLINK("https://rhld.insurance.arkansas.gov/NPILookup?Npi=1609989250","1609989250")</f>
        <v>1609989250</v>
      </c>
      <c r="E13752" t="s">
        <v>2151</v>
      </c>
    </row>
    <row r="13753" spans="1:5" x14ac:dyDescent="0.25">
      <c r="A13753" t="s">
        <v>2</v>
      </c>
      <c r="B13753" t="s">
        <v>3458</v>
      </c>
      <c r="C13753" t="s">
        <v>23490</v>
      </c>
      <c r="D13753" t="str">
        <f>HYPERLINK("https://rhld.insurance.arkansas.gov/NPILookup?Npi=1619046679","1619046679")</f>
        <v>1619046679</v>
      </c>
      <c r="E13753" t="s">
        <v>2152</v>
      </c>
    </row>
    <row r="13754" spans="1:5" x14ac:dyDescent="0.25">
      <c r="A13754" t="s">
        <v>2</v>
      </c>
      <c r="B13754" t="s">
        <v>3458</v>
      </c>
      <c r="C13754" t="s">
        <v>23490</v>
      </c>
      <c r="D13754" t="str">
        <f>HYPERLINK("https://rhld.insurance.arkansas.gov/NPILookup?Npi=1619048204","1619048204")</f>
        <v>1619048204</v>
      </c>
      <c r="E13754" t="s">
        <v>15331</v>
      </c>
    </row>
    <row r="13755" spans="1:5" x14ac:dyDescent="0.25">
      <c r="A13755" t="s">
        <v>2</v>
      </c>
      <c r="B13755" t="s">
        <v>3458</v>
      </c>
      <c r="C13755" t="s">
        <v>23490</v>
      </c>
      <c r="D13755" t="str">
        <f>HYPERLINK("https://rhld.insurance.arkansas.gov/NPILookup?Npi=1619049384","1619049384")</f>
        <v>1619049384</v>
      </c>
      <c r="E13755" t="s">
        <v>2153</v>
      </c>
    </row>
    <row r="13756" spans="1:5" x14ac:dyDescent="0.25">
      <c r="A13756" t="s">
        <v>2</v>
      </c>
      <c r="B13756" t="s">
        <v>3458</v>
      </c>
      <c r="C13756" t="s">
        <v>23490</v>
      </c>
      <c r="D13756" t="str">
        <f>HYPERLINK("https://rhld.insurance.arkansas.gov/NPILookup?Npi=1619064763","1619064763")</f>
        <v>1619064763</v>
      </c>
      <c r="E13756" t="s">
        <v>2154</v>
      </c>
    </row>
    <row r="13757" spans="1:5" x14ac:dyDescent="0.25">
      <c r="A13757" t="s">
        <v>2</v>
      </c>
      <c r="B13757" t="s">
        <v>3458</v>
      </c>
      <c r="C13757" t="s">
        <v>23490</v>
      </c>
      <c r="D13757" t="str">
        <f>HYPERLINK("https://rhld.insurance.arkansas.gov/NPILookup?Npi=1619080561","1619080561")</f>
        <v>1619080561</v>
      </c>
      <c r="E13757" t="s">
        <v>2155</v>
      </c>
    </row>
    <row r="13758" spans="1:5" x14ac:dyDescent="0.25">
      <c r="A13758" t="s">
        <v>2</v>
      </c>
      <c r="B13758" t="s">
        <v>3458</v>
      </c>
      <c r="C13758" t="s">
        <v>23490</v>
      </c>
      <c r="D13758" t="str">
        <f>HYPERLINK("https://rhld.insurance.arkansas.gov/NPILookup?Npi=1619082310","1619082310")</f>
        <v>1619082310</v>
      </c>
      <c r="E13758" t="s">
        <v>2156</v>
      </c>
    </row>
    <row r="13759" spans="1:5" x14ac:dyDescent="0.25">
      <c r="A13759" t="s">
        <v>2</v>
      </c>
      <c r="B13759" t="s">
        <v>3458</v>
      </c>
      <c r="C13759" t="s">
        <v>23490</v>
      </c>
      <c r="D13759" t="str">
        <f>HYPERLINK("https://rhld.insurance.arkansas.gov/NPILookup?Npi=1619105277","1619105277")</f>
        <v>1619105277</v>
      </c>
      <c r="E13759" t="s">
        <v>2158</v>
      </c>
    </row>
    <row r="13760" spans="1:5" x14ac:dyDescent="0.25">
      <c r="A13760" t="s">
        <v>2</v>
      </c>
      <c r="B13760" t="s">
        <v>3458</v>
      </c>
      <c r="C13760" t="s">
        <v>23490</v>
      </c>
      <c r="D13760" t="str">
        <f>HYPERLINK("https://rhld.insurance.arkansas.gov/NPILookup?Npi=1619127800","1619127800")</f>
        <v>1619127800</v>
      </c>
      <c r="E13760" t="s">
        <v>8767</v>
      </c>
    </row>
    <row r="13761" spans="1:5" x14ac:dyDescent="0.25">
      <c r="A13761" t="s">
        <v>2</v>
      </c>
      <c r="B13761" t="s">
        <v>3458</v>
      </c>
      <c r="C13761" t="s">
        <v>23490</v>
      </c>
      <c r="D13761" t="str">
        <f>HYPERLINK("https://rhld.insurance.arkansas.gov/NPILookup?Npi=1619128360","1619128360")</f>
        <v>1619128360</v>
      </c>
      <c r="E13761" t="s">
        <v>2159</v>
      </c>
    </row>
    <row r="13762" spans="1:5" x14ac:dyDescent="0.25">
      <c r="A13762" t="s">
        <v>2</v>
      </c>
      <c r="B13762" t="s">
        <v>3458</v>
      </c>
      <c r="C13762" t="s">
        <v>23490</v>
      </c>
      <c r="D13762" t="str">
        <f>HYPERLINK("https://rhld.insurance.arkansas.gov/NPILookup?Npi=1619129616","1619129616")</f>
        <v>1619129616</v>
      </c>
      <c r="E13762" t="s">
        <v>2160</v>
      </c>
    </row>
    <row r="13763" spans="1:5" x14ac:dyDescent="0.25">
      <c r="A13763" t="s">
        <v>2</v>
      </c>
      <c r="B13763" t="s">
        <v>3458</v>
      </c>
      <c r="C13763" t="s">
        <v>23490</v>
      </c>
      <c r="D13763" t="str">
        <f>HYPERLINK("https://rhld.insurance.arkansas.gov/NPILookup?Npi=1619162179","1619162179")</f>
        <v>1619162179</v>
      </c>
      <c r="E13763" t="s">
        <v>2163</v>
      </c>
    </row>
    <row r="13764" spans="1:5" x14ac:dyDescent="0.25">
      <c r="A13764" t="s">
        <v>2</v>
      </c>
      <c r="B13764" t="s">
        <v>3458</v>
      </c>
      <c r="C13764" t="s">
        <v>23490</v>
      </c>
      <c r="D13764" t="str">
        <f>HYPERLINK("https://rhld.insurance.arkansas.gov/NPILookup?Npi=1619173150","1619173150")</f>
        <v>1619173150</v>
      </c>
      <c r="E13764" t="s">
        <v>2164</v>
      </c>
    </row>
    <row r="13765" spans="1:5" x14ac:dyDescent="0.25">
      <c r="A13765" t="s">
        <v>2</v>
      </c>
      <c r="B13765" t="s">
        <v>3458</v>
      </c>
      <c r="C13765" t="s">
        <v>23490</v>
      </c>
      <c r="D13765" t="str">
        <f>HYPERLINK("https://rhld.insurance.arkansas.gov/NPILookup?Npi=1619210754","1619210754")</f>
        <v>1619210754</v>
      </c>
      <c r="E13765" t="s">
        <v>15881</v>
      </c>
    </row>
    <row r="13766" spans="1:5" x14ac:dyDescent="0.25">
      <c r="A13766" t="s">
        <v>2</v>
      </c>
      <c r="B13766" t="s">
        <v>3458</v>
      </c>
      <c r="C13766" t="s">
        <v>23490</v>
      </c>
      <c r="D13766" t="str">
        <f>HYPERLINK("https://rhld.insurance.arkansas.gov/NPILookup?Npi=1619216496","1619216496")</f>
        <v>1619216496</v>
      </c>
      <c r="E13766" t="s">
        <v>2166</v>
      </c>
    </row>
    <row r="13767" spans="1:5" x14ac:dyDescent="0.25">
      <c r="A13767" t="s">
        <v>2</v>
      </c>
      <c r="B13767" t="s">
        <v>3458</v>
      </c>
      <c r="C13767" t="s">
        <v>23490</v>
      </c>
      <c r="D13767" t="str">
        <f>HYPERLINK("https://rhld.insurance.arkansas.gov/NPILookup?Npi=1619224615","1619224615")</f>
        <v>1619224615</v>
      </c>
      <c r="E13767" t="s">
        <v>2167</v>
      </c>
    </row>
    <row r="13768" spans="1:5" x14ac:dyDescent="0.25">
      <c r="A13768" t="s">
        <v>2</v>
      </c>
      <c r="B13768" t="s">
        <v>3458</v>
      </c>
      <c r="C13768" t="s">
        <v>23490</v>
      </c>
      <c r="D13768" t="str">
        <f>HYPERLINK("https://rhld.insurance.arkansas.gov/NPILookup?Npi=1619236981","1619236981")</f>
        <v>1619236981</v>
      </c>
      <c r="E13768" t="s">
        <v>2168</v>
      </c>
    </row>
    <row r="13769" spans="1:5" x14ac:dyDescent="0.25">
      <c r="A13769" t="s">
        <v>2</v>
      </c>
      <c r="B13769" t="s">
        <v>3458</v>
      </c>
      <c r="C13769" t="s">
        <v>23490</v>
      </c>
      <c r="D13769" t="str">
        <f>HYPERLINK("https://rhld.insurance.arkansas.gov/NPILookup?Npi=1619273547","1619273547")</f>
        <v>1619273547</v>
      </c>
      <c r="E13769" t="s">
        <v>15332</v>
      </c>
    </row>
    <row r="13770" spans="1:5" x14ac:dyDescent="0.25">
      <c r="A13770" t="s">
        <v>2</v>
      </c>
      <c r="B13770" t="s">
        <v>3458</v>
      </c>
      <c r="C13770" t="s">
        <v>23490</v>
      </c>
      <c r="D13770" t="str">
        <f>HYPERLINK("https://rhld.insurance.arkansas.gov/NPILookup?Npi=1619275070","1619275070")</f>
        <v>1619275070</v>
      </c>
      <c r="E13770" t="s">
        <v>2169</v>
      </c>
    </row>
    <row r="13771" spans="1:5" x14ac:dyDescent="0.25">
      <c r="A13771" t="s">
        <v>2</v>
      </c>
      <c r="B13771" t="s">
        <v>3458</v>
      </c>
      <c r="C13771" t="s">
        <v>23490</v>
      </c>
      <c r="D13771" t="str">
        <f>HYPERLINK("https://rhld.insurance.arkansas.gov/NPILookup?Npi=1619286150","1619286150")</f>
        <v>1619286150</v>
      </c>
      <c r="E13771" t="s">
        <v>11108</v>
      </c>
    </row>
    <row r="13772" spans="1:5" x14ac:dyDescent="0.25">
      <c r="A13772" t="s">
        <v>2</v>
      </c>
      <c r="B13772" t="s">
        <v>3458</v>
      </c>
      <c r="C13772" t="s">
        <v>23490</v>
      </c>
      <c r="D13772" t="str">
        <f>HYPERLINK("https://rhld.insurance.arkansas.gov/NPILookup?Npi=1619296407","1619296407")</f>
        <v>1619296407</v>
      </c>
      <c r="E13772" t="s">
        <v>2170</v>
      </c>
    </row>
    <row r="13773" spans="1:5" x14ac:dyDescent="0.25">
      <c r="A13773" t="s">
        <v>2</v>
      </c>
      <c r="B13773" t="s">
        <v>3458</v>
      </c>
      <c r="C13773" t="s">
        <v>23490</v>
      </c>
      <c r="D13773" t="str">
        <f>HYPERLINK("https://rhld.insurance.arkansas.gov/NPILookup?Npi=1619354420","1619354420")</f>
        <v>1619354420</v>
      </c>
      <c r="E13773" t="s">
        <v>13619</v>
      </c>
    </row>
    <row r="13774" spans="1:5" x14ac:dyDescent="0.25">
      <c r="A13774" t="s">
        <v>2</v>
      </c>
      <c r="B13774" t="s">
        <v>3458</v>
      </c>
      <c r="C13774" t="s">
        <v>23490</v>
      </c>
      <c r="D13774" t="str">
        <f>HYPERLINK("https://rhld.insurance.arkansas.gov/NPILookup?Npi=1619359171","1619359171")</f>
        <v>1619359171</v>
      </c>
      <c r="E13774" t="s">
        <v>7748</v>
      </c>
    </row>
    <row r="13775" spans="1:5" x14ac:dyDescent="0.25">
      <c r="A13775" t="s">
        <v>2</v>
      </c>
      <c r="B13775" t="s">
        <v>3458</v>
      </c>
      <c r="C13775" t="s">
        <v>23490</v>
      </c>
      <c r="D13775" t="str">
        <f>HYPERLINK("https://rhld.insurance.arkansas.gov/NPILookup?Npi=1619361524","1619361524")</f>
        <v>1619361524</v>
      </c>
      <c r="E13775" t="s">
        <v>15882</v>
      </c>
    </row>
    <row r="13776" spans="1:5" x14ac:dyDescent="0.25">
      <c r="A13776" t="s">
        <v>2</v>
      </c>
      <c r="B13776" t="s">
        <v>3458</v>
      </c>
      <c r="C13776" t="s">
        <v>23490</v>
      </c>
      <c r="D13776" t="str">
        <f>HYPERLINK("https://rhld.insurance.arkansas.gov/NPILookup?Npi=1619368420","1619368420")</f>
        <v>1619368420</v>
      </c>
      <c r="E13776" t="s">
        <v>2171</v>
      </c>
    </row>
    <row r="13777" spans="1:5" x14ac:dyDescent="0.25">
      <c r="A13777" t="s">
        <v>2</v>
      </c>
      <c r="B13777" t="s">
        <v>3458</v>
      </c>
      <c r="C13777" t="s">
        <v>23490</v>
      </c>
      <c r="D13777" t="str">
        <f>HYPERLINK("https://rhld.insurance.arkansas.gov/NPILookup?Npi=1619381902","1619381902")</f>
        <v>1619381902</v>
      </c>
      <c r="E13777" t="s">
        <v>17446</v>
      </c>
    </row>
    <row r="13778" spans="1:5" x14ac:dyDescent="0.25">
      <c r="A13778" t="s">
        <v>2</v>
      </c>
      <c r="B13778" t="s">
        <v>3458</v>
      </c>
      <c r="C13778" t="s">
        <v>23490</v>
      </c>
      <c r="D13778" t="str">
        <f>HYPERLINK("https://rhld.insurance.arkansas.gov/NPILookup?Npi=1619395811","1619395811")</f>
        <v>1619395811</v>
      </c>
      <c r="E13778" t="s">
        <v>12869</v>
      </c>
    </row>
    <row r="13779" spans="1:5" x14ac:dyDescent="0.25">
      <c r="A13779" t="s">
        <v>2</v>
      </c>
      <c r="B13779" t="s">
        <v>3458</v>
      </c>
      <c r="C13779" t="s">
        <v>23490</v>
      </c>
      <c r="D13779" t="str">
        <f>HYPERLINK("https://rhld.insurance.arkansas.gov/NPILookup?Npi=1619404993","1619404993")</f>
        <v>1619404993</v>
      </c>
      <c r="E13779" t="s">
        <v>11109</v>
      </c>
    </row>
    <row r="13780" spans="1:5" x14ac:dyDescent="0.25">
      <c r="A13780" t="s">
        <v>2</v>
      </c>
      <c r="B13780" t="s">
        <v>3458</v>
      </c>
      <c r="C13780" t="s">
        <v>23490</v>
      </c>
      <c r="D13780" t="str">
        <f>HYPERLINK("https://rhld.insurance.arkansas.gov/NPILookup?Npi=1619413077","1619413077")</f>
        <v>1619413077</v>
      </c>
      <c r="E13780" t="s">
        <v>11110</v>
      </c>
    </row>
    <row r="13781" spans="1:5" x14ac:dyDescent="0.25">
      <c r="A13781" t="s">
        <v>2</v>
      </c>
      <c r="B13781" t="s">
        <v>3458</v>
      </c>
      <c r="C13781" t="s">
        <v>23490</v>
      </c>
      <c r="D13781" t="str">
        <f>HYPERLINK("https://rhld.insurance.arkansas.gov/NPILookup?Npi=1619422888","1619422888")</f>
        <v>1619422888</v>
      </c>
      <c r="E13781" t="s">
        <v>11111</v>
      </c>
    </row>
    <row r="13782" spans="1:5" x14ac:dyDescent="0.25">
      <c r="A13782" t="s">
        <v>2</v>
      </c>
      <c r="B13782" t="s">
        <v>3458</v>
      </c>
      <c r="C13782" t="s">
        <v>23490</v>
      </c>
      <c r="D13782" t="str">
        <f>HYPERLINK("https://rhld.insurance.arkansas.gov/NPILookup?Npi=1619441201","1619441201")</f>
        <v>1619441201</v>
      </c>
      <c r="E13782" t="s">
        <v>18056</v>
      </c>
    </row>
    <row r="13783" spans="1:5" x14ac:dyDescent="0.25">
      <c r="A13783" t="s">
        <v>2</v>
      </c>
      <c r="B13783" t="s">
        <v>3458</v>
      </c>
      <c r="C13783" t="s">
        <v>23490</v>
      </c>
      <c r="D13783" t="str">
        <f>HYPERLINK("https://rhld.insurance.arkansas.gov/NPILookup?Npi=1619450095","1619450095")</f>
        <v>1619450095</v>
      </c>
      <c r="E13783" t="s">
        <v>13620</v>
      </c>
    </row>
    <row r="13784" spans="1:5" x14ac:dyDescent="0.25">
      <c r="A13784" t="s">
        <v>2</v>
      </c>
      <c r="B13784" t="s">
        <v>3458</v>
      </c>
      <c r="C13784" t="s">
        <v>23490</v>
      </c>
      <c r="D13784" t="str">
        <f>HYPERLINK("https://rhld.insurance.arkansas.gov/NPILookup?Npi=1619459831","1619459831")</f>
        <v>1619459831</v>
      </c>
      <c r="E13784" t="s">
        <v>15883</v>
      </c>
    </row>
    <row r="13785" spans="1:5" x14ac:dyDescent="0.25">
      <c r="A13785" t="s">
        <v>2</v>
      </c>
      <c r="B13785" t="s">
        <v>3458</v>
      </c>
      <c r="C13785" t="s">
        <v>23490</v>
      </c>
      <c r="D13785" t="str">
        <f>HYPERLINK("https://rhld.insurance.arkansas.gov/NPILookup?Npi=1619465119","1619465119")</f>
        <v>1619465119</v>
      </c>
      <c r="E13785" t="s">
        <v>18057</v>
      </c>
    </row>
    <row r="13786" spans="1:5" x14ac:dyDescent="0.25">
      <c r="A13786" t="s">
        <v>2</v>
      </c>
      <c r="B13786" t="s">
        <v>3458</v>
      </c>
      <c r="C13786" t="s">
        <v>23490</v>
      </c>
      <c r="D13786" t="str">
        <f>HYPERLINK("https://rhld.insurance.arkansas.gov/NPILookup?Npi=1619470903","1619470903")</f>
        <v>1619470903</v>
      </c>
      <c r="E13786" t="s">
        <v>12870</v>
      </c>
    </row>
    <row r="13787" spans="1:5" x14ac:dyDescent="0.25">
      <c r="A13787" t="s">
        <v>2</v>
      </c>
      <c r="B13787" t="s">
        <v>3458</v>
      </c>
      <c r="C13787" t="s">
        <v>23490</v>
      </c>
      <c r="D13787" t="str">
        <f>HYPERLINK("https://rhld.insurance.arkansas.gov/NPILookup?Npi=1619471885","1619471885")</f>
        <v>1619471885</v>
      </c>
      <c r="E13787" t="s">
        <v>17512</v>
      </c>
    </row>
    <row r="13788" spans="1:5" x14ac:dyDescent="0.25">
      <c r="A13788" t="s">
        <v>2</v>
      </c>
      <c r="B13788" t="s">
        <v>3458</v>
      </c>
      <c r="C13788" t="s">
        <v>23490</v>
      </c>
      <c r="D13788" t="str">
        <f>HYPERLINK("https://rhld.insurance.arkansas.gov/NPILookup?Npi=1619480704","1619480704")</f>
        <v>1619480704</v>
      </c>
      <c r="E13788" t="s">
        <v>12925</v>
      </c>
    </row>
    <row r="13789" spans="1:5" x14ac:dyDescent="0.25">
      <c r="A13789" t="s">
        <v>2</v>
      </c>
      <c r="B13789" t="s">
        <v>3458</v>
      </c>
      <c r="C13789" t="s">
        <v>23490</v>
      </c>
      <c r="D13789" t="str">
        <f>HYPERLINK("https://rhld.insurance.arkansas.gov/NPILookup?Npi=1619488855","1619488855")</f>
        <v>1619488855</v>
      </c>
      <c r="E13789" t="s">
        <v>3667</v>
      </c>
    </row>
    <row r="13790" spans="1:5" x14ac:dyDescent="0.25">
      <c r="A13790" t="s">
        <v>2</v>
      </c>
      <c r="B13790" t="s">
        <v>3458</v>
      </c>
      <c r="C13790" t="s">
        <v>23490</v>
      </c>
      <c r="D13790" t="str">
        <f>HYPERLINK("https://rhld.insurance.arkansas.gov/NPILookup?Npi=1619496148","1619496148")</f>
        <v>1619496148</v>
      </c>
      <c r="E13790" t="s">
        <v>15338</v>
      </c>
    </row>
    <row r="13791" spans="1:5" x14ac:dyDescent="0.25">
      <c r="A13791" t="s">
        <v>2</v>
      </c>
      <c r="B13791" t="s">
        <v>3458</v>
      </c>
      <c r="C13791" t="s">
        <v>23490</v>
      </c>
      <c r="D13791" t="str">
        <f>HYPERLINK("https://rhld.insurance.arkansas.gov/NPILookup?Npi=1619496403","1619496403")</f>
        <v>1619496403</v>
      </c>
      <c r="E13791" t="s">
        <v>15339</v>
      </c>
    </row>
    <row r="13792" spans="1:5" x14ac:dyDescent="0.25">
      <c r="A13792" t="s">
        <v>2</v>
      </c>
      <c r="B13792" t="s">
        <v>3458</v>
      </c>
      <c r="C13792" t="s">
        <v>23490</v>
      </c>
      <c r="D13792" t="str">
        <f>HYPERLINK("https://rhld.insurance.arkansas.gov/NPILookup?Npi=1619498607","1619498607")</f>
        <v>1619498607</v>
      </c>
      <c r="E13792" t="s">
        <v>21595</v>
      </c>
    </row>
    <row r="13793" spans="1:5" x14ac:dyDescent="0.25">
      <c r="A13793" t="s">
        <v>2</v>
      </c>
      <c r="B13793" t="s">
        <v>3458</v>
      </c>
      <c r="C13793" t="s">
        <v>23490</v>
      </c>
      <c r="D13793" t="str">
        <f>HYPERLINK("https://rhld.insurance.arkansas.gov/NPILookup?Npi=1619522810","1619522810")</f>
        <v>1619522810</v>
      </c>
      <c r="E13793" t="s">
        <v>18821</v>
      </c>
    </row>
    <row r="13794" spans="1:5" x14ac:dyDescent="0.25">
      <c r="A13794" t="s">
        <v>2</v>
      </c>
      <c r="B13794" t="s">
        <v>3458</v>
      </c>
      <c r="C13794" t="s">
        <v>23490</v>
      </c>
      <c r="D13794" t="str">
        <f>HYPERLINK("https://rhld.insurance.arkansas.gov/NPILookup?Npi=1619545829","1619545829")</f>
        <v>1619545829</v>
      </c>
      <c r="E13794" t="s">
        <v>18822</v>
      </c>
    </row>
    <row r="13795" spans="1:5" x14ac:dyDescent="0.25">
      <c r="A13795" t="s">
        <v>2</v>
      </c>
      <c r="B13795" t="s">
        <v>3458</v>
      </c>
      <c r="C13795" t="s">
        <v>23490</v>
      </c>
      <c r="D13795" t="str">
        <f>HYPERLINK("https://rhld.insurance.arkansas.gov/NPILookup?Npi=1619547478","1619547478")</f>
        <v>1619547478</v>
      </c>
      <c r="E13795" t="s">
        <v>18823</v>
      </c>
    </row>
    <row r="13796" spans="1:5" x14ac:dyDescent="0.25">
      <c r="A13796" t="s">
        <v>2</v>
      </c>
      <c r="B13796" t="s">
        <v>3458</v>
      </c>
      <c r="C13796" t="s">
        <v>23490</v>
      </c>
      <c r="D13796" t="str">
        <f>HYPERLINK("https://rhld.insurance.arkansas.gov/NPILookup?Npi=1619550092","1619550092")</f>
        <v>1619550092</v>
      </c>
      <c r="E13796" t="s">
        <v>19882</v>
      </c>
    </row>
    <row r="13797" spans="1:5" x14ac:dyDescent="0.25">
      <c r="A13797" t="s">
        <v>2</v>
      </c>
      <c r="B13797" t="s">
        <v>3458</v>
      </c>
      <c r="C13797" t="s">
        <v>23490</v>
      </c>
      <c r="D13797" t="str">
        <f>HYPERLINK("https://rhld.insurance.arkansas.gov/NPILookup?Npi=1619563343","1619563343")</f>
        <v>1619563343</v>
      </c>
      <c r="E13797" t="s">
        <v>20537</v>
      </c>
    </row>
    <row r="13798" spans="1:5" x14ac:dyDescent="0.25">
      <c r="A13798" t="s">
        <v>2</v>
      </c>
      <c r="B13798" t="s">
        <v>3458</v>
      </c>
      <c r="C13798" t="s">
        <v>23490</v>
      </c>
      <c r="D13798" t="str">
        <f>HYPERLINK("https://rhld.insurance.arkansas.gov/NPILookup?Npi=1619574555","1619574555")</f>
        <v>1619574555</v>
      </c>
      <c r="E13798" t="s">
        <v>18059</v>
      </c>
    </row>
    <row r="13799" spans="1:5" x14ac:dyDescent="0.25">
      <c r="A13799" t="s">
        <v>2</v>
      </c>
      <c r="B13799" t="s">
        <v>3458</v>
      </c>
      <c r="C13799" t="s">
        <v>23490</v>
      </c>
      <c r="D13799" t="str">
        <f>HYPERLINK("https://rhld.insurance.arkansas.gov/NPILookup?Npi=1619581949","1619581949")</f>
        <v>1619581949</v>
      </c>
      <c r="E13799" t="s">
        <v>17447</v>
      </c>
    </row>
    <row r="13800" spans="1:5" x14ac:dyDescent="0.25">
      <c r="A13800" t="s">
        <v>2</v>
      </c>
      <c r="B13800" t="s">
        <v>3458</v>
      </c>
      <c r="C13800" t="s">
        <v>23490</v>
      </c>
      <c r="D13800" t="str">
        <f>HYPERLINK("https://rhld.insurance.arkansas.gov/NPILookup?Npi=1619628336","1619628336")</f>
        <v>1619628336</v>
      </c>
      <c r="E13800" t="s">
        <v>21596</v>
      </c>
    </row>
    <row r="13801" spans="1:5" x14ac:dyDescent="0.25">
      <c r="A13801" t="s">
        <v>2</v>
      </c>
      <c r="B13801" t="s">
        <v>3458</v>
      </c>
      <c r="C13801" t="s">
        <v>23490</v>
      </c>
      <c r="D13801" t="str">
        <f>HYPERLINK("https://rhld.insurance.arkansas.gov/NPILookup?Npi=1619633385","1619633385")</f>
        <v>1619633385</v>
      </c>
      <c r="E13801" t="s">
        <v>19883</v>
      </c>
    </row>
    <row r="13802" spans="1:5" x14ac:dyDescent="0.25">
      <c r="A13802" t="s">
        <v>2</v>
      </c>
      <c r="B13802" t="s">
        <v>3458</v>
      </c>
      <c r="C13802" t="s">
        <v>23490</v>
      </c>
      <c r="D13802" t="str">
        <f>HYPERLINK("https://rhld.insurance.arkansas.gov/NPILookup?Npi=1619636222","1619636222")</f>
        <v>1619636222</v>
      </c>
      <c r="E13802" t="s">
        <v>19884</v>
      </c>
    </row>
    <row r="13803" spans="1:5" x14ac:dyDescent="0.25">
      <c r="A13803" t="s">
        <v>2</v>
      </c>
      <c r="B13803" t="s">
        <v>3458</v>
      </c>
      <c r="C13803" t="s">
        <v>23490</v>
      </c>
      <c r="D13803" t="str">
        <f>HYPERLINK("https://rhld.insurance.arkansas.gov/NPILookup?Npi=1619647153","1619647153")</f>
        <v>1619647153</v>
      </c>
      <c r="E13803" t="s">
        <v>20986</v>
      </c>
    </row>
    <row r="13804" spans="1:5" x14ac:dyDescent="0.25">
      <c r="A13804" t="s">
        <v>2</v>
      </c>
      <c r="B13804" t="s">
        <v>3458</v>
      </c>
      <c r="C13804" t="s">
        <v>23490</v>
      </c>
      <c r="D13804" t="str">
        <f>HYPERLINK("https://rhld.insurance.arkansas.gov/NPILookup?Npi=1619648060","1619648060")</f>
        <v>1619648060</v>
      </c>
      <c r="E13804" t="s">
        <v>19886</v>
      </c>
    </row>
    <row r="13805" spans="1:5" x14ac:dyDescent="0.25">
      <c r="A13805" t="s">
        <v>2</v>
      </c>
      <c r="B13805" t="s">
        <v>3458</v>
      </c>
      <c r="C13805" t="s">
        <v>23490</v>
      </c>
      <c r="D13805" t="str">
        <f>HYPERLINK("https://rhld.insurance.arkansas.gov/NPILookup?Npi=1619681285","1619681285")</f>
        <v>1619681285</v>
      </c>
      <c r="E13805" t="s">
        <v>21598</v>
      </c>
    </row>
    <row r="13806" spans="1:5" x14ac:dyDescent="0.25">
      <c r="A13806" t="s">
        <v>2</v>
      </c>
      <c r="B13806" t="s">
        <v>3458</v>
      </c>
      <c r="C13806" t="s">
        <v>23490</v>
      </c>
      <c r="D13806" t="str">
        <f>HYPERLINK("https://rhld.insurance.arkansas.gov/NPILookup?Npi=1619905692","1619905692")</f>
        <v>1619905692</v>
      </c>
      <c r="E13806" t="s">
        <v>11113</v>
      </c>
    </row>
    <row r="13807" spans="1:5" x14ac:dyDescent="0.25">
      <c r="A13807" t="s">
        <v>2</v>
      </c>
      <c r="B13807" t="s">
        <v>3458</v>
      </c>
      <c r="C13807" t="s">
        <v>23490</v>
      </c>
      <c r="D13807" t="str">
        <f>HYPERLINK("https://rhld.insurance.arkansas.gov/NPILookup?Npi=1619918505","1619918505")</f>
        <v>1619918505</v>
      </c>
      <c r="E13807" t="s">
        <v>2172</v>
      </c>
    </row>
    <row r="13808" spans="1:5" x14ac:dyDescent="0.25">
      <c r="A13808" t="s">
        <v>2</v>
      </c>
      <c r="B13808" t="s">
        <v>3458</v>
      </c>
      <c r="C13808" t="s">
        <v>23490</v>
      </c>
      <c r="D13808" t="str">
        <f>HYPERLINK("https://rhld.insurance.arkansas.gov/NPILookup?Npi=1619930591","1619930591")</f>
        <v>1619930591</v>
      </c>
      <c r="E13808" t="s">
        <v>2173</v>
      </c>
    </row>
    <row r="13809" spans="1:5" x14ac:dyDescent="0.25">
      <c r="A13809" t="s">
        <v>2</v>
      </c>
      <c r="B13809" t="s">
        <v>3458</v>
      </c>
      <c r="C13809" t="s">
        <v>23490</v>
      </c>
      <c r="D13809" t="str">
        <f>HYPERLINK("https://rhld.insurance.arkansas.gov/NPILookup?Npi=1619939204","1619939204")</f>
        <v>1619939204</v>
      </c>
      <c r="E13809" t="s">
        <v>11114</v>
      </c>
    </row>
    <row r="13810" spans="1:5" x14ac:dyDescent="0.25">
      <c r="A13810" t="s">
        <v>2</v>
      </c>
      <c r="B13810" t="s">
        <v>3458</v>
      </c>
      <c r="C13810" t="s">
        <v>23490</v>
      </c>
      <c r="D13810" t="str">
        <f>HYPERLINK("https://rhld.insurance.arkansas.gov/NPILookup?Npi=1619940509","1619940509")</f>
        <v>1619940509</v>
      </c>
      <c r="E13810" t="s">
        <v>2177</v>
      </c>
    </row>
    <row r="13811" spans="1:5" x14ac:dyDescent="0.25">
      <c r="A13811" t="s">
        <v>2</v>
      </c>
      <c r="B13811" t="s">
        <v>3458</v>
      </c>
      <c r="C13811" t="s">
        <v>23490</v>
      </c>
      <c r="D13811" t="str">
        <f>HYPERLINK("https://rhld.insurance.arkansas.gov/NPILookup?Npi=1619943271","1619943271")</f>
        <v>1619943271</v>
      </c>
      <c r="E13811" t="s">
        <v>2178</v>
      </c>
    </row>
    <row r="13812" spans="1:5" x14ac:dyDescent="0.25">
      <c r="A13812" t="s">
        <v>2</v>
      </c>
      <c r="B13812" t="s">
        <v>3458</v>
      </c>
      <c r="C13812" t="s">
        <v>23490</v>
      </c>
      <c r="D13812" t="str">
        <f>HYPERLINK("https://rhld.insurance.arkansas.gov/NPILookup?Npi=1619947298","1619947298")</f>
        <v>1619947298</v>
      </c>
      <c r="E13812" t="s">
        <v>2179</v>
      </c>
    </row>
    <row r="13813" spans="1:5" x14ac:dyDescent="0.25">
      <c r="A13813" t="s">
        <v>2</v>
      </c>
      <c r="B13813" t="s">
        <v>3458</v>
      </c>
      <c r="C13813" t="s">
        <v>23490</v>
      </c>
      <c r="D13813" t="str">
        <f>HYPERLINK("https://rhld.insurance.arkansas.gov/NPILookup?Npi=1619961646","1619961646")</f>
        <v>1619961646</v>
      </c>
      <c r="E13813" t="s">
        <v>3830</v>
      </c>
    </row>
    <row r="13814" spans="1:5" x14ac:dyDescent="0.25">
      <c r="A13814" t="s">
        <v>2</v>
      </c>
      <c r="B13814" t="s">
        <v>3458</v>
      </c>
      <c r="C13814" t="s">
        <v>23490</v>
      </c>
      <c r="D13814" t="str">
        <f>HYPERLINK("https://rhld.insurance.arkansas.gov/NPILookup?Npi=1619966900","1619966900")</f>
        <v>1619966900</v>
      </c>
      <c r="E13814" t="s">
        <v>15340</v>
      </c>
    </row>
    <row r="13815" spans="1:5" x14ac:dyDescent="0.25">
      <c r="A13815" t="s">
        <v>2</v>
      </c>
      <c r="B13815" t="s">
        <v>3458</v>
      </c>
      <c r="C13815" t="s">
        <v>23490</v>
      </c>
      <c r="D13815" t="str">
        <f>HYPERLINK("https://rhld.insurance.arkansas.gov/NPILookup?Npi=1619976735","1619976735")</f>
        <v>1619976735</v>
      </c>
      <c r="E13815" t="s">
        <v>2184</v>
      </c>
    </row>
    <row r="13816" spans="1:5" x14ac:dyDescent="0.25">
      <c r="A13816" t="s">
        <v>2</v>
      </c>
      <c r="B13816" t="s">
        <v>3458</v>
      </c>
      <c r="C13816" t="s">
        <v>23490</v>
      </c>
      <c r="D13816" t="str">
        <f>HYPERLINK("https://rhld.insurance.arkansas.gov/NPILookup?Npi=1619977097","1619977097")</f>
        <v>1619977097</v>
      </c>
      <c r="E13816" t="s">
        <v>3831</v>
      </c>
    </row>
    <row r="13817" spans="1:5" x14ac:dyDescent="0.25">
      <c r="A13817" t="s">
        <v>2</v>
      </c>
      <c r="B13817" t="s">
        <v>3458</v>
      </c>
      <c r="C13817" t="s">
        <v>23490</v>
      </c>
      <c r="D13817" t="str">
        <f>HYPERLINK("https://rhld.insurance.arkansas.gov/NPILookup?Npi=1619986387","1619986387")</f>
        <v>1619986387</v>
      </c>
      <c r="E13817" t="s">
        <v>2186</v>
      </c>
    </row>
    <row r="13818" spans="1:5" x14ac:dyDescent="0.25">
      <c r="A13818" t="s">
        <v>2</v>
      </c>
      <c r="B13818" t="s">
        <v>3458</v>
      </c>
      <c r="C13818" t="s">
        <v>23490</v>
      </c>
      <c r="D13818" t="str">
        <f>HYPERLINK("https://rhld.insurance.arkansas.gov/NPILookup?Npi=1619992377","1619992377")</f>
        <v>1619992377</v>
      </c>
      <c r="E13818" t="s">
        <v>2187</v>
      </c>
    </row>
    <row r="13819" spans="1:5" x14ac:dyDescent="0.25">
      <c r="A13819" t="s">
        <v>2</v>
      </c>
      <c r="B13819" t="s">
        <v>3458</v>
      </c>
      <c r="C13819" t="s">
        <v>23490</v>
      </c>
      <c r="D13819" t="str">
        <f>HYPERLINK("https://rhld.insurance.arkansas.gov/NPILookup?Npi=1619994316","1619994316")</f>
        <v>1619994316</v>
      </c>
      <c r="E13819" t="s">
        <v>2188</v>
      </c>
    </row>
    <row r="13820" spans="1:5" x14ac:dyDescent="0.25">
      <c r="A13820" t="s">
        <v>2</v>
      </c>
      <c r="B13820" t="s">
        <v>3458</v>
      </c>
      <c r="C13820" t="s">
        <v>23490</v>
      </c>
      <c r="D13820" t="str">
        <f>HYPERLINK("https://rhld.insurance.arkansas.gov/NPILookup?Npi=1619998465","1619998465")</f>
        <v>1619998465</v>
      </c>
      <c r="E13820" t="s">
        <v>3832</v>
      </c>
    </row>
    <row r="13821" spans="1:5" x14ac:dyDescent="0.25">
      <c r="A13821" t="s">
        <v>2</v>
      </c>
      <c r="B13821" t="s">
        <v>3458</v>
      </c>
      <c r="C13821" t="s">
        <v>23490</v>
      </c>
      <c r="D13821" t="str">
        <f>HYPERLINK("https://rhld.insurance.arkansas.gov/NPILookup?Npi=1629001490","1629001490")</f>
        <v>1629001490</v>
      </c>
      <c r="E13821" t="s">
        <v>15341</v>
      </c>
    </row>
    <row r="13822" spans="1:5" x14ac:dyDescent="0.25">
      <c r="A13822" t="s">
        <v>2</v>
      </c>
      <c r="B13822" t="s">
        <v>3458</v>
      </c>
      <c r="C13822" t="s">
        <v>23490</v>
      </c>
      <c r="D13822" t="str">
        <f>HYPERLINK("https://rhld.insurance.arkansas.gov/NPILookup?Npi=1629022066","1629022066")</f>
        <v>1629022066</v>
      </c>
      <c r="E13822" t="s">
        <v>2190</v>
      </c>
    </row>
    <row r="13823" spans="1:5" x14ac:dyDescent="0.25">
      <c r="A13823" t="s">
        <v>2</v>
      </c>
      <c r="B13823" t="s">
        <v>3458</v>
      </c>
      <c r="C13823" t="s">
        <v>23490</v>
      </c>
      <c r="D13823" t="str">
        <f>HYPERLINK("https://rhld.insurance.arkansas.gov/NPILookup?Npi=1629027313","1629027313")</f>
        <v>1629027313</v>
      </c>
      <c r="E13823" t="s">
        <v>2191</v>
      </c>
    </row>
    <row r="13824" spans="1:5" x14ac:dyDescent="0.25">
      <c r="A13824" t="s">
        <v>2</v>
      </c>
      <c r="B13824" t="s">
        <v>3458</v>
      </c>
      <c r="C13824" t="s">
        <v>23490</v>
      </c>
      <c r="D13824" t="str">
        <f>HYPERLINK("https://rhld.insurance.arkansas.gov/NPILookup?Npi=1629028584","1629028584")</f>
        <v>1629028584</v>
      </c>
      <c r="E13824" t="s">
        <v>2192</v>
      </c>
    </row>
    <row r="13825" spans="1:5" x14ac:dyDescent="0.25">
      <c r="A13825" t="s">
        <v>2</v>
      </c>
      <c r="B13825" t="s">
        <v>3458</v>
      </c>
      <c r="C13825" t="s">
        <v>23490</v>
      </c>
      <c r="D13825" t="str">
        <f>HYPERLINK("https://rhld.insurance.arkansas.gov/NPILookup?Npi=1629031950","1629031950")</f>
        <v>1629031950</v>
      </c>
      <c r="E13825" t="s">
        <v>2193</v>
      </c>
    </row>
    <row r="13826" spans="1:5" x14ac:dyDescent="0.25">
      <c r="A13826" t="s">
        <v>2</v>
      </c>
      <c r="B13826" t="s">
        <v>3458</v>
      </c>
      <c r="C13826" t="s">
        <v>23490</v>
      </c>
      <c r="D13826" t="str">
        <f>HYPERLINK("https://rhld.insurance.arkansas.gov/NPILookup?Npi=1629034764","1629034764")</f>
        <v>1629034764</v>
      </c>
      <c r="E13826" t="s">
        <v>15342</v>
      </c>
    </row>
    <row r="13827" spans="1:5" x14ac:dyDescent="0.25">
      <c r="A13827" t="s">
        <v>2</v>
      </c>
      <c r="B13827" t="s">
        <v>3458</v>
      </c>
      <c r="C13827" t="s">
        <v>23490</v>
      </c>
      <c r="D13827" t="str">
        <f>HYPERLINK("https://rhld.insurance.arkansas.gov/NPILookup?Npi=1629036173","1629036173")</f>
        <v>1629036173</v>
      </c>
      <c r="E13827" t="s">
        <v>15343</v>
      </c>
    </row>
    <row r="13828" spans="1:5" x14ac:dyDescent="0.25">
      <c r="A13828" t="s">
        <v>2</v>
      </c>
      <c r="B13828" t="s">
        <v>3458</v>
      </c>
      <c r="C13828" t="s">
        <v>23490</v>
      </c>
      <c r="D13828" t="str">
        <f>HYPERLINK("https://rhld.insurance.arkansas.gov/NPILookup?Npi=1629037585","1629037585")</f>
        <v>1629037585</v>
      </c>
      <c r="E13828" t="s">
        <v>2195</v>
      </c>
    </row>
    <row r="13829" spans="1:5" x14ac:dyDescent="0.25">
      <c r="A13829" t="s">
        <v>2</v>
      </c>
      <c r="B13829" t="s">
        <v>3458</v>
      </c>
      <c r="C13829" t="s">
        <v>23490</v>
      </c>
      <c r="D13829" t="str">
        <f>HYPERLINK("https://rhld.insurance.arkansas.gov/NPILookup?Npi=1629044334","1629044334")</f>
        <v>1629044334</v>
      </c>
      <c r="E13829" t="s">
        <v>15344</v>
      </c>
    </row>
    <row r="13830" spans="1:5" x14ac:dyDescent="0.25">
      <c r="A13830" t="s">
        <v>2</v>
      </c>
      <c r="B13830" t="s">
        <v>3458</v>
      </c>
      <c r="C13830" t="s">
        <v>23490</v>
      </c>
      <c r="D13830" t="str">
        <f>HYPERLINK("https://rhld.insurance.arkansas.gov/NPILookup?Npi=1629046156","1629046156")</f>
        <v>1629046156</v>
      </c>
      <c r="E13830" t="s">
        <v>15345</v>
      </c>
    </row>
    <row r="13831" spans="1:5" x14ac:dyDescent="0.25">
      <c r="A13831" t="s">
        <v>2</v>
      </c>
      <c r="B13831" t="s">
        <v>3458</v>
      </c>
      <c r="C13831" t="s">
        <v>23490</v>
      </c>
      <c r="D13831" t="str">
        <f>HYPERLINK("https://rhld.insurance.arkansas.gov/NPILookup?Npi=1629085758","1629085758")</f>
        <v>1629085758</v>
      </c>
      <c r="E13831" t="s">
        <v>2198</v>
      </c>
    </row>
    <row r="13832" spans="1:5" x14ac:dyDescent="0.25">
      <c r="A13832" t="s">
        <v>2</v>
      </c>
      <c r="B13832" t="s">
        <v>3458</v>
      </c>
      <c r="C13832" t="s">
        <v>23490</v>
      </c>
      <c r="D13832" t="str">
        <f>HYPERLINK("https://rhld.insurance.arkansas.gov/NPILookup?Npi=1629095328","1629095328")</f>
        <v>1629095328</v>
      </c>
      <c r="E13832" t="s">
        <v>2199</v>
      </c>
    </row>
    <row r="13833" spans="1:5" x14ac:dyDescent="0.25">
      <c r="A13833" t="s">
        <v>2</v>
      </c>
      <c r="B13833" t="s">
        <v>3458</v>
      </c>
      <c r="C13833" t="s">
        <v>23490</v>
      </c>
      <c r="D13833" t="str">
        <f>HYPERLINK("https://rhld.insurance.arkansas.gov/NPILookup?Npi=1629103510","1629103510")</f>
        <v>1629103510</v>
      </c>
      <c r="E13833" t="s">
        <v>15346</v>
      </c>
    </row>
    <row r="13834" spans="1:5" x14ac:dyDescent="0.25">
      <c r="A13834" t="s">
        <v>2</v>
      </c>
      <c r="B13834" t="s">
        <v>3458</v>
      </c>
      <c r="C13834" t="s">
        <v>23490</v>
      </c>
      <c r="D13834" t="str">
        <f>HYPERLINK("https://rhld.insurance.arkansas.gov/NPILookup?Npi=1629157359","1629157359")</f>
        <v>1629157359</v>
      </c>
      <c r="E13834" t="s">
        <v>11115</v>
      </c>
    </row>
    <row r="13835" spans="1:5" x14ac:dyDescent="0.25">
      <c r="A13835" t="s">
        <v>2</v>
      </c>
      <c r="B13835" t="s">
        <v>3458</v>
      </c>
      <c r="C13835" t="s">
        <v>23490</v>
      </c>
      <c r="D13835" t="str">
        <f>HYPERLINK("https://rhld.insurance.arkansas.gov/NPILookup?Npi=1629161773","1629161773")</f>
        <v>1629161773</v>
      </c>
      <c r="E13835" t="s">
        <v>3833</v>
      </c>
    </row>
    <row r="13836" spans="1:5" x14ac:dyDescent="0.25">
      <c r="A13836" t="s">
        <v>2</v>
      </c>
      <c r="B13836" t="s">
        <v>3458</v>
      </c>
      <c r="C13836" t="s">
        <v>23490</v>
      </c>
      <c r="D13836" t="str">
        <f>HYPERLINK("https://rhld.insurance.arkansas.gov/NPILookup?Npi=1629181433","1629181433")</f>
        <v>1629181433</v>
      </c>
      <c r="E13836" t="s">
        <v>2200</v>
      </c>
    </row>
    <row r="13837" spans="1:5" x14ac:dyDescent="0.25">
      <c r="A13837" t="s">
        <v>2</v>
      </c>
      <c r="B13837" t="s">
        <v>3458</v>
      </c>
      <c r="C13837" t="s">
        <v>23490</v>
      </c>
      <c r="D13837" t="str">
        <f>HYPERLINK("https://rhld.insurance.arkansas.gov/NPILookup?Npi=1629186382","1629186382")</f>
        <v>1629186382</v>
      </c>
      <c r="E13837" t="s">
        <v>15347</v>
      </c>
    </row>
    <row r="13838" spans="1:5" x14ac:dyDescent="0.25">
      <c r="A13838" t="s">
        <v>2</v>
      </c>
      <c r="B13838" t="s">
        <v>3458</v>
      </c>
      <c r="C13838" t="s">
        <v>23490</v>
      </c>
      <c r="D13838" t="str">
        <f>HYPERLINK("https://rhld.insurance.arkansas.gov/NPILookup?Npi=1629189964","1629189964")</f>
        <v>1629189964</v>
      </c>
      <c r="E13838" t="s">
        <v>2201</v>
      </c>
    </row>
    <row r="13839" spans="1:5" x14ac:dyDescent="0.25">
      <c r="A13839" t="s">
        <v>2</v>
      </c>
      <c r="B13839" t="s">
        <v>3458</v>
      </c>
      <c r="C13839" t="s">
        <v>23490</v>
      </c>
      <c r="D13839" t="str">
        <f>HYPERLINK("https://rhld.insurance.arkansas.gov/NPILookup?Npi=1629199633","1629199633")</f>
        <v>1629199633</v>
      </c>
      <c r="E13839" t="s">
        <v>15348</v>
      </c>
    </row>
    <row r="13840" spans="1:5" x14ac:dyDescent="0.25">
      <c r="A13840" t="s">
        <v>2</v>
      </c>
      <c r="B13840" t="s">
        <v>3458</v>
      </c>
      <c r="C13840" t="s">
        <v>23490</v>
      </c>
      <c r="D13840" t="str">
        <f>HYPERLINK("https://rhld.insurance.arkansas.gov/NPILookup?Npi=1629201710","1629201710")</f>
        <v>1629201710</v>
      </c>
      <c r="E13840" t="s">
        <v>19230</v>
      </c>
    </row>
    <row r="13841" spans="1:5" x14ac:dyDescent="0.25">
      <c r="A13841" t="s">
        <v>2</v>
      </c>
      <c r="B13841" t="s">
        <v>3458</v>
      </c>
      <c r="C13841" t="s">
        <v>23490</v>
      </c>
      <c r="D13841" t="str">
        <f>HYPERLINK("https://rhld.insurance.arkansas.gov/NPILookup?Npi=1629207386","1629207386")</f>
        <v>1629207386</v>
      </c>
      <c r="E13841" t="s">
        <v>2202</v>
      </c>
    </row>
    <row r="13842" spans="1:5" x14ac:dyDescent="0.25">
      <c r="A13842" t="s">
        <v>2</v>
      </c>
      <c r="B13842" t="s">
        <v>3458</v>
      </c>
      <c r="C13842" t="s">
        <v>23490</v>
      </c>
      <c r="D13842" t="str">
        <f>HYPERLINK("https://rhld.insurance.arkansas.gov/NPILookup?Npi=1629208053","1629208053")</f>
        <v>1629208053</v>
      </c>
      <c r="E13842" t="s">
        <v>15349</v>
      </c>
    </row>
    <row r="13843" spans="1:5" x14ac:dyDescent="0.25">
      <c r="A13843" t="s">
        <v>2</v>
      </c>
      <c r="B13843" t="s">
        <v>3458</v>
      </c>
      <c r="C13843" t="s">
        <v>23490</v>
      </c>
      <c r="D13843" t="str">
        <f>HYPERLINK("https://rhld.insurance.arkansas.gov/NPILookup?Npi=1629208368","1629208368")</f>
        <v>1629208368</v>
      </c>
      <c r="E13843" t="s">
        <v>15350</v>
      </c>
    </row>
    <row r="13844" spans="1:5" x14ac:dyDescent="0.25">
      <c r="A13844" t="s">
        <v>2</v>
      </c>
      <c r="B13844" t="s">
        <v>3458</v>
      </c>
      <c r="C13844" t="s">
        <v>23490</v>
      </c>
      <c r="D13844" t="str">
        <f>HYPERLINK("https://rhld.insurance.arkansas.gov/NPILookup?Npi=1629208434","1629208434")</f>
        <v>1629208434</v>
      </c>
      <c r="E13844" t="s">
        <v>2203</v>
      </c>
    </row>
    <row r="13845" spans="1:5" x14ac:dyDescent="0.25">
      <c r="A13845" t="s">
        <v>2</v>
      </c>
      <c r="B13845" t="s">
        <v>3458</v>
      </c>
      <c r="C13845" t="s">
        <v>23490</v>
      </c>
      <c r="D13845" t="str">
        <f>HYPERLINK("https://rhld.insurance.arkansas.gov/NPILookup?Npi=1629230396","1629230396")</f>
        <v>1629230396</v>
      </c>
      <c r="E13845" t="s">
        <v>1409</v>
      </c>
    </row>
    <row r="13846" spans="1:5" x14ac:dyDescent="0.25">
      <c r="A13846" t="s">
        <v>2</v>
      </c>
      <c r="B13846" t="s">
        <v>3458</v>
      </c>
      <c r="C13846" t="s">
        <v>23490</v>
      </c>
      <c r="D13846" t="str">
        <f>HYPERLINK("https://rhld.insurance.arkansas.gov/NPILookup?Npi=1629235411","1629235411")</f>
        <v>1629235411</v>
      </c>
      <c r="E13846" t="s">
        <v>3835</v>
      </c>
    </row>
    <row r="13847" spans="1:5" x14ac:dyDescent="0.25">
      <c r="A13847" t="s">
        <v>2</v>
      </c>
      <c r="B13847" t="s">
        <v>3458</v>
      </c>
      <c r="C13847" t="s">
        <v>23490</v>
      </c>
      <c r="D13847" t="str">
        <f>HYPERLINK("https://rhld.insurance.arkansas.gov/NPILookup?Npi=1629237805","1629237805")</f>
        <v>1629237805</v>
      </c>
      <c r="E13847" t="s">
        <v>11116</v>
      </c>
    </row>
    <row r="13848" spans="1:5" x14ac:dyDescent="0.25">
      <c r="A13848" t="s">
        <v>2</v>
      </c>
      <c r="B13848" t="s">
        <v>3458</v>
      </c>
      <c r="C13848" t="s">
        <v>23490</v>
      </c>
      <c r="D13848" t="str">
        <f>HYPERLINK("https://rhld.insurance.arkansas.gov/NPILookup?Npi=1629238795","1629238795")</f>
        <v>1629238795</v>
      </c>
      <c r="E13848" t="s">
        <v>2204</v>
      </c>
    </row>
    <row r="13849" spans="1:5" x14ac:dyDescent="0.25">
      <c r="A13849" t="s">
        <v>2</v>
      </c>
      <c r="B13849" t="s">
        <v>3458</v>
      </c>
      <c r="C13849" t="s">
        <v>23490</v>
      </c>
      <c r="D13849" t="str">
        <f>HYPERLINK("https://rhld.insurance.arkansas.gov/NPILookup?Npi=1629272620","1629272620")</f>
        <v>1629272620</v>
      </c>
      <c r="E13849" t="s">
        <v>15351</v>
      </c>
    </row>
    <row r="13850" spans="1:5" x14ac:dyDescent="0.25">
      <c r="A13850" t="s">
        <v>2</v>
      </c>
      <c r="B13850" t="s">
        <v>3458</v>
      </c>
      <c r="C13850" t="s">
        <v>23490</v>
      </c>
      <c r="D13850" t="str">
        <f>HYPERLINK("https://rhld.insurance.arkansas.gov/NPILookup?Npi=1629302823","1629302823")</f>
        <v>1629302823</v>
      </c>
      <c r="E13850" t="s">
        <v>15352</v>
      </c>
    </row>
    <row r="13851" spans="1:5" x14ac:dyDescent="0.25">
      <c r="A13851" t="s">
        <v>2</v>
      </c>
      <c r="B13851" t="s">
        <v>3458</v>
      </c>
      <c r="C13851" t="s">
        <v>23490</v>
      </c>
      <c r="D13851" t="str">
        <f>HYPERLINK("https://rhld.insurance.arkansas.gov/NPILookup?Npi=1629303953","1629303953")</f>
        <v>1629303953</v>
      </c>
      <c r="E13851" t="s">
        <v>13623</v>
      </c>
    </row>
    <row r="13852" spans="1:5" x14ac:dyDescent="0.25">
      <c r="A13852" t="s">
        <v>2</v>
      </c>
      <c r="B13852" t="s">
        <v>3458</v>
      </c>
      <c r="C13852" t="s">
        <v>23490</v>
      </c>
      <c r="D13852" t="str">
        <f>HYPERLINK("https://rhld.insurance.arkansas.gov/NPILookup?Npi=1629304977","1629304977")</f>
        <v>1629304977</v>
      </c>
      <c r="E13852" t="s">
        <v>15884</v>
      </c>
    </row>
    <row r="13853" spans="1:5" x14ac:dyDescent="0.25">
      <c r="A13853" t="s">
        <v>2</v>
      </c>
      <c r="B13853" t="s">
        <v>3458</v>
      </c>
      <c r="C13853" t="s">
        <v>23490</v>
      </c>
      <c r="D13853" t="str">
        <f>HYPERLINK("https://rhld.insurance.arkansas.gov/NPILookup?Npi=1629317813","1629317813")</f>
        <v>1629317813</v>
      </c>
      <c r="E13853" t="s">
        <v>2208</v>
      </c>
    </row>
    <row r="13854" spans="1:5" x14ac:dyDescent="0.25">
      <c r="A13854" t="s">
        <v>2</v>
      </c>
      <c r="B13854" t="s">
        <v>3458</v>
      </c>
      <c r="C13854" t="s">
        <v>23490</v>
      </c>
      <c r="D13854" t="str">
        <f>HYPERLINK("https://rhld.insurance.arkansas.gov/NPILookup?Npi=1629322607","1629322607")</f>
        <v>1629322607</v>
      </c>
      <c r="E13854" t="s">
        <v>2209</v>
      </c>
    </row>
    <row r="13855" spans="1:5" x14ac:dyDescent="0.25">
      <c r="A13855" t="s">
        <v>2</v>
      </c>
      <c r="B13855" t="s">
        <v>3458</v>
      </c>
      <c r="C13855" t="s">
        <v>23490</v>
      </c>
      <c r="D13855" t="str">
        <f>HYPERLINK("https://rhld.insurance.arkansas.gov/NPILookup?Npi=1629329289","1629329289")</f>
        <v>1629329289</v>
      </c>
      <c r="E13855" t="s">
        <v>15353</v>
      </c>
    </row>
    <row r="13856" spans="1:5" x14ac:dyDescent="0.25">
      <c r="A13856" t="s">
        <v>2</v>
      </c>
      <c r="B13856" t="s">
        <v>3458</v>
      </c>
      <c r="C13856" t="s">
        <v>23490</v>
      </c>
      <c r="D13856" t="str">
        <f>HYPERLINK("https://rhld.insurance.arkansas.gov/NPILookup?Npi=1629335955","1629335955")</f>
        <v>1629335955</v>
      </c>
      <c r="E13856" t="s">
        <v>3836</v>
      </c>
    </row>
    <row r="13857" spans="1:5" x14ac:dyDescent="0.25">
      <c r="A13857" t="s">
        <v>2</v>
      </c>
      <c r="B13857" t="s">
        <v>3458</v>
      </c>
      <c r="C13857" t="s">
        <v>23490</v>
      </c>
      <c r="D13857" t="str">
        <f>HYPERLINK("https://rhld.insurance.arkansas.gov/NPILookup?Npi=1629336078","1629336078")</f>
        <v>1629336078</v>
      </c>
      <c r="E13857" t="s">
        <v>8769</v>
      </c>
    </row>
    <row r="13858" spans="1:5" x14ac:dyDescent="0.25">
      <c r="A13858" t="s">
        <v>2</v>
      </c>
      <c r="B13858" t="s">
        <v>3458</v>
      </c>
      <c r="C13858" t="s">
        <v>23490</v>
      </c>
      <c r="D13858" t="str">
        <f>HYPERLINK("https://rhld.insurance.arkansas.gov/NPILookup?Npi=1629337738","1629337738")</f>
        <v>1629337738</v>
      </c>
      <c r="E13858" t="s">
        <v>11117</v>
      </c>
    </row>
    <row r="13859" spans="1:5" x14ac:dyDescent="0.25">
      <c r="A13859" t="s">
        <v>2</v>
      </c>
      <c r="B13859" t="s">
        <v>3458</v>
      </c>
      <c r="C13859" t="s">
        <v>23490</v>
      </c>
      <c r="D13859" t="str">
        <f>HYPERLINK("https://rhld.insurance.arkansas.gov/NPILookup?Npi=1629340948","1629340948")</f>
        <v>1629340948</v>
      </c>
      <c r="E13859" t="s">
        <v>12872</v>
      </c>
    </row>
    <row r="13860" spans="1:5" x14ac:dyDescent="0.25">
      <c r="A13860" t="s">
        <v>2</v>
      </c>
      <c r="B13860" t="s">
        <v>3458</v>
      </c>
      <c r="C13860" t="s">
        <v>23490</v>
      </c>
      <c r="D13860" t="str">
        <f>HYPERLINK("https://rhld.insurance.arkansas.gov/NPILookup?Npi=1629343868","1629343868")</f>
        <v>1629343868</v>
      </c>
      <c r="E13860" t="s">
        <v>2210</v>
      </c>
    </row>
    <row r="13861" spans="1:5" x14ac:dyDescent="0.25">
      <c r="A13861" t="s">
        <v>2</v>
      </c>
      <c r="B13861" t="s">
        <v>3458</v>
      </c>
      <c r="C13861" t="s">
        <v>23490</v>
      </c>
      <c r="D13861" t="str">
        <f>HYPERLINK("https://rhld.insurance.arkansas.gov/NPILookup?Npi=1629369459","1629369459")</f>
        <v>1629369459</v>
      </c>
      <c r="E13861" t="s">
        <v>2213</v>
      </c>
    </row>
    <row r="13862" spans="1:5" x14ac:dyDescent="0.25">
      <c r="A13862" t="s">
        <v>2</v>
      </c>
      <c r="B13862" t="s">
        <v>3458</v>
      </c>
      <c r="C13862" t="s">
        <v>23490</v>
      </c>
      <c r="D13862" t="str">
        <f>HYPERLINK("https://rhld.insurance.arkansas.gov/NPILookup?Npi=1629380639","1629380639")</f>
        <v>1629380639</v>
      </c>
      <c r="E13862" t="s">
        <v>15355</v>
      </c>
    </row>
    <row r="13863" spans="1:5" x14ac:dyDescent="0.25">
      <c r="A13863" t="s">
        <v>2</v>
      </c>
      <c r="B13863" t="s">
        <v>3458</v>
      </c>
      <c r="C13863" t="s">
        <v>23490</v>
      </c>
      <c r="D13863" t="str">
        <f>HYPERLINK("https://rhld.insurance.arkansas.gov/NPILookup?Npi=1629381611","1629381611")</f>
        <v>1629381611</v>
      </c>
      <c r="E13863" t="s">
        <v>15356</v>
      </c>
    </row>
    <row r="13864" spans="1:5" x14ac:dyDescent="0.25">
      <c r="A13864" t="s">
        <v>2</v>
      </c>
      <c r="B13864" t="s">
        <v>3458</v>
      </c>
      <c r="C13864" t="s">
        <v>23490</v>
      </c>
      <c r="D13864" t="str">
        <f>HYPERLINK("https://rhld.insurance.arkansas.gov/NPILookup?Npi=1629395199","1629395199")</f>
        <v>1629395199</v>
      </c>
      <c r="E13864" t="s">
        <v>21747</v>
      </c>
    </row>
    <row r="13865" spans="1:5" x14ac:dyDescent="0.25">
      <c r="A13865" t="s">
        <v>2</v>
      </c>
      <c r="B13865" t="s">
        <v>3458</v>
      </c>
      <c r="C13865" t="s">
        <v>23490</v>
      </c>
      <c r="D13865" t="str">
        <f>HYPERLINK("https://rhld.insurance.arkansas.gov/NPILookup?Npi=1629395520","1629395520")</f>
        <v>1629395520</v>
      </c>
      <c r="E13865" t="s">
        <v>17077</v>
      </c>
    </row>
    <row r="13866" spans="1:5" x14ac:dyDescent="0.25">
      <c r="A13866" t="s">
        <v>2</v>
      </c>
      <c r="B13866" t="s">
        <v>3458</v>
      </c>
      <c r="C13866" t="s">
        <v>23490</v>
      </c>
      <c r="D13866" t="str">
        <f>HYPERLINK("https://rhld.insurance.arkansas.gov/NPILookup?Npi=1629398268","1629398268")</f>
        <v>1629398268</v>
      </c>
      <c r="E13866" t="s">
        <v>2214</v>
      </c>
    </row>
    <row r="13867" spans="1:5" x14ac:dyDescent="0.25">
      <c r="A13867" t="s">
        <v>2</v>
      </c>
      <c r="B13867" t="s">
        <v>3458</v>
      </c>
      <c r="C13867" t="s">
        <v>23490</v>
      </c>
      <c r="D13867" t="str">
        <f>HYPERLINK("https://rhld.insurance.arkansas.gov/NPILookup?Npi=1629398276","1629398276")</f>
        <v>1629398276</v>
      </c>
      <c r="E13867" t="s">
        <v>2215</v>
      </c>
    </row>
    <row r="13868" spans="1:5" x14ac:dyDescent="0.25">
      <c r="A13868" t="s">
        <v>2</v>
      </c>
      <c r="B13868" t="s">
        <v>3458</v>
      </c>
      <c r="C13868" t="s">
        <v>23490</v>
      </c>
      <c r="D13868" t="str">
        <f>HYPERLINK("https://rhld.insurance.arkansas.gov/NPILookup?Npi=1629408497","1629408497")</f>
        <v>1629408497</v>
      </c>
      <c r="E13868" t="s">
        <v>2217</v>
      </c>
    </row>
    <row r="13869" spans="1:5" x14ac:dyDescent="0.25">
      <c r="A13869" t="s">
        <v>2</v>
      </c>
      <c r="B13869" t="s">
        <v>3458</v>
      </c>
      <c r="C13869" t="s">
        <v>23490</v>
      </c>
      <c r="D13869" t="str">
        <f>HYPERLINK("https://rhld.insurance.arkansas.gov/NPILookup?Npi=1629410766","1629410766")</f>
        <v>1629410766</v>
      </c>
      <c r="E13869" t="s">
        <v>2218</v>
      </c>
    </row>
    <row r="13870" spans="1:5" x14ac:dyDescent="0.25">
      <c r="A13870" t="s">
        <v>2</v>
      </c>
      <c r="B13870" t="s">
        <v>3458</v>
      </c>
      <c r="C13870" t="s">
        <v>23490</v>
      </c>
      <c r="D13870" t="str">
        <f>HYPERLINK("https://rhld.insurance.arkansas.gov/NPILookup?Npi=1629414354","1629414354")</f>
        <v>1629414354</v>
      </c>
      <c r="E13870" t="s">
        <v>2219</v>
      </c>
    </row>
    <row r="13871" spans="1:5" x14ac:dyDescent="0.25">
      <c r="A13871" t="s">
        <v>2</v>
      </c>
      <c r="B13871" t="s">
        <v>3458</v>
      </c>
      <c r="C13871" t="s">
        <v>23490</v>
      </c>
      <c r="D13871" t="str">
        <f>HYPERLINK("https://rhld.insurance.arkansas.gov/NPILookup?Npi=1629418553","1629418553")</f>
        <v>1629418553</v>
      </c>
      <c r="E13871" t="s">
        <v>2220</v>
      </c>
    </row>
    <row r="13872" spans="1:5" x14ac:dyDescent="0.25">
      <c r="A13872" t="s">
        <v>2</v>
      </c>
      <c r="B13872" t="s">
        <v>3458</v>
      </c>
      <c r="C13872" t="s">
        <v>23490</v>
      </c>
      <c r="D13872" t="str">
        <f>HYPERLINK("https://rhld.insurance.arkansas.gov/NPILookup?Npi=1629420310","1629420310")</f>
        <v>1629420310</v>
      </c>
      <c r="E13872" t="s">
        <v>11119</v>
      </c>
    </row>
    <row r="13873" spans="1:5" x14ac:dyDescent="0.25">
      <c r="A13873" t="s">
        <v>2</v>
      </c>
      <c r="B13873" t="s">
        <v>3458</v>
      </c>
      <c r="C13873" t="s">
        <v>23490</v>
      </c>
      <c r="D13873" t="str">
        <f>HYPERLINK("https://rhld.insurance.arkansas.gov/NPILookup?Npi=1629425061","1629425061")</f>
        <v>1629425061</v>
      </c>
      <c r="E13873" t="s">
        <v>13625</v>
      </c>
    </row>
    <row r="13874" spans="1:5" x14ac:dyDescent="0.25">
      <c r="A13874" t="s">
        <v>2</v>
      </c>
      <c r="B13874" t="s">
        <v>3458</v>
      </c>
      <c r="C13874" t="s">
        <v>23490</v>
      </c>
      <c r="D13874" t="str">
        <f>HYPERLINK("https://rhld.insurance.arkansas.gov/NPILookup?Npi=1629426721","1629426721")</f>
        <v>1629426721</v>
      </c>
      <c r="E13874" t="s">
        <v>11120</v>
      </c>
    </row>
    <row r="13875" spans="1:5" x14ac:dyDescent="0.25">
      <c r="A13875" t="s">
        <v>2</v>
      </c>
      <c r="B13875" t="s">
        <v>3458</v>
      </c>
      <c r="C13875" t="s">
        <v>23490</v>
      </c>
      <c r="D13875" t="str">
        <f>HYPERLINK("https://rhld.insurance.arkansas.gov/NPILookup?Npi=1629432745","1629432745")</f>
        <v>1629432745</v>
      </c>
      <c r="E13875" t="s">
        <v>15885</v>
      </c>
    </row>
    <row r="13876" spans="1:5" x14ac:dyDescent="0.25">
      <c r="A13876" t="s">
        <v>2</v>
      </c>
      <c r="B13876" t="s">
        <v>3458</v>
      </c>
      <c r="C13876" t="s">
        <v>23490</v>
      </c>
      <c r="D13876" t="str">
        <f>HYPERLINK("https://rhld.insurance.arkansas.gov/NPILookup?Npi=1629442132","1629442132")</f>
        <v>1629442132</v>
      </c>
      <c r="E13876" t="s">
        <v>11121</v>
      </c>
    </row>
    <row r="13877" spans="1:5" x14ac:dyDescent="0.25">
      <c r="A13877" t="s">
        <v>2</v>
      </c>
      <c r="B13877" t="s">
        <v>3458</v>
      </c>
      <c r="C13877" t="s">
        <v>23490</v>
      </c>
      <c r="D13877" t="str">
        <f>HYPERLINK("https://rhld.insurance.arkansas.gov/NPILookup?Npi=1629453030","1629453030")</f>
        <v>1629453030</v>
      </c>
      <c r="E13877" t="s">
        <v>2221</v>
      </c>
    </row>
    <row r="13878" spans="1:5" x14ac:dyDescent="0.25">
      <c r="A13878" t="s">
        <v>2</v>
      </c>
      <c r="B13878" t="s">
        <v>3458</v>
      </c>
      <c r="C13878" t="s">
        <v>23490</v>
      </c>
      <c r="D13878" t="str">
        <f>HYPERLINK("https://rhld.insurance.arkansas.gov/NPILookup?Npi=1629461892","1629461892")</f>
        <v>1629461892</v>
      </c>
      <c r="E13878" t="s">
        <v>2222</v>
      </c>
    </row>
    <row r="13879" spans="1:5" x14ac:dyDescent="0.25">
      <c r="A13879" t="s">
        <v>2</v>
      </c>
      <c r="B13879" t="s">
        <v>3458</v>
      </c>
      <c r="C13879" t="s">
        <v>23490</v>
      </c>
      <c r="D13879" t="str">
        <f>HYPERLINK("https://rhld.insurance.arkansas.gov/NPILookup?Npi=1629468533","1629468533")</f>
        <v>1629468533</v>
      </c>
      <c r="E13879" t="s">
        <v>11122</v>
      </c>
    </row>
    <row r="13880" spans="1:5" x14ac:dyDescent="0.25">
      <c r="A13880" t="s">
        <v>2</v>
      </c>
      <c r="B13880" t="s">
        <v>3458</v>
      </c>
      <c r="C13880" t="s">
        <v>23490</v>
      </c>
      <c r="D13880" t="str">
        <f>HYPERLINK("https://rhld.insurance.arkansas.gov/NPILookup?Npi=1629469564","1629469564")</f>
        <v>1629469564</v>
      </c>
      <c r="E13880" t="s">
        <v>7337</v>
      </c>
    </row>
    <row r="13881" spans="1:5" x14ac:dyDescent="0.25">
      <c r="A13881" t="s">
        <v>2</v>
      </c>
      <c r="B13881" t="s">
        <v>3458</v>
      </c>
      <c r="C13881" t="s">
        <v>23490</v>
      </c>
      <c r="D13881" t="str">
        <f>HYPERLINK("https://rhld.insurance.arkansas.gov/NPILookup?Npi=1629482419","1629482419")</f>
        <v>1629482419</v>
      </c>
      <c r="E13881" t="s">
        <v>11123</v>
      </c>
    </row>
    <row r="13882" spans="1:5" x14ac:dyDescent="0.25">
      <c r="A13882" t="s">
        <v>2</v>
      </c>
      <c r="B13882" t="s">
        <v>3458</v>
      </c>
      <c r="C13882" t="s">
        <v>23490</v>
      </c>
      <c r="D13882" t="str">
        <f>HYPERLINK("https://rhld.insurance.arkansas.gov/NPILookup?Npi=1629483201","1629483201")</f>
        <v>1629483201</v>
      </c>
      <c r="E13882" t="s">
        <v>8770</v>
      </c>
    </row>
    <row r="13883" spans="1:5" x14ac:dyDescent="0.25">
      <c r="A13883" t="s">
        <v>2</v>
      </c>
      <c r="B13883" t="s">
        <v>3458</v>
      </c>
      <c r="C13883" t="s">
        <v>23490</v>
      </c>
      <c r="D13883" t="str">
        <f>HYPERLINK("https://rhld.insurance.arkansas.gov/NPILookup?Npi=1629484647","1629484647")</f>
        <v>1629484647</v>
      </c>
      <c r="E13883" t="s">
        <v>19887</v>
      </c>
    </row>
    <row r="13884" spans="1:5" x14ac:dyDescent="0.25">
      <c r="A13884" t="s">
        <v>2</v>
      </c>
      <c r="B13884" t="s">
        <v>3458</v>
      </c>
      <c r="C13884" t="s">
        <v>23490</v>
      </c>
      <c r="D13884" t="str">
        <f>HYPERLINK("https://rhld.insurance.arkansas.gov/NPILookup?Npi=1629489133","1629489133")</f>
        <v>1629489133</v>
      </c>
      <c r="E13884" t="s">
        <v>1222</v>
      </c>
    </row>
    <row r="13885" spans="1:5" x14ac:dyDescent="0.25">
      <c r="A13885" t="s">
        <v>2</v>
      </c>
      <c r="B13885" t="s">
        <v>3458</v>
      </c>
      <c r="C13885" t="s">
        <v>23490</v>
      </c>
      <c r="D13885" t="str">
        <f>HYPERLINK("https://rhld.insurance.arkansas.gov/NPILookup?Npi=1629511993","1629511993")</f>
        <v>1629511993</v>
      </c>
      <c r="E13885" t="s">
        <v>11124</v>
      </c>
    </row>
    <row r="13886" spans="1:5" x14ac:dyDescent="0.25">
      <c r="A13886" t="s">
        <v>2</v>
      </c>
      <c r="B13886" t="s">
        <v>3458</v>
      </c>
      <c r="C13886" t="s">
        <v>23490</v>
      </c>
      <c r="D13886" t="str">
        <f>HYPERLINK("https://rhld.insurance.arkansas.gov/NPILookup?Npi=1629517834","1629517834")</f>
        <v>1629517834</v>
      </c>
      <c r="E13886" t="s">
        <v>15357</v>
      </c>
    </row>
    <row r="13887" spans="1:5" x14ac:dyDescent="0.25">
      <c r="A13887" t="s">
        <v>2</v>
      </c>
      <c r="B13887" t="s">
        <v>3458</v>
      </c>
      <c r="C13887" t="s">
        <v>23490</v>
      </c>
      <c r="D13887" t="str">
        <f>HYPERLINK("https://rhld.insurance.arkansas.gov/NPILookup?Npi=1629518683","1629518683")</f>
        <v>1629518683</v>
      </c>
      <c r="E13887" t="s">
        <v>11125</v>
      </c>
    </row>
    <row r="13888" spans="1:5" x14ac:dyDescent="0.25">
      <c r="A13888" t="s">
        <v>2</v>
      </c>
      <c r="B13888" t="s">
        <v>3458</v>
      </c>
      <c r="C13888" t="s">
        <v>23490</v>
      </c>
      <c r="D13888" t="str">
        <f>HYPERLINK("https://rhld.insurance.arkansas.gov/NPILookup?Npi=1629518758","1629518758")</f>
        <v>1629518758</v>
      </c>
      <c r="E13888" t="s">
        <v>11126</v>
      </c>
    </row>
    <row r="13889" spans="1:5" x14ac:dyDescent="0.25">
      <c r="A13889" t="s">
        <v>2</v>
      </c>
      <c r="B13889" t="s">
        <v>3458</v>
      </c>
      <c r="C13889" t="s">
        <v>23490</v>
      </c>
      <c r="D13889" t="str">
        <f>HYPERLINK("https://rhld.insurance.arkansas.gov/NPILookup?Npi=1629522594","1629522594")</f>
        <v>1629522594</v>
      </c>
      <c r="E13889" t="s">
        <v>11127</v>
      </c>
    </row>
    <row r="13890" spans="1:5" x14ac:dyDescent="0.25">
      <c r="A13890" t="s">
        <v>2</v>
      </c>
      <c r="B13890" t="s">
        <v>3458</v>
      </c>
      <c r="C13890" t="s">
        <v>23490</v>
      </c>
      <c r="D13890" t="str">
        <f>HYPERLINK("https://rhld.insurance.arkansas.gov/NPILookup?Npi=1629527965","1629527965")</f>
        <v>1629527965</v>
      </c>
      <c r="E13890" t="s">
        <v>11128</v>
      </c>
    </row>
    <row r="13891" spans="1:5" x14ac:dyDescent="0.25">
      <c r="A13891" t="s">
        <v>2</v>
      </c>
      <c r="B13891" t="s">
        <v>3458</v>
      </c>
      <c r="C13891" t="s">
        <v>23490</v>
      </c>
      <c r="D13891" t="str">
        <f>HYPERLINK("https://rhld.insurance.arkansas.gov/NPILookup?Npi=1629530654","1629530654")</f>
        <v>1629530654</v>
      </c>
      <c r="E13891" t="s">
        <v>21748</v>
      </c>
    </row>
    <row r="13892" spans="1:5" x14ac:dyDescent="0.25">
      <c r="A13892" t="s">
        <v>2</v>
      </c>
      <c r="B13892" t="s">
        <v>3458</v>
      </c>
      <c r="C13892" t="s">
        <v>23490</v>
      </c>
      <c r="D13892" t="str">
        <f>HYPERLINK("https://rhld.insurance.arkansas.gov/NPILookup?Npi=1629532155","1629532155")</f>
        <v>1629532155</v>
      </c>
      <c r="E13892" t="s">
        <v>13627</v>
      </c>
    </row>
    <row r="13893" spans="1:5" x14ac:dyDescent="0.25">
      <c r="A13893" t="s">
        <v>2</v>
      </c>
      <c r="B13893" t="s">
        <v>3458</v>
      </c>
      <c r="C13893" t="s">
        <v>23490</v>
      </c>
      <c r="D13893" t="str">
        <f>HYPERLINK("https://rhld.insurance.arkansas.gov/NPILookup?Npi=1629536255","1629536255")</f>
        <v>1629536255</v>
      </c>
      <c r="E13893" t="s">
        <v>19889</v>
      </c>
    </row>
    <row r="13894" spans="1:5" x14ac:dyDescent="0.25">
      <c r="A13894" t="s">
        <v>2</v>
      </c>
      <c r="B13894" t="s">
        <v>3458</v>
      </c>
      <c r="C13894" t="s">
        <v>23490</v>
      </c>
      <c r="D13894" t="str">
        <f>HYPERLINK("https://rhld.insurance.arkansas.gov/NPILookup?Npi=1629539606","1629539606")</f>
        <v>1629539606</v>
      </c>
      <c r="E13894" t="s">
        <v>21749</v>
      </c>
    </row>
    <row r="13895" spans="1:5" x14ac:dyDescent="0.25">
      <c r="A13895" t="s">
        <v>2</v>
      </c>
      <c r="B13895" t="s">
        <v>3458</v>
      </c>
      <c r="C13895" t="s">
        <v>23490</v>
      </c>
      <c r="D13895" t="str">
        <f>HYPERLINK("https://rhld.insurance.arkansas.gov/NPILookup?Npi=1629561808","1629561808")</f>
        <v>1629561808</v>
      </c>
      <c r="E13895" t="s">
        <v>18824</v>
      </c>
    </row>
    <row r="13896" spans="1:5" x14ac:dyDescent="0.25">
      <c r="A13896" t="s">
        <v>2</v>
      </c>
      <c r="B13896" t="s">
        <v>3458</v>
      </c>
      <c r="C13896" t="s">
        <v>23490</v>
      </c>
      <c r="D13896" t="str">
        <f>HYPERLINK("https://rhld.insurance.arkansas.gov/NPILookup?Npi=1629578067","1629578067")</f>
        <v>1629578067</v>
      </c>
      <c r="E13896" t="s">
        <v>13009</v>
      </c>
    </row>
    <row r="13897" spans="1:5" x14ac:dyDescent="0.25">
      <c r="A13897" t="s">
        <v>2</v>
      </c>
      <c r="B13897" t="s">
        <v>3458</v>
      </c>
      <c r="C13897" t="s">
        <v>23490</v>
      </c>
      <c r="D13897" t="str">
        <f>HYPERLINK("https://rhld.insurance.arkansas.gov/NPILookup?Npi=1629586573","1629586573")</f>
        <v>1629586573</v>
      </c>
      <c r="E13897" t="s">
        <v>21599</v>
      </c>
    </row>
    <row r="13898" spans="1:5" x14ac:dyDescent="0.25">
      <c r="A13898" t="s">
        <v>2</v>
      </c>
      <c r="B13898" t="s">
        <v>3458</v>
      </c>
      <c r="C13898" t="s">
        <v>23490</v>
      </c>
      <c r="D13898" t="str">
        <f>HYPERLINK("https://rhld.insurance.arkansas.gov/NPILookup?Npi=1629596960","1629596960")</f>
        <v>1629596960</v>
      </c>
      <c r="E13898" t="s">
        <v>11129</v>
      </c>
    </row>
    <row r="13899" spans="1:5" x14ac:dyDescent="0.25">
      <c r="A13899" t="s">
        <v>2</v>
      </c>
      <c r="B13899" t="s">
        <v>3458</v>
      </c>
      <c r="C13899" t="s">
        <v>23490</v>
      </c>
      <c r="D13899" t="str">
        <f>HYPERLINK("https://rhld.insurance.arkansas.gov/NPILookup?Npi=1629597133","1629597133")</f>
        <v>1629597133</v>
      </c>
      <c r="E13899" t="s">
        <v>11130</v>
      </c>
    </row>
    <row r="13900" spans="1:5" x14ac:dyDescent="0.25">
      <c r="A13900" t="s">
        <v>2</v>
      </c>
      <c r="B13900" t="s">
        <v>3458</v>
      </c>
      <c r="C13900" t="s">
        <v>23490</v>
      </c>
      <c r="D13900" t="str">
        <f>HYPERLINK("https://rhld.insurance.arkansas.gov/NPILookup?Npi=1629599287","1629599287")</f>
        <v>1629599287</v>
      </c>
      <c r="E13900" t="s">
        <v>13863</v>
      </c>
    </row>
    <row r="13901" spans="1:5" x14ac:dyDescent="0.25">
      <c r="A13901" t="s">
        <v>2</v>
      </c>
      <c r="B13901" t="s">
        <v>3458</v>
      </c>
      <c r="C13901" t="s">
        <v>23490</v>
      </c>
      <c r="D13901" t="str">
        <f>HYPERLINK("https://rhld.insurance.arkansas.gov/NPILookup?Npi=1629604129","1629604129")</f>
        <v>1629604129</v>
      </c>
      <c r="E13901" t="s">
        <v>19891</v>
      </c>
    </row>
    <row r="13902" spans="1:5" x14ac:dyDescent="0.25">
      <c r="A13902" t="s">
        <v>2</v>
      </c>
      <c r="B13902" t="s">
        <v>3458</v>
      </c>
      <c r="C13902" t="s">
        <v>23490</v>
      </c>
      <c r="D13902" t="str">
        <f>HYPERLINK("https://rhld.insurance.arkansas.gov/NPILookup?Npi=1629661053","1629661053")</f>
        <v>1629661053</v>
      </c>
      <c r="E13902" t="s">
        <v>18825</v>
      </c>
    </row>
    <row r="13903" spans="1:5" x14ac:dyDescent="0.25">
      <c r="A13903" t="s">
        <v>2</v>
      </c>
      <c r="B13903" t="s">
        <v>3458</v>
      </c>
      <c r="C13903" t="s">
        <v>23490</v>
      </c>
      <c r="D13903" t="str">
        <f>HYPERLINK("https://rhld.insurance.arkansas.gov/NPILookup?Npi=1629688247","1629688247")</f>
        <v>1629688247</v>
      </c>
      <c r="E13903" t="s">
        <v>18062</v>
      </c>
    </row>
    <row r="13904" spans="1:5" x14ac:dyDescent="0.25">
      <c r="A13904" t="s">
        <v>2</v>
      </c>
      <c r="B13904" t="s">
        <v>3458</v>
      </c>
      <c r="C13904" t="s">
        <v>23490</v>
      </c>
      <c r="D13904" t="str">
        <f>HYPERLINK("https://rhld.insurance.arkansas.gov/NPILookup?Npi=1629689773","1629689773")</f>
        <v>1629689773</v>
      </c>
      <c r="E13904" t="s">
        <v>19892</v>
      </c>
    </row>
    <row r="13905" spans="1:5" x14ac:dyDescent="0.25">
      <c r="A13905" t="s">
        <v>2</v>
      </c>
      <c r="B13905" t="s">
        <v>3458</v>
      </c>
      <c r="C13905" t="s">
        <v>23490</v>
      </c>
      <c r="D13905" t="str">
        <f>HYPERLINK("https://rhld.insurance.arkansas.gov/NPILookup?Npi=1629736459","1629736459")</f>
        <v>1629736459</v>
      </c>
      <c r="E13905" t="s">
        <v>21600</v>
      </c>
    </row>
    <row r="13906" spans="1:5" x14ac:dyDescent="0.25">
      <c r="A13906" t="s">
        <v>2</v>
      </c>
      <c r="B13906" t="s">
        <v>3458</v>
      </c>
      <c r="C13906" t="s">
        <v>23490</v>
      </c>
      <c r="D13906" t="str">
        <f>HYPERLINK("https://rhld.insurance.arkansas.gov/NPILookup?Npi=1629745088","1629745088")</f>
        <v>1629745088</v>
      </c>
      <c r="E13906" t="s">
        <v>18826</v>
      </c>
    </row>
    <row r="13907" spans="1:5" x14ac:dyDescent="0.25">
      <c r="A13907" t="s">
        <v>2</v>
      </c>
      <c r="B13907" t="s">
        <v>3458</v>
      </c>
      <c r="C13907" t="s">
        <v>23490</v>
      </c>
      <c r="D13907" t="str">
        <f>HYPERLINK("https://rhld.insurance.arkansas.gov/NPILookup?Npi=1629791009","1629791009")</f>
        <v>1629791009</v>
      </c>
      <c r="E13907" t="s">
        <v>21601</v>
      </c>
    </row>
    <row r="13908" spans="1:5" x14ac:dyDescent="0.25">
      <c r="A13908" t="s">
        <v>2</v>
      </c>
      <c r="B13908" t="s">
        <v>3458</v>
      </c>
      <c r="C13908" t="s">
        <v>23490</v>
      </c>
      <c r="D13908" t="str">
        <f>HYPERLINK("https://rhld.insurance.arkansas.gov/NPILookup?Npi=1639118391","1639118391")</f>
        <v>1639118391</v>
      </c>
      <c r="E13908" t="s">
        <v>2223</v>
      </c>
    </row>
    <row r="13909" spans="1:5" x14ac:dyDescent="0.25">
      <c r="A13909" t="s">
        <v>2</v>
      </c>
      <c r="B13909" t="s">
        <v>3458</v>
      </c>
      <c r="C13909" t="s">
        <v>23490</v>
      </c>
      <c r="D13909" t="str">
        <f>HYPERLINK("https://rhld.insurance.arkansas.gov/NPILookup?Npi=1639120868","1639120868")</f>
        <v>1639120868</v>
      </c>
      <c r="E13909" t="s">
        <v>2225</v>
      </c>
    </row>
    <row r="13910" spans="1:5" x14ac:dyDescent="0.25">
      <c r="A13910" t="s">
        <v>2</v>
      </c>
      <c r="B13910" t="s">
        <v>3458</v>
      </c>
      <c r="C13910" t="s">
        <v>23490</v>
      </c>
      <c r="D13910" t="str">
        <f>HYPERLINK("https://rhld.insurance.arkansas.gov/NPILookup?Npi=1639124266","1639124266")</f>
        <v>1639124266</v>
      </c>
      <c r="E13910" t="s">
        <v>8771</v>
      </c>
    </row>
    <row r="13911" spans="1:5" x14ac:dyDescent="0.25">
      <c r="A13911" t="s">
        <v>2</v>
      </c>
      <c r="B13911" t="s">
        <v>3458</v>
      </c>
      <c r="C13911" t="s">
        <v>23490</v>
      </c>
      <c r="D13911" t="str">
        <f>HYPERLINK("https://rhld.insurance.arkansas.gov/NPILookup?Npi=1639125719","1639125719")</f>
        <v>1639125719</v>
      </c>
      <c r="E13911" t="s">
        <v>2226</v>
      </c>
    </row>
    <row r="13912" spans="1:5" x14ac:dyDescent="0.25">
      <c r="A13912" t="s">
        <v>2</v>
      </c>
      <c r="B13912" t="s">
        <v>3458</v>
      </c>
      <c r="C13912" t="s">
        <v>23490</v>
      </c>
      <c r="D13912" t="str">
        <f>HYPERLINK("https://rhld.insurance.arkansas.gov/NPILookup?Npi=1639131261","1639131261")</f>
        <v>1639131261</v>
      </c>
      <c r="E13912" t="s">
        <v>3837</v>
      </c>
    </row>
    <row r="13913" spans="1:5" x14ac:dyDescent="0.25">
      <c r="A13913" t="s">
        <v>2</v>
      </c>
      <c r="B13913" t="s">
        <v>3458</v>
      </c>
      <c r="C13913" t="s">
        <v>23490</v>
      </c>
      <c r="D13913" t="str">
        <f>HYPERLINK("https://rhld.insurance.arkansas.gov/NPILookup?Npi=1639136609","1639136609")</f>
        <v>1639136609</v>
      </c>
      <c r="E13913" t="s">
        <v>17448</v>
      </c>
    </row>
    <row r="13914" spans="1:5" x14ac:dyDescent="0.25">
      <c r="A13914" t="s">
        <v>2</v>
      </c>
      <c r="B13914" t="s">
        <v>3458</v>
      </c>
      <c r="C13914" t="s">
        <v>23490</v>
      </c>
      <c r="D13914" t="str">
        <f>HYPERLINK("https://rhld.insurance.arkansas.gov/NPILookup?Npi=1639142284","1639142284")</f>
        <v>1639142284</v>
      </c>
      <c r="E13914" t="s">
        <v>2227</v>
      </c>
    </row>
    <row r="13915" spans="1:5" x14ac:dyDescent="0.25">
      <c r="A13915" t="s">
        <v>2</v>
      </c>
      <c r="B13915" t="s">
        <v>3458</v>
      </c>
      <c r="C13915" t="s">
        <v>23490</v>
      </c>
      <c r="D13915" t="str">
        <f>HYPERLINK("https://rhld.insurance.arkansas.gov/NPILookup?Npi=1639142524","1639142524")</f>
        <v>1639142524</v>
      </c>
      <c r="E13915" t="s">
        <v>2228</v>
      </c>
    </row>
    <row r="13916" spans="1:5" x14ac:dyDescent="0.25">
      <c r="A13916" t="s">
        <v>2</v>
      </c>
      <c r="B13916" t="s">
        <v>3458</v>
      </c>
      <c r="C13916" t="s">
        <v>23490</v>
      </c>
      <c r="D13916" t="str">
        <f>HYPERLINK("https://rhld.insurance.arkansas.gov/NPILookup?Npi=1639159676","1639159676")</f>
        <v>1639159676</v>
      </c>
      <c r="E13916" t="s">
        <v>2230</v>
      </c>
    </row>
    <row r="13917" spans="1:5" x14ac:dyDescent="0.25">
      <c r="A13917" t="s">
        <v>2</v>
      </c>
      <c r="B13917" t="s">
        <v>3458</v>
      </c>
      <c r="C13917" t="s">
        <v>23490</v>
      </c>
      <c r="D13917" t="str">
        <f>HYPERLINK("https://rhld.insurance.arkansas.gov/NPILookup?Npi=1639160682","1639160682")</f>
        <v>1639160682</v>
      </c>
      <c r="E13917" t="s">
        <v>15359</v>
      </c>
    </row>
    <row r="13918" spans="1:5" x14ac:dyDescent="0.25">
      <c r="A13918" t="s">
        <v>2</v>
      </c>
      <c r="B13918" t="s">
        <v>3458</v>
      </c>
      <c r="C13918" t="s">
        <v>23490</v>
      </c>
      <c r="D13918" t="str">
        <f>HYPERLINK("https://rhld.insurance.arkansas.gov/NPILookup?Npi=1639165798","1639165798")</f>
        <v>1639165798</v>
      </c>
      <c r="E13918" t="s">
        <v>17078</v>
      </c>
    </row>
    <row r="13919" spans="1:5" x14ac:dyDescent="0.25">
      <c r="A13919" t="s">
        <v>2</v>
      </c>
      <c r="B13919" t="s">
        <v>3458</v>
      </c>
      <c r="C13919" t="s">
        <v>23490</v>
      </c>
      <c r="D13919" t="str">
        <f>HYPERLINK("https://rhld.insurance.arkansas.gov/NPILookup?Npi=1639167687","1639167687")</f>
        <v>1639167687</v>
      </c>
      <c r="E13919" t="s">
        <v>15361</v>
      </c>
    </row>
    <row r="13920" spans="1:5" x14ac:dyDescent="0.25">
      <c r="A13920" t="s">
        <v>2</v>
      </c>
      <c r="B13920" t="s">
        <v>3458</v>
      </c>
      <c r="C13920" t="s">
        <v>23490</v>
      </c>
      <c r="D13920" t="str">
        <f>HYPERLINK("https://rhld.insurance.arkansas.gov/NPILookup?Npi=1639170194","1639170194")</f>
        <v>1639170194</v>
      </c>
      <c r="E13920" t="s">
        <v>2231</v>
      </c>
    </row>
    <row r="13921" spans="1:5" x14ac:dyDescent="0.25">
      <c r="A13921" t="s">
        <v>2</v>
      </c>
      <c r="B13921" t="s">
        <v>3458</v>
      </c>
      <c r="C13921" t="s">
        <v>23490</v>
      </c>
      <c r="D13921" t="str">
        <f>HYPERLINK("https://rhld.insurance.arkansas.gov/NPILookup?Npi=1639173396","1639173396")</f>
        <v>1639173396</v>
      </c>
      <c r="E13921" t="s">
        <v>15362</v>
      </c>
    </row>
    <row r="13922" spans="1:5" x14ac:dyDescent="0.25">
      <c r="A13922" t="s">
        <v>2</v>
      </c>
      <c r="B13922" t="s">
        <v>3458</v>
      </c>
      <c r="C13922" t="s">
        <v>23490</v>
      </c>
      <c r="D13922" t="str">
        <f>HYPERLINK("https://rhld.insurance.arkansas.gov/NPILookup?Npi=1639173420","1639173420")</f>
        <v>1639173420</v>
      </c>
      <c r="E13922" t="s">
        <v>2232</v>
      </c>
    </row>
    <row r="13923" spans="1:5" x14ac:dyDescent="0.25">
      <c r="A13923" t="s">
        <v>2</v>
      </c>
      <c r="B13923" t="s">
        <v>3458</v>
      </c>
      <c r="C13923" t="s">
        <v>23490</v>
      </c>
      <c r="D13923" t="str">
        <f>HYPERLINK("https://rhld.insurance.arkansas.gov/NPILookup?Npi=1639173446","1639173446")</f>
        <v>1639173446</v>
      </c>
      <c r="E13923" t="s">
        <v>3838</v>
      </c>
    </row>
    <row r="13924" spans="1:5" x14ac:dyDescent="0.25">
      <c r="A13924" t="s">
        <v>2</v>
      </c>
      <c r="B13924" t="s">
        <v>3458</v>
      </c>
      <c r="C13924" t="s">
        <v>23490</v>
      </c>
      <c r="D13924" t="str">
        <f>HYPERLINK("https://rhld.insurance.arkansas.gov/NPILookup?Npi=1639177413","1639177413")</f>
        <v>1639177413</v>
      </c>
      <c r="E13924" t="s">
        <v>2234</v>
      </c>
    </row>
    <row r="13925" spans="1:5" x14ac:dyDescent="0.25">
      <c r="A13925" t="s">
        <v>2</v>
      </c>
      <c r="B13925" t="s">
        <v>3458</v>
      </c>
      <c r="C13925" t="s">
        <v>23490</v>
      </c>
      <c r="D13925" t="str">
        <f>HYPERLINK("https://rhld.insurance.arkansas.gov/NPILookup?Npi=1639177728","1639177728")</f>
        <v>1639177728</v>
      </c>
      <c r="E13925" t="s">
        <v>3839</v>
      </c>
    </row>
    <row r="13926" spans="1:5" x14ac:dyDescent="0.25">
      <c r="A13926" t="s">
        <v>2</v>
      </c>
      <c r="B13926" t="s">
        <v>3458</v>
      </c>
      <c r="C13926" t="s">
        <v>23490</v>
      </c>
      <c r="D13926" t="str">
        <f>HYPERLINK("https://rhld.insurance.arkansas.gov/NPILookup?Npi=1639177959","1639177959")</f>
        <v>1639177959</v>
      </c>
      <c r="E13926" t="s">
        <v>2235</v>
      </c>
    </row>
    <row r="13927" spans="1:5" x14ac:dyDescent="0.25">
      <c r="A13927" t="s">
        <v>2</v>
      </c>
      <c r="B13927" t="s">
        <v>3458</v>
      </c>
      <c r="C13927" t="s">
        <v>23490</v>
      </c>
      <c r="D13927" t="str">
        <f>HYPERLINK("https://rhld.insurance.arkansas.gov/NPILookup?Npi=1639180466","1639180466")</f>
        <v>1639180466</v>
      </c>
      <c r="E13927" t="s">
        <v>22898</v>
      </c>
    </row>
    <row r="13928" spans="1:5" x14ac:dyDescent="0.25">
      <c r="A13928" t="s">
        <v>2</v>
      </c>
      <c r="B13928" t="s">
        <v>3458</v>
      </c>
      <c r="C13928" t="s">
        <v>23490</v>
      </c>
      <c r="D13928" t="str">
        <f>HYPERLINK("https://rhld.insurance.arkansas.gov/NPILookup?Npi=1639181688","1639181688")</f>
        <v>1639181688</v>
      </c>
      <c r="E13928" t="s">
        <v>3840</v>
      </c>
    </row>
    <row r="13929" spans="1:5" x14ac:dyDescent="0.25">
      <c r="A13929" t="s">
        <v>2</v>
      </c>
      <c r="B13929" t="s">
        <v>3458</v>
      </c>
      <c r="C13929" t="s">
        <v>23490</v>
      </c>
      <c r="D13929" t="str">
        <f>HYPERLINK("https://rhld.insurance.arkansas.gov/NPILookup?Npi=1639186349","1639186349")</f>
        <v>1639186349</v>
      </c>
      <c r="E13929" t="s">
        <v>15363</v>
      </c>
    </row>
    <row r="13930" spans="1:5" x14ac:dyDescent="0.25">
      <c r="A13930" t="s">
        <v>2</v>
      </c>
      <c r="B13930" t="s">
        <v>3458</v>
      </c>
      <c r="C13930" t="s">
        <v>23490</v>
      </c>
      <c r="D13930" t="str">
        <f>HYPERLINK("https://rhld.insurance.arkansas.gov/NPILookup?Npi=1639188303","1639188303")</f>
        <v>1639188303</v>
      </c>
      <c r="E13930" t="s">
        <v>15886</v>
      </c>
    </row>
    <row r="13931" spans="1:5" x14ac:dyDescent="0.25">
      <c r="A13931" t="s">
        <v>2</v>
      </c>
      <c r="B13931" t="s">
        <v>3458</v>
      </c>
      <c r="C13931" t="s">
        <v>23490</v>
      </c>
      <c r="D13931" t="str">
        <f>HYPERLINK("https://rhld.insurance.arkansas.gov/NPILookup?Npi=1639193311","1639193311")</f>
        <v>1639193311</v>
      </c>
      <c r="E13931" t="s">
        <v>11131</v>
      </c>
    </row>
    <row r="13932" spans="1:5" x14ac:dyDescent="0.25">
      <c r="A13932" t="s">
        <v>2</v>
      </c>
      <c r="B13932" t="s">
        <v>3458</v>
      </c>
      <c r="C13932" t="s">
        <v>23490</v>
      </c>
      <c r="D13932" t="str">
        <f>HYPERLINK("https://rhld.insurance.arkansas.gov/NPILookup?Npi=1639195860","1639195860")</f>
        <v>1639195860</v>
      </c>
      <c r="E13932" t="s">
        <v>15887</v>
      </c>
    </row>
    <row r="13933" spans="1:5" x14ac:dyDescent="0.25">
      <c r="A13933" t="s">
        <v>2</v>
      </c>
      <c r="B13933" t="s">
        <v>3458</v>
      </c>
      <c r="C13933" t="s">
        <v>23490</v>
      </c>
      <c r="D13933" t="str">
        <f>HYPERLINK("https://rhld.insurance.arkansas.gov/NPILookup?Npi=1639225170","1639225170")</f>
        <v>1639225170</v>
      </c>
      <c r="E13933" t="s">
        <v>3841</v>
      </c>
    </row>
    <row r="13934" spans="1:5" x14ac:dyDescent="0.25">
      <c r="A13934" t="s">
        <v>2</v>
      </c>
      <c r="B13934" t="s">
        <v>3458</v>
      </c>
      <c r="C13934" t="s">
        <v>23490</v>
      </c>
      <c r="D13934" t="str">
        <f>HYPERLINK("https://rhld.insurance.arkansas.gov/NPILookup?Npi=1639229339","1639229339")</f>
        <v>1639229339</v>
      </c>
      <c r="E13934" t="s">
        <v>2238</v>
      </c>
    </row>
    <row r="13935" spans="1:5" x14ac:dyDescent="0.25">
      <c r="A13935" t="s">
        <v>2</v>
      </c>
      <c r="B13935" t="s">
        <v>3458</v>
      </c>
      <c r="C13935" t="s">
        <v>23490</v>
      </c>
      <c r="D13935" t="str">
        <f>HYPERLINK("https://rhld.insurance.arkansas.gov/NPILookup?Npi=1639230675","1639230675")</f>
        <v>1639230675</v>
      </c>
      <c r="E13935" t="s">
        <v>15888</v>
      </c>
    </row>
    <row r="13936" spans="1:5" x14ac:dyDescent="0.25">
      <c r="A13936" t="s">
        <v>2</v>
      </c>
      <c r="B13936" t="s">
        <v>3458</v>
      </c>
      <c r="C13936" t="s">
        <v>23490</v>
      </c>
      <c r="D13936" t="str">
        <f>HYPERLINK("https://rhld.insurance.arkansas.gov/NPILookup?Npi=1639232416","1639232416")</f>
        <v>1639232416</v>
      </c>
      <c r="E13936" t="s">
        <v>21750</v>
      </c>
    </row>
    <row r="13937" spans="1:5" x14ac:dyDescent="0.25">
      <c r="A13937" t="s">
        <v>2</v>
      </c>
      <c r="B13937" t="s">
        <v>3458</v>
      </c>
      <c r="C13937" t="s">
        <v>23490</v>
      </c>
      <c r="D13937" t="str">
        <f>HYPERLINK("https://rhld.insurance.arkansas.gov/NPILookup?Npi=1639243835","1639243835")</f>
        <v>1639243835</v>
      </c>
      <c r="E13937" t="s">
        <v>15364</v>
      </c>
    </row>
    <row r="13938" spans="1:5" x14ac:dyDescent="0.25">
      <c r="A13938" t="s">
        <v>2</v>
      </c>
      <c r="B13938" t="s">
        <v>3458</v>
      </c>
      <c r="C13938" t="s">
        <v>23490</v>
      </c>
      <c r="D13938" t="str">
        <f>HYPERLINK("https://rhld.insurance.arkansas.gov/NPILookup?Npi=1639252166","1639252166")</f>
        <v>1639252166</v>
      </c>
      <c r="E13938" t="s">
        <v>863</v>
      </c>
    </row>
    <row r="13939" spans="1:5" x14ac:dyDescent="0.25">
      <c r="A13939" t="s">
        <v>2</v>
      </c>
      <c r="B13939" t="s">
        <v>3458</v>
      </c>
      <c r="C13939" t="s">
        <v>23490</v>
      </c>
      <c r="D13939" t="str">
        <f>HYPERLINK("https://rhld.insurance.arkansas.gov/NPILookup?Npi=1639256803","1639256803")</f>
        <v>1639256803</v>
      </c>
      <c r="E13939" t="s">
        <v>2239</v>
      </c>
    </row>
    <row r="13940" spans="1:5" x14ac:dyDescent="0.25">
      <c r="A13940" t="s">
        <v>2</v>
      </c>
      <c r="B13940" t="s">
        <v>3458</v>
      </c>
      <c r="C13940" t="s">
        <v>23490</v>
      </c>
      <c r="D13940" t="str">
        <f>HYPERLINK("https://rhld.insurance.arkansas.gov/NPILookup?Npi=1639270382","1639270382")</f>
        <v>1639270382</v>
      </c>
      <c r="E13940" t="s">
        <v>11132</v>
      </c>
    </row>
    <row r="13941" spans="1:5" x14ac:dyDescent="0.25">
      <c r="A13941" t="s">
        <v>2</v>
      </c>
      <c r="B13941" t="s">
        <v>3458</v>
      </c>
      <c r="C13941" t="s">
        <v>23490</v>
      </c>
      <c r="D13941" t="str">
        <f>HYPERLINK("https://rhld.insurance.arkansas.gov/NPILookup?Npi=1639279847","1639279847")</f>
        <v>1639279847</v>
      </c>
      <c r="E13941" t="s">
        <v>3842</v>
      </c>
    </row>
    <row r="13942" spans="1:5" x14ac:dyDescent="0.25">
      <c r="A13942" t="s">
        <v>2</v>
      </c>
      <c r="B13942" t="s">
        <v>3458</v>
      </c>
      <c r="C13942" t="s">
        <v>23490</v>
      </c>
      <c r="D13942" t="str">
        <f>HYPERLINK("https://rhld.insurance.arkansas.gov/NPILookup?Npi=1639303340","1639303340")</f>
        <v>1639303340</v>
      </c>
      <c r="E13942" t="s">
        <v>2242</v>
      </c>
    </row>
    <row r="13943" spans="1:5" x14ac:dyDescent="0.25">
      <c r="A13943" t="s">
        <v>2</v>
      </c>
      <c r="B13943" t="s">
        <v>3458</v>
      </c>
      <c r="C13943" t="s">
        <v>23490</v>
      </c>
      <c r="D13943" t="str">
        <f>HYPERLINK("https://rhld.insurance.arkansas.gov/NPILookup?Npi=1639321326","1639321326")</f>
        <v>1639321326</v>
      </c>
      <c r="E13943" t="s">
        <v>2244</v>
      </c>
    </row>
    <row r="13944" spans="1:5" x14ac:dyDescent="0.25">
      <c r="A13944" t="s">
        <v>2</v>
      </c>
      <c r="B13944" t="s">
        <v>3458</v>
      </c>
      <c r="C13944" t="s">
        <v>23490</v>
      </c>
      <c r="D13944" t="str">
        <f>HYPERLINK("https://rhld.insurance.arkansas.gov/NPILookup?Npi=1639337744","1639337744")</f>
        <v>1639337744</v>
      </c>
      <c r="E13944" t="s">
        <v>3843</v>
      </c>
    </row>
    <row r="13945" spans="1:5" x14ac:dyDescent="0.25">
      <c r="A13945" t="s">
        <v>2</v>
      </c>
      <c r="B13945" t="s">
        <v>3458</v>
      </c>
      <c r="C13945" t="s">
        <v>23490</v>
      </c>
      <c r="D13945" t="str">
        <f>HYPERLINK("https://rhld.insurance.arkansas.gov/NPILookup?Npi=1639346620","1639346620")</f>
        <v>1639346620</v>
      </c>
      <c r="E13945" t="s">
        <v>11133</v>
      </c>
    </row>
    <row r="13946" spans="1:5" x14ac:dyDescent="0.25">
      <c r="A13946" t="s">
        <v>2</v>
      </c>
      <c r="B13946" t="s">
        <v>3458</v>
      </c>
      <c r="C13946" t="s">
        <v>23490</v>
      </c>
      <c r="D13946" t="str">
        <f>HYPERLINK("https://rhld.insurance.arkansas.gov/NPILookup?Npi=1639350150","1639350150")</f>
        <v>1639350150</v>
      </c>
      <c r="E13946" t="s">
        <v>15365</v>
      </c>
    </row>
    <row r="13947" spans="1:5" x14ac:dyDescent="0.25">
      <c r="A13947" t="s">
        <v>2</v>
      </c>
      <c r="B13947" t="s">
        <v>3458</v>
      </c>
      <c r="C13947" t="s">
        <v>23490</v>
      </c>
      <c r="D13947" t="str">
        <f>HYPERLINK("https://rhld.insurance.arkansas.gov/NPILookup?Npi=1639393895","1639393895")</f>
        <v>1639393895</v>
      </c>
      <c r="E13947" t="s">
        <v>2245</v>
      </c>
    </row>
    <row r="13948" spans="1:5" x14ac:dyDescent="0.25">
      <c r="A13948" t="s">
        <v>2</v>
      </c>
      <c r="B13948" t="s">
        <v>3458</v>
      </c>
      <c r="C13948" t="s">
        <v>23490</v>
      </c>
      <c r="D13948" t="str">
        <f>HYPERLINK("https://rhld.insurance.arkansas.gov/NPILookup?Npi=1639398571","1639398571")</f>
        <v>1639398571</v>
      </c>
      <c r="E13948" t="s">
        <v>8772</v>
      </c>
    </row>
    <row r="13949" spans="1:5" x14ac:dyDescent="0.25">
      <c r="A13949" t="s">
        <v>2</v>
      </c>
      <c r="B13949" t="s">
        <v>3458</v>
      </c>
      <c r="C13949" t="s">
        <v>23490</v>
      </c>
      <c r="D13949" t="str">
        <f>HYPERLINK("https://rhld.insurance.arkansas.gov/NPILookup?Npi=1639427289","1639427289")</f>
        <v>1639427289</v>
      </c>
      <c r="E13949" t="s">
        <v>8773</v>
      </c>
    </row>
    <row r="13950" spans="1:5" x14ac:dyDescent="0.25">
      <c r="A13950" t="s">
        <v>2</v>
      </c>
      <c r="B13950" t="s">
        <v>3458</v>
      </c>
      <c r="C13950" t="s">
        <v>23490</v>
      </c>
      <c r="D13950" t="str">
        <f>HYPERLINK("https://rhld.insurance.arkansas.gov/NPILookup?Npi=1639438682","1639438682")</f>
        <v>1639438682</v>
      </c>
      <c r="E13950" t="s">
        <v>2246</v>
      </c>
    </row>
    <row r="13951" spans="1:5" x14ac:dyDescent="0.25">
      <c r="A13951" t="s">
        <v>2</v>
      </c>
      <c r="B13951" t="s">
        <v>3458</v>
      </c>
      <c r="C13951" t="s">
        <v>23490</v>
      </c>
      <c r="D13951" t="str">
        <f>HYPERLINK("https://rhld.insurance.arkansas.gov/NPILookup?Npi=1639446271","1639446271")</f>
        <v>1639446271</v>
      </c>
      <c r="E13951" t="s">
        <v>2247</v>
      </c>
    </row>
    <row r="13952" spans="1:5" x14ac:dyDescent="0.25">
      <c r="A13952" t="s">
        <v>2</v>
      </c>
      <c r="B13952" t="s">
        <v>3458</v>
      </c>
      <c r="C13952" t="s">
        <v>23490</v>
      </c>
      <c r="D13952" t="str">
        <f>HYPERLINK("https://rhld.insurance.arkansas.gov/NPILookup?Npi=1639481450","1639481450")</f>
        <v>1639481450</v>
      </c>
      <c r="E13952" t="s">
        <v>2249</v>
      </c>
    </row>
    <row r="13953" spans="1:5" x14ac:dyDescent="0.25">
      <c r="A13953" t="s">
        <v>2</v>
      </c>
      <c r="B13953" t="s">
        <v>3458</v>
      </c>
      <c r="C13953" t="s">
        <v>23490</v>
      </c>
      <c r="D13953" t="str">
        <f>HYPERLINK("https://rhld.insurance.arkansas.gov/NPILookup?Npi=1639486665","1639486665")</f>
        <v>1639486665</v>
      </c>
      <c r="E13953" t="s">
        <v>15367</v>
      </c>
    </row>
    <row r="13954" spans="1:5" x14ac:dyDescent="0.25">
      <c r="A13954" t="s">
        <v>2</v>
      </c>
      <c r="B13954" t="s">
        <v>3458</v>
      </c>
      <c r="C13954" t="s">
        <v>23490</v>
      </c>
      <c r="D13954" t="str">
        <f>HYPERLINK("https://rhld.insurance.arkansas.gov/NPILookup?Npi=1639487556","1639487556")</f>
        <v>1639487556</v>
      </c>
      <c r="E13954" t="s">
        <v>11134</v>
      </c>
    </row>
    <row r="13955" spans="1:5" x14ac:dyDescent="0.25">
      <c r="A13955" t="s">
        <v>2</v>
      </c>
      <c r="B13955" t="s">
        <v>3458</v>
      </c>
      <c r="C13955" t="s">
        <v>23490</v>
      </c>
      <c r="D13955" t="str">
        <f>HYPERLINK("https://rhld.insurance.arkansas.gov/NPILookup?Npi=1639489917","1639489917")</f>
        <v>1639489917</v>
      </c>
      <c r="E13955" t="s">
        <v>12873</v>
      </c>
    </row>
    <row r="13956" spans="1:5" x14ac:dyDescent="0.25">
      <c r="A13956" t="s">
        <v>2</v>
      </c>
      <c r="B13956" t="s">
        <v>3458</v>
      </c>
      <c r="C13956" t="s">
        <v>23490</v>
      </c>
      <c r="D13956" t="str">
        <f>HYPERLINK("https://rhld.insurance.arkansas.gov/NPILookup?Npi=1639496425","1639496425")</f>
        <v>1639496425</v>
      </c>
      <c r="E13956" t="s">
        <v>15368</v>
      </c>
    </row>
    <row r="13957" spans="1:5" x14ac:dyDescent="0.25">
      <c r="A13957" t="s">
        <v>2</v>
      </c>
      <c r="B13957" t="s">
        <v>3458</v>
      </c>
      <c r="C13957" t="s">
        <v>23490</v>
      </c>
      <c r="D13957" t="str">
        <f>HYPERLINK("https://rhld.insurance.arkansas.gov/NPILookup?Npi=1639498462","1639498462")</f>
        <v>1639498462</v>
      </c>
      <c r="E13957" t="s">
        <v>2250</v>
      </c>
    </row>
    <row r="13958" spans="1:5" x14ac:dyDescent="0.25">
      <c r="A13958" t="s">
        <v>2</v>
      </c>
      <c r="B13958" t="s">
        <v>3458</v>
      </c>
      <c r="C13958" t="s">
        <v>23490</v>
      </c>
      <c r="D13958" t="str">
        <f>HYPERLINK("https://rhld.insurance.arkansas.gov/NPILookup?Npi=1639513609","1639513609")</f>
        <v>1639513609</v>
      </c>
      <c r="E13958" t="s">
        <v>2251</v>
      </c>
    </row>
    <row r="13959" spans="1:5" x14ac:dyDescent="0.25">
      <c r="A13959" t="s">
        <v>2</v>
      </c>
      <c r="B13959" t="s">
        <v>3458</v>
      </c>
      <c r="C13959" t="s">
        <v>23490</v>
      </c>
      <c r="D13959" t="str">
        <f>HYPERLINK("https://rhld.insurance.arkansas.gov/NPILookup?Npi=1639523392","1639523392")</f>
        <v>1639523392</v>
      </c>
      <c r="E13959" t="s">
        <v>8774</v>
      </c>
    </row>
    <row r="13960" spans="1:5" x14ac:dyDescent="0.25">
      <c r="A13960" t="s">
        <v>2</v>
      </c>
      <c r="B13960" t="s">
        <v>3458</v>
      </c>
      <c r="C13960" t="s">
        <v>23490</v>
      </c>
      <c r="D13960" t="str">
        <f>HYPERLINK("https://rhld.insurance.arkansas.gov/NPILookup?Npi=1639531841","1639531841")</f>
        <v>1639531841</v>
      </c>
      <c r="E13960" t="s">
        <v>15369</v>
      </c>
    </row>
    <row r="13961" spans="1:5" x14ac:dyDescent="0.25">
      <c r="A13961" t="s">
        <v>2</v>
      </c>
      <c r="B13961" t="s">
        <v>3458</v>
      </c>
      <c r="C13961" t="s">
        <v>23490</v>
      </c>
      <c r="D13961" t="str">
        <f>HYPERLINK("https://rhld.insurance.arkansas.gov/NPILookup?Npi=1639536782","1639536782")</f>
        <v>1639536782</v>
      </c>
      <c r="E13961" t="s">
        <v>3516</v>
      </c>
    </row>
    <row r="13962" spans="1:5" x14ac:dyDescent="0.25">
      <c r="A13962" t="s">
        <v>2</v>
      </c>
      <c r="B13962" t="s">
        <v>3458</v>
      </c>
      <c r="C13962" t="s">
        <v>23490</v>
      </c>
      <c r="D13962" t="str">
        <f>HYPERLINK("https://rhld.insurance.arkansas.gov/NPILookup?Npi=1639537830","1639537830")</f>
        <v>1639537830</v>
      </c>
      <c r="E13962" t="s">
        <v>8775</v>
      </c>
    </row>
    <row r="13963" spans="1:5" x14ac:dyDescent="0.25">
      <c r="A13963" t="s">
        <v>2</v>
      </c>
      <c r="B13963" t="s">
        <v>3458</v>
      </c>
      <c r="C13963" t="s">
        <v>23490</v>
      </c>
      <c r="D13963" t="str">
        <f>HYPERLINK("https://rhld.insurance.arkansas.gov/NPILookup?Npi=1639545692","1639545692")</f>
        <v>1639545692</v>
      </c>
      <c r="E13963" t="s">
        <v>3844</v>
      </c>
    </row>
    <row r="13964" spans="1:5" x14ac:dyDescent="0.25">
      <c r="A13964" t="s">
        <v>2</v>
      </c>
      <c r="B13964" t="s">
        <v>3458</v>
      </c>
      <c r="C13964" t="s">
        <v>23490</v>
      </c>
      <c r="D13964" t="str">
        <f>HYPERLINK("https://rhld.insurance.arkansas.gov/NPILookup?Npi=1639551583","1639551583")</f>
        <v>1639551583</v>
      </c>
      <c r="E13964" t="s">
        <v>8776</v>
      </c>
    </row>
    <row r="13965" spans="1:5" x14ac:dyDescent="0.25">
      <c r="A13965" t="s">
        <v>2</v>
      </c>
      <c r="B13965" t="s">
        <v>3458</v>
      </c>
      <c r="C13965" t="s">
        <v>23490</v>
      </c>
      <c r="D13965" t="str">
        <f>HYPERLINK("https://rhld.insurance.arkansas.gov/NPILookup?Npi=1639560733","1639560733")</f>
        <v>1639560733</v>
      </c>
      <c r="E13965" t="s">
        <v>19894</v>
      </c>
    </row>
    <row r="13966" spans="1:5" x14ac:dyDescent="0.25">
      <c r="A13966" t="s">
        <v>2</v>
      </c>
      <c r="B13966" t="s">
        <v>3458</v>
      </c>
      <c r="C13966" t="s">
        <v>23490</v>
      </c>
      <c r="D13966" t="str">
        <f>HYPERLINK("https://rhld.insurance.arkansas.gov/NPILookup?Npi=1639565823","1639565823")</f>
        <v>1639565823</v>
      </c>
      <c r="E13966" t="s">
        <v>15370</v>
      </c>
    </row>
    <row r="13967" spans="1:5" x14ac:dyDescent="0.25">
      <c r="A13967" t="s">
        <v>2</v>
      </c>
      <c r="B13967" t="s">
        <v>3458</v>
      </c>
      <c r="C13967" t="s">
        <v>23490</v>
      </c>
      <c r="D13967" t="str">
        <f>HYPERLINK("https://rhld.insurance.arkansas.gov/NPILookup?Npi=1639583834","1639583834")</f>
        <v>1639583834</v>
      </c>
      <c r="E13967" t="s">
        <v>8777</v>
      </c>
    </row>
    <row r="13968" spans="1:5" x14ac:dyDescent="0.25">
      <c r="A13968" t="s">
        <v>2</v>
      </c>
      <c r="B13968" t="s">
        <v>3458</v>
      </c>
      <c r="C13968" t="s">
        <v>23490</v>
      </c>
      <c r="D13968" t="str">
        <f>HYPERLINK("https://rhld.insurance.arkansas.gov/NPILookup?Npi=1639588601","1639588601")</f>
        <v>1639588601</v>
      </c>
      <c r="E13968" t="s">
        <v>2252</v>
      </c>
    </row>
    <row r="13969" spans="1:5" x14ac:dyDescent="0.25">
      <c r="A13969" t="s">
        <v>2</v>
      </c>
      <c r="B13969" t="s">
        <v>3458</v>
      </c>
      <c r="C13969" t="s">
        <v>23490</v>
      </c>
      <c r="D13969" t="str">
        <f>HYPERLINK("https://rhld.insurance.arkansas.gov/NPILookup?Npi=1639596877","1639596877")</f>
        <v>1639596877</v>
      </c>
      <c r="E13969" t="s">
        <v>8778</v>
      </c>
    </row>
    <row r="13970" spans="1:5" x14ac:dyDescent="0.25">
      <c r="A13970" t="s">
        <v>2</v>
      </c>
      <c r="B13970" t="s">
        <v>3458</v>
      </c>
      <c r="C13970" t="s">
        <v>23490</v>
      </c>
      <c r="D13970" t="str">
        <f>HYPERLINK("https://rhld.insurance.arkansas.gov/NPILookup?Npi=1639599194","1639599194")</f>
        <v>1639599194</v>
      </c>
      <c r="E13970" t="s">
        <v>11135</v>
      </c>
    </row>
    <row r="13971" spans="1:5" x14ac:dyDescent="0.25">
      <c r="A13971" t="s">
        <v>2</v>
      </c>
      <c r="B13971" t="s">
        <v>3458</v>
      </c>
      <c r="C13971" t="s">
        <v>23490</v>
      </c>
      <c r="D13971" t="str">
        <f>HYPERLINK("https://rhld.insurance.arkansas.gov/NPILookup?Npi=1639605967","1639605967")</f>
        <v>1639605967</v>
      </c>
      <c r="E13971" t="s">
        <v>15371</v>
      </c>
    </row>
    <row r="13972" spans="1:5" x14ac:dyDescent="0.25">
      <c r="A13972" t="s">
        <v>2</v>
      </c>
      <c r="B13972" t="s">
        <v>3458</v>
      </c>
      <c r="C13972" t="s">
        <v>23490</v>
      </c>
      <c r="D13972" t="str">
        <f>HYPERLINK("https://rhld.insurance.arkansas.gov/NPILookup?Npi=1639620271","1639620271")</f>
        <v>1639620271</v>
      </c>
      <c r="E13972" t="s">
        <v>11136</v>
      </c>
    </row>
    <row r="13973" spans="1:5" x14ac:dyDescent="0.25">
      <c r="A13973" t="s">
        <v>2</v>
      </c>
      <c r="B13973" t="s">
        <v>3458</v>
      </c>
      <c r="C13973" t="s">
        <v>23490</v>
      </c>
      <c r="D13973" t="str">
        <f>HYPERLINK("https://rhld.insurance.arkansas.gov/NPILookup?Npi=1639621121","1639621121")</f>
        <v>1639621121</v>
      </c>
      <c r="E13973" t="s">
        <v>11137</v>
      </c>
    </row>
    <row r="13974" spans="1:5" x14ac:dyDescent="0.25">
      <c r="A13974" t="s">
        <v>2</v>
      </c>
      <c r="B13974" t="s">
        <v>3458</v>
      </c>
      <c r="C13974" t="s">
        <v>23490</v>
      </c>
      <c r="D13974" t="str">
        <f>HYPERLINK("https://rhld.insurance.arkansas.gov/NPILookup?Npi=1639656333","1639656333")</f>
        <v>1639656333</v>
      </c>
      <c r="E13974" t="s">
        <v>7869</v>
      </c>
    </row>
    <row r="13975" spans="1:5" x14ac:dyDescent="0.25">
      <c r="A13975" t="s">
        <v>2</v>
      </c>
      <c r="B13975" t="s">
        <v>3458</v>
      </c>
      <c r="C13975" t="s">
        <v>23490</v>
      </c>
      <c r="D13975" t="str">
        <f>HYPERLINK("https://rhld.insurance.arkansas.gov/NPILookup?Npi=1639674526","1639674526")</f>
        <v>1639674526</v>
      </c>
      <c r="E13975" t="s">
        <v>18063</v>
      </c>
    </row>
    <row r="13976" spans="1:5" x14ac:dyDescent="0.25">
      <c r="A13976" t="s">
        <v>2</v>
      </c>
      <c r="B13976" t="s">
        <v>3458</v>
      </c>
      <c r="C13976" t="s">
        <v>23490</v>
      </c>
      <c r="D13976" t="str">
        <f>HYPERLINK("https://rhld.insurance.arkansas.gov/NPILookup?Npi=1639687437","1639687437")</f>
        <v>1639687437</v>
      </c>
      <c r="E13976" t="s">
        <v>12874</v>
      </c>
    </row>
    <row r="13977" spans="1:5" x14ac:dyDescent="0.25">
      <c r="A13977" t="s">
        <v>2</v>
      </c>
      <c r="B13977" t="s">
        <v>3458</v>
      </c>
      <c r="C13977" t="s">
        <v>23490</v>
      </c>
      <c r="D13977" t="str">
        <f>HYPERLINK("https://rhld.insurance.arkansas.gov/NPILookup?Npi=1639689763","1639689763")</f>
        <v>1639689763</v>
      </c>
      <c r="E13977" t="s">
        <v>11138</v>
      </c>
    </row>
    <row r="13978" spans="1:5" x14ac:dyDescent="0.25">
      <c r="A13978" t="s">
        <v>2</v>
      </c>
      <c r="B13978" t="s">
        <v>3458</v>
      </c>
      <c r="C13978" t="s">
        <v>23490</v>
      </c>
      <c r="D13978" t="str">
        <f>HYPERLINK("https://rhld.insurance.arkansas.gov/NPILookup?Npi=1639724834","1639724834")</f>
        <v>1639724834</v>
      </c>
      <c r="E13978" t="s">
        <v>18827</v>
      </c>
    </row>
    <row r="13979" spans="1:5" x14ac:dyDescent="0.25">
      <c r="A13979" t="s">
        <v>2</v>
      </c>
      <c r="B13979" t="s">
        <v>3458</v>
      </c>
      <c r="C13979" t="s">
        <v>23490</v>
      </c>
      <c r="D13979" t="str">
        <f>HYPERLINK("https://rhld.insurance.arkansas.gov/NPILookup?Npi=1639726813","1639726813")</f>
        <v>1639726813</v>
      </c>
      <c r="E13979" t="s">
        <v>17450</v>
      </c>
    </row>
    <row r="13980" spans="1:5" x14ac:dyDescent="0.25">
      <c r="A13980" t="s">
        <v>2</v>
      </c>
      <c r="B13980" t="s">
        <v>3458</v>
      </c>
      <c r="C13980" t="s">
        <v>23490</v>
      </c>
      <c r="D13980" t="str">
        <f>HYPERLINK("https://rhld.insurance.arkansas.gov/NPILookup?Npi=1639781396","1639781396")</f>
        <v>1639781396</v>
      </c>
      <c r="E13980" t="s">
        <v>17451</v>
      </c>
    </row>
    <row r="13981" spans="1:5" x14ac:dyDescent="0.25">
      <c r="A13981" t="s">
        <v>2</v>
      </c>
      <c r="B13981" t="s">
        <v>3458</v>
      </c>
      <c r="C13981" t="s">
        <v>23490</v>
      </c>
      <c r="D13981" t="str">
        <f>HYPERLINK("https://rhld.insurance.arkansas.gov/NPILookup?Npi=1639787880","1639787880")</f>
        <v>1639787880</v>
      </c>
      <c r="E13981" t="s">
        <v>17452</v>
      </c>
    </row>
    <row r="13982" spans="1:5" x14ac:dyDescent="0.25">
      <c r="A13982" t="s">
        <v>2</v>
      </c>
      <c r="B13982" t="s">
        <v>3458</v>
      </c>
      <c r="C13982" t="s">
        <v>23490</v>
      </c>
      <c r="D13982" t="str">
        <f>HYPERLINK("https://rhld.insurance.arkansas.gov/NPILookup?Npi=1639798572","1639798572")</f>
        <v>1639798572</v>
      </c>
      <c r="E13982" t="s">
        <v>17453</v>
      </c>
    </row>
    <row r="13983" spans="1:5" x14ac:dyDescent="0.25">
      <c r="A13983" t="s">
        <v>2</v>
      </c>
      <c r="B13983" t="s">
        <v>3458</v>
      </c>
      <c r="C13983" t="s">
        <v>23490</v>
      </c>
      <c r="D13983" t="str">
        <f>HYPERLINK("https://rhld.insurance.arkansas.gov/NPILookup?Npi=1639799240","1639799240")</f>
        <v>1639799240</v>
      </c>
      <c r="E13983" t="s">
        <v>22964</v>
      </c>
    </row>
    <row r="13984" spans="1:5" x14ac:dyDescent="0.25">
      <c r="A13984" t="s">
        <v>2</v>
      </c>
      <c r="B13984" t="s">
        <v>3458</v>
      </c>
      <c r="C13984" t="s">
        <v>23490</v>
      </c>
      <c r="D13984" t="str">
        <f>HYPERLINK("https://rhld.insurance.arkansas.gov/NPILookup?Npi=1639806607","1639806607")</f>
        <v>1639806607</v>
      </c>
      <c r="E13984" t="s">
        <v>21604</v>
      </c>
    </row>
    <row r="13985" spans="1:5" x14ac:dyDescent="0.25">
      <c r="A13985" t="s">
        <v>2</v>
      </c>
      <c r="B13985" t="s">
        <v>3458</v>
      </c>
      <c r="C13985" t="s">
        <v>23490</v>
      </c>
      <c r="D13985" t="str">
        <f>HYPERLINK("https://rhld.insurance.arkansas.gov/NPILookup?Npi=1639810807","1639810807")</f>
        <v>1639810807</v>
      </c>
      <c r="E13985" t="s">
        <v>19897</v>
      </c>
    </row>
    <row r="13986" spans="1:5" x14ac:dyDescent="0.25">
      <c r="A13986" t="s">
        <v>2</v>
      </c>
      <c r="B13986" t="s">
        <v>3458</v>
      </c>
      <c r="C13986" t="s">
        <v>23490</v>
      </c>
      <c r="D13986" t="str">
        <f>HYPERLINK("https://rhld.insurance.arkansas.gov/NPILookup?Npi=1639814742","1639814742")</f>
        <v>1639814742</v>
      </c>
      <c r="E13986" t="s">
        <v>19898</v>
      </c>
    </row>
    <row r="13987" spans="1:5" x14ac:dyDescent="0.25">
      <c r="A13987" t="s">
        <v>2</v>
      </c>
      <c r="B13987" t="s">
        <v>3458</v>
      </c>
      <c r="C13987" t="s">
        <v>23490</v>
      </c>
      <c r="D13987" t="str">
        <f>HYPERLINK("https://rhld.insurance.arkansas.gov/NPILookup?Npi=1639824956","1639824956")</f>
        <v>1639824956</v>
      </c>
      <c r="E13987" t="s">
        <v>19899</v>
      </c>
    </row>
    <row r="13988" spans="1:5" x14ac:dyDescent="0.25">
      <c r="A13988" t="s">
        <v>2</v>
      </c>
      <c r="B13988" t="s">
        <v>3458</v>
      </c>
      <c r="C13988" t="s">
        <v>23490</v>
      </c>
      <c r="D13988" t="str">
        <f>HYPERLINK("https://rhld.insurance.arkansas.gov/NPILookup?Npi=1639825508","1639825508")</f>
        <v>1639825508</v>
      </c>
      <c r="E13988" t="s">
        <v>19900</v>
      </c>
    </row>
    <row r="13989" spans="1:5" x14ac:dyDescent="0.25">
      <c r="A13989" t="s">
        <v>2</v>
      </c>
      <c r="B13989" t="s">
        <v>3458</v>
      </c>
      <c r="C13989" t="s">
        <v>23490</v>
      </c>
      <c r="D13989" t="str">
        <f>HYPERLINK("https://rhld.insurance.arkansas.gov/NPILookup?Npi=1639831274","1639831274")</f>
        <v>1639831274</v>
      </c>
      <c r="E13989" t="s">
        <v>19901</v>
      </c>
    </row>
    <row r="13990" spans="1:5" x14ac:dyDescent="0.25">
      <c r="A13990" t="s">
        <v>2</v>
      </c>
      <c r="B13990" t="s">
        <v>3458</v>
      </c>
      <c r="C13990" t="s">
        <v>23490</v>
      </c>
      <c r="D13990" t="str">
        <f>HYPERLINK("https://rhld.insurance.arkansas.gov/NPILookup?Npi=1639832611","1639832611")</f>
        <v>1639832611</v>
      </c>
      <c r="E13990" t="s">
        <v>19902</v>
      </c>
    </row>
    <row r="13991" spans="1:5" x14ac:dyDescent="0.25">
      <c r="A13991" t="s">
        <v>2</v>
      </c>
      <c r="B13991" t="s">
        <v>3458</v>
      </c>
      <c r="C13991" t="s">
        <v>23490</v>
      </c>
      <c r="D13991" t="str">
        <f>HYPERLINK("https://rhld.insurance.arkansas.gov/NPILookup?Npi=1649204629","1649204629")</f>
        <v>1649204629</v>
      </c>
      <c r="E13991" t="s">
        <v>15373</v>
      </c>
    </row>
    <row r="13992" spans="1:5" x14ac:dyDescent="0.25">
      <c r="A13992" t="s">
        <v>2</v>
      </c>
      <c r="B13992" t="s">
        <v>3458</v>
      </c>
      <c r="C13992" t="s">
        <v>23490</v>
      </c>
      <c r="D13992" t="str">
        <f>HYPERLINK("https://rhld.insurance.arkansas.gov/NPILookup?Npi=1649205584","1649205584")</f>
        <v>1649205584</v>
      </c>
      <c r="E13992" t="s">
        <v>11139</v>
      </c>
    </row>
    <row r="13993" spans="1:5" x14ac:dyDescent="0.25">
      <c r="A13993" t="s">
        <v>2</v>
      </c>
      <c r="B13993" t="s">
        <v>3458</v>
      </c>
      <c r="C13993" t="s">
        <v>23490</v>
      </c>
      <c r="D13993" t="str">
        <f>HYPERLINK("https://rhld.insurance.arkansas.gov/NPILookup?Npi=1649206913","1649206913")</f>
        <v>1649206913</v>
      </c>
      <c r="E13993" t="s">
        <v>3845</v>
      </c>
    </row>
    <row r="13994" spans="1:5" x14ac:dyDescent="0.25">
      <c r="A13994" t="s">
        <v>2</v>
      </c>
      <c r="B13994" t="s">
        <v>3458</v>
      </c>
      <c r="C13994" t="s">
        <v>23490</v>
      </c>
      <c r="D13994" t="str">
        <f>HYPERLINK("https://rhld.insurance.arkansas.gov/NPILookup?Npi=1649207242","1649207242")</f>
        <v>1649207242</v>
      </c>
      <c r="E13994" t="s">
        <v>2253</v>
      </c>
    </row>
    <row r="13995" spans="1:5" x14ac:dyDescent="0.25">
      <c r="A13995" t="s">
        <v>2</v>
      </c>
      <c r="B13995" t="s">
        <v>3458</v>
      </c>
      <c r="C13995" t="s">
        <v>23490</v>
      </c>
      <c r="D13995" t="str">
        <f>HYPERLINK("https://rhld.insurance.arkansas.gov/NPILookup?Npi=1649207275","1649207275")</f>
        <v>1649207275</v>
      </c>
      <c r="E13995" t="s">
        <v>2254</v>
      </c>
    </row>
    <row r="13996" spans="1:5" x14ac:dyDescent="0.25">
      <c r="A13996" t="s">
        <v>2</v>
      </c>
      <c r="B13996" t="s">
        <v>3458</v>
      </c>
      <c r="C13996" t="s">
        <v>23490</v>
      </c>
      <c r="D13996" t="str">
        <f>HYPERLINK("https://rhld.insurance.arkansas.gov/NPILookup?Npi=1649207416","1649207416")</f>
        <v>1649207416</v>
      </c>
      <c r="E13996" t="s">
        <v>15374</v>
      </c>
    </row>
    <row r="13997" spans="1:5" x14ac:dyDescent="0.25">
      <c r="A13997" t="s">
        <v>2</v>
      </c>
      <c r="B13997" t="s">
        <v>3458</v>
      </c>
      <c r="C13997" t="s">
        <v>23490</v>
      </c>
      <c r="D13997" t="str">
        <f>HYPERLINK("https://rhld.insurance.arkansas.gov/NPILookup?Npi=1649217191","1649217191")</f>
        <v>1649217191</v>
      </c>
      <c r="E13997" t="s">
        <v>2255</v>
      </c>
    </row>
    <row r="13998" spans="1:5" x14ac:dyDescent="0.25">
      <c r="A13998" t="s">
        <v>2</v>
      </c>
      <c r="B13998" t="s">
        <v>3458</v>
      </c>
      <c r="C13998" t="s">
        <v>23490</v>
      </c>
      <c r="D13998" t="str">
        <f>HYPERLINK("https://rhld.insurance.arkansas.gov/NPILookup?Npi=1649218603","1649218603")</f>
        <v>1649218603</v>
      </c>
      <c r="E13998" t="s">
        <v>15889</v>
      </c>
    </row>
    <row r="13999" spans="1:5" x14ac:dyDescent="0.25">
      <c r="A13999" t="s">
        <v>2</v>
      </c>
      <c r="B13999" t="s">
        <v>3458</v>
      </c>
      <c r="C13999" t="s">
        <v>23490</v>
      </c>
      <c r="D13999" t="str">
        <f>HYPERLINK("https://rhld.insurance.arkansas.gov/NPILookup?Npi=1649218892","1649218892")</f>
        <v>1649218892</v>
      </c>
      <c r="E13999" t="s">
        <v>2256</v>
      </c>
    </row>
    <row r="14000" spans="1:5" x14ac:dyDescent="0.25">
      <c r="A14000" t="s">
        <v>2</v>
      </c>
      <c r="B14000" t="s">
        <v>3458</v>
      </c>
      <c r="C14000" t="s">
        <v>23490</v>
      </c>
      <c r="D14000" t="str">
        <f>HYPERLINK("https://rhld.insurance.arkansas.gov/NPILookup?Npi=1649231895","1649231895")</f>
        <v>1649231895</v>
      </c>
      <c r="E14000" t="s">
        <v>2257</v>
      </c>
    </row>
    <row r="14001" spans="1:5" x14ac:dyDescent="0.25">
      <c r="A14001" t="s">
        <v>2</v>
      </c>
      <c r="B14001" t="s">
        <v>3458</v>
      </c>
      <c r="C14001" t="s">
        <v>23490</v>
      </c>
      <c r="D14001" t="str">
        <f>HYPERLINK("https://rhld.insurance.arkansas.gov/NPILookup?Npi=1649236290","1649236290")</f>
        <v>1649236290</v>
      </c>
      <c r="E14001" t="s">
        <v>2258</v>
      </c>
    </row>
    <row r="14002" spans="1:5" x14ac:dyDescent="0.25">
      <c r="A14002" t="s">
        <v>2</v>
      </c>
      <c r="B14002" t="s">
        <v>3458</v>
      </c>
      <c r="C14002" t="s">
        <v>23490</v>
      </c>
      <c r="D14002" t="str">
        <f>HYPERLINK("https://rhld.insurance.arkansas.gov/NPILookup?Npi=1649238262","1649238262")</f>
        <v>1649238262</v>
      </c>
      <c r="E14002" t="s">
        <v>2259</v>
      </c>
    </row>
    <row r="14003" spans="1:5" x14ac:dyDescent="0.25">
      <c r="A14003" t="s">
        <v>2</v>
      </c>
      <c r="B14003" t="s">
        <v>3458</v>
      </c>
      <c r="C14003" t="s">
        <v>23490</v>
      </c>
      <c r="D14003" t="str">
        <f>HYPERLINK("https://rhld.insurance.arkansas.gov/NPILookup?Npi=1649240508","1649240508")</f>
        <v>1649240508</v>
      </c>
      <c r="E14003" t="s">
        <v>8984</v>
      </c>
    </row>
    <row r="14004" spans="1:5" x14ac:dyDescent="0.25">
      <c r="A14004" t="s">
        <v>2</v>
      </c>
      <c r="B14004" t="s">
        <v>3458</v>
      </c>
      <c r="C14004" t="s">
        <v>23490</v>
      </c>
      <c r="D14004" t="str">
        <f>HYPERLINK("https://rhld.insurance.arkansas.gov/NPILookup?Npi=1649250689","1649250689")</f>
        <v>1649250689</v>
      </c>
      <c r="E14004" t="s">
        <v>2260</v>
      </c>
    </row>
    <row r="14005" spans="1:5" x14ac:dyDescent="0.25">
      <c r="A14005" t="s">
        <v>2</v>
      </c>
      <c r="B14005" t="s">
        <v>3458</v>
      </c>
      <c r="C14005" t="s">
        <v>23490</v>
      </c>
      <c r="D14005" t="str">
        <f>HYPERLINK("https://rhld.insurance.arkansas.gov/NPILookup?Npi=1649258369","1649258369")</f>
        <v>1649258369</v>
      </c>
      <c r="E14005" t="s">
        <v>2261</v>
      </c>
    </row>
    <row r="14006" spans="1:5" x14ac:dyDescent="0.25">
      <c r="A14006" t="s">
        <v>2</v>
      </c>
      <c r="B14006" t="s">
        <v>3458</v>
      </c>
      <c r="C14006" t="s">
        <v>23490</v>
      </c>
      <c r="D14006" t="str">
        <f>HYPERLINK("https://rhld.insurance.arkansas.gov/NPILookup?Npi=1649262189","1649262189")</f>
        <v>1649262189</v>
      </c>
      <c r="E14006" t="s">
        <v>8779</v>
      </c>
    </row>
    <row r="14007" spans="1:5" x14ac:dyDescent="0.25">
      <c r="A14007" t="s">
        <v>2</v>
      </c>
      <c r="B14007" t="s">
        <v>3458</v>
      </c>
      <c r="C14007" t="s">
        <v>23490</v>
      </c>
      <c r="D14007" t="str">
        <f>HYPERLINK("https://rhld.insurance.arkansas.gov/NPILookup?Npi=1649262726","1649262726")</f>
        <v>1649262726</v>
      </c>
      <c r="E14007" t="s">
        <v>2263</v>
      </c>
    </row>
    <row r="14008" spans="1:5" x14ac:dyDescent="0.25">
      <c r="A14008" t="s">
        <v>2</v>
      </c>
      <c r="B14008" t="s">
        <v>3458</v>
      </c>
      <c r="C14008" t="s">
        <v>23490</v>
      </c>
      <c r="D14008" t="str">
        <f>HYPERLINK("https://rhld.insurance.arkansas.gov/NPILookup?Npi=1649269564","1649269564")</f>
        <v>1649269564</v>
      </c>
      <c r="E14008" t="s">
        <v>3846</v>
      </c>
    </row>
    <row r="14009" spans="1:5" x14ac:dyDescent="0.25">
      <c r="A14009" t="s">
        <v>2</v>
      </c>
      <c r="B14009" t="s">
        <v>3458</v>
      </c>
      <c r="C14009" t="s">
        <v>23490</v>
      </c>
      <c r="D14009" t="str">
        <f>HYPERLINK("https://rhld.insurance.arkansas.gov/NPILookup?Npi=1649276924","1649276924")</f>
        <v>1649276924</v>
      </c>
      <c r="E14009" t="s">
        <v>8167</v>
      </c>
    </row>
    <row r="14010" spans="1:5" x14ac:dyDescent="0.25">
      <c r="A14010" t="s">
        <v>2</v>
      </c>
      <c r="B14010" t="s">
        <v>3458</v>
      </c>
      <c r="C14010" t="s">
        <v>23490</v>
      </c>
      <c r="D14010" t="str">
        <f>HYPERLINK("https://rhld.insurance.arkansas.gov/NPILookup?Npi=1649277831","1649277831")</f>
        <v>1649277831</v>
      </c>
      <c r="E14010" t="s">
        <v>15375</v>
      </c>
    </row>
    <row r="14011" spans="1:5" x14ac:dyDescent="0.25">
      <c r="A14011" t="s">
        <v>2</v>
      </c>
      <c r="B14011" t="s">
        <v>3458</v>
      </c>
      <c r="C14011" t="s">
        <v>23490</v>
      </c>
      <c r="D14011" t="str">
        <f>HYPERLINK("https://rhld.insurance.arkansas.gov/NPILookup?Npi=1649294042","1649294042")</f>
        <v>1649294042</v>
      </c>
      <c r="E14011" t="s">
        <v>15376</v>
      </c>
    </row>
    <row r="14012" spans="1:5" x14ac:dyDescent="0.25">
      <c r="A14012" t="s">
        <v>2</v>
      </c>
      <c r="B14012" t="s">
        <v>3458</v>
      </c>
      <c r="C14012" t="s">
        <v>23490</v>
      </c>
      <c r="D14012" t="str">
        <f>HYPERLINK("https://rhld.insurance.arkansas.gov/NPILookup?Npi=1649295833","1649295833")</f>
        <v>1649295833</v>
      </c>
      <c r="E14012" t="s">
        <v>2265</v>
      </c>
    </row>
    <row r="14013" spans="1:5" x14ac:dyDescent="0.25">
      <c r="A14013" t="s">
        <v>2</v>
      </c>
      <c r="B14013" t="s">
        <v>3458</v>
      </c>
      <c r="C14013" t="s">
        <v>23490</v>
      </c>
      <c r="D14013" t="str">
        <f>HYPERLINK("https://rhld.insurance.arkansas.gov/NPILookup?Npi=1649296104","1649296104")</f>
        <v>1649296104</v>
      </c>
      <c r="E14013" t="s">
        <v>2266</v>
      </c>
    </row>
    <row r="14014" spans="1:5" x14ac:dyDescent="0.25">
      <c r="A14014" t="s">
        <v>2</v>
      </c>
      <c r="B14014" t="s">
        <v>3458</v>
      </c>
      <c r="C14014" t="s">
        <v>23490</v>
      </c>
      <c r="D14014" t="str">
        <f>HYPERLINK("https://rhld.insurance.arkansas.gov/NPILookup?Npi=1649299009","1649299009")</f>
        <v>1649299009</v>
      </c>
      <c r="E14014" t="s">
        <v>13010</v>
      </c>
    </row>
    <row r="14015" spans="1:5" x14ac:dyDescent="0.25">
      <c r="A14015" t="s">
        <v>2</v>
      </c>
      <c r="B14015" t="s">
        <v>3458</v>
      </c>
      <c r="C14015" t="s">
        <v>23490</v>
      </c>
      <c r="D14015" t="str">
        <f>HYPERLINK("https://rhld.insurance.arkansas.gov/NPILookup?Npi=1649299587","1649299587")</f>
        <v>1649299587</v>
      </c>
      <c r="E14015" t="s">
        <v>3847</v>
      </c>
    </row>
    <row r="14016" spans="1:5" x14ac:dyDescent="0.25">
      <c r="A14016" t="s">
        <v>2</v>
      </c>
      <c r="B14016" t="s">
        <v>3458</v>
      </c>
      <c r="C14016" t="s">
        <v>23490</v>
      </c>
      <c r="D14016" t="str">
        <f>HYPERLINK("https://rhld.insurance.arkansas.gov/NPILookup?Npi=1649304114","1649304114")</f>
        <v>1649304114</v>
      </c>
      <c r="E14016" t="s">
        <v>2267</v>
      </c>
    </row>
    <row r="14017" spans="1:5" x14ac:dyDescent="0.25">
      <c r="A14017" t="s">
        <v>2</v>
      </c>
      <c r="B14017" t="s">
        <v>3458</v>
      </c>
      <c r="C14017" t="s">
        <v>23490</v>
      </c>
      <c r="D14017" t="str">
        <f>HYPERLINK("https://rhld.insurance.arkansas.gov/NPILookup?Npi=1649320607","1649320607")</f>
        <v>1649320607</v>
      </c>
      <c r="E14017" t="s">
        <v>13864</v>
      </c>
    </row>
    <row r="14018" spans="1:5" x14ac:dyDescent="0.25">
      <c r="A14018" t="s">
        <v>2</v>
      </c>
      <c r="B14018" t="s">
        <v>3458</v>
      </c>
      <c r="C14018" t="s">
        <v>23490</v>
      </c>
      <c r="D14018" t="str">
        <f>HYPERLINK("https://rhld.insurance.arkansas.gov/NPILookup?Npi=1649359076","1649359076")</f>
        <v>1649359076</v>
      </c>
      <c r="E14018" t="s">
        <v>11140</v>
      </c>
    </row>
    <row r="14019" spans="1:5" x14ac:dyDescent="0.25">
      <c r="A14019" t="s">
        <v>2</v>
      </c>
      <c r="B14019" t="s">
        <v>3458</v>
      </c>
      <c r="C14019" t="s">
        <v>23490</v>
      </c>
      <c r="D14019" t="str">
        <f>HYPERLINK("https://rhld.insurance.arkansas.gov/NPILookup?Npi=1649361767","1649361767")</f>
        <v>1649361767</v>
      </c>
      <c r="E14019" t="s">
        <v>3848</v>
      </c>
    </row>
    <row r="14020" spans="1:5" x14ac:dyDescent="0.25">
      <c r="A14020" t="s">
        <v>2</v>
      </c>
      <c r="B14020" t="s">
        <v>3458</v>
      </c>
      <c r="C14020" t="s">
        <v>23490</v>
      </c>
      <c r="D14020" t="str">
        <f>HYPERLINK("https://rhld.insurance.arkansas.gov/NPILookup?Npi=1649363656","1649363656")</f>
        <v>1649363656</v>
      </c>
      <c r="E14020" t="s">
        <v>2268</v>
      </c>
    </row>
    <row r="14021" spans="1:5" x14ac:dyDescent="0.25">
      <c r="A14021" t="s">
        <v>2</v>
      </c>
      <c r="B14021" t="s">
        <v>3458</v>
      </c>
      <c r="C14021" t="s">
        <v>23490</v>
      </c>
      <c r="D14021" t="str">
        <f>HYPERLINK("https://rhld.insurance.arkansas.gov/NPILookup?Npi=1649437633","1649437633")</f>
        <v>1649437633</v>
      </c>
      <c r="E14021" t="s">
        <v>2271</v>
      </c>
    </row>
    <row r="14022" spans="1:5" x14ac:dyDescent="0.25">
      <c r="A14022" t="s">
        <v>2</v>
      </c>
      <c r="B14022" t="s">
        <v>3458</v>
      </c>
      <c r="C14022" t="s">
        <v>23490</v>
      </c>
      <c r="D14022" t="str">
        <f>HYPERLINK("https://rhld.insurance.arkansas.gov/NPILookup?Npi=1649440900","1649440900")</f>
        <v>1649440900</v>
      </c>
      <c r="E14022" t="s">
        <v>13011</v>
      </c>
    </row>
    <row r="14023" spans="1:5" x14ac:dyDescent="0.25">
      <c r="A14023" t="s">
        <v>2</v>
      </c>
      <c r="B14023" t="s">
        <v>3458</v>
      </c>
      <c r="C14023" t="s">
        <v>23490</v>
      </c>
      <c r="D14023" t="str">
        <f>HYPERLINK("https://rhld.insurance.arkansas.gov/NPILookup?Npi=1649443128","1649443128")</f>
        <v>1649443128</v>
      </c>
      <c r="E14023" t="s">
        <v>3849</v>
      </c>
    </row>
    <row r="14024" spans="1:5" x14ac:dyDescent="0.25">
      <c r="A14024" t="s">
        <v>2</v>
      </c>
      <c r="B14024" t="s">
        <v>3458</v>
      </c>
      <c r="C14024" t="s">
        <v>23490</v>
      </c>
      <c r="D14024" t="str">
        <f>HYPERLINK("https://rhld.insurance.arkansas.gov/NPILookup?Npi=1649444365","1649444365")</f>
        <v>1649444365</v>
      </c>
      <c r="E14024" t="s">
        <v>2272</v>
      </c>
    </row>
    <row r="14025" spans="1:5" x14ac:dyDescent="0.25">
      <c r="A14025" t="s">
        <v>2</v>
      </c>
      <c r="B14025" t="s">
        <v>3458</v>
      </c>
      <c r="C14025" t="s">
        <v>23490</v>
      </c>
      <c r="D14025" t="str">
        <f>HYPERLINK("https://rhld.insurance.arkansas.gov/NPILookup?Npi=1649447871","1649447871")</f>
        <v>1649447871</v>
      </c>
      <c r="E14025" t="s">
        <v>3850</v>
      </c>
    </row>
    <row r="14026" spans="1:5" x14ac:dyDescent="0.25">
      <c r="A14026" t="s">
        <v>2</v>
      </c>
      <c r="B14026" t="s">
        <v>3458</v>
      </c>
      <c r="C14026" t="s">
        <v>23490</v>
      </c>
      <c r="D14026" t="str">
        <f>HYPERLINK("https://rhld.insurance.arkansas.gov/NPILookup?Npi=1649484452","1649484452")</f>
        <v>1649484452</v>
      </c>
      <c r="E14026" t="s">
        <v>3851</v>
      </c>
    </row>
    <row r="14027" spans="1:5" x14ac:dyDescent="0.25">
      <c r="A14027" t="s">
        <v>2</v>
      </c>
      <c r="B14027" t="s">
        <v>3458</v>
      </c>
      <c r="C14027" t="s">
        <v>23490</v>
      </c>
      <c r="D14027" t="str">
        <f>HYPERLINK("https://rhld.insurance.arkansas.gov/NPILookup?Npi=1649490418","1649490418")</f>
        <v>1649490418</v>
      </c>
      <c r="E14027" t="s">
        <v>11141</v>
      </c>
    </row>
    <row r="14028" spans="1:5" x14ac:dyDescent="0.25">
      <c r="A14028" t="s">
        <v>2</v>
      </c>
      <c r="B14028" t="s">
        <v>3458</v>
      </c>
      <c r="C14028" t="s">
        <v>23490</v>
      </c>
      <c r="D14028" t="str">
        <f>HYPERLINK("https://rhld.insurance.arkansas.gov/NPILookup?Npi=1649494808","1649494808")</f>
        <v>1649494808</v>
      </c>
      <c r="E14028" t="s">
        <v>2274</v>
      </c>
    </row>
    <row r="14029" spans="1:5" x14ac:dyDescent="0.25">
      <c r="A14029" t="s">
        <v>2</v>
      </c>
      <c r="B14029" t="s">
        <v>3458</v>
      </c>
      <c r="C14029" t="s">
        <v>23490</v>
      </c>
      <c r="D14029" t="str">
        <f>HYPERLINK("https://rhld.insurance.arkansas.gov/NPILookup?Npi=1649508474","1649508474")</f>
        <v>1649508474</v>
      </c>
      <c r="E14029" t="s">
        <v>19905</v>
      </c>
    </row>
    <row r="14030" spans="1:5" x14ac:dyDescent="0.25">
      <c r="A14030" t="s">
        <v>2</v>
      </c>
      <c r="B14030" t="s">
        <v>3458</v>
      </c>
      <c r="C14030" t="s">
        <v>23490</v>
      </c>
      <c r="D14030" t="str">
        <f>HYPERLINK("https://rhld.insurance.arkansas.gov/NPILookup?Npi=1649512146","1649512146")</f>
        <v>1649512146</v>
      </c>
      <c r="E14030" t="s">
        <v>11473</v>
      </c>
    </row>
    <row r="14031" spans="1:5" x14ac:dyDescent="0.25">
      <c r="A14031" t="s">
        <v>2</v>
      </c>
      <c r="B14031" t="s">
        <v>3458</v>
      </c>
      <c r="C14031" t="s">
        <v>23490</v>
      </c>
      <c r="D14031" t="str">
        <f>HYPERLINK("https://rhld.insurance.arkansas.gov/NPILookup?Npi=1649536434","1649536434")</f>
        <v>1649536434</v>
      </c>
      <c r="E14031" t="s">
        <v>11142</v>
      </c>
    </row>
    <row r="14032" spans="1:5" x14ac:dyDescent="0.25">
      <c r="A14032" t="s">
        <v>2</v>
      </c>
      <c r="B14032" t="s">
        <v>3458</v>
      </c>
      <c r="C14032" t="s">
        <v>23490</v>
      </c>
      <c r="D14032" t="str">
        <f>HYPERLINK("https://rhld.insurance.arkansas.gov/NPILookup?Npi=1649538679","1649538679")</f>
        <v>1649538679</v>
      </c>
      <c r="E14032" t="s">
        <v>2277</v>
      </c>
    </row>
    <row r="14033" spans="1:5" x14ac:dyDescent="0.25">
      <c r="A14033" t="s">
        <v>2</v>
      </c>
      <c r="B14033" t="s">
        <v>3458</v>
      </c>
      <c r="C14033" t="s">
        <v>23490</v>
      </c>
      <c r="D14033" t="str">
        <f>HYPERLINK("https://rhld.insurance.arkansas.gov/NPILookup?Npi=1649548926","1649548926")</f>
        <v>1649548926</v>
      </c>
      <c r="E14033" t="s">
        <v>2278</v>
      </c>
    </row>
    <row r="14034" spans="1:5" x14ac:dyDescent="0.25">
      <c r="A14034" t="s">
        <v>2</v>
      </c>
      <c r="B14034" t="s">
        <v>3458</v>
      </c>
      <c r="C14034" t="s">
        <v>23490</v>
      </c>
      <c r="D14034" t="str">
        <f>HYPERLINK("https://rhld.insurance.arkansas.gov/NPILookup?Npi=1649550708","1649550708")</f>
        <v>1649550708</v>
      </c>
      <c r="E14034" t="s">
        <v>15378</v>
      </c>
    </row>
    <row r="14035" spans="1:5" x14ac:dyDescent="0.25">
      <c r="A14035" t="s">
        <v>2</v>
      </c>
      <c r="B14035" t="s">
        <v>3458</v>
      </c>
      <c r="C14035" t="s">
        <v>23490</v>
      </c>
      <c r="D14035" t="str">
        <f>HYPERLINK("https://rhld.insurance.arkansas.gov/NPILookup?Npi=1649556283","1649556283")</f>
        <v>1649556283</v>
      </c>
      <c r="E14035" t="s">
        <v>11143</v>
      </c>
    </row>
    <row r="14036" spans="1:5" x14ac:dyDescent="0.25">
      <c r="A14036" t="s">
        <v>2</v>
      </c>
      <c r="B14036" t="s">
        <v>3458</v>
      </c>
      <c r="C14036" t="s">
        <v>23490</v>
      </c>
      <c r="D14036" t="str">
        <f>HYPERLINK("https://rhld.insurance.arkansas.gov/NPILookup?Npi=1649580473","1649580473")</f>
        <v>1649580473</v>
      </c>
      <c r="E14036" t="s">
        <v>2279</v>
      </c>
    </row>
    <row r="14037" spans="1:5" x14ac:dyDescent="0.25">
      <c r="A14037" t="s">
        <v>2</v>
      </c>
      <c r="B14037" t="s">
        <v>3458</v>
      </c>
      <c r="C14037" t="s">
        <v>23490</v>
      </c>
      <c r="D14037" t="str">
        <f>HYPERLINK("https://rhld.insurance.arkansas.gov/NPILookup?Npi=1649590886","1649590886")</f>
        <v>1649590886</v>
      </c>
      <c r="E14037" t="s">
        <v>2280</v>
      </c>
    </row>
    <row r="14038" spans="1:5" x14ac:dyDescent="0.25">
      <c r="A14038" t="s">
        <v>2</v>
      </c>
      <c r="B14038" t="s">
        <v>3458</v>
      </c>
      <c r="C14038" t="s">
        <v>23490</v>
      </c>
      <c r="D14038" t="str">
        <f>HYPERLINK("https://rhld.insurance.arkansas.gov/NPILookup?Npi=1649599978","1649599978")</f>
        <v>1649599978</v>
      </c>
      <c r="E14038" t="s">
        <v>18064</v>
      </c>
    </row>
    <row r="14039" spans="1:5" x14ac:dyDescent="0.25">
      <c r="A14039" t="s">
        <v>2</v>
      </c>
      <c r="B14039" t="s">
        <v>3458</v>
      </c>
      <c r="C14039" t="s">
        <v>23490</v>
      </c>
      <c r="D14039" t="str">
        <f>HYPERLINK("https://rhld.insurance.arkansas.gov/NPILookup?Npi=1649604141","1649604141")</f>
        <v>1649604141</v>
      </c>
      <c r="E14039" t="s">
        <v>2281</v>
      </c>
    </row>
    <row r="14040" spans="1:5" x14ac:dyDescent="0.25">
      <c r="A14040" t="s">
        <v>2</v>
      </c>
      <c r="B14040" t="s">
        <v>3458</v>
      </c>
      <c r="C14040" t="s">
        <v>23490</v>
      </c>
      <c r="D14040" t="str">
        <f>HYPERLINK("https://rhld.insurance.arkansas.gov/NPILookup?Npi=1649606260","1649606260")</f>
        <v>1649606260</v>
      </c>
      <c r="E14040" t="s">
        <v>3852</v>
      </c>
    </row>
    <row r="14041" spans="1:5" x14ac:dyDescent="0.25">
      <c r="A14041" t="s">
        <v>2</v>
      </c>
      <c r="B14041" t="s">
        <v>3458</v>
      </c>
      <c r="C14041" t="s">
        <v>23490</v>
      </c>
      <c r="D14041" t="str">
        <f>HYPERLINK("https://rhld.insurance.arkansas.gov/NPILookup?Npi=1649632886","1649632886")</f>
        <v>1649632886</v>
      </c>
      <c r="E14041" t="s">
        <v>13633</v>
      </c>
    </row>
    <row r="14042" spans="1:5" x14ac:dyDescent="0.25">
      <c r="A14042" t="s">
        <v>2</v>
      </c>
      <c r="B14042" t="s">
        <v>3458</v>
      </c>
      <c r="C14042" t="s">
        <v>8427</v>
      </c>
      <c r="D14042" t="str">
        <f>HYPERLINK("https://rhld.insurance.arkansas.gov/NPILookup?Npi=1649634585","1649634585")</f>
        <v>1649634585</v>
      </c>
      <c r="E14042" t="s">
        <v>22965</v>
      </c>
    </row>
    <row r="14043" spans="1:5" x14ac:dyDescent="0.25">
      <c r="A14043" t="s">
        <v>2</v>
      </c>
      <c r="B14043" t="s">
        <v>3458</v>
      </c>
      <c r="C14043" t="s">
        <v>23490</v>
      </c>
      <c r="D14043" t="str">
        <f>HYPERLINK("https://rhld.insurance.arkansas.gov/NPILookup?Npi=1649649773","1649649773")</f>
        <v>1649649773</v>
      </c>
      <c r="E14043" t="s">
        <v>15379</v>
      </c>
    </row>
    <row r="14044" spans="1:5" x14ac:dyDescent="0.25">
      <c r="A14044" t="s">
        <v>2</v>
      </c>
      <c r="B14044" t="s">
        <v>3458</v>
      </c>
      <c r="C14044" t="s">
        <v>23490</v>
      </c>
      <c r="D14044" t="str">
        <f>HYPERLINK("https://rhld.insurance.arkansas.gov/NPILookup?Npi=1649672031","1649672031")</f>
        <v>1649672031</v>
      </c>
      <c r="E14044" t="s">
        <v>18828</v>
      </c>
    </row>
    <row r="14045" spans="1:5" x14ac:dyDescent="0.25">
      <c r="A14045" t="s">
        <v>2</v>
      </c>
      <c r="B14045" t="s">
        <v>3458</v>
      </c>
      <c r="C14045" t="s">
        <v>23490</v>
      </c>
      <c r="D14045" t="str">
        <f>HYPERLINK("https://rhld.insurance.arkansas.gov/NPILookup?Npi=1649686148","1649686148")</f>
        <v>1649686148</v>
      </c>
      <c r="E14045" t="s">
        <v>2282</v>
      </c>
    </row>
    <row r="14046" spans="1:5" x14ac:dyDescent="0.25">
      <c r="A14046" t="s">
        <v>2</v>
      </c>
      <c r="B14046" t="s">
        <v>3458</v>
      </c>
      <c r="C14046" t="s">
        <v>23490</v>
      </c>
      <c r="D14046" t="str">
        <f>HYPERLINK("https://rhld.insurance.arkansas.gov/NPILookup?Npi=1649695867","1649695867")</f>
        <v>1649695867</v>
      </c>
      <c r="E14046" t="s">
        <v>21605</v>
      </c>
    </row>
    <row r="14047" spans="1:5" x14ac:dyDescent="0.25">
      <c r="A14047" t="s">
        <v>2</v>
      </c>
      <c r="B14047" t="s">
        <v>3458</v>
      </c>
      <c r="C14047" t="s">
        <v>23490</v>
      </c>
      <c r="D14047" t="str">
        <f>HYPERLINK("https://rhld.insurance.arkansas.gov/NPILookup?Npi=1649697376","1649697376")</f>
        <v>1649697376</v>
      </c>
      <c r="E14047" t="s">
        <v>15380</v>
      </c>
    </row>
    <row r="14048" spans="1:5" x14ac:dyDescent="0.25">
      <c r="A14048" t="s">
        <v>2</v>
      </c>
      <c r="B14048" t="s">
        <v>3458</v>
      </c>
      <c r="C14048" t="s">
        <v>23490</v>
      </c>
      <c r="D14048" t="str">
        <f>HYPERLINK("https://rhld.insurance.arkansas.gov/NPILookup?Npi=1649700337","1649700337")</f>
        <v>1649700337</v>
      </c>
      <c r="E14048" t="s">
        <v>22966</v>
      </c>
    </row>
    <row r="14049" spans="1:5" x14ac:dyDescent="0.25">
      <c r="A14049" t="s">
        <v>2</v>
      </c>
      <c r="B14049" t="s">
        <v>3458</v>
      </c>
      <c r="C14049" t="s">
        <v>23490</v>
      </c>
      <c r="D14049" t="str">
        <f>HYPERLINK("https://rhld.insurance.arkansas.gov/NPILookup?Npi=1649719923","1649719923")</f>
        <v>1649719923</v>
      </c>
      <c r="E14049" t="s">
        <v>11145</v>
      </c>
    </row>
    <row r="14050" spans="1:5" x14ac:dyDescent="0.25">
      <c r="A14050" t="s">
        <v>2</v>
      </c>
      <c r="B14050" t="s">
        <v>3458</v>
      </c>
      <c r="C14050" t="s">
        <v>23490</v>
      </c>
      <c r="D14050" t="str">
        <f>HYPERLINK("https://rhld.insurance.arkansas.gov/NPILookup?Npi=1649720095","1649720095")</f>
        <v>1649720095</v>
      </c>
      <c r="E14050" t="s">
        <v>11146</v>
      </c>
    </row>
    <row r="14051" spans="1:5" x14ac:dyDescent="0.25">
      <c r="A14051" t="s">
        <v>2</v>
      </c>
      <c r="B14051" t="s">
        <v>3458</v>
      </c>
      <c r="C14051" t="s">
        <v>23490</v>
      </c>
      <c r="D14051" t="str">
        <f>HYPERLINK("https://rhld.insurance.arkansas.gov/NPILookup?Npi=1649726845","1649726845")</f>
        <v>1649726845</v>
      </c>
      <c r="E14051" t="s">
        <v>11147</v>
      </c>
    </row>
    <row r="14052" spans="1:5" x14ac:dyDescent="0.25">
      <c r="A14052" t="s">
        <v>2</v>
      </c>
      <c r="B14052" t="s">
        <v>3458</v>
      </c>
      <c r="C14052" t="s">
        <v>23490</v>
      </c>
      <c r="D14052" t="str">
        <f>HYPERLINK("https://rhld.insurance.arkansas.gov/NPILookup?Npi=1649737719","1649737719")</f>
        <v>1649737719</v>
      </c>
      <c r="E14052" t="s">
        <v>13634</v>
      </c>
    </row>
    <row r="14053" spans="1:5" x14ac:dyDescent="0.25">
      <c r="A14053" t="s">
        <v>2</v>
      </c>
      <c r="B14053" t="s">
        <v>3458</v>
      </c>
      <c r="C14053" t="s">
        <v>23490</v>
      </c>
      <c r="D14053" t="str">
        <f>HYPERLINK("https://rhld.insurance.arkansas.gov/NPILookup?Npi=1649744244","1649744244")</f>
        <v>1649744244</v>
      </c>
      <c r="E14053" t="s">
        <v>19910</v>
      </c>
    </row>
    <row r="14054" spans="1:5" x14ac:dyDescent="0.25">
      <c r="A14054" t="s">
        <v>2</v>
      </c>
      <c r="B14054" t="s">
        <v>3458</v>
      </c>
      <c r="C14054" t="s">
        <v>23490</v>
      </c>
      <c r="D14054" t="str">
        <f>HYPERLINK("https://rhld.insurance.arkansas.gov/NPILookup?Npi=1649761917","1649761917")</f>
        <v>1649761917</v>
      </c>
      <c r="E14054" t="s">
        <v>18829</v>
      </c>
    </row>
    <row r="14055" spans="1:5" x14ac:dyDescent="0.25">
      <c r="A14055" t="s">
        <v>2</v>
      </c>
      <c r="B14055" t="s">
        <v>3458</v>
      </c>
      <c r="C14055" t="s">
        <v>23490</v>
      </c>
      <c r="D14055" t="str">
        <f>HYPERLINK("https://rhld.insurance.arkansas.gov/NPILookup?Npi=1649776659","1649776659")</f>
        <v>1649776659</v>
      </c>
      <c r="E14055" t="s">
        <v>18830</v>
      </c>
    </row>
    <row r="14056" spans="1:5" x14ac:dyDescent="0.25">
      <c r="A14056" t="s">
        <v>2</v>
      </c>
      <c r="B14056" t="s">
        <v>3458</v>
      </c>
      <c r="C14056" t="s">
        <v>23490</v>
      </c>
      <c r="D14056" t="str">
        <f>HYPERLINK("https://rhld.insurance.arkansas.gov/NPILookup?Npi=1649780404","1649780404")</f>
        <v>1649780404</v>
      </c>
      <c r="E14056" t="s">
        <v>12875</v>
      </c>
    </row>
    <row r="14057" spans="1:5" x14ac:dyDescent="0.25">
      <c r="A14057" t="s">
        <v>2</v>
      </c>
      <c r="B14057" t="s">
        <v>3458</v>
      </c>
      <c r="C14057" t="s">
        <v>23490</v>
      </c>
      <c r="D14057" t="str">
        <f>HYPERLINK("https://rhld.insurance.arkansas.gov/NPILookup?Npi=1649803552","1649803552")</f>
        <v>1649803552</v>
      </c>
      <c r="E14057" t="s">
        <v>20254</v>
      </c>
    </row>
    <row r="14058" spans="1:5" x14ac:dyDescent="0.25">
      <c r="A14058" t="s">
        <v>2</v>
      </c>
      <c r="B14058" t="s">
        <v>3458</v>
      </c>
      <c r="C14058" t="s">
        <v>23490</v>
      </c>
      <c r="D14058" t="str">
        <f>HYPERLINK("https://rhld.insurance.arkansas.gov/NPILookup?Npi=1649840489","1649840489")</f>
        <v>1649840489</v>
      </c>
      <c r="E14058" t="s">
        <v>19912</v>
      </c>
    </row>
    <row r="14059" spans="1:5" x14ac:dyDescent="0.25">
      <c r="A14059" t="s">
        <v>2</v>
      </c>
      <c r="B14059" t="s">
        <v>3458</v>
      </c>
      <c r="C14059" t="s">
        <v>23490</v>
      </c>
      <c r="D14059" t="str">
        <f>HYPERLINK("https://rhld.insurance.arkansas.gov/NPILookup?Npi=1649874736","1649874736")</f>
        <v>1649874736</v>
      </c>
      <c r="E14059" t="s">
        <v>18065</v>
      </c>
    </row>
    <row r="14060" spans="1:5" x14ac:dyDescent="0.25">
      <c r="A14060" t="s">
        <v>2</v>
      </c>
      <c r="B14060" t="s">
        <v>3458</v>
      </c>
      <c r="C14060" t="s">
        <v>23490</v>
      </c>
      <c r="D14060" t="str">
        <f>HYPERLINK("https://rhld.insurance.arkansas.gov/NPILookup?Npi=1649885252","1649885252")</f>
        <v>1649885252</v>
      </c>
      <c r="E14060" t="s">
        <v>19913</v>
      </c>
    </row>
    <row r="14061" spans="1:5" x14ac:dyDescent="0.25">
      <c r="A14061" t="s">
        <v>2</v>
      </c>
      <c r="B14061" t="s">
        <v>3458</v>
      </c>
      <c r="C14061" t="s">
        <v>23490</v>
      </c>
      <c r="D14061" t="str">
        <f>HYPERLINK("https://rhld.insurance.arkansas.gov/NPILookup?Npi=1649888413","1649888413")</f>
        <v>1649888413</v>
      </c>
      <c r="E14061" t="s">
        <v>17455</v>
      </c>
    </row>
    <row r="14062" spans="1:5" x14ac:dyDescent="0.25">
      <c r="A14062" t="s">
        <v>2</v>
      </c>
      <c r="B14062" t="s">
        <v>3458</v>
      </c>
      <c r="C14062" t="s">
        <v>23490</v>
      </c>
      <c r="D14062" t="str">
        <f>HYPERLINK("https://rhld.insurance.arkansas.gov/NPILookup?Npi=1649907593","1649907593")</f>
        <v>1649907593</v>
      </c>
      <c r="E14062" t="s">
        <v>21608</v>
      </c>
    </row>
    <row r="14063" spans="1:5" x14ac:dyDescent="0.25">
      <c r="A14063" t="s">
        <v>2</v>
      </c>
      <c r="B14063" t="s">
        <v>3458</v>
      </c>
      <c r="C14063" t="s">
        <v>23490</v>
      </c>
      <c r="D14063" t="str">
        <f>HYPERLINK("https://rhld.insurance.arkansas.gov/NPILookup?Npi=1649933417","1649933417")</f>
        <v>1649933417</v>
      </c>
      <c r="E14063" t="s">
        <v>19914</v>
      </c>
    </row>
    <row r="14064" spans="1:5" x14ac:dyDescent="0.25">
      <c r="A14064" t="s">
        <v>2</v>
      </c>
      <c r="B14064" t="s">
        <v>3458</v>
      </c>
      <c r="C14064" t="s">
        <v>23490</v>
      </c>
      <c r="D14064" t="str">
        <f>HYPERLINK("https://rhld.insurance.arkansas.gov/NPILookup?Npi=1649946120","1649946120")</f>
        <v>1649946120</v>
      </c>
      <c r="E14064" t="s">
        <v>19915</v>
      </c>
    </row>
    <row r="14065" spans="1:5" x14ac:dyDescent="0.25">
      <c r="A14065" t="s">
        <v>2</v>
      </c>
      <c r="B14065" t="s">
        <v>3458</v>
      </c>
      <c r="C14065" t="s">
        <v>23490</v>
      </c>
      <c r="D14065" t="str">
        <f>HYPERLINK("https://rhld.insurance.arkansas.gov/NPILookup?Npi=1649947276","1649947276")</f>
        <v>1649947276</v>
      </c>
      <c r="E14065" t="s">
        <v>19916</v>
      </c>
    </row>
    <row r="14066" spans="1:5" x14ac:dyDescent="0.25">
      <c r="A14066" t="s">
        <v>2</v>
      </c>
      <c r="B14066" t="s">
        <v>3458</v>
      </c>
      <c r="C14066" t="s">
        <v>23490</v>
      </c>
      <c r="D14066" t="str">
        <f>HYPERLINK("https://rhld.insurance.arkansas.gov/NPILookup?Npi=1649947318","1649947318")</f>
        <v>1649947318</v>
      </c>
      <c r="E14066" t="s">
        <v>18831</v>
      </c>
    </row>
    <row r="14067" spans="1:5" x14ac:dyDescent="0.25">
      <c r="A14067" t="s">
        <v>2</v>
      </c>
      <c r="B14067" t="s">
        <v>3458</v>
      </c>
      <c r="C14067" t="s">
        <v>23490</v>
      </c>
      <c r="D14067" t="str">
        <f>HYPERLINK("https://rhld.insurance.arkansas.gov/NPILookup?Npi=1649981127","1649981127")</f>
        <v>1649981127</v>
      </c>
      <c r="E14067" t="s">
        <v>21609</v>
      </c>
    </row>
    <row r="14068" spans="1:5" x14ac:dyDescent="0.25">
      <c r="A14068" t="s">
        <v>2</v>
      </c>
      <c r="B14068" t="s">
        <v>3458</v>
      </c>
      <c r="C14068" t="s">
        <v>23490</v>
      </c>
      <c r="D14068" t="str">
        <f>HYPERLINK("https://rhld.insurance.arkansas.gov/NPILookup?Npi=1659012425","1659012425")</f>
        <v>1659012425</v>
      </c>
      <c r="E14068" t="s">
        <v>20994</v>
      </c>
    </row>
    <row r="14069" spans="1:5" x14ac:dyDescent="0.25">
      <c r="A14069" t="s">
        <v>2</v>
      </c>
      <c r="B14069" t="s">
        <v>3458</v>
      </c>
      <c r="C14069" t="s">
        <v>23490</v>
      </c>
      <c r="D14069" t="str">
        <f>HYPERLINK("https://rhld.insurance.arkansas.gov/NPILookup?Npi=1659038800","1659038800")</f>
        <v>1659038800</v>
      </c>
      <c r="E14069" t="s">
        <v>19917</v>
      </c>
    </row>
    <row r="14070" spans="1:5" x14ac:dyDescent="0.25">
      <c r="A14070" t="s">
        <v>2</v>
      </c>
      <c r="B14070" t="s">
        <v>3458</v>
      </c>
      <c r="C14070" t="s">
        <v>23490</v>
      </c>
      <c r="D14070" t="str">
        <f>HYPERLINK("https://rhld.insurance.arkansas.gov/NPILookup?Npi=1659092922","1659092922")</f>
        <v>1659092922</v>
      </c>
      <c r="E14070" t="s">
        <v>21612</v>
      </c>
    </row>
    <row r="14071" spans="1:5" x14ac:dyDescent="0.25">
      <c r="A14071" t="s">
        <v>2</v>
      </c>
      <c r="B14071" t="s">
        <v>3458</v>
      </c>
      <c r="C14071" t="s">
        <v>23490</v>
      </c>
      <c r="D14071" t="str">
        <f>HYPERLINK("https://rhld.insurance.arkansas.gov/NPILookup?Npi=1659311694","1659311694")</f>
        <v>1659311694</v>
      </c>
      <c r="E14071" t="s">
        <v>8781</v>
      </c>
    </row>
    <row r="14072" spans="1:5" x14ac:dyDescent="0.25">
      <c r="A14072" t="s">
        <v>2</v>
      </c>
      <c r="B14072" t="s">
        <v>3458</v>
      </c>
      <c r="C14072" t="s">
        <v>23490</v>
      </c>
      <c r="D14072" t="str">
        <f>HYPERLINK("https://rhld.insurance.arkansas.gov/NPILookup?Npi=1659319879","1659319879")</f>
        <v>1659319879</v>
      </c>
      <c r="E14072" t="s">
        <v>2285</v>
      </c>
    </row>
    <row r="14073" spans="1:5" x14ac:dyDescent="0.25">
      <c r="A14073" t="s">
        <v>2</v>
      </c>
      <c r="B14073" t="s">
        <v>3458</v>
      </c>
      <c r="C14073" t="s">
        <v>23490</v>
      </c>
      <c r="D14073" t="str">
        <f>HYPERLINK("https://rhld.insurance.arkansas.gov/NPILookup?Npi=1659323038","1659323038")</f>
        <v>1659323038</v>
      </c>
      <c r="E14073" t="s">
        <v>3853</v>
      </c>
    </row>
    <row r="14074" spans="1:5" x14ac:dyDescent="0.25">
      <c r="A14074" t="s">
        <v>2</v>
      </c>
      <c r="B14074" t="s">
        <v>3458</v>
      </c>
      <c r="C14074" t="s">
        <v>23490</v>
      </c>
      <c r="D14074" t="str">
        <f>HYPERLINK("https://rhld.insurance.arkansas.gov/NPILookup?Npi=1659326023","1659326023")</f>
        <v>1659326023</v>
      </c>
      <c r="E14074" t="s">
        <v>2286</v>
      </c>
    </row>
    <row r="14075" spans="1:5" x14ac:dyDescent="0.25">
      <c r="A14075" t="s">
        <v>2</v>
      </c>
      <c r="B14075" t="s">
        <v>3458</v>
      </c>
      <c r="C14075" t="s">
        <v>23490</v>
      </c>
      <c r="D14075" t="str">
        <f>HYPERLINK("https://rhld.insurance.arkansas.gov/NPILookup?Npi=1659326312","1659326312")</f>
        <v>1659326312</v>
      </c>
      <c r="E14075" t="s">
        <v>2287</v>
      </c>
    </row>
    <row r="14076" spans="1:5" x14ac:dyDescent="0.25">
      <c r="A14076" t="s">
        <v>2</v>
      </c>
      <c r="B14076" t="s">
        <v>3458</v>
      </c>
      <c r="C14076" t="s">
        <v>23490</v>
      </c>
      <c r="D14076" t="str">
        <f>HYPERLINK("https://rhld.insurance.arkansas.gov/NPILookup?Npi=1659327765","1659327765")</f>
        <v>1659327765</v>
      </c>
      <c r="E14076" t="s">
        <v>2288</v>
      </c>
    </row>
    <row r="14077" spans="1:5" x14ac:dyDescent="0.25">
      <c r="A14077" t="s">
        <v>2</v>
      </c>
      <c r="B14077" t="s">
        <v>3458</v>
      </c>
      <c r="C14077" t="s">
        <v>23490</v>
      </c>
      <c r="D14077" t="str">
        <f>HYPERLINK("https://rhld.insurance.arkansas.gov/NPILookup?Npi=1659331072","1659331072")</f>
        <v>1659331072</v>
      </c>
      <c r="E14077" t="s">
        <v>2289</v>
      </c>
    </row>
    <row r="14078" spans="1:5" x14ac:dyDescent="0.25">
      <c r="A14078" t="s">
        <v>2</v>
      </c>
      <c r="B14078" t="s">
        <v>3458</v>
      </c>
      <c r="C14078" t="s">
        <v>23490</v>
      </c>
      <c r="D14078" t="str">
        <f>HYPERLINK("https://rhld.insurance.arkansas.gov/NPILookup?Npi=1659336196","1659336196")</f>
        <v>1659336196</v>
      </c>
      <c r="E14078" t="s">
        <v>2290</v>
      </c>
    </row>
    <row r="14079" spans="1:5" x14ac:dyDescent="0.25">
      <c r="A14079" t="s">
        <v>2</v>
      </c>
      <c r="B14079" t="s">
        <v>3458</v>
      </c>
      <c r="C14079" t="s">
        <v>23490</v>
      </c>
      <c r="D14079" t="str">
        <f>HYPERLINK("https://rhld.insurance.arkansas.gov/NPILookup?Npi=1659340438","1659340438")</f>
        <v>1659340438</v>
      </c>
      <c r="E14079" t="s">
        <v>3854</v>
      </c>
    </row>
    <row r="14080" spans="1:5" x14ac:dyDescent="0.25">
      <c r="A14080" t="s">
        <v>2</v>
      </c>
      <c r="B14080" t="s">
        <v>3458</v>
      </c>
      <c r="C14080" t="s">
        <v>23490</v>
      </c>
      <c r="D14080" t="str">
        <f>HYPERLINK("https://rhld.insurance.arkansas.gov/NPILookup?Npi=1659340826","1659340826")</f>
        <v>1659340826</v>
      </c>
      <c r="E14080" t="s">
        <v>2293</v>
      </c>
    </row>
    <row r="14081" spans="1:5" x14ac:dyDescent="0.25">
      <c r="A14081" t="s">
        <v>2</v>
      </c>
      <c r="B14081" t="s">
        <v>3458</v>
      </c>
      <c r="C14081" t="s">
        <v>23490</v>
      </c>
      <c r="D14081" t="str">
        <f>HYPERLINK("https://rhld.insurance.arkansas.gov/NPILookup?Npi=1659345247","1659345247")</f>
        <v>1659345247</v>
      </c>
      <c r="E14081" t="s">
        <v>8782</v>
      </c>
    </row>
    <row r="14082" spans="1:5" x14ac:dyDescent="0.25">
      <c r="A14082" t="s">
        <v>2</v>
      </c>
      <c r="B14082" t="s">
        <v>3458</v>
      </c>
      <c r="C14082" t="s">
        <v>23490</v>
      </c>
      <c r="D14082" t="str">
        <f>HYPERLINK("https://rhld.insurance.arkansas.gov/NPILookup?Npi=1659364545","1659364545")</f>
        <v>1659364545</v>
      </c>
      <c r="E14082" t="s">
        <v>2294</v>
      </c>
    </row>
    <row r="14083" spans="1:5" x14ac:dyDescent="0.25">
      <c r="A14083" t="s">
        <v>2</v>
      </c>
      <c r="B14083" t="s">
        <v>3458</v>
      </c>
      <c r="C14083" t="s">
        <v>23490</v>
      </c>
      <c r="D14083" t="str">
        <f>HYPERLINK("https://rhld.insurance.arkansas.gov/NPILookup?Npi=1659369635","1659369635")</f>
        <v>1659369635</v>
      </c>
      <c r="E14083" t="s">
        <v>13638</v>
      </c>
    </row>
    <row r="14084" spans="1:5" x14ac:dyDescent="0.25">
      <c r="A14084" t="s">
        <v>2</v>
      </c>
      <c r="B14084" t="s">
        <v>3458</v>
      </c>
      <c r="C14084" t="s">
        <v>23490</v>
      </c>
      <c r="D14084" t="str">
        <f>HYPERLINK("https://rhld.insurance.arkansas.gov/NPILookup?Npi=1659373223","1659373223")</f>
        <v>1659373223</v>
      </c>
      <c r="E14084" t="s">
        <v>19918</v>
      </c>
    </row>
    <row r="14085" spans="1:5" x14ac:dyDescent="0.25">
      <c r="A14085" t="s">
        <v>2</v>
      </c>
      <c r="B14085" t="s">
        <v>3458</v>
      </c>
      <c r="C14085" t="s">
        <v>23490</v>
      </c>
      <c r="D14085" t="str">
        <f>HYPERLINK("https://rhld.insurance.arkansas.gov/NPILookup?Npi=1659374296","1659374296")</f>
        <v>1659374296</v>
      </c>
      <c r="E14085" t="s">
        <v>15385</v>
      </c>
    </row>
    <row r="14086" spans="1:5" x14ac:dyDescent="0.25">
      <c r="A14086" t="s">
        <v>2</v>
      </c>
      <c r="B14086" t="s">
        <v>3458</v>
      </c>
      <c r="C14086" t="s">
        <v>23490</v>
      </c>
      <c r="D14086" t="str">
        <f>HYPERLINK("https://rhld.insurance.arkansas.gov/NPILookup?Npi=1659378396","1659378396")</f>
        <v>1659378396</v>
      </c>
      <c r="E14086" t="s">
        <v>3855</v>
      </c>
    </row>
    <row r="14087" spans="1:5" x14ac:dyDescent="0.25">
      <c r="A14087" t="s">
        <v>2</v>
      </c>
      <c r="B14087" t="s">
        <v>3458</v>
      </c>
      <c r="C14087" t="s">
        <v>23490</v>
      </c>
      <c r="D14087" t="str">
        <f>HYPERLINK("https://rhld.insurance.arkansas.gov/NPILookup?Npi=1659387181","1659387181")</f>
        <v>1659387181</v>
      </c>
      <c r="E14087" t="s">
        <v>3856</v>
      </c>
    </row>
    <row r="14088" spans="1:5" x14ac:dyDescent="0.25">
      <c r="A14088" t="s">
        <v>2</v>
      </c>
      <c r="B14088" t="s">
        <v>3458</v>
      </c>
      <c r="C14088" t="s">
        <v>8427</v>
      </c>
      <c r="D14088" t="str">
        <f>HYPERLINK("https://rhld.insurance.arkansas.gov/NPILookup?Npi=1659395960","1659395960")</f>
        <v>1659395960</v>
      </c>
      <c r="E14088" t="s">
        <v>22967</v>
      </c>
    </row>
    <row r="14089" spans="1:5" x14ac:dyDescent="0.25">
      <c r="A14089" t="s">
        <v>2</v>
      </c>
      <c r="B14089" t="s">
        <v>3458</v>
      </c>
      <c r="C14089" t="s">
        <v>23490</v>
      </c>
      <c r="D14089" t="str">
        <f>HYPERLINK("https://rhld.insurance.arkansas.gov/NPILookup?Npi=1659399723","1659399723")</f>
        <v>1659399723</v>
      </c>
      <c r="E14089" t="s">
        <v>15386</v>
      </c>
    </row>
    <row r="14090" spans="1:5" x14ac:dyDescent="0.25">
      <c r="A14090" t="s">
        <v>2</v>
      </c>
      <c r="B14090" t="s">
        <v>3458</v>
      </c>
      <c r="C14090" t="s">
        <v>23490</v>
      </c>
      <c r="D14090" t="str">
        <f>HYPERLINK("https://rhld.insurance.arkansas.gov/NPILookup?Npi=1659411049","1659411049")</f>
        <v>1659411049</v>
      </c>
      <c r="E14090" t="s">
        <v>15387</v>
      </c>
    </row>
    <row r="14091" spans="1:5" x14ac:dyDescent="0.25">
      <c r="A14091" t="s">
        <v>2</v>
      </c>
      <c r="B14091" t="s">
        <v>3458</v>
      </c>
      <c r="C14091" t="s">
        <v>23490</v>
      </c>
      <c r="D14091" t="str">
        <f>HYPERLINK("https://rhld.insurance.arkansas.gov/NPILookup?Npi=1659444305","1659444305")</f>
        <v>1659444305</v>
      </c>
      <c r="E14091" t="s">
        <v>15388</v>
      </c>
    </row>
    <row r="14092" spans="1:5" x14ac:dyDescent="0.25">
      <c r="A14092" t="s">
        <v>2</v>
      </c>
      <c r="B14092" t="s">
        <v>3458</v>
      </c>
      <c r="C14092" t="s">
        <v>23490</v>
      </c>
      <c r="D14092" t="str">
        <f>HYPERLINK("https://rhld.insurance.arkansas.gov/NPILookup?Npi=1659448868","1659448868")</f>
        <v>1659448868</v>
      </c>
      <c r="E14092" t="s">
        <v>8783</v>
      </c>
    </row>
    <row r="14093" spans="1:5" x14ac:dyDescent="0.25">
      <c r="A14093" t="s">
        <v>2</v>
      </c>
      <c r="B14093" t="s">
        <v>3458</v>
      </c>
      <c r="C14093" t="s">
        <v>23490</v>
      </c>
      <c r="D14093" t="str">
        <f>HYPERLINK("https://rhld.insurance.arkansas.gov/NPILookup?Npi=1659449361","1659449361")</f>
        <v>1659449361</v>
      </c>
      <c r="E14093" t="s">
        <v>15389</v>
      </c>
    </row>
    <row r="14094" spans="1:5" x14ac:dyDescent="0.25">
      <c r="A14094" t="s">
        <v>2</v>
      </c>
      <c r="B14094" t="s">
        <v>3458</v>
      </c>
      <c r="C14094" t="s">
        <v>23490</v>
      </c>
      <c r="D14094" t="str">
        <f>HYPERLINK("https://rhld.insurance.arkansas.gov/NPILookup?Npi=1659456390","1659456390")</f>
        <v>1659456390</v>
      </c>
      <c r="E14094" t="s">
        <v>20255</v>
      </c>
    </row>
    <row r="14095" spans="1:5" x14ac:dyDescent="0.25">
      <c r="A14095" t="s">
        <v>2</v>
      </c>
      <c r="B14095" t="s">
        <v>3458</v>
      </c>
      <c r="C14095" t="s">
        <v>23490</v>
      </c>
      <c r="D14095" t="str">
        <f>HYPERLINK("https://rhld.insurance.arkansas.gov/NPILookup?Npi=1659474161","1659474161")</f>
        <v>1659474161</v>
      </c>
      <c r="E14095" t="s">
        <v>2298</v>
      </c>
    </row>
    <row r="14096" spans="1:5" x14ac:dyDescent="0.25">
      <c r="A14096" t="s">
        <v>2</v>
      </c>
      <c r="B14096" t="s">
        <v>3458</v>
      </c>
      <c r="C14096" t="s">
        <v>23490</v>
      </c>
      <c r="D14096" t="str">
        <f>HYPERLINK("https://rhld.insurance.arkansas.gov/NPILookup?Npi=1659477164","1659477164")</f>
        <v>1659477164</v>
      </c>
      <c r="E14096" t="s">
        <v>13012</v>
      </c>
    </row>
    <row r="14097" spans="1:5" x14ac:dyDescent="0.25">
      <c r="A14097" t="s">
        <v>2</v>
      </c>
      <c r="B14097" t="s">
        <v>3458</v>
      </c>
      <c r="C14097" t="s">
        <v>23490</v>
      </c>
      <c r="D14097" t="str">
        <f>HYPERLINK("https://rhld.insurance.arkansas.gov/NPILookup?Npi=1659483949","1659483949")</f>
        <v>1659483949</v>
      </c>
      <c r="E14097" t="s">
        <v>2299</v>
      </c>
    </row>
    <row r="14098" spans="1:5" x14ac:dyDescent="0.25">
      <c r="A14098" t="s">
        <v>2</v>
      </c>
      <c r="B14098" t="s">
        <v>3458</v>
      </c>
      <c r="C14098" t="s">
        <v>23490</v>
      </c>
      <c r="D14098" t="str">
        <f>HYPERLINK("https://rhld.insurance.arkansas.gov/NPILookup?Npi=1659510725","1659510725")</f>
        <v>1659510725</v>
      </c>
      <c r="E14098" t="s">
        <v>15390</v>
      </c>
    </row>
    <row r="14099" spans="1:5" x14ac:dyDescent="0.25">
      <c r="A14099" t="s">
        <v>2</v>
      </c>
      <c r="B14099" t="s">
        <v>3458</v>
      </c>
      <c r="C14099" t="s">
        <v>23490</v>
      </c>
      <c r="D14099" t="str">
        <f>HYPERLINK("https://rhld.insurance.arkansas.gov/NPILookup?Npi=1659523124","1659523124")</f>
        <v>1659523124</v>
      </c>
      <c r="E14099" t="s">
        <v>2301</v>
      </c>
    </row>
    <row r="14100" spans="1:5" x14ac:dyDescent="0.25">
      <c r="A14100" t="s">
        <v>2</v>
      </c>
      <c r="B14100" t="s">
        <v>3458</v>
      </c>
      <c r="C14100" t="s">
        <v>23490</v>
      </c>
      <c r="D14100" t="str">
        <f>HYPERLINK("https://rhld.insurance.arkansas.gov/NPILookup?Npi=1659525327","1659525327")</f>
        <v>1659525327</v>
      </c>
      <c r="E14100" t="s">
        <v>2302</v>
      </c>
    </row>
    <row r="14101" spans="1:5" x14ac:dyDescent="0.25">
      <c r="A14101" t="s">
        <v>2</v>
      </c>
      <c r="B14101" t="s">
        <v>3458</v>
      </c>
      <c r="C14101" t="s">
        <v>23490</v>
      </c>
      <c r="D14101" t="str">
        <f>HYPERLINK("https://rhld.insurance.arkansas.gov/NPILookup?Npi=1659536563","1659536563")</f>
        <v>1659536563</v>
      </c>
      <c r="E14101" t="s">
        <v>2303</v>
      </c>
    </row>
    <row r="14102" spans="1:5" x14ac:dyDescent="0.25">
      <c r="A14102" t="s">
        <v>2</v>
      </c>
      <c r="B14102" t="s">
        <v>3458</v>
      </c>
      <c r="C14102" t="s">
        <v>23490</v>
      </c>
      <c r="D14102" t="str">
        <f>HYPERLINK("https://rhld.insurance.arkansas.gov/NPILookup?Npi=1659539682","1659539682")</f>
        <v>1659539682</v>
      </c>
      <c r="E14102" t="s">
        <v>3857</v>
      </c>
    </row>
    <row r="14103" spans="1:5" x14ac:dyDescent="0.25">
      <c r="A14103" t="s">
        <v>2</v>
      </c>
      <c r="B14103" t="s">
        <v>3458</v>
      </c>
      <c r="C14103" t="s">
        <v>23490</v>
      </c>
      <c r="D14103" t="str">
        <f>HYPERLINK("https://rhld.insurance.arkansas.gov/NPILookup?Npi=1659548790","1659548790")</f>
        <v>1659548790</v>
      </c>
      <c r="E14103" t="s">
        <v>2304</v>
      </c>
    </row>
    <row r="14104" spans="1:5" x14ac:dyDescent="0.25">
      <c r="A14104" t="s">
        <v>2</v>
      </c>
      <c r="B14104" t="s">
        <v>3458</v>
      </c>
      <c r="C14104" t="s">
        <v>23490</v>
      </c>
      <c r="D14104" t="str">
        <f>HYPERLINK("https://rhld.insurance.arkansas.gov/NPILookup?Npi=1659594562","1659594562")</f>
        <v>1659594562</v>
      </c>
      <c r="E14104" t="s">
        <v>19920</v>
      </c>
    </row>
    <row r="14105" spans="1:5" x14ac:dyDescent="0.25">
      <c r="A14105" t="s">
        <v>2</v>
      </c>
      <c r="B14105" t="s">
        <v>3458</v>
      </c>
      <c r="C14105" t="s">
        <v>23490</v>
      </c>
      <c r="D14105" t="str">
        <f>HYPERLINK("https://rhld.insurance.arkansas.gov/NPILookup?Npi=1659595817","1659595817")</f>
        <v>1659595817</v>
      </c>
      <c r="E14105" t="s">
        <v>2305</v>
      </c>
    </row>
    <row r="14106" spans="1:5" x14ac:dyDescent="0.25">
      <c r="A14106" t="s">
        <v>2</v>
      </c>
      <c r="B14106" t="s">
        <v>3458</v>
      </c>
      <c r="C14106" t="s">
        <v>23490</v>
      </c>
      <c r="D14106" t="str">
        <f>HYPERLINK("https://rhld.insurance.arkansas.gov/NPILookup?Npi=1659623775","1659623775")</f>
        <v>1659623775</v>
      </c>
      <c r="E14106" t="s">
        <v>19922</v>
      </c>
    </row>
    <row r="14107" spans="1:5" x14ac:dyDescent="0.25">
      <c r="A14107" t="s">
        <v>2</v>
      </c>
      <c r="B14107" t="s">
        <v>3458</v>
      </c>
      <c r="C14107" t="s">
        <v>23490</v>
      </c>
      <c r="D14107" t="str">
        <f>HYPERLINK("https://rhld.insurance.arkansas.gov/NPILookup?Npi=1659633840","1659633840")</f>
        <v>1659633840</v>
      </c>
      <c r="E14107" t="s">
        <v>2306</v>
      </c>
    </row>
    <row r="14108" spans="1:5" x14ac:dyDescent="0.25">
      <c r="A14108" t="s">
        <v>2</v>
      </c>
      <c r="B14108" t="s">
        <v>3458</v>
      </c>
      <c r="C14108" t="s">
        <v>23490</v>
      </c>
      <c r="D14108" t="str">
        <f>HYPERLINK("https://rhld.insurance.arkansas.gov/NPILookup?Npi=1659634277","1659634277")</f>
        <v>1659634277</v>
      </c>
      <c r="E14108" t="s">
        <v>2307</v>
      </c>
    </row>
    <row r="14109" spans="1:5" x14ac:dyDescent="0.25">
      <c r="A14109" t="s">
        <v>2</v>
      </c>
      <c r="B14109" t="s">
        <v>3458</v>
      </c>
      <c r="C14109" t="s">
        <v>23490</v>
      </c>
      <c r="D14109" t="str">
        <f>HYPERLINK("https://rhld.insurance.arkansas.gov/NPILookup?Npi=1659638625","1659638625")</f>
        <v>1659638625</v>
      </c>
      <c r="E14109" t="s">
        <v>8785</v>
      </c>
    </row>
    <row r="14110" spans="1:5" x14ac:dyDescent="0.25">
      <c r="A14110" t="s">
        <v>2</v>
      </c>
      <c r="B14110" t="s">
        <v>3458</v>
      </c>
      <c r="C14110" t="s">
        <v>23490</v>
      </c>
      <c r="D14110" t="str">
        <f>HYPERLINK("https://rhld.insurance.arkansas.gov/NPILookup?Npi=1659639664","1659639664")</f>
        <v>1659639664</v>
      </c>
      <c r="E14110" t="s">
        <v>11148</v>
      </c>
    </row>
    <row r="14111" spans="1:5" x14ac:dyDescent="0.25">
      <c r="A14111" t="s">
        <v>2</v>
      </c>
      <c r="B14111" t="s">
        <v>3458</v>
      </c>
      <c r="C14111" t="s">
        <v>23490</v>
      </c>
      <c r="D14111" t="str">
        <f>HYPERLINK("https://rhld.insurance.arkansas.gov/NPILookup?Npi=1659641496","1659641496")</f>
        <v>1659641496</v>
      </c>
      <c r="E14111" t="s">
        <v>12876</v>
      </c>
    </row>
    <row r="14112" spans="1:5" x14ac:dyDescent="0.25">
      <c r="A14112" t="s">
        <v>2</v>
      </c>
      <c r="B14112" t="s">
        <v>3458</v>
      </c>
      <c r="C14112" t="s">
        <v>23490</v>
      </c>
      <c r="D14112" t="str">
        <f>HYPERLINK("https://rhld.insurance.arkansas.gov/NPILookup?Npi=1659660314","1659660314")</f>
        <v>1659660314</v>
      </c>
      <c r="E14112" t="s">
        <v>8786</v>
      </c>
    </row>
    <row r="14113" spans="1:5" x14ac:dyDescent="0.25">
      <c r="A14113" t="s">
        <v>2</v>
      </c>
      <c r="B14113" t="s">
        <v>3458</v>
      </c>
      <c r="C14113" t="s">
        <v>23490</v>
      </c>
      <c r="D14113" t="str">
        <f>HYPERLINK("https://rhld.insurance.arkansas.gov/NPILookup?Npi=1659663250","1659663250")</f>
        <v>1659663250</v>
      </c>
      <c r="E14113" t="s">
        <v>12877</v>
      </c>
    </row>
    <row r="14114" spans="1:5" x14ac:dyDescent="0.25">
      <c r="A14114" t="s">
        <v>2</v>
      </c>
      <c r="B14114" t="s">
        <v>3458</v>
      </c>
      <c r="C14114" t="s">
        <v>23490</v>
      </c>
      <c r="D14114" t="str">
        <f>HYPERLINK("https://rhld.insurance.arkansas.gov/NPILookup?Npi=1659695898","1659695898")</f>
        <v>1659695898</v>
      </c>
      <c r="E14114" t="s">
        <v>2309</v>
      </c>
    </row>
    <row r="14115" spans="1:5" x14ac:dyDescent="0.25">
      <c r="A14115" t="s">
        <v>2</v>
      </c>
      <c r="B14115" t="s">
        <v>3458</v>
      </c>
      <c r="C14115" t="s">
        <v>23490</v>
      </c>
      <c r="D14115" t="str">
        <f>HYPERLINK("https://rhld.insurance.arkansas.gov/NPILookup?Npi=1659699247","1659699247")</f>
        <v>1659699247</v>
      </c>
      <c r="E14115" t="s">
        <v>3858</v>
      </c>
    </row>
    <row r="14116" spans="1:5" x14ac:dyDescent="0.25">
      <c r="A14116" t="s">
        <v>2</v>
      </c>
      <c r="B14116" t="s">
        <v>3458</v>
      </c>
      <c r="C14116" t="s">
        <v>23490</v>
      </c>
      <c r="D14116" t="str">
        <f>HYPERLINK("https://rhld.insurance.arkansas.gov/NPILookup?Npi=1659710531","1659710531")</f>
        <v>1659710531</v>
      </c>
      <c r="E14116" t="s">
        <v>2310</v>
      </c>
    </row>
    <row r="14117" spans="1:5" x14ac:dyDescent="0.25">
      <c r="A14117" t="s">
        <v>2</v>
      </c>
      <c r="B14117" t="s">
        <v>3458</v>
      </c>
      <c r="C14117" t="s">
        <v>23490</v>
      </c>
      <c r="D14117" t="str">
        <f>HYPERLINK("https://rhld.insurance.arkansas.gov/NPILookup?Npi=1659710879","1659710879")</f>
        <v>1659710879</v>
      </c>
      <c r="E14117" t="s">
        <v>951</v>
      </c>
    </row>
    <row r="14118" spans="1:5" x14ac:dyDescent="0.25">
      <c r="A14118" t="s">
        <v>2</v>
      </c>
      <c r="B14118" t="s">
        <v>3458</v>
      </c>
      <c r="C14118" t="s">
        <v>23490</v>
      </c>
      <c r="D14118" t="str">
        <f>HYPERLINK("https://rhld.insurance.arkansas.gov/NPILookup?Npi=1659738250","1659738250")</f>
        <v>1659738250</v>
      </c>
      <c r="E14118" t="s">
        <v>8787</v>
      </c>
    </row>
    <row r="14119" spans="1:5" x14ac:dyDescent="0.25">
      <c r="A14119" t="s">
        <v>2</v>
      </c>
      <c r="B14119" t="s">
        <v>3458</v>
      </c>
      <c r="C14119" t="s">
        <v>23490</v>
      </c>
      <c r="D14119" t="str">
        <f>HYPERLINK("https://rhld.insurance.arkansas.gov/NPILookup?Npi=1659755122","1659755122")</f>
        <v>1659755122</v>
      </c>
      <c r="E14119" t="s">
        <v>18066</v>
      </c>
    </row>
    <row r="14120" spans="1:5" x14ac:dyDescent="0.25">
      <c r="A14120" t="s">
        <v>2</v>
      </c>
      <c r="B14120" t="s">
        <v>3458</v>
      </c>
      <c r="C14120" t="s">
        <v>23490</v>
      </c>
      <c r="D14120" t="str">
        <f>HYPERLINK("https://rhld.insurance.arkansas.gov/NPILookup?Npi=1659759108","1659759108")</f>
        <v>1659759108</v>
      </c>
      <c r="E14120" t="s">
        <v>13640</v>
      </c>
    </row>
    <row r="14121" spans="1:5" x14ac:dyDescent="0.25">
      <c r="A14121" t="s">
        <v>2</v>
      </c>
      <c r="B14121" t="s">
        <v>3458</v>
      </c>
      <c r="C14121" t="s">
        <v>23490</v>
      </c>
      <c r="D14121" t="str">
        <f>HYPERLINK("https://rhld.insurance.arkansas.gov/NPILookup?Npi=1659760635","1659760635")</f>
        <v>1659760635</v>
      </c>
      <c r="E14121" t="s">
        <v>2311</v>
      </c>
    </row>
    <row r="14122" spans="1:5" x14ac:dyDescent="0.25">
      <c r="A14122" t="s">
        <v>2</v>
      </c>
      <c r="B14122" t="s">
        <v>3458</v>
      </c>
      <c r="C14122" t="s">
        <v>23490</v>
      </c>
      <c r="D14122" t="str">
        <f>HYPERLINK("https://rhld.insurance.arkansas.gov/NPILookup?Npi=1659761161","1659761161")</f>
        <v>1659761161</v>
      </c>
      <c r="E14122" t="s">
        <v>2312</v>
      </c>
    </row>
    <row r="14123" spans="1:5" x14ac:dyDescent="0.25">
      <c r="A14123" t="s">
        <v>2</v>
      </c>
      <c r="B14123" t="s">
        <v>3458</v>
      </c>
      <c r="C14123" t="s">
        <v>23490</v>
      </c>
      <c r="D14123" t="str">
        <f>HYPERLINK("https://rhld.insurance.arkansas.gov/NPILookup?Npi=1659761609","1659761609")</f>
        <v>1659761609</v>
      </c>
      <c r="E14123" t="s">
        <v>2313</v>
      </c>
    </row>
    <row r="14124" spans="1:5" x14ac:dyDescent="0.25">
      <c r="A14124" t="s">
        <v>2</v>
      </c>
      <c r="B14124" t="s">
        <v>3458</v>
      </c>
      <c r="C14124" t="s">
        <v>23490</v>
      </c>
      <c r="D14124" t="str">
        <f>HYPERLINK("https://rhld.insurance.arkansas.gov/NPILookup?Npi=1659762144","1659762144")</f>
        <v>1659762144</v>
      </c>
      <c r="E14124" t="s">
        <v>2314</v>
      </c>
    </row>
    <row r="14125" spans="1:5" x14ac:dyDescent="0.25">
      <c r="A14125" t="s">
        <v>2</v>
      </c>
      <c r="B14125" t="s">
        <v>3458</v>
      </c>
      <c r="C14125" t="s">
        <v>23490</v>
      </c>
      <c r="D14125" t="str">
        <f>HYPERLINK("https://rhld.insurance.arkansas.gov/NPILookup?Npi=1659766483","1659766483")</f>
        <v>1659766483</v>
      </c>
      <c r="E14125" t="s">
        <v>13865</v>
      </c>
    </row>
    <row r="14126" spans="1:5" x14ac:dyDescent="0.25">
      <c r="A14126" t="s">
        <v>2</v>
      </c>
      <c r="B14126" t="s">
        <v>3458</v>
      </c>
      <c r="C14126" t="s">
        <v>23490</v>
      </c>
      <c r="D14126" t="str">
        <f>HYPERLINK("https://rhld.insurance.arkansas.gov/NPILookup?Npi=1659766939","1659766939")</f>
        <v>1659766939</v>
      </c>
      <c r="E14126" t="s">
        <v>2315</v>
      </c>
    </row>
    <row r="14127" spans="1:5" x14ac:dyDescent="0.25">
      <c r="A14127" t="s">
        <v>2</v>
      </c>
      <c r="B14127" t="s">
        <v>3458</v>
      </c>
      <c r="C14127" t="s">
        <v>23490</v>
      </c>
      <c r="D14127" t="str">
        <f>HYPERLINK("https://rhld.insurance.arkansas.gov/NPILookup?Npi=1659778827","1659778827")</f>
        <v>1659778827</v>
      </c>
      <c r="E14127" t="s">
        <v>15392</v>
      </c>
    </row>
    <row r="14128" spans="1:5" x14ac:dyDescent="0.25">
      <c r="A14128" t="s">
        <v>2</v>
      </c>
      <c r="B14128" t="s">
        <v>3458</v>
      </c>
      <c r="C14128" t="s">
        <v>23490</v>
      </c>
      <c r="D14128" t="str">
        <f>HYPERLINK("https://rhld.insurance.arkansas.gov/NPILookup?Npi=1659806008","1659806008")</f>
        <v>1659806008</v>
      </c>
      <c r="E14128" t="s">
        <v>17456</v>
      </c>
    </row>
    <row r="14129" spans="1:5" x14ac:dyDescent="0.25">
      <c r="A14129" t="s">
        <v>2</v>
      </c>
      <c r="B14129" t="s">
        <v>3458</v>
      </c>
      <c r="C14129" t="s">
        <v>23490</v>
      </c>
      <c r="D14129" t="str">
        <f>HYPERLINK("https://rhld.insurance.arkansas.gov/NPILookup?Npi=1659811842","1659811842")</f>
        <v>1659811842</v>
      </c>
      <c r="E14129" t="s">
        <v>11149</v>
      </c>
    </row>
    <row r="14130" spans="1:5" x14ac:dyDescent="0.25">
      <c r="A14130" t="s">
        <v>2</v>
      </c>
      <c r="B14130" t="s">
        <v>3458</v>
      </c>
      <c r="C14130" t="s">
        <v>23490</v>
      </c>
      <c r="D14130" t="str">
        <f>HYPERLINK("https://rhld.insurance.arkansas.gov/NPILookup?Npi=1659814739","1659814739")</f>
        <v>1659814739</v>
      </c>
      <c r="E14130" t="s">
        <v>11151</v>
      </c>
    </row>
    <row r="14131" spans="1:5" x14ac:dyDescent="0.25">
      <c r="A14131" t="s">
        <v>2</v>
      </c>
      <c r="B14131" t="s">
        <v>3458</v>
      </c>
      <c r="C14131" t="s">
        <v>23490</v>
      </c>
      <c r="D14131" t="str">
        <f>HYPERLINK("https://rhld.insurance.arkansas.gov/NPILookup?Npi=1659823094","1659823094")</f>
        <v>1659823094</v>
      </c>
      <c r="E14131" t="s">
        <v>13013</v>
      </c>
    </row>
    <row r="14132" spans="1:5" x14ac:dyDescent="0.25">
      <c r="A14132" t="s">
        <v>2</v>
      </c>
      <c r="B14132" t="s">
        <v>3458</v>
      </c>
      <c r="C14132" t="s">
        <v>23490</v>
      </c>
      <c r="D14132" t="str">
        <f>HYPERLINK("https://rhld.insurance.arkansas.gov/NPILookup?Npi=1659829521","1659829521")</f>
        <v>1659829521</v>
      </c>
      <c r="E14132" t="s">
        <v>11152</v>
      </c>
    </row>
    <row r="14133" spans="1:5" x14ac:dyDescent="0.25">
      <c r="A14133" t="s">
        <v>2</v>
      </c>
      <c r="B14133" t="s">
        <v>3458</v>
      </c>
      <c r="C14133" t="s">
        <v>23490</v>
      </c>
      <c r="D14133" t="str">
        <f>HYPERLINK("https://rhld.insurance.arkansas.gov/NPILookup?Npi=1659879583","1659879583")</f>
        <v>1659879583</v>
      </c>
      <c r="E14133" t="s">
        <v>12878</v>
      </c>
    </row>
    <row r="14134" spans="1:5" x14ac:dyDescent="0.25">
      <c r="A14134" t="s">
        <v>2</v>
      </c>
      <c r="B14134" t="s">
        <v>3458</v>
      </c>
      <c r="C14134" t="s">
        <v>23490</v>
      </c>
      <c r="D14134" t="str">
        <f>HYPERLINK("https://rhld.insurance.arkansas.gov/NPILookup?Npi=1659888188","1659888188")</f>
        <v>1659888188</v>
      </c>
      <c r="E14134" t="s">
        <v>12879</v>
      </c>
    </row>
    <row r="14135" spans="1:5" x14ac:dyDescent="0.25">
      <c r="A14135" t="s">
        <v>2</v>
      </c>
      <c r="B14135" t="s">
        <v>3458</v>
      </c>
      <c r="C14135" t="s">
        <v>8427</v>
      </c>
      <c r="D14135" t="str">
        <f>HYPERLINK("https://rhld.insurance.arkansas.gov/NPILookup?Npi=1659908614","1659908614")</f>
        <v>1659908614</v>
      </c>
      <c r="E14135" t="s">
        <v>22968</v>
      </c>
    </row>
    <row r="14136" spans="1:5" x14ac:dyDescent="0.25">
      <c r="A14136" t="s">
        <v>2</v>
      </c>
      <c r="B14136" t="s">
        <v>3458</v>
      </c>
      <c r="C14136" t="s">
        <v>23490</v>
      </c>
      <c r="D14136" t="str">
        <f>HYPERLINK("https://rhld.insurance.arkansas.gov/NPILookup?Npi=1659951465","1659951465")</f>
        <v>1659951465</v>
      </c>
      <c r="E14136" t="s">
        <v>18068</v>
      </c>
    </row>
    <row r="14137" spans="1:5" x14ac:dyDescent="0.25">
      <c r="A14137" t="s">
        <v>2</v>
      </c>
      <c r="B14137" t="s">
        <v>3458</v>
      </c>
      <c r="C14137" t="s">
        <v>23490</v>
      </c>
      <c r="D14137" t="str">
        <f>HYPERLINK("https://rhld.insurance.arkansas.gov/NPILookup?Npi=1659964153","1659964153")</f>
        <v>1659964153</v>
      </c>
      <c r="E14137" t="s">
        <v>18069</v>
      </c>
    </row>
    <row r="14138" spans="1:5" x14ac:dyDescent="0.25">
      <c r="A14138" t="s">
        <v>2</v>
      </c>
      <c r="B14138" t="s">
        <v>3458</v>
      </c>
      <c r="C14138" t="s">
        <v>23490</v>
      </c>
      <c r="D14138" t="str">
        <f>HYPERLINK("https://rhld.insurance.arkansas.gov/NPILookup?Npi=1659997351","1659997351")</f>
        <v>1659997351</v>
      </c>
      <c r="E14138" t="s">
        <v>18071</v>
      </c>
    </row>
    <row r="14139" spans="1:5" x14ac:dyDescent="0.25">
      <c r="A14139" t="s">
        <v>2</v>
      </c>
      <c r="B14139" t="s">
        <v>3458</v>
      </c>
      <c r="C14139" t="s">
        <v>23490</v>
      </c>
      <c r="D14139" t="str">
        <f>HYPERLINK("https://rhld.insurance.arkansas.gov/NPILookup?Npi=1669052536","1669052536")</f>
        <v>1669052536</v>
      </c>
      <c r="E14139" t="s">
        <v>18072</v>
      </c>
    </row>
    <row r="14140" spans="1:5" x14ac:dyDescent="0.25">
      <c r="A14140" t="s">
        <v>2</v>
      </c>
      <c r="B14140" t="s">
        <v>3458</v>
      </c>
      <c r="C14140" t="s">
        <v>23490</v>
      </c>
      <c r="D14140" t="str">
        <f>HYPERLINK("https://rhld.insurance.arkansas.gov/NPILookup?Npi=1669058012","1669058012")</f>
        <v>1669058012</v>
      </c>
      <c r="E14140" t="s">
        <v>21616</v>
      </c>
    </row>
    <row r="14141" spans="1:5" x14ac:dyDescent="0.25">
      <c r="A14141" t="s">
        <v>2</v>
      </c>
      <c r="B14141" t="s">
        <v>3458</v>
      </c>
      <c r="C14141" t="s">
        <v>23490</v>
      </c>
      <c r="D14141" t="str">
        <f>HYPERLINK("https://rhld.insurance.arkansas.gov/NPILookup?Npi=1669079380","1669079380")</f>
        <v>1669079380</v>
      </c>
      <c r="E14141" t="s">
        <v>18073</v>
      </c>
    </row>
    <row r="14142" spans="1:5" x14ac:dyDescent="0.25">
      <c r="A14142" t="s">
        <v>2</v>
      </c>
      <c r="B14142" t="s">
        <v>3458</v>
      </c>
      <c r="C14142" t="s">
        <v>23490</v>
      </c>
      <c r="D14142" t="str">
        <f>HYPERLINK("https://rhld.insurance.arkansas.gov/NPILookup?Npi=1669086898","1669086898")</f>
        <v>1669086898</v>
      </c>
      <c r="E14142" t="s">
        <v>19928</v>
      </c>
    </row>
    <row r="14143" spans="1:5" x14ac:dyDescent="0.25">
      <c r="A14143" t="s">
        <v>2</v>
      </c>
      <c r="B14143" t="s">
        <v>3458</v>
      </c>
      <c r="C14143" t="s">
        <v>23490</v>
      </c>
      <c r="D14143" t="str">
        <f>HYPERLINK("https://rhld.insurance.arkansas.gov/NPILookup?Npi=1669091195","1669091195")</f>
        <v>1669091195</v>
      </c>
      <c r="E14143" t="s">
        <v>18832</v>
      </c>
    </row>
    <row r="14144" spans="1:5" x14ac:dyDescent="0.25">
      <c r="A14144" t="s">
        <v>2</v>
      </c>
      <c r="B14144" t="s">
        <v>3458</v>
      </c>
      <c r="C14144" t="s">
        <v>23490</v>
      </c>
      <c r="D14144" t="str">
        <f>HYPERLINK("https://rhld.insurance.arkansas.gov/NPILookup?Npi=1669129250","1669129250")</f>
        <v>1669129250</v>
      </c>
      <c r="E14144" t="s">
        <v>19929</v>
      </c>
    </row>
    <row r="14145" spans="1:5" x14ac:dyDescent="0.25">
      <c r="A14145" t="s">
        <v>2</v>
      </c>
      <c r="B14145" t="s">
        <v>3458</v>
      </c>
      <c r="C14145" t="s">
        <v>23490</v>
      </c>
      <c r="D14145" t="str">
        <f>HYPERLINK("https://rhld.insurance.arkansas.gov/NPILookup?Npi=1669176251","1669176251")</f>
        <v>1669176251</v>
      </c>
      <c r="E14145" t="s">
        <v>21618</v>
      </c>
    </row>
    <row r="14146" spans="1:5" x14ac:dyDescent="0.25">
      <c r="A14146" t="s">
        <v>2</v>
      </c>
      <c r="B14146" t="s">
        <v>3458</v>
      </c>
      <c r="C14146" t="s">
        <v>23490</v>
      </c>
      <c r="D14146" t="str">
        <f>HYPERLINK("https://rhld.insurance.arkansas.gov/NPILookup?Npi=1669405700","1669405700")</f>
        <v>1669405700</v>
      </c>
      <c r="E14146" t="s">
        <v>15395</v>
      </c>
    </row>
    <row r="14147" spans="1:5" x14ac:dyDescent="0.25">
      <c r="A14147" t="s">
        <v>2</v>
      </c>
      <c r="B14147" t="s">
        <v>3458</v>
      </c>
      <c r="C14147" t="s">
        <v>23490</v>
      </c>
      <c r="D14147" t="str">
        <f>HYPERLINK("https://rhld.insurance.arkansas.gov/NPILookup?Npi=1669407730","1669407730")</f>
        <v>1669407730</v>
      </c>
      <c r="E14147" t="s">
        <v>3859</v>
      </c>
    </row>
    <row r="14148" spans="1:5" x14ac:dyDescent="0.25">
      <c r="A14148" t="s">
        <v>2</v>
      </c>
      <c r="B14148" t="s">
        <v>3458</v>
      </c>
      <c r="C14148" t="s">
        <v>23490</v>
      </c>
      <c r="D14148" t="str">
        <f>HYPERLINK("https://rhld.insurance.arkansas.gov/NPILookup?Npi=1669430286","1669430286")</f>
        <v>1669430286</v>
      </c>
      <c r="E14148" t="s">
        <v>3860</v>
      </c>
    </row>
    <row r="14149" spans="1:5" x14ac:dyDescent="0.25">
      <c r="A14149" t="s">
        <v>2</v>
      </c>
      <c r="B14149" t="s">
        <v>3458</v>
      </c>
      <c r="C14149" t="s">
        <v>23490</v>
      </c>
      <c r="D14149" t="str">
        <f>HYPERLINK("https://rhld.insurance.arkansas.gov/NPILookup?Npi=1669430575","1669430575")</f>
        <v>1669430575</v>
      </c>
      <c r="E14149" t="s">
        <v>2318</v>
      </c>
    </row>
    <row r="14150" spans="1:5" x14ac:dyDescent="0.25">
      <c r="A14150" t="s">
        <v>2</v>
      </c>
      <c r="B14150" t="s">
        <v>3458</v>
      </c>
      <c r="C14150" t="s">
        <v>23490</v>
      </c>
      <c r="D14150" t="str">
        <f>HYPERLINK("https://rhld.insurance.arkansas.gov/NPILookup?Npi=1669430682","1669430682")</f>
        <v>1669430682</v>
      </c>
      <c r="E14150" t="s">
        <v>2319</v>
      </c>
    </row>
    <row r="14151" spans="1:5" x14ac:dyDescent="0.25">
      <c r="A14151" t="s">
        <v>2</v>
      </c>
      <c r="B14151" t="s">
        <v>3458</v>
      </c>
      <c r="C14151" t="s">
        <v>23490</v>
      </c>
      <c r="D14151" t="str">
        <f>HYPERLINK("https://rhld.insurance.arkansas.gov/NPILookup?Npi=1669433520","1669433520")</f>
        <v>1669433520</v>
      </c>
      <c r="E14151" t="s">
        <v>2320</v>
      </c>
    </row>
    <row r="14152" spans="1:5" x14ac:dyDescent="0.25">
      <c r="A14152" t="s">
        <v>2</v>
      </c>
      <c r="B14152" t="s">
        <v>3458</v>
      </c>
      <c r="C14152" t="s">
        <v>23490</v>
      </c>
      <c r="D14152" t="str">
        <f>HYPERLINK("https://rhld.insurance.arkansas.gov/NPILookup?Npi=1669434171","1669434171")</f>
        <v>1669434171</v>
      </c>
      <c r="E14152" t="s">
        <v>2321</v>
      </c>
    </row>
    <row r="14153" spans="1:5" x14ac:dyDescent="0.25">
      <c r="A14153" t="s">
        <v>2</v>
      </c>
      <c r="B14153" t="s">
        <v>3458</v>
      </c>
      <c r="C14153" t="s">
        <v>23490</v>
      </c>
      <c r="D14153" t="str">
        <f>HYPERLINK("https://rhld.insurance.arkansas.gov/NPILookup?Npi=1669440822","1669440822")</f>
        <v>1669440822</v>
      </c>
      <c r="E14153" t="s">
        <v>2322</v>
      </c>
    </row>
    <row r="14154" spans="1:5" x14ac:dyDescent="0.25">
      <c r="A14154" t="s">
        <v>2</v>
      </c>
      <c r="B14154" t="s">
        <v>3458</v>
      </c>
      <c r="C14154" t="s">
        <v>23490</v>
      </c>
      <c r="D14154" t="str">
        <f>HYPERLINK("https://rhld.insurance.arkansas.gov/NPILookup?Npi=1669451407","1669451407")</f>
        <v>1669451407</v>
      </c>
      <c r="E14154" t="s">
        <v>11153</v>
      </c>
    </row>
    <row r="14155" spans="1:5" x14ac:dyDescent="0.25">
      <c r="A14155" t="s">
        <v>2</v>
      </c>
      <c r="B14155" t="s">
        <v>3458</v>
      </c>
      <c r="C14155" t="s">
        <v>23490</v>
      </c>
      <c r="D14155" t="str">
        <f>HYPERLINK("https://rhld.insurance.arkansas.gov/NPILookup?Npi=1669461679","1669461679")</f>
        <v>1669461679</v>
      </c>
      <c r="E14155" t="s">
        <v>11154</v>
      </c>
    </row>
    <row r="14156" spans="1:5" x14ac:dyDescent="0.25">
      <c r="A14156" t="s">
        <v>2</v>
      </c>
      <c r="B14156" t="s">
        <v>3458</v>
      </c>
      <c r="C14156" t="s">
        <v>23490</v>
      </c>
      <c r="D14156" t="str">
        <f>HYPERLINK("https://rhld.insurance.arkansas.gov/NPILookup?Npi=1669465688","1669465688")</f>
        <v>1669465688</v>
      </c>
      <c r="E14156" t="s">
        <v>3861</v>
      </c>
    </row>
    <row r="14157" spans="1:5" x14ac:dyDescent="0.25">
      <c r="A14157" t="s">
        <v>2</v>
      </c>
      <c r="B14157" t="s">
        <v>3458</v>
      </c>
      <c r="C14157" t="s">
        <v>23490</v>
      </c>
      <c r="D14157" t="str">
        <f>HYPERLINK("https://rhld.insurance.arkansas.gov/NPILookup?Npi=1669467056","1669467056")</f>
        <v>1669467056</v>
      </c>
      <c r="E14157" t="s">
        <v>2324</v>
      </c>
    </row>
    <row r="14158" spans="1:5" x14ac:dyDescent="0.25">
      <c r="A14158" t="s">
        <v>2</v>
      </c>
      <c r="B14158" t="s">
        <v>3458</v>
      </c>
      <c r="C14158" t="s">
        <v>23490</v>
      </c>
      <c r="D14158" t="str">
        <f>HYPERLINK("https://rhld.insurance.arkansas.gov/NPILookup?Npi=1669469243","1669469243")</f>
        <v>1669469243</v>
      </c>
      <c r="E14158" t="s">
        <v>15397</v>
      </c>
    </row>
    <row r="14159" spans="1:5" x14ac:dyDescent="0.25">
      <c r="A14159" t="s">
        <v>2</v>
      </c>
      <c r="B14159" t="s">
        <v>3458</v>
      </c>
      <c r="C14159" t="s">
        <v>23490</v>
      </c>
      <c r="D14159" t="str">
        <f>HYPERLINK("https://rhld.insurance.arkansas.gov/NPILookup?Npi=1669472064","1669472064")</f>
        <v>1669472064</v>
      </c>
      <c r="E14159" t="s">
        <v>3862</v>
      </c>
    </row>
    <row r="14160" spans="1:5" x14ac:dyDescent="0.25">
      <c r="A14160" t="s">
        <v>2</v>
      </c>
      <c r="B14160" t="s">
        <v>3458</v>
      </c>
      <c r="C14160" t="s">
        <v>23490</v>
      </c>
      <c r="D14160" t="str">
        <f>HYPERLINK("https://rhld.insurance.arkansas.gov/NPILookup?Npi=1669477469","1669477469")</f>
        <v>1669477469</v>
      </c>
      <c r="E14160" t="s">
        <v>2326</v>
      </c>
    </row>
    <row r="14161" spans="1:5" x14ac:dyDescent="0.25">
      <c r="A14161" t="s">
        <v>2</v>
      </c>
      <c r="B14161" t="s">
        <v>3458</v>
      </c>
      <c r="C14161" t="s">
        <v>23490</v>
      </c>
      <c r="D14161" t="str">
        <f>HYPERLINK("https://rhld.insurance.arkansas.gov/NPILookup?Npi=1669479036","1669479036")</f>
        <v>1669479036</v>
      </c>
      <c r="E14161" t="s">
        <v>2327</v>
      </c>
    </row>
    <row r="14162" spans="1:5" x14ac:dyDescent="0.25">
      <c r="A14162" t="s">
        <v>2</v>
      </c>
      <c r="B14162" t="s">
        <v>3458</v>
      </c>
      <c r="C14162" t="s">
        <v>23490</v>
      </c>
      <c r="D14162" t="str">
        <f>HYPERLINK("https://rhld.insurance.arkansas.gov/NPILookup?Npi=1669494860","1669494860")</f>
        <v>1669494860</v>
      </c>
      <c r="E14162" t="s">
        <v>2328</v>
      </c>
    </row>
    <row r="14163" spans="1:5" x14ac:dyDescent="0.25">
      <c r="A14163" t="s">
        <v>2</v>
      </c>
      <c r="B14163" t="s">
        <v>3458</v>
      </c>
      <c r="C14163" t="s">
        <v>23490</v>
      </c>
      <c r="D14163" t="str">
        <f>HYPERLINK("https://rhld.insurance.arkansas.gov/NPILookup?Npi=1669545711","1669545711")</f>
        <v>1669545711</v>
      </c>
      <c r="E14163" t="s">
        <v>11155</v>
      </c>
    </row>
    <row r="14164" spans="1:5" x14ac:dyDescent="0.25">
      <c r="A14164" t="s">
        <v>2</v>
      </c>
      <c r="B14164" t="s">
        <v>3458</v>
      </c>
      <c r="C14164" t="s">
        <v>23490</v>
      </c>
      <c r="D14164" t="str">
        <f>HYPERLINK("https://rhld.insurance.arkansas.gov/NPILookup?Npi=1669552642","1669552642")</f>
        <v>1669552642</v>
      </c>
      <c r="E14164" t="s">
        <v>15398</v>
      </c>
    </row>
    <row r="14165" spans="1:5" x14ac:dyDescent="0.25">
      <c r="A14165" t="s">
        <v>2</v>
      </c>
      <c r="B14165" t="s">
        <v>3458</v>
      </c>
      <c r="C14165" t="s">
        <v>23490</v>
      </c>
      <c r="D14165" t="str">
        <f>HYPERLINK("https://rhld.insurance.arkansas.gov/NPILookup?Npi=1669562146","1669562146")</f>
        <v>1669562146</v>
      </c>
      <c r="E14165" t="s">
        <v>2330</v>
      </c>
    </row>
    <row r="14166" spans="1:5" x14ac:dyDescent="0.25">
      <c r="A14166" t="s">
        <v>2</v>
      </c>
      <c r="B14166" t="s">
        <v>3458</v>
      </c>
      <c r="C14166" t="s">
        <v>23490</v>
      </c>
      <c r="D14166" t="str">
        <f>HYPERLINK("https://rhld.insurance.arkansas.gov/NPILookup?Npi=1669562161","1669562161")</f>
        <v>1669562161</v>
      </c>
      <c r="E14166" t="s">
        <v>3185</v>
      </c>
    </row>
    <row r="14167" spans="1:5" x14ac:dyDescent="0.25">
      <c r="A14167" t="s">
        <v>2</v>
      </c>
      <c r="B14167" t="s">
        <v>3458</v>
      </c>
      <c r="C14167" t="s">
        <v>23490</v>
      </c>
      <c r="D14167" t="str">
        <f>HYPERLINK("https://rhld.insurance.arkansas.gov/NPILookup?Npi=1669564845","1669564845")</f>
        <v>1669564845</v>
      </c>
      <c r="E14167" t="s">
        <v>19231</v>
      </c>
    </row>
    <row r="14168" spans="1:5" x14ac:dyDescent="0.25">
      <c r="A14168" t="s">
        <v>2</v>
      </c>
      <c r="B14168" t="s">
        <v>3458</v>
      </c>
      <c r="C14168" t="s">
        <v>23490</v>
      </c>
      <c r="D14168" t="str">
        <f>HYPERLINK("https://rhld.insurance.arkansas.gov/NPILookup?Npi=1669575569","1669575569")</f>
        <v>1669575569</v>
      </c>
      <c r="E14168" t="s">
        <v>2331</v>
      </c>
    </row>
    <row r="14169" spans="1:5" x14ac:dyDescent="0.25">
      <c r="A14169" t="s">
        <v>2</v>
      </c>
      <c r="B14169" t="s">
        <v>3458</v>
      </c>
      <c r="C14169" t="s">
        <v>23490</v>
      </c>
      <c r="D14169" t="str">
        <f>HYPERLINK("https://rhld.insurance.arkansas.gov/NPILookup?Npi=1669585063","1669585063")</f>
        <v>1669585063</v>
      </c>
      <c r="E14169" t="s">
        <v>2332</v>
      </c>
    </row>
    <row r="14170" spans="1:5" x14ac:dyDescent="0.25">
      <c r="A14170" t="s">
        <v>2</v>
      </c>
      <c r="B14170" t="s">
        <v>3458</v>
      </c>
      <c r="C14170" t="s">
        <v>23490</v>
      </c>
      <c r="D14170" t="str">
        <f>HYPERLINK("https://rhld.insurance.arkansas.gov/NPILookup?Npi=1669598520","1669598520")</f>
        <v>1669598520</v>
      </c>
      <c r="E14170" t="s">
        <v>15890</v>
      </c>
    </row>
    <row r="14171" spans="1:5" x14ac:dyDescent="0.25">
      <c r="A14171" t="s">
        <v>2</v>
      </c>
      <c r="B14171" t="s">
        <v>3458</v>
      </c>
      <c r="C14171" t="s">
        <v>23490</v>
      </c>
      <c r="D14171" t="str">
        <f>HYPERLINK("https://rhld.insurance.arkansas.gov/NPILookup?Npi=1669614871","1669614871")</f>
        <v>1669614871</v>
      </c>
      <c r="E14171" t="s">
        <v>2334</v>
      </c>
    </row>
    <row r="14172" spans="1:5" x14ac:dyDescent="0.25">
      <c r="A14172" t="s">
        <v>2</v>
      </c>
      <c r="B14172" t="s">
        <v>3458</v>
      </c>
      <c r="C14172" t="s">
        <v>23490</v>
      </c>
      <c r="D14172" t="str">
        <f>HYPERLINK("https://rhld.insurance.arkansas.gov/NPILookup?Npi=1669614889","1669614889")</f>
        <v>1669614889</v>
      </c>
      <c r="E14172" t="s">
        <v>18075</v>
      </c>
    </row>
    <row r="14173" spans="1:5" x14ac:dyDescent="0.25">
      <c r="A14173" t="s">
        <v>2</v>
      </c>
      <c r="B14173" t="s">
        <v>3458</v>
      </c>
      <c r="C14173" t="s">
        <v>23490</v>
      </c>
      <c r="D14173" t="str">
        <f>HYPERLINK("https://rhld.insurance.arkansas.gov/NPILookup?Npi=1669621710","1669621710")</f>
        <v>1669621710</v>
      </c>
      <c r="E14173" t="s">
        <v>2335</v>
      </c>
    </row>
    <row r="14174" spans="1:5" x14ac:dyDescent="0.25">
      <c r="A14174" t="s">
        <v>2</v>
      </c>
      <c r="B14174" t="s">
        <v>3458</v>
      </c>
      <c r="C14174" t="s">
        <v>23490</v>
      </c>
      <c r="D14174" t="str">
        <f>HYPERLINK("https://rhld.insurance.arkansas.gov/NPILookup?Npi=1669637468","1669637468")</f>
        <v>1669637468</v>
      </c>
      <c r="E14174" t="s">
        <v>2336</v>
      </c>
    </row>
    <row r="14175" spans="1:5" x14ac:dyDescent="0.25">
      <c r="A14175" t="s">
        <v>2</v>
      </c>
      <c r="B14175" t="s">
        <v>3458</v>
      </c>
      <c r="C14175" t="s">
        <v>23490</v>
      </c>
      <c r="D14175" t="str">
        <f>HYPERLINK("https://rhld.insurance.arkansas.gov/NPILookup?Npi=1669645099","1669645099")</f>
        <v>1669645099</v>
      </c>
      <c r="E14175" t="s">
        <v>2337</v>
      </c>
    </row>
    <row r="14176" spans="1:5" x14ac:dyDescent="0.25">
      <c r="A14176" t="s">
        <v>2</v>
      </c>
      <c r="B14176" t="s">
        <v>3458</v>
      </c>
      <c r="C14176" t="s">
        <v>23490</v>
      </c>
      <c r="D14176" t="str">
        <f>HYPERLINK("https://rhld.insurance.arkansas.gov/NPILookup?Npi=1669658837","1669658837")</f>
        <v>1669658837</v>
      </c>
      <c r="E14176" t="s">
        <v>8788</v>
      </c>
    </row>
    <row r="14177" spans="1:5" x14ac:dyDescent="0.25">
      <c r="A14177" t="s">
        <v>2</v>
      </c>
      <c r="B14177" t="s">
        <v>3458</v>
      </c>
      <c r="C14177" t="s">
        <v>23490</v>
      </c>
      <c r="D14177" t="str">
        <f>HYPERLINK("https://rhld.insurance.arkansas.gov/NPILookup?Npi=1669665964","1669665964")</f>
        <v>1669665964</v>
      </c>
      <c r="E14177" t="s">
        <v>2338</v>
      </c>
    </row>
    <row r="14178" spans="1:5" x14ac:dyDescent="0.25">
      <c r="A14178" t="s">
        <v>2</v>
      </c>
      <c r="B14178" t="s">
        <v>3458</v>
      </c>
      <c r="C14178" t="s">
        <v>23490</v>
      </c>
      <c r="D14178" t="str">
        <f>HYPERLINK("https://rhld.insurance.arkansas.gov/NPILookup?Npi=1669676557","1669676557")</f>
        <v>1669676557</v>
      </c>
      <c r="E14178" t="s">
        <v>2341</v>
      </c>
    </row>
    <row r="14179" spans="1:5" x14ac:dyDescent="0.25">
      <c r="A14179" t="s">
        <v>2</v>
      </c>
      <c r="B14179" t="s">
        <v>3458</v>
      </c>
      <c r="C14179" t="s">
        <v>23490</v>
      </c>
      <c r="D14179" t="str">
        <f>HYPERLINK("https://rhld.insurance.arkansas.gov/NPILookup?Npi=1669682902","1669682902")</f>
        <v>1669682902</v>
      </c>
      <c r="E14179" t="s">
        <v>2342</v>
      </c>
    </row>
    <row r="14180" spans="1:5" x14ac:dyDescent="0.25">
      <c r="A14180" t="s">
        <v>2</v>
      </c>
      <c r="B14180" t="s">
        <v>3458</v>
      </c>
      <c r="C14180" t="s">
        <v>23490</v>
      </c>
      <c r="D14180" t="str">
        <f>HYPERLINK("https://rhld.insurance.arkansas.gov/NPILookup?Npi=1669731741","1669731741")</f>
        <v>1669731741</v>
      </c>
      <c r="E14180" t="s">
        <v>18076</v>
      </c>
    </row>
    <row r="14181" spans="1:5" x14ac:dyDescent="0.25">
      <c r="A14181" t="s">
        <v>2</v>
      </c>
      <c r="B14181" t="s">
        <v>3458</v>
      </c>
      <c r="C14181" t="s">
        <v>23490</v>
      </c>
      <c r="D14181" t="str">
        <f>HYPERLINK("https://rhld.insurance.arkansas.gov/NPILookup?Npi=1669732376","1669732376")</f>
        <v>1669732376</v>
      </c>
      <c r="E14181" t="s">
        <v>15399</v>
      </c>
    </row>
    <row r="14182" spans="1:5" x14ac:dyDescent="0.25">
      <c r="A14182" t="s">
        <v>2</v>
      </c>
      <c r="B14182" t="s">
        <v>3458</v>
      </c>
      <c r="C14182" t="s">
        <v>23490</v>
      </c>
      <c r="D14182" t="str">
        <f>HYPERLINK("https://rhld.insurance.arkansas.gov/NPILookup?Npi=1669758777","1669758777")</f>
        <v>1669758777</v>
      </c>
      <c r="E14182" t="s">
        <v>2345</v>
      </c>
    </row>
    <row r="14183" spans="1:5" x14ac:dyDescent="0.25">
      <c r="A14183" t="s">
        <v>2</v>
      </c>
      <c r="B14183" t="s">
        <v>3458</v>
      </c>
      <c r="C14183" t="s">
        <v>23490</v>
      </c>
      <c r="D14183" t="str">
        <f>HYPERLINK("https://rhld.insurance.arkansas.gov/NPILookup?Npi=1669760609","1669760609")</f>
        <v>1669760609</v>
      </c>
      <c r="E14183" t="s">
        <v>15400</v>
      </c>
    </row>
    <row r="14184" spans="1:5" x14ac:dyDescent="0.25">
      <c r="A14184" t="s">
        <v>2</v>
      </c>
      <c r="B14184" t="s">
        <v>3458</v>
      </c>
      <c r="C14184" t="s">
        <v>23490</v>
      </c>
      <c r="D14184" t="str">
        <f>HYPERLINK("https://rhld.insurance.arkansas.gov/NPILookup?Npi=1669777926","1669777926")</f>
        <v>1669777926</v>
      </c>
      <c r="E14184" t="s">
        <v>15401</v>
      </c>
    </row>
    <row r="14185" spans="1:5" x14ac:dyDescent="0.25">
      <c r="A14185" t="s">
        <v>2</v>
      </c>
      <c r="B14185" t="s">
        <v>3458</v>
      </c>
      <c r="C14185" t="s">
        <v>23490</v>
      </c>
      <c r="D14185" t="str">
        <f>HYPERLINK("https://rhld.insurance.arkansas.gov/NPILookup?Npi=1669787396","1669787396")</f>
        <v>1669787396</v>
      </c>
      <c r="E14185" t="s">
        <v>11474</v>
      </c>
    </row>
    <row r="14186" spans="1:5" x14ac:dyDescent="0.25">
      <c r="A14186" t="s">
        <v>2</v>
      </c>
      <c r="B14186" t="s">
        <v>3458</v>
      </c>
      <c r="C14186" t="s">
        <v>23490</v>
      </c>
      <c r="D14186" t="str">
        <f>HYPERLINK("https://rhld.insurance.arkansas.gov/NPILookup?Npi=1669798807","1669798807")</f>
        <v>1669798807</v>
      </c>
      <c r="E14186" t="s">
        <v>2347</v>
      </c>
    </row>
    <row r="14187" spans="1:5" x14ac:dyDescent="0.25">
      <c r="A14187" t="s">
        <v>2</v>
      </c>
      <c r="B14187" t="s">
        <v>3458</v>
      </c>
      <c r="C14187" t="s">
        <v>23490</v>
      </c>
      <c r="D14187" t="str">
        <f>HYPERLINK("https://rhld.insurance.arkansas.gov/NPILookup?Npi=1669798880","1669798880")</f>
        <v>1669798880</v>
      </c>
      <c r="E14187" t="s">
        <v>15402</v>
      </c>
    </row>
    <row r="14188" spans="1:5" x14ac:dyDescent="0.25">
      <c r="A14188" t="s">
        <v>2</v>
      </c>
      <c r="B14188" t="s">
        <v>3458</v>
      </c>
      <c r="C14188" t="s">
        <v>23490</v>
      </c>
      <c r="D14188" t="str">
        <f>HYPERLINK("https://rhld.insurance.arkansas.gov/NPILookup?Npi=1669799797","1669799797")</f>
        <v>1669799797</v>
      </c>
      <c r="E14188" t="s">
        <v>3863</v>
      </c>
    </row>
    <row r="14189" spans="1:5" x14ac:dyDescent="0.25">
      <c r="A14189" t="s">
        <v>2</v>
      </c>
      <c r="B14189" t="s">
        <v>3458</v>
      </c>
      <c r="C14189" t="s">
        <v>23490</v>
      </c>
      <c r="D14189" t="str">
        <f>HYPERLINK("https://rhld.insurance.arkansas.gov/NPILookup?Npi=1669807244","1669807244")</f>
        <v>1669807244</v>
      </c>
      <c r="E14189" t="s">
        <v>11158</v>
      </c>
    </row>
    <row r="14190" spans="1:5" x14ac:dyDescent="0.25">
      <c r="A14190" t="s">
        <v>2</v>
      </c>
      <c r="B14190" t="s">
        <v>3458</v>
      </c>
      <c r="C14190" t="s">
        <v>23490</v>
      </c>
      <c r="D14190" t="str">
        <f>HYPERLINK("https://rhld.insurance.arkansas.gov/NPILookup?Npi=1669812178","1669812178")</f>
        <v>1669812178</v>
      </c>
      <c r="E14190" t="s">
        <v>13643</v>
      </c>
    </row>
    <row r="14191" spans="1:5" x14ac:dyDescent="0.25">
      <c r="A14191" t="s">
        <v>2</v>
      </c>
      <c r="B14191" t="s">
        <v>3458</v>
      </c>
      <c r="C14191" t="s">
        <v>23490</v>
      </c>
      <c r="D14191" t="str">
        <f>HYPERLINK("https://rhld.insurance.arkansas.gov/NPILookup?Npi=1669818043","1669818043")</f>
        <v>1669818043</v>
      </c>
      <c r="E14191" t="s">
        <v>13644</v>
      </c>
    </row>
    <row r="14192" spans="1:5" x14ac:dyDescent="0.25">
      <c r="A14192" t="s">
        <v>2</v>
      </c>
      <c r="B14192" t="s">
        <v>3458</v>
      </c>
      <c r="C14192" t="s">
        <v>23490</v>
      </c>
      <c r="D14192" t="str">
        <f>HYPERLINK("https://rhld.insurance.arkansas.gov/NPILookup?Npi=1669821047","1669821047")</f>
        <v>1669821047</v>
      </c>
      <c r="E14192" t="s">
        <v>15403</v>
      </c>
    </row>
    <row r="14193" spans="1:5" x14ac:dyDescent="0.25">
      <c r="A14193" t="s">
        <v>2</v>
      </c>
      <c r="B14193" t="s">
        <v>3458</v>
      </c>
      <c r="C14193" t="s">
        <v>23490</v>
      </c>
      <c r="D14193" t="str">
        <f>HYPERLINK("https://rhld.insurance.arkansas.gov/NPILookup?Npi=1669824470","1669824470")</f>
        <v>1669824470</v>
      </c>
      <c r="E14193" t="s">
        <v>15404</v>
      </c>
    </row>
    <row r="14194" spans="1:5" x14ac:dyDescent="0.25">
      <c r="A14194" t="s">
        <v>2</v>
      </c>
      <c r="B14194" t="s">
        <v>3458</v>
      </c>
      <c r="C14194" t="s">
        <v>23490</v>
      </c>
      <c r="D14194" t="str">
        <f>HYPERLINK("https://rhld.insurance.arkansas.gov/NPILookup?Npi=1669848156","1669848156")</f>
        <v>1669848156</v>
      </c>
      <c r="E14194" t="s">
        <v>11159</v>
      </c>
    </row>
    <row r="14195" spans="1:5" x14ac:dyDescent="0.25">
      <c r="A14195" t="s">
        <v>2</v>
      </c>
      <c r="B14195" t="s">
        <v>3458</v>
      </c>
      <c r="C14195" t="s">
        <v>23490</v>
      </c>
      <c r="D14195" t="str">
        <f>HYPERLINK("https://rhld.insurance.arkansas.gov/NPILookup?Npi=1669849733","1669849733")</f>
        <v>1669849733</v>
      </c>
      <c r="E14195" t="s">
        <v>11475</v>
      </c>
    </row>
    <row r="14196" spans="1:5" x14ac:dyDescent="0.25">
      <c r="A14196" t="s">
        <v>2</v>
      </c>
      <c r="B14196" t="s">
        <v>3458</v>
      </c>
      <c r="C14196" t="s">
        <v>23490</v>
      </c>
      <c r="D14196" t="str">
        <f>HYPERLINK("https://rhld.insurance.arkansas.gov/NPILookup?Npi=1669855912","1669855912")</f>
        <v>1669855912</v>
      </c>
      <c r="E14196" t="s">
        <v>8791</v>
      </c>
    </row>
    <row r="14197" spans="1:5" x14ac:dyDescent="0.25">
      <c r="A14197" t="s">
        <v>2</v>
      </c>
      <c r="B14197" t="s">
        <v>3458</v>
      </c>
      <c r="C14197" t="s">
        <v>23490</v>
      </c>
      <c r="D14197" t="str">
        <f>HYPERLINK("https://rhld.insurance.arkansas.gov/NPILookup?Npi=1669867099","1669867099")</f>
        <v>1669867099</v>
      </c>
      <c r="E14197" t="s">
        <v>13645</v>
      </c>
    </row>
    <row r="14198" spans="1:5" x14ac:dyDescent="0.25">
      <c r="A14198" t="s">
        <v>2</v>
      </c>
      <c r="B14198" t="s">
        <v>3458</v>
      </c>
      <c r="C14198" t="s">
        <v>23490</v>
      </c>
      <c r="D14198" t="str">
        <f>HYPERLINK("https://rhld.insurance.arkansas.gov/NPILookup?Npi=1669867503","1669867503")</f>
        <v>1669867503</v>
      </c>
      <c r="E14198" t="s">
        <v>2351</v>
      </c>
    </row>
    <row r="14199" spans="1:5" x14ac:dyDescent="0.25">
      <c r="A14199" t="s">
        <v>2</v>
      </c>
      <c r="B14199" t="s">
        <v>3458</v>
      </c>
      <c r="C14199" t="s">
        <v>23490</v>
      </c>
      <c r="D14199" t="str">
        <f>HYPERLINK("https://rhld.insurance.arkansas.gov/NPILookup?Npi=1669868691","1669868691")</f>
        <v>1669868691</v>
      </c>
      <c r="E14199" t="s">
        <v>8792</v>
      </c>
    </row>
    <row r="14200" spans="1:5" x14ac:dyDescent="0.25">
      <c r="A14200" t="s">
        <v>2</v>
      </c>
      <c r="B14200" t="s">
        <v>3458</v>
      </c>
      <c r="C14200" t="s">
        <v>23490</v>
      </c>
      <c r="D14200" t="str">
        <f>HYPERLINK("https://rhld.insurance.arkansas.gov/NPILookup?Npi=1669868873","1669868873")</f>
        <v>1669868873</v>
      </c>
      <c r="E14200" t="s">
        <v>8793</v>
      </c>
    </row>
    <row r="14201" spans="1:5" x14ac:dyDescent="0.25">
      <c r="A14201" t="s">
        <v>2</v>
      </c>
      <c r="B14201" t="s">
        <v>3458</v>
      </c>
      <c r="C14201" t="s">
        <v>23490</v>
      </c>
      <c r="D14201" t="str">
        <f>HYPERLINK("https://rhld.insurance.arkansas.gov/NPILookup?Npi=1669873774","1669873774")</f>
        <v>1669873774</v>
      </c>
      <c r="E14201" t="s">
        <v>2352</v>
      </c>
    </row>
    <row r="14202" spans="1:5" x14ac:dyDescent="0.25">
      <c r="A14202" t="s">
        <v>2</v>
      </c>
      <c r="B14202" t="s">
        <v>3458</v>
      </c>
      <c r="C14202" t="s">
        <v>23490</v>
      </c>
      <c r="D14202" t="str">
        <f>HYPERLINK("https://rhld.insurance.arkansas.gov/NPILookup?Npi=1669880001","1669880001")</f>
        <v>1669880001</v>
      </c>
      <c r="E14202" t="s">
        <v>2353</v>
      </c>
    </row>
    <row r="14203" spans="1:5" x14ac:dyDescent="0.25">
      <c r="A14203" t="s">
        <v>2</v>
      </c>
      <c r="B14203" t="s">
        <v>3458</v>
      </c>
      <c r="C14203" t="s">
        <v>23490</v>
      </c>
      <c r="D14203" t="str">
        <f>HYPERLINK("https://rhld.insurance.arkansas.gov/NPILookup?Npi=1669884763","1669884763")</f>
        <v>1669884763</v>
      </c>
      <c r="E14203" t="s">
        <v>11160</v>
      </c>
    </row>
    <row r="14204" spans="1:5" x14ac:dyDescent="0.25">
      <c r="A14204" t="s">
        <v>2</v>
      </c>
      <c r="B14204" t="s">
        <v>3458</v>
      </c>
      <c r="C14204" t="s">
        <v>23490</v>
      </c>
      <c r="D14204" t="str">
        <f>HYPERLINK("https://rhld.insurance.arkansas.gov/NPILookup?Npi=1669886552","1669886552")</f>
        <v>1669886552</v>
      </c>
      <c r="E14204" t="s">
        <v>2354</v>
      </c>
    </row>
    <row r="14205" spans="1:5" x14ac:dyDescent="0.25">
      <c r="A14205" t="s">
        <v>2</v>
      </c>
      <c r="B14205" t="s">
        <v>3458</v>
      </c>
      <c r="C14205" t="s">
        <v>23490</v>
      </c>
      <c r="D14205" t="str">
        <f>HYPERLINK("https://rhld.insurance.arkansas.gov/NPILookup?Npi=1669904769","1669904769")</f>
        <v>1669904769</v>
      </c>
      <c r="E14205" t="s">
        <v>18833</v>
      </c>
    </row>
    <row r="14206" spans="1:5" x14ac:dyDescent="0.25">
      <c r="A14206" t="s">
        <v>2</v>
      </c>
      <c r="B14206" t="s">
        <v>3458</v>
      </c>
      <c r="C14206" t="s">
        <v>23490</v>
      </c>
      <c r="D14206" t="str">
        <f>HYPERLINK("https://rhld.insurance.arkansas.gov/NPILookup?Npi=1669907424","1669907424")</f>
        <v>1669907424</v>
      </c>
      <c r="E14206" t="s">
        <v>13014</v>
      </c>
    </row>
    <row r="14207" spans="1:5" x14ac:dyDescent="0.25">
      <c r="A14207" t="s">
        <v>2</v>
      </c>
      <c r="B14207" t="s">
        <v>3458</v>
      </c>
      <c r="C14207" t="s">
        <v>23490</v>
      </c>
      <c r="D14207" t="str">
        <f>HYPERLINK("https://rhld.insurance.arkansas.gov/NPILookup?Npi=1669911756","1669911756")</f>
        <v>1669911756</v>
      </c>
      <c r="E14207" t="s">
        <v>13866</v>
      </c>
    </row>
    <row r="14208" spans="1:5" x14ac:dyDescent="0.25">
      <c r="A14208" t="s">
        <v>2</v>
      </c>
      <c r="B14208" t="s">
        <v>3458</v>
      </c>
      <c r="C14208" t="s">
        <v>23490</v>
      </c>
      <c r="D14208" t="str">
        <f>HYPERLINK("https://rhld.insurance.arkansas.gov/NPILookup?Npi=1669917522","1669917522")</f>
        <v>1669917522</v>
      </c>
      <c r="E14208" t="s">
        <v>15405</v>
      </c>
    </row>
    <row r="14209" spans="1:5" x14ac:dyDescent="0.25">
      <c r="A14209" t="s">
        <v>2</v>
      </c>
      <c r="B14209" t="s">
        <v>3458</v>
      </c>
      <c r="C14209" t="s">
        <v>23490</v>
      </c>
      <c r="D14209" t="str">
        <f>HYPERLINK("https://rhld.insurance.arkansas.gov/NPILookup?Npi=1669922308","1669922308")</f>
        <v>1669922308</v>
      </c>
      <c r="E14209" t="s">
        <v>21620</v>
      </c>
    </row>
    <row r="14210" spans="1:5" x14ac:dyDescent="0.25">
      <c r="A14210" t="s">
        <v>2</v>
      </c>
      <c r="B14210" t="s">
        <v>3458</v>
      </c>
      <c r="C14210" t="s">
        <v>23490</v>
      </c>
      <c r="D14210" t="str">
        <f>HYPERLINK("https://rhld.insurance.arkansas.gov/NPILookup?Npi=1669924379","1669924379")</f>
        <v>1669924379</v>
      </c>
      <c r="E14210" t="s">
        <v>15406</v>
      </c>
    </row>
    <row r="14211" spans="1:5" x14ac:dyDescent="0.25">
      <c r="A14211" t="s">
        <v>2</v>
      </c>
      <c r="B14211" t="s">
        <v>3458</v>
      </c>
      <c r="C14211" t="s">
        <v>23490</v>
      </c>
      <c r="D14211" t="str">
        <f>HYPERLINK("https://rhld.insurance.arkansas.gov/NPILookup?Npi=1669924817","1669924817")</f>
        <v>1669924817</v>
      </c>
      <c r="E14211" t="s">
        <v>11162</v>
      </c>
    </row>
    <row r="14212" spans="1:5" x14ac:dyDescent="0.25">
      <c r="A14212" t="s">
        <v>2</v>
      </c>
      <c r="B14212" t="s">
        <v>3458</v>
      </c>
      <c r="C14212" t="s">
        <v>23490</v>
      </c>
      <c r="D14212" t="str">
        <f>HYPERLINK("https://rhld.insurance.arkansas.gov/NPILookup?Npi=1669927885","1669927885")</f>
        <v>1669927885</v>
      </c>
      <c r="E14212" t="s">
        <v>15407</v>
      </c>
    </row>
    <row r="14213" spans="1:5" x14ac:dyDescent="0.25">
      <c r="A14213" t="s">
        <v>2</v>
      </c>
      <c r="B14213" t="s">
        <v>3458</v>
      </c>
      <c r="C14213" t="s">
        <v>23490</v>
      </c>
      <c r="D14213" t="str">
        <f>HYPERLINK("https://rhld.insurance.arkansas.gov/NPILookup?Npi=1669933370","1669933370")</f>
        <v>1669933370</v>
      </c>
      <c r="E14213" t="s">
        <v>15408</v>
      </c>
    </row>
    <row r="14214" spans="1:5" x14ac:dyDescent="0.25">
      <c r="A14214" t="s">
        <v>2</v>
      </c>
      <c r="B14214" t="s">
        <v>3458</v>
      </c>
      <c r="C14214" t="s">
        <v>23490</v>
      </c>
      <c r="D14214" t="str">
        <f>HYPERLINK("https://rhld.insurance.arkansas.gov/NPILookup?Npi=1669935516","1669935516")</f>
        <v>1669935516</v>
      </c>
      <c r="E14214" t="s">
        <v>21082</v>
      </c>
    </row>
    <row r="14215" spans="1:5" x14ac:dyDescent="0.25">
      <c r="A14215" t="s">
        <v>2</v>
      </c>
      <c r="B14215" t="s">
        <v>3458</v>
      </c>
      <c r="C14215" t="s">
        <v>23490</v>
      </c>
      <c r="D14215" t="str">
        <f>HYPERLINK("https://rhld.insurance.arkansas.gov/NPILookup?Npi=1669937488","1669937488")</f>
        <v>1669937488</v>
      </c>
      <c r="E14215" t="s">
        <v>13646</v>
      </c>
    </row>
    <row r="14216" spans="1:5" x14ac:dyDescent="0.25">
      <c r="A14216" t="s">
        <v>2</v>
      </c>
      <c r="B14216" t="s">
        <v>3458</v>
      </c>
      <c r="C14216" t="s">
        <v>23490</v>
      </c>
      <c r="D14216" t="str">
        <f>HYPERLINK("https://rhld.insurance.arkansas.gov/NPILookup?Npi=1669974499","1669974499")</f>
        <v>1669974499</v>
      </c>
      <c r="E14216" t="s">
        <v>13648</v>
      </c>
    </row>
    <row r="14217" spans="1:5" x14ac:dyDescent="0.25">
      <c r="A14217" t="s">
        <v>2</v>
      </c>
      <c r="B14217" t="s">
        <v>3458</v>
      </c>
      <c r="C14217" t="s">
        <v>23490</v>
      </c>
      <c r="D14217" t="str">
        <f>HYPERLINK("https://rhld.insurance.arkansas.gov/NPILookup?Npi=1669979530","1669979530")</f>
        <v>1669979530</v>
      </c>
      <c r="E14217" t="s">
        <v>22971</v>
      </c>
    </row>
    <row r="14218" spans="1:5" x14ac:dyDescent="0.25">
      <c r="A14218" t="s">
        <v>2</v>
      </c>
      <c r="B14218" t="s">
        <v>3458</v>
      </c>
      <c r="C14218" t="s">
        <v>23490</v>
      </c>
      <c r="D14218" t="str">
        <f>HYPERLINK("https://rhld.insurance.arkansas.gov/NPILookup?Npi=1669987012","1669987012")</f>
        <v>1669987012</v>
      </c>
      <c r="E14218" t="s">
        <v>12880</v>
      </c>
    </row>
    <row r="14219" spans="1:5" x14ac:dyDescent="0.25">
      <c r="A14219" t="s">
        <v>2</v>
      </c>
      <c r="B14219" t="s">
        <v>3458</v>
      </c>
      <c r="C14219" t="s">
        <v>23490</v>
      </c>
      <c r="D14219" t="str">
        <f>HYPERLINK("https://rhld.insurance.arkansas.gov/NPILookup?Npi=1669991998","1669991998")</f>
        <v>1669991998</v>
      </c>
      <c r="E14219" t="s">
        <v>13015</v>
      </c>
    </row>
    <row r="14220" spans="1:5" x14ac:dyDescent="0.25">
      <c r="A14220" t="s">
        <v>2</v>
      </c>
      <c r="B14220" t="s">
        <v>3458</v>
      </c>
      <c r="C14220" t="s">
        <v>23490</v>
      </c>
      <c r="D14220" t="str">
        <f>HYPERLINK("https://rhld.insurance.arkansas.gov/NPILookup?Npi=1679004931","1679004931")</f>
        <v>1679004931</v>
      </c>
      <c r="E14220" t="s">
        <v>17513</v>
      </c>
    </row>
    <row r="14221" spans="1:5" x14ac:dyDescent="0.25">
      <c r="A14221" t="s">
        <v>2</v>
      </c>
      <c r="B14221" t="s">
        <v>3458</v>
      </c>
      <c r="C14221" t="s">
        <v>23490</v>
      </c>
      <c r="D14221" t="str">
        <f>HYPERLINK("https://rhld.insurance.arkansas.gov/NPILookup?Npi=1679006969","1679006969")</f>
        <v>1679006969</v>
      </c>
      <c r="E14221" t="s">
        <v>11163</v>
      </c>
    </row>
    <row r="14222" spans="1:5" x14ac:dyDescent="0.25">
      <c r="A14222" t="s">
        <v>2</v>
      </c>
      <c r="B14222" t="s">
        <v>3458</v>
      </c>
      <c r="C14222" t="s">
        <v>23490</v>
      </c>
      <c r="D14222" t="str">
        <f>HYPERLINK("https://rhld.insurance.arkansas.gov/NPILookup?Npi=1679018469","1679018469")</f>
        <v>1679018469</v>
      </c>
      <c r="E14222" t="s">
        <v>11164</v>
      </c>
    </row>
    <row r="14223" spans="1:5" x14ac:dyDescent="0.25">
      <c r="A14223" t="s">
        <v>2</v>
      </c>
      <c r="B14223" t="s">
        <v>3458</v>
      </c>
      <c r="C14223" t="s">
        <v>23490</v>
      </c>
      <c r="D14223" t="str">
        <f>HYPERLINK("https://rhld.insurance.arkansas.gov/NPILookup?Npi=1679027049","1679027049")</f>
        <v>1679027049</v>
      </c>
      <c r="E14223" t="s">
        <v>17000</v>
      </c>
    </row>
    <row r="14224" spans="1:5" x14ac:dyDescent="0.25">
      <c r="A14224" t="s">
        <v>2</v>
      </c>
      <c r="B14224" t="s">
        <v>3458</v>
      </c>
      <c r="C14224" t="s">
        <v>23490</v>
      </c>
      <c r="D14224" t="str">
        <f>HYPERLINK("https://rhld.insurance.arkansas.gov/NPILookup?Npi=1679029227","1679029227")</f>
        <v>1679029227</v>
      </c>
      <c r="E14224" t="s">
        <v>12881</v>
      </c>
    </row>
    <row r="14225" spans="1:5" x14ac:dyDescent="0.25">
      <c r="A14225" t="s">
        <v>2</v>
      </c>
      <c r="B14225" t="s">
        <v>3458</v>
      </c>
      <c r="C14225" t="s">
        <v>23490</v>
      </c>
      <c r="D14225" t="str">
        <f>HYPERLINK("https://rhld.insurance.arkansas.gov/NPILookup?Npi=1679033765","1679033765")</f>
        <v>1679033765</v>
      </c>
      <c r="E14225" t="s">
        <v>21083</v>
      </c>
    </row>
    <row r="14226" spans="1:5" x14ac:dyDescent="0.25">
      <c r="A14226" t="s">
        <v>2</v>
      </c>
      <c r="B14226" t="s">
        <v>3458</v>
      </c>
      <c r="C14226" t="s">
        <v>23490</v>
      </c>
      <c r="D14226" t="str">
        <f>HYPERLINK("https://rhld.insurance.arkansas.gov/NPILookup?Npi=1679034706","1679034706")</f>
        <v>1679034706</v>
      </c>
      <c r="E14226" t="s">
        <v>21084</v>
      </c>
    </row>
    <row r="14227" spans="1:5" x14ac:dyDescent="0.25">
      <c r="A14227" t="s">
        <v>2</v>
      </c>
      <c r="B14227" t="s">
        <v>3458</v>
      </c>
      <c r="C14227" t="s">
        <v>23490</v>
      </c>
      <c r="D14227" t="str">
        <f>HYPERLINK("https://rhld.insurance.arkansas.gov/NPILookup?Npi=1679072169","1679072169")</f>
        <v>1679072169</v>
      </c>
      <c r="E14227" t="s">
        <v>15410</v>
      </c>
    </row>
    <row r="14228" spans="1:5" x14ac:dyDescent="0.25">
      <c r="A14228" t="s">
        <v>2</v>
      </c>
      <c r="B14228" t="s">
        <v>3458</v>
      </c>
      <c r="C14228" t="s">
        <v>23490</v>
      </c>
      <c r="D14228" t="str">
        <f>HYPERLINK("https://rhld.insurance.arkansas.gov/NPILookup?Npi=1679072359","1679072359")</f>
        <v>1679072359</v>
      </c>
      <c r="E14228" t="s">
        <v>13016</v>
      </c>
    </row>
    <row r="14229" spans="1:5" x14ac:dyDescent="0.25">
      <c r="A14229" t="s">
        <v>2</v>
      </c>
      <c r="B14229" t="s">
        <v>3458</v>
      </c>
      <c r="C14229" t="s">
        <v>23490</v>
      </c>
      <c r="D14229" t="str">
        <f>HYPERLINK("https://rhld.insurance.arkansas.gov/NPILookup?Npi=1679073340","1679073340")</f>
        <v>1679073340</v>
      </c>
      <c r="E14229" t="s">
        <v>5644</v>
      </c>
    </row>
    <row r="14230" spans="1:5" x14ac:dyDescent="0.25">
      <c r="A14230" t="s">
        <v>2</v>
      </c>
      <c r="B14230" t="s">
        <v>3458</v>
      </c>
      <c r="C14230" t="s">
        <v>23490</v>
      </c>
      <c r="D14230" t="str">
        <f>HYPERLINK("https://rhld.insurance.arkansas.gov/NPILookup?Npi=1679076764","1679076764")</f>
        <v>1679076764</v>
      </c>
      <c r="E14230" t="s">
        <v>13651</v>
      </c>
    </row>
    <row r="14231" spans="1:5" x14ac:dyDescent="0.25">
      <c r="A14231" t="s">
        <v>2</v>
      </c>
      <c r="B14231" t="s">
        <v>3458</v>
      </c>
      <c r="C14231" t="s">
        <v>23490</v>
      </c>
      <c r="D14231" t="str">
        <f>HYPERLINK("https://rhld.insurance.arkansas.gov/NPILookup?Npi=1679084826","1679084826")</f>
        <v>1679084826</v>
      </c>
      <c r="E14231" t="s">
        <v>12882</v>
      </c>
    </row>
    <row r="14232" spans="1:5" x14ac:dyDescent="0.25">
      <c r="A14232" t="s">
        <v>2</v>
      </c>
      <c r="B14232" t="s">
        <v>3458</v>
      </c>
      <c r="C14232" t="s">
        <v>23490</v>
      </c>
      <c r="D14232" t="str">
        <f>HYPERLINK("https://rhld.insurance.arkansas.gov/NPILookup?Npi=1679108104","1679108104")</f>
        <v>1679108104</v>
      </c>
      <c r="E14232" t="s">
        <v>21621</v>
      </c>
    </row>
    <row r="14233" spans="1:5" x14ac:dyDescent="0.25">
      <c r="A14233" t="s">
        <v>2</v>
      </c>
      <c r="B14233" t="s">
        <v>3458</v>
      </c>
      <c r="C14233" t="s">
        <v>23490</v>
      </c>
      <c r="D14233" t="str">
        <f>HYPERLINK("https://rhld.insurance.arkansas.gov/NPILookup?Npi=1679151609","1679151609")</f>
        <v>1679151609</v>
      </c>
      <c r="E14233" t="s">
        <v>18834</v>
      </c>
    </row>
    <row r="14234" spans="1:5" x14ac:dyDescent="0.25">
      <c r="A14234" t="s">
        <v>2</v>
      </c>
      <c r="B14234" t="s">
        <v>3458</v>
      </c>
      <c r="C14234" t="s">
        <v>23490</v>
      </c>
      <c r="D14234" t="str">
        <f>HYPERLINK("https://rhld.insurance.arkansas.gov/NPILookup?Npi=1679176002","1679176002")</f>
        <v>1679176002</v>
      </c>
      <c r="E14234" t="s">
        <v>18078</v>
      </c>
    </row>
    <row r="14235" spans="1:5" x14ac:dyDescent="0.25">
      <c r="A14235" t="s">
        <v>2</v>
      </c>
      <c r="B14235" t="s">
        <v>3458</v>
      </c>
      <c r="C14235" t="s">
        <v>23490</v>
      </c>
      <c r="D14235" t="str">
        <f>HYPERLINK("https://rhld.insurance.arkansas.gov/NPILookup?Npi=1679180343","1679180343")</f>
        <v>1679180343</v>
      </c>
      <c r="E14235" t="s">
        <v>18079</v>
      </c>
    </row>
    <row r="14236" spans="1:5" x14ac:dyDescent="0.25">
      <c r="A14236" t="s">
        <v>2</v>
      </c>
      <c r="B14236" t="s">
        <v>3458</v>
      </c>
      <c r="C14236" t="s">
        <v>23490</v>
      </c>
      <c r="D14236" t="str">
        <f>HYPERLINK("https://rhld.insurance.arkansas.gov/NPILookup?Npi=1679186662","1679186662")</f>
        <v>1679186662</v>
      </c>
      <c r="E14236" t="s">
        <v>14730</v>
      </c>
    </row>
    <row r="14237" spans="1:5" x14ac:dyDescent="0.25">
      <c r="A14237" t="s">
        <v>2</v>
      </c>
      <c r="B14237" t="s">
        <v>3458</v>
      </c>
      <c r="C14237" t="s">
        <v>23490</v>
      </c>
      <c r="D14237" t="str">
        <f>HYPERLINK("https://rhld.insurance.arkansas.gov/NPILookup?Npi=1679187207","1679187207")</f>
        <v>1679187207</v>
      </c>
      <c r="E14237" t="s">
        <v>20998</v>
      </c>
    </row>
    <row r="14238" spans="1:5" x14ac:dyDescent="0.25">
      <c r="A14238" t="s">
        <v>2</v>
      </c>
      <c r="B14238" t="s">
        <v>3458</v>
      </c>
      <c r="C14238" t="s">
        <v>23490</v>
      </c>
      <c r="D14238" t="str">
        <f>HYPERLINK("https://rhld.insurance.arkansas.gov/NPILookup?Npi=1679197875","1679197875")</f>
        <v>1679197875</v>
      </c>
      <c r="E14238" t="s">
        <v>2970</v>
      </c>
    </row>
    <row r="14239" spans="1:5" x14ac:dyDescent="0.25">
      <c r="A14239" t="s">
        <v>2</v>
      </c>
      <c r="B14239" t="s">
        <v>3458</v>
      </c>
      <c r="C14239" t="s">
        <v>23490</v>
      </c>
      <c r="D14239" t="str">
        <f>HYPERLINK("https://rhld.insurance.arkansas.gov/NPILookup?Npi=1679198287","1679198287")</f>
        <v>1679198287</v>
      </c>
      <c r="E14239" t="s">
        <v>19934</v>
      </c>
    </row>
    <row r="14240" spans="1:5" x14ac:dyDescent="0.25">
      <c r="A14240" t="s">
        <v>2</v>
      </c>
      <c r="B14240" t="s">
        <v>3458</v>
      </c>
      <c r="C14240" t="s">
        <v>23490</v>
      </c>
      <c r="D14240" t="str">
        <f>HYPERLINK("https://rhld.insurance.arkansas.gov/NPILookup?Npi=1679204945","1679204945")</f>
        <v>1679204945</v>
      </c>
      <c r="E14240" t="s">
        <v>21622</v>
      </c>
    </row>
    <row r="14241" spans="1:5" x14ac:dyDescent="0.25">
      <c r="A14241" t="s">
        <v>2</v>
      </c>
      <c r="B14241" t="s">
        <v>3458</v>
      </c>
      <c r="C14241" t="s">
        <v>23490</v>
      </c>
      <c r="D14241" t="str">
        <f>HYPERLINK("https://rhld.insurance.arkansas.gov/NPILookup?Npi=1679205173","1679205173")</f>
        <v>1679205173</v>
      </c>
      <c r="E14241" t="s">
        <v>20999</v>
      </c>
    </row>
    <row r="14242" spans="1:5" x14ac:dyDescent="0.25">
      <c r="A14242" t="s">
        <v>2</v>
      </c>
      <c r="B14242" t="s">
        <v>3458</v>
      </c>
      <c r="C14242" t="s">
        <v>23490</v>
      </c>
      <c r="D14242" t="str">
        <f>HYPERLINK("https://rhld.insurance.arkansas.gov/NPILookup?Npi=1679211734","1679211734")</f>
        <v>1679211734</v>
      </c>
      <c r="E14242" t="s">
        <v>21000</v>
      </c>
    </row>
    <row r="14243" spans="1:5" x14ac:dyDescent="0.25">
      <c r="A14243" t="s">
        <v>2</v>
      </c>
      <c r="B14243" t="s">
        <v>3458</v>
      </c>
      <c r="C14243" t="s">
        <v>23490</v>
      </c>
      <c r="D14243" t="str">
        <f>HYPERLINK("https://rhld.insurance.arkansas.gov/NPILookup?Npi=1679220677","1679220677")</f>
        <v>1679220677</v>
      </c>
      <c r="E14243" t="s">
        <v>19935</v>
      </c>
    </row>
    <row r="14244" spans="1:5" x14ac:dyDescent="0.25">
      <c r="A14244" t="s">
        <v>2</v>
      </c>
      <c r="B14244" t="s">
        <v>3458</v>
      </c>
      <c r="C14244" t="s">
        <v>23490</v>
      </c>
      <c r="D14244" t="str">
        <f>HYPERLINK("https://rhld.insurance.arkansas.gov/NPILookup?Npi=1679239248","1679239248")</f>
        <v>1679239248</v>
      </c>
      <c r="E14244" t="s">
        <v>21001</v>
      </c>
    </row>
    <row r="14245" spans="1:5" x14ac:dyDescent="0.25">
      <c r="A14245" t="s">
        <v>2</v>
      </c>
      <c r="B14245" t="s">
        <v>3458</v>
      </c>
      <c r="C14245" t="s">
        <v>23490</v>
      </c>
      <c r="D14245" t="str">
        <f>HYPERLINK("https://rhld.insurance.arkansas.gov/NPILookup?Npi=1679243943","1679243943")</f>
        <v>1679243943</v>
      </c>
      <c r="E14245" t="s">
        <v>19936</v>
      </c>
    </row>
    <row r="14246" spans="1:5" x14ac:dyDescent="0.25">
      <c r="A14246" t="s">
        <v>2</v>
      </c>
      <c r="B14246" t="s">
        <v>3458</v>
      </c>
      <c r="C14246" t="s">
        <v>23490</v>
      </c>
      <c r="D14246" t="str">
        <f>HYPERLINK("https://rhld.insurance.arkansas.gov/NPILookup?Npi=1679246219","1679246219")</f>
        <v>1679246219</v>
      </c>
      <c r="E14246" t="s">
        <v>18835</v>
      </c>
    </row>
    <row r="14247" spans="1:5" x14ac:dyDescent="0.25">
      <c r="A14247" t="s">
        <v>2</v>
      </c>
      <c r="B14247" t="s">
        <v>3458</v>
      </c>
      <c r="C14247" t="s">
        <v>23490</v>
      </c>
      <c r="D14247" t="str">
        <f>HYPERLINK("https://rhld.insurance.arkansas.gov/NPILookup?Npi=1679505598","1679505598")</f>
        <v>1679505598</v>
      </c>
      <c r="E14247" t="s">
        <v>11166</v>
      </c>
    </row>
    <row r="14248" spans="1:5" x14ac:dyDescent="0.25">
      <c r="A14248" t="s">
        <v>2</v>
      </c>
      <c r="B14248" t="s">
        <v>3458</v>
      </c>
      <c r="C14248" t="s">
        <v>23490</v>
      </c>
      <c r="D14248" t="str">
        <f>HYPERLINK("https://rhld.insurance.arkansas.gov/NPILookup?Npi=1679506760","1679506760")</f>
        <v>1679506760</v>
      </c>
      <c r="E14248" t="s">
        <v>3864</v>
      </c>
    </row>
    <row r="14249" spans="1:5" x14ac:dyDescent="0.25">
      <c r="A14249" t="s">
        <v>2</v>
      </c>
      <c r="B14249" t="s">
        <v>3458</v>
      </c>
      <c r="C14249" t="s">
        <v>23490</v>
      </c>
      <c r="D14249" t="str">
        <f>HYPERLINK("https://rhld.insurance.arkansas.gov/NPILookup?Npi=1679507024","1679507024")</f>
        <v>1679507024</v>
      </c>
      <c r="E14249" t="s">
        <v>15412</v>
      </c>
    </row>
    <row r="14250" spans="1:5" x14ac:dyDescent="0.25">
      <c r="A14250" t="s">
        <v>2</v>
      </c>
      <c r="B14250" t="s">
        <v>3458</v>
      </c>
      <c r="C14250" t="s">
        <v>23490</v>
      </c>
      <c r="D14250" t="str">
        <f>HYPERLINK("https://rhld.insurance.arkansas.gov/NPILookup?Npi=1679507180","1679507180")</f>
        <v>1679507180</v>
      </c>
      <c r="E14250" t="s">
        <v>22972</v>
      </c>
    </row>
    <row r="14251" spans="1:5" x14ac:dyDescent="0.25">
      <c r="A14251" t="s">
        <v>2</v>
      </c>
      <c r="B14251" t="s">
        <v>3458</v>
      </c>
      <c r="C14251" t="s">
        <v>23490</v>
      </c>
      <c r="D14251" t="str">
        <f>HYPERLINK("https://rhld.insurance.arkansas.gov/NPILookup?Npi=1679512248","1679512248")</f>
        <v>1679512248</v>
      </c>
      <c r="E14251" t="s">
        <v>2355</v>
      </c>
    </row>
    <row r="14252" spans="1:5" x14ac:dyDescent="0.25">
      <c r="A14252" t="s">
        <v>2</v>
      </c>
      <c r="B14252" t="s">
        <v>3458</v>
      </c>
      <c r="C14252" t="s">
        <v>23490</v>
      </c>
      <c r="D14252" t="str">
        <f>HYPERLINK("https://rhld.insurance.arkansas.gov/NPILookup?Npi=1679515522","1679515522")</f>
        <v>1679515522</v>
      </c>
      <c r="E14252" t="s">
        <v>1077</v>
      </c>
    </row>
    <row r="14253" spans="1:5" x14ac:dyDescent="0.25">
      <c r="A14253" t="s">
        <v>2</v>
      </c>
      <c r="B14253" t="s">
        <v>3458</v>
      </c>
      <c r="C14253" t="s">
        <v>23490</v>
      </c>
      <c r="D14253" t="str">
        <f>HYPERLINK("https://rhld.insurance.arkansas.gov/NPILookup?Npi=1679523807","1679523807")</f>
        <v>1679523807</v>
      </c>
      <c r="E14253" t="s">
        <v>2356</v>
      </c>
    </row>
    <row r="14254" spans="1:5" x14ac:dyDescent="0.25">
      <c r="A14254" t="s">
        <v>2</v>
      </c>
      <c r="B14254" t="s">
        <v>3458</v>
      </c>
      <c r="C14254" t="s">
        <v>23490</v>
      </c>
      <c r="D14254" t="str">
        <f>HYPERLINK("https://rhld.insurance.arkansas.gov/NPILookup?Npi=1679535108","1679535108")</f>
        <v>1679535108</v>
      </c>
      <c r="E14254" t="s">
        <v>2357</v>
      </c>
    </row>
    <row r="14255" spans="1:5" x14ac:dyDescent="0.25">
      <c r="A14255" t="s">
        <v>2</v>
      </c>
      <c r="B14255" t="s">
        <v>3458</v>
      </c>
      <c r="C14255" t="s">
        <v>23490</v>
      </c>
      <c r="D14255" t="str">
        <f>HYPERLINK("https://rhld.insurance.arkansas.gov/NPILookup?Npi=1679535181","1679535181")</f>
        <v>1679535181</v>
      </c>
      <c r="E14255" t="s">
        <v>2358</v>
      </c>
    </row>
    <row r="14256" spans="1:5" x14ac:dyDescent="0.25">
      <c r="A14256" t="s">
        <v>2</v>
      </c>
      <c r="B14256" t="s">
        <v>3458</v>
      </c>
      <c r="C14256" t="s">
        <v>23490</v>
      </c>
      <c r="D14256" t="str">
        <f>HYPERLINK("https://rhld.insurance.arkansas.gov/NPILookup?Npi=1679540298","1679540298")</f>
        <v>1679540298</v>
      </c>
      <c r="E14256" t="s">
        <v>2359</v>
      </c>
    </row>
    <row r="14257" spans="1:5" x14ac:dyDescent="0.25">
      <c r="A14257" t="s">
        <v>2</v>
      </c>
      <c r="B14257" t="s">
        <v>3458</v>
      </c>
      <c r="C14257" t="s">
        <v>23490</v>
      </c>
      <c r="D14257" t="str">
        <f>HYPERLINK("https://rhld.insurance.arkansas.gov/NPILookup?Npi=1679542302","1679542302")</f>
        <v>1679542302</v>
      </c>
      <c r="E14257" t="s">
        <v>3865</v>
      </c>
    </row>
    <row r="14258" spans="1:5" x14ac:dyDescent="0.25">
      <c r="A14258" t="s">
        <v>2</v>
      </c>
      <c r="B14258" t="s">
        <v>3458</v>
      </c>
      <c r="C14258" t="s">
        <v>23490</v>
      </c>
      <c r="D14258" t="str">
        <f>HYPERLINK("https://rhld.insurance.arkansas.gov/NPILookup?Npi=1679547301","1679547301")</f>
        <v>1679547301</v>
      </c>
      <c r="E14258" t="s">
        <v>2361</v>
      </c>
    </row>
    <row r="14259" spans="1:5" x14ac:dyDescent="0.25">
      <c r="A14259" t="s">
        <v>2</v>
      </c>
      <c r="B14259" t="s">
        <v>3458</v>
      </c>
      <c r="C14259" t="s">
        <v>23490</v>
      </c>
      <c r="D14259" t="str">
        <f>HYPERLINK("https://rhld.insurance.arkansas.gov/NPILookup?Npi=1679547608","1679547608")</f>
        <v>1679547608</v>
      </c>
      <c r="E14259" t="s">
        <v>2362</v>
      </c>
    </row>
    <row r="14260" spans="1:5" x14ac:dyDescent="0.25">
      <c r="A14260" t="s">
        <v>2</v>
      </c>
      <c r="B14260" t="s">
        <v>3458</v>
      </c>
      <c r="C14260" t="s">
        <v>23490</v>
      </c>
      <c r="D14260" t="str">
        <f>HYPERLINK("https://rhld.insurance.arkansas.gov/NPILookup?Npi=1679556880","1679556880")</f>
        <v>1679556880</v>
      </c>
      <c r="E14260" t="s">
        <v>2364</v>
      </c>
    </row>
    <row r="14261" spans="1:5" x14ac:dyDescent="0.25">
      <c r="A14261" t="s">
        <v>2</v>
      </c>
      <c r="B14261" t="s">
        <v>3458</v>
      </c>
      <c r="C14261" t="s">
        <v>23490</v>
      </c>
      <c r="D14261" t="str">
        <f>HYPERLINK("https://rhld.insurance.arkansas.gov/NPILookup?Npi=1679560270","1679560270")</f>
        <v>1679560270</v>
      </c>
      <c r="E14261" t="s">
        <v>3866</v>
      </c>
    </row>
    <row r="14262" spans="1:5" x14ac:dyDescent="0.25">
      <c r="A14262" t="s">
        <v>2</v>
      </c>
      <c r="B14262" t="s">
        <v>3458</v>
      </c>
      <c r="C14262" t="s">
        <v>23490</v>
      </c>
      <c r="D14262" t="str">
        <f>HYPERLINK("https://rhld.insurance.arkansas.gov/NPILookup?Npi=1679562748","1679562748")</f>
        <v>1679562748</v>
      </c>
      <c r="E14262" t="s">
        <v>15414</v>
      </c>
    </row>
    <row r="14263" spans="1:5" x14ac:dyDescent="0.25">
      <c r="A14263" t="s">
        <v>2</v>
      </c>
      <c r="B14263" t="s">
        <v>3458</v>
      </c>
      <c r="C14263" t="s">
        <v>23490</v>
      </c>
      <c r="D14263" t="str">
        <f>HYPERLINK("https://rhld.insurance.arkansas.gov/NPILookup?Npi=1679569156","1679569156")</f>
        <v>1679569156</v>
      </c>
      <c r="E14263" t="s">
        <v>2365</v>
      </c>
    </row>
    <row r="14264" spans="1:5" x14ac:dyDescent="0.25">
      <c r="A14264" t="s">
        <v>2</v>
      </c>
      <c r="B14264" t="s">
        <v>3458</v>
      </c>
      <c r="C14264" t="s">
        <v>23490</v>
      </c>
      <c r="D14264" t="str">
        <f>HYPERLINK("https://rhld.insurance.arkansas.gov/NPILookup?Npi=1679570618","1679570618")</f>
        <v>1679570618</v>
      </c>
      <c r="E14264" t="s">
        <v>3867</v>
      </c>
    </row>
    <row r="14265" spans="1:5" x14ac:dyDescent="0.25">
      <c r="A14265" t="s">
        <v>2</v>
      </c>
      <c r="B14265" t="s">
        <v>3458</v>
      </c>
      <c r="C14265" t="s">
        <v>23490</v>
      </c>
      <c r="D14265" t="str">
        <f>HYPERLINK("https://rhld.insurance.arkansas.gov/NPILookup?Npi=1679570642","1679570642")</f>
        <v>1679570642</v>
      </c>
      <c r="E14265" t="s">
        <v>2366</v>
      </c>
    </row>
    <row r="14266" spans="1:5" x14ac:dyDescent="0.25">
      <c r="A14266" t="s">
        <v>2</v>
      </c>
      <c r="B14266" t="s">
        <v>3458</v>
      </c>
      <c r="C14266" t="s">
        <v>23490</v>
      </c>
      <c r="D14266" t="str">
        <f>HYPERLINK("https://rhld.insurance.arkansas.gov/NPILookup?Npi=1679571723","1679571723")</f>
        <v>1679571723</v>
      </c>
      <c r="E14266" t="s">
        <v>2367</v>
      </c>
    </row>
    <row r="14267" spans="1:5" x14ac:dyDescent="0.25">
      <c r="A14267" t="s">
        <v>2</v>
      </c>
      <c r="B14267" t="s">
        <v>3458</v>
      </c>
      <c r="C14267" t="s">
        <v>23490</v>
      </c>
      <c r="D14267" t="str">
        <f>HYPERLINK("https://rhld.insurance.arkansas.gov/NPILookup?Npi=1679576631","1679576631")</f>
        <v>1679576631</v>
      </c>
      <c r="E14267" t="s">
        <v>2368</v>
      </c>
    </row>
    <row r="14268" spans="1:5" x14ac:dyDescent="0.25">
      <c r="A14268" t="s">
        <v>2</v>
      </c>
      <c r="B14268" t="s">
        <v>3458</v>
      </c>
      <c r="C14268" t="s">
        <v>23490</v>
      </c>
      <c r="D14268" t="str">
        <f>HYPERLINK("https://rhld.insurance.arkansas.gov/NPILookup?Npi=1679577381","1679577381")</f>
        <v>1679577381</v>
      </c>
      <c r="E14268" t="s">
        <v>2369</v>
      </c>
    </row>
    <row r="14269" spans="1:5" x14ac:dyDescent="0.25">
      <c r="A14269" t="s">
        <v>2</v>
      </c>
      <c r="B14269" t="s">
        <v>3458</v>
      </c>
      <c r="C14269" t="s">
        <v>23490</v>
      </c>
      <c r="D14269" t="str">
        <f>HYPERLINK("https://rhld.insurance.arkansas.gov/NPILookup?Npi=1679577662","1679577662")</f>
        <v>1679577662</v>
      </c>
      <c r="E14269" t="s">
        <v>2370</v>
      </c>
    </row>
    <row r="14270" spans="1:5" x14ac:dyDescent="0.25">
      <c r="A14270" t="s">
        <v>2</v>
      </c>
      <c r="B14270" t="s">
        <v>3458</v>
      </c>
      <c r="C14270" t="s">
        <v>23490</v>
      </c>
      <c r="D14270" t="str">
        <f>HYPERLINK("https://rhld.insurance.arkansas.gov/NPILookup?Npi=1679578116","1679578116")</f>
        <v>1679578116</v>
      </c>
      <c r="E14270" t="s">
        <v>3868</v>
      </c>
    </row>
    <row r="14271" spans="1:5" x14ac:dyDescent="0.25">
      <c r="A14271" t="s">
        <v>2</v>
      </c>
      <c r="B14271" t="s">
        <v>3458</v>
      </c>
      <c r="C14271" t="s">
        <v>23490</v>
      </c>
      <c r="D14271" t="str">
        <f>HYPERLINK("https://rhld.insurance.arkansas.gov/NPILookup?Npi=1679579536","1679579536")</f>
        <v>1679579536</v>
      </c>
      <c r="E14271" t="s">
        <v>2371</v>
      </c>
    </row>
    <row r="14272" spans="1:5" x14ac:dyDescent="0.25">
      <c r="A14272" t="s">
        <v>2</v>
      </c>
      <c r="B14272" t="s">
        <v>3458</v>
      </c>
      <c r="C14272" t="s">
        <v>23490</v>
      </c>
      <c r="D14272" t="str">
        <f>HYPERLINK("https://rhld.insurance.arkansas.gov/NPILookup?Npi=1679579650","1679579650")</f>
        <v>1679579650</v>
      </c>
      <c r="E14272" t="s">
        <v>2372</v>
      </c>
    </row>
    <row r="14273" spans="1:5" x14ac:dyDescent="0.25">
      <c r="A14273" t="s">
        <v>2</v>
      </c>
      <c r="B14273" t="s">
        <v>3458</v>
      </c>
      <c r="C14273" t="s">
        <v>23490</v>
      </c>
      <c r="D14273" t="str">
        <f>HYPERLINK("https://rhld.insurance.arkansas.gov/NPILookup?Npi=1679592604","1679592604")</f>
        <v>1679592604</v>
      </c>
      <c r="E14273" t="s">
        <v>2373</v>
      </c>
    </row>
    <row r="14274" spans="1:5" x14ac:dyDescent="0.25">
      <c r="A14274" t="s">
        <v>2</v>
      </c>
      <c r="B14274" t="s">
        <v>3458</v>
      </c>
      <c r="C14274" t="s">
        <v>23490</v>
      </c>
      <c r="D14274" t="str">
        <f>HYPERLINK("https://rhld.insurance.arkansas.gov/NPILookup?Npi=1679599922","1679599922")</f>
        <v>1679599922</v>
      </c>
      <c r="E14274" t="s">
        <v>2374</v>
      </c>
    </row>
    <row r="14275" spans="1:5" x14ac:dyDescent="0.25">
      <c r="A14275" t="s">
        <v>2</v>
      </c>
      <c r="B14275" t="s">
        <v>3458</v>
      </c>
      <c r="C14275" t="s">
        <v>23490</v>
      </c>
      <c r="D14275" t="str">
        <f>HYPERLINK("https://rhld.insurance.arkansas.gov/NPILookup?Npi=1679641450","1679641450")</f>
        <v>1679641450</v>
      </c>
      <c r="E14275" t="s">
        <v>15415</v>
      </c>
    </row>
    <row r="14276" spans="1:5" x14ac:dyDescent="0.25">
      <c r="A14276" t="s">
        <v>2</v>
      </c>
      <c r="B14276" t="s">
        <v>3458</v>
      </c>
      <c r="C14276" t="s">
        <v>23490</v>
      </c>
      <c r="D14276" t="str">
        <f>HYPERLINK("https://rhld.insurance.arkansas.gov/NPILookup?Npi=1679641997","1679641997")</f>
        <v>1679641997</v>
      </c>
      <c r="E14276" t="s">
        <v>2376</v>
      </c>
    </row>
    <row r="14277" spans="1:5" x14ac:dyDescent="0.25">
      <c r="A14277" t="s">
        <v>2</v>
      </c>
      <c r="B14277" t="s">
        <v>3458</v>
      </c>
      <c r="C14277" t="s">
        <v>23490</v>
      </c>
      <c r="D14277" t="str">
        <f>HYPERLINK("https://rhld.insurance.arkansas.gov/NPILookup?Npi=1679649271","1679649271")</f>
        <v>1679649271</v>
      </c>
      <c r="E14277" t="s">
        <v>3869</v>
      </c>
    </row>
    <row r="14278" spans="1:5" x14ac:dyDescent="0.25">
      <c r="A14278" t="s">
        <v>2</v>
      </c>
      <c r="B14278" t="s">
        <v>3458</v>
      </c>
      <c r="C14278" t="s">
        <v>23490</v>
      </c>
      <c r="D14278" t="str">
        <f>HYPERLINK("https://rhld.insurance.arkansas.gov/NPILookup?Npi=1679652408","1679652408")</f>
        <v>1679652408</v>
      </c>
      <c r="E14278" t="s">
        <v>15416</v>
      </c>
    </row>
    <row r="14279" spans="1:5" x14ac:dyDescent="0.25">
      <c r="A14279" t="s">
        <v>2</v>
      </c>
      <c r="B14279" t="s">
        <v>3458</v>
      </c>
      <c r="C14279" t="s">
        <v>23490</v>
      </c>
      <c r="D14279" t="str">
        <f>HYPERLINK("https://rhld.insurance.arkansas.gov/NPILookup?Npi=1679663173","1679663173")</f>
        <v>1679663173</v>
      </c>
      <c r="E14279" t="s">
        <v>3870</v>
      </c>
    </row>
    <row r="14280" spans="1:5" x14ac:dyDescent="0.25">
      <c r="A14280" t="s">
        <v>2</v>
      </c>
      <c r="B14280" t="s">
        <v>3458</v>
      </c>
      <c r="C14280" t="s">
        <v>23490</v>
      </c>
      <c r="D14280" t="str">
        <f>HYPERLINK("https://rhld.insurance.arkansas.gov/NPILookup?Npi=1679663231","1679663231")</f>
        <v>1679663231</v>
      </c>
      <c r="E14280" t="s">
        <v>3871</v>
      </c>
    </row>
    <row r="14281" spans="1:5" x14ac:dyDescent="0.25">
      <c r="A14281" t="s">
        <v>2</v>
      </c>
      <c r="B14281" t="s">
        <v>3458</v>
      </c>
      <c r="C14281" t="s">
        <v>23490</v>
      </c>
      <c r="D14281" t="str">
        <f>HYPERLINK("https://rhld.insurance.arkansas.gov/NPILookup?Npi=1679676282","1679676282")</f>
        <v>1679676282</v>
      </c>
      <c r="E14281" t="s">
        <v>2377</v>
      </c>
    </row>
    <row r="14282" spans="1:5" x14ac:dyDescent="0.25">
      <c r="A14282" t="s">
        <v>2</v>
      </c>
      <c r="B14282" t="s">
        <v>3458</v>
      </c>
      <c r="C14282" t="s">
        <v>23490</v>
      </c>
      <c r="D14282" t="str">
        <f>HYPERLINK("https://rhld.insurance.arkansas.gov/NPILookup?Npi=1679684336","1679684336")</f>
        <v>1679684336</v>
      </c>
      <c r="E14282" t="s">
        <v>8795</v>
      </c>
    </row>
    <row r="14283" spans="1:5" x14ac:dyDescent="0.25">
      <c r="A14283" t="s">
        <v>2</v>
      </c>
      <c r="B14283" t="s">
        <v>3458</v>
      </c>
      <c r="C14283" t="s">
        <v>23490</v>
      </c>
      <c r="D14283" t="str">
        <f>HYPERLINK("https://rhld.insurance.arkansas.gov/NPILookup?Npi=1679701957","1679701957")</f>
        <v>1679701957</v>
      </c>
      <c r="E14283" t="s">
        <v>2378</v>
      </c>
    </row>
    <row r="14284" spans="1:5" x14ac:dyDescent="0.25">
      <c r="A14284" t="s">
        <v>2</v>
      </c>
      <c r="B14284" t="s">
        <v>3458</v>
      </c>
      <c r="C14284" t="s">
        <v>23490</v>
      </c>
      <c r="D14284" t="str">
        <f>HYPERLINK("https://rhld.insurance.arkansas.gov/NPILookup?Npi=1679707194","1679707194")</f>
        <v>1679707194</v>
      </c>
      <c r="E14284" t="s">
        <v>13652</v>
      </c>
    </row>
    <row r="14285" spans="1:5" x14ac:dyDescent="0.25">
      <c r="A14285" t="s">
        <v>2</v>
      </c>
      <c r="B14285" t="s">
        <v>3458</v>
      </c>
      <c r="C14285" t="s">
        <v>23490</v>
      </c>
      <c r="D14285" t="str">
        <f>HYPERLINK("https://rhld.insurance.arkansas.gov/NPILookup?Npi=1679736094","1679736094")</f>
        <v>1679736094</v>
      </c>
      <c r="E14285" t="s">
        <v>2381</v>
      </c>
    </row>
    <row r="14286" spans="1:5" x14ac:dyDescent="0.25">
      <c r="A14286" t="s">
        <v>2</v>
      </c>
      <c r="B14286" t="s">
        <v>3458</v>
      </c>
      <c r="C14286" t="s">
        <v>23490</v>
      </c>
      <c r="D14286" t="str">
        <f>HYPERLINK("https://rhld.insurance.arkansas.gov/NPILookup?Npi=1679744809","1679744809")</f>
        <v>1679744809</v>
      </c>
      <c r="E14286" t="s">
        <v>15417</v>
      </c>
    </row>
    <row r="14287" spans="1:5" x14ac:dyDescent="0.25">
      <c r="A14287" t="s">
        <v>2</v>
      </c>
      <c r="B14287" t="s">
        <v>3458</v>
      </c>
      <c r="C14287" t="s">
        <v>23490</v>
      </c>
      <c r="D14287" t="str">
        <f>HYPERLINK("https://rhld.insurance.arkansas.gov/NPILookup?Npi=1679771844","1679771844")</f>
        <v>1679771844</v>
      </c>
      <c r="E14287" t="s">
        <v>15418</v>
      </c>
    </row>
    <row r="14288" spans="1:5" x14ac:dyDescent="0.25">
      <c r="A14288" t="s">
        <v>2</v>
      </c>
      <c r="B14288" t="s">
        <v>3458</v>
      </c>
      <c r="C14288" t="s">
        <v>23490</v>
      </c>
      <c r="D14288" t="str">
        <f>HYPERLINK("https://rhld.insurance.arkansas.gov/NPILookup?Npi=1679776587","1679776587")</f>
        <v>1679776587</v>
      </c>
      <c r="E14288" t="s">
        <v>3872</v>
      </c>
    </row>
    <row r="14289" spans="1:5" x14ac:dyDescent="0.25">
      <c r="A14289" t="s">
        <v>2</v>
      </c>
      <c r="B14289" t="s">
        <v>3458</v>
      </c>
      <c r="C14289" t="s">
        <v>23490</v>
      </c>
      <c r="D14289" t="str">
        <f>HYPERLINK("https://rhld.insurance.arkansas.gov/NPILookup?Npi=1679780969","1679780969")</f>
        <v>1679780969</v>
      </c>
      <c r="E14289" t="s">
        <v>2383</v>
      </c>
    </row>
    <row r="14290" spans="1:5" x14ac:dyDescent="0.25">
      <c r="A14290" t="s">
        <v>2</v>
      </c>
      <c r="B14290" t="s">
        <v>3458</v>
      </c>
      <c r="C14290" t="s">
        <v>23490</v>
      </c>
      <c r="D14290" t="str">
        <f>HYPERLINK("https://rhld.insurance.arkansas.gov/NPILookup?Npi=1679785174","1679785174")</f>
        <v>1679785174</v>
      </c>
      <c r="E14290" t="s">
        <v>2384</v>
      </c>
    </row>
    <row r="14291" spans="1:5" x14ac:dyDescent="0.25">
      <c r="A14291" t="s">
        <v>2</v>
      </c>
      <c r="B14291" t="s">
        <v>3458</v>
      </c>
      <c r="C14291" t="s">
        <v>23490</v>
      </c>
      <c r="D14291" t="str">
        <f>HYPERLINK("https://rhld.insurance.arkansas.gov/NPILookup?Npi=1679792907","1679792907")</f>
        <v>1679792907</v>
      </c>
      <c r="E14291" t="s">
        <v>21623</v>
      </c>
    </row>
    <row r="14292" spans="1:5" x14ac:dyDescent="0.25">
      <c r="A14292" t="s">
        <v>2</v>
      </c>
      <c r="B14292" t="s">
        <v>3458</v>
      </c>
      <c r="C14292" t="s">
        <v>23490</v>
      </c>
      <c r="D14292" t="str">
        <f>HYPERLINK("https://rhld.insurance.arkansas.gov/NPILookup?Npi=1679794762","1679794762")</f>
        <v>1679794762</v>
      </c>
      <c r="E14292" t="s">
        <v>2385</v>
      </c>
    </row>
    <row r="14293" spans="1:5" x14ac:dyDescent="0.25">
      <c r="A14293" t="s">
        <v>2</v>
      </c>
      <c r="B14293" t="s">
        <v>3458</v>
      </c>
      <c r="C14293" t="s">
        <v>23490</v>
      </c>
      <c r="D14293" t="str">
        <f>HYPERLINK("https://rhld.insurance.arkansas.gov/NPILookup?Npi=1679798995","1679798995")</f>
        <v>1679798995</v>
      </c>
      <c r="E14293" t="s">
        <v>2386</v>
      </c>
    </row>
    <row r="14294" spans="1:5" x14ac:dyDescent="0.25">
      <c r="A14294" t="s">
        <v>2</v>
      </c>
      <c r="B14294" t="s">
        <v>3458</v>
      </c>
      <c r="C14294" t="s">
        <v>23490</v>
      </c>
      <c r="D14294" t="str">
        <f>HYPERLINK("https://rhld.insurance.arkansas.gov/NPILookup?Npi=1679818124","1679818124")</f>
        <v>1679818124</v>
      </c>
      <c r="E14294" t="s">
        <v>11167</v>
      </c>
    </row>
    <row r="14295" spans="1:5" x14ac:dyDescent="0.25">
      <c r="A14295" t="s">
        <v>2</v>
      </c>
      <c r="B14295" t="s">
        <v>3458</v>
      </c>
      <c r="C14295" t="s">
        <v>23490</v>
      </c>
      <c r="D14295" t="str">
        <f>HYPERLINK("https://rhld.insurance.arkansas.gov/NPILookup?Npi=1679824197","1679824197")</f>
        <v>1679824197</v>
      </c>
      <c r="E14295" t="s">
        <v>22973</v>
      </c>
    </row>
    <row r="14296" spans="1:5" x14ac:dyDescent="0.25">
      <c r="A14296" t="s">
        <v>2</v>
      </c>
      <c r="B14296" t="s">
        <v>3458</v>
      </c>
      <c r="C14296" t="s">
        <v>23490</v>
      </c>
      <c r="D14296" t="str">
        <f>HYPERLINK("https://rhld.insurance.arkansas.gov/NPILookup?Npi=1679834626","1679834626")</f>
        <v>1679834626</v>
      </c>
      <c r="E14296" t="s">
        <v>11168</v>
      </c>
    </row>
    <row r="14297" spans="1:5" x14ac:dyDescent="0.25">
      <c r="A14297" t="s">
        <v>2</v>
      </c>
      <c r="B14297" t="s">
        <v>3458</v>
      </c>
      <c r="C14297" t="s">
        <v>23490</v>
      </c>
      <c r="D14297" t="str">
        <f>HYPERLINK("https://rhld.insurance.arkansas.gov/NPILookup?Npi=1679847818","1679847818")</f>
        <v>1679847818</v>
      </c>
      <c r="E14297" t="s">
        <v>8797</v>
      </c>
    </row>
    <row r="14298" spans="1:5" x14ac:dyDescent="0.25">
      <c r="A14298" t="s">
        <v>2</v>
      </c>
      <c r="B14298" t="s">
        <v>3458</v>
      </c>
      <c r="C14298" t="s">
        <v>23490</v>
      </c>
      <c r="D14298" t="str">
        <f>HYPERLINK("https://rhld.insurance.arkansas.gov/NPILookup?Npi=1679850374","1679850374")</f>
        <v>1679850374</v>
      </c>
      <c r="E14298" t="s">
        <v>21624</v>
      </c>
    </row>
    <row r="14299" spans="1:5" x14ac:dyDescent="0.25">
      <c r="A14299" t="s">
        <v>2</v>
      </c>
      <c r="B14299" t="s">
        <v>3458</v>
      </c>
      <c r="C14299" t="s">
        <v>23490</v>
      </c>
      <c r="D14299" t="str">
        <f>HYPERLINK("https://rhld.insurance.arkansas.gov/NPILookup?Npi=1679862023","1679862023")</f>
        <v>1679862023</v>
      </c>
      <c r="E14299" t="s">
        <v>2387</v>
      </c>
    </row>
    <row r="14300" spans="1:5" x14ac:dyDescent="0.25">
      <c r="A14300" t="s">
        <v>2</v>
      </c>
      <c r="B14300" t="s">
        <v>3458</v>
      </c>
      <c r="C14300" t="s">
        <v>23490</v>
      </c>
      <c r="D14300" t="str">
        <f>HYPERLINK("https://rhld.insurance.arkansas.gov/NPILookup?Npi=1679868830","1679868830")</f>
        <v>1679868830</v>
      </c>
      <c r="E14300" t="s">
        <v>8798</v>
      </c>
    </row>
    <row r="14301" spans="1:5" x14ac:dyDescent="0.25">
      <c r="A14301" t="s">
        <v>2</v>
      </c>
      <c r="B14301" t="s">
        <v>3458</v>
      </c>
      <c r="C14301" t="s">
        <v>23490</v>
      </c>
      <c r="D14301" t="str">
        <f>HYPERLINK("https://rhld.insurance.arkansas.gov/NPILookup?Npi=1679885412","1679885412")</f>
        <v>1679885412</v>
      </c>
      <c r="E14301" t="s">
        <v>13653</v>
      </c>
    </row>
    <row r="14302" spans="1:5" x14ac:dyDescent="0.25">
      <c r="A14302" t="s">
        <v>2</v>
      </c>
      <c r="B14302" t="s">
        <v>3458</v>
      </c>
      <c r="C14302" t="s">
        <v>23490</v>
      </c>
      <c r="D14302" t="str">
        <f>HYPERLINK("https://rhld.insurance.arkansas.gov/NPILookup?Npi=1679898332","1679898332")</f>
        <v>1679898332</v>
      </c>
      <c r="E14302" t="s">
        <v>2388</v>
      </c>
    </row>
    <row r="14303" spans="1:5" x14ac:dyDescent="0.25">
      <c r="A14303" t="s">
        <v>2</v>
      </c>
      <c r="B14303" t="s">
        <v>3458</v>
      </c>
      <c r="C14303" t="s">
        <v>23490</v>
      </c>
      <c r="D14303" t="str">
        <f>HYPERLINK("https://rhld.insurance.arkansas.gov/NPILookup?Npi=1679912554","1679912554")</f>
        <v>1679912554</v>
      </c>
      <c r="E14303" t="s">
        <v>17457</v>
      </c>
    </row>
    <row r="14304" spans="1:5" x14ac:dyDescent="0.25">
      <c r="A14304" t="s">
        <v>2</v>
      </c>
      <c r="B14304" t="s">
        <v>3458</v>
      </c>
      <c r="C14304" t="s">
        <v>23490</v>
      </c>
      <c r="D14304" t="str">
        <f>HYPERLINK("https://rhld.insurance.arkansas.gov/NPILookup?Npi=1679914113","1679914113")</f>
        <v>1679914113</v>
      </c>
      <c r="E14304" t="s">
        <v>2389</v>
      </c>
    </row>
    <row r="14305" spans="1:5" x14ac:dyDescent="0.25">
      <c r="A14305" t="s">
        <v>2</v>
      </c>
      <c r="B14305" t="s">
        <v>3458</v>
      </c>
      <c r="C14305" t="s">
        <v>23490</v>
      </c>
      <c r="D14305" t="str">
        <f>HYPERLINK("https://rhld.insurance.arkansas.gov/NPILookup?Npi=1679926141","1679926141")</f>
        <v>1679926141</v>
      </c>
      <c r="E14305" t="s">
        <v>17458</v>
      </c>
    </row>
    <row r="14306" spans="1:5" x14ac:dyDescent="0.25">
      <c r="A14306" t="s">
        <v>2</v>
      </c>
      <c r="B14306" t="s">
        <v>3458</v>
      </c>
      <c r="C14306" t="s">
        <v>23490</v>
      </c>
      <c r="D14306" t="str">
        <f>HYPERLINK("https://rhld.insurance.arkansas.gov/NPILookup?Npi=1679931760","1679931760")</f>
        <v>1679931760</v>
      </c>
      <c r="E14306" t="s">
        <v>3888</v>
      </c>
    </row>
    <row r="14307" spans="1:5" x14ac:dyDescent="0.25">
      <c r="A14307" t="s">
        <v>2</v>
      </c>
      <c r="B14307" t="s">
        <v>3458</v>
      </c>
      <c r="C14307" t="s">
        <v>23490</v>
      </c>
      <c r="D14307" t="str">
        <f>HYPERLINK("https://rhld.insurance.arkansas.gov/NPILookup?Npi=1679932321","1679932321")</f>
        <v>1679932321</v>
      </c>
      <c r="E14307" t="s">
        <v>8799</v>
      </c>
    </row>
    <row r="14308" spans="1:5" x14ac:dyDescent="0.25">
      <c r="A14308" t="s">
        <v>2</v>
      </c>
      <c r="B14308" t="s">
        <v>3458</v>
      </c>
      <c r="C14308" t="s">
        <v>23490</v>
      </c>
      <c r="D14308" t="str">
        <f>HYPERLINK("https://rhld.insurance.arkansas.gov/NPILookup?Npi=1679943690","1679943690")</f>
        <v>1679943690</v>
      </c>
      <c r="E14308" t="s">
        <v>8800</v>
      </c>
    </row>
    <row r="14309" spans="1:5" x14ac:dyDescent="0.25">
      <c r="A14309" t="s">
        <v>2</v>
      </c>
      <c r="B14309" t="s">
        <v>3458</v>
      </c>
      <c r="C14309" t="s">
        <v>23490</v>
      </c>
      <c r="D14309" t="str">
        <f>HYPERLINK("https://rhld.insurance.arkansas.gov/NPILookup?Npi=1679954093","1679954093")</f>
        <v>1679954093</v>
      </c>
      <c r="E14309" t="s">
        <v>15419</v>
      </c>
    </row>
    <row r="14310" spans="1:5" x14ac:dyDescent="0.25">
      <c r="A14310" t="s">
        <v>2</v>
      </c>
      <c r="B14310" t="s">
        <v>3458</v>
      </c>
      <c r="C14310" t="s">
        <v>23490</v>
      </c>
      <c r="D14310" t="str">
        <f>HYPERLINK("https://rhld.insurance.arkansas.gov/NPILookup?Npi=1679957369","1679957369")</f>
        <v>1679957369</v>
      </c>
      <c r="E14310" t="s">
        <v>19940</v>
      </c>
    </row>
    <row r="14311" spans="1:5" x14ac:dyDescent="0.25">
      <c r="A14311" t="s">
        <v>2</v>
      </c>
      <c r="B14311" t="s">
        <v>3458</v>
      </c>
      <c r="C14311" t="s">
        <v>23490</v>
      </c>
      <c r="D14311" t="str">
        <f>HYPERLINK("https://rhld.insurance.arkansas.gov/NPILookup?Npi=1679992895","1679992895")</f>
        <v>1679992895</v>
      </c>
      <c r="E14311" t="s">
        <v>15420</v>
      </c>
    </row>
    <row r="14312" spans="1:5" x14ac:dyDescent="0.25">
      <c r="A14312" t="s">
        <v>2</v>
      </c>
      <c r="B14312" t="s">
        <v>3458</v>
      </c>
      <c r="C14312" t="s">
        <v>23490</v>
      </c>
      <c r="D14312" t="str">
        <f>HYPERLINK("https://rhld.insurance.arkansas.gov/NPILookup?Npi=1689004814","1689004814")</f>
        <v>1689004814</v>
      </c>
      <c r="E14312" t="s">
        <v>15421</v>
      </c>
    </row>
    <row r="14313" spans="1:5" x14ac:dyDescent="0.25">
      <c r="A14313" t="s">
        <v>2</v>
      </c>
      <c r="B14313" t="s">
        <v>3458</v>
      </c>
      <c r="C14313" t="s">
        <v>23490</v>
      </c>
      <c r="D14313" t="str">
        <f>HYPERLINK("https://rhld.insurance.arkansas.gov/NPILookup?Npi=1689021834","1689021834")</f>
        <v>1689021834</v>
      </c>
      <c r="E14313" t="s">
        <v>18836</v>
      </c>
    </row>
    <row r="14314" spans="1:5" x14ac:dyDescent="0.25">
      <c r="A14314" t="s">
        <v>2</v>
      </c>
      <c r="B14314" t="s">
        <v>3458</v>
      </c>
      <c r="C14314" t="s">
        <v>23490</v>
      </c>
      <c r="D14314" t="str">
        <f>HYPERLINK("https://rhld.insurance.arkansas.gov/NPILookup?Npi=1689026726","1689026726")</f>
        <v>1689026726</v>
      </c>
      <c r="E14314" t="s">
        <v>18837</v>
      </c>
    </row>
    <row r="14315" spans="1:5" x14ac:dyDescent="0.25">
      <c r="A14315" t="s">
        <v>2</v>
      </c>
      <c r="B14315" t="s">
        <v>3458</v>
      </c>
      <c r="C14315" t="s">
        <v>23490</v>
      </c>
      <c r="D14315" t="str">
        <f>HYPERLINK("https://rhld.insurance.arkansas.gov/NPILookup?Npi=1689032237","1689032237")</f>
        <v>1689032237</v>
      </c>
      <c r="E14315" t="s">
        <v>8802</v>
      </c>
    </row>
    <row r="14316" spans="1:5" x14ac:dyDescent="0.25">
      <c r="A14316" t="s">
        <v>2</v>
      </c>
      <c r="B14316" t="s">
        <v>3458</v>
      </c>
      <c r="C14316" t="s">
        <v>23490</v>
      </c>
      <c r="D14316" t="str">
        <f>HYPERLINK("https://rhld.insurance.arkansas.gov/NPILookup?Npi=1689033730","1689033730")</f>
        <v>1689033730</v>
      </c>
      <c r="E14316" t="s">
        <v>15891</v>
      </c>
    </row>
    <row r="14317" spans="1:5" x14ac:dyDescent="0.25">
      <c r="A14317" t="s">
        <v>2</v>
      </c>
      <c r="B14317" t="s">
        <v>3458</v>
      </c>
      <c r="C14317" t="s">
        <v>23490</v>
      </c>
      <c r="D14317" t="str">
        <f>HYPERLINK("https://rhld.insurance.arkansas.gov/NPILookup?Npi=1689055881","1689055881")</f>
        <v>1689055881</v>
      </c>
      <c r="E14317" t="s">
        <v>19942</v>
      </c>
    </row>
    <row r="14318" spans="1:5" x14ac:dyDescent="0.25">
      <c r="A14318" t="s">
        <v>2</v>
      </c>
      <c r="B14318" t="s">
        <v>3458</v>
      </c>
      <c r="C14318" t="s">
        <v>23490</v>
      </c>
      <c r="D14318" t="str">
        <f>HYPERLINK("https://rhld.insurance.arkansas.gov/NPILookup?Npi=1689058513","1689058513")</f>
        <v>1689058513</v>
      </c>
      <c r="E14318" t="s">
        <v>15892</v>
      </c>
    </row>
    <row r="14319" spans="1:5" x14ac:dyDescent="0.25">
      <c r="A14319" t="s">
        <v>2</v>
      </c>
      <c r="B14319" t="s">
        <v>3458</v>
      </c>
      <c r="C14319" t="s">
        <v>23490</v>
      </c>
      <c r="D14319" t="str">
        <f>HYPERLINK("https://rhld.insurance.arkansas.gov/NPILookup?Npi=1689058810","1689058810")</f>
        <v>1689058810</v>
      </c>
      <c r="E14319" t="s">
        <v>13654</v>
      </c>
    </row>
    <row r="14320" spans="1:5" x14ac:dyDescent="0.25">
      <c r="A14320" t="s">
        <v>2</v>
      </c>
      <c r="B14320" t="s">
        <v>3458</v>
      </c>
      <c r="C14320" t="s">
        <v>23490</v>
      </c>
      <c r="D14320" t="str">
        <f>HYPERLINK("https://rhld.insurance.arkansas.gov/NPILookup?Npi=1689061129","1689061129")</f>
        <v>1689061129</v>
      </c>
      <c r="E14320" t="s">
        <v>8803</v>
      </c>
    </row>
    <row r="14321" spans="1:5" x14ac:dyDescent="0.25">
      <c r="A14321" t="s">
        <v>2</v>
      </c>
      <c r="B14321" t="s">
        <v>3458</v>
      </c>
      <c r="C14321" t="s">
        <v>23490</v>
      </c>
      <c r="D14321" t="str">
        <f>HYPERLINK("https://rhld.insurance.arkansas.gov/NPILookup?Npi=1689078156","1689078156")</f>
        <v>1689078156</v>
      </c>
      <c r="E14321" t="s">
        <v>2391</v>
      </c>
    </row>
    <row r="14322" spans="1:5" x14ac:dyDescent="0.25">
      <c r="A14322" t="s">
        <v>2</v>
      </c>
      <c r="B14322" t="s">
        <v>3458</v>
      </c>
      <c r="C14322" t="s">
        <v>23490</v>
      </c>
      <c r="D14322" t="str">
        <f>HYPERLINK("https://rhld.insurance.arkansas.gov/NPILookup?Npi=1689080384","1689080384")</f>
        <v>1689080384</v>
      </c>
      <c r="E14322" t="s">
        <v>13655</v>
      </c>
    </row>
    <row r="14323" spans="1:5" x14ac:dyDescent="0.25">
      <c r="A14323" t="s">
        <v>2</v>
      </c>
      <c r="B14323" t="s">
        <v>3458</v>
      </c>
      <c r="C14323" t="s">
        <v>23490</v>
      </c>
      <c r="D14323" t="str">
        <f>HYPERLINK("https://rhld.insurance.arkansas.gov/NPILookup?Npi=1689083537","1689083537")</f>
        <v>1689083537</v>
      </c>
      <c r="E14323" t="s">
        <v>22974</v>
      </c>
    </row>
    <row r="14324" spans="1:5" x14ac:dyDescent="0.25">
      <c r="A14324" t="s">
        <v>2</v>
      </c>
      <c r="B14324" t="s">
        <v>3458</v>
      </c>
      <c r="C14324" t="s">
        <v>23490</v>
      </c>
      <c r="D14324" t="str">
        <f>HYPERLINK("https://rhld.insurance.arkansas.gov/NPILookup?Npi=1689111718","1689111718")</f>
        <v>1689111718</v>
      </c>
      <c r="E14324" t="s">
        <v>17459</v>
      </c>
    </row>
    <row r="14325" spans="1:5" x14ac:dyDescent="0.25">
      <c r="A14325" t="s">
        <v>2</v>
      </c>
      <c r="B14325" t="s">
        <v>3458</v>
      </c>
      <c r="C14325" t="s">
        <v>23490</v>
      </c>
      <c r="D14325" t="str">
        <f>HYPERLINK("https://rhld.insurance.arkansas.gov/NPILookup?Npi=1689134249","1689134249")</f>
        <v>1689134249</v>
      </c>
      <c r="E14325" t="s">
        <v>21751</v>
      </c>
    </row>
    <row r="14326" spans="1:5" x14ac:dyDescent="0.25">
      <c r="A14326" t="s">
        <v>2</v>
      </c>
      <c r="B14326" t="s">
        <v>3458</v>
      </c>
      <c r="C14326" t="s">
        <v>23490</v>
      </c>
      <c r="D14326" t="str">
        <f>HYPERLINK("https://rhld.insurance.arkansas.gov/NPILookup?Npi=1689136475","1689136475")</f>
        <v>1689136475</v>
      </c>
      <c r="E14326" t="s">
        <v>19943</v>
      </c>
    </row>
    <row r="14327" spans="1:5" x14ac:dyDescent="0.25">
      <c r="A14327" t="s">
        <v>2</v>
      </c>
      <c r="B14327" t="s">
        <v>3458</v>
      </c>
      <c r="C14327" t="s">
        <v>23490</v>
      </c>
      <c r="D14327" t="str">
        <f>HYPERLINK("https://rhld.insurance.arkansas.gov/NPILookup?Npi=1689154460","1689154460")</f>
        <v>1689154460</v>
      </c>
      <c r="E14327" t="s">
        <v>21002</v>
      </c>
    </row>
    <row r="14328" spans="1:5" x14ac:dyDescent="0.25">
      <c r="A14328" t="s">
        <v>2</v>
      </c>
      <c r="B14328" t="s">
        <v>3458</v>
      </c>
      <c r="C14328" t="s">
        <v>23490</v>
      </c>
      <c r="D14328" t="str">
        <f>HYPERLINK("https://rhld.insurance.arkansas.gov/NPILookup?Npi=1689165375","1689165375")</f>
        <v>1689165375</v>
      </c>
      <c r="E14328" t="s">
        <v>20256</v>
      </c>
    </row>
    <row r="14329" spans="1:5" x14ac:dyDescent="0.25">
      <c r="A14329" t="s">
        <v>2</v>
      </c>
      <c r="B14329" t="s">
        <v>3458</v>
      </c>
      <c r="C14329" t="s">
        <v>23490</v>
      </c>
      <c r="D14329" t="str">
        <f>HYPERLINK("https://rhld.insurance.arkansas.gov/NPILookup?Npi=1689171019","1689171019")</f>
        <v>1689171019</v>
      </c>
      <c r="E14329" t="s">
        <v>19945</v>
      </c>
    </row>
    <row r="14330" spans="1:5" x14ac:dyDescent="0.25">
      <c r="A14330" t="s">
        <v>2</v>
      </c>
      <c r="B14330" t="s">
        <v>3458</v>
      </c>
      <c r="C14330" t="s">
        <v>23490</v>
      </c>
      <c r="D14330" t="str">
        <f>HYPERLINK("https://rhld.insurance.arkansas.gov/NPILookup?Npi=1689185464","1689185464")</f>
        <v>1689185464</v>
      </c>
      <c r="E14330" t="s">
        <v>15423</v>
      </c>
    </row>
    <row r="14331" spans="1:5" x14ac:dyDescent="0.25">
      <c r="A14331" t="s">
        <v>2</v>
      </c>
      <c r="B14331" t="s">
        <v>3458</v>
      </c>
      <c r="C14331" t="s">
        <v>23490</v>
      </c>
      <c r="D14331" t="str">
        <f>HYPERLINK("https://rhld.insurance.arkansas.gov/NPILookup?Npi=1689191108","1689191108")</f>
        <v>1689191108</v>
      </c>
      <c r="E14331" t="s">
        <v>21625</v>
      </c>
    </row>
    <row r="14332" spans="1:5" x14ac:dyDescent="0.25">
      <c r="A14332" t="s">
        <v>2</v>
      </c>
      <c r="B14332" t="s">
        <v>3458</v>
      </c>
      <c r="C14332" t="s">
        <v>23490</v>
      </c>
      <c r="D14332" t="str">
        <f>HYPERLINK("https://rhld.insurance.arkansas.gov/NPILookup?Npi=1689240913","1689240913")</f>
        <v>1689240913</v>
      </c>
      <c r="E14332" t="s">
        <v>18838</v>
      </c>
    </row>
    <row r="14333" spans="1:5" x14ac:dyDescent="0.25">
      <c r="A14333" t="s">
        <v>2</v>
      </c>
      <c r="B14333" t="s">
        <v>3458</v>
      </c>
      <c r="C14333" t="s">
        <v>23490</v>
      </c>
      <c r="D14333" t="str">
        <f>HYPERLINK("https://rhld.insurance.arkansas.gov/NPILookup?Npi=1689290249","1689290249")</f>
        <v>1689290249</v>
      </c>
      <c r="E14333" t="s">
        <v>18083</v>
      </c>
    </row>
    <row r="14334" spans="1:5" x14ac:dyDescent="0.25">
      <c r="A14334" t="s">
        <v>2</v>
      </c>
      <c r="B14334" t="s">
        <v>3458</v>
      </c>
      <c r="C14334" t="s">
        <v>23490</v>
      </c>
      <c r="D14334" t="str">
        <f>HYPERLINK("https://rhld.insurance.arkansas.gov/NPILookup?Npi=1689304214","1689304214")</f>
        <v>1689304214</v>
      </c>
      <c r="E14334" t="s">
        <v>21003</v>
      </c>
    </row>
    <row r="14335" spans="1:5" x14ac:dyDescent="0.25">
      <c r="A14335" t="s">
        <v>2</v>
      </c>
      <c r="B14335" t="s">
        <v>3458</v>
      </c>
      <c r="C14335" t="s">
        <v>23490</v>
      </c>
      <c r="D14335" t="str">
        <f>HYPERLINK("https://rhld.insurance.arkansas.gov/NPILookup?Npi=1689310625","1689310625")</f>
        <v>1689310625</v>
      </c>
      <c r="E14335" t="s">
        <v>21004</v>
      </c>
    </row>
    <row r="14336" spans="1:5" x14ac:dyDescent="0.25">
      <c r="A14336" t="s">
        <v>2</v>
      </c>
      <c r="B14336" t="s">
        <v>3458</v>
      </c>
      <c r="C14336" t="s">
        <v>23490</v>
      </c>
      <c r="D14336" t="str">
        <f>HYPERLINK("https://rhld.insurance.arkansas.gov/NPILookup?Npi=1689321085","1689321085")</f>
        <v>1689321085</v>
      </c>
      <c r="E14336" t="s">
        <v>21005</v>
      </c>
    </row>
    <row r="14337" spans="1:5" x14ac:dyDescent="0.25">
      <c r="A14337" t="s">
        <v>2</v>
      </c>
      <c r="B14337" t="s">
        <v>3458</v>
      </c>
      <c r="C14337" t="s">
        <v>23490</v>
      </c>
      <c r="D14337" t="str">
        <f>HYPERLINK("https://rhld.insurance.arkansas.gov/NPILookup?Npi=1689331258","1689331258")</f>
        <v>1689331258</v>
      </c>
      <c r="E14337" t="s">
        <v>15036</v>
      </c>
    </row>
    <row r="14338" spans="1:5" x14ac:dyDescent="0.25">
      <c r="A14338" t="s">
        <v>2</v>
      </c>
      <c r="B14338" t="s">
        <v>3458</v>
      </c>
      <c r="C14338" t="s">
        <v>23490</v>
      </c>
      <c r="D14338" t="str">
        <f>HYPERLINK("https://rhld.insurance.arkansas.gov/NPILookup?Npi=1689349243","1689349243")</f>
        <v>1689349243</v>
      </c>
      <c r="E14338" t="s">
        <v>21006</v>
      </c>
    </row>
    <row r="14339" spans="1:5" x14ac:dyDescent="0.25">
      <c r="A14339" t="s">
        <v>2</v>
      </c>
      <c r="B14339" t="s">
        <v>3458</v>
      </c>
      <c r="C14339" t="s">
        <v>8427</v>
      </c>
      <c r="D14339" t="str">
        <f>HYPERLINK("https://rhld.insurance.arkansas.gov/NPILookup?Npi=1689383366","1689383366")</f>
        <v>1689383366</v>
      </c>
      <c r="E14339" t="s">
        <v>22975</v>
      </c>
    </row>
    <row r="14340" spans="1:5" x14ac:dyDescent="0.25">
      <c r="A14340" t="s">
        <v>2</v>
      </c>
      <c r="B14340" t="s">
        <v>3458</v>
      </c>
      <c r="C14340" t="s">
        <v>23490</v>
      </c>
      <c r="D14340" t="str">
        <f>HYPERLINK("https://rhld.insurance.arkansas.gov/NPILookup?Npi=1689394520","1689394520")</f>
        <v>1689394520</v>
      </c>
      <c r="E14340" t="s">
        <v>21007</v>
      </c>
    </row>
    <row r="14341" spans="1:5" x14ac:dyDescent="0.25">
      <c r="A14341" t="s">
        <v>2</v>
      </c>
      <c r="B14341" t="s">
        <v>3458</v>
      </c>
      <c r="C14341" t="s">
        <v>23490</v>
      </c>
      <c r="D14341" t="str">
        <f>HYPERLINK("https://rhld.insurance.arkansas.gov/NPILookup?Npi=1689397952","1689397952")</f>
        <v>1689397952</v>
      </c>
      <c r="E14341" t="s">
        <v>21008</v>
      </c>
    </row>
    <row r="14342" spans="1:5" x14ac:dyDescent="0.25">
      <c r="A14342" t="s">
        <v>2</v>
      </c>
      <c r="B14342" t="s">
        <v>3458</v>
      </c>
      <c r="C14342" t="s">
        <v>23490</v>
      </c>
      <c r="D14342" t="str">
        <f>HYPERLINK("https://rhld.insurance.arkansas.gov/NPILookup?Npi=1689602575","1689602575")</f>
        <v>1689602575</v>
      </c>
      <c r="E14342" t="s">
        <v>3873</v>
      </c>
    </row>
    <row r="14343" spans="1:5" x14ac:dyDescent="0.25">
      <c r="A14343" t="s">
        <v>2</v>
      </c>
      <c r="B14343" t="s">
        <v>3458</v>
      </c>
      <c r="C14343" t="s">
        <v>23490</v>
      </c>
      <c r="D14343" t="str">
        <f>HYPERLINK("https://rhld.insurance.arkansas.gov/NPILookup?Npi=1689606261","1689606261")</f>
        <v>1689606261</v>
      </c>
      <c r="E14343" t="s">
        <v>2392</v>
      </c>
    </row>
    <row r="14344" spans="1:5" x14ac:dyDescent="0.25">
      <c r="A14344" t="s">
        <v>2</v>
      </c>
      <c r="B14344" t="s">
        <v>3458</v>
      </c>
      <c r="C14344" t="s">
        <v>23490</v>
      </c>
      <c r="D14344" t="str">
        <f>HYPERLINK("https://rhld.insurance.arkansas.gov/NPILookup?Npi=1689612392","1689612392")</f>
        <v>1689612392</v>
      </c>
      <c r="E14344" t="s">
        <v>3874</v>
      </c>
    </row>
    <row r="14345" spans="1:5" x14ac:dyDescent="0.25">
      <c r="A14345" t="s">
        <v>2</v>
      </c>
      <c r="B14345" t="s">
        <v>3458</v>
      </c>
      <c r="C14345" t="s">
        <v>23490</v>
      </c>
      <c r="D14345" t="str">
        <f>HYPERLINK("https://rhld.insurance.arkansas.gov/NPILookup?Npi=1689620767","1689620767")</f>
        <v>1689620767</v>
      </c>
      <c r="E14345" t="s">
        <v>11170</v>
      </c>
    </row>
    <row r="14346" spans="1:5" x14ac:dyDescent="0.25">
      <c r="A14346" t="s">
        <v>2</v>
      </c>
      <c r="B14346" t="s">
        <v>3458</v>
      </c>
      <c r="C14346" t="s">
        <v>23490</v>
      </c>
      <c r="D14346" t="str">
        <f>HYPERLINK("https://rhld.insurance.arkansas.gov/NPILookup?Npi=1689626376","1689626376")</f>
        <v>1689626376</v>
      </c>
      <c r="E14346" t="s">
        <v>2395</v>
      </c>
    </row>
    <row r="14347" spans="1:5" x14ac:dyDescent="0.25">
      <c r="A14347" t="s">
        <v>2</v>
      </c>
      <c r="B14347" t="s">
        <v>3458</v>
      </c>
      <c r="C14347" t="s">
        <v>23490</v>
      </c>
      <c r="D14347" t="str">
        <f>HYPERLINK("https://rhld.insurance.arkansas.gov/NPILookup?Npi=1689628323","1689628323")</f>
        <v>1689628323</v>
      </c>
      <c r="E14347" t="s">
        <v>2396</v>
      </c>
    </row>
    <row r="14348" spans="1:5" x14ac:dyDescent="0.25">
      <c r="A14348" t="s">
        <v>2</v>
      </c>
      <c r="B14348" t="s">
        <v>3458</v>
      </c>
      <c r="C14348" t="s">
        <v>23490</v>
      </c>
      <c r="D14348" t="str">
        <f>HYPERLINK("https://rhld.insurance.arkansas.gov/NPILookup?Npi=1689637860","1689637860")</f>
        <v>1689637860</v>
      </c>
      <c r="E14348" t="s">
        <v>2397</v>
      </c>
    </row>
    <row r="14349" spans="1:5" x14ac:dyDescent="0.25">
      <c r="A14349" t="s">
        <v>2</v>
      </c>
      <c r="B14349" t="s">
        <v>3458</v>
      </c>
      <c r="C14349" t="s">
        <v>23490</v>
      </c>
      <c r="D14349" t="str">
        <f>HYPERLINK("https://rhld.insurance.arkansas.gov/NPILookup?Npi=1689640641","1689640641")</f>
        <v>1689640641</v>
      </c>
      <c r="E14349" t="s">
        <v>3875</v>
      </c>
    </row>
    <row r="14350" spans="1:5" x14ac:dyDescent="0.25">
      <c r="A14350" t="s">
        <v>2</v>
      </c>
      <c r="B14350" t="s">
        <v>3458</v>
      </c>
      <c r="C14350" t="s">
        <v>23490</v>
      </c>
      <c r="D14350" t="str">
        <f>HYPERLINK("https://rhld.insurance.arkansas.gov/NPILookup?Npi=1689644478","1689644478")</f>
        <v>1689644478</v>
      </c>
      <c r="E14350" t="s">
        <v>2398</v>
      </c>
    </row>
    <row r="14351" spans="1:5" x14ac:dyDescent="0.25">
      <c r="A14351" t="s">
        <v>2</v>
      </c>
      <c r="B14351" t="s">
        <v>3458</v>
      </c>
      <c r="C14351" t="s">
        <v>23490</v>
      </c>
      <c r="D14351" t="str">
        <f>HYPERLINK("https://rhld.insurance.arkansas.gov/NPILookup?Npi=1689645350","1689645350")</f>
        <v>1689645350</v>
      </c>
      <c r="E14351" t="s">
        <v>2399</v>
      </c>
    </row>
    <row r="14352" spans="1:5" x14ac:dyDescent="0.25">
      <c r="A14352" t="s">
        <v>2</v>
      </c>
      <c r="B14352" t="s">
        <v>3458</v>
      </c>
      <c r="C14352" t="s">
        <v>23490</v>
      </c>
      <c r="D14352" t="str">
        <f>HYPERLINK("https://rhld.insurance.arkansas.gov/NPILookup?Npi=1689651911","1689651911")</f>
        <v>1689651911</v>
      </c>
      <c r="E14352" t="s">
        <v>2403</v>
      </c>
    </row>
    <row r="14353" spans="1:5" x14ac:dyDescent="0.25">
      <c r="A14353" t="s">
        <v>2</v>
      </c>
      <c r="B14353" t="s">
        <v>3458</v>
      </c>
      <c r="C14353" t="s">
        <v>23490</v>
      </c>
      <c r="D14353" t="str">
        <f>HYPERLINK("https://rhld.insurance.arkansas.gov/NPILookup?Npi=1689662702","1689662702")</f>
        <v>1689662702</v>
      </c>
      <c r="E14353" t="s">
        <v>3876</v>
      </c>
    </row>
    <row r="14354" spans="1:5" x14ac:dyDescent="0.25">
      <c r="A14354" t="s">
        <v>2</v>
      </c>
      <c r="B14354" t="s">
        <v>3458</v>
      </c>
      <c r="C14354" t="s">
        <v>23490</v>
      </c>
      <c r="D14354" t="str">
        <f>HYPERLINK("https://rhld.insurance.arkansas.gov/NPILookup?Npi=1689665614","1689665614")</f>
        <v>1689665614</v>
      </c>
      <c r="E14354" t="s">
        <v>10004</v>
      </c>
    </row>
    <row r="14355" spans="1:5" x14ac:dyDescent="0.25">
      <c r="A14355" t="s">
        <v>2</v>
      </c>
      <c r="B14355" t="s">
        <v>3458</v>
      </c>
      <c r="C14355" t="s">
        <v>23490</v>
      </c>
      <c r="D14355" t="str">
        <f>HYPERLINK("https://rhld.insurance.arkansas.gov/NPILookup?Npi=1689667305","1689667305")</f>
        <v>1689667305</v>
      </c>
      <c r="E14355" t="s">
        <v>11171</v>
      </c>
    </row>
    <row r="14356" spans="1:5" x14ac:dyDescent="0.25">
      <c r="A14356" t="s">
        <v>2</v>
      </c>
      <c r="B14356" t="s">
        <v>3458</v>
      </c>
      <c r="C14356" t="s">
        <v>23490</v>
      </c>
      <c r="D14356" t="str">
        <f>HYPERLINK("https://rhld.insurance.arkansas.gov/NPILookup?Npi=1689673667","1689673667")</f>
        <v>1689673667</v>
      </c>
      <c r="E14356" t="s">
        <v>3877</v>
      </c>
    </row>
    <row r="14357" spans="1:5" x14ac:dyDescent="0.25">
      <c r="A14357" t="s">
        <v>2</v>
      </c>
      <c r="B14357" t="s">
        <v>3458</v>
      </c>
      <c r="C14357" t="s">
        <v>23490</v>
      </c>
      <c r="D14357" t="str">
        <f>HYPERLINK("https://rhld.insurance.arkansas.gov/NPILookup?Npi=1689677296","1689677296")</f>
        <v>1689677296</v>
      </c>
      <c r="E14357" t="s">
        <v>2404</v>
      </c>
    </row>
    <row r="14358" spans="1:5" x14ac:dyDescent="0.25">
      <c r="A14358" t="s">
        <v>2</v>
      </c>
      <c r="B14358" t="s">
        <v>3458</v>
      </c>
      <c r="C14358" t="s">
        <v>23490</v>
      </c>
      <c r="D14358" t="str">
        <f>HYPERLINK("https://rhld.insurance.arkansas.gov/NPILookup?Npi=1689679391","1689679391")</f>
        <v>1689679391</v>
      </c>
      <c r="E14358" t="s">
        <v>15425</v>
      </c>
    </row>
    <row r="14359" spans="1:5" x14ac:dyDescent="0.25">
      <c r="A14359" t="s">
        <v>2</v>
      </c>
      <c r="B14359" t="s">
        <v>3458</v>
      </c>
      <c r="C14359" t="s">
        <v>23490</v>
      </c>
      <c r="D14359" t="str">
        <f>HYPERLINK("https://rhld.insurance.arkansas.gov/NPILookup?Npi=1689679573","1689679573")</f>
        <v>1689679573</v>
      </c>
      <c r="E14359" t="s">
        <v>2405</v>
      </c>
    </row>
    <row r="14360" spans="1:5" x14ac:dyDescent="0.25">
      <c r="A14360" t="s">
        <v>2</v>
      </c>
      <c r="B14360" t="s">
        <v>3458</v>
      </c>
      <c r="C14360" t="s">
        <v>23490</v>
      </c>
      <c r="D14360" t="str">
        <f>HYPERLINK("https://rhld.insurance.arkansas.gov/NPILookup?Npi=1689680043","1689680043")</f>
        <v>1689680043</v>
      </c>
      <c r="E14360" t="s">
        <v>3878</v>
      </c>
    </row>
    <row r="14361" spans="1:5" x14ac:dyDescent="0.25">
      <c r="A14361" t="s">
        <v>2</v>
      </c>
      <c r="B14361" t="s">
        <v>3458</v>
      </c>
      <c r="C14361" t="s">
        <v>23490</v>
      </c>
      <c r="D14361" t="str">
        <f>HYPERLINK("https://rhld.insurance.arkansas.gov/NPILookup?Npi=1689681355","1689681355")</f>
        <v>1689681355</v>
      </c>
      <c r="E14361" t="s">
        <v>2406</v>
      </c>
    </row>
    <row r="14362" spans="1:5" x14ac:dyDescent="0.25">
      <c r="A14362" t="s">
        <v>2</v>
      </c>
      <c r="B14362" t="s">
        <v>3458</v>
      </c>
      <c r="C14362" t="s">
        <v>23490</v>
      </c>
      <c r="D14362" t="str">
        <f>HYPERLINK("https://rhld.insurance.arkansas.gov/NPILookup?Npi=1689692360","1689692360")</f>
        <v>1689692360</v>
      </c>
      <c r="E14362" t="s">
        <v>2407</v>
      </c>
    </row>
    <row r="14363" spans="1:5" x14ac:dyDescent="0.25">
      <c r="A14363" t="s">
        <v>2</v>
      </c>
      <c r="B14363" t="s">
        <v>3458</v>
      </c>
      <c r="C14363" t="s">
        <v>23490</v>
      </c>
      <c r="D14363" t="str">
        <f>HYPERLINK("https://rhld.insurance.arkansas.gov/NPILookup?Npi=1689695595","1689695595")</f>
        <v>1689695595</v>
      </c>
      <c r="E14363" t="s">
        <v>8804</v>
      </c>
    </row>
    <row r="14364" spans="1:5" x14ac:dyDescent="0.25">
      <c r="A14364" t="s">
        <v>2</v>
      </c>
      <c r="B14364" t="s">
        <v>3458</v>
      </c>
      <c r="C14364" t="s">
        <v>23490</v>
      </c>
      <c r="D14364" t="str">
        <f>HYPERLINK("https://rhld.insurance.arkansas.gov/NPILookup?Npi=1689717456","1689717456")</f>
        <v>1689717456</v>
      </c>
      <c r="E14364" t="s">
        <v>15426</v>
      </c>
    </row>
    <row r="14365" spans="1:5" x14ac:dyDescent="0.25">
      <c r="A14365" t="s">
        <v>2</v>
      </c>
      <c r="B14365" t="s">
        <v>3458</v>
      </c>
      <c r="C14365" t="s">
        <v>23490</v>
      </c>
      <c r="D14365" t="str">
        <f>HYPERLINK("https://rhld.insurance.arkansas.gov/NPILookup?Npi=1689733560","1689733560")</f>
        <v>1689733560</v>
      </c>
      <c r="E14365" t="s">
        <v>15427</v>
      </c>
    </row>
    <row r="14366" spans="1:5" x14ac:dyDescent="0.25">
      <c r="A14366" t="s">
        <v>2</v>
      </c>
      <c r="B14366" t="s">
        <v>3458</v>
      </c>
      <c r="C14366" t="s">
        <v>23490</v>
      </c>
      <c r="D14366" t="str">
        <f>HYPERLINK("https://rhld.insurance.arkansas.gov/NPILookup?Npi=1689737272","1689737272")</f>
        <v>1689737272</v>
      </c>
      <c r="E14366" t="s">
        <v>2408</v>
      </c>
    </row>
    <row r="14367" spans="1:5" x14ac:dyDescent="0.25">
      <c r="A14367" t="s">
        <v>2</v>
      </c>
      <c r="B14367" t="s">
        <v>3458</v>
      </c>
      <c r="C14367" t="s">
        <v>23490</v>
      </c>
      <c r="D14367" t="str">
        <f>HYPERLINK("https://rhld.insurance.arkansas.gov/NPILookup?Npi=1689763427","1689763427")</f>
        <v>1689763427</v>
      </c>
      <c r="E14367" t="s">
        <v>15428</v>
      </c>
    </row>
    <row r="14368" spans="1:5" x14ac:dyDescent="0.25">
      <c r="A14368" t="s">
        <v>2</v>
      </c>
      <c r="B14368" t="s">
        <v>3458</v>
      </c>
      <c r="C14368" t="s">
        <v>23490</v>
      </c>
      <c r="D14368" t="str">
        <f>HYPERLINK("https://rhld.insurance.arkansas.gov/NPILookup?Npi=1689764185","1689764185")</f>
        <v>1689764185</v>
      </c>
      <c r="E14368" t="s">
        <v>3879</v>
      </c>
    </row>
    <row r="14369" spans="1:5" x14ac:dyDescent="0.25">
      <c r="A14369" t="s">
        <v>2</v>
      </c>
      <c r="B14369" t="s">
        <v>3458</v>
      </c>
      <c r="C14369" t="s">
        <v>23490</v>
      </c>
      <c r="D14369" t="str">
        <f>HYPERLINK("https://rhld.insurance.arkansas.gov/NPILookup?Npi=1689767105","1689767105")</f>
        <v>1689767105</v>
      </c>
      <c r="E14369" t="s">
        <v>2410</v>
      </c>
    </row>
    <row r="14370" spans="1:5" x14ac:dyDescent="0.25">
      <c r="A14370" t="s">
        <v>2</v>
      </c>
      <c r="B14370" t="s">
        <v>3458</v>
      </c>
      <c r="C14370" t="s">
        <v>23490</v>
      </c>
      <c r="D14370" t="str">
        <f>HYPERLINK("https://rhld.insurance.arkansas.gov/NPILookup?Npi=1689770315","1689770315")</f>
        <v>1689770315</v>
      </c>
      <c r="E14370" t="s">
        <v>2411</v>
      </c>
    </row>
    <row r="14371" spans="1:5" x14ac:dyDescent="0.25">
      <c r="A14371" t="s">
        <v>2</v>
      </c>
      <c r="B14371" t="s">
        <v>3458</v>
      </c>
      <c r="C14371" t="s">
        <v>23490</v>
      </c>
      <c r="D14371" t="str">
        <f>HYPERLINK("https://rhld.insurance.arkansas.gov/NPILookup?Npi=1689776148","1689776148")</f>
        <v>1689776148</v>
      </c>
      <c r="E14371" t="s">
        <v>15429</v>
      </c>
    </row>
    <row r="14372" spans="1:5" x14ac:dyDescent="0.25">
      <c r="A14372" t="s">
        <v>2</v>
      </c>
      <c r="B14372" t="s">
        <v>3458</v>
      </c>
      <c r="C14372" t="s">
        <v>23490</v>
      </c>
      <c r="D14372" t="str">
        <f>HYPERLINK("https://rhld.insurance.arkansas.gov/NPILookup?Npi=1689791733","1689791733")</f>
        <v>1689791733</v>
      </c>
      <c r="E14372" t="s">
        <v>15430</v>
      </c>
    </row>
    <row r="14373" spans="1:5" x14ac:dyDescent="0.25">
      <c r="A14373" t="s">
        <v>2</v>
      </c>
      <c r="B14373" t="s">
        <v>3458</v>
      </c>
      <c r="C14373" t="s">
        <v>23490</v>
      </c>
      <c r="D14373" t="str">
        <f>HYPERLINK("https://rhld.insurance.arkansas.gov/NPILookup?Npi=1689816886","1689816886")</f>
        <v>1689816886</v>
      </c>
      <c r="E14373" t="s">
        <v>8805</v>
      </c>
    </row>
    <row r="14374" spans="1:5" x14ac:dyDescent="0.25">
      <c r="A14374" t="s">
        <v>2</v>
      </c>
      <c r="B14374" t="s">
        <v>3458</v>
      </c>
      <c r="C14374" t="s">
        <v>23490</v>
      </c>
      <c r="D14374" t="str">
        <f>HYPERLINK("https://rhld.insurance.arkansas.gov/NPILookup?Npi=1689819682","1689819682")</f>
        <v>1689819682</v>
      </c>
      <c r="E14374" t="s">
        <v>2413</v>
      </c>
    </row>
    <row r="14375" spans="1:5" x14ac:dyDescent="0.25">
      <c r="A14375" t="s">
        <v>2</v>
      </c>
      <c r="B14375" t="s">
        <v>3458</v>
      </c>
      <c r="C14375" t="s">
        <v>23490</v>
      </c>
      <c r="D14375" t="str">
        <f>HYPERLINK("https://rhld.insurance.arkansas.gov/NPILookup?Npi=1689832768","1689832768")</f>
        <v>1689832768</v>
      </c>
      <c r="E14375" t="s">
        <v>2414</v>
      </c>
    </row>
    <row r="14376" spans="1:5" x14ac:dyDescent="0.25">
      <c r="A14376" t="s">
        <v>2</v>
      </c>
      <c r="B14376" t="s">
        <v>3458</v>
      </c>
      <c r="C14376" t="s">
        <v>23490</v>
      </c>
      <c r="D14376" t="str">
        <f>HYPERLINK("https://rhld.insurance.arkansas.gov/NPILookup?Npi=1689866725","1689866725")</f>
        <v>1689866725</v>
      </c>
      <c r="E14376" t="s">
        <v>2416</v>
      </c>
    </row>
    <row r="14377" spans="1:5" x14ac:dyDescent="0.25">
      <c r="A14377" t="s">
        <v>2</v>
      </c>
      <c r="B14377" t="s">
        <v>3458</v>
      </c>
      <c r="C14377" t="s">
        <v>23490</v>
      </c>
      <c r="D14377" t="str">
        <f>HYPERLINK("https://rhld.insurance.arkansas.gov/NPILookup?Npi=1689879777","1689879777")</f>
        <v>1689879777</v>
      </c>
      <c r="E14377" t="s">
        <v>2417</v>
      </c>
    </row>
    <row r="14378" spans="1:5" x14ac:dyDescent="0.25">
      <c r="A14378" t="s">
        <v>2</v>
      </c>
      <c r="B14378" t="s">
        <v>3458</v>
      </c>
      <c r="C14378" t="s">
        <v>23490</v>
      </c>
      <c r="D14378" t="str">
        <f>HYPERLINK("https://rhld.insurance.arkansas.gov/NPILookup?Npi=1689884298","1689884298")</f>
        <v>1689884298</v>
      </c>
      <c r="E14378" t="s">
        <v>2418</v>
      </c>
    </row>
    <row r="14379" spans="1:5" x14ac:dyDescent="0.25">
      <c r="A14379" t="s">
        <v>2</v>
      </c>
      <c r="B14379" t="s">
        <v>3458</v>
      </c>
      <c r="C14379" t="s">
        <v>23490</v>
      </c>
      <c r="D14379" t="str">
        <f>HYPERLINK("https://rhld.insurance.arkansas.gov/NPILookup?Npi=1689884439","1689884439")</f>
        <v>1689884439</v>
      </c>
      <c r="E14379" t="s">
        <v>8806</v>
      </c>
    </row>
    <row r="14380" spans="1:5" x14ac:dyDescent="0.25">
      <c r="A14380" t="s">
        <v>2</v>
      </c>
      <c r="B14380" t="s">
        <v>3458</v>
      </c>
      <c r="C14380" t="s">
        <v>23490</v>
      </c>
      <c r="D14380" t="str">
        <f>HYPERLINK("https://rhld.insurance.arkansas.gov/NPILookup?Npi=1689921017","1689921017")</f>
        <v>1689921017</v>
      </c>
      <c r="E14380" t="s">
        <v>11172</v>
      </c>
    </row>
    <row r="14381" spans="1:5" x14ac:dyDescent="0.25">
      <c r="A14381" t="s">
        <v>2</v>
      </c>
      <c r="B14381" t="s">
        <v>3458</v>
      </c>
      <c r="C14381" t="s">
        <v>23490</v>
      </c>
      <c r="D14381" t="str">
        <f>HYPERLINK("https://rhld.insurance.arkansas.gov/NPILookup?Npi=1689936213","1689936213")</f>
        <v>1689936213</v>
      </c>
      <c r="E14381" t="s">
        <v>11174</v>
      </c>
    </row>
    <row r="14382" spans="1:5" x14ac:dyDescent="0.25">
      <c r="A14382" t="s">
        <v>2</v>
      </c>
      <c r="B14382" t="s">
        <v>3458</v>
      </c>
      <c r="C14382" t="s">
        <v>23490</v>
      </c>
      <c r="D14382" t="str">
        <f>HYPERLINK("https://rhld.insurance.arkansas.gov/NPILookup?Npi=1689940132","1689940132")</f>
        <v>1689940132</v>
      </c>
      <c r="E14382" t="s">
        <v>2421</v>
      </c>
    </row>
    <row r="14383" spans="1:5" x14ac:dyDescent="0.25">
      <c r="A14383" t="s">
        <v>2</v>
      </c>
      <c r="B14383" t="s">
        <v>3458</v>
      </c>
      <c r="C14383" t="s">
        <v>23490</v>
      </c>
      <c r="D14383" t="str">
        <f>HYPERLINK("https://rhld.insurance.arkansas.gov/NPILookup?Npi=1689955189","1689955189")</f>
        <v>1689955189</v>
      </c>
      <c r="E14383" t="s">
        <v>2422</v>
      </c>
    </row>
    <row r="14384" spans="1:5" x14ac:dyDescent="0.25">
      <c r="A14384" t="s">
        <v>2</v>
      </c>
      <c r="B14384" t="s">
        <v>3458</v>
      </c>
      <c r="C14384" t="s">
        <v>23490</v>
      </c>
      <c r="D14384" t="str">
        <f>HYPERLINK("https://rhld.insurance.arkansas.gov/NPILookup?Npi=1689971749","1689971749")</f>
        <v>1689971749</v>
      </c>
      <c r="E14384" t="s">
        <v>2424</v>
      </c>
    </row>
    <row r="14385" spans="1:5" x14ac:dyDescent="0.25">
      <c r="A14385" t="s">
        <v>2</v>
      </c>
      <c r="B14385" t="s">
        <v>3458</v>
      </c>
      <c r="C14385" t="s">
        <v>23490</v>
      </c>
      <c r="D14385" t="str">
        <f>HYPERLINK("https://rhld.insurance.arkansas.gov/NPILookup?Npi=1689987620","1689987620")</f>
        <v>1689987620</v>
      </c>
      <c r="E14385" t="s">
        <v>17460</v>
      </c>
    </row>
    <row r="14386" spans="1:5" x14ac:dyDescent="0.25">
      <c r="A14386" t="s">
        <v>2</v>
      </c>
      <c r="B14386" t="s">
        <v>3458</v>
      </c>
      <c r="C14386" t="s">
        <v>23490</v>
      </c>
      <c r="D14386" t="str">
        <f>HYPERLINK("https://rhld.insurance.arkansas.gov/NPILookup?Npi=1689993016","1689993016")</f>
        <v>1689993016</v>
      </c>
      <c r="E14386" t="s">
        <v>8808</v>
      </c>
    </row>
    <row r="14387" spans="1:5" x14ac:dyDescent="0.25">
      <c r="A14387" t="s">
        <v>2</v>
      </c>
      <c r="B14387" t="s">
        <v>3458</v>
      </c>
      <c r="C14387" t="s">
        <v>23490</v>
      </c>
      <c r="D14387" t="str">
        <f>HYPERLINK("https://rhld.insurance.arkansas.gov/NPILookup?Npi=1699000562","1699000562")</f>
        <v>1699000562</v>
      </c>
      <c r="E14387" t="s">
        <v>2425</v>
      </c>
    </row>
    <row r="14388" spans="1:5" x14ac:dyDescent="0.25">
      <c r="A14388" t="s">
        <v>2</v>
      </c>
      <c r="B14388" t="s">
        <v>3458</v>
      </c>
      <c r="C14388" t="s">
        <v>23490</v>
      </c>
      <c r="D14388" t="str">
        <f>HYPERLINK("https://rhld.insurance.arkansas.gov/NPILookup?Npi=1699039610","1699039610")</f>
        <v>1699039610</v>
      </c>
      <c r="E14388" t="s">
        <v>2427</v>
      </c>
    </row>
    <row r="14389" spans="1:5" x14ac:dyDescent="0.25">
      <c r="A14389" t="s">
        <v>2</v>
      </c>
      <c r="B14389" t="s">
        <v>3458</v>
      </c>
      <c r="C14389" t="s">
        <v>23490</v>
      </c>
      <c r="D14389" t="str">
        <f>HYPERLINK("https://rhld.insurance.arkansas.gov/NPILookup?Npi=1699040618","1699040618")</f>
        <v>1699040618</v>
      </c>
      <c r="E14389" t="s">
        <v>2428</v>
      </c>
    </row>
    <row r="14390" spans="1:5" x14ac:dyDescent="0.25">
      <c r="A14390" t="s">
        <v>2</v>
      </c>
      <c r="B14390" t="s">
        <v>3458</v>
      </c>
      <c r="C14390" t="s">
        <v>23490</v>
      </c>
      <c r="D14390" t="str">
        <f>HYPERLINK("https://rhld.insurance.arkansas.gov/NPILookup?Npi=1699059667","1699059667")</f>
        <v>1699059667</v>
      </c>
      <c r="E14390" t="s">
        <v>2430</v>
      </c>
    </row>
    <row r="14391" spans="1:5" x14ac:dyDescent="0.25">
      <c r="A14391" t="s">
        <v>2</v>
      </c>
      <c r="B14391" t="s">
        <v>3458</v>
      </c>
      <c r="C14391" t="s">
        <v>23490</v>
      </c>
      <c r="D14391" t="str">
        <f>HYPERLINK("https://rhld.insurance.arkansas.gov/NPILookup?Npi=1699066969","1699066969")</f>
        <v>1699066969</v>
      </c>
      <c r="E14391" t="s">
        <v>2431</v>
      </c>
    </row>
    <row r="14392" spans="1:5" x14ac:dyDescent="0.25">
      <c r="A14392" t="s">
        <v>2</v>
      </c>
      <c r="B14392" t="s">
        <v>3458</v>
      </c>
      <c r="C14392" t="s">
        <v>23490</v>
      </c>
      <c r="D14392" t="str">
        <f>HYPERLINK("https://rhld.insurance.arkansas.gov/NPILookup?Npi=1699067850","1699067850")</f>
        <v>1699067850</v>
      </c>
      <c r="E14392" t="s">
        <v>2432</v>
      </c>
    </row>
    <row r="14393" spans="1:5" x14ac:dyDescent="0.25">
      <c r="A14393" t="s">
        <v>2</v>
      </c>
      <c r="B14393" t="s">
        <v>3458</v>
      </c>
      <c r="C14393" t="s">
        <v>23490</v>
      </c>
      <c r="D14393" t="str">
        <f>HYPERLINK("https://rhld.insurance.arkansas.gov/NPILookup?Npi=1699086892","1699086892")</f>
        <v>1699086892</v>
      </c>
      <c r="E14393" t="s">
        <v>17514</v>
      </c>
    </row>
    <row r="14394" spans="1:5" x14ac:dyDescent="0.25">
      <c r="A14394" t="s">
        <v>2</v>
      </c>
      <c r="B14394" t="s">
        <v>3458</v>
      </c>
      <c r="C14394" t="s">
        <v>23490</v>
      </c>
      <c r="D14394" t="str">
        <f>HYPERLINK("https://rhld.insurance.arkansas.gov/NPILookup?Npi=1699091264","1699091264")</f>
        <v>1699091264</v>
      </c>
      <c r="E14394" t="s">
        <v>2434</v>
      </c>
    </row>
    <row r="14395" spans="1:5" x14ac:dyDescent="0.25">
      <c r="A14395" t="s">
        <v>2</v>
      </c>
      <c r="B14395" t="s">
        <v>3458</v>
      </c>
      <c r="C14395" t="s">
        <v>23490</v>
      </c>
      <c r="D14395" t="str">
        <f>HYPERLINK("https://rhld.insurance.arkansas.gov/NPILookup?Npi=1699093302","1699093302")</f>
        <v>1699093302</v>
      </c>
      <c r="E14395" t="s">
        <v>18215</v>
      </c>
    </row>
    <row r="14396" spans="1:5" x14ac:dyDescent="0.25">
      <c r="A14396" t="s">
        <v>2</v>
      </c>
      <c r="B14396" t="s">
        <v>3458</v>
      </c>
      <c r="C14396" t="s">
        <v>23490</v>
      </c>
      <c r="D14396" t="str">
        <f>HYPERLINK("https://rhld.insurance.arkansas.gov/NPILookup?Npi=1699118141","1699118141")</f>
        <v>1699118141</v>
      </c>
      <c r="E14396" t="s">
        <v>11175</v>
      </c>
    </row>
    <row r="14397" spans="1:5" x14ac:dyDescent="0.25">
      <c r="A14397" t="s">
        <v>2</v>
      </c>
      <c r="B14397" t="s">
        <v>3458</v>
      </c>
      <c r="C14397" t="s">
        <v>23490</v>
      </c>
      <c r="D14397" t="str">
        <f>HYPERLINK("https://rhld.insurance.arkansas.gov/NPILookup?Npi=1699123562","1699123562")</f>
        <v>1699123562</v>
      </c>
      <c r="E14397" t="s">
        <v>18839</v>
      </c>
    </row>
    <row r="14398" spans="1:5" x14ac:dyDescent="0.25">
      <c r="A14398" t="s">
        <v>2</v>
      </c>
      <c r="B14398" t="s">
        <v>3458</v>
      </c>
      <c r="C14398" t="s">
        <v>23490</v>
      </c>
      <c r="D14398" t="str">
        <f>HYPERLINK("https://rhld.insurance.arkansas.gov/NPILookup?Npi=1699128611","1699128611")</f>
        <v>1699128611</v>
      </c>
      <c r="E14398" t="s">
        <v>11176</v>
      </c>
    </row>
    <row r="14399" spans="1:5" x14ac:dyDescent="0.25">
      <c r="A14399" t="s">
        <v>2</v>
      </c>
      <c r="B14399" t="s">
        <v>3458</v>
      </c>
      <c r="C14399" t="s">
        <v>23490</v>
      </c>
      <c r="D14399" t="str">
        <f>HYPERLINK("https://rhld.insurance.arkansas.gov/NPILookup?Npi=1699135871","1699135871")</f>
        <v>1699135871</v>
      </c>
      <c r="E14399" t="s">
        <v>8809</v>
      </c>
    </row>
    <row r="14400" spans="1:5" x14ac:dyDescent="0.25">
      <c r="A14400" t="s">
        <v>2</v>
      </c>
      <c r="B14400" t="s">
        <v>3458</v>
      </c>
      <c r="C14400" t="s">
        <v>23490</v>
      </c>
      <c r="D14400" t="str">
        <f>HYPERLINK("https://rhld.insurance.arkansas.gov/NPILookup?Npi=1699154567","1699154567")</f>
        <v>1699154567</v>
      </c>
      <c r="E14400" t="s">
        <v>15431</v>
      </c>
    </row>
    <row r="14401" spans="1:5" x14ac:dyDescent="0.25">
      <c r="A14401" t="s">
        <v>2</v>
      </c>
      <c r="B14401" t="s">
        <v>3458</v>
      </c>
      <c r="C14401" t="s">
        <v>23490</v>
      </c>
      <c r="D14401" t="str">
        <f>HYPERLINK("https://rhld.insurance.arkansas.gov/NPILookup?Npi=1699170340","1699170340")</f>
        <v>1699170340</v>
      </c>
      <c r="E14401" t="s">
        <v>17461</v>
      </c>
    </row>
    <row r="14402" spans="1:5" x14ac:dyDescent="0.25">
      <c r="A14402" t="s">
        <v>2</v>
      </c>
      <c r="B14402" t="s">
        <v>3458</v>
      </c>
      <c r="C14402" t="s">
        <v>23490</v>
      </c>
      <c r="D14402" t="str">
        <f>HYPERLINK("https://rhld.insurance.arkansas.gov/NPILookup?Npi=1699187666","1699187666")</f>
        <v>1699187666</v>
      </c>
      <c r="E14402" t="s">
        <v>2437</v>
      </c>
    </row>
    <row r="14403" spans="1:5" x14ac:dyDescent="0.25">
      <c r="A14403" t="s">
        <v>2</v>
      </c>
      <c r="B14403" t="s">
        <v>3458</v>
      </c>
      <c r="C14403" t="s">
        <v>23490</v>
      </c>
      <c r="D14403" t="str">
        <f>HYPERLINK("https://rhld.insurance.arkansas.gov/NPILookup?Npi=1699189407","1699189407")</f>
        <v>1699189407</v>
      </c>
      <c r="E14403" t="s">
        <v>11177</v>
      </c>
    </row>
    <row r="14404" spans="1:5" x14ac:dyDescent="0.25">
      <c r="A14404" t="s">
        <v>2</v>
      </c>
      <c r="B14404" t="s">
        <v>3458</v>
      </c>
      <c r="C14404" t="s">
        <v>23490</v>
      </c>
      <c r="D14404" t="str">
        <f>HYPERLINK("https://rhld.insurance.arkansas.gov/NPILookup?Npi=1699199570","1699199570")</f>
        <v>1699199570</v>
      </c>
      <c r="E14404" t="s">
        <v>2439</v>
      </c>
    </row>
    <row r="14405" spans="1:5" x14ac:dyDescent="0.25">
      <c r="A14405" t="s">
        <v>2</v>
      </c>
      <c r="B14405" t="s">
        <v>3458</v>
      </c>
      <c r="C14405" t="s">
        <v>23490</v>
      </c>
      <c r="D14405" t="str">
        <f>HYPERLINK("https://rhld.insurance.arkansas.gov/NPILookup?Npi=1699200477","1699200477")</f>
        <v>1699200477</v>
      </c>
      <c r="E14405" t="s">
        <v>13657</v>
      </c>
    </row>
    <row r="14406" spans="1:5" x14ac:dyDescent="0.25">
      <c r="A14406" t="s">
        <v>2</v>
      </c>
      <c r="B14406" t="s">
        <v>3458</v>
      </c>
      <c r="C14406" t="s">
        <v>23490</v>
      </c>
      <c r="D14406" t="str">
        <f>HYPERLINK("https://rhld.insurance.arkansas.gov/NPILookup?Npi=1699215228","1699215228")</f>
        <v>1699215228</v>
      </c>
      <c r="E14406" t="s">
        <v>13658</v>
      </c>
    </row>
    <row r="14407" spans="1:5" x14ac:dyDescent="0.25">
      <c r="A14407" t="s">
        <v>2</v>
      </c>
      <c r="B14407" t="s">
        <v>3458</v>
      </c>
      <c r="C14407" t="s">
        <v>23490</v>
      </c>
      <c r="D14407" t="str">
        <f>HYPERLINK("https://rhld.insurance.arkansas.gov/NPILookup?Npi=1699215731","1699215731")</f>
        <v>1699215731</v>
      </c>
      <c r="E14407" t="s">
        <v>11178</v>
      </c>
    </row>
    <row r="14408" spans="1:5" x14ac:dyDescent="0.25">
      <c r="A14408" t="s">
        <v>2</v>
      </c>
      <c r="B14408" t="s">
        <v>3458</v>
      </c>
      <c r="C14408" t="s">
        <v>23490</v>
      </c>
      <c r="D14408" t="str">
        <f>HYPERLINK("https://rhld.insurance.arkansas.gov/NPILookup?Npi=1699221028","1699221028")</f>
        <v>1699221028</v>
      </c>
      <c r="E14408" t="s">
        <v>13017</v>
      </c>
    </row>
    <row r="14409" spans="1:5" x14ac:dyDescent="0.25">
      <c r="A14409" t="s">
        <v>2</v>
      </c>
      <c r="B14409" t="s">
        <v>3458</v>
      </c>
      <c r="C14409" t="s">
        <v>23490</v>
      </c>
      <c r="D14409" t="str">
        <f>HYPERLINK("https://rhld.insurance.arkansas.gov/NPILookup?Npi=1699221853","1699221853")</f>
        <v>1699221853</v>
      </c>
      <c r="E14409" t="s">
        <v>12884</v>
      </c>
    </row>
    <row r="14410" spans="1:5" x14ac:dyDescent="0.25">
      <c r="A14410" t="s">
        <v>2</v>
      </c>
      <c r="B14410" t="s">
        <v>3458</v>
      </c>
      <c r="C14410" t="s">
        <v>23490</v>
      </c>
      <c r="D14410" t="str">
        <f>HYPERLINK("https://rhld.insurance.arkansas.gov/NPILookup?Npi=1699224766","1699224766")</f>
        <v>1699224766</v>
      </c>
      <c r="E14410" t="s">
        <v>11179</v>
      </c>
    </row>
    <row r="14411" spans="1:5" x14ac:dyDescent="0.25">
      <c r="A14411" t="s">
        <v>2</v>
      </c>
      <c r="B14411" t="s">
        <v>3458</v>
      </c>
      <c r="C14411" t="s">
        <v>23490</v>
      </c>
      <c r="D14411" t="str">
        <f>HYPERLINK("https://rhld.insurance.arkansas.gov/NPILookup?Npi=1699226860","1699226860")</f>
        <v>1699226860</v>
      </c>
      <c r="E14411" t="s">
        <v>11180</v>
      </c>
    </row>
    <row r="14412" spans="1:5" x14ac:dyDescent="0.25">
      <c r="A14412" t="s">
        <v>2</v>
      </c>
      <c r="B14412" t="s">
        <v>3458</v>
      </c>
      <c r="C14412" t="s">
        <v>23490</v>
      </c>
      <c r="D14412" t="str">
        <f>HYPERLINK("https://rhld.insurance.arkansas.gov/NPILookup?Npi=1699242347","1699242347")</f>
        <v>1699242347</v>
      </c>
      <c r="E14412" t="s">
        <v>13659</v>
      </c>
    </row>
    <row r="14413" spans="1:5" x14ac:dyDescent="0.25">
      <c r="A14413" t="s">
        <v>2</v>
      </c>
      <c r="B14413" t="s">
        <v>3458</v>
      </c>
      <c r="C14413" t="s">
        <v>23490</v>
      </c>
      <c r="D14413" t="str">
        <f>HYPERLINK("https://rhld.insurance.arkansas.gov/NPILookup?Npi=1699270140","1699270140")</f>
        <v>1699270140</v>
      </c>
      <c r="E14413" t="s">
        <v>13018</v>
      </c>
    </row>
    <row r="14414" spans="1:5" x14ac:dyDescent="0.25">
      <c r="A14414" t="s">
        <v>2</v>
      </c>
      <c r="B14414" t="s">
        <v>3458</v>
      </c>
      <c r="C14414" t="s">
        <v>23490</v>
      </c>
      <c r="D14414" t="str">
        <f>HYPERLINK("https://rhld.insurance.arkansas.gov/NPILookup?Npi=1699273839","1699273839")</f>
        <v>1699273839</v>
      </c>
      <c r="E14414" t="s">
        <v>20257</v>
      </c>
    </row>
    <row r="14415" spans="1:5" x14ac:dyDescent="0.25">
      <c r="A14415" t="s">
        <v>2</v>
      </c>
      <c r="B14415" t="s">
        <v>3458</v>
      </c>
      <c r="C14415" t="s">
        <v>23490</v>
      </c>
      <c r="D14415" t="str">
        <f>HYPERLINK("https://rhld.insurance.arkansas.gov/NPILookup?Npi=1699282087","1699282087")</f>
        <v>1699282087</v>
      </c>
      <c r="E14415" t="s">
        <v>12885</v>
      </c>
    </row>
    <row r="14416" spans="1:5" x14ac:dyDescent="0.25">
      <c r="A14416" t="s">
        <v>2</v>
      </c>
      <c r="B14416" t="s">
        <v>3458</v>
      </c>
      <c r="C14416" t="s">
        <v>23490</v>
      </c>
      <c r="D14416" t="str">
        <f>HYPERLINK("https://rhld.insurance.arkansas.gov/NPILookup?Npi=1699290460","1699290460")</f>
        <v>1699290460</v>
      </c>
      <c r="E14416" t="s">
        <v>15432</v>
      </c>
    </row>
    <row r="14417" spans="1:5" x14ac:dyDescent="0.25">
      <c r="A14417" t="s">
        <v>2</v>
      </c>
      <c r="B14417" t="s">
        <v>3458</v>
      </c>
      <c r="C14417" t="s">
        <v>23490</v>
      </c>
      <c r="D14417" t="str">
        <f>HYPERLINK("https://rhld.insurance.arkansas.gov/NPILookup?Npi=1699334649","1699334649")</f>
        <v>1699334649</v>
      </c>
      <c r="E14417" t="s">
        <v>19949</v>
      </c>
    </row>
    <row r="14418" spans="1:5" x14ac:dyDescent="0.25">
      <c r="A14418" t="s">
        <v>2</v>
      </c>
      <c r="B14418" t="s">
        <v>3458</v>
      </c>
      <c r="C14418" t="s">
        <v>23490</v>
      </c>
      <c r="D14418" t="str">
        <f>HYPERLINK("https://rhld.insurance.arkansas.gov/NPILookup?Npi=1699360297","1699360297")</f>
        <v>1699360297</v>
      </c>
      <c r="E14418" t="s">
        <v>18840</v>
      </c>
    </row>
    <row r="14419" spans="1:5" x14ac:dyDescent="0.25">
      <c r="A14419" t="s">
        <v>2</v>
      </c>
      <c r="B14419" t="s">
        <v>3458</v>
      </c>
      <c r="C14419" t="s">
        <v>23490</v>
      </c>
      <c r="D14419" t="str">
        <f>HYPERLINK("https://rhld.insurance.arkansas.gov/NPILookup?Npi=1699365106","1699365106")</f>
        <v>1699365106</v>
      </c>
      <c r="E14419" t="s">
        <v>22976</v>
      </c>
    </row>
    <row r="14420" spans="1:5" x14ac:dyDescent="0.25">
      <c r="A14420" t="s">
        <v>2</v>
      </c>
      <c r="B14420" t="s">
        <v>3458</v>
      </c>
      <c r="C14420" t="s">
        <v>23490</v>
      </c>
      <c r="D14420" t="str">
        <f>HYPERLINK("https://rhld.insurance.arkansas.gov/NPILookup?Npi=1699382440","1699382440")</f>
        <v>1699382440</v>
      </c>
      <c r="E14420" t="s">
        <v>17462</v>
      </c>
    </row>
    <row r="14421" spans="1:5" x14ac:dyDescent="0.25">
      <c r="A14421" t="s">
        <v>2</v>
      </c>
      <c r="B14421" t="s">
        <v>3458</v>
      </c>
      <c r="C14421" t="s">
        <v>23490</v>
      </c>
      <c r="D14421" t="str">
        <f>HYPERLINK("https://rhld.insurance.arkansas.gov/NPILookup?Npi=1699712687","1699712687")</f>
        <v>1699712687</v>
      </c>
      <c r="E14421" t="s">
        <v>3880</v>
      </c>
    </row>
    <row r="14422" spans="1:5" x14ac:dyDescent="0.25">
      <c r="A14422" t="s">
        <v>2</v>
      </c>
      <c r="B14422" t="s">
        <v>3458</v>
      </c>
      <c r="C14422" t="s">
        <v>23490</v>
      </c>
      <c r="D14422" t="str">
        <f>HYPERLINK("https://rhld.insurance.arkansas.gov/NPILookup?Npi=1699723601","1699723601")</f>
        <v>1699723601</v>
      </c>
      <c r="E14422" t="s">
        <v>2440</v>
      </c>
    </row>
    <row r="14423" spans="1:5" x14ac:dyDescent="0.25">
      <c r="A14423" t="s">
        <v>2</v>
      </c>
      <c r="B14423" t="s">
        <v>3458</v>
      </c>
      <c r="C14423" t="s">
        <v>23490</v>
      </c>
      <c r="D14423" t="str">
        <f>HYPERLINK("https://rhld.insurance.arkansas.gov/NPILookup?Npi=1699731091","1699731091")</f>
        <v>1699731091</v>
      </c>
      <c r="E14423" t="s">
        <v>2441</v>
      </c>
    </row>
    <row r="14424" spans="1:5" x14ac:dyDescent="0.25">
      <c r="A14424" t="s">
        <v>2</v>
      </c>
      <c r="B14424" t="s">
        <v>3458</v>
      </c>
      <c r="C14424" t="s">
        <v>23490</v>
      </c>
      <c r="D14424" t="str">
        <f>HYPERLINK("https://rhld.insurance.arkansas.gov/NPILookup?Npi=1699733741","1699733741")</f>
        <v>1699733741</v>
      </c>
      <c r="E14424" t="s">
        <v>2442</v>
      </c>
    </row>
    <row r="14425" spans="1:5" x14ac:dyDescent="0.25">
      <c r="A14425" t="s">
        <v>2</v>
      </c>
      <c r="B14425" t="s">
        <v>3458</v>
      </c>
      <c r="C14425" t="s">
        <v>23490</v>
      </c>
      <c r="D14425" t="str">
        <f>HYPERLINK("https://rhld.insurance.arkansas.gov/NPILookup?Npi=1699735159","1699735159")</f>
        <v>1699735159</v>
      </c>
      <c r="E14425" t="s">
        <v>15434</v>
      </c>
    </row>
    <row r="14426" spans="1:5" x14ac:dyDescent="0.25">
      <c r="A14426" t="s">
        <v>2</v>
      </c>
      <c r="B14426" t="s">
        <v>3458</v>
      </c>
      <c r="C14426" t="s">
        <v>23490</v>
      </c>
      <c r="D14426" t="str">
        <f>HYPERLINK("https://rhld.insurance.arkansas.gov/NPILookup?Npi=1699738195","1699738195")</f>
        <v>1699738195</v>
      </c>
      <c r="E14426" t="s">
        <v>2444</v>
      </c>
    </row>
    <row r="14427" spans="1:5" x14ac:dyDescent="0.25">
      <c r="A14427" t="s">
        <v>2</v>
      </c>
      <c r="B14427" t="s">
        <v>3458</v>
      </c>
      <c r="C14427" t="s">
        <v>23490</v>
      </c>
      <c r="D14427" t="str">
        <f>HYPERLINK("https://rhld.insurance.arkansas.gov/NPILookup?Npi=1699741298","1699741298")</f>
        <v>1699741298</v>
      </c>
      <c r="E14427" t="s">
        <v>2445</v>
      </c>
    </row>
    <row r="14428" spans="1:5" x14ac:dyDescent="0.25">
      <c r="A14428" t="s">
        <v>2</v>
      </c>
      <c r="B14428" t="s">
        <v>3458</v>
      </c>
      <c r="C14428" t="s">
        <v>23490</v>
      </c>
      <c r="D14428" t="str">
        <f>HYPERLINK("https://rhld.insurance.arkansas.gov/NPILookup?Npi=1699742205","1699742205")</f>
        <v>1699742205</v>
      </c>
      <c r="E14428" t="s">
        <v>15435</v>
      </c>
    </row>
    <row r="14429" spans="1:5" x14ac:dyDescent="0.25">
      <c r="A14429" t="s">
        <v>2</v>
      </c>
      <c r="B14429" t="s">
        <v>3458</v>
      </c>
      <c r="C14429" t="s">
        <v>23490</v>
      </c>
      <c r="D14429" t="str">
        <f>HYPERLINK("https://rhld.insurance.arkansas.gov/NPILookup?Npi=1699743922","1699743922")</f>
        <v>1699743922</v>
      </c>
      <c r="E14429" t="s">
        <v>2446</v>
      </c>
    </row>
    <row r="14430" spans="1:5" x14ac:dyDescent="0.25">
      <c r="A14430" t="s">
        <v>2</v>
      </c>
      <c r="B14430" t="s">
        <v>3458</v>
      </c>
      <c r="C14430" t="s">
        <v>23490</v>
      </c>
      <c r="D14430" t="str">
        <f>HYPERLINK("https://rhld.insurance.arkansas.gov/NPILookup?Npi=1699745547","1699745547")</f>
        <v>1699745547</v>
      </c>
      <c r="E14430" t="s">
        <v>8985</v>
      </c>
    </row>
    <row r="14431" spans="1:5" x14ac:dyDescent="0.25">
      <c r="A14431" t="s">
        <v>2</v>
      </c>
      <c r="B14431" t="s">
        <v>3458</v>
      </c>
      <c r="C14431" t="s">
        <v>23490</v>
      </c>
      <c r="D14431" t="str">
        <f>HYPERLINK("https://rhld.insurance.arkansas.gov/NPILookup?Npi=1699755942","1699755942")</f>
        <v>1699755942</v>
      </c>
      <c r="E14431" t="s">
        <v>2447</v>
      </c>
    </row>
    <row r="14432" spans="1:5" x14ac:dyDescent="0.25">
      <c r="A14432" t="s">
        <v>2</v>
      </c>
      <c r="B14432" t="s">
        <v>3458</v>
      </c>
      <c r="C14432" t="s">
        <v>23490</v>
      </c>
      <c r="D14432" t="str">
        <f>HYPERLINK("https://rhld.insurance.arkansas.gov/NPILookup?Npi=1699763441","1699763441")</f>
        <v>1699763441</v>
      </c>
      <c r="E14432" t="s">
        <v>17463</v>
      </c>
    </row>
    <row r="14433" spans="1:5" x14ac:dyDescent="0.25">
      <c r="A14433" t="s">
        <v>2</v>
      </c>
      <c r="B14433" t="s">
        <v>3458</v>
      </c>
      <c r="C14433" t="s">
        <v>23490</v>
      </c>
      <c r="D14433" t="str">
        <f>HYPERLINK("https://rhld.insurance.arkansas.gov/NPILookup?Npi=1699767772","1699767772")</f>
        <v>1699767772</v>
      </c>
      <c r="E14433" t="s">
        <v>2450</v>
      </c>
    </row>
    <row r="14434" spans="1:5" x14ac:dyDescent="0.25">
      <c r="A14434" t="s">
        <v>2</v>
      </c>
      <c r="B14434" t="s">
        <v>3458</v>
      </c>
      <c r="C14434" t="s">
        <v>23490</v>
      </c>
      <c r="D14434" t="str">
        <f>HYPERLINK("https://rhld.insurance.arkansas.gov/NPILookup?Npi=1699769026","1699769026")</f>
        <v>1699769026</v>
      </c>
      <c r="E14434" t="s">
        <v>3881</v>
      </c>
    </row>
    <row r="14435" spans="1:5" x14ac:dyDescent="0.25">
      <c r="A14435" t="s">
        <v>2</v>
      </c>
      <c r="B14435" t="s">
        <v>3458</v>
      </c>
      <c r="C14435" t="s">
        <v>23490</v>
      </c>
      <c r="D14435" t="str">
        <f>HYPERLINK("https://rhld.insurance.arkansas.gov/NPILookup?Npi=1699785899","1699785899")</f>
        <v>1699785899</v>
      </c>
      <c r="E14435" t="s">
        <v>11181</v>
      </c>
    </row>
    <row r="14436" spans="1:5" x14ac:dyDescent="0.25">
      <c r="A14436" t="s">
        <v>2</v>
      </c>
      <c r="B14436" t="s">
        <v>3458</v>
      </c>
      <c r="C14436" t="s">
        <v>23490</v>
      </c>
      <c r="D14436" t="str">
        <f>HYPERLINK("https://rhld.insurance.arkansas.gov/NPILookup?Npi=1699796284","1699796284")</f>
        <v>1699796284</v>
      </c>
      <c r="E14436" t="s">
        <v>15436</v>
      </c>
    </row>
    <row r="14437" spans="1:5" x14ac:dyDescent="0.25">
      <c r="A14437" t="s">
        <v>2</v>
      </c>
      <c r="B14437" t="s">
        <v>3458</v>
      </c>
      <c r="C14437" t="s">
        <v>23490</v>
      </c>
      <c r="D14437" t="str">
        <f>HYPERLINK("https://rhld.insurance.arkansas.gov/NPILookup?Npi=1699857680","1699857680")</f>
        <v>1699857680</v>
      </c>
      <c r="E14437" t="s">
        <v>3882</v>
      </c>
    </row>
    <row r="14438" spans="1:5" x14ac:dyDescent="0.25">
      <c r="A14438" t="s">
        <v>2</v>
      </c>
      <c r="B14438" t="s">
        <v>3458</v>
      </c>
      <c r="C14438" t="s">
        <v>23490</v>
      </c>
      <c r="D14438" t="str">
        <f>HYPERLINK("https://rhld.insurance.arkansas.gov/NPILookup?Npi=1699861740","1699861740")</f>
        <v>1699861740</v>
      </c>
      <c r="E14438" t="s">
        <v>15893</v>
      </c>
    </row>
    <row r="14439" spans="1:5" x14ac:dyDescent="0.25">
      <c r="A14439" t="s">
        <v>2</v>
      </c>
      <c r="B14439" t="s">
        <v>3458</v>
      </c>
      <c r="C14439" t="s">
        <v>23490</v>
      </c>
      <c r="D14439" t="str">
        <f>HYPERLINK("https://rhld.insurance.arkansas.gov/NPILookup?Npi=1699881698","1699881698")</f>
        <v>1699881698</v>
      </c>
      <c r="E14439" t="s">
        <v>2451</v>
      </c>
    </row>
    <row r="14440" spans="1:5" x14ac:dyDescent="0.25">
      <c r="A14440" t="s">
        <v>2</v>
      </c>
      <c r="B14440" t="s">
        <v>3458</v>
      </c>
      <c r="C14440" t="s">
        <v>23490</v>
      </c>
      <c r="D14440" t="str">
        <f>HYPERLINK("https://rhld.insurance.arkansas.gov/NPILookup?Npi=1699949826","1699949826")</f>
        <v>1699949826</v>
      </c>
      <c r="E14440" t="s">
        <v>2452</v>
      </c>
    </row>
    <row r="14441" spans="1:5" x14ac:dyDescent="0.25">
      <c r="A14441" t="s">
        <v>2</v>
      </c>
      <c r="B14441" t="s">
        <v>3458</v>
      </c>
      <c r="C14441" t="s">
        <v>23490</v>
      </c>
      <c r="D14441" t="str">
        <f>HYPERLINK("https://rhld.insurance.arkansas.gov/NPILookup?Npi=1699961458","1699961458")</f>
        <v>1699961458</v>
      </c>
      <c r="E14441" t="s">
        <v>2453</v>
      </c>
    </row>
    <row r="14442" spans="1:5" x14ac:dyDescent="0.25">
      <c r="A14442" t="s">
        <v>2</v>
      </c>
      <c r="B14442" t="s">
        <v>3458</v>
      </c>
      <c r="C14442" t="s">
        <v>23490</v>
      </c>
      <c r="D14442" t="str">
        <f>HYPERLINK("https://rhld.insurance.arkansas.gov/NPILookup?Npi=1699972596","1699972596")</f>
        <v>1699972596</v>
      </c>
      <c r="E14442" t="s">
        <v>15437</v>
      </c>
    </row>
    <row r="14443" spans="1:5" x14ac:dyDescent="0.25">
      <c r="A14443" t="s">
        <v>2</v>
      </c>
      <c r="B14443" t="s">
        <v>3458</v>
      </c>
      <c r="C14443" t="s">
        <v>23490</v>
      </c>
      <c r="D14443" t="str">
        <f>HYPERLINK("https://rhld.insurance.arkansas.gov/NPILookup?Npi=1699975425","1699975425")</f>
        <v>1699975425</v>
      </c>
      <c r="E14443" t="s">
        <v>2454</v>
      </c>
    </row>
    <row r="14444" spans="1:5" x14ac:dyDescent="0.25">
      <c r="A14444" t="s">
        <v>2</v>
      </c>
      <c r="B14444" t="s">
        <v>3458</v>
      </c>
      <c r="C14444" t="s">
        <v>23490</v>
      </c>
      <c r="D14444" t="str">
        <f>HYPERLINK("https://rhld.insurance.arkansas.gov/NPILookup?Npi=1699981894","1699981894")</f>
        <v>1699981894</v>
      </c>
      <c r="E14444" t="s">
        <v>2455</v>
      </c>
    </row>
    <row r="14445" spans="1:5" x14ac:dyDescent="0.25">
      <c r="A14445" t="s">
        <v>2</v>
      </c>
      <c r="B14445" t="s">
        <v>3458</v>
      </c>
      <c r="C14445" t="s">
        <v>23490</v>
      </c>
      <c r="D14445" t="str">
        <f>HYPERLINK("https://rhld.insurance.arkansas.gov/NPILookup?Npi=1699986349","1699986349")</f>
        <v>1699986349</v>
      </c>
      <c r="E14445" t="s">
        <v>3884</v>
      </c>
    </row>
    <row r="14446" spans="1:5" x14ac:dyDescent="0.25">
      <c r="A14446" t="s">
        <v>2</v>
      </c>
      <c r="B14446" t="s">
        <v>3458</v>
      </c>
      <c r="C14446" t="s">
        <v>23490</v>
      </c>
      <c r="D14446" t="str">
        <f>HYPERLINK("https://rhld.insurance.arkansas.gov/NPILookup?Npi=1699987842","1699987842")</f>
        <v>1699987842</v>
      </c>
      <c r="E14446" t="s">
        <v>3885</v>
      </c>
    </row>
    <row r="14447" spans="1:5" x14ac:dyDescent="0.25">
      <c r="A14447" t="s">
        <v>2</v>
      </c>
      <c r="B14447" t="s">
        <v>3458</v>
      </c>
      <c r="C14447" t="s">
        <v>23490</v>
      </c>
      <c r="D14447" t="str">
        <f>HYPERLINK("https://rhld.insurance.arkansas.gov/NPILookup?Npi=1700020591","1700020591")</f>
        <v>1700020591</v>
      </c>
      <c r="E14447" t="s">
        <v>3886</v>
      </c>
    </row>
    <row r="14448" spans="1:5" x14ac:dyDescent="0.25">
      <c r="A14448" t="s">
        <v>2</v>
      </c>
      <c r="B14448" t="s">
        <v>3458</v>
      </c>
      <c r="C14448" t="s">
        <v>23490</v>
      </c>
      <c r="D14448" t="str">
        <f>HYPERLINK("https://rhld.insurance.arkansas.gov/NPILookup?Npi=1700049277","1700049277")</f>
        <v>1700049277</v>
      </c>
      <c r="E14448" t="s">
        <v>15438</v>
      </c>
    </row>
    <row r="14449" spans="1:5" x14ac:dyDescent="0.25">
      <c r="A14449" t="s">
        <v>2</v>
      </c>
      <c r="B14449" t="s">
        <v>3458</v>
      </c>
      <c r="C14449" t="s">
        <v>23490</v>
      </c>
      <c r="D14449" t="str">
        <f>HYPERLINK("https://rhld.insurance.arkansas.gov/NPILookup?Npi=1700053444","1700053444")</f>
        <v>1700053444</v>
      </c>
      <c r="E14449" t="s">
        <v>11182</v>
      </c>
    </row>
    <row r="14450" spans="1:5" x14ac:dyDescent="0.25">
      <c r="A14450" t="s">
        <v>2</v>
      </c>
      <c r="B14450" t="s">
        <v>3458</v>
      </c>
      <c r="C14450" t="s">
        <v>23490</v>
      </c>
      <c r="D14450" t="str">
        <f>HYPERLINK("https://rhld.insurance.arkansas.gov/NPILookup?Npi=1700064789","1700064789")</f>
        <v>1700064789</v>
      </c>
      <c r="E14450" t="s">
        <v>11183</v>
      </c>
    </row>
    <row r="14451" spans="1:5" x14ac:dyDescent="0.25">
      <c r="A14451" t="s">
        <v>2</v>
      </c>
      <c r="B14451" t="s">
        <v>3458</v>
      </c>
      <c r="C14451" t="s">
        <v>23490</v>
      </c>
      <c r="D14451" t="str">
        <f>HYPERLINK("https://rhld.insurance.arkansas.gov/NPILookup?Npi=1700075157","1700075157")</f>
        <v>1700075157</v>
      </c>
      <c r="E14451" t="s">
        <v>2458</v>
      </c>
    </row>
    <row r="14452" spans="1:5" x14ac:dyDescent="0.25">
      <c r="A14452" t="s">
        <v>2</v>
      </c>
      <c r="B14452" t="s">
        <v>3458</v>
      </c>
      <c r="C14452" t="s">
        <v>23490</v>
      </c>
      <c r="D14452" t="str">
        <f>HYPERLINK("https://rhld.insurance.arkansas.gov/NPILookup?Npi=1700080645","1700080645")</f>
        <v>1700080645</v>
      </c>
      <c r="E14452" t="s">
        <v>15439</v>
      </c>
    </row>
    <row r="14453" spans="1:5" x14ac:dyDescent="0.25">
      <c r="A14453" t="s">
        <v>2</v>
      </c>
      <c r="B14453" t="s">
        <v>3458</v>
      </c>
      <c r="C14453" t="s">
        <v>23490</v>
      </c>
      <c r="D14453" t="str">
        <f>HYPERLINK("https://rhld.insurance.arkansas.gov/NPILookup?Npi=1700086857","1700086857")</f>
        <v>1700086857</v>
      </c>
      <c r="E14453" t="s">
        <v>2459</v>
      </c>
    </row>
    <row r="14454" spans="1:5" x14ac:dyDescent="0.25">
      <c r="A14454" t="s">
        <v>2</v>
      </c>
      <c r="B14454" t="s">
        <v>3458</v>
      </c>
      <c r="C14454" t="s">
        <v>23490</v>
      </c>
      <c r="D14454" t="str">
        <f>HYPERLINK("https://rhld.insurance.arkansas.gov/NPILookup?Npi=1700088655","1700088655")</f>
        <v>1700088655</v>
      </c>
      <c r="E14454" t="s">
        <v>20258</v>
      </c>
    </row>
    <row r="14455" spans="1:5" x14ac:dyDescent="0.25">
      <c r="A14455" t="s">
        <v>2</v>
      </c>
      <c r="B14455" t="s">
        <v>3458</v>
      </c>
      <c r="C14455" t="s">
        <v>23490</v>
      </c>
      <c r="D14455" t="str">
        <f>HYPERLINK("https://rhld.insurance.arkansas.gov/NPILookup?Npi=1700137031","1700137031")</f>
        <v>1700137031</v>
      </c>
      <c r="E14455" t="s">
        <v>11184</v>
      </c>
    </row>
    <row r="14456" spans="1:5" x14ac:dyDescent="0.25">
      <c r="A14456" t="s">
        <v>2</v>
      </c>
      <c r="B14456" t="s">
        <v>3458</v>
      </c>
      <c r="C14456" t="s">
        <v>23490</v>
      </c>
      <c r="D14456" t="str">
        <f>HYPERLINK("https://rhld.insurance.arkansas.gov/NPILookup?Npi=1700172145","1700172145")</f>
        <v>1700172145</v>
      </c>
      <c r="E14456" t="s">
        <v>2462</v>
      </c>
    </row>
    <row r="14457" spans="1:5" x14ac:dyDescent="0.25">
      <c r="A14457" t="s">
        <v>2</v>
      </c>
      <c r="B14457" t="s">
        <v>3458</v>
      </c>
      <c r="C14457" t="s">
        <v>23490</v>
      </c>
      <c r="D14457" t="str">
        <f>HYPERLINK("https://rhld.insurance.arkansas.gov/NPILookup?Npi=1700174828","1700174828")</f>
        <v>1700174828</v>
      </c>
      <c r="E14457" t="s">
        <v>13661</v>
      </c>
    </row>
    <row r="14458" spans="1:5" x14ac:dyDescent="0.25">
      <c r="A14458" t="s">
        <v>2</v>
      </c>
      <c r="B14458" t="s">
        <v>3458</v>
      </c>
      <c r="C14458" t="s">
        <v>23490</v>
      </c>
      <c r="D14458" t="str">
        <f>HYPERLINK("https://rhld.insurance.arkansas.gov/NPILookup?Npi=1700176286","1700176286")</f>
        <v>1700176286</v>
      </c>
      <c r="E14458" t="s">
        <v>2463</v>
      </c>
    </row>
    <row r="14459" spans="1:5" x14ac:dyDescent="0.25">
      <c r="A14459" t="s">
        <v>2</v>
      </c>
      <c r="B14459" t="s">
        <v>3458</v>
      </c>
      <c r="C14459" t="s">
        <v>23490</v>
      </c>
      <c r="D14459" t="str">
        <f>HYPERLINK("https://rhld.insurance.arkansas.gov/NPILookup?Npi=1700192275","1700192275")</f>
        <v>1700192275</v>
      </c>
      <c r="E14459" t="s">
        <v>17464</v>
      </c>
    </row>
    <row r="14460" spans="1:5" x14ac:dyDescent="0.25">
      <c r="A14460" t="s">
        <v>2</v>
      </c>
      <c r="B14460" t="s">
        <v>3458</v>
      </c>
      <c r="C14460" t="s">
        <v>23490</v>
      </c>
      <c r="D14460" t="str">
        <f>HYPERLINK("https://rhld.insurance.arkansas.gov/NPILookup?Npi=1700205614","1700205614")</f>
        <v>1700205614</v>
      </c>
      <c r="E14460" t="s">
        <v>17515</v>
      </c>
    </row>
    <row r="14461" spans="1:5" x14ac:dyDescent="0.25">
      <c r="A14461" t="s">
        <v>2</v>
      </c>
      <c r="B14461" t="s">
        <v>3458</v>
      </c>
      <c r="C14461" t="s">
        <v>23490</v>
      </c>
      <c r="D14461" t="str">
        <f>HYPERLINK("https://rhld.insurance.arkansas.gov/NPILookup?Npi=1700207339","1700207339")</f>
        <v>1700207339</v>
      </c>
      <c r="E14461" t="s">
        <v>2464</v>
      </c>
    </row>
    <row r="14462" spans="1:5" x14ac:dyDescent="0.25">
      <c r="A14462" t="s">
        <v>2</v>
      </c>
      <c r="B14462" t="s">
        <v>3458</v>
      </c>
      <c r="C14462" t="s">
        <v>23490</v>
      </c>
      <c r="D14462" t="str">
        <f>HYPERLINK("https://rhld.insurance.arkansas.gov/NPILookup?Npi=1700226123","1700226123")</f>
        <v>1700226123</v>
      </c>
      <c r="E14462" t="s">
        <v>11185</v>
      </c>
    </row>
    <row r="14463" spans="1:5" x14ac:dyDescent="0.25">
      <c r="A14463" t="s">
        <v>2</v>
      </c>
      <c r="B14463" t="s">
        <v>3458</v>
      </c>
      <c r="C14463" t="s">
        <v>23490</v>
      </c>
      <c r="D14463" t="str">
        <f>HYPERLINK("https://rhld.insurance.arkansas.gov/NPILookup?Npi=1700230802","1700230802")</f>
        <v>1700230802</v>
      </c>
      <c r="E14463" t="s">
        <v>21013</v>
      </c>
    </row>
    <row r="14464" spans="1:5" x14ac:dyDescent="0.25">
      <c r="A14464" t="s">
        <v>2</v>
      </c>
      <c r="B14464" t="s">
        <v>3458</v>
      </c>
      <c r="C14464" t="s">
        <v>23490</v>
      </c>
      <c r="D14464" t="str">
        <f>HYPERLINK("https://rhld.insurance.arkansas.gov/NPILookup?Npi=1700244985","1700244985")</f>
        <v>1700244985</v>
      </c>
      <c r="E14464" t="s">
        <v>8811</v>
      </c>
    </row>
    <row r="14465" spans="1:5" x14ac:dyDescent="0.25">
      <c r="A14465" t="s">
        <v>2</v>
      </c>
      <c r="B14465" t="s">
        <v>3458</v>
      </c>
      <c r="C14465" t="s">
        <v>23490</v>
      </c>
      <c r="D14465" t="str">
        <f>HYPERLINK("https://rhld.insurance.arkansas.gov/NPILookup?Npi=1700260189","1700260189")</f>
        <v>1700260189</v>
      </c>
      <c r="E14465" t="s">
        <v>21629</v>
      </c>
    </row>
    <row r="14466" spans="1:5" x14ac:dyDescent="0.25">
      <c r="A14466" t="s">
        <v>2</v>
      </c>
      <c r="B14466" t="s">
        <v>3458</v>
      </c>
      <c r="C14466" t="s">
        <v>23490</v>
      </c>
      <c r="D14466" t="str">
        <f>HYPERLINK("https://rhld.insurance.arkansas.gov/NPILookup?Npi=1700268042","1700268042")</f>
        <v>1700268042</v>
      </c>
      <c r="E14466" t="s">
        <v>2466</v>
      </c>
    </row>
    <row r="14467" spans="1:5" x14ac:dyDescent="0.25">
      <c r="A14467" t="s">
        <v>2</v>
      </c>
      <c r="B14467" t="s">
        <v>3458</v>
      </c>
      <c r="C14467" t="s">
        <v>23490</v>
      </c>
      <c r="D14467" t="str">
        <f>HYPERLINK("https://rhld.insurance.arkansas.gov/NPILookup?Npi=1700269875","1700269875")</f>
        <v>1700269875</v>
      </c>
      <c r="E14467" t="s">
        <v>12886</v>
      </c>
    </row>
    <row r="14468" spans="1:5" x14ac:dyDescent="0.25">
      <c r="A14468" t="s">
        <v>2</v>
      </c>
      <c r="B14468" t="s">
        <v>3458</v>
      </c>
      <c r="C14468" t="s">
        <v>23490</v>
      </c>
      <c r="D14468" t="str">
        <f>HYPERLINK("https://rhld.insurance.arkansas.gov/NPILookup?Npi=1700274016","1700274016")</f>
        <v>1700274016</v>
      </c>
      <c r="E14468" t="s">
        <v>15442</v>
      </c>
    </row>
    <row r="14469" spans="1:5" x14ac:dyDescent="0.25">
      <c r="A14469" t="s">
        <v>2</v>
      </c>
      <c r="B14469" t="s">
        <v>3458</v>
      </c>
      <c r="C14469" t="s">
        <v>23490</v>
      </c>
      <c r="D14469" t="str">
        <f>HYPERLINK("https://rhld.insurance.arkansas.gov/NPILookup?Npi=1700274909","1700274909")</f>
        <v>1700274909</v>
      </c>
      <c r="E14469" t="s">
        <v>12887</v>
      </c>
    </row>
    <row r="14470" spans="1:5" x14ac:dyDescent="0.25">
      <c r="A14470" t="s">
        <v>2</v>
      </c>
      <c r="B14470" t="s">
        <v>3458</v>
      </c>
      <c r="C14470" t="s">
        <v>23490</v>
      </c>
      <c r="D14470" t="str">
        <f>HYPERLINK("https://rhld.insurance.arkansas.gov/NPILookup?Npi=1700277233","1700277233")</f>
        <v>1700277233</v>
      </c>
      <c r="E14470" t="s">
        <v>2467</v>
      </c>
    </row>
    <row r="14471" spans="1:5" x14ac:dyDescent="0.25">
      <c r="A14471" t="s">
        <v>2</v>
      </c>
      <c r="B14471" t="s">
        <v>3458</v>
      </c>
      <c r="C14471" t="s">
        <v>23490</v>
      </c>
      <c r="D14471" t="str">
        <f>HYPERLINK("https://rhld.insurance.arkansas.gov/NPILookup?Npi=1700281938","1700281938")</f>
        <v>1700281938</v>
      </c>
      <c r="E14471" t="s">
        <v>2468</v>
      </c>
    </row>
    <row r="14472" spans="1:5" x14ac:dyDescent="0.25">
      <c r="A14472" t="s">
        <v>2</v>
      </c>
      <c r="B14472" t="s">
        <v>3458</v>
      </c>
      <c r="C14472" t="s">
        <v>23490</v>
      </c>
      <c r="D14472" t="str">
        <f>HYPERLINK("https://rhld.insurance.arkansas.gov/NPILookup?Npi=1700299138","1700299138")</f>
        <v>1700299138</v>
      </c>
      <c r="E14472" t="s">
        <v>13662</v>
      </c>
    </row>
    <row r="14473" spans="1:5" x14ac:dyDescent="0.25">
      <c r="A14473" t="s">
        <v>2</v>
      </c>
      <c r="B14473" t="s">
        <v>3458</v>
      </c>
      <c r="C14473" t="s">
        <v>23490</v>
      </c>
      <c r="D14473" t="str">
        <f>HYPERLINK("https://rhld.insurance.arkansas.gov/NPILookup?Npi=1700319969","1700319969")</f>
        <v>1700319969</v>
      </c>
      <c r="E14473" t="s">
        <v>20259</v>
      </c>
    </row>
    <row r="14474" spans="1:5" x14ac:dyDescent="0.25">
      <c r="A14474" t="s">
        <v>2</v>
      </c>
      <c r="B14474" t="s">
        <v>3458</v>
      </c>
      <c r="C14474" t="s">
        <v>23490</v>
      </c>
      <c r="D14474" t="str">
        <f>HYPERLINK("https://rhld.insurance.arkansas.gov/NPILookup?Npi=1700327780","1700327780")</f>
        <v>1700327780</v>
      </c>
      <c r="E14474" t="s">
        <v>15444</v>
      </c>
    </row>
    <row r="14475" spans="1:5" x14ac:dyDescent="0.25">
      <c r="A14475" t="s">
        <v>2</v>
      </c>
      <c r="B14475" t="s">
        <v>3458</v>
      </c>
      <c r="C14475" t="s">
        <v>23490</v>
      </c>
      <c r="D14475" t="str">
        <f>HYPERLINK("https://rhld.insurance.arkansas.gov/NPILookup?Npi=1700339256","1700339256")</f>
        <v>1700339256</v>
      </c>
      <c r="E14475" t="s">
        <v>11188</v>
      </c>
    </row>
    <row r="14476" spans="1:5" x14ac:dyDescent="0.25">
      <c r="A14476" t="s">
        <v>2</v>
      </c>
      <c r="B14476" t="s">
        <v>3458</v>
      </c>
      <c r="C14476" t="s">
        <v>23490</v>
      </c>
      <c r="D14476" t="str">
        <f>HYPERLINK("https://rhld.insurance.arkansas.gov/NPILookup?Npi=1700343969","1700343969")</f>
        <v>1700343969</v>
      </c>
      <c r="E14476" t="s">
        <v>8338</v>
      </c>
    </row>
    <row r="14477" spans="1:5" x14ac:dyDescent="0.25">
      <c r="A14477" t="s">
        <v>2</v>
      </c>
      <c r="B14477" t="s">
        <v>3458</v>
      </c>
      <c r="C14477" t="s">
        <v>23490</v>
      </c>
      <c r="D14477" t="str">
        <f>HYPERLINK("https://rhld.insurance.arkansas.gov/NPILookup?Npi=1700351376","1700351376")</f>
        <v>1700351376</v>
      </c>
      <c r="E14477" t="s">
        <v>13664</v>
      </c>
    </row>
    <row r="14478" spans="1:5" x14ac:dyDescent="0.25">
      <c r="A14478" t="s">
        <v>2</v>
      </c>
      <c r="B14478" t="s">
        <v>3458</v>
      </c>
      <c r="C14478" t="s">
        <v>23490</v>
      </c>
      <c r="D14478" t="str">
        <f>HYPERLINK("https://rhld.insurance.arkansas.gov/NPILookup?Npi=1700354933","1700354933")</f>
        <v>1700354933</v>
      </c>
      <c r="E14478" t="s">
        <v>15445</v>
      </c>
    </row>
    <row r="14479" spans="1:5" x14ac:dyDescent="0.25">
      <c r="A14479" t="s">
        <v>2</v>
      </c>
      <c r="B14479" t="s">
        <v>3458</v>
      </c>
      <c r="C14479" t="s">
        <v>23490</v>
      </c>
      <c r="D14479" t="str">
        <f>HYPERLINK("https://rhld.insurance.arkansas.gov/NPILookup?Npi=1700389426","1700389426")</f>
        <v>1700389426</v>
      </c>
      <c r="E14479" t="s">
        <v>22977</v>
      </c>
    </row>
    <row r="14480" spans="1:5" x14ac:dyDescent="0.25">
      <c r="A14480" t="s">
        <v>2</v>
      </c>
      <c r="B14480" t="s">
        <v>3458</v>
      </c>
      <c r="C14480" t="s">
        <v>23490</v>
      </c>
      <c r="D14480" t="str">
        <f>HYPERLINK("https://rhld.insurance.arkansas.gov/NPILookup?Npi=1700395225","1700395225")</f>
        <v>1700395225</v>
      </c>
      <c r="E14480" t="s">
        <v>11189</v>
      </c>
    </row>
    <row r="14481" spans="1:5" x14ac:dyDescent="0.25">
      <c r="A14481" t="s">
        <v>2</v>
      </c>
      <c r="B14481" t="s">
        <v>3458</v>
      </c>
      <c r="C14481" t="s">
        <v>23490</v>
      </c>
      <c r="D14481" t="str">
        <f>HYPERLINK("https://rhld.insurance.arkansas.gov/NPILookup?Npi=1700403128","1700403128")</f>
        <v>1700403128</v>
      </c>
      <c r="E14481" t="s">
        <v>18086</v>
      </c>
    </row>
    <row r="14482" spans="1:5" x14ac:dyDescent="0.25">
      <c r="A14482" t="s">
        <v>2</v>
      </c>
      <c r="B14482" t="s">
        <v>3458</v>
      </c>
      <c r="C14482" t="s">
        <v>23490</v>
      </c>
      <c r="D14482" t="str">
        <f>HYPERLINK("https://rhld.insurance.arkansas.gov/NPILookup?Npi=1700403946","1700403946")</f>
        <v>1700403946</v>
      </c>
      <c r="E14482" t="s">
        <v>17465</v>
      </c>
    </row>
    <row r="14483" spans="1:5" x14ac:dyDescent="0.25">
      <c r="A14483" t="s">
        <v>2</v>
      </c>
      <c r="B14483" t="s">
        <v>3458</v>
      </c>
      <c r="C14483" t="s">
        <v>23490</v>
      </c>
      <c r="D14483" t="str">
        <f>HYPERLINK("https://rhld.insurance.arkansas.gov/NPILookup?Npi=1700409182","1700409182")</f>
        <v>1700409182</v>
      </c>
      <c r="E14483" t="s">
        <v>18087</v>
      </c>
    </row>
    <row r="14484" spans="1:5" x14ac:dyDescent="0.25">
      <c r="A14484" t="s">
        <v>2</v>
      </c>
      <c r="B14484" t="s">
        <v>3458</v>
      </c>
      <c r="C14484" t="s">
        <v>23490</v>
      </c>
      <c r="D14484" t="str">
        <f>HYPERLINK("https://rhld.insurance.arkansas.gov/NPILookup?Npi=1700411311","1700411311")</f>
        <v>1700411311</v>
      </c>
      <c r="E14484" t="s">
        <v>17466</v>
      </c>
    </row>
    <row r="14485" spans="1:5" x14ac:dyDescent="0.25">
      <c r="A14485" t="s">
        <v>2</v>
      </c>
      <c r="B14485" t="s">
        <v>3458</v>
      </c>
      <c r="C14485" t="s">
        <v>23490</v>
      </c>
      <c r="D14485" t="str">
        <f>HYPERLINK("https://rhld.insurance.arkansas.gov/NPILookup?Npi=1700420338","1700420338")</f>
        <v>1700420338</v>
      </c>
      <c r="E14485" t="s">
        <v>18841</v>
      </c>
    </row>
    <row r="14486" spans="1:5" x14ac:dyDescent="0.25">
      <c r="A14486" t="s">
        <v>2</v>
      </c>
      <c r="B14486" t="s">
        <v>3458</v>
      </c>
      <c r="C14486" t="s">
        <v>23490</v>
      </c>
      <c r="D14486" t="str">
        <f>HYPERLINK("https://rhld.insurance.arkansas.gov/NPILookup?Npi=1700431905","1700431905")</f>
        <v>1700431905</v>
      </c>
      <c r="E14486" t="s">
        <v>21015</v>
      </c>
    </row>
    <row r="14487" spans="1:5" x14ac:dyDescent="0.25">
      <c r="A14487" t="s">
        <v>2</v>
      </c>
      <c r="B14487" t="s">
        <v>3458</v>
      </c>
      <c r="C14487" t="s">
        <v>23490</v>
      </c>
      <c r="D14487" t="str">
        <f>HYPERLINK("https://rhld.insurance.arkansas.gov/NPILookup?Npi=1700459591","1700459591")</f>
        <v>1700459591</v>
      </c>
      <c r="E14487" t="s">
        <v>18842</v>
      </c>
    </row>
    <row r="14488" spans="1:5" x14ac:dyDescent="0.25">
      <c r="A14488" t="s">
        <v>2</v>
      </c>
      <c r="B14488" t="s">
        <v>3458</v>
      </c>
      <c r="C14488" t="s">
        <v>23490</v>
      </c>
      <c r="D14488" t="str">
        <f>HYPERLINK("https://rhld.insurance.arkansas.gov/NPILookup?Npi=1700482171","1700482171")</f>
        <v>1700482171</v>
      </c>
      <c r="E14488" t="s">
        <v>16343</v>
      </c>
    </row>
    <row r="14489" spans="1:5" x14ac:dyDescent="0.25">
      <c r="A14489" t="s">
        <v>2</v>
      </c>
      <c r="B14489" t="s">
        <v>3458</v>
      </c>
      <c r="C14489" t="s">
        <v>23490</v>
      </c>
      <c r="D14489" t="str">
        <f>HYPERLINK("https://rhld.insurance.arkansas.gov/NPILookup?Npi=1700491040","1700491040")</f>
        <v>1700491040</v>
      </c>
      <c r="E14489" t="s">
        <v>18088</v>
      </c>
    </row>
    <row r="14490" spans="1:5" x14ac:dyDescent="0.25">
      <c r="A14490" t="s">
        <v>2</v>
      </c>
      <c r="B14490" t="s">
        <v>3458</v>
      </c>
      <c r="C14490" t="s">
        <v>23490</v>
      </c>
      <c r="D14490" t="str">
        <f>HYPERLINK("https://rhld.insurance.arkansas.gov/NPILookup?Npi=1700498110","1700498110")</f>
        <v>1700498110</v>
      </c>
      <c r="E14490" t="s">
        <v>10882</v>
      </c>
    </row>
    <row r="14491" spans="1:5" x14ac:dyDescent="0.25">
      <c r="A14491" t="s">
        <v>2</v>
      </c>
      <c r="B14491" t="s">
        <v>3458</v>
      </c>
      <c r="C14491" t="s">
        <v>23490</v>
      </c>
      <c r="D14491" t="str">
        <f>HYPERLINK("https://rhld.insurance.arkansas.gov/NPILookup?Npi=1700534443","1700534443")</f>
        <v>1700534443</v>
      </c>
      <c r="E14491" t="s">
        <v>21016</v>
      </c>
    </row>
    <row r="14492" spans="1:5" x14ac:dyDescent="0.25">
      <c r="A14492" t="s">
        <v>2</v>
      </c>
      <c r="B14492" t="s">
        <v>3458</v>
      </c>
      <c r="C14492" t="s">
        <v>23490</v>
      </c>
      <c r="D14492" t="str">
        <f>HYPERLINK("https://rhld.insurance.arkansas.gov/NPILookup?Npi=1700540317","1700540317")</f>
        <v>1700540317</v>
      </c>
      <c r="E14492" t="s">
        <v>19954</v>
      </c>
    </row>
    <row r="14493" spans="1:5" x14ac:dyDescent="0.25">
      <c r="A14493" t="s">
        <v>2</v>
      </c>
      <c r="B14493" t="s">
        <v>3458</v>
      </c>
      <c r="C14493" t="s">
        <v>23490</v>
      </c>
      <c r="D14493" t="str">
        <f>HYPERLINK("https://rhld.insurance.arkansas.gov/NPILookup?Npi=1700545969","1700545969")</f>
        <v>1700545969</v>
      </c>
      <c r="E14493" t="s">
        <v>19955</v>
      </c>
    </row>
    <row r="14494" spans="1:5" x14ac:dyDescent="0.25">
      <c r="A14494" t="s">
        <v>2</v>
      </c>
      <c r="B14494" t="s">
        <v>3458</v>
      </c>
      <c r="C14494" t="s">
        <v>23490</v>
      </c>
      <c r="D14494" t="str">
        <f>HYPERLINK("https://rhld.insurance.arkansas.gov/NPILookup?Npi=1700805330","1700805330")</f>
        <v>1700805330</v>
      </c>
      <c r="E14494" t="s">
        <v>2469</v>
      </c>
    </row>
    <row r="14495" spans="1:5" x14ac:dyDescent="0.25">
      <c r="A14495" t="s">
        <v>2</v>
      </c>
      <c r="B14495" t="s">
        <v>3458</v>
      </c>
      <c r="C14495" t="s">
        <v>23490</v>
      </c>
      <c r="D14495" t="str">
        <f>HYPERLINK("https://rhld.insurance.arkansas.gov/NPILookup?Npi=1700811478","1700811478")</f>
        <v>1700811478</v>
      </c>
      <c r="E14495" t="s">
        <v>2470</v>
      </c>
    </row>
    <row r="14496" spans="1:5" x14ac:dyDescent="0.25">
      <c r="A14496" t="s">
        <v>2</v>
      </c>
      <c r="B14496" t="s">
        <v>3458</v>
      </c>
      <c r="C14496" t="s">
        <v>23490</v>
      </c>
      <c r="D14496" t="str">
        <f>HYPERLINK("https://rhld.insurance.arkansas.gov/NPILookup?Npi=1700813151","1700813151")</f>
        <v>1700813151</v>
      </c>
      <c r="E14496" t="s">
        <v>15446</v>
      </c>
    </row>
    <row r="14497" spans="1:5" x14ac:dyDescent="0.25">
      <c r="A14497" t="s">
        <v>2</v>
      </c>
      <c r="B14497" t="s">
        <v>3458</v>
      </c>
      <c r="C14497" t="s">
        <v>23490</v>
      </c>
      <c r="D14497" t="str">
        <f>HYPERLINK("https://rhld.insurance.arkansas.gov/NPILookup?Npi=1700813607","1700813607")</f>
        <v>1700813607</v>
      </c>
      <c r="E14497" t="s">
        <v>15447</v>
      </c>
    </row>
    <row r="14498" spans="1:5" x14ac:dyDescent="0.25">
      <c r="A14498" t="s">
        <v>2</v>
      </c>
      <c r="B14498" t="s">
        <v>3458</v>
      </c>
      <c r="C14498" t="s">
        <v>23490</v>
      </c>
      <c r="D14498" t="str">
        <f>HYPERLINK("https://rhld.insurance.arkansas.gov/NPILookup?Npi=1700821824","1700821824")</f>
        <v>1700821824</v>
      </c>
      <c r="E14498" t="s">
        <v>15448</v>
      </c>
    </row>
    <row r="14499" spans="1:5" x14ac:dyDescent="0.25">
      <c r="A14499" t="s">
        <v>2</v>
      </c>
      <c r="B14499" t="s">
        <v>3458</v>
      </c>
      <c r="C14499" t="s">
        <v>23490</v>
      </c>
      <c r="D14499" t="str">
        <f>HYPERLINK("https://rhld.insurance.arkansas.gov/NPILookup?Npi=1700822368","1700822368")</f>
        <v>1700822368</v>
      </c>
      <c r="E14499" t="s">
        <v>2471</v>
      </c>
    </row>
    <row r="14500" spans="1:5" x14ac:dyDescent="0.25">
      <c r="A14500" t="s">
        <v>2</v>
      </c>
      <c r="B14500" t="s">
        <v>3458</v>
      </c>
      <c r="C14500" t="s">
        <v>23490</v>
      </c>
      <c r="D14500" t="str">
        <f>HYPERLINK("https://rhld.insurance.arkansas.gov/NPILookup?Npi=1700824307","1700824307")</f>
        <v>1700824307</v>
      </c>
      <c r="E14500" t="s">
        <v>2472</v>
      </c>
    </row>
    <row r="14501" spans="1:5" x14ac:dyDescent="0.25">
      <c r="A14501" t="s">
        <v>2</v>
      </c>
      <c r="B14501" t="s">
        <v>3458</v>
      </c>
      <c r="C14501" t="s">
        <v>23490</v>
      </c>
      <c r="D14501" t="str">
        <f>HYPERLINK("https://rhld.insurance.arkansas.gov/NPILookup?Npi=1700826153","1700826153")</f>
        <v>1700826153</v>
      </c>
      <c r="E14501" t="s">
        <v>22898</v>
      </c>
    </row>
    <row r="14502" spans="1:5" x14ac:dyDescent="0.25">
      <c r="A14502" t="s">
        <v>2</v>
      </c>
      <c r="B14502" t="s">
        <v>3458</v>
      </c>
      <c r="C14502" t="s">
        <v>23490</v>
      </c>
      <c r="D14502" t="str">
        <f>HYPERLINK("https://rhld.insurance.arkansas.gov/NPILookup?Npi=1700834603","1700834603")</f>
        <v>1700834603</v>
      </c>
      <c r="E14502" t="s">
        <v>3887</v>
      </c>
    </row>
    <row r="14503" spans="1:5" x14ac:dyDescent="0.25">
      <c r="A14503" t="s">
        <v>2</v>
      </c>
      <c r="B14503" t="s">
        <v>3458</v>
      </c>
      <c r="C14503" t="s">
        <v>23490</v>
      </c>
      <c r="D14503" t="str">
        <f>HYPERLINK("https://rhld.insurance.arkansas.gov/NPILookup?Npi=1700835139","1700835139")</f>
        <v>1700835139</v>
      </c>
      <c r="E14503" t="s">
        <v>2473</v>
      </c>
    </row>
    <row r="14504" spans="1:5" x14ac:dyDescent="0.25">
      <c r="A14504" t="s">
        <v>2</v>
      </c>
      <c r="B14504" t="s">
        <v>3458</v>
      </c>
      <c r="C14504" t="s">
        <v>23490</v>
      </c>
      <c r="D14504" t="str">
        <f>HYPERLINK("https://rhld.insurance.arkansas.gov/NPILookup?Npi=1700835469","1700835469")</f>
        <v>1700835469</v>
      </c>
      <c r="E14504" t="s">
        <v>15449</v>
      </c>
    </row>
    <row r="14505" spans="1:5" x14ac:dyDescent="0.25">
      <c r="A14505" t="s">
        <v>2</v>
      </c>
      <c r="B14505" t="s">
        <v>3458</v>
      </c>
      <c r="C14505" t="s">
        <v>23490</v>
      </c>
      <c r="D14505" t="str">
        <f>HYPERLINK("https://rhld.insurance.arkansas.gov/NPILookup?Npi=1700842218","1700842218")</f>
        <v>1700842218</v>
      </c>
      <c r="E14505" t="s">
        <v>2474</v>
      </c>
    </row>
    <row r="14506" spans="1:5" x14ac:dyDescent="0.25">
      <c r="A14506" t="s">
        <v>2</v>
      </c>
      <c r="B14506" t="s">
        <v>3458</v>
      </c>
      <c r="C14506" t="s">
        <v>23490</v>
      </c>
      <c r="D14506" t="str">
        <f>HYPERLINK("https://rhld.insurance.arkansas.gov/NPILookup?Npi=1700843679","1700843679")</f>
        <v>1700843679</v>
      </c>
      <c r="E14506" t="s">
        <v>2475</v>
      </c>
    </row>
    <row r="14507" spans="1:5" x14ac:dyDescent="0.25">
      <c r="A14507" t="s">
        <v>2</v>
      </c>
      <c r="B14507" t="s">
        <v>3458</v>
      </c>
      <c r="C14507" t="s">
        <v>23490</v>
      </c>
      <c r="D14507" t="str">
        <f>HYPERLINK("https://rhld.insurance.arkansas.gov/NPILookup?Npi=1700844396","1700844396")</f>
        <v>1700844396</v>
      </c>
      <c r="E14507" t="s">
        <v>13019</v>
      </c>
    </row>
    <row r="14508" spans="1:5" x14ac:dyDescent="0.25">
      <c r="A14508" t="s">
        <v>2</v>
      </c>
      <c r="B14508" t="s">
        <v>3458</v>
      </c>
      <c r="C14508" t="s">
        <v>23490</v>
      </c>
      <c r="D14508" t="str">
        <f>HYPERLINK("https://rhld.insurance.arkansas.gov/NPILookup?Npi=1700845740","1700845740")</f>
        <v>1700845740</v>
      </c>
      <c r="E14508" t="s">
        <v>2476</v>
      </c>
    </row>
    <row r="14509" spans="1:5" x14ac:dyDescent="0.25">
      <c r="A14509" t="s">
        <v>2</v>
      </c>
      <c r="B14509" t="s">
        <v>3458</v>
      </c>
      <c r="C14509" t="s">
        <v>23490</v>
      </c>
      <c r="D14509" t="str">
        <f>HYPERLINK("https://rhld.insurance.arkansas.gov/NPILookup?Npi=1700846870","1700846870")</f>
        <v>1700846870</v>
      </c>
      <c r="E14509" t="s">
        <v>2477</v>
      </c>
    </row>
    <row r="14510" spans="1:5" x14ac:dyDescent="0.25">
      <c r="A14510" t="s">
        <v>2</v>
      </c>
      <c r="B14510" t="s">
        <v>3458</v>
      </c>
      <c r="C14510" t="s">
        <v>23490</v>
      </c>
      <c r="D14510" t="str">
        <f>HYPERLINK("https://rhld.insurance.arkansas.gov/NPILookup?Npi=1700849684","1700849684")</f>
        <v>1700849684</v>
      </c>
      <c r="E14510" t="s">
        <v>2478</v>
      </c>
    </row>
    <row r="14511" spans="1:5" x14ac:dyDescent="0.25">
      <c r="A14511" t="s">
        <v>2</v>
      </c>
      <c r="B14511" t="s">
        <v>3458</v>
      </c>
      <c r="C14511" t="s">
        <v>23490</v>
      </c>
      <c r="D14511" t="str">
        <f>HYPERLINK("https://rhld.insurance.arkansas.gov/NPILookup?Npi=1700863891","1700863891")</f>
        <v>1700863891</v>
      </c>
      <c r="E14511" t="s">
        <v>2479</v>
      </c>
    </row>
    <row r="14512" spans="1:5" x14ac:dyDescent="0.25">
      <c r="A14512" t="s">
        <v>2</v>
      </c>
      <c r="B14512" t="s">
        <v>3458</v>
      </c>
      <c r="C14512" t="s">
        <v>23490</v>
      </c>
      <c r="D14512" t="str">
        <f>HYPERLINK("https://rhld.insurance.arkansas.gov/NPILookup?Npi=1700871324","1700871324")</f>
        <v>1700871324</v>
      </c>
      <c r="E14512" t="s">
        <v>2480</v>
      </c>
    </row>
    <row r="14513" spans="1:5" x14ac:dyDescent="0.25">
      <c r="A14513" t="s">
        <v>2</v>
      </c>
      <c r="B14513" t="s">
        <v>3458</v>
      </c>
      <c r="C14513" t="s">
        <v>23490</v>
      </c>
      <c r="D14513" t="str">
        <f>HYPERLINK("https://rhld.insurance.arkansas.gov/NPILookup?Npi=1700878634","1700878634")</f>
        <v>1700878634</v>
      </c>
      <c r="E14513" t="s">
        <v>2481</v>
      </c>
    </row>
    <row r="14514" spans="1:5" x14ac:dyDescent="0.25">
      <c r="A14514" t="s">
        <v>2</v>
      </c>
      <c r="B14514" t="s">
        <v>3458</v>
      </c>
      <c r="C14514" t="s">
        <v>23490</v>
      </c>
      <c r="D14514" t="str">
        <f>HYPERLINK("https://rhld.insurance.arkansas.gov/NPILookup?Npi=1700879970","1700879970")</f>
        <v>1700879970</v>
      </c>
      <c r="E14514" t="s">
        <v>2482</v>
      </c>
    </row>
    <row r="14515" spans="1:5" x14ac:dyDescent="0.25">
      <c r="A14515" t="s">
        <v>2</v>
      </c>
      <c r="B14515" t="s">
        <v>3458</v>
      </c>
      <c r="C14515" t="s">
        <v>23490</v>
      </c>
      <c r="D14515" t="str">
        <f>HYPERLINK("https://rhld.insurance.arkansas.gov/NPILookup?Npi=1700883402","1700883402")</f>
        <v>1700883402</v>
      </c>
      <c r="E14515" t="s">
        <v>123</v>
      </c>
    </row>
    <row r="14516" spans="1:5" x14ac:dyDescent="0.25">
      <c r="A14516" t="s">
        <v>2</v>
      </c>
      <c r="B14516" t="s">
        <v>3458</v>
      </c>
      <c r="C14516" t="s">
        <v>23490</v>
      </c>
      <c r="D14516" t="str">
        <f>HYPERLINK("https://rhld.insurance.arkansas.gov/NPILookup?Npi=1700883915","1700883915")</f>
        <v>1700883915</v>
      </c>
      <c r="E14516" t="s">
        <v>3889</v>
      </c>
    </row>
    <row r="14517" spans="1:5" x14ac:dyDescent="0.25">
      <c r="A14517" t="s">
        <v>2</v>
      </c>
      <c r="B14517" t="s">
        <v>3458</v>
      </c>
      <c r="C14517" t="s">
        <v>23490</v>
      </c>
      <c r="D14517" t="str">
        <f>HYPERLINK("https://rhld.insurance.arkansas.gov/NPILookup?Npi=1700885522","1700885522")</f>
        <v>1700885522</v>
      </c>
      <c r="E14517" t="s">
        <v>3890</v>
      </c>
    </row>
    <row r="14518" spans="1:5" x14ac:dyDescent="0.25">
      <c r="A14518" t="s">
        <v>2</v>
      </c>
      <c r="B14518" t="s">
        <v>3458</v>
      </c>
      <c r="C14518" t="s">
        <v>23490</v>
      </c>
      <c r="D14518" t="str">
        <f>HYPERLINK("https://rhld.insurance.arkansas.gov/NPILookup?Npi=1700886090","1700886090")</f>
        <v>1700886090</v>
      </c>
      <c r="E14518" t="s">
        <v>3891</v>
      </c>
    </row>
    <row r="14519" spans="1:5" x14ac:dyDescent="0.25">
      <c r="A14519" t="s">
        <v>2</v>
      </c>
      <c r="B14519" t="s">
        <v>3458</v>
      </c>
      <c r="C14519" t="s">
        <v>23490</v>
      </c>
      <c r="D14519" t="str">
        <f>HYPERLINK("https://rhld.insurance.arkansas.gov/NPILookup?Npi=1700887213","1700887213")</f>
        <v>1700887213</v>
      </c>
      <c r="E14519" t="s">
        <v>3892</v>
      </c>
    </row>
    <row r="14520" spans="1:5" x14ac:dyDescent="0.25">
      <c r="A14520" t="s">
        <v>2</v>
      </c>
      <c r="B14520" t="s">
        <v>3458</v>
      </c>
      <c r="C14520" t="s">
        <v>23490</v>
      </c>
      <c r="D14520" t="str">
        <f>HYPERLINK("https://rhld.insurance.arkansas.gov/NPILookup?Npi=1700889649","1700889649")</f>
        <v>1700889649</v>
      </c>
      <c r="E14520" t="s">
        <v>2484</v>
      </c>
    </row>
    <row r="14521" spans="1:5" x14ac:dyDescent="0.25">
      <c r="A14521" t="s">
        <v>2</v>
      </c>
      <c r="B14521" t="s">
        <v>3458</v>
      </c>
      <c r="C14521" t="s">
        <v>23490</v>
      </c>
      <c r="D14521" t="str">
        <f>HYPERLINK("https://rhld.insurance.arkansas.gov/NPILookup?Npi=1700892734","1700892734")</f>
        <v>1700892734</v>
      </c>
      <c r="E14521" t="s">
        <v>2485</v>
      </c>
    </row>
    <row r="14522" spans="1:5" x14ac:dyDescent="0.25">
      <c r="A14522" t="s">
        <v>2</v>
      </c>
      <c r="B14522" t="s">
        <v>3458</v>
      </c>
      <c r="C14522" t="s">
        <v>23490</v>
      </c>
      <c r="D14522" t="str">
        <f>HYPERLINK("https://rhld.insurance.arkansas.gov/NPILookup?Npi=1700893690","1700893690")</f>
        <v>1700893690</v>
      </c>
      <c r="E14522" t="s">
        <v>15450</v>
      </c>
    </row>
    <row r="14523" spans="1:5" x14ac:dyDescent="0.25">
      <c r="A14523" t="s">
        <v>2</v>
      </c>
      <c r="B14523" t="s">
        <v>3458</v>
      </c>
      <c r="C14523" t="s">
        <v>23490</v>
      </c>
      <c r="D14523" t="str">
        <f>HYPERLINK("https://rhld.insurance.arkansas.gov/NPILookup?Npi=1700897600","1700897600")</f>
        <v>1700897600</v>
      </c>
      <c r="E14523" t="s">
        <v>2486</v>
      </c>
    </row>
    <row r="14524" spans="1:5" x14ac:dyDescent="0.25">
      <c r="A14524" t="s">
        <v>2</v>
      </c>
      <c r="B14524" t="s">
        <v>3458</v>
      </c>
      <c r="C14524" t="s">
        <v>23490</v>
      </c>
      <c r="D14524" t="str">
        <f>HYPERLINK("https://rhld.insurance.arkansas.gov/NPILookup?Npi=1700897774","1700897774")</f>
        <v>1700897774</v>
      </c>
      <c r="E14524" t="s">
        <v>2487</v>
      </c>
    </row>
    <row r="14525" spans="1:5" x14ac:dyDescent="0.25">
      <c r="A14525" t="s">
        <v>2</v>
      </c>
      <c r="B14525" t="s">
        <v>3458</v>
      </c>
      <c r="C14525" t="s">
        <v>23490</v>
      </c>
      <c r="D14525" t="str">
        <f>HYPERLINK("https://rhld.insurance.arkansas.gov/NPILookup?Npi=1700906286","1700906286")</f>
        <v>1700906286</v>
      </c>
      <c r="E14525" t="s">
        <v>18843</v>
      </c>
    </row>
    <row r="14526" spans="1:5" x14ac:dyDescent="0.25">
      <c r="A14526" t="s">
        <v>2</v>
      </c>
      <c r="B14526" t="s">
        <v>3458</v>
      </c>
      <c r="C14526" t="s">
        <v>23490</v>
      </c>
      <c r="D14526" t="str">
        <f>HYPERLINK("https://rhld.insurance.arkansas.gov/NPILookup?Npi=1700923943","1700923943")</f>
        <v>1700923943</v>
      </c>
      <c r="E14526" t="s">
        <v>15894</v>
      </c>
    </row>
    <row r="14527" spans="1:5" x14ac:dyDescent="0.25">
      <c r="A14527" t="s">
        <v>2</v>
      </c>
      <c r="B14527" t="s">
        <v>3458</v>
      </c>
      <c r="C14527" t="s">
        <v>23490</v>
      </c>
      <c r="D14527" t="str">
        <f>HYPERLINK("https://rhld.insurance.arkansas.gov/NPILookup?Npi=1700935459","1700935459")</f>
        <v>1700935459</v>
      </c>
      <c r="E14527" t="s">
        <v>15451</v>
      </c>
    </row>
    <row r="14528" spans="1:5" x14ac:dyDescent="0.25">
      <c r="A14528" t="s">
        <v>2</v>
      </c>
      <c r="B14528" t="s">
        <v>3458</v>
      </c>
      <c r="C14528" t="s">
        <v>23490</v>
      </c>
      <c r="D14528" t="str">
        <f>HYPERLINK("https://rhld.insurance.arkansas.gov/NPILookup?Npi=1700966033","1700966033")</f>
        <v>1700966033</v>
      </c>
      <c r="E14528" t="s">
        <v>18844</v>
      </c>
    </row>
    <row r="14529" spans="1:5" x14ac:dyDescent="0.25">
      <c r="A14529" t="s">
        <v>2</v>
      </c>
      <c r="B14529" t="s">
        <v>3458</v>
      </c>
      <c r="C14529" t="s">
        <v>23490</v>
      </c>
      <c r="D14529" t="str">
        <f>HYPERLINK("https://rhld.insurance.arkansas.gov/NPILookup?Npi=1700973856","1700973856")</f>
        <v>1700973856</v>
      </c>
      <c r="E14529" t="s">
        <v>2488</v>
      </c>
    </row>
    <row r="14530" spans="1:5" x14ac:dyDescent="0.25">
      <c r="A14530" t="s">
        <v>2</v>
      </c>
      <c r="B14530" t="s">
        <v>3458</v>
      </c>
      <c r="C14530" t="s">
        <v>23490</v>
      </c>
      <c r="D14530" t="str">
        <f>HYPERLINK("https://rhld.insurance.arkansas.gov/NPILookup?Npi=1700978541","1700978541")</f>
        <v>1700978541</v>
      </c>
      <c r="E14530" t="s">
        <v>8986</v>
      </c>
    </row>
    <row r="14531" spans="1:5" x14ac:dyDescent="0.25">
      <c r="A14531" t="s">
        <v>2</v>
      </c>
      <c r="B14531" t="s">
        <v>3458</v>
      </c>
      <c r="C14531" t="s">
        <v>23490</v>
      </c>
      <c r="D14531" t="str">
        <f>HYPERLINK("https://rhld.insurance.arkansas.gov/NPILookup?Npi=1700987773","1700987773")</f>
        <v>1700987773</v>
      </c>
      <c r="E14531" t="s">
        <v>11190</v>
      </c>
    </row>
    <row r="14532" spans="1:5" x14ac:dyDescent="0.25">
      <c r="A14532" t="s">
        <v>2</v>
      </c>
      <c r="B14532" t="s">
        <v>3458</v>
      </c>
      <c r="C14532" t="s">
        <v>23490</v>
      </c>
      <c r="D14532" t="str">
        <f>HYPERLINK("https://rhld.insurance.arkansas.gov/NPILookup?Npi=1710001482","1710001482")</f>
        <v>1710001482</v>
      </c>
      <c r="E14532" t="s">
        <v>3893</v>
      </c>
    </row>
    <row r="14533" spans="1:5" x14ac:dyDescent="0.25">
      <c r="A14533" t="s">
        <v>2</v>
      </c>
      <c r="B14533" t="s">
        <v>3458</v>
      </c>
      <c r="C14533" t="s">
        <v>23490</v>
      </c>
      <c r="D14533" t="str">
        <f>HYPERLINK("https://rhld.insurance.arkansas.gov/NPILookup?Npi=1710020706","1710020706")</f>
        <v>1710020706</v>
      </c>
      <c r="E14533" t="s">
        <v>15895</v>
      </c>
    </row>
    <row r="14534" spans="1:5" x14ac:dyDescent="0.25">
      <c r="A14534" t="s">
        <v>2</v>
      </c>
      <c r="B14534" t="s">
        <v>3458</v>
      </c>
      <c r="C14534" t="s">
        <v>23490</v>
      </c>
      <c r="D14534" t="str">
        <f>HYPERLINK("https://rhld.insurance.arkansas.gov/NPILookup?Npi=1710049283","1710049283")</f>
        <v>1710049283</v>
      </c>
      <c r="E14534" t="s">
        <v>11476</v>
      </c>
    </row>
    <row r="14535" spans="1:5" x14ac:dyDescent="0.25">
      <c r="A14535" t="s">
        <v>2</v>
      </c>
      <c r="B14535" t="s">
        <v>3458</v>
      </c>
      <c r="C14535" t="s">
        <v>23490</v>
      </c>
      <c r="D14535" t="str">
        <f>HYPERLINK("https://rhld.insurance.arkansas.gov/NPILookup?Npi=1710053327","1710053327")</f>
        <v>1710053327</v>
      </c>
      <c r="E14535" t="s">
        <v>2491</v>
      </c>
    </row>
    <row r="14536" spans="1:5" x14ac:dyDescent="0.25">
      <c r="A14536" t="s">
        <v>2</v>
      </c>
      <c r="B14536" t="s">
        <v>3458</v>
      </c>
      <c r="C14536" t="s">
        <v>23490</v>
      </c>
      <c r="D14536" t="str">
        <f>HYPERLINK("https://rhld.insurance.arkansas.gov/NPILookup?Npi=1710063078","1710063078")</f>
        <v>1710063078</v>
      </c>
      <c r="E14536" t="s">
        <v>15452</v>
      </c>
    </row>
    <row r="14537" spans="1:5" x14ac:dyDescent="0.25">
      <c r="A14537" t="s">
        <v>2</v>
      </c>
      <c r="B14537" t="s">
        <v>3458</v>
      </c>
      <c r="C14537" t="s">
        <v>23490</v>
      </c>
      <c r="D14537" t="str">
        <f>HYPERLINK("https://rhld.insurance.arkansas.gov/NPILookup?Npi=1710091988","1710091988")</f>
        <v>1710091988</v>
      </c>
      <c r="E14537" t="s">
        <v>2493</v>
      </c>
    </row>
    <row r="14538" spans="1:5" x14ac:dyDescent="0.25">
      <c r="A14538" t="s">
        <v>2</v>
      </c>
      <c r="B14538" t="s">
        <v>3458</v>
      </c>
      <c r="C14538" t="s">
        <v>23490</v>
      </c>
      <c r="D14538" t="str">
        <f>HYPERLINK("https://rhld.insurance.arkansas.gov/NPILookup?Npi=1710106042","1710106042")</f>
        <v>1710106042</v>
      </c>
      <c r="E14538" t="s">
        <v>3894</v>
      </c>
    </row>
    <row r="14539" spans="1:5" x14ac:dyDescent="0.25">
      <c r="A14539" t="s">
        <v>2</v>
      </c>
      <c r="B14539" t="s">
        <v>3458</v>
      </c>
      <c r="C14539" t="s">
        <v>23490</v>
      </c>
      <c r="D14539" t="str">
        <f>HYPERLINK("https://rhld.insurance.arkansas.gov/NPILookup?Npi=1710110051","1710110051")</f>
        <v>1710110051</v>
      </c>
      <c r="E14539" t="s">
        <v>21633</v>
      </c>
    </row>
    <row r="14540" spans="1:5" x14ac:dyDescent="0.25">
      <c r="A14540" t="s">
        <v>2</v>
      </c>
      <c r="B14540" t="s">
        <v>3458</v>
      </c>
      <c r="C14540" t="s">
        <v>23490</v>
      </c>
      <c r="D14540" t="str">
        <f>HYPERLINK("https://rhld.insurance.arkansas.gov/NPILookup?Npi=1710113535","1710113535")</f>
        <v>1710113535</v>
      </c>
      <c r="E14540" t="s">
        <v>2495</v>
      </c>
    </row>
    <row r="14541" spans="1:5" x14ac:dyDescent="0.25">
      <c r="A14541" t="s">
        <v>2</v>
      </c>
      <c r="B14541" t="s">
        <v>3458</v>
      </c>
      <c r="C14541" t="s">
        <v>23490</v>
      </c>
      <c r="D14541" t="str">
        <f>HYPERLINK("https://rhld.insurance.arkansas.gov/NPILookup?Npi=1710159694","1710159694")</f>
        <v>1710159694</v>
      </c>
      <c r="E14541" t="s">
        <v>11191</v>
      </c>
    </row>
    <row r="14542" spans="1:5" x14ac:dyDescent="0.25">
      <c r="A14542" t="s">
        <v>2</v>
      </c>
      <c r="B14542" t="s">
        <v>3458</v>
      </c>
      <c r="C14542" t="s">
        <v>23490</v>
      </c>
      <c r="D14542" t="str">
        <f>HYPERLINK("https://rhld.insurance.arkansas.gov/NPILookup?Npi=1710181078","1710181078")</f>
        <v>1710181078</v>
      </c>
      <c r="E14542" t="s">
        <v>15454</v>
      </c>
    </row>
    <row r="14543" spans="1:5" x14ac:dyDescent="0.25">
      <c r="A14543" t="s">
        <v>2</v>
      </c>
      <c r="B14543" t="s">
        <v>3458</v>
      </c>
      <c r="C14543" t="s">
        <v>23490</v>
      </c>
      <c r="D14543" t="str">
        <f>HYPERLINK("https://rhld.insurance.arkansas.gov/NPILookup?Npi=1710186945","1710186945")</f>
        <v>1710186945</v>
      </c>
      <c r="E14543" t="s">
        <v>2624</v>
      </c>
    </row>
    <row r="14544" spans="1:5" x14ac:dyDescent="0.25">
      <c r="A14544" t="s">
        <v>2</v>
      </c>
      <c r="B14544" t="s">
        <v>3458</v>
      </c>
      <c r="C14544" t="s">
        <v>23490</v>
      </c>
      <c r="D14544" t="str">
        <f>HYPERLINK("https://rhld.insurance.arkansas.gov/NPILookup?Npi=1710203955","1710203955")</f>
        <v>1710203955</v>
      </c>
      <c r="E14544" t="s">
        <v>15455</v>
      </c>
    </row>
    <row r="14545" spans="1:5" x14ac:dyDescent="0.25">
      <c r="A14545" t="s">
        <v>2</v>
      </c>
      <c r="B14545" t="s">
        <v>3458</v>
      </c>
      <c r="C14545" t="s">
        <v>23490</v>
      </c>
      <c r="D14545" t="str">
        <f>HYPERLINK("https://rhld.insurance.arkansas.gov/NPILookup?Npi=1710205547","1710205547")</f>
        <v>1710205547</v>
      </c>
      <c r="E14545" t="s">
        <v>3895</v>
      </c>
    </row>
    <row r="14546" spans="1:5" x14ac:dyDescent="0.25">
      <c r="A14546" t="s">
        <v>2</v>
      </c>
      <c r="B14546" t="s">
        <v>3458</v>
      </c>
      <c r="C14546" t="s">
        <v>23490</v>
      </c>
      <c r="D14546" t="str">
        <f>HYPERLINK("https://rhld.insurance.arkansas.gov/NPILookup?Npi=1710206313","1710206313")</f>
        <v>1710206313</v>
      </c>
      <c r="E14546" t="s">
        <v>8812</v>
      </c>
    </row>
    <row r="14547" spans="1:5" x14ac:dyDescent="0.25">
      <c r="A14547" t="s">
        <v>2</v>
      </c>
      <c r="B14547" t="s">
        <v>3458</v>
      </c>
      <c r="C14547" t="s">
        <v>23490</v>
      </c>
      <c r="D14547" t="str">
        <f>HYPERLINK("https://rhld.insurance.arkansas.gov/NPILookup?Npi=1710207808","1710207808")</f>
        <v>1710207808</v>
      </c>
      <c r="E14547" t="s">
        <v>2498</v>
      </c>
    </row>
    <row r="14548" spans="1:5" x14ac:dyDescent="0.25">
      <c r="A14548" t="s">
        <v>2</v>
      </c>
      <c r="B14548" t="s">
        <v>3458</v>
      </c>
      <c r="C14548" t="s">
        <v>23490</v>
      </c>
      <c r="D14548" t="str">
        <f>HYPERLINK("https://rhld.insurance.arkansas.gov/NPILookup?Npi=1710220959","1710220959")</f>
        <v>1710220959</v>
      </c>
      <c r="E14548" t="s">
        <v>11192</v>
      </c>
    </row>
    <row r="14549" spans="1:5" x14ac:dyDescent="0.25">
      <c r="A14549" t="s">
        <v>2</v>
      </c>
      <c r="B14549" t="s">
        <v>3458</v>
      </c>
      <c r="C14549" t="s">
        <v>23490</v>
      </c>
      <c r="D14549" t="str">
        <f>HYPERLINK("https://rhld.insurance.arkansas.gov/NPILookup?Npi=1710229059","1710229059")</f>
        <v>1710229059</v>
      </c>
      <c r="E14549" t="s">
        <v>8813</v>
      </c>
    </row>
    <row r="14550" spans="1:5" x14ac:dyDescent="0.25">
      <c r="A14550" t="s">
        <v>2</v>
      </c>
      <c r="B14550" t="s">
        <v>3458</v>
      </c>
      <c r="C14550" t="s">
        <v>23490</v>
      </c>
      <c r="D14550" t="str">
        <f>HYPERLINK("https://rhld.insurance.arkansas.gov/NPILookup?Npi=1710240064","1710240064")</f>
        <v>1710240064</v>
      </c>
      <c r="E14550" t="s">
        <v>12888</v>
      </c>
    </row>
    <row r="14551" spans="1:5" x14ac:dyDescent="0.25">
      <c r="A14551" t="s">
        <v>2</v>
      </c>
      <c r="B14551" t="s">
        <v>3458</v>
      </c>
      <c r="C14551" t="s">
        <v>23490</v>
      </c>
      <c r="D14551" t="str">
        <f>HYPERLINK("https://rhld.insurance.arkansas.gov/NPILookup?Npi=1710253208","1710253208")</f>
        <v>1710253208</v>
      </c>
      <c r="E14551" t="s">
        <v>2499</v>
      </c>
    </row>
    <row r="14552" spans="1:5" x14ac:dyDescent="0.25">
      <c r="A14552" t="s">
        <v>2</v>
      </c>
      <c r="B14552" t="s">
        <v>3458</v>
      </c>
      <c r="C14552" t="s">
        <v>23490</v>
      </c>
      <c r="D14552" t="str">
        <f>HYPERLINK("https://rhld.insurance.arkansas.gov/NPILookup?Npi=1710253612","1710253612")</f>
        <v>1710253612</v>
      </c>
      <c r="E14552" t="s">
        <v>2500</v>
      </c>
    </row>
    <row r="14553" spans="1:5" x14ac:dyDescent="0.25">
      <c r="A14553" t="s">
        <v>2</v>
      </c>
      <c r="B14553" t="s">
        <v>3458</v>
      </c>
      <c r="C14553" t="s">
        <v>23490</v>
      </c>
      <c r="D14553" t="str">
        <f>HYPERLINK("https://rhld.insurance.arkansas.gov/NPILookup?Npi=1710259049","1710259049")</f>
        <v>1710259049</v>
      </c>
      <c r="E14553" t="s">
        <v>2501</v>
      </c>
    </row>
    <row r="14554" spans="1:5" x14ac:dyDescent="0.25">
      <c r="A14554" t="s">
        <v>2</v>
      </c>
      <c r="B14554" t="s">
        <v>3458</v>
      </c>
      <c r="C14554" t="s">
        <v>23490</v>
      </c>
      <c r="D14554" t="str">
        <f>HYPERLINK("https://rhld.insurance.arkansas.gov/NPILookup?Npi=1710267828","1710267828")</f>
        <v>1710267828</v>
      </c>
      <c r="E14554" t="s">
        <v>8814</v>
      </c>
    </row>
    <row r="14555" spans="1:5" x14ac:dyDescent="0.25">
      <c r="A14555" t="s">
        <v>2</v>
      </c>
      <c r="B14555" t="s">
        <v>3458</v>
      </c>
      <c r="C14555" t="s">
        <v>23490</v>
      </c>
      <c r="D14555" t="str">
        <f>HYPERLINK("https://rhld.insurance.arkansas.gov/NPILookup?Npi=1710303250","1710303250")</f>
        <v>1710303250</v>
      </c>
      <c r="E14555" t="s">
        <v>2503</v>
      </c>
    </row>
    <row r="14556" spans="1:5" x14ac:dyDescent="0.25">
      <c r="A14556" t="s">
        <v>2</v>
      </c>
      <c r="B14556" t="s">
        <v>3458</v>
      </c>
      <c r="C14556" t="s">
        <v>23490</v>
      </c>
      <c r="D14556" t="str">
        <f>HYPERLINK("https://rhld.insurance.arkansas.gov/NPILookup?Npi=1710303631","1710303631")</f>
        <v>1710303631</v>
      </c>
      <c r="E14556" t="s">
        <v>2504</v>
      </c>
    </row>
    <row r="14557" spans="1:5" x14ac:dyDescent="0.25">
      <c r="A14557" t="s">
        <v>2</v>
      </c>
      <c r="B14557" t="s">
        <v>3458</v>
      </c>
      <c r="C14557" t="s">
        <v>23490</v>
      </c>
      <c r="D14557" t="str">
        <f>HYPERLINK("https://rhld.insurance.arkansas.gov/NPILookup?Npi=1710306089","1710306089")</f>
        <v>1710306089</v>
      </c>
      <c r="E14557" t="s">
        <v>11193</v>
      </c>
    </row>
    <row r="14558" spans="1:5" x14ac:dyDescent="0.25">
      <c r="A14558" t="s">
        <v>2</v>
      </c>
      <c r="B14558" t="s">
        <v>3458</v>
      </c>
      <c r="C14558" t="s">
        <v>23490</v>
      </c>
      <c r="D14558" t="str">
        <f>HYPERLINK("https://rhld.insurance.arkansas.gov/NPILookup?Npi=1710307848","1710307848")</f>
        <v>1710307848</v>
      </c>
      <c r="E14558" t="s">
        <v>2505</v>
      </c>
    </row>
    <row r="14559" spans="1:5" x14ac:dyDescent="0.25">
      <c r="A14559" t="s">
        <v>2</v>
      </c>
      <c r="B14559" t="s">
        <v>3458</v>
      </c>
      <c r="C14559" t="s">
        <v>23490</v>
      </c>
      <c r="D14559" t="str">
        <f>HYPERLINK("https://rhld.insurance.arkansas.gov/NPILookup?Npi=1710328844","1710328844")</f>
        <v>1710328844</v>
      </c>
      <c r="E14559" t="s">
        <v>2507</v>
      </c>
    </row>
    <row r="14560" spans="1:5" x14ac:dyDescent="0.25">
      <c r="A14560" t="s">
        <v>2</v>
      </c>
      <c r="B14560" t="s">
        <v>3458</v>
      </c>
      <c r="C14560" t="s">
        <v>23490</v>
      </c>
      <c r="D14560" t="str">
        <f>HYPERLINK("https://rhld.insurance.arkansas.gov/NPILookup?Npi=1710337936","1710337936")</f>
        <v>1710337936</v>
      </c>
      <c r="E14560" t="s">
        <v>21752</v>
      </c>
    </row>
    <row r="14561" spans="1:5" x14ac:dyDescent="0.25">
      <c r="A14561" t="s">
        <v>2</v>
      </c>
      <c r="B14561" t="s">
        <v>3458</v>
      </c>
      <c r="C14561" t="s">
        <v>23490</v>
      </c>
      <c r="D14561" t="str">
        <f>HYPERLINK("https://rhld.insurance.arkansas.gov/NPILookup?Npi=1710340088","1710340088")</f>
        <v>1710340088</v>
      </c>
      <c r="E14561" t="s">
        <v>15456</v>
      </c>
    </row>
    <row r="14562" spans="1:5" x14ac:dyDescent="0.25">
      <c r="A14562" t="s">
        <v>2</v>
      </c>
      <c r="B14562" t="s">
        <v>3458</v>
      </c>
      <c r="C14562" t="s">
        <v>23490</v>
      </c>
      <c r="D14562" t="str">
        <f>HYPERLINK("https://rhld.insurance.arkansas.gov/NPILookup?Npi=1710345442","1710345442")</f>
        <v>1710345442</v>
      </c>
      <c r="E14562" t="s">
        <v>8816</v>
      </c>
    </row>
    <row r="14563" spans="1:5" x14ac:dyDescent="0.25">
      <c r="A14563" t="s">
        <v>2</v>
      </c>
      <c r="B14563" t="s">
        <v>3458</v>
      </c>
      <c r="C14563" t="s">
        <v>23490</v>
      </c>
      <c r="D14563" t="str">
        <f>HYPERLINK("https://rhld.insurance.arkansas.gov/NPILookup?Npi=1710347026","1710347026")</f>
        <v>1710347026</v>
      </c>
      <c r="E14563" t="s">
        <v>11194</v>
      </c>
    </row>
    <row r="14564" spans="1:5" x14ac:dyDescent="0.25">
      <c r="A14564" t="s">
        <v>2</v>
      </c>
      <c r="B14564" t="s">
        <v>3458</v>
      </c>
      <c r="C14564" t="s">
        <v>23490</v>
      </c>
      <c r="D14564" t="str">
        <f>HYPERLINK("https://rhld.insurance.arkansas.gov/NPILookup?Npi=1710376165","1710376165")</f>
        <v>1710376165</v>
      </c>
      <c r="E14564" t="s">
        <v>2508</v>
      </c>
    </row>
    <row r="14565" spans="1:5" x14ac:dyDescent="0.25">
      <c r="A14565" t="s">
        <v>2</v>
      </c>
      <c r="B14565" t="s">
        <v>3458</v>
      </c>
      <c r="C14565" t="s">
        <v>23490</v>
      </c>
      <c r="D14565" t="str">
        <f>HYPERLINK("https://rhld.insurance.arkansas.gov/NPILookup?Npi=1710376850","1710376850")</f>
        <v>1710376850</v>
      </c>
      <c r="E14565" t="s">
        <v>18845</v>
      </c>
    </row>
    <row r="14566" spans="1:5" x14ac:dyDescent="0.25">
      <c r="A14566" t="s">
        <v>2</v>
      </c>
      <c r="B14566" t="s">
        <v>3458</v>
      </c>
      <c r="C14566" t="s">
        <v>23490</v>
      </c>
      <c r="D14566" t="str">
        <f>HYPERLINK("https://rhld.insurance.arkansas.gov/NPILookup?Npi=1710381082","1710381082")</f>
        <v>1710381082</v>
      </c>
      <c r="E14566" t="s">
        <v>2509</v>
      </c>
    </row>
    <row r="14567" spans="1:5" x14ac:dyDescent="0.25">
      <c r="A14567" t="s">
        <v>2</v>
      </c>
      <c r="B14567" t="s">
        <v>3458</v>
      </c>
      <c r="C14567" t="s">
        <v>23490</v>
      </c>
      <c r="D14567" t="str">
        <f>HYPERLINK("https://rhld.insurance.arkansas.gov/NPILookup?Npi=1710390158","1710390158")</f>
        <v>1710390158</v>
      </c>
      <c r="E14567" t="s">
        <v>11196</v>
      </c>
    </row>
    <row r="14568" spans="1:5" x14ac:dyDescent="0.25">
      <c r="A14568" t="s">
        <v>2</v>
      </c>
      <c r="B14568" t="s">
        <v>3458</v>
      </c>
      <c r="C14568" t="s">
        <v>23490</v>
      </c>
      <c r="D14568" t="str">
        <f>HYPERLINK("https://rhld.insurance.arkansas.gov/NPILookup?Npi=1710394093","1710394093")</f>
        <v>1710394093</v>
      </c>
      <c r="E14568" t="s">
        <v>11197</v>
      </c>
    </row>
    <row r="14569" spans="1:5" x14ac:dyDescent="0.25">
      <c r="A14569" t="s">
        <v>2</v>
      </c>
      <c r="B14569" t="s">
        <v>3458</v>
      </c>
      <c r="C14569" t="s">
        <v>23490</v>
      </c>
      <c r="D14569" t="str">
        <f>HYPERLINK("https://rhld.insurance.arkansas.gov/NPILookup?Npi=1710397260","1710397260")</f>
        <v>1710397260</v>
      </c>
      <c r="E14569" t="s">
        <v>7244</v>
      </c>
    </row>
    <row r="14570" spans="1:5" x14ac:dyDescent="0.25">
      <c r="A14570" t="s">
        <v>2</v>
      </c>
      <c r="B14570" t="s">
        <v>3458</v>
      </c>
      <c r="C14570" t="s">
        <v>23490</v>
      </c>
      <c r="D14570" t="str">
        <f>HYPERLINK("https://rhld.insurance.arkansas.gov/NPILookup?Npi=1710400940","1710400940")</f>
        <v>1710400940</v>
      </c>
      <c r="E14570" t="s">
        <v>21753</v>
      </c>
    </row>
    <row r="14571" spans="1:5" x14ac:dyDescent="0.25">
      <c r="A14571" t="s">
        <v>2</v>
      </c>
      <c r="B14571" t="s">
        <v>3458</v>
      </c>
      <c r="C14571" t="s">
        <v>23490</v>
      </c>
      <c r="D14571" t="str">
        <f>HYPERLINK("https://rhld.insurance.arkansas.gov/NPILookup?Npi=1710402870","1710402870")</f>
        <v>1710402870</v>
      </c>
      <c r="E14571" t="s">
        <v>11198</v>
      </c>
    </row>
    <row r="14572" spans="1:5" x14ac:dyDescent="0.25">
      <c r="A14572" t="s">
        <v>2</v>
      </c>
      <c r="B14572" t="s">
        <v>3458</v>
      </c>
      <c r="C14572" t="s">
        <v>23490</v>
      </c>
      <c r="D14572" t="str">
        <f>HYPERLINK("https://rhld.insurance.arkansas.gov/NPILookup?Npi=1710422860","1710422860")</f>
        <v>1710422860</v>
      </c>
      <c r="E14572" t="s">
        <v>15457</v>
      </c>
    </row>
    <row r="14573" spans="1:5" x14ac:dyDescent="0.25">
      <c r="A14573" t="s">
        <v>2</v>
      </c>
      <c r="B14573" t="s">
        <v>3458</v>
      </c>
      <c r="C14573" t="s">
        <v>23490</v>
      </c>
      <c r="D14573" t="str">
        <f>HYPERLINK("https://rhld.insurance.arkansas.gov/NPILookup?Npi=1710424197","1710424197")</f>
        <v>1710424197</v>
      </c>
      <c r="E14573" t="s">
        <v>11200</v>
      </c>
    </row>
    <row r="14574" spans="1:5" x14ac:dyDescent="0.25">
      <c r="A14574" t="s">
        <v>2</v>
      </c>
      <c r="B14574" t="s">
        <v>3458</v>
      </c>
      <c r="C14574" t="s">
        <v>23490</v>
      </c>
      <c r="D14574" t="str">
        <f>HYPERLINK("https://rhld.insurance.arkansas.gov/NPILookup?Npi=1710430582","1710430582")</f>
        <v>1710430582</v>
      </c>
      <c r="E14574" t="s">
        <v>13020</v>
      </c>
    </row>
    <row r="14575" spans="1:5" x14ac:dyDescent="0.25">
      <c r="A14575" t="s">
        <v>2</v>
      </c>
      <c r="B14575" t="s">
        <v>3458</v>
      </c>
      <c r="C14575" t="s">
        <v>23490</v>
      </c>
      <c r="D14575" t="str">
        <f>HYPERLINK("https://rhld.insurance.arkansas.gov/NPILookup?Npi=1710443544","1710443544")</f>
        <v>1710443544</v>
      </c>
      <c r="E14575" t="s">
        <v>17467</v>
      </c>
    </row>
    <row r="14576" spans="1:5" x14ac:dyDescent="0.25">
      <c r="A14576" t="s">
        <v>2</v>
      </c>
      <c r="B14576" t="s">
        <v>3458</v>
      </c>
      <c r="C14576" t="s">
        <v>23490</v>
      </c>
      <c r="D14576" t="str">
        <f>HYPERLINK("https://rhld.insurance.arkansas.gov/NPILookup?Npi=1710462056","1710462056")</f>
        <v>1710462056</v>
      </c>
      <c r="E14576" t="s">
        <v>19961</v>
      </c>
    </row>
    <row r="14577" spans="1:5" x14ac:dyDescent="0.25">
      <c r="A14577" t="s">
        <v>2</v>
      </c>
      <c r="B14577" t="s">
        <v>3458</v>
      </c>
      <c r="C14577" t="s">
        <v>23490</v>
      </c>
      <c r="D14577" t="str">
        <f>HYPERLINK("https://rhld.insurance.arkansas.gov/NPILookup?Npi=1710469259","1710469259")</f>
        <v>1710469259</v>
      </c>
      <c r="E14577" t="s">
        <v>19962</v>
      </c>
    </row>
    <row r="14578" spans="1:5" x14ac:dyDescent="0.25">
      <c r="A14578" t="s">
        <v>2</v>
      </c>
      <c r="B14578" t="s">
        <v>3458</v>
      </c>
      <c r="C14578" t="s">
        <v>23490</v>
      </c>
      <c r="D14578" t="str">
        <f>HYPERLINK("https://rhld.insurance.arkansas.gov/NPILookup?Npi=1710473111","1710473111")</f>
        <v>1710473111</v>
      </c>
      <c r="E14578" t="s">
        <v>13666</v>
      </c>
    </row>
    <row r="14579" spans="1:5" x14ac:dyDescent="0.25">
      <c r="A14579" t="s">
        <v>2</v>
      </c>
      <c r="B14579" t="s">
        <v>3458</v>
      </c>
      <c r="C14579" t="s">
        <v>23490</v>
      </c>
      <c r="D14579" t="str">
        <f>HYPERLINK("https://rhld.insurance.arkansas.gov/NPILookup?Npi=1710491691","1710491691")</f>
        <v>1710491691</v>
      </c>
      <c r="E14579" t="s">
        <v>12889</v>
      </c>
    </row>
    <row r="14580" spans="1:5" x14ac:dyDescent="0.25">
      <c r="A14580" t="s">
        <v>2</v>
      </c>
      <c r="B14580" t="s">
        <v>3458</v>
      </c>
      <c r="C14580" t="s">
        <v>23490</v>
      </c>
      <c r="D14580" t="str">
        <f>HYPERLINK("https://rhld.insurance.arkansas.gov/NPILookup?Npi=1710496559","1710496559")</f>
        <v>1710496559</v>
      </c>
      <c r="E14580" t="s">
        <v>15461</v>
      </c>
    </row>
    <row r="14581" spans="1:5" x14ac:dyDescent="0.25">
      <c r="A14581" t="s">
        <v>2</v>
      </c>
      <c r="B14581" t="s">
        <v>3458</v>
      </c>
      <c r="C14581" t="s">
        <v>23490</v>
      </c>
      <c r="D14581" t="str">
        <f>HYPERLINK("https://rhld.insurance.arkansas.gov/NPILookup?Npi=1710498746","1710498746")</f>
        <v>1710498746</v>
      </c>
      <c r="E14581" t="s">
        <v>15462</v>
      </c>
    </row>
    <row r="14582" spans="1:5" x14ac:dyDescent="0.25">
      <c r="A14582" t="s">
        <v>2</v>
      </c>
      <c r="B14582" t="s">
        <v>3458</v>
      </c>
      <c r="C14582" t="s">
        <v>23490</v>
      </c>
      <c r="D14582" t="str">
        <f>HYPERLINK("https://rhld.insurance.arkansas.gov/NPILookup?Npi=1710498837","1710498837")</f>
        <v>1710498837</v>
      </c>
      <c r="E14582" t="s">
        <v>1171</v>
      </c>
    </row>
    <row r="14583" spans="1:5" x14ac:dyDescent="0.25">
      <c r="A14583" t="s">
        <v>2</v>
      </c>
      <c r="B14583" t="s">
        <v>3458</v>
      </c>
      <c r="C14583" t="s">
        <v>23490</v>
      </c>
      <c r="D14583" t="str">
        <f>HYPERLINK("https://rhld.insurance.arkansas.gov/NPILookup?Npi=1710505391","1710505391")</f>
        <v>1710505391</v>
      </c>
      <c r="E14583" t="s">
        <v>18846</v>
      </c>
    </row>
    <row r="14584" spans="1:5" x14ac:dyDescent="0.25">
      <c r="A14584" t="s">
        <v>2</v>
      </c>
      <c r="B14584" t="s">
        <v>3458</v>
      </c>
      <c r="C14584" t="s">
        <v>23490</v>
      </c>
      <c r="D14584" t="str">
        <f>HYPERLINK("https://rhld.insurance.arkansas.gov/NPILookup?Npi=1710519673","1710519673")</f>
        <v>1710519673</v>
      </c>
      <c r="E14584" t="s">
        <v>17468</v>
      </c>
    </row>
    <row r="14585" spans="1:5" x14ac:dyDescent="0.25">
      <c r="A14585" t="s">
        <v>2</v>
      </c>
      <c r="B14585" t="s">
        <v>3458</v>
      </c>
      <c r="C14585" t="s">
        <v>23490</v>
      </c>
      <c r="D14585" t="str">
        <f>HYPERLINK("https://rhld.insurance.arkansas.gov/NPILookup?Npi=1710532916","1710532916")</f>
        <v>1710532916</v>
      </c>
      <c r="E14585" t="s">
        <v>18847</v>
      </c>
    </row>
    <row r="14586" spans="1:5" x14ac:dyDescent="0.25">
      <c r="A14586" t="s">
        <v>2</v>
      </c>
      <c r="B14586" t="s">
        <v>3458</v>
      </c>
      <c r="C14586" t="s">
        <v>23490</v>
      </c>
      <c r="D14586" t="str">
        <f>HYPERLINK("https://rhld.insurance.arkansas.gov/NPILookup?Npi=1710588462","1710588462")</f>
        <v>1710588462</v>
      </c>
      <c r="E14586" t="s">
        <v>18848</v>
      </c>
    </row>
    <row r="14587" spans="1:5" x14ac:dyDescent="0.25">
      <c r="A14587" t="s">
        <v>2</v>
      </c>
      <c r="B14587" t="s">
        <v>3458</v>
      </c>
      <c r="C14587" t="s">
        <v>23490</v>
      </c>
      <c r="D14587" t="str">
        <f>HYPERLINK("https://rhld.insurance.arkansas.gov/NPILookup?Npi=1710591201","1710591201")</f>
        <v>1710591201</v>
      </c>
      <c r="E14587" t="s">
        <v>18091</v>
      </c>
    </row>
    <row r="14588" spans="1:5" x14ac:dyDescent="0.25">
      <c r="A14588" t="s">
        <v>2</v>
      </c>
      <c r="B14588" t="s">
        <v>3458</v>
      </c>
      <c r="C14588" t="s">
        <v>23490</v>
      </c>
      <c r="D14588" t="str">
        <f>HYPERLINK("https://rhld.insurance.arkansas.gov/NPILookup?Npi=1710647979","1710647979")</f>
        <v>1710647979</v>
      </c>
      <c r="E14588" t="s">
        <v>21017</v>
      </c>
    </row>
    <row r="14589" spans="1:5" x14ac:dyDescent="0.25">
      <c r="A14589" t="s">
        <v>2</v>
      </c>
      <c r="B14589" t="s">
        <v>3458</v>
      </c>
      <c r="C14589" t="s">
        <v>23490</v>
      </c>
      <c r="D14589" t="str">
        <f>HYPERLINK("https://rhld.insurance.arkansas.gov/NPILookup?Npi=1710657952","1710657952")</f>
        <v>1710657952</v>
      </c>
      <c r="E14589" t="s">
        <v>19965</v>
      </c>
    </row>
    <row r="14590" spans="1:5" x14ac:dyDescent="0.25">
      <c r="A14590" t="s">
        <v>2</v>
      </c>
      <c r="B14590" t="s">
        <v>3458</v>
      </c>
      <c r="C14590" t="s">
        <v>23490</v>
      </c>
      <c r="D14590" t="str">
        <f>HYPERLINK("https://rhld.insurance.arkansas.gov/NPILookup?Npi=1710903174","1710903174")</f>
        <v>1710903174</v>
      </c>
      <c r="E14590" t="s">
        <v>15463</v>
      </c>
    </row>
    <row r="14591" spans="1:5" x14ac:dyDescent="0.25">
      <c r="A14591" t="s">
        <v>2</v>
      </c>
      <c r="B14591" t="s">
        <v>3458</v>
      </c>
      <c r="C14591" t="s">
        <v>23490</v>
      </c>
      <c r="D14591" t="str">
        <f>HYPERLINK("https://rhld.insurance.arkansas.gov/NPILookup?Npi=1710934526","1710934526")</f>
        <v>1710934526</v>
      </c>
      <c r="E14591" t="s">
        <v>2512</v>
      </c>
    </row>
    <row r="14592" spans="1:5" x14ac:dyDescent="0.25">
      <c r="A14592" t="s">
        <v>2</v>
      </c>
      <c r="B14592" t="s">
        <v>3458</v>
      </c>
      <c r="C14592" t="s">
        <v>23490</v>
      </c>
      <c r="D14592" t="str">
        <f>HYPERLINK("https://rhld.insurance.arkansas.gov/NPILookup?Npi=1710935762","1710935762")</f>
        <v>1710935762</v>
      </c>
      <c r="E14592" t="s">
        <v>2513</v>
      </c>
    </row>
    <row r="14593" spans="1:5" x14ac:dyDescent="0.25">
      <c r="A14593" t="s">
        <v>2</v>
      </c>
      <c r="B14593" t="s">
        <v>3458</v>
      </c>
      <c r="C14593" t="s">
        <v>23490</v>
      </c>
      <c r="D14593" t="str">
        <f>HYPERLINK("https://rhld.insurance.arkansas.gov/NPILookup?Npi=1710943659","1710943659")</f>
        <v>1710943659</v>
      </c>
      <c r="E14593" t="s">
        <v>2514</v>
      </c>
    </row>
    <row r="14594" spans="1:5" x14ac:dyDescent="0.25">
      <c r="A14594" t="s">
        <v>2</v>
      </c>
      <c r="B14594" t="s">
        <v>3458</v>
      </c>
      <c r="C14594" t="s">
        <v>23490</v>
      </c>
      <c r="D14594" t="str">
        <f>HYPERLINK("https://rhld.insurance.arkansas.gov/NPILookup?Npi=1710946413","1710946413")</f>
        <v>1710946413</v>
      </c>
      <c r="E14594" t="s">
        <v>2515</v>
      </c>
    </row>
    <row r="14595" spans="1:5" x14ac:dyDescent="0.25">
      <c r="A14595" t="s">
        <v>2</v>
      </c>
      <c r="B14595" t="s">
        <v>3458</v>
      </c>
      <c r="C14595" t="s">
        <v>23490</v>
      </c>
      <c r="D14595" t="str">
        <f>HYPERLINK("https://rhld.insurance.arkansas.gov/NPILookup?Npi=1710955984","1710955984")</f>
        <v>1710955984</v>
      </c>
      <c r="E14595" t="s">
        <v>15464</v>
      </c>
    </row>
    <row r="14596" spans="1:5" x14ac:dyDescent="0.25">
      <c r="A14596" t="s">
        <v>2</v>
      </c>
      <c r="B14596" t="s">
        <v>3458</v>
      </c>
      <c r="C14596" t="s">
        <v>23490</v>
      </c>
      <c r="D14596" t="str">
        <f>HYPERLINK("https://rhld.insurance.arkansas.gov/NPILookup?Npi=1710964226","1710964226")</f>
        <v>1710964226</v>
      </c>
      <c r="E14596" t="s">
        <v>13667</v>
      </c>
    </row>
    <row r="14597" spans="1:5" x14ac:dyDescent="0.25">
      <c r="A14597" t="s">
        <v>2</v>
      </c>
      <c r="B14597" t="s">
        <v>3458</v>
      </c>
      <c r="C14597" t="s">
        <v>23490</v>
      </c>
      <c r="D14597" t="str">
        <f>HYPERLINK("https://rhld.insurance.arkansas.gov/NPILookup?Npi=1710973649","1710973649")</f>
        <v>1710973649</v>
      </c>
      <c r="E14597" t="s">
        <v>2517</v>
      </c>
    </row>
    <row r="14598" spans="1:5" x14ac:dyDescent="0.25">
      <c r="A14598" t="s">
        <v>2</v>
      </c>
      <c r="B14598" t="s">
        <v>3458</v>
      </c>
      <c r="C14598" t="s">
        <v>23490</v>
      </c>
      <c r="D14598" t="str">
        <f>HYPERLINK("https://rhld.insurance.arkansas.gov/NPILookup?Npi=1710974944","1710974944")</f>
        <v>1710974944</v>
      </c>
      <c r="E14598" t="s">
        <v>2518</v>
      </c>
    </row>
    <row r="14599" spans="1:5" x14ac:dyDescent="0.25">
      <c r="A14599" t="s">
        <v>2</v>
      </c>
      <c r="B14599" t="s">
        <v>3458</v>
      </c>
      <c r="C14599" t="s">
        <v>23490</v>
      </c>
      <c r="D14599" t="str">
        <f>HYPERLINK("https://rhld.insurance.arkansas.gov/NPILookup?Npi=1710979596","1710979596")</f>
        <v>1710979596</v>
      </c>
      <c r="E14599" t="s">
        <v>2520</v>
      </c>
    </row>
    <row r="14600" spans="1:5" x14ac:dyDescent="0.25">
      <c r="A14600" t="s">
        <v>2</v>
      </c>
      <c r="B14600" t="s">
        <v>3458</v>
      </c>
      <c r="C14600" t="s">
        <v>23490</v>
      </c>
      <c r="D14600" t="str">
        <f>HYPERLINK("https://rhld.insurance.arkansas.gov/NPILookup?Npi=1710982285","1710982285")</f>
        <v>1710982285</v>
      </c>
      <c r="E14600" t="s">
        <v>3896</v>
      </c>
    </row>
    <row r="14601" spans="1:5" x14ac:dyDescent="0.25">
      <c r="A14601" t="s">
        <v>2</v>
      </c>
      <c r="B14601" t="s">
        <v>3458</v>
      </c>
      <c r="C14601" t="s">
        <v>23490</v>
      </c>
      <c r="D14601" t="str">
        <f>HYPERLINK("https://rhld.insurance.arkansas.gov/NPILookup?Npi=1710982871","1710982871")</f>
        <v>1710982871</v>
      </c>
      <c r="E14601" t="s">
        <v>2521</v>
      </c>
    </row>
    <row r="14602" spans="1:5" x14ac:dyDescent="0.25">
      <c r="A14602" t="s">
        <v>2</v>
      </c>
      <c r="B14602" t="s">
        <v>3458</v>
      </c>
      <c r="C14602" t="s">
        <v>23490</v>
      </c>
      <c r="D14602" t="str">
        <f>HYPERLINK("https://rhld.insurance.arkansas.gov/NPILookup?Npi=1710983465","1710983465")</f>
        <v>1710983465</v>
      </c>
      <c r="E14602" t="s">
        <v>2522</v>
      </c>
    </row>
    <row r="14603" spans="1:5" x14ac:dyDescent="0.25">
      <c r="A14603" t="s">
        <v>2</v>
      </c>
      <c r="B14603" t="s">
        <v>3458</v>
      </c>
      <c r="C14603" t="s">
        <v>23490</v>
      </c>
      <c r="D14603" t="str">
        <f>HYPERLINK("https://rhld.insurance.arkansas.gov/NPILookup?Npi=1710985254","1710985254")</f>
        <v>1710985254</v>
      </c>
      <c r="E14603" t="s">
        <v>3897</v>
      </c>
    </row>
    <row r="14604" spans="1:5" x14ac:dyDescent="0.25">
      <c r="A14604" t="s">
        <v>2</v>
      </c>
      <c r="B14604" t="s">
        <v>3458</v>
      </c>
      <c r="C14604" t="s">
        <v>23490</v>
      </c>
      <c r="D14604" t="str">
        <f>HYPERLINK("https://rhld.insurance.arkansas.gov/NPILookup?Npi=1710985858","1710985858")</f>
        <v>1710985858</v>
      </c>
      <c r="E14604" t="s">
        <v>2523</v>
      </c>
    </row>
    <row r="14605" spans="1:5" x14ac:dyDescent="0.25">
      <c r="A14605" t="s">
        <v>2</v>
      </c>
      <c r="B14605" t="s">
        <v>3458</v>
      </c>
      <c r="C14605" t="s">
        <v>23490</v>
      </c>
      <c r="D14605" t="str">
        <f>HYPERLINK("https://rhld.insurance.arkansas.gov/NPILookup?Npi=1710993654","1710993654")</f>
        <v>1710993654</v>
      </c>
      <c r="E14605" t="s">
        <v>2524</v>
      </c>
    </row>
    <row r="14606" spans="1:5" x14ac:dyDescent="0.25">
      <c r="A14606" t="s">
        <v>2</v>
      </c>
      <c r="B14606" t="s">
        <v>3458</v>
      </c>
      <c r="C14606" t="s">
        <v>23490</v>
      </c>
      <c r="D14606" t="str">
        <f>HYPERLINK("https://rhld.insurance.arkansas.gov/NPILookup?Npi=1710996517","1710996517")</f>
        <v>1710996517</v>
      </c>
      <c r="E14606" t="s">
        <v>2525</v>
      </c>
    </row>
    <row r="14607" spans="1:5" x14ac:dyDescent="0.25">
      <c r="A14607" t="s">
        <v>2</v>
      </c>
      <c r="B14607" t="s">
        <v>3458</v>
      </c>
      <c r="C14607" t="s">
        <v>23490</v>
      </c>
      <c r="D14607" t="str">
        <f>HYPERLINK("https://rhld.insurance.arkansas.gov/NPILookup?Npi=1720003247","1720003247")</f>
        <v>1720003247</v>
      </c>
      <c r="E14607" t="s">
        <v>2526</v>
      </c>
    </row>
    <row r="14608" spans="1:5" x14ac:dyDescent="0.25">
      <c r="A14608" t="s">
        <v>2</v>
      </c>
      <c r="B14608" t="s">
        <v>3458</v>
      </c>
      <c r="C14608" t="s">
        <v>23490</v>
      </c>
      <c r="D14608" t="str">
        <f>HYPERLINK("https://rhld.insurance.arkansas.gov/NPILookup?Npi=1720008709","1720008709")</f>
        <v>1720008709</v>
      </c>
      <c r="E14608" t="s">
        <v>2527</v>
      </c>
    </row>
    <row r="14609" spans="1:5" x14ac:dyDescent="0.25">
      <c r="A14609" t="s">
        <v>2</v>
      </c>
      <c r="B14609" t="s">
        <v>3458</v>
      </c>
      <c r="C14609" t="s">
        <v>23490</v>
      </c>
      <c r="D14609" t="str">
        <f>HYPERLINK("https://rhld.insurance.arkansas.gov/NPILookup?Npi=1720014699","1720014699")</f>
        <v>1720014699</v>
      </c>
      <c r="E14609" t="s">
        <v>2528</v>
      </c>
    </row>
    <row r="14610" spans="1:5" x14ac:dyDescent="0.25">
      <c r="A14610" t="s">
        <v>2</v>
      </c>
      <c r="B14610" t="s">
        <v>3458</v>
      </c>
      <c r="C14610" t="s">
        <v>23490</v>
      </c>
      <c r="D14610" t="str">
        <f>HYPERLINK("https://rhld.insurance.arkansas.gov/NPILookup?Npi=1720015613","1720015613")</f>
        <v>1720015613</v>
      </c>
      <c r="E14610" t="s">
        <v>15465</v>
      </c>
    </row>
    <row r="14611" spans="1:5" x14ac:dyDescent="0.25">
      <c r="A14611" t="s">
        <v>2</v>
      </c>
      <c r="B14611" t="s">
        <v>3458</v>
      </c>
      <c r="C14611" t="s">
        <v>23490</v>
      </c>
      <c r="D14611" t="str">
        <f>HYPERLINK("https://rhld.insurance.arkansas.gov/NPILookup?Npi=1720020662","1720020662")</f>
        <v>1720020662</v>
      </c>
      <c r="E14611" t="s">
        <v>2530</v>
      </c>
    </row>
    <row r="14612" spans="1:5" x14ac:dyDescent="0.25">
      <c r="A14612" t="s">
        <v>2</v>
      </c>
      <c r="B14612" t="s">
        <v>3458</v>
      </c>
      <c r="C14612" t="s">
        <v>23490</v>
      </c>
      <c r="D14612" t="str">
        <f>HYPERLINK("https://rhld.insurance.arkansas.gov/NPILookup?Npi=1720025158","1720025158")</f>
        <v>1720025158</v>
      </c>
      <c r="E14612" t="s">
        <v>11201</v>
      </c>
    </row>
    <row r="14613" spans="1:5" x14ac:dyDescent="0.25">
      <c r="A14613" t="s">
        <v>2</v>
      </c>
      <c r="B14613" t="s">
        <v>3458</v>
      </c>
      <c r="C14613" t="s">
        <v>23490</v>
      </c>
      <c r="D14613" t="str">
        <f>HYPERLINK("https://rhld.insurance.arkansas.gov/NPILookup?Npi=1720025513","1720025513")</f>
        <v>1720025513</v>
      </c>
      <c r="E14613" t="s">
        <v>2532</v>
      </c>
    </row>
    <row r="14614" spans="1:5" x14ac:dyDescent="0.25">
      <c r="A14614" t="s">
        <v>2</v>
      </c>
      <c r="B14614" t="s">
        <v>3458</v>
      </c>
      <c r="C14614" t="s">
        <v>23490</v>
      </c>
      <c r="D14614" t="str">
        <f>HYPERLINK("https://rhld.insurance.arkansas.gov/NPILookup?Npi=1720029069","1720029069")</f>
        <v>1720029069</v>
      </c>
      <c r="E14614" t="s">
        <v>11202</v>
      </c>
    </row>
    <row r="14615" spans="1:5" x14ac:dyDescent="0.25">
      <c r="A14615" t="s">
        <v>2</v>
      </c>
      <c r="B14615" t="s">
        <v>3458</v>
      </c>
      <c r="C14615" t="s">
        <v>23490</v>
      </c>
      <c r="D14615" t="str">
        <f>HYPERLINK("https://rhld.insurance.arkansas.gov/NPILookup?Npi=1720041577","1720041577")</f>
        <v>1720041577</v>
      </c>
      <c r="E14615" t="s">
        <v>2533</v>
      </c>
    </row>
    <row r="14616" spans="1:5" x14ac:dyDescent="0.25">
      <c r="A14616" t="s">
        <v>2</v>
      </c>
      <c r="B14616" t="s">
        <v>3458</v>
      </c>
      <c r="C14616" t="s">
        <v>23490</v>
      </c>
      <c r="D14616" t="str">
        <f>HYPERLINK("https://rhld.insurance.arkansas.gov/NPILookup?Npi=1720044142","1720044142")</f>
        <v>1720044142</v>
      </c>
      <c r="E14616" t="s">
        <v>2534</v>
      </c>
    </row>
    <row r="14617" spans="1:5" x14ac:dyDescent="0.25">
      <c r="A14617" t="s">
        <v>2</v>
      </c>
      <c r="B14617" t="s">
        <v>3458</v>
      </c>
      <c r="C14617" t="s">
        <v>23490</v>
      </c>
      <c r="D14617" t="str">
        <f>HYPERLINK("https://rhld.insurance.arkansas.gov/NPILookup?Npi=1720044456","1720044456")</f>
        <v>1720044456</v>
      </c>
      <c r="E14617" t="s">
        <v>15466</v>
      </c>
    </row>
    <row r="14618" spans="1:5" x14ac:dyDescent="0.25">
      <c r="A14618" t="s">
        <v>2</v>
      </c>
      <c r="B14618" t="s">
        <v>3458</v>
      </c>
      <c r="C14618" t="s">
        <v>23490</v>
      </c>
      <c r="D14618" t="str">
        <f>HYPERLINK("https://rhld.insurance.arkansas.gov/NPILookup?Npi=1720044548","1720044548")</f>
        <v>1720044548</v>
      </c>
      <c r="E14618" t="s">
        <v>2535</v>
      </c>
    </row>
    <row r="14619" spans="1:5" x14ac:dyDescent="0.25">
      <c r="A14619" t="s">
        <v>2</v>
      </c>
      <c r="B14619" t="s">
        <v>3458</v>
      </c>
      <c r="C14619" t="s">
        <v>23490</v>
      </c>
      <c r="D14619" t="str">
        <f>HYPERLINK("https://rhld.insurance.arkansas.gov/NPILookup?Npi=1720054125","1720054125")</f>
        <v>1720054125</v>
      </c>
      <c r="E14619" t="s">
        <v>2537</v>
      </c>
    </row>
    <row r="14620" spans="1:5" x14ac:dyDescent="0.25">
      <c r="A14620" t="s">
        <v>2</v>
      </c>
      <c r="B14620" t="s">
        <v>3458</v>
      </c>
      <c r="C14620" t="s">
        <v>23490</v>
      </c>
      <c r="D14620" t="str">
        <f>HYPERLINK("https://rhld.insurance.arkansas.gov/NPILookup?Npi=1720064223","1720064223")</f>
        <v>1720064223</v>
      </c>
      <c r="E14620" t="s">
        <v>2539</v>
      </c>
    </row>
    <row r="14621" spans="1:5" x14ac:dyDescent="0.25">
      <c r="A14621" t="s">
        <v>2</v>
      </c>
      <c r="B14621" t="s">
        <v>3458</v>
      </c>
      <c r="C14621" t="s">
        <v>23490</v>
      </c>
      <c r="D14621" t="str">
        <f>HYPERLINK("https://rhld.insurance.arkansas.gov/NPILookup?Npi=1720072994","1720072994")</f>
        <v>1720072994</v>
      </c>
      <c r="E14621" t="s">
        <v>2541</v>
      </c>
    </row>
    <row r="14622" spans="1:5" x14ac:dyDescent="0.25">
      <c r="A14622" t="s">
        <v>2</v>
      </c>
      <c r="B14622" t="s">
        <v>3458</v>
      </c>
      <c r="C14622" t="s">
        <v>23490</v>
      </c>
      <c r="D14622" t="str">
        <f>HYPERLINK("https://rhld.insurance.arkansas.gov/NPILookup?Npi=1720086952","1720086952")</f>
        <v>1720086952</v>
      </c>
      <c r="E14622" t="s">
        <v>2543</v>
      </c>
    </row>
    <row r="14623" spans="1:5" x14ac:dyDescent="0.25">
      <c r="A14623" t="s">
        <v>2</v>
      </c>
      <c r="B14623" t="s">
        <v>3458</v>
      </c>
      <c r="C14623" t="s">
        <v>23490</v>
      </c>
      <c r="D14623" t="str">
        <f>HYPERLINK("https://rhld.insurance.arkansas.gov/NPILookup?Npi=1720087521","1720087521")</f>
        <v>1720087521</v>
      </c>
      <c r="E14623" t="s">
        <v>2544</v>
      </c>
    </row>
    <row r="14624" spans="1:5" x14ac:dyDescent="0.25">
      <c r="A14624" t="s">
        <v>2</v>
      </c>
      <c r="B14624" t="s">
        <v>3458</v>
      </c>
      <c r="C14624" t="s">
        <v>23490</v>
      </c>
      <c r="D14624" t="str">
        <f>HYPERLINK("https://rhld.insurance.arkansas.gov/NPILookup?Npi=1720088016","1720088016")</f>
        <v>1720088016</v>
      </c>
      <c r="E14624" t="s">
        <v>3898</v>
      </c>
    </row>
    <row r="14625" spans="1:5" x14ac:dyDescent="0.25">
      <c r="A14625" t="s">
        <v>2</v>
      </c>
      <c r="B14625" t="s">
        <v>3458</v>
      </c>
      <c r="C14625" t="s">
        <v>23490</v>
      </c>
      <c r="D14625" t="str">
        <f>HYPERLINK("https://rhld.insurance.arkansas.gov/NPILookup?Npi=1720088636","1720088636")</f>
        <v>1720088636</v>
      </c>
      <c r="E14625" t="s">
        <v>989</v>
      </c>
    </row>
    <row r="14626" spans="1:5" x14ac:dyDescent="0.25">
      <c r="A14626" t="s">
        <v>2</v>
      </c>
      <c r="B14626" t="s">
        <v>3458</v>
      </c>
      <c r="C14626" t="s">
        <v>23490</v>
      </c>
      <c r="D14626" t="str">
        <f>HYPERLINK("https://rhld.insurance.arkansas.gov/NPILookup?Npi=1720095599","1720095599")</f>
        <v>1720095599</v>
      </c>
      <c r="E14626" t="s">
        <v>2546</v>
      </c>
    </row>
    <row r="14627" spans="1:5" x14ac:dyDescent="0.25">
      <c r="A14627" t="s">
        <v>2</v>
      </c>
      <c r="B14627" t="s">
        <v>3458</v>
      </c>
      <c r="C14627" t="s">
        <v>23490</v>
      </c>
      <c r="D14627" t="str">
        <f>HYPERLINK("https://rhld.insurance.arkansas.gov/NPILookup?Npi=1720115439","1720115439")</f>
        <v>1720115439</v>
      </c>
      <c r="E14627" t="s">
        <v>3899</v>
      </c>
    </row>
    <row r="14628" spans="1:5" x14ac:dyDescent="0.25">
      <c r="A14628" t="s">
        <v>2</v>
      </c>
      <c r="B14628" t="s">
        <v>3458</v>
      </c>
      <c r="C14628" t="s">
        <v>23490</v>
      </c>
      <c r="D14628" t="str">
        <f>HYPERLINK("https://rhld.insurance.arkansas.gov/NPILookup?Npi=1720146509","1720146509")</f>
        <v>1720146509</v>
      </c>
      <c r="E14628" t="s">
        <v>56</v>
      </c>
    </row>
    <row r="14629" spans="1:5" x14ac:dyDescent="0.25">
      <c r="A14629" t="s">
        <v>2</v>
      </c>
      <c r="B14629" t="s">
        <v>3458</v>
      </c>
      <c r="C14629" t="s">
        <v>23490</v>
      </c>
      <c r="D14629" t="str">
        <f>HYPERLINK("https://rhld.insurance.arkansas.gov/NPILookup?Npi=1720202989","1720202989")</f>
        <v>1720202989</v>
      </c>
      <c r="E14629" t="s">
        <v>2549</v>
      </c>
    </row>
    <row r="14630" spans="1:5" x14ac:dyDescent="0.25">
      <c r="A14630" t="s">
        <v>2</v>
      </c>
      <c r="B14630" t="s">
        <v>3458</v>
      </c>
      <c r="C14630" t="s">
        <v>23490</v>
      </c>
      <c r="D14630" t="str">
        <f>HYPERLINK("https://rhld.insurance.arkansas.gov/NPILookup?Npi=1720218894","1720218894")</f>
        <v>1720218894</v>
      </c>
      <c r="E14630" t="s">
        <v>12890</v>
      </c>
    </row>
    <row r="14631" spans="1:5" x14ac:dyDescent="0.25">
      <c r="A14631" t="s">
        <v>2</v>
      </c>
      <c r="B14631" t="s">
        <v>3458</v>
      </c>
      <c r="C14631" t="s">
        <v>23490</v>
      </c>
      <c r="D14631" t="str">
        <f>HYPERLINK("https://rhld.insurance.arkansas.gov/NPILookup?Npi=1720242274","1720242274")</f>
        <v>1720242274</v>
      </c>
      <c r="E14631" t="s">
        <v>2550</v>
      </c>
    </row>
    <row r="14632" spans="1:5" x14ac:dyDescent="0.25">
      <c r="A14632" t="s">
        <v>2</v>
      </c>
      <c r="B14632" t="s">
        <v>3458</v>
      </c>
      <c r="C14632" t="s">
        <v>23490</v>
      </c>
      <c r="D14632" t="str">
        <f>HYPERLINK("https://rhld.insurance.arkansas.gov/NPILookup?Npi=1720242431","1720242431")</f>
        <v>1720242431</v>
      </c>
      <c r="E14632" t="s">
        <v>3900</v>
      </c>
    </row>
    <row r="14633" spans="1:5" x14ac:dyDescent="0.25">
      <c r="A14633" t="s">
        <v>2</v>
      </c>
      <c r="B14633" t="s">
        <v>3458</v>
      </c>
      <c r="C14633" t="s">
        <v>23490</v>
      </c>
      <c r="D14633" t="str">
        <f>HYPERLINK("https://rhld.insurance.arkansas.gov/NPILookup?Npi=1720251754","1720251754")</f>
        <v>1720251754</v>
      </c>
      <c r="E14633" t="s">
        <v>11203</v>
      </c>
    </row>
    <row r="14634" spans="1:5" x14ac:dyDescent="0.25">
      <c r="A14634" t="s">
        <v>2</v>
      </c>
      <c r="B14634" t="s">
        <v>3458</v>
      </c>
      <c r="C14634" t="s">
        <v>23490</v>
      </c>
      <c r="D14634" t="str">
        <f>HYPERLINK("https://rhld.insurance.arkansas.gov/NPILookup?Npi=1720271711","1720271711")</f>
        <v>1720271711</v>
      </c>
      <c r="E14634" t="s">
        <v>2551</v>
      </c>
    </row>
    <row r="14635" spans="1:5" x14ac:dyDescent="0.25">
      <c r="A14635" t="s">
        <v>2</v>
      </c>
      <c r="B14635" t="s">
        <v>3458</v>
      </c>
      <c r="C14635" t="s">
        <v>23490</v>
      </c>
      <c r="D14635" t="str">
        <f>HYPERLINK("https://rhld.insurance.arkansas.gov/NPILookup?Npi=1720273345","1720273345")</f>
        <v>1720273345</v>
      </c>
      <c r="E14635" t="s">
        <v>2552</v>
      </c>
    </row>
    <row r="14636" spans="1:5" x14ac:dyDescent="0.25">
      <c r="A14636" t="s">
        <v>2</v>
      </c>
      <c r="B14636" t="s">
        <v>3458</v>
      </c>
      <c r="C14636" t="s">
        <v>23490</v>
      </c>
      <c r="D14636" t="str">
        <f>HYPERLINK("https://rhld.insurance.arkansas.gov/NPILookup?Npi=1720280753","1720280753")</f>
        <v>1720280753</v>
      </c>
      <c r="E14636" t="s">
        <v>8820</v>
      </c>
    </row>
    <row r="14637" spans="1:5" x14ac:dyDescent="0.25">
      <c r="A14637" t="s">
        <v>2</v>
      </c>
      <c r="B14637" t="s">
        <v>3458</v>
      </c>
      <c r="C14637" t="s">
        <v>23490</v>
      </c>
      <c r="D14637" t="str">
        <f>HYPERLINK("https://rhld.insurance.arkansas.gov/NPILookup?Npi=1720284268","1720284268")</f>
        <v>1720284268</v>
      </c>
      <c r="E14637" t="s">
        <v>2553</v>
      </c>
    </row>
    <row r="14638" spans="1:5" x14ac:dyDescent="0.25">
      <c r="A14638" t="s">
        <v>2</v>
      </c>
      <c r="B14638" t="s">
        <v>3458</v>
      </c>
      <c r="C14638" t="s">
        <v>23490</v>
      </c>
      <c r="D14638" t="str">
        <f>HYPERLINK("https://rhld.insurance.arkansas.gov/NPILookup?Npi=1720284318","1720284318")</f>
        <v>1720284318</v>
      </c>
      <c r="E14638" t="s">
        <v>13669</v>
      </c>
    </row>
    <row r="14639" spans="1:5" x14ac:dyDescent="0.25">
      <c r="A14639" t="s">
        <v>2</v>
      </c>
      <c r="B14639" t="s">
        <v>3458</v>
      </c>
      <c r="C14639" t="s">
        <v>23490</v>
      </c>
      <c r="D14639" t="str">
        <f>HYPERLINK("https://rhld.insurance.arkansas.gov/NPILookup?Npi=1720299647","1720299647")</f>
        <v>1720299647</v>
      </c>
      <c r="E14639" t="s">
        <v>3901</v>
      </c>
    </row>
    <row r="14640" spans="1:5" x14ac:dyDescent="0.25">
      <c r="A14640" t="s">
        <v>2</v>
      </c>
      <c r="B14640" t="s">
        <v>3458</v>
      </c>
      <c r="C14640" t="s">
        <v>23490</v>
      </c>
      <c r="D14640" t="str">
        <f>HYPERLINK("https://rhld.insurance.arkansas.gov/NPILookup?Npi=1720306442","1720306442")</f>
        <v>1720306442</v>
      </c>
      <c r="E14640" t="s">
        <v>8821</v>
      </c>
    </row>
    <row r="14641" spans="1:5" x14ac:dyDescent="0.25">
      <c r="A14641" t="s">
        <v>2</v>
      </c>
      <c r="B14641" t="s">
        <v>3458</v>
      </c>
      <c r="C14641" t="s">
        <v>23490</v>
      </c>
      <c r="D14641" t="str">
        <f>HYPERLINK("https://rhld.insurance.arkansas.gov/NPILookup?Npi=1720321060","1720321060")</f>
        <v>1720321060</v>
      </c>
      <c r="E14641" t="s">
        <v>11204</v>
      </c>
    </row>
    <row r="14642" spans="1:5" x14ac:dyDescent="0.25">
      <c r="A14642" t="s">
        <v>2</v>
      </c>
      <c r="B14642" t="s">
        <v>3458</v>
      </c>
      <c r="C14642" t="s">
        <v>23490</v>
      </c>
      <c r="D14642" t="str">
        <f>HYPERLINK("https://rhld.insurance.arkansas.gov/NPILookup?Npi=1720324874","1720324874")</f>
        <v>1720324874</v>
      </c>
      <c r="E14642" t="s">
        <v>12891</v>
      </c>
    </row>
    <row r="14643" spans="1:5" x14ac:dyDescent="0.25">
      <c r="A14643" t="s">
        <v>2</v>
      </c>
      <c r="B14643" t="s">
        <v>3458</v>
      </c>
      <c r="C14643" t="s">
        <v>23490</v>
      </c>
      <c r="D14643" t="str">
        <f>HYPERLINK("https://rhld.insurance.arkansas.gov/NPILookup?Npi=1720327141","1720327141")</f>
        <v>1720327141</v>
      </c>
      <c r="E14643" t="s">
        <v>8822</v>
      </c>
    </row>
    <row r="14644" spans="1:5" x14ac:dyDescent="0.25">
      <c r="A14644" t="s">
        <v>2</v>
      </c>
      <c r="B14644" t="s">
        <v>3458</v>
      </c>
      <c r="C14644" t="s">
        <v>23490</v>
      </c>
      <c r="D14644" t="str">
        <f>HYPERLINK("https://rhld.insurance.arkansas.gov/NPILookup?Npi=1720347867","1720347867")</f>
        <v>1720347867</v>
      </c>
      <c r="E14644" t="s">
        <v>15467</v>
      </c>
    </row>
    <row r="14645" spans="1:5" x14ac:dyDescent="0.25">
      <c r="A14645" t="s">
        <v>2</v>
      </c>
      <c r="B14645" t="s">
        <v>3458</v>
      </c>
      <c r="C14645" t="s">
        <v>23490</v>
      </c>
      <c r="D14645" t="str">
        <f>HYPERLINK("https://rhld.insurance.arkansas.gov/NPILookup?Npi=1720354228","1720354228")</f>
        <v>1720354228</v>
      </c>
      <c r="E14645" t="s">
        <v>2556</v>
      </c>
    </row>
    <row r="14646" spans="1:5" x14ac:dyDescent="0.25">
      <c r="A14646" t="s">
        <v>2</v>
      </c>
      <c r="B14646" t="s">
        <v>3458</v>
      </c>
      <c r="C14646" t="s">
        <v>23490</v>
      </c>
      <c r="D14646" t="str">
        <f>HYPERLINK("https://rhld.insurance.arkansas.gov/NPILookup?Npi=1720361744","1720361744")</f>
        <v>1720361744</v>
      </c>
      <c r="E14646" t="s">
        <v>8987</v>
      </c>
    </row>
    <row r="14647" spans="1:5" x14ac:dyDescent="0.25">
      <c r="A14647" t="s">
        <v>2</v>
      </c>
      <c r="B14647" t="s">
        <v>3458</v>
      </c>
      <c r="C14647" t="s">
        <v>23490</v>
      </c>
      <c r="D14647" t="str">
        <f>HYPERLINK("https://rhld.insurance.arkansas.gov/NPILookup?Npi=1720364334","1720364334")</f>
        <v>1720364334</v>
      </c>
      <c r="E14647" t="s">
        <v>2557</v>
      </c>
    </row>
    <row r="14648" spans="1:5" x14ac:dyDescent="0.25">
      <c r="A14648" t="s">
        <v>2</v>
      </c>
      <c r="B14648" t="s">
        <v>3458</v>
      </c>
      <c r="C14648" t="s">
        <v>23490</v>
      </c>
      <c r="D14648" t="str">
        <f>HYPERLINK("https://rhld.insurance.arkansas.gov/NPILookup?Npi=1720373673","1720373673")</f>
        <v>1720373673</v>
      </c>
      <c r="E14648" t="s">
        <v>15468</v>
      </c>
    </row>
    <row r="14649" spans="1:5" x14ac:dyDescent="0.25">
      <c r="A14649" t="s">
        <v>2</v>
      </c>
      <c r="B14649" t="s">
        <v>3458</v>
      </c>
      <c r="C14649" t="s">
        <v>23490</v>
      </c>
      <c r="D14649" t="str">
        <f>HYPERLINK("https://rhld.insurance.arkansas.gov/NPILookup?Npi=1720374804","1720374804")</f>
        <v>1720374804</v>
      </c>
      <c r="E14649" t="s">
        <v>2558</v>
      </c>
    </row>
    <row r="14650" spans="1:5" x14ac:dyDescent="0.25">
      <c r="A14650" t="s">
        <v>2</v>
      </c>
      <c r="B14650" t="s">
        <v>3458</v>
      </c>
      <c r="C14650" t="s">
        <v>23490</v>
      </c>
      <c r="D14650" t="str">
        <f>HYPERLINK("https://rhld.insurance.arkansas.gov/NPILookup?Npi=1720378862","1720378862")</f>
        <v>1720378862</v>
      </c>
      <c r="E14650" t="s">
        <v>15469</v>
      </c>
    </row>
    <row r="14651" spans="1:5" x14ac:dyDescent="0.25">
      <c r="A14651" t="s">
        <v>2</v>
      </c>
      <c r="B14651" t="s">
        <v>3458</v>
      </c>
      <c r="C14651" t="s">
        <v>23490</v>
      </c>
      <c r="D14651" t="str">
        <f>HYPERLINK("https://rhld.insurance.arkansas.gov/NPILookup?Npi=1720396674","1720396674")</f>
        <v>1720396674</v>
      </c>
      <c r="E14651" t="s">
        <v>21018</v>
      </c>
    </row>
    <row r="14652" spans="1:5" x14ac:dyDescent="0.25">
      <c r="A14652" t="s">
        <v>2</v>
      </c>
      <c r="B14652" t="s">
        <v>3458</v>
      </c>
      <c r="C14652" t="s">
        <v>23490</v>
      </c>
      <c r="D14652" t="str">
        <f>HYPERLINK("https://rhld.insurance.arkansas.gov/NPILookup?Npi=1720402464","1720402464")</f>
        <v>1720402464</v>
      </c>
      <c r="E14652" t="s">
        <v>2559</v>
      </c>
    </row>
    <row r="14653" spans="1:5" x14ac:dyDescent="0.25">
      <c r="A14653" t="s">
        <v>2</v>
      </c>
      <c r="B14653" t="s">
        <v>3458</v>
      </c>
      <c r="C14653" t="s">
        <v>23490</v>
      </c>
      <c r="D14653" t="str">
        <f>HYPERLINK("https://rhld.insurance.arkansas.gov/NPILookup?Npi=1720446230","1720446230")</f>
        <v>1720446230</v>
      </c>
      <c r="E14653" t="s">
        <v>11205</v>
      </c>
    </row>
    <row r="14654" spans="1:5" x14ac:dyDescent="0.25">
      <c r="A14654" t="s">
        <v>2</v>
      </c>
      <c r="B14654" t="s">
        <v>3458</v>
      </c>
      <c r="C14654" t="s">
        <v>23490</v>
      </c>
      <c r="D14654" t="str">
        <f>HYPERLINK("https://rhld.insurance.arkansas.gov/NPILookup?Npi=1720454382","1720454382")</f>
        <v>1720454382</v>
      </c>
      <c r="E14654" t="s">
        <v>2560</v>
      </c>
    </row>
    <row r="14655" spans="1:5" x14ac:dyDescent="0.25">
      <c r="A14655" t="s">
        <v>2</v>
      </c>
      <c r="B14655" t="s">
        <v>3458</v>
      </c>
      <c r="C14655" t="s">
        <v>23490</v>
      </c>
      <c r="D14655" t="str">
        <f>HYPERLINK("https://rhld.insurance.arkansas.gov/NPILookup?Npi=1720476062","1720476062")</f>
        <v>1720476062</v>
      </c>
      <c r="E14655" t="s">
        <v>15471</v>
      </c>
    </row>
    <row r="14656" spans="1:5" x14ac:dyDescent="0.25">
      <c r="A14656" t="s">
        <v>2</v>
      </c>
      <c r="B14656" t="s">
        <v>3458</v>
      </c>
      <c r="C14656" t="s">
        <v>23490</v>
      </c>
      <c r="D14656" t="str">
        <f>HYPERLINK("https://rhld.insurance.arkansas.gov/NPILookup?Npi=1720477086","1720477086")</f>
        <v>1720477086</v>
      </c>
      <c r="E14656" t="s">
        <v>2561</v>
      </c>
    </row>
    <row r="14657" spans="1:5" x14ac:dyDescent="0.25">
      <c r="A14657" t="s">
        <v>2</v>
      </c>
      <c r="B14657" t="s">
        <v>3458</v>
      </c>
      <c r="C14657" t="s">
        <v>23490</v>
      </c>
      <c r="D14657" t="str">
        <f>HYPERLINK("https://rhld.insurance.arkansas.gov/NPILookup?Npi=1720489032","1720489032")</f>
        <v>1720489032</v>
      </c>
      <c r="E14657" t="s">
        <v>8825</v>
      </c>
    </row>
    <row r="14658" spans="1:5" x14ac:dyDescent="0.25">
      <c r="A14658" t="s">
        <v>2</v>
      </c>
      <c r="B14658" t="s">
        <v>3458</v>
      </c>
      <c r="C14658" t="s">
        <v>23490</v>
      </c>
      <c r="D14658" t="str">
        <f>HYPERLINK("https://rhld.insurance.arkansas.gov/NPILookup?Npi=1720503360","1720503360")</f>
        <v>1720503360</v>
      </c>
      <c r="E14658" t="s">
        <v>13671</v>
      </c>
    </row>
    <row r="14659" spans="1:5" x14ac:dyDescent="0.25">
      <c r="A14659" t="s">
        <v>2</v>
      </c>
      <c r="B14659" t="s">
        <v>3458</v>
      </c>
      <c r="C14659" t="s">
        <v>23490</v>
      </c>
      <c r="D14659" t="str">
        <f>HYPERLINK("https://rhld.insurance.arkansas.gov/NPILookup?Npi=1720510738","1720510738")</f>
        <v>1720510738</v>
      </c>
      <c r="E14659" t="s">
        <v>13672</v>
      </c>
    </row>
    <row r="14660" spans="1:5" x14ac:dyDescent="0.25">
      <c r="A14660" t="s">
        <v>2</v>
      </c>
      <c r="B14660" t="s">
        <v>3458</v>
      </c>
      <c r="C14660" t="s">
        <v>23490</v>
      </c>
      <c r="D14660" t="str">
        <f>HYPERLINK("https://rhld.insurance.arkansas.gov/NPILookup?Npi=1720512668","1720512668")</f>
        <v>1720512668</v>
      </c>
      <c r="E14660" t="s">
        <v>18849</v>
      </c>
    </row>
    <row r="14661" spans="1:5" x14ac:dyDescent="0.25">
      <c r="A14661" t="s">
        <v>2</v>
      </c>
      <c r="B14661" t="s">
        <v>3458</v>
      </c>
      <c r="C14661" t="s">
        <v>23490</v>
      </c>
      <c r="D14661" t="str">
        <f>HYPERLINK("https://rhld.insurance.arkansas.gov/NPILookup?Npi=1720513658","1720513658")</f>
        <v>1720513658</v>
      </c>
      <c r="E14661" t="s">
        <v>11207</v>
      </c>
    </row>
    <row r="14662" spans="1:5" x14ac:dyDescent="0.25">
      <c r="A14662" t="s">
        <v>2</v>
      </c>
      <c r="B14662" t="s">
        <v>3458</v>
      </c>
      <c r="C14662" t="s">
        <v>23490</v>
      </c>
      <c r="D14662" t="str">
        <f>HYPERLINK("https://rhld.insurance.arkansas.gov/NPILookup?Npi=1720516719","1720516719")</f>
        <v>1720516719</v>
      </c>
      <c r="E14662" t="s">
        <v>18094</v>
      </c>
    </row>
    <row r="14663" spans="1:5" x14ac:dyDescent="0.25">
      <c r="A14663" t="s">
        <v>2</v>
      </c>
      <c r="B14663" t="s">
        <v>3458</v>
      </c>
      <c r="C14663" t="s">
        <v>23490</v>
      </c>
      <c r="D14663" t="str">
        <f>HYPERLINK("https://rhld.insurance.arkansas.gov/NPILookup?Npi=1720519812","1720519812")</f>
        <v>1720519812</v>
      </c>
      <c r="E14663" t="s">
        <v>15473</v>
      </c>
    </row>
    <row r="14664" spans="1:5" x14ac:dyDescent="0.25">
      <c r="A14664" t="s">
        <v>2</v>
      </c>
      <c r="B14664" t="s">
        <v>3458</v>
      </c>
      <c r="C14664" t="s">
        <v>23490</v>
      </c>
      <c r="D14664" t="str">
        <f>HYPERLINK("https://rhld.insurance.arkansas.gov/NPILookup?Npi=1720542145","1720542145")</f>
        <v>1720542145</v>
      </c>
      <c r="E14664" t="s">
        <v>13673</v>
      </c>
    </row>
    <row r="14665" spans="1:5" x14ac:dyDescent="0.25">
      <c r="A14665" t="s">
        <v>2</v>
      </c>
      <c r="B14665" t="s">
        <v>3458</v>
      </c>
      <c r="C14665" t="s">
        <v>23490</v>
      </c>
      <c r="D14665" t="str">
        <f>HYPERLINK("https://rhld.insurance.arkansas.gov/NPILookup?Npi=1720555683","1720555683")</f>
        <v>1720555683</v>
      </c>
      <c r="E14665" t="s">
        <v>9325</v>
      </c>
    </row>
    <row r="14666" spans="1:5" x14ac:dyDescent="0.25">
      <c r="A14666" t="s">
        <v>2</v>
      </c>
      <c r="B14666" t="s">
        <v>3458</v>
      </c>
      <c r="C14666" t="s">
        <v>23490</v>
      </c>
      <c r="D14666" t="str">
        <f>HYPERLINK("https://rhld.insurance.arkansas.gov/NPILookup?Npi=1720562226","1720562226")</f>
        <v>1720562226</v>
      </c>
      <c r="E14666" t="s">
        <v>15475</v>
      </c>
    </row>
    <row r="14667" spans="1:5" x14ac:dyDescent="0.25">
      <c r="A14667" t="s">
        <v>2</v>
      </c>
      <c r="B14667" t="s">
        <v>3458</v>
      </c>
      <c r="C14667" t="s">
        <v>23490</v>
      </c>
      <c r="D14667" t="str">
        <f>HYPERLINK("https://rhld.insurance.arkansas.gov/NPILookup?Npi=1720571102","1720571102")</f>
        <v>1720571102</v>
      </c>
      <c r="E14667" t="s">
        <v>21636</v>
      </c>
    </row>
    <row r="14668" spans="1:5" x14ac:dyDescent="0.25">
      <c r="A14668" t="s">
        <v>2</v>
      </c>
      <c r="B14668" t="s">
        <v>3458</v>
      </c>
      <c r="C14668" t="s">
        <v>23490</v>
      </c>
      <c r="D14668" t="str">
        <f>HYPERLINK("https://rhld.insurance.arkansas.gov/NPILookup?Npi=1720591241","1720591241")</f>
        <v>1720591241</v>
      </c>
      <c r="E14668" t="s">
        <v>13868</v>
      </c>
    </row>
    <row r="14669" spans="1:5" x14ac:dyDescent="0.25">
      <c r="A14669" t="s">
        <v>2</v>
      </c>
      <c r="B14669" t="s">
        <v>3458</v>
      </c>
      <c r="C14669" t="s">
        <v>23490</v>
      </c>
      <c r="D14669" t="str">
        <f>HYPERLINK("https://rhld.insurance.arkansas.gov/NPILookup?Npi=1720596554","1720596554")</f>
        <v>1720596554</v>
      </c>
      <c r="E14669" t="s">
        <v>13021</v>
      </c>
    </row>
    <row r="14670" spans="1:5" x14ac:dyDescent="0.25">
      <c r="A14670" t="s">
        <v>2</v>
      </c>
      <c r="B14670" t="s">
        <v>3458</v>
      </c>
      <c r="C14670" t="s">
        <v>23490</v>
      </c>
      <c r="D14670" t="str">
        <f>HYPERLINK("https://rhld.insurance.arkansas.gov/NPILookup?Npi=1720612641","1720612641")</f>
        <v>1720612641</v>
      </c>
      <c r="E14670" t="s">
        <v>18850</v>
      </c>
    </row>
    <row r="14671" spans="1:5" x14ac:dyDescent="0.25">
      <c r="A14671" t="s">
        <v>2</v>
      </c>
      <c r="B14671" t="s">
        <v>3458</v>
      </c>
      <c r="C14671" t="s">
        <v>23490</v>
      </c>
      <c r="D14671" t="str">
        <f>HYPERLINK("https://rhld.insurance.arkansas.gov/NPILookup?Npi=1720617954","1720617954")</f>
        <v>1720617954</v>
      </c>
      <c r="E14671" t="s">
        <v>17469</v>
      </c>
    </row>
    <row r="14672" spans="1:5" x14ac:dyDescent="0.25">
      <c r="A14672" t="s">
        <v>2</v>
      </c>
      <c r="B14672" t="s">
        <v>3458</v>
      </c>
      <c r="C14672" t="s">
        <v>23490</v>
      </c>
      <c r="D14672" t="str">
        <f>HYPERLINK("https://rhld.insurance.arkansas.gov/NPILookup?Npi=1720627359","1720627359")</f>
        <v>1720627359</v>
      </c>
      <c r="E14672" t="s">
        <v>19974</v>
      </c>
    </row>
    <row r="14673" spans="1:5" x14ac:dyDescent="0.25">
      <c r="A14673" t="s">
        <v>2</v>
      </c>
      <c r="B14673" t="s">
        <v>3458</v>
      </c>
      <c r="C14673" t="s">
        <v>23490</v>
      </c>
      <c r="D14673" t="str">
        <f>HYPERLINK("https://rhld.insurance.arkansas.gov/NPILookup?Npi=1720670474","1720670474")</f>
        <v>1720670474</v>
      </c>
      <c r="E14673" t="s">
        <v>18851</v>
      </c>
    </row>
    <row r="14674" spans="1:5" x14ac:dyDescent="0.25">
      <c r="A14674" t="s">
        <v>2</v>
      </c>
      <c r="B14674" t="s">
        <v>3458</v>
      </c>
      <c r="C14674" t="s">
        <v>23490</v>
      </c>
      <c r="D14674" t="str">
        <f>HYPERLINK("https://rhld.insurance.arkansas.gov/NPILookup?Npi=1720685308","1720685308")</f>
        <v>1720685308</v>
      </c>
      <c r="E14674" t="s">
        <v>18096</v>
      </c>
    </row>
    <row r="14675" spans="1:5" x14ac:dyDescent="0.25">
      <c r="A14675" t="s">
        <v>2</v>
      </c>
      <c r="B14675" t="s">
        <v>3458</v>
      </c>
      <c r="C14675" t="s">
        <v>23490</v>
      </c>
      <c r="D14675" t="str">
        <f>HYPERLINK("https://rhld.insurance.arkansas.gov/NPILookup?Npi=1720734403","1720734403")</f>
        <v>1720734403</v>
      </c>
      <c r="E14675" t="s">
        <v>21019</v>
      </c>
    </row>
    <row r="14676" spans="1:5" x14ac:dyDescent="0.25">
      <c r="A14676" t="s">
        <v>2</v>
      </c>
      <c r="B14676" t="s">
        <v>3458</v>
      </c>
      <c r="C14676" t="s">
        <v>23490</v>
      </c>
      <c r="D14676" t="str">
        <f>HYPERLINK("https://rhld.insurance.arkansas.gov/NPILookup?Npi=1720747678","1720747678")</f>
        <v>1720747678</v>
      </c>
      <c r="E14676" t="s">
        <v>19976</v>
      </c>
    </row>
    <row r="14677" spans="1:5" x14ac:dyDescent="0.25">
      <c r="A14677" t="s">
        <v>2</v>
      </c>
      <c r="B14677" t="s">
        <v>3458</v>
      </c>
      <c r="C14677" t="s">
        <v>23490</v>
      </c>
      <c r="D14677" t="str">
        <f>HYPERLINK("https://rhld.insurance.arkansas.gov/NPILookup?Npi=1730109877","1730109877")</f>
        <v>1730109877</v>
      </c>
      <c r="E14677" t="s">
        <v>8827</v>
      </c>
    </row>
    <row r="14678" spans="1:5" x14ac:dyDescent="0.25">
      <c r="A14678" t="s">
        <v>2</v>
      </c>
      <c r="B14678" t="s">
        <v>3458</v>
      </c>
      <c r="C14678" t="s">
        <v>23490</v>
      </c>
      <c r="D14678" t="str">
        <f>HYPERLINK("https://rhld.insurance.arkansas.gov/NPILookup?Npi=1730112574","1730112574")</f>
        <v>1730112574</v>
      </c>
      <c r="E14678" t="s">
        <v>15477</v>
      </c>
    </row>
    <row r="14679" spans="1:5" x14ac:dyDescent="0.25">
      <c r="A14679" t="s">
        <v>2</v>
      </c>
      <c r="B14679" t="s">
        <v>3458</v>
      </c>
      <c r="C14679" t="s">
        <v>23490</v>
      </c>
      <c r="D14679" t="str">
        <f>HYPERLINK("https://rhld.insurance.arkansas.gov/NPILookup?Npi=1730118167","1730118167")</f>
        <v>1730118167</v>
      </c>
      <c r="E14679" t="s">
        <v>2563</v>
      </c>
    </row>
    <row r="14680" spans="1:5" x14ac:dyDescent="0.25">
      <c r="A14680" t="s">
        <v>2</v>
      </c>
      <c r="B14680" t="s">
        <v>3458</v>
      </c>
      <c r="C14680" t="s">
        <v>23490</v>
      </c>
      <c r="D14680" t="str">
        <f>HYPERLINK("https://rhld.insurance.arkansas.gov/NPILookup?Npi=1730122102","1730122102")</f>
        <v>1730122102</v>
      </c>
      <c r="E14680" t="s">
        <v>3902</v>
      </c>
    </row>
    <row r="14681" spans="1:5" x14ac:dyDescent="0.25">
      <c r="A14681" t="s">
        <v>2</v>
      </c>
      <c r="B14681" t="s">
        <v>3458</v>
      </c>
      <c r="C14681" t="s">
        <v>23490</v>
      </c>
      <c r="D14681" t="str">
        <f>HYPERLINK("https://rhld.insurance.arkansas.gov/NPILookup?Npi=1730129404","1730129404")</f>
        <v>1730129404</v>
      </c>
      <c r="E14681" t="s">
        <v>15478</v>
      </c>
    </row>
    <row r="14682" spans="1:5" x14ac:dyDescent="0.25">
      <c r="A14682" t="s">
        <v>2</v>
      </c>
      <c r="B14682" t="s">
        <v>3458</v>
      </c>
      <c r="C14682" t="s">
        <v>23490</v>
      </c>
      <c r="D14682" t="str">
        <f>HYPERLINK("https://rhld.insurance.arkansas.gov/NPILookup?Npi=1730135922","1730135922")</f>
        <v>1730135922</v>
      </c>
      <c r="E14682" t="s">
        <v>2564</v>
      </c>
    </row>
    <row r="14683" spans="1:5" x14ac:dyDescent="0.25">
      <c r="A14683" t="s">
        <v>2</v>
      </c>
      <c r="B14683" t="s">
        <v>3458</v>
      </c>
      <c r="C14683" t="s">
        <v>23490</v>
      </c>
      <c r="D14683" t="str">
        <f>HYPERLINK("https://rhld.insurance.arkansas.gov/NPILookup?Npi=1730141995","1730141995")</f>
        <v>1730141995</v>
      </c>
      <c r="E14683" t="s">
        <v>15479</v>
      </c>
    </row>
    <row r="14684" spans="1:5" x14ac:dyDescent="0.25">
      <c r="A14684" t="s">
        <v>2</v>
      </c>
      <c r="B14684" t="s">
        <v>3458</v>
      </c>
      <c r="C14684" t="s">
        <v>23490</v>
      </c>
      <c r="D14684" t="str">
        <f>HYPERLINK("https://rhld.insurance.arkansas.gov/NPILookup?Npi=1730143009","1730143009")</f>
        <v>1730143009</v>
      </c>
      <c r="E14684" t="s">
        <v>15896</v>
      </c>
    </row>
    <row r="14685" spans="1:5" x14ac:dyDescent="0.25">
      <c r="A14685" t="s">
        <v>2</v>
      </c>
      <c r="B14685" t="s">
        <v>3458</v>
      </c>
      <c r="C14685" t="s">
        <v>23490</v>
      </c>
      <c r="D14685" t="str">
        <f>HYPERLINK("https://rhld.insurance.arkansas.gov/NPILookup?Npi=1730143413","1730143413")</f>
        <v>1730143413</v>
      </c>
      <c r="E14685" t="s">
        <v>11477</v>
      </c>
    </row>
    <row r="14686" spans="1:5" x14ac:dyDescent="0.25">
      <c r="A14686" t="s">
        <v>2</v>
      </c>
      <c r="B14686" t="s">
        <v>3458</v>
      </c>
      <c r="C14686" t="s">
        <v>23490</v>
      </c>
      <c r="D14686" t="str">
        <f>HYPERLINK("https://rhld.insurance.arkansas.gov/NPILookup?Npi=1730144460","1730144460")</f>
        <v>1730144460</v>
      </c>
      <c r="E14686" t="s">
        <v>2567</v>
      </c>
    </row>
    <row r="14687" spans="1:5" x14ac:dyDescent="0.25">
      <c r="A14687" t="s">
        <v>2</v>
      </c>
      <c r="B14687" t="s">
        <v>3458</v>
      </c>
      <c r="C14687" t="s">
        <v>23490</v>
      </c>
      <c r="D14687" t="str">
        <f>HYPERLINK("https://rhld.insurance.arkansas.gov/NPILookup?Npi=1730145814","1730145814")</f>
        <v>1730145814</v>
      </c>
      <c r="E14687" t="s">
        <v>2568</v>
      </c>
    </row>
    <row r="14688" spans="1:5" x14ac:dyDescent="0.25">
      <c r="A14688" t="s">
        <v>2</v>
      </c>
      <c r="B14688" t="s">
        <v>3458</v>
      </c>
      <c r="C14688" t="s">
        <v>23490</v>
      </c>
      <c r="D14688" t="str">
        <f>HYPERLINK("https://rhld.insurance.arkansas.gov/NPILookup?Npi=1730146507","1730146507")</f>
        <v>1730146507</v>
      </c>
      <c r="E14688" t="s">
        <v>2569</v>
      </c>
    </row>
    <row r="14689" spans="1:5" x14ac:dyDescent="0.25">
      <c r="A14689" t="s">
        <v>2</v>
      </c>
      <c r="B14689" t="s">
        <v>3458</v>
      </c>
      <c r="C14689" t="s">
        <v>23490</v>
      </c>
      <c r="D14689" t="str">
        <f>HYPERLINK("https://rhld.insurance.arkansas.gov/NPILookup?Npi=1730152000","1730152000")</f>
        <v>1730152000</v>
      </c>
      <c r="E14689" t="s">
        <v>2570</v>
      </c>
    </row>
    <row r="14690" spans="1:5" x14ac:dyDescent="0.25">
      <c r="A14690" t="s">
        <v>2</v>
      </c>
      <c r="B14690" t="s">
        <v>3458</v>
      </c>
      <c r="C14690" t="s">
        <v>23490</v>
      </c>
      <c r="D14690" t="str">
        <f>HYPERLINK("https://rhld.insurance.arkansas.gov/NPILookup?Npi=1730153586","1730153586")</f>
        <v>1730153586</v>
      </c>
      <c r="E14690" t="s">
        <v>15481</v>
      </c>
    </row>
    <row r="14691" spans="1:5" x14ac:dyDescent="0.25">
      <c r="A14691" t="s">
        <v>2</v>
      </c>
      <c r="B14691" t="s">
        <v>3458</v>
      </c>
      <c r="C14691" t="s">
        <v>23490</v>
      </c>
      <c r="D14691" t="str">
        <f>HYPERLINK("https://rhld.insurance.arkansas.gov/NPILookup?Npi=1730155102","1730155102")</f>
        <v>1730155102</v>
      </c>
      <c r="E14691" t="s">
        <v>11208</v>
      </c>
    </row>
    <row r="14692" spans="1:5" x14ac:dyDescent="0.25">
      <c r="A14692" t="s">
        <v>2</v>
      </c>
      <c r="B14692" t="s">
        <v>3458</v>
      </c>
      <c r="C14692" t="s">
        <v>23490</v>
      </c>
      <c r="D14692" t="str">
        <f>HYPERLINK("https://rhld.insurance.arkansas.gov/NPILookup?Npi=1730155227","1730155227")</f>
        <v>1730155227</v>
      </c>
      <c r="E14692" t="s">
        <v>15482</v>
      </c>
    </row>
    <row r="14693" spans="1:5" x14ac:dyDescent="0.25">
      <c r="A14693" t="s">
        <v>2</v>
      </c>
      <c r="B14693" t="s">
        <v>3458</v>
      </c>
      <c r="C14693" t="s">
        <v>23490</v>
      </c>
      <c r="D14693" t="str">
        <f>HYPERLINK("https://rhld.insurance.arkansas.gov/NPILookup?Npi=1730166844","1730166844")</f>
        <v>1730166844</v>
      </c>
      <c r="E14693" t="s">
        <v>2571</v>
      </c>
    </row>
    <row r="14694" spans="1:5" x14ac:dyDescent="0.25">
      <c r="A14694" t="s">
        <v>2</v>
      </c>
      <c r="B14694" t="s">
        <v>3458</v>
      </c>
      <c r="C14694" t="s">
        <v>23490</v>
      </c>
      <c r="D14694" t="str">
        <f>HYPERLINK("https://rhld.insurance.arkansas.gov/NPILookup?Npi=1730172958","1730172958")</f>
        <v>1730172958</v>
      </c>
      <c r="E14694" t="s">
        <v>2573</v>
      </c>
    </row>
    <row r="14695" spans="1:5" x14ac:dyDescent="0.25">
      <c r="A14695" t="s">
        <v>2</v>
      </c>
      <c r="B14695" t="s">
        <v>3458</v>
      </c>
      <c r="C14695" t="s">
        <v>23490</v>
      </c>
      <c r="D14695" t="str">
        <f>HYPERLINK("https://rhld.insurance.arkansas.gov/NPILookup?Npi=1730178161","1730178161")</f>
        <v>1730178161</v>
      </c>
      <c r="E14695" t="s">
        <v>22898</v>
      </c>
    </row>
    <row r="14696" spans="1:5" x14ac:dyDescent="0.25">
      <c r="A14696" t="s">
        <v>2</v>
      </c>
      <c r="B14696" t="s">
        <v>3458</v>
      </c>
      <c r="C14696" t="s">
        <v>23490</v>
      </c>
      <c r="D14696" t="str">
        <f>HYPERLINK("https://rhld.insurance.arkansas.gov/NPILookup?Npi=1730180837","1730180837")</f>
        <v>1730180837</v>
      </c>
      <c r="E14696" t="s">
        <v>3903</v>
      </c>
    </row>
    <row r="14697" spans="1:5" x14ac:dyDescent="0.25">
      <c r="A14697" t="s">
        <v>2</v>
      </c>
      <c r="B14697" t="s">
        <v>3458</v>
      </c>
      <c r="C14697" t="s">
        <v>23490</v>
      </c>
      <c r="D14697" t="str">
        <f>HYPERLINK("https://rhld.insurance.arkansas.gov/NPILookup?Npi=1730181298","1730181298")</f>
        <v>1730181298</v>
      </c>
      <c r="E14697" t="s">
        <v>2574</v>
      </c>
    </row>
    <row r="14698" spans="1:5" x14ac:dyDescent="0.25">
      <c r="A14698" t="s">
        <v>2</v>
      </c>
      <c r="B14698" t="s">
        <v>3458</v>
      </c>
      <c r="C14698" t="s">
        <v>23490</v>
      </c>
      <c r="D14698" t="str">
        <f>HYPERLINK("https://rhld.insurance.arkansas.gov/NPILookup?Npi=1730182882","1730182882")</f>
        <v>1730182882</v>
      </c>
      <c r="E14698" t="s">
        <v>2575</v>
      </c>
    </row>
    <row r="14699" spans="1:5" x14ac:dyDescent="0.25">
      <c r="A14699" t="s">
        <v>2</v>
      </c>
      <c r="B14699" t="s">
        <v>3458</v>
      </c>
      <c r="C14699" t="s">
        <v>23490</v>
      </c>
      <c r="D14699" t="str">
        <f>HYPERLINK("https://rhld.insurance.arkansas.gov/NPILookup?Npi=1730185752","1730185752")</f>
        <v>1730185752</v>
      </c>
      <c r="E14699" t="s">
        <v>2576</v>
      </c>
    </row>
    <row r="14700" spans="1:5" x14ac:dyDescent="0.25">
      <c r="A14700" t="s">
        <v>2</v>
      </c>
      <c r="B14700" t="s">
        <v>3458</v>
      </c>
      <c r="C14700" t="s">
        <v>23490</v>
      </c>
      <c r="D14700" t="str">
        <f>HYPERLINK("https://rhld.insurance.arkansas.gov/NPILookup?Npi=1730186875","1730186875")</f>
        <v>1730186875</v>
      </c>
      <c r="E14700" t="s">
        <v>3904</v>
      </c>
    </row>
    <row r="14701" spans="1:5" x14ac:dyDescent="0.25">
      <c r="A14701" t="s">
        <v>2</v>
      </c>
      <c r="B14701" t="s">
        <v>3458</v>
      </c>
      <c r="C14701" t="s">
        <v>23490</v>
      </c>
      <c r="D14701" t="str">
        <f>HYPERLINK("https://rhld.insurance.arkansas.gov/NPILookup?Npi=1730188053","1730188053")</f>
        <v>1730188053</v>
      </c>
      <c r="E14701" t="s">
        <v>2579</v>
      </c>
    </row>
    <row r="14702" spans="1:5" x14ac:dyDescent="0.25">
      <c r="A14702" t="s">
        <v>2</v>
      </c>
      <c r="B14702" t="s">
        <v>3458</v>
      </c>
      <c r="C14702" t="s">
        <v>23490</v>
      </c>
      <c r="D14702" t="str">
        <f>HYPERLINK("https://rhld.insurance.arkansas.gov/NPILookup?Npi=1730198243","1730198243")</f>
        <v>1730198243</v>
      </c>
      <c r="E14702" t="s">
        <v>2580</v>
      </c>
    </row>
    <row r="14703" spans="1:5" x14ac:dyDescent="0.25">
      <c r="A14703" t="s">
        <v>2</v>
      </c>
      <c r="B14703" t="s">
        <v>3458</v>
      </c>
      <c r="C14703" t="s">
        <v>23490</v>
      </c>
      <c r="D14703" t="str">
        <f>HYPERLINK("https://rhld.insurance.arkansas.gov/NPILookup?Npi=1730217381","1730217381")</f>
        <v>1730217381</v>
      </c>
      <c r="E14703" t="s">
        <v>2582</v>
      </c>
    </row>
    <row r="14704" spans="1:5" x14ac:dyDescent="0.25">
      <c r="A14704" t="s">
        <v>2</v>
      </c>
      <c r="B14704" t="s">
        <v>3458</v>
      </c>
      <c r="C14704" t="s">
        <v>23490</v>
      </c>
      <c r="D14704" t="str">
        <f>HYPERLINK("https://rhld.insurance.arkansas.gov/NPILookup?Npi=1730226226","1730226226")</f>
        <v>1730226226</v>
      </c>
      <c r="E14704" t="s">
        <v>2583</v>
      </c>
    </row>
    <row r="14705" spans="1:5" x14ac:dyDescent="0.25">
      <c r="A14705" t="s">
        <v>2</v>
      </c>
      <c r="B14705" t="s">
        <v>3458</v>
      </c>
      <c r="C14705" t="s">
        <v>23490</v>
      </c>
      <c r="D14705" t="str">
        <f>HYPERLINK("https://rhld.insurance.arkansas.gov/NPILookup?Npi=1730231929","1730231929")</f>
        <v>1730231929</v>
      </c>
      <c r="E14705" t="s">
        <v>2584</v>
      </c>
    </row>
    <row r="14706" spans="1:5" x14ac:dyDescent="0.25">
      <c r="A14706" t="s">
        <v>2</v>
      </c>
      <c r="B14706" t="s">
        <v>3458</v>
      </c>
      <c r="C14706" t="s">
        <v>23490</v>
      </c>
      <c r="D14706" t="str">
        <f>HYPERLINK("https://rhld.insurance.arkansas.gov/NPILookup?Npi=1730241159","1730241159")</f>
        <v>1730241159</v>
      </c>
      <c r="E14706" t="s">
        <v>15483</v>
      </c>
    </row>
    <row r="14707" spans="1:5" x14ac:dyDescent="0.25">
      <c r="A14707" t="s">
        <v>2</v>
      </c>
      <c r="B14707" t="s">
        <v>3458</v>
      </c>
      <c r="C14707" t="s">
        <v>23490</v>
      </c>
      <c r="D14707" t="str">
        <f>HYPERLINK("https://rhld.insurance.arkansas.gov/NPILookup?Npi=1730256926","1730256926")</f>
        <v>1730256926</v>
      </c>
      <c r="E14707" t="s">
        <v>2585</v>
      </c>
    </row>
    <row r="14708" spans="1:5" x14ac:dyDescent="0.25">
      <c r="A14708" t="s">
        <v>2</v>
      </c>
      <c r="B14708" t="s">
        <v>3458</v>
      </c>
      <c r="C14708" t="s">
        <v>23490</v>
      </c>
      <c r="D14708" t="str">
        <f>HYPERLINK("https://rhld.insurance.arkansas.gov/NPILookup?Npi=1730260498","1730260498")</f>
        <v>1730260498</v>
      </c>
      <c r="E14708" t="s">
        <v>3905</v>
      </c>
    </row>
    <row r="14709" spans="1:5" x14ac:dyDescent="0.25">
      <c r="A14709" t="s">
        <v>2</v>
      </c>
      <c r="B14709" t="s">
        <v>3458</v>
      </c>
      <c r="C14709" t="s">
        <v>23490</v>
      </c>
      <c r="D14709" t="str">
        <f>HYPERLINK("https://rhld.insurance.arkansas.gov/NPILookup?Npi=1730279068","1730279068")</f>
        <v>1730279068</v>
      </c>
      <c r="E14709" t="s">
        <v>11209</v>
      </c>
    </row>
    <row r="14710" spans="1:5" x14ac:dyDescent="0.25">
      <c r="A14710" t="s">
        <v>2</v>
      </c>
      <c r="B14710" t="s">
        <v>3458</v>
      </c>
      <c r="C14710" t="s">
        <v>23490</v>
      </c>
      <c r="D14710" t="str">
        <f>HYPERLINK("https://rhld.insurance.arkansas.gov/NPILookup?Npi=1730287004","1730287004")</f>
        <v>1730287004</v>
      </c>
      <c r="E14710" t="s">
        <v>15484</v>
      </c>
    </row>
    <row r="14711" spans="1:5" x14ac:dyDescent="0.25">
      <c r="A14711" t="s">
        <v>2</v>
      </c>
      <c r="B14711" t="s">
        <v>3458</v>
      </c>
      <c r="C14711" t="s">
        <v>23490</v>
      </c>
      <c r="D14711" t="str">
        <f>HYPERLINK("https://rhld.insurance.arkansas.gov/NPILookup?Npi=1730295320","1730295320")</f>
        <v>1730295320</v>
      </c>
      <c r="E14711" t="s">
        <v>3906</v>
      </c>
    </row>
    <row r="14712" spans="1:5" x14ac:dyDescent="0.25">
      <c r="A14712" t="s">
        <v>2</v>
      </c>
      <c r="B14712" t="s">
        <v>3458</v>
      </c>
      <c r="C14712" t="s">
        <v>23490</v>
      </c>
      <c r="D14712" t="str">
        <f>HYPERLINK("https://rhld.insurance.arkansas.gov/NPILookup?Npi=1730296591","1730296591")</f>
        <v>1730296591</v>
      </c>
      <c r="E14712" t="s">
        <v>2587</v>
      </c>
    </row>
    <row r="14713" spans="1:5" x14ac:dyDescent="0.25">
      <c r="A14713" t="s">
        <v>2</v>
      </c>
      <c r="B14713" t="s">
        <v>3458</v>
      </c>
      <c r="C14713" t="s">
        <v>23490</v>
      </c>
      <c r="D14713" t="str">
        <f>HYPERLINK("https://rhld.insurance.arkansas.gov/NPILookup?Npi=1730314337","1730314337")</f>
        <v>1730314337</v>
      </c>
      <c r="E14713" t="s">
        <v>15897</v>
      </c>
    </row>
    <row r="14714" spans="1:5" x14ac:dyDescent="0.25">
      <c r="A14714" t="s">
        <v>2</v>
      </c>
      <c r="B14714" t="s">
        <v>3458</v>
      </c>
      <c r="C14714" t="s">
        <v>23490</v>
      </c>
      <c r="D14714" t="str">
        <f>HYPERLINK("https://rhld.insurance.arkansas.gov/NPILookup?Npi=1730322041","1730322041")</f>
        <v>1730322041</v>
      </c>
      <c r="E14714" t="s">
        <v>3907</v>
      </c>
    </row>
    <row r="14715" spans="1:5" x14ac:dyDescent="0.25">
      <c r="A14715" t="s">
        <v>2</v>
      </c>
      <c r="B14715" t="s">
        <v>3458</v>
      </c>
      <c r="C14715" t="s">
        <v>23490</v>
      </c>
      <c r="D14715" t="str">
        <f>HYPERLINK("https://rhld.insurance.arkansas.gov/NPILookup?Npi=1730332511","1730332511")</f>
        <v>1730332511</v>
      </c>
      <c r="E14715" t="s">
        <v>2590</v>
      </c>
    </row>
    <row r="14716" spans="1:5" x14ac:dyDescent="0.25">
      <c r="A14716" t="s">
        <v>2</v>
      </c>
      <c r="B14716" t="s">
        <v>3458</v>
      </c>
      <c r="C14716" t="s">
        <v>23490</v>
      </c>
      <c r="D14716" t="str">
        <f>HYPERLINK("https://rhld.insurance.arkansas.gov/NPILookup?Npi=1730334376","1730334376")</f>
        <v>1730334376</v>
      </c>
      <c r="E14716" t="s">
        <v>11210</v>
      </c>
    </row>
    <row r="14717" spans="1:5" x14ac:dyDescent="0.25">
      <c r="A14717" t="s">
        <v>2</v>
      </c>
      <c r="B14717" t="s">
        <v>3458</v>
      </c>
      <c r="C14717" t="s">
        <v>23490</v>
      </c>
      <c r="D14717" t="str">
        <f>HYPERLINK("https://rhld.insurance.arkansas.gov/NPILookup?Npi=1730337452","1730337452")</f>
        <v>1730337452</v>
      </c>
      <c r="E14717" t="s">
        <v>20260</v>
      </c>
    </row>
    <row r="14718" spans="1:5" x14ac:dyDescent="0.25">
      <c r="A14718" t="s">
        <v>2</v>
      </c>
      <c r="B14718" t="s">
        <v>3458</v>
      </c>
      <c r="C14718" t="s">
        <v>23490</v>
      </c>
      <c r="D14718" t="str">
        <f>HYPERLINK("https://rhld.insurance.arkansas.gov/NPILookup?Npi=1730338187","1730338187")</f>
        <v>1730338187</v>
      </c>
      <c r="E14718" t="s">
        <v>2591</v>
      </c>
    </row>
    <row r="14719" spans="1:5" x14ac:dyDescent="0.25">
      <c r="A14719" t="s">
        <v>2</v>
      </c>
      <c r="B14719" t="s">
        <v>3458</v>
      </c>
      <c r="C14719" t="s">
        <v>23490</v>
      </c>
      <c r="D14719" t="str">
        <f>HYPERLINK("https://rhld.insurance.arkansas.gov/NPILookup?Npi=1730349382","1730349382")</f>
        <v>1730349382</v>
      </c>
      <c r="E14719" t="s">
        <v>19978</v>
      </c>
    </row>
    <row r="14720" spans="1:5" x14ac:dyDescent="0.25">
      <c r="A14720" t="s">
        <v>2</v>
      </c>
      <c r="B14720" t="s">
        <v>3458</v>
      </c>
      <c r="C14720" t="s">
        <v>23490</v>
      </c>
      <c r="D14720" t="str">
        <f>HYPERLINK("https://rhld.insurance.arkansas.gov/NPILookup?Npi=1730352782","1730352782")</f>
        <v>1730352782</v>
      </c>
      <c r="E14720" t="s">
        <v>2593</v>
      </c>
    </row>
    <row r="14721" spans="1:5" x14ac:dyDescent="0.25">
      <c r="A14721" t="s">
        <v>2</v>
      </c>
      <c r="B14721" t="s">
        <v>3458</v>
      </c>
      <c r="C14721" t="s">
        <v>23490</v>
      </c>
      <c r="D14721" t="str">
        <f>HYPERLINK("https://rhld.insurance.arkansas.gov/NPILookup?Npi=1730354333","1730354333")</f>
        <v>1730354333</v>
      </c>
      <c r="E14721" t="s">
        <v>8470</v>
      </c>
    </row>
    <row r="14722" spans="1:5" x14ac:dyDescent="0.25">
      <c r="A14722" t="s">
        <v>2</v>
      </c>
      <c r="B14722" t="s">
        <v>3458</v>
      </c>
      <c r="C14722" t="s">
        <v>23490</v>
      </c>
      <c r="D14722" t="str">
        <f>HYPERLINK("https://rhld.insurance.arkansas.gov/NPILookup?Npi=1730375007","1730375007")</f>
        <v>1730375007</v>
      </c>
      <c r="E14722" t="s">
        <v>2594</v>
      </c>
    </row>
    <row r="14723" spans="1:5" x14ac:dyDescent="0.25">
      <c r="A14723" t="s">
        <v>2</v>
      </c>
      <c r="B14723" t="s">
        <v>3458</v>
      </c>
      <c r="C14723" t="s">
        <v>23490</v>
      </c>
      <c r="D14723" t="str">
        <f>HYPERLINK("https://rhld.insurance.arkansas.gov/NPILookup?Npi=1730389743","1730389743")</f>
        <v>1730389743</v>
      </c>
      <c r="E14723" t="s">
        <v>15485</v>
      </c>
    </row>
    <row r="14724" spans="1:5" x14ac:dyDescent="0.25">
      <c r="A14724" t="s">
        <v>2</v>
      </c>
      <c r="B14724" t="s">
        <v>3458</v>
      </c>
      <c r="C14724" t="s">
        <v>23490</v>
      </c>
      <c r="D14724" t="str">
        <f>HYPERLINK("https://rhld.insurance.arkansas.gov/NPILookup?Npi=1730403262","1730403262")</f>
        <v>1730403262</v>
      </c>
      <c r="E14724" t="s">
        <v>2595</v>
      </c>
    </row>
    <row r="14725" spans="1:5" x14ac:dyDescent="0.25">
      <c r="A14725" t="s">
        <v>2</v>
      </c>
      <c r="B14725" t="s">
        <v>3458</v>
      </c>
      <c r="C14725" t="s">
        <v>23490</v>
      </c>
      <c r="D14725" t="str">
        <f>HYPERLINK("https://rhld.insurance.arkansas.gov/NPILookup?Npi=1730411059","1730411059")</f>
        <v>1730411059</v>
      </c>
      <c r="E14725" t="s">
        <v>11211</v>
      </c>
    </row>
    <row r="14726" spans="1:5" x14ac:dyDescent="0.25">
      <c r="A14726" t="s">
        <v>2</v>
      </c>
      <c r="B14726" t="s">
        <v>3458</v>
      </c>
      <c r="C14726" t="s">
        <v>23490</v>
      </c>
      <c r="D14726" t="str">
        <f>HYPERLINK("https://rhld.insurance.arkansas.gov/NPILookup?Npi=1730428483","1730428483")</f>
        <v>1730428483</v>
      </c>
      <c r="E14726" t="s">
        <v>2596</v>
      </c>
    </row>
    <row r="14727" spans="1:5" x14ac:dyDescent="0.25">
      <c r="A14727" t="s">
        <v>2</v>
      </c>
      <c r="B14727" t="s">
        <v>3458</v>
      </c>
      <c r="C14727" t="s">
        <v>23490</v>
      </c>
      <c r="D14727" t="str">
        <f>HYPERLINK("https://rhld.insurance.arkansas.gov/NPILookup?Npi=1730432741","1730432741")</f>
        <v>1730432741</v>
      </c>
      <c r="E14727" t="s">
        <v>2597</v>
      </c>
    </row>
    <row r="14728" spans="1:5" x14ac:dyDescent="0.25">
      <c r="A14728" t="s">
        <v>2</v>
      </c>
      <c r="B14728" t="s">
        <v>3458</v>
      </c>
      <c r="C14728" t="s">
        <v>23490</v>
      </c>
      <c r="D14728" t="str">
        <f>HYPERLINK("https://rhld.insurance.arkansas.gov/NPILookup?Npi=1730453622","1730453622")</f>
        <v>1730453622</v>
      </c>
      <c r="E14728" t="s">
        <v>2599</v>
      </c>
    </row>
    <row r="14729" spans="1:5" x14ac:dyDescent="0.25">
      <c r="A14729" t="s">
        <v>2</v>
      </c>
      <c r="B14729" t="s">
        <v>3458</v>
      </c>
      <c r="C14729" t="s">
        <v>23490</v>
      </c>
      <c r="D14729" t="str">
        <f>HYPERLINK("https://rhld.insurance.arkansas.gov/NPILookup?Npi=1730477043","1730477043")</f>
        <v>1730477043</v>
      </c>
      <c r="E14729" t="s">
        <v>12892</v>
      </c>
    </row>
    <row r="14730" spans="1:5" x14ac:dyDescent="0.25">
      <c r="A14730" t="s">
        <v>2</v>
      </c>
      <c r="B14730" t="s">
        <v>3458</v>
      </c>
      <c r="C14730" t="s">
        <v>23490</v>
      </c>
      <c r="D14730" t="str">
        <f>HYPERLINK("https://rhld.insurance.arkansas.gov/NPILookup?Npi=1730523986","1730523986")</f>
        <v>1730523986</v>
      </c>
      <c r="E14730" t="s">
        <v>11212</v>
      </c>
    </row>
    <row r="14731" spans="1:5" x14ac:dyDescent="0.25">
      <c r="A14731" t="s">
        <v>2</v>
      </c>
      <c r="B14731" t="s">
        <v>3458</v>
      </c>
      <c r="C14731" t="s">
        <v>23490</v>
      </c>
      <c r="D14731" t="str">
        <f>HYPERLINK("https://rhld.insurance.arkansas.gov/NPILookup?Npi=1730541798","1730541798")</f>
        <v>1730541798</v>
      </c>
      <c r="E14731" t="s">
        <v>17470</v>
      </c>
    </row>
    <row r="14732" spans="1:5" x14ac:dyDescent="0.25">
      <c r="A14732" t="s">
        <v>2</v>
      </c>
      <c r="B14732" t="s">
        <v>3458</v>
      </c>
      <c r="C14732" t="s">
        <v>23490</v>
      </c>
      <c r="D14732" t="str">
        <f>HYPERLINK("https://rhld.insurance.arkansas.gov/NPILookup?Npi=1730552944","1730552944")</f>
        <v>1730552944</v>
      </c>
      <c r="E14732" t="s">
        <v>8829</v>
      </c>
    </row>
    <row r="14733" spans="1:5" x14ac:dyDescent="0.25">
      <c r="A14733" t="s">
        <v>2</v>
      </c>
      <c r="B14733" t="s">
        <v>3458</v>
      </c>
      <c r="C14733" t="s">
        <v>23490</v>
      </c>
      <c r="D14733" t="str">
        <f>HYPERLINK("https://rhld.insurance.arkansas.gov/NPILookup?Npi=1730564360","1730564360")</f>
        <v>1730564360</v>
      </c>
      <c r="E14733" t="s">
        <v>11213</v>
      </c>
    </row>
    <row r="14734" spans="1:5" x14ac:dyDescent="0.25">
      <c r="A14734" t="s">
        <v>2</v>
      </c>
      <c r="B14734" t="s">
        <v>3458</v>
      </c>
      <c r="C14734" t="s">
        <v>23490</v>
      </c>
      <c r="D14734" t="str">
        <f>HYPERLINK("https://rhld.insurance.arkansas.gov/NPILookup?Npi=1730569310","1730569310")</f>
        <v>1730569310</v>
      </c>
      <c r="E14734" t="s">
        <v>12893</v>
      </c>
    </row>
    <row r="14735" spans="1:5" x14ac:dyDescent="0.25">
      <c r="A14735" t="s">
        <v>2</v>
      </c>
      <c r="B14735" t="s">
        <v>3458</v>
      </c>
      <c r="C14735" t="s">
        <v>23490</v>
      </c>
      <c r="D14735" t="str">
        <f>HYPERLINK("https://rhld.insurance.arkansas.gov/NPILookup?Npi=1730579152","1730579152")</f>
        <v>1730579152</v>
      </c>
      <c r="E14735" t="s">
        <v>8830</v>
      </c>
    </row>
    <row r="14736" spans="1:5" x14ac:dyDescent="0.25">
      <c r="A14736" t="s">
        <v>2</v>
      </c>
      <c r="B14736" t="s">
        <v>3458</v>
      </c>
      <c r="C14736" t="s">
        <v>23490</v>
      </c>
      <c r="D14736" t="str">
        <f>HYPERLINK("https://rhld.insurance.arkansas.gov/NPILookup?Npi=1730579921","1730579921")</f>
        <v>1730579921</v>
      </c>
      <c r="E14736" t="s">
        <v>2600</v>
      </c>
    </row>
    <row r="14737" spans="1:5" x14ac:dyDescent="0.25">
      <c r="A14737" t="s">
        <v>2</v>
      </c>
      <c r="B14737" t="s">
        <v>3458</v>
      </c>
      <c r="C14737" t="s">
        <v>23490</v>
      </c>
      <c r="D14737" t="str">
        <f>HYPERLINK("https://rhld.insurance.arkansas.gov/NPILookup?Npi=1730585878","1730585878")</f>
        <v>1730585878</v>
      </c>
      <c r="E14737" t="s">
        <v>15486</v>
      </c>
    </row>
    <row r="14738" spans="1:5" x14ac:dyDescent="0.25">
      <c r="A14738" t="s">
        <v>2</v>
      </c>
      <c r="B14738" t="s">
        <v>3458</v>
      </c>
      <c r="C14738" t="s">
        <v>23490</v>
      </c>
      <c r="D14738" t="str">
        <f>HYPERLINK("https://rhld.insurance.arkansas.gov/NPILookup?Npi=1730594342","1730594342")</f>
        <v>1730594342</v>
      </c>
      <c r="E14738" t="s">
        <v>2602</v>
      </c>
    </row>
    <row r="14739" spans="1:5" x14ac:dyDescent="0.25">
      <c r="A14739" t="s">
        <v>2</v>
      </c>
      <c r="B14739" t="s">
        <v>3458</v>
      </c>
      <c r="C14739" t="s">
        <v>23490</v>
      </c>
      <c r="D14739" t="str">
        <f>HYPERLINK("https://rhld.insurance.arkansas.gov/NPILookup?Npi=1730600974","1730600974")</f>
        <v>1730600974</v>
      </c>
      <c r="E14739" t="s">
        <v>15487</v>
      </c>
    </row>
    <row r="14740" spans="1:5" x14ac:dyDescent="0.25">
      <c r="A14740" t="s">
        <v>2</v>
      </c>
      <c r="B14740" t="s">
        <v>3458</v>
      </c>
      <c r="C14740" t="s">
        <v>23490</v>
      </c>
      <c r="D14740" t="str">
        <f>HYPERLINK("https://rhld.insurance.arkansas.gov/NPILookup?Npi=1730603192","1730603192")</f>
        <v>1730603192</v>
      </c>
      <c r="E14740" t="s">
        <v>11214</v>
      </c>
    </row>
    <row r="14741" spans="1:5" x14ac:dyDescent="0.25">
      <c r="A14741" t="s">
        <v>2</v>
      </c>
      <c r="B14741" t="s">
        <v>3458</v>
      </c>
      <c r="C14741" t="s">
        <v>23490</v>
      </c>
      <c r="D14741" t="str">
        <f>HYPERLINK("https://rhld.insurance.arkansas.gov/NPILookup?Npi=1730605213","1730605213")</f>
        <v>1730605213</v>
      </c>
      <c r="E14741" t="s">
        <v>12894</v>
      </c>
    </row>
    <row r="14742" spans="1:5" x14ac:dyDescent="0.25">
      <c r="A14742" t="s">
        <v>2</v>
      </c>
      <c r="B14742" t="s">
        <v>3458</v>
      </c>
      <c r="C14742" t="s">
        <v>23490</v>
      </c>
      <c r="D14742" t="str">
        <f>HYPERLINK("https://rhld.insurance.arkansas.gov/NPILookup?Npi=1730609439","1730609439")</f>
        <v>1730609439</v>
      </c>
      <c r="E14742" t="s">
        <v>11215</v>
      </c>
    </row>
    <row r="14743" spans="1:5" x14ac:dyDescent="0.25">
      <c r="A14743" t="s">
        <v>2</v>
      </c>
      <c r="B14743" t="s">
        <v>3458</v>
      </c>
      <c r="C14743" t="s">
        <v>23490</v>
      </c>
      <c r="D14743" t="str">
        <f>HYPERLINK("https://rhld.insurance.arkansas.gov/NPILookup?Npi=1730622705","1730622705")</f>
        <v>1730622705</v>
      </c>
      <c r="E14743" t="s">
        <v>15488</v>
      </c>
    </row>
    <row r="14744" spans="1:5" x14ac:dyDescent="0.25">
      <c r="A14744" t="s">
        <v>2</v>
      </c>
      <c r="B14744" t="s">
        <v>3458</v>
      </c>
      <c r="C14744" t="s">
        <v>23490</v>
      </c>
      <c r="D14744" t="str">
        <f>HYPERLINK("https://rhld.insurance.arkansas.gov/NPILookup?Npi=1730630492","1730630492")</f>
        <v>1730630492</v>
      </c>
      <c r="E14744" t="s">
        <v>11216</v>
      </c>
    </row>
    <row r="14745" spans="1:5" x14ac:dyDescent="0.25">
      <c r="A14745" t="s">
        <v>2</v>
      </c>
      <c r="B14745" t="s">
        <v>3458</v>
      </c>
      <c r="C14745" t="s">
        <v>23490</v>
      </c>
      <c r="D14745" t="str">
        <f>HYPERLINK("https://rhld.insurance.arkansas.gov/NPILookup?Npi=1730630849","1730630849")</f>
        <v>1730630849</v>
      </c>
      <c r="E14745" t="s">
        <v>11217</v>
      </c>
    </row>
    <row r="14746" spans="1:5" x14ac:dyDescent="0.25">
      <c r="A14746" t="s">
        <v>2</v>
      </c>
      <c r="B14746" t="s">
        <v>3458</v>
      </c>
      <c r="C14746" t="s">
        <v>23490</v>
      </c>
      <c r="D14746" t="str">
        <f>HYPERLINK("https://rhld.insurance.arkansas.gov/NPILookup?Npi=1730643115","1730643115")</f>
        <v>1730643115</v>
      </c>
      <c r="E14746" t="s">
        <v>18852</v>
      </c>
    </row>
    <row r="14747" spans="1:5" x14ac:dyDescent="0.25">
      <c r="A14747" t="s">
        <v>2</v>
      </c>
      <c r="B14747" t="s">
        <v>3458</v>
      </c>
      <c r="C14747" t="s">
        <v>23490</v>
      </c>
      <c r="D14747" t="str">
        <f>HYPERLINK("https://rhld.insurance.arkansas.gov/NPILookup?Npi=1730660010","1730660010")</f>
        <v>1730660010</v>
      </c>
      <c r="E14747" t="s">
        <v>15489</v>
      </c>
    </row>
    <row r="14748" spans="1:5" x14ac:dyDescent="0.25">
      <c r="A14748" t="s">
        <v>2</v>
      </c>
      <c r="B14748" t="s">
        <v>3458</v>
      </c>
      <c r="C14748" t="s">
        <v>23490</v>
      </c>
      <c r="D14748" t="str">
        <f>HYPERLINK("https://rhld.insurance.arkansas.gov/NPILookup?Npi=1730665449","1730665449")</f>
        <v>1730665449</v>
      </c>
      <c r="E14748" t="s">
        <v>21754</v>
      </c>
    </row>
    <row r="14749" spans="1:5" x14ac:dyDescent="0.25">
      <c r="A14749" t="s">
        <v>2</v>
      </c>
      <c r="B14749" t="s">
        <v>3458</v>
      </c>
      <c r="C14749" t="s">
        <v>23490</v>
      </c>
      <c r="D14749" t="str">
        <f>HYPERLINK("https://rhld.insurance.arkansas.gov/NPILookup?Npi=1730686601","1730686601")</f>
        <v>1730686601</v>
      </c>
      <c r="E14749" t="s">
        <v>13022</v>
      </c>
    </row>
    <row r="14750" spans="1:5" x14ac:dyDescent="0.25">
      <c r="A14750" t="s">
        <v>2</v>
      </c>
      <c r="B14750" t="s">
        <v>3458</v>
      </c>
      <c r="C14750" t="s">
        <v>23490</v>
      </c>
      <c r="D14750" t="str">
        <f>HYPERLINK("https://rhld.insurance.arkansas.gov/NPILookup?Npi=1730692914","1730692914")</f>
        <v>1730692914</v>
      </c>
      <c r="E14750" t="s">
        <v>13023</v>
      </c>
    </row>
    <row r="14751" spans="1:5" x14ac:dyDescent="0.25">
      <c r="A14751" t="s">
        <v>2</v>
      </c>
      <c r="B14751" t="s">
        <v>3458</v>
      </c>
      <c r="C14751" t="s">
        <v>23490</v>
      </c>
      <c r="D14751" t="str">
        <f>HYPERLINK("https://rhld.insurance.arkansas.gov/NPILookup?Npi=1730732926","1730732926")</f>
        <v>1730732926</v>
      </c>
      <c r="E14751" t="s">
        <v>21021</v>
      </c>
    </row>
    <row r="14752" spans="1:5" x14ac:dyDescent="0.25">
      <c r="A14752" t="s">
        <v>2</v>
      </c>
      <c r="B14752" t="s">
        <v>3458</v>
      </c>
      <c r="C14752" t="s">
        <v>23490</v>
      </c>
      <c r="D14752" t="str">
        <f>HYPERLINK("https://rhld.insurance.arkansas.gov/NPILookup?Npi=1730771254","1730771254")</f>
        <v>1730771254</v>
      </c>
      <c r="E14752" t="s">
        <v>21023</v>
      </c>
    </row>
    <row r="14753" spans="1:5" x14ac:dyDescent="0.25">
      <c r="A14753" t="s">
        <v>2</v>
      </c>
      <c r="B14753" t="s">
        <v>3458</v>
      </c>
      <c r="C14753" t="s">
        <v>23490</v>
      </c>
      <c r="D14753" t="str">
        <f>HYPERLINK("https://rhld.insurance.arkansas.gov/NPILookup?Npi=1730774308","1730774308")</f>
        <v>1730774308</v>
      </c>
      <c r="E14753" t="s">
        <v>18853</v>
      </c>
    </row>
    <row r="14754" spans="1:5" x14ac:dyDescent="0.25">
      <c r="A14754" t="s">
        <v>2</v>
      </c>
      <c r="B14754" t="s">
        <v>3458</v>
      </c>
      <c r="C14754" t="s">
        <v>23490</v>
      </c>
      <c r="D14754" t="str">
        <f>HYPERLINK("https://rhld.insurance.arkansas.gov/NPILookup?Npi=1730795246","1730795246")</f>
        <v>1730795246</v>
      </c>
      <c r="E14754" t="s">
        <v>17471</v>
      </c>
    </row>
    <row r="14755" spans="1:5" x14ac:dyDescent="0.25">
      <c r="A14755" t="s">
        <v>2</v>
      </c>
      <c r="B14755" t="s">
        <v>3458</v>
      </c>
      <c r="C14755" t="s">
        <v>23490</v>
      </c>
      <c r="D14755" t="str">
        <f>HYPERLINK("https://rhld.insurance.arkansas.gov/NPILookup?Npi=1730803164","1730803164")</f>
        <v>1730803164</v>
      </c>
      <c r="E14755" t="s">
        <v>21638</v>
      </c>
    </row>
    <row r="14756" spans="1:5" x14ac:dyDescent="0.25">
      <c r="A14756" t="s">
        <v>2</v>
      </c>
      <c r="B14756" t="s">
        <v>3458</v>
      </c>
      <c r="C14756" t="s">
        <v>23490</v>
      </c>
      <c r="D14756" t="str">
        <f>HYPERLINK("https://rhld.insurance.arkansas.gov/NPILookup?Npi=1730819707","1730819707")</f>
        <v>1730819707</v>
      </c>
      <c r="E14756" t="s">
        <v>21640</v>
      </c>
    </row>
    <row r="14757" spans="1:5" x14ac:dyDescent="0.25">
      <c r="A14757" t="s">
        <v>2</v>
      </c>
      <c r="B14757" t="s">
        <v>3458</v>
      </c>
      <c r="C14757" t="s">
        <v>23490</v>
      </c>
      <c r="D14757" t="str">
        <f>HYPERLINK("https://rhld.insurance.arkansas.gov/NPILookup?Npi=1730825829","1730825829")</f>
        <v>1730825829</v>
      </c>
      <c r="E14757" t="s">
        <v>21024</v>
      </c>
    </row>
    <row r="14758" spans="1:5" x14ac:dyDescent="0.25">
      <c r="A14758" t="s">
        <v>2</v>
      </c>
      <c r="B14758" t="s">
        <v>3458</v>
      </c>
      <c r="C14758" t="s">
        <v>23490</v>
      </c>
      <c r="D14758" t="str">
        <f>HYPERLINK("https://rhld.insurance.arkansas.gov/NPILookup?Npi=1730851775","1730851775")</f>
        <v>1730851775</v>
      </c>
      <c r="E14758" t="s">
        <v>19985</v>
      </c>
    </row>
    <row r="14759" spans="1:5" x14ac:dyDescent="0.25">
      <c r="A14759" t="s">
        <v>2</v>
      </c>
      <c r="B14759" t="s">
        <v>3458</v>
      </c>
      <c r="C14759" t="s">
        <v>23490</v>
      </c>
      <c r="D14759" t="str">
        <f>HYPERLINK("https://rhld.insurance.arkansas.gov/NPILookup?Npi=1730854241","1730854241")</f>
        <v>1730854241</v>
      </c>
      <c r="E14759" t="s">
        <v>18854</v>
      </c>
    </row>
    <row r="14760" spans="1:5" x14ac:dyDescent="0.25">
      <c r="A14760" t="s">
        <v>2</v>
      </c>
      <c r="B14760" t="s">
        <v>3458</v>
      </c>
      <c r="C14760" t="s">
        <v>23490</v>
      </c>
      <c r="D14760" t="str">
        <f>HYPERLINK("https://rhld.insurance.arkansas.gov/NPILookup?Npi=1730859414","1730859414")</f>
        <v>1730859414</v>
      </c>
      <c r="E14760" t="s">
        <v>20261</v>
      </c>
    </row>
    <row r="14761" spans="1:5" x14ac:dyDescent="0.25">
      <c r="A14761" t="s">
        <v>2</v>
      </c>
      <c r="B14761" t="s">
        <v>3458</v>
      </c>
      <c r="C14761" t="s">
        <v>23490</v>
      </c>
      <c r="D14761" t="str">
        <f>HYPERLINK("https://rhld.insurance.arkansas.gov/NPILookup?Npi=1740217132","1740217132")</f>
        <v>1740217132</v>
      </c>
      <c r="E14761" t="s">
        <v>2604</v>
      </c>
    </row>
    <row r="14762" spans="1:5" x14ac:dyDescent="0.25">
      <c r="A14762" t="s">
        <v>2</v>
      </c>
      <c r="B14762" t="s">
        <v>3458</v>
      </c>
      <c r="C14762" t="s">
        <v>23490</v>
      </c>
      <c r="D14762" t="str">
        <f>HYPERLINK("https://rhld.insurance.arkansas.gov/NPILookup?Npi=1740223460","1740223460")</f>
        <v>1740223460</v>
      </c>
      <c r="E14762" t="s">
        <v>15490</v>
      </c>
    </row>
    <row r="14763" spans="1:5" x14ac:dyDescent="0.25">
      <c r="A14763" t="s">
        <v>2</v>
      </c>
      <c r="B14763" t="s">
        <v>3458</v>
      </c>
      <c r="C14763" t="s">
        <v>23490</v>
      </c>
      <c r="D14763" t="str">
        <f>HYPERLINK("https://rhld.insurance.arkansas.gov/NPILookup?Npi=1740225796","1740225796")</f>
        <v>1740225796</v>
      </c>
      <c r="E14763" t="s">
        <v>1904</v>
      </c>
    </row>
    <row r="14764" spans="1:5" x14ac:dyDescent="0.25">
      <c r="A14764" t="s">
        <v>2</v>
      </c>
      <c r="B14764" t="s">
        <v>3458</v>
      </c>
      <c r="C14764" t="s">
        <v>23490</v>
      </c>
      <c r="D14764" t="str">
        <f>HYPERLINK("https://rhld.insurance.arkansas.gov/NPILookup?Npi=1740229723","1740229723")</f>
        <v>1740229723</v>
      </c>
      <c r="E14764" t="s">
        <v>2605</v>
      </c>
    </row>
    <row r="14765" spans="1:5" x14ac:dyDescent="0.25">
      <c r="A14765" t="s">
        <v>2</v>
      </c>
      <c r="B14765" t="s">
        <v>3458</v>
      </c>
      <c r="C14765" t="s">
        <v>23490</v>
      </c>
      <c r="D14765" t="str">
        <f>HYPERLINK("https://rhld.insurance.arkansas.gov/NPILookup?Npi=1740232693","1740232693")</f>
        <v>1740232693</v>
      </c>
      <c r="E14765" t="s">
        <v>2606</v>
      </c>
    </row>
    <row r="14766" spans="1:5" x14ac:dyDescent="0.25">
      <c r="A14766" t="s">
        <v>2</v>
      </c>
      <c r="B14766" t="s">
        <v>3458</v>
      </c>
      <c r="C14766" t="s">
        <v>23490</v>
      </c>
      <c r="D14766" t="str">
        <f>HYPERLINK("https://rhld.insurance.arkansas.gov/NPILookup?Npi=1740239169","1740239169")</f>
        <v>1740239169</v>
      </c>
      <c r="E14766" t="s">
        <v>2607</v>
      </c>
    </row>
    <row r="14767" spans="1:5" x14ac:dyDescent="0.25">
      <c r="A14767" t="s">
        <v>2</v>
      </c>
      <c r="B14767" t="s">
        <v>3458</v>
      </c>
      <c r="C14767" t="s">
        <v>23490</v>
      </c>
      <c r="D14767" t="str">
        <f>HYPERLINK("https://rhld.insurance.arkansas.gov/NPILookup?Npi=1740246552","1740246552")</f>
        <v>1740246552</v>
      </c>
      <c r="E14767" t="s">
        <v>3908</v>
      </c>
    </row>
    <row r="14768" spans="1:5" x14ac:dyDescent="0.25">
      <c r="A14768" t="s">
        <v>2</v>
      </c>
      <c r="B14768" t="s">
        <v>3458</v>
      </c>
      <c r="C14768" t="s">
        <v>23490</v>
      </c>
      <c r="D14768" t="str">
        <f>HYPERLINK("https://rhld.insurance.arkansas.gov/NPILookup?Npi=1740249523","1740249523")</f>
        <v>1740249523</v>
      </c>
      <c r="E14768" t="s">
        <v>2608</v>
      </c>
    </row>
    <row r="14769" spans="1:5" x14ac:dyDescent="0.25">
      <c r="A14769" t="s">
        <v>2</v>
      </c>
      <c r="B14769" t="s">
        <v>3458</v>
      </c>
      <c r="C14769" t="s">
        <v>23490</v>
      </c>
      <c r="D14769" t="str">
        <f>HYPERLINK("https://rhld.insurance.arkansas.gov/NPILookup?Npi=1740258078","1740258078")</f>
        <v>1740258078</v>
      </c>
      <c r="E14769" t="s">
        <v>2610</v>
      </c>
    </row>
    <row r="14770" spans="1:5" x14ac:dyDescent="0.25">
      <c r="A14770" t="s">
        <v>2</v>
      </c>
      <c r="B14770" t="s">
        <v>3458</v>
      </c>
      <c r="C14770" t="s">
        <v>23490</v>
      </c>
      <c r="D14770" t="str">
        <f>HYPERLINK("https://rhld.insurance.arkansas.gov/NPILookup?Npi=1740266535","1740266535")</f>
        <v>1740266535</v>
      </c>
      <c r="E14770" t="s">
        <v>2612</v>
      </c>
    </row>
    <row r="14771" spans="1:5" x14ac:dyDescent="0.25">
      <c r="A14771" t="s">
        <v>2</v>
      </c>
      <c r="B14771" t="s">
        <v>3458</v>
      </c>
      <c r="C14771" t="s">
        <v>23490</v>
      </c>
      <c r="D14771" t="str">
        <f>HYPERLINK("https://rhld.insurance.arkansas.gov/NPILookup?Npi=1740268333","1740268333")</f>
        <v>1740268333</v>
      </c>
      <c r="E14771" t="s">
        <v>3909</v>
      </c>
    </row>
    <row r="14772" spans="1:5" x14ac:dyDescent="0.25">
      <c r="A14772" t="s">
        <v>2</v>
      </c>
      <c r="B14772" t="s">
        <v>3458</v>
      </c>
      <c r="C14772" t="s">
        <v>23490</v>
      </c>
      <c r="D14772" t="str">
        <f>HYPERLINK("https://rhld.insurance.arkansas.gov/NPILookup?Npi=1740271014","1740271014")</f>
        <v>1740271014</v>
      </c>
      <c r="E14772" t="s">
        <v>2613</v>
      </c>
    </row>
    <row r="14773" spans="1:5" x14ac:dyDescent="0.25">
      <c r="A14773" t="s">
        <v>2</v>
      </c>
      <c r="B14773" t="s">
        <v>3458</v>
      </c>
      <c r="C14773" t="s">
        <v>23490</v>
      </c>
      <c r="D14773" t="str">
        <f>HYPERLINK("https://rhld.insurance.arkansas.gov/NPILookup?Npi=1740274448","1740274448")</f>
        <v>1740274448</v>
      </c>
      <c r="E14773" t="s">
        <v>2614</v>
      </c>
    </row>
    <row r="14774" spans="1:5" x14ac:dyDescent="0.25">
      <c r="A14774" t="s">
        <v>2</v>
      </c>
      <c r="B14774" t="s">
        <v>3458</v>
      </c>
      <c r="C14774" t="s">
        <v>23490</v>
      </c>
      <c r="D14774" t="str">
        <f>HYPERLINK("https://rhld.insurance.arkansas.gov/NPILookup?Npi=1740277110","1740277110")</f>
        <v>1740277110</v>
      </c>
      <c r="E14774" t="s">
        <v>3910</v>
      </c>
    </row>
    <row r="14775" spans="1:5" x14ac:dyDescent="0.25">
      <c r="A14775" t="s">
        <v>2</v>
      </c>
      <c r="B14775" t="s">
        <v>3458</v>
      </c>
      <c r="C14775" t="s">
        <v>23490</v>
      </c>
      <c r="D14775" t="str">
        <f>HYPERLINK("https://rhld.insurance.arkansas.gov/NPILookup?Npi=1740277375","1740277375")</f>
        <v>1740277375</v>
      </c>
      <c r="E14775" t="s">
        <v>2615</v>
      </c>
    </row>
    <row r="14776" spans="1:5" x14ac:dyDescent="0.25">
      <c r="A14776" t="s">
        <v>2</v>
      </c>
      <c r="B14776" t="s">
        <v>3458</v>
      </c>
      <c r="C14776" t="s">
        <v>23490</v>
      </c>
      <c r="D14776" t="str">
        <f>HYPERLINK("https://rhld.insurance.arkansas.gov/NPILookup?Npi=1740277557","1740277557")</f>
        <v>1740277557</v>
      </c>
      <c r="E14776" t="s">
        <v>2616</v>
      </c>
    </row>
    <row r="14777" spans="1:5" x14ac:dyDescent="0.25">
      <c r="A14777" t="s">
        <v>2</v>
      </c>
      <c r="B14777" t="s">
        <v>3458</v>
      </c>
      <c r="C14777" t="s">
        <v>23490</v>
      </c>
      <c r="D14777" t="str">
        <f>HYPERLINK("https://rhld.insurance.arkansas.gov/NPILookup?Npi=1740279553","1740279553")</f>
        <v>1740279553</v>
      </c>
      <c r="E14777" t="s">
        <v>2617</v>
      </c>
    </row>
    <row r="14778" spans="1:5" x14ac:dyDescent="0.25">
      <c r="A14778" t="s">
        <v>2</v>
      </c>
      <c r="B14778" t="s">
        <v>3458</v>
      </c>
      <c r="C14778" t="s">
        <v>23490</v>
      </c>
      <c r="D14778" t="str">
        <f>HYPERLINK("https://rhld.insurance.arkansas.gov/NPILookup?Npi=1740284728","1740284728")</f>
        <v>1740284728</v>
      </c>
      <c r="E14778" t="s">
        <v>15491</v>
      </c>
    </row>
    <row r="14779" spans="1:5" x14ac:dyDescent="0.25">
      <c r="A14779" t="s">
        <v>2</v>
      </c>
      <c r="B14779" t="s">
        <v>3458</v>
      </c>
      <c r="C14779" t="s">
        <v>23490</v>
      </c>
      <c r="D14779" t="str">
        <f>HYPERLINK("https://rhld.insurance.arkansas.gov/NPILookup?Npi=1740289214","1740289214")</f>
        <v>1740289214</v>
      </c>
      <c r="E14779" t="s">
        <v>17472</v>
      </c>
    </row>
    <row r="14780" spans="1:5" x14ac:dyDescent="0.25">
      <c r="A14780" t="s">
        <v>2</v>
      </c>
      <c r="B14780" t="s">
        <v>3458</v>
      </c>
      <c r="C14780" t="s">
        <v>23490</v>
      </c>
      <c r="D14780" t="str">
        <f>HYPERLINK("https://rhld.insurance.arkansas.gov/NPILookup?Npi=1740290964","1740290964")</f>
        <v>1740290964</v>
      </c>
      <c r="E14780" t="s">
        <v>15898</v>
      </c>
    </row>
    <row r="14781" spans="1:5" x14ac:dyDescent="0.25">
      <c r="A14781" t="s">
        <v>2</v>
      </c>
      <c r="B14781" t="s">
        <v>3458</v>
      </c>
      <c r="C14781" t="s">
        <v>23490</v>
      </c>
      <c r="D14781" t="str">
        <f>HYPERLINK("https://rhld.insurance.arkansas.gov/NPILookup?Npi=1740291525","1740291525")</f>
        <v>1740291525</v>
      </c>
      <c r="E14781" t="s">
        <v>12895</v>
      </c>
    </row>
    <row r="14782" spans="1:5" x14ac:dyDescent="0.25">
      <c r="A14782" t="s">
        <v>2</v>
      </c>
      <c r="B14782" t="s">
        <v>3458</v>
      </c>
      <c r="C14782" t="s">
        <v>23490</v>
      </c>
      <c r="D14782" t="str">
        <f>HYPERLINK("https://rhld.insurance.arkansas.gov/NPILookup?Npi=1740326610","1740326610")</f>
        <v>1740326610</v>
      </c>
      <c r="E14782" t="s">
        <v>2620</v>
      </c>
    </row>
    <row r="14783" spans="1:5" x14ac:dyDescent="0.25">
      <c r="A14783" t="s">
        <v>2</v>
      </c>
      <c r="B14783" t="s">
        <v>3458</v>
      </c>
      <c r="C14783" t="s">
        <v>23490</v>
      </c>
      <c r="D14783" t="str">
        <f>HYPERLINK("https://rhld.insurance.arkansas.gov/NPILookup?Npi=1740348663","1740348663")</f>
        <v>1740348663</v>
      </c>
      <c r="E14783" t="s">
        <v>15492</v>
      </c>
    </row>
    <row r="14784" spans="1:5" x14ac:dyDescent="0.25">
      <c r="A14784" t="s">
        <v>2</v>
      </c>
      <c r="B14784" t="s">
        <v>3458</v>
      </c>
      <c r="C14784" t="s">
        <v>23490</v>
      </c>
      <c r="D14784" t="str">
        <f>HYPERLINK("https://rhld.insurance.arkansas.gov/NPILookup?Npi=1740369263","1740369263")</f>
        <v>1740369263</v>
      </c>
      <c r="E14784" t="s">
        <v>1195</v>
      </c>
    </row>
    <row r="14785" spans="1:5" x14ac:dyDescent="0.25">
      <c r="A14785" t="s">
        <v>2</v>
      </c>
      <c r="B14785" t="s">
        <v>3458</v>
      </c>
      <c r="C14785" t="s">
        <v>23490</v>
      </c>
      <c r="D14785" t="str">
        <f>HYPERLINK("https://rhld.insurance.arkansas.gov/NPILookup?Npi=1740394261","1740394261")</f>
        <v>1740394261</v>
      </c>
      <c r="E14785" t="s">
        <v>2625</v>
      </c>
    </row>
    <row r="14786" spans="1:5" x14ac:dyDescent="0.25">
      <c r="A14786" t="s">
        <v>2</v>
      </c>
      <c r="B14786" t="s">
        <v>3458</v>
      </c>
      <c r="C14786" t="s">
        <v>23490</v>
      </c>
      <c r="D14786" t="str">
        <f>HYPERLINK("https://rhld.insurance.arkansas.gov/NPILookup?Npi=1740415611","1740415611")</f>
        <v>1740415611</v>
      </c>
      <c r="E14786" t="s">
        <v>2627</v>
      </c>
    </row>
    <row r="14787" spans="1:5" x14ac:dyDescent="0.25">
      <c r="A14787" t="s">
        <v>2</v>
      </c>
      <c r="B14787" t="s">
        <v>3458</v>
      </c>
      <c r="C14787" t="s">
        <v>23490</v>
      </c>
      <c r="D14787" t="str">
        <f>HYPERLINK("https://rhld.insurance.arkansas.gov/NPILookup?Npi=1740430560","1740430560")</f>
        <v>1740430560</v>
      </c>
      <c r="E14787" t="s">
        <v>20262</v>
      </c>
    </row>
    <row r="14788" spans="1:5" x14ac:dyDescent="0.25">
      <c r="A14788" t="s">
        <v>2</v>
      </c>
      <c r="B14788" t="s">
        <v>3458</v>
      </c>
      <c r="C14788" t="s">
        <v>23490</v>
      </c>
      <c r="D14788" t="str">
        <f>HYPERLINK("https://rhld.insurance.arkansas.gov/NPILookup?Npi=1740439975","1740439975")</f>
        <v>1740439975</v>
      </c>
      <c r="E14788" t="s">
        <v>11218</v>
      </c>
    </row>
    <row r="14789" spans="1:5" x14ac:dyDescent="0.25">
      <c r="A14789" t="s">
        <v>2</v>
      </c>
      <c r="B14789" t="s">
        <v>3458</v>
      </c>
      <c r="C14789" t="s">
        <v>23490</v>
      </c>
      <c r="D14789" t="str">
        <f>HYPERLINK("https://rhld.insurance.arkansas.gov/NPILookup?Npi=1740442284","1740442284")</f>
        <v>1740442284</v>
      </c>
      <c r="E14789" t="s">
        <v>2628</v>
      </c>
    </row>
    <row r="14790" spans="1:5" x14ac:dyDescent="0.25">
      <c r="A14790" t="s">
        <v>2</v>
      </c>
      <c r="B14790" t="s">
        <v>3458</v>
      </c>
      <c r="C14790" t="s">
        <v>23490</v>
      </c>
      <c r="D14790" t="str">
        <f>HYPERLINK("https://rhld.insurance.arkansas.gov/NPILookup?Npi=1740499961","1740499961")</f>
        <v>1740499961</v>
      </c>
      <c r="E14790" t="s">
        <v>3911</v>
      </c>
    </row>
    <row r="14791" spans="1:5" x14ac:dyDescent="0.25">
      <c r="A14791" t="s">
        <v>2</v>
      </c>
      <c r="B14791" t="s">
        <v>3458</v>
      </c>
      <c r="C14791" t="s">
        <v>23490</v>
      </c>
      <c r="D14791" t="str">
        <f>HYPERLINK("https://rhld.insurance.arkansas.gov/NPILookup?Npi=1740500230","1740500230")</f>
        <v>1740500230</v>
      </c>
      <c r="E14791" t="s">
        <v>8988</v>
      </c>
    </row>
    <row r="14792" spans="1:5" x14ac:dyDescent="0.25">
      <c r="A14792" t="s">
        <v>2</v>
      </c>
      <c r="B14792" t="s">
        <v>3458</v>
      </c>
      <c r="C14792" t="s">
        <v>23490</v>
      </c>
      <c r="D14792" t="str">
        <f>HYPERLINK("https://rhld.insurance.arkansas.gov/NPILookup?Npi=1740528546","1740528546")</f>
        <v>1740528546</v>
      </c>
      <c r="E14792" t="s">
        <v>2631</v>
      </c>
    </row>
    <row r="14793" spans="1:5" x14ac:dyDescent="0.25">
      <c r="A14793" t="s">
        <v>2</v>
      </c>
      <c r="B14793" t="s">
        <v>3458</v>
      </c>
      <c r="C14793" t="s">
        <v>23490</v>
      </c>
      <c r="D14793" t="str">
        <f>HYPERLINK("https://rhld.insurance.arkansas.gov/NPILookup?Npi=1740529155","1740529155")</f>
        <v>1740529155</v>
      </c>
      <c r="E14793" t="s">
        <v>12896</v>
      </c>
    </row>
    <row r="14794" spans="1:5" x14ac:dyDescent="0.25">
      <c r="A14794" t="s">
        <v>2</v>
      </c>
      <c r="B14794" t="s">
        <v>3458</v>
      </c>
      <c r="C14794" t="s">
        <v>23490</v>
      </c>
      <c r="D14794" t="str">
        <f>HYPERLINK("https://rhld.insurance.arkansas.gov/NPILookup?Npi=1740532993","1740532993")</f>
        <v>1740532993</v>
      </c>
      <c r="E14794" t="s">
        <v>15493</v>
      </c>
    </row>
    <row r="14795" spans="1:5" x14ac:dyDescent="0.25">
      <c r="A14795" t="s">
        <v>2</v>
      </c>
      <c r="B14795" t="s">
        <v>3458</v>
      </c>
      <c r="C14795" t="s">
        <v>23490</v>
      </c>
      <c r="D14795" t="str">
        <f>HYPERLINK("https://rhld.insurance.arkansas.gov/NPILookup?Npi=1740543347","1740543347")</f>
        <v>1740543347</v>
      </c>
      <c r="E14795" t="s">
        <v>3912</v>
      </c>
    </row>
    <row r="14796" spans="1:5" x14ac:dyDescent="0.25">
      <c r="A14796" t="s">
        <v>2</v>
      </c>
      <c r="B14796" t="s">
        <v>3458</v>
      </c>
      <c r="C14796" t="s">
        <v>23490</v>
      </c>
      <c r="D14796" t="str">
        <f>HYPERLINK("https://rhld.insurance.arkansas.gov/NPILookup?Npi=1740546191","1740546191")</f>
        <v>1740546191</v>
      </c>
      <c r="E14796" t="s">
        <v>11219</v>
      </c>
    </row>
    <row r="14797" spans="1:5" x14ac:dyDescent="0.25">
      <c r="A14797" t="s">
        <v>2</v>
      </c>
      <c r="B14797" t="s">
        <v>3458</v>
      </c>
      <c r="C14797" t="s">
        <v>23490</v>
      </c>
      <c r="D14797" t="str">
        <f>HYPERLINK("https://rhld.insurance.arkansas.gov/NPILookup?Npi=1740547702","1740547702")</f>
        <v>1740547702</v>
      </c>
      <c r="E14797" t="s">
        <v>2633</v>
      </c>
    </row>
    <row r="14798" spans="1:5" x14ac:dyDescent="0.25">
      <c r="A14798" t="s">
        <v>2</v>
      </c>
      <c r="B14798" t="s">
        <v>3458</v>
      </c>
      <c r="C14798" t="s">
        <v>23490</v>
      </c>
      <c r="D14798" t="str">
        <f>HYPERLINK("https://rhld.insurance.arkansas.gov/NPILookup?Npi=1740572387","1740572387")</f>
        <v>1740572387</v>
      </c>
      <c r="E14798" t="s">
        <v>2634</v>
      </c>
    </row>
    <row r="14799" spans="1:5" x14ac:dyDescent="0.25">
      <c r="A14799" t="s">
        <v>2</v>
      </c>
      <c r="B14799" t="s">
        <v>3458</v>
      </c>
      <c r="C14799" t="s">
        <v>23490</v>
      </c>
      <c r="D14799" t="str">
        <f>HYPERLINK("https://rhld.insurance.arkansas.gov/NPILookup?Npi=1740574490","1740574490")</f>
        <v>1740574490</v>
      </c>
      <c r="E14799" t="s">
        <v>15899</v>
      </c>
    </row>
    <row r="14800" spans="1:5" x14ac:dyDescent="0.25">
      <c r="A14800" t="s">
        <v>2</v>
      </c>
      <c r="B14800" t="s">
        <v>3458</v>
      </c>
      <c r="C14800" t="s">
        <v>23490</v>
      </c>
      <c r="D14800" t="str">
        <f>HYPERLINK("https://rhld.insurance.arkansas.gov/NPILookup?Npi=1740574979","1740574979")</f>
        <v>1740574979</v>
      </c>
      <c r="E14800" t="s">
        <v>20263</v>
      </c>
    </row>
    <row r="14801" spans="1:5" x14ac:dyDescent="0.25">
      <c r="A14801" t="s">
        <v>2</v>
      </c>
      <c r="B14801" t="s">
        <v>3458</v>
      </c>
      <c r="C14801" t="s">
        <v>23490</v>
      </c>
      <c r="D14801" t="str">
        <f>HYPERLINK("https://rhld.insurance.arkansas.gov/NPILookup?Npi=1740575075","1740575075")</f>
        <v>1740575075</v>
      </c>
      <c r="E14801" t="s">
        <v>2635</v>
      </c>
    </row>
    <row r="14802" spans="1:5" x14ac:dyDescent="0.25">
      <c r="A14802" t="s">
        <v>2</v>
      </c>
      <c r="B14802" t="s">
        <v>3458</v>
      </c>
      <c r="C14802" t="s">
        <v>23490</v>
      </c>
      <c r="D14802" t="str">
        <f>HYPERLINK("https://rhld.insurance.arkansas.gov/NPILookup?Npi=1740575737","1740575737")</f>
        <v>1740575737</v>
      </c>
      <c r="E14802" t="s">
        <v>15900</v>
      </c>
    </row>
    <row r="14803" spans="1:5" x14ac:dyDescent="0.25">
      <c r="A14803" t="s">
        <v>2</v>
      </c>
      <c r="B14803" t="s">
        <v>3458</v>
      </c>
      <c r="C14803" t="s">
        <v>23490</v>
      </c>
      <c r="D14803" t="str">
        <f>HYPERLINK("https://rhld.insurance.arkansas.gov/NPILookup?Npi=1740614627","1740614627")</f>
        <v>1740614627</v>
      </c>
      <c r="E14803" t="s">
        <v>19987</v>
      </c>
    </row>
    <row r="14804" spans="1:5" x14ac:dyDescent="0.25">
      <c r="A14804" t="s">
        <v>2</v>
      </c>
      <c r="B14804" t="s">
        <v>3458</v>
      </c>
      <c r="C14804" t="s">
        <v>23490</v>
      </c>
      <c r="D14804" t="str">
        <f>HYPERLINK("https://rhld.insurance.arkansas.gov/NPILookup?Npi=1740622497","1740622497")</f>
        <v>1740622497</v>
      </c>
      <c r="E14804" t="s">
        <v>15494</v>
      </c>
    </row>
    <row r="14805" spans="1:5" x14ac:dyDescent="0.25">
      <c r="A14805" t="s">
        <v>2</v>
      </c>
      <c r="B14805" t="s">
        <v>3458</v>
      </c>
      <c r="C14805" t="s">
        <v>23490</v>
      </c>
      <c r="D14805" t="str">
        <f>HYPERLINK("https://rhld.insurance.arkansas.gov/NPILookup?Npi=1740624345","1740624345")</f>
        <v>1740624345</v>
      </c>
      <c r="E14805" t="s">
        <v>11221</v>
      </c>
    </row>
    <row r="14806" spans="1:5" x14ac:dyDescent="0.25">
      <c r="A14806" t="s">
        <v>2</v>
      </c>
      <c r="B14806" t="s">
        <v>3458</v>
      </c>
      <c r="C14806" t="s">
        <v>23490</v>
      </c>
      <c r="D14806" t="str">
        <f>HYPERLINK("https://rhld.insurance.arkansas.gov/NPILookup?Npi=1740629625","1740629625")</f>
        <v>1740629625</v>
      </c>
      <c r="E14806" t="s">
        <v>8831</v>
      </c>
    </row>
    <row r="14807" spans="1:5" x14ac:dyDescent="0.25">
      <c r="A14807" t="s">
        <v>2</v>
      </c>
      <c r="B14807" t="s">
        <v>3458</v>
      </c>
      <c r="C14807" t="s">
        <v>23490</v>
      </c>
      <c r="D14807" t="str">
        <f>HYPERLINK("https://rhld.insurance.arkansas.gov/NPILookup?Npi=1740649920","1740649920")</f>
        <v>1740649920</v>
      </c>
      <c r="E14807" t="s">
        <v>13675</v>
      </c>
    </row>
    <row r="14808" spans="1:5" x14ac:dyDescent="0.25">
      <c r="A14808" t="s">
        <v>2</v>
      </c>
      <c r="B14808" t="s">
        <v>3458</v>
      </c>
      <c r="C14808" t="s">
        <v>23490</v>
      </c>
      <c r="D14808" t="str">
        <f>HYPERLINK("https://rhld.insurance.arkansas.gov/NPILookup?Npi=1740656818","1740656818")</f>
        <v>1740656818</v>
      </c>
      <c r="E14808" t="s">
        <v>11222</v>
      </c>
    </row>
    <row r="14809" spans="1:5" x14ac:dyDescent="0.25">
      <c r="A14809" t="s">
        <v>2</v>
      </c>
      <c r="B14809" t="s">
        <v>3458</v>
      </c>
      <c r="C14809" t="s">
        <v>23490</v>
      </c>
      <c r="D14809" t="str">
        <f>HYPERLINK("https://rhld.insurance.arkansas.gov/NPILookup?Npi=1740657162","1740657162")</f>
        <v>1740657162</v>
      </c>
      <c r="E14809" t="s">
        <v>8832</v>
      </c>
    </row>
    <row r="14810" spans="1:5" x14ac:dyDescent="0.25">
      <c r="A14810" t="s">
        <v>2</v>
      </c>
      <c r="B14810" t="s">
        <v>3458</v>
      </c>
      <c r="C14810" t="s">
        <v>23490</v>
      </c>
      <c r="D14810" t="str">
        <f>HYPERLINK("https://rhld.insurance.arkansas.gov/NPILookup?Npi=1740659960","1740659960")</f>
        <v>1740659960</v>
      </c>
      <c r="E14810" t="s">
        <v>15495</v>
      </c>
    </row>
    <row r="14811" spans="1:5" x14ac:dyDescent="0.25">
      <c r="A14811" t="s">
        <v>2</v>
      </c>
      <c r="B14811" t="s">
        <v>3458</v>
      </c>
      <c r="C14811" t="s">
        <v>23490</v>
      </c>
      <c r="D14811" t="str">
        <f>HYPERLINK("https://rhld.insurance.arkansas.gov/NPILookup?Npi=1740664226","1740664226")</f>
        <v>1740664226</v>
      </c>
      <c r="E14811" t="s">
        <v>2638</v>
      </c>
    </row>
    <row r="14812" spans="1:5" x14ac:dyDescent="0.25">
      <c r="A14812" t="s">
        <v>2</v>
      </c>
      <c r="B14812" t="s">
        <v>3458</v>
      </c>
      <c r="C14812" t="s">
        <v>23490</v>
      </c>
      <c r="D14812" t="str">
        <f>HYPERLINK("https://rhld.insurance.arkansas.gov/NPILookup?Npi=1740678226","1740678226")</f>
        <v>1740678226</v>
      </c>
      <c r="E14812" t="s">
        <v>18098</v>
      </c>
    </row>
    <row r="14813" spans="1:5" x14ac:dyDescent="0.25">
      <c r="A14813" t="s">
        <v>2</v>
      </c>
      <c r="B14813" t="s">
        <v>3458</v>
      </c>
      <c r="C14813" t="s">
        <v>23490</v>
      </c>
      <c r="D14813" t="str">
        <f>HYPERLINK("https://rhld.insurance.arkansas.gov/NPILookup?Npi=1740686302","1740686302")</f>
        <v>1740686302</v>
      </c>
      <c r="E14813" t="s">
        <v>13677</v>
      </c>
    </row>
    <row r="14814" spans="1:5" x14ac:dyDescent="0.25">
      <c r="A14814" t="s">
        <v>2</v>
      </c>
      <c r="B14814" t="s">
        <v>3458</v>
      </c>
      <c r="C14814" t="s">
        <v>23490</v>
      </c>
      <c r="D14814" t="str">
        <f>HYPERLINK("https://rhld.insurance.arkansas.gov/NPILookup?Npi=1740693183","1740693183")</f>
        <v>1740693183</v>
      </c>
      <c r="E14814" t="s">
        <v>11223</v>
      </c>
    </row>
    <row r="14815" spans="1:5" x14ac:dyDescent="0.25">
      <c r="A14815" t="s">
        <v>2</v>
      </c>
      <c r="B14815" t="s">
        <v>3458</v>
      </c>
      <c r="C14815" t="s">
        <v>23490</v>
      </c>
      <c r="D14815" t="str">
        <f>HYPERLINK("https://rhld.insurance.arkansas.gov/NPILookup?Npi=1740695410","1740695410")</f>
        <v>1740695410</v>
      </c>
      <c r="E14815" t="s">
        <v>11224</v>
      </c>
    </row>
    <row r="14816" spans="1:5" x14ac:dyDescent="0.25">
      <c r="A14816" t="s">
        <v>2</v>
      </c>
      <c r="B14816" t="s">
        <v>3458</v>
      </c>
      <c r="C14816" t="s">
        <v>23490</v>
      </c>
      <c r="D14816" t="str">
        <f>HYPERLINK("https://rhld.insurance.arkansas.gov/NPILookup?Npi=1740704774","1740704774")</f>
        <v>1740704774</v>
      </c>
      <c r="E14816" t="s">
        <v>11225</v>
      </c>
    </row>
    <row r="14817" spans="1:5" x14ac:dyDescent="0.25">
      <c r="A14817" t="s">
        <v>2</v>
      </c>
      <c r="B14817" t="s">
        <v>3458</v>
      </c>
      <c r="C14817" t="s">
        <v>23490</v>
      </c>
      <c r="D14817" t="str">
        <f>HYPERLINK("https://rhld.insurance.arkansas.gov/NPILookup?Npi=1740713650","1740713650")</f>
        <v>1740713650</v>
      </c>
      <c r="E14817" t="s">
        <v>20264</v>
      </c>
    </row>
    <row r="14818" spans="1:5" x14ac:dyDescent="0.25">
      <c r="A14818" t="s">
        <v>2</v>
      </c>
      <c r="B14818" t="s">
        <v>3458</v>
      </c>
      <c r="C14818" t="s">
        <v>23490</v>
      </c>
      <c r="D14818" t="str">
        <f>HYPERLINK("https://rhld.insurance.arkansas.gov/NPILookup?Npi=1740719590","1740719590")</f>
        <v>1740719590</v>
      </c>
      <c r="E14818" t="s">
        <v>11226</v>
      </c>
    </row>
    <row r="14819" spans="1:5" x14ac:dyDescent="0.25">
      <c r="A14819" t="s">
        <v>2</v>
      </c>
      <c r="B14819" t="s">
        <v>3458</v>
      </c>
      <c r="C14819" t="s">
        <v>23490</v>
      </c>
      <c r="D14819" t="str">
        <f>HYPERLINK("https://rhld.insurance.arkansas.gov/NPILookup?Npi=1740727478","1740727478")</f>
        <v>1740727478</v>
      </c>
      <c r="E14819" t="s">
        <v>11227</v>
      </c>
    </row>
    <row r="14820" spans="1:5" x14ac:dyDescent="0.25">
      <c r="A14820" t="s">
        <v>2</v>
      </c>
      <c r="B14820" t="s">
        <v>3458</v>
      </c>
      <c r="C14820" t="s">
        <v>23490</v>
      </c>
      <c r="D14820" t="str">
        <f>HYPERLINK("https://rhld.insurance.arkansas.gov/NPILookup?Npi=1740730290","1740730290")</f>
        <v>1740730290</v>
      </c>
      <c r="E14820" t="s">
        <v>12897</v>
      </c>
    </row>
    <row r="14821" spans="1:5" x14ac:dyDescent="0.25">
      <c r="A14821" t="s">
        <v>2</v>
      </c>
      <c r="B14821" t="s">
        <v>3458</v>
      </c>
      <c r="C14821" t="s">
        <v>23490</v>
      </c>
      <c r="D14821" t="str">
        <f>HYPERLINK("https://rhld.insurance.arkansas.gov/NPILookup?Npi=1740731306","1740731306")</f>
        <v>1740731306</v>
      </c>
      <c r="E14821" t="s">
        <v>11228</v>
      </c>
    </row>
    <row r="14822" spans="1:5" x14ac:dyDescent="0.25">
      <c r="A14822" t="s">
        <v>2</v>
      </c>
      <c r="B14822" t="s">
        <v>3458</v>
      </c>
      <c r="C14822" t="s">
        <v>23490</v>
      </c>
      <c r="D14822" t="str">
        <f>HYPERLINK("https://rhld.insurance.arkansas.gov/NPILookup?Npi=1740732130","1740732130")</f>
        <v>1740732130</v>
      </c>
      <c r="E14822" t="s">
        <v>15497</v>
      </c>
    </row>
    <row r="14823" spans="1:5" x14ac:dyDescent="0.25">
      <c r="A14823" t="s">
        <v>2</v>
      </c>
      <c r="B14823" t="s">
        <v>3458</v>
      </c>
      <c r="C14823" t="s">
        <v>23490</v>
      </c>
      <c r="D14823" t="str">
        <f>HYPERLINK("https://rhld.insurance.arkansas.gov/NPILookup?Npi=1740736180","1740736180")</f>
        <v>1740736180</v>
      </c>
      <c r="E14823" t="s">
        <v>11229</v>
      </c>
    </row>
    <row r="14824" spans="1:5" x14ac:dyDescent="0.25">
      <c r="A14824" t="s">
        <v>2</v>
      </c>
      <c r="B14824" t="s">
        <v>3458</v>
      </c>
      <c r="C14824" t="s">
        <v>23490</v>
      </c>
      <c r="D14824" t="str">
        <f>HYPERLINK("https://rhld.insurance.arkansas.gov/NPILookup?Npi=1740742998","1740742998")</f>
        <v>1740742998</v>
      </c>
      <c r="E14824" t="s">
        <v>21025</v>
      </c>
    </row>
    <row r="14825" spans="1:5" x14ac:dyDescent="0.25">
      <c r="A14825" t="s">
        <v>2</v>
      </c>
      <c r="B14825" t="s">
        <v>3458</v>
      </c>
      <c r="C14825" t="s">
        <v>23490</v>
      </c>
      <c r="D14825" t="str">
        <f>HYPERLINK("https://rhld.insurance.arkansas.gov/NPILookup?Npi=1740756659","1740756659")</f>
        <v>1740756659</v>
      </c>
      <c r="E14825" t="s">
        <v>17473</v>
      </c>
    </row>
    <row r="14826" spans="1:5" x14ac:dyDescent="0.25">
      <c r="A14826" t="s">
        <v>2</v>
      </c>
      <c r="B14826" t="s">
        <v>3458</v>
      </c>
      <c r="C14826" t="s">
        <v>23490</v>
      </c>
      <c r="D14826" t="str">
        <f>HYPERLINK("https://rhld.insurance.arkansas.gov/NPILookup?Npi=1740765023","1740765023")</f>
        <v>1740765023</v>
      </c>
      <c r="E14826" t="s">
        <v>13679</v>
      </c>
    </row>
    <row r="14827" spans="1:5" x14ac:dyDescent="0.25">
      <c r="A14827" t="s">
        <v>2</v>
      </c>
      <c r="B14827" t="s">
        <v>3458</v>
      </c>
      <c r="C14827" t="s">
        <v>23490</v>
      </c>
      <c r="D14827" t="str">
        <f>HYPERLINK("https://rhld.insurance.arkansas.gov/NPILookup?Npi=1740774579","1740774579")</f>
        <v>1740774579</v>
      </c>
      <c r="E14827" t="s">
        <v>5430</v>
      </c>
    </row>
    <row r="14828" spans="1:5" x14ac:dyDescent="0.25">
      <c r="A14828" t="s">
        <v>2</v>
      </c>
      <c r="B14828" t="s">
        <v>3458</v>
      </c>
      <c r="C14828" t="s">
        <v>23490</v>
      </c>
      <c r="D14828" t="str">
        <f>HYPERLINK("https://rhld.insurance.arkansas.gov/NPILookup?Npi=1740795533","1740795533")</f>
        <v>1740795533</v>
      </c>
      <c r="E14828" t="s">
        <v>13025</v>
      </c>
    </row>
    <row r="14829" spans="1:5" x14ac:dyDescent="0.25">
      <c r="A14829" t="s">
        <v>2</v>
      </c>
      <c r="B14829" t="s">
        <v>3458</v>
      </c>
      <c r="C14829" t="s">
        <v>23490</v>
      </c>
      <c r="D14829" t="str">
        <f>HYPERLINK("https://rhld.insurance.arkansas.gov/NPILookup?Npi=1740820950","1740820950")</f>
        <v>1740820950</v>
      </c>
      <c r="E14829" t="s">
        <v>18855</v>
      </c>
    </row>
    <row r="14830" spans="1:5" x14ac:dyDescent="0.25">
      <c r="A14830" t="s">
        <v>2</v>
      </c>
      <c r="B14830" t="s">
        <v>3458</v>
      </c>
      <c r="C14830" t="s">
        <v>23490</v>
      </c>
      <c r="D14830" t="str">
        <f>HYPERLINK("https://rhld.insurance.arkansas.gov/NPILookup?Npi=1740850387","1740850387")</f>
        <v>1740850387</v>
      </c>
      <c r="E14830" t="s">
        <v>18856</v>
      </c>
    </row>
    <row r="14831" spans="1:5" x14ac:dyDescent="0.25">
      <c r="A14831" t="s">
        <v>2</v>
      </c>
      <c r="B14831" t="s">
        <v>3458</v>
      </c>
      <c r="C14831" t="s">
        <v>23490</v>
      </c>
      <c r="D14831" t="str">
        <f>HYPERLINK("https://rhld.insurance.arkansas.gov/NPILookup?Npi=1740855980","1740855980")</f>
        <v>1740855980</v>
      </c>
      <c r="E14831" t="s">
        <v>18857</v>
      </c>
    </row>
    <row r="14832" spans="1:5" x14ac:dyDescent="0.25">
      <c r="A14832" t="s">
        <v>2</v>
      </c>
      <c r="B14832" t="s">
        <v>3458</v>
      </c>
      <c r="C14832" t="s">
        <v>23490</v>
      </c>
      <c r="D14832" t="str">
        <f>HYPERLINK("https://rhld.insurance.arkansas.gov/NPILookup?Npi=1740869007","1740869007")</f>
        <v>1740869007</v>
      </c>
      <c r="E14832" t="s">
        <v>18858</v>
      </c>
    </row>
    <row r="14833" spans="1:5" x14ac:dyDescent="0.25">
      <c r="A14833" t="s">
        <v>2</v>
      </c>
      <c r="B14833" t="s">
        <v>3458</v>
      </c>
      <c r="C14833" t="s">
        <v>23490</v>
      </c>
      <c r="D14833" t="str">
        <f>HYPERLINK("https://rhld.insurance.arkansas.gov/NPILookup?Npi=1740870583","1740870583")</f>
        <v>1740870583</v>
      </c>
      <c r="E14833" t="s">
        <v>19989</v>
      </c>
    </row>
    <row r="14834" spans="1:5" x14ac:dyDescent="0.25">
      <c r="A14834" t="s">
        <v>2</v>
      </c>
      <c r="B14834" t="s">
        <v>3458</v>
      </c>
      <c r="C14834" t="s">
        <v>23490</v>
      </c>
      <c r="D14834" t="str">
        <f>HYPERLINK("https://rhld.insurance.arkansas.gov/NPILookup?Npi=1740922962","1740922962")</f>
        <v>1740922962</v>
      </c>
      <c r="E14834" t="s">
        <v>21643</v>
      </c>
    </row>
    <row r="14835" spans="1:5" x14ac:dyDescent="0.25">
      <c r="A14835" t="s">
        <v>2</v>
      </c>
      <c r="B14835" t="s">
        <v>3458</v>
      </c>
      <c r="C14835" t="s">
        <v>23490</v>
      </c>
      <c r="D14835" t="str">
        <f>HYPERLINK("https://rhld.insurance.arkansas.gov/NPILookup?Npi=1740924455","1740924455")</f>
        <v>1740924455</v>
      </c>
      <c r="E14835" t="s">
        <v>21026</v>
      </c>
    </row>
    <row r="14836" spans="1:5" x14ac:dyDescent="0.25">
      <c r="A14836" t="s">
        <v>2</v>
      </c>
      <c r="B14836" t="s">
        <v>3458</v>
      </c>
      <c r="C14836" t="s">
        <v>23490</v>
      </c>
      <c r="D14836" t="str">
        <f>HYPERLINK("https://rhld.insurance.arkansas.gov/NPILookup?Npi=1740932722","1740932722")</f>
        <v>1740932722</v>
      </c>
      <c r="E14836" t="s">
        <v>21027</v>
      </c>
    </row>
    <row r="14837" spans="1:5" x14ac:dyDescent="0.25">
      <c r="A14837" t="s">
        <v>2</v>
      </c>
      <c r="B14837" t="s">
        <v>3458</v>
      </c>
      <c r="C14837" t="s">
        <v>23490</v>
      </c>
      <c r="D14837" t="str">
        <f>HYPERLINK("https://rhld.insurance.arkansas.gov/NPILookup?Npi=1740956721","1740956721")</f>
        <v>1740956721</v>
      </c>
      <c r="E14837" t="s">
        <v>5528</v>
      </c>
    </row>
    <row r="14838" spans="1:5" x14ac:dyDescent="0.25">
      <c r="A14838" t="s">
        <v>2</v>
      </c>
      <c r="B14838" t="s">
        <v>3458</v>
      </c>
      <c r="C14838" t="s">
        <v>23490</v>
      </c>
      <c r="D14838" t="str">
        <f>HYPERLINK("https://rhld.insurance.arkansas.gov/NPILookup?Npi=1750013439","1750013439")</f>
        <v>1750013439</v>
      </c>
      <c r="E14838" t="s">
        <v>21644</v>
      </c>
    </row>
    <row r="14839" spans="1:5" x14ac:dyDescent="0.25">
      <c r="A14839" t="s">
        <v>2</v>
      </c>
      <c r="B14839" t="s">
        <v>3458</v>
      </c>
      <c r="C14839" t="s">
        <v>23490</v>
      </c>
      <c r="D14839" t="str">
        <f>HYPERLINK("https://rhld.insurance.arkansas.gov/NPILookup?Npi=1750035598","1750035598")</f>
        <v>1750035598</v>
      </c>
      <c r="E14839" t="s">
        <v>19990</v>
      </c>
    </row>
    <row r="14840" spans="1:5" x14ac:dyDescent="0.25">
      <c r="A14840" t="s">
        <v>2</v>
      </c>
      <c r="B14840" t="s">
        <v>3458</v>
      </c>
      <c r="C14840" t="s">
        <v>23490</v>
      </c>
      <c r="D14840" t="str">
        <f>HYPERLINK("https://rhld.insurance.arkansas.gov/NPILookup?Npi=1750039152","1750039152")</f>
        <v>1750039152</v>
      </c>
      <c r="E14840" t="s">
        <v>21028</v>
      </c>
    </row>
    <row r="14841" spans="1:5" x14ac:dyDescent="0.25">
      <c r="A14841" t="s">
        <v>2</v>
      </c>
      <c r="B14841" t="s">
        <v>3458</v>
      </c>
      <c r="C14841" t="s">
        <v>23490</v>
      </c>
      <c r="D14841" t="str">
        <f>HYPERLINK("https://rhld.insurance.arkansas.gov/NPILookup?Npi=1750300273","1750300273")</f>
        <v>1750300273</v>
      </c>
      <c r="E14841" t="s">
        <v>11230</v>
      </c>
    </row>
    <row r="14842" spans="1:5" x14ac:dyDescent="0.25">
      <c r="A14842" t="s">
        <v>2</v>
      </c>
      <c r="B14842" t="s">
        <v>3458</v>
      </c>
      <c r="C14842" t="s">
        <v>23490</v>
      </c>
      <c r="D14842" t="str">
        <f>HYPERLINK("https://rhld.insurance.arkansas.gov/NPILookup?Npi=1750316634","1750316634")</f>
        <v>1750316634</v>
      </c>
      <c r="E14842" t="s">
        <v>2640</v>
      </c>
    </row>
    <row r="14843" spans="1:5" x14ac:dyDescent="0.25">
      <c r="A14843" t="s">
        <v>2</v>
      </c>
      <c r="B14843" t="s">
        <v>3458</v>
      </c>
      <c r="C14843" t="s">
        <v>23490</v>
      </c>
      <c r="D14843" t="str">
        <f>HYPERLINK("https://rhld.insurance.arkansas.gov/NPILookup?Npi=1750318796","1750318796")</f>
        <v>1750318796</v>
      </c>
      <c r="E14843" t="s">
        <v>2641</v>
      </c>
    </row>
    <row r="14844" spans="1:5" x14ac:dyDescent="0.25">
      <c r="A14844" t="s">
        <v>2</v>
      </c>
      <c r="B14844" t="s">
        <v>3458</v>
      </c>
      <c r="C14844" t="s">
        <v>23490</v>
      </c>
      <c r="D14844" t="str">
        <f>HYPERLINK("https://rhld.insurance.arkansas.gov/NPILookup?Npi=1750319216","1750319216")</f>
        <v>1750319216</v>
      </c>
      <c r="E14844" t="s">
        <v>3913</v>
      </c>
    </row>
    <row r="14845" spans="1:5" x14ac:dyDescent="0.25">
      <c r="A14845" t="s">
        <v>2</v>
      </c>
      <c r="B14845" t="s">
        <v>3458</v>
      </c>
      <c r="C14845" t="s">
        <v>23490</v>
      </c>
      <c r="D14845" t="str">
        <f>HYPERLINK("https://rhld.insurance.arkansas.gov/NPILookup?Npi=1750327391","1750327391")</f>
        <v>1750327391</v>
      </c>
      <c r="E14845" t="s">
        <v>11231</v>
      </c>
    </row>
    <row r="14846" spans="1:5" x14ac:dyDescent="0.25">
      <c r="A14846" t="s">
        <v>2</v>
      </c>
      <c r="B14846" t="s">
        <v>3458</v>
      </c>
      <c r="C14846" t="s">
        <v>23490</v>
      </c>
      <c r="D14846" t="str">
        <f>HYPERLINK("https://rhld.insurance.arkansas.gov/NPILookup?Npi=1750328233","1750328233")</f>
        <v>1750328233</v>
      </c>
      <c r="E14846" t="s">
        <v>12898</v>
      </c>
    </row>
    <row r="14847" spans="1:5" x14ac:dyDescent="0.25">
      <c r="A14847" t="s">
        <v>2</v>
      </c>
      <c r="B14847" t="s">
        <v>3458</v>
      </c>
      <c r="C14847" t="s">
        <v>23490</v>
      </c>
      <c r="D14847" t="str">
        <f>HYPERLINK("https://rhld.insurance.arkansas.gov/NPILookup?Npi=1750342531","1750342531")</f>
        <v>1750342531</v>
      </c>
      <c r="E14847" t="s">
        <v>2643</v>
      </c>
    </row>
    <row r="14848" spans="1:5" x14ac:dyDescent="0.25">
      <c r="A14848" t="s">
        <v>2</v>
      </c>
      <c r="B14848" t="s">
        <v>3458</v>
      </c>
      <c r="C14848" t="s">
        <v>23490</v>
      </c>
      <c r="D14848" t="str">
        <f>HYPERLINK("https://rhld.insurance.arkansas.gov/NPILookup?Npi=1750342804","1750342804")</f>
        <v>1750342804</v>
      </c>
      <c r="E14848" t="s">
        <v>2644</v>
      </c>
    </row>
    <row r="14849" spans="1:5" x14ac:dyDescent="0.25">
      <c r="A14849" t="s">
        <v>2</v>
      </c>
      <c r="B14849" t="s">
        <v>3458</v>
      </c>
      <c r="C14849" t="s">
        <v>23490</v>
      </c>
      <c r="D14849" t="str">
        <f>HYPERLINK("https://rhld.insurance.arkansas.gov/NPILookup?Npi=1750343190","1750343190")</f>
        <v>1750343190</v>
      </c>
      <c r="E14849" t="s">
        <v>2645</v>
      </c>
    </row>
    <row r="14850" spans="1:5" x14ac:dyDescent="0.25">
      <c r="A14850" t="s">
        <v>2</v>
      </c>
      <c r="B14850" t="s">
        <v>3458</v>
      </c>
      <c r="C14850" t="s">
        <v>23490</v>
      </c>
      <c r="D14850" t="str">
        <f>HYPERLINK("https://rhld.insurance.arkansas.gov/NPILookup?Npi=1750347258","1750347258")</f>
        <v>1750347258</v>
      </c>
      <c r="E14850" t="s">
        <v>2646</v>
      </c>
    </row>
    <row r="14851" spans="1:5" x14ac:dyDescent="0.25">
      <c r="A14851" t="s">
        <v>2</v>
      </c>
      <c r="B14851" t="s">
        <v>3458</v>
      </c>
      <c r="C14851" t="s">
        <v>23490</v>
      </c>
      <c r="D14851" t="str">
        <f>HYPERLINK("https://rhld.insurance.arkansas.gov/NPILookup?Npi=1750349858","1750349858")</f>
        <v>1750349858</v>
      </c>
      <c r="E14851" t="s">
        <v>2647</v>
      </c>
    </row>
    <row r="14852" spans="1:5" x14ac:dyDescent="0.25">
      <c r="A14852" t="s">
        <v>2</v>
      </c>
      <c r="B14852" t="s">
        <v>3458</v>
      </c>
      <c r="C14852" t="s">
        <v>23490</v>
      </c>
      <c r="D14852" t="str">
        <f>HYPERLINK("https://rhld.insurance.arkansas.gov/NPILookup?Npi=1750351540","1750351540")</f>
        <v>1750351540</v>
      </c>
      <c r="E14852" t="s">
        <v>15499</v>
      </c>
    </row>
    <row r="14853" spans="1:5" x14ac:dyDescent="0.25">
      <c r="A14853" t="s">
        <v>2</v>
      </c>
      <c r="B14853" t="s">
        <v>3458</v>
      </c>
      <c r="C14853" t="s">
        <v>23490</v>
      </c>
      <c r="D14853" t="str">
        <f>HYPERLINK("https://rhld.insurance.arkansas.gov/NPILookup?Npi=1750352597","1750352597")</f>
        <v>1750352597</v>
      </c>
      <c r="E14853" t="s">
        <v>15500</v>
      </c>
    </row>
    <row r="14854" spans="1:5" x14ac:dyDescent="0.25">
      <c r="A14854" t="s">
        <v>2</v>
      </c>
      <c r="B14854" t="s">
        <v>3458</v>
      </c>
      <c r="C14854" t="s">
        <v>23490</v>
      </c>
      <c r="D14854" t="str">
        <f>HYPERLINK("https://rhld.insurance.arkansas.gov/NPILookup?Npi=1750354007","1750354007")</f>
        <v>1750354007</v>
      </c>
      <c r="E14854" t="s">
        <v>2648</v>
      </c>
    </row>
    <row r="14855" spans="1:5" x14ac:dyDescent="0.25">
      <c r="A14855" t="s">
        <v>2</v>
      </c>
      <c r="B14855" t="s">
        <v>3458</v>
      </c>
      <c r="C14855" t="s">
        <v>23490</v>
      </c>
      <c r="D14855" t="str">
        <f>HYPERLINK("https://rhld.insurance.arkansas.gov/NPILookup?Npi=1750368437","1750368437")</f>
        <v>1750368437</v>
      </c>
      <c r="E14855" t="s">
        <v>3914</v>
      </c>
    </row>
    <row r="14856" spans="1:5" x14ac:dyDescent="0.25">
      <c r="A14856" t="s">
        <v>2</v>
      </c>
      <c r="B14856" t="s">
        <v>3458</v>
      </c>
      <c r="C14856" t="s">
        <v>23490</v>
      </c>
      <c r="D14856" t="str">
        <f>HYPERLINK("https://rhld.insurance.arkansas.gov/NPILookup?Npi=1750373957","1750373957")</f>
        <v>1750373957</v>
      </c>
      <c r="E14856" t="s">
        <v>2649</v>
      </c>
    </row>
    <row r="14857" spans="1:5" x14ac:dyDescent="0.25">
      <c r="A14857" t="s">
        <v>2</v>
      </c>
      <c r="B14857" t="s">
        <v>3458</v>
      </c>
      <c r="C14857" t="s">
        <v>23490</v>
      </c>
      <c r="D14857" t="str">
        <f>HYPERLINK("https://rhld.insurance.arkansas.gov/NPILookup?Npi=1750375291","1750375291")</f>
        <v>1750375291</v>
      </c>
      <c r="E14857" t="s">
        <v>2650</v>
      </c>
    </row>
    <row r="14858" spans="1:5" x14ac:dyDescent="0.25">
      <c r="A14858" t="s">
        <v>2</v>
      </c>
      <c r="B14858" t="s">
        <v>3458</v>
      </c>
      <c r="C14858" t="s">
        <v>23490</v>
      </c>
      <c r="D14858" t="str">
        <f>HYPERLINK("https://rhld.insurance.arkansas.gov/NPILookup?Npi=1750376737","1750376737")</f>
        <v>1750376737</v>
      </c>
      <c r="E14858" t="s">
        <v>8989</v>
      </c>
    </row>
    <row r="14859" spans="1:5" x14ac:dyDescent="0.25">
      <c r="A14859" t="s">
        <v>2</v>
      </c>
      <c r="B14859" t="s">
        <v>3458</v>
      </c>
      <c r="C14859" t="s">
        <v>23490</v>
      </c>
      <c r="D14859" t="str">
        <f>HYPERLINK("https://rhld.insurance.arkansas.gov/NPILookup?Npi=1750383543","1750383543")</f>
        <v>1750383543</v>
      </c>
      <c r="E14859" t="s">
        <v>15502</v>
      </c>
    </row>
    <row r="14860" spans="1:5" x14ac:dyDescent="0.25">
      <c r="A14860" t="s">
        <v>2</v>
      </c>
      <c r="B14860" t="s">
        <v>3458</v>
      </c>
      <c r="C14860" t="s">
        <v>23490</v>
      </c>
      <c r="D14860" t="str">
        <f>HYPERLINK("https://rhld.insurance.arkansas.gov/NPILookup?Npi=1750386488","1750386488")</f>
        <v>1750386488</v>
      </c>
      <c r="E14860" t="s">
        <v>15503</v>
      </c>
    </row>
    <row r="14861" spans="1:5" x14ac:dyDescent="0.25">
      <c r="A14861" t="s">
        <v>2</v>
      </c>
      <c r="B14861" t="s">
        <v>3458</v>
      </c>
      <c r="C14861" t="s">
        <v>23490</v>
      </c>
      <c r="D14861" t="str">
        <f>HYPERLINK("https://rhld.insurance.arkansas.gov/NPILookup?Npi=1750386553","1750386553")</f>
        <v>1750386553</v>
      </c>
      <c r="E14861" t="s">
        <v>2652</v>
      </c>
    </row>
    <row r="14862" spans="1:5" x14ac:dyDescent="0.25">
      <c r="A14862" t="s">
        <v>2</v>
      </c>
      <c r="B14862" t="s">
        <v>3458</v>
      </c>
      <c r="C14862" t="s">
        <v>23490</v>
      </c>
      <c r="D14862" t="str">
        <f>HYPERLINK("https://rhld.insurance.arkansas.gov/NPILookup?Npi=1750386876","1750386876")</f>
        <v>1750386876</v>
      </c>
      <c r="E14862" t="s">
        <v>2653</v>
      </c>
    </row>
    <row r="14863" spans="1:5" x14ac:dyDescent="0.25">
      <c r="A14863" t="s">
        <v>2</v>
      </c>
      <c r="B14863" t="s">
        <v>3458</v>
      </c>
      <c r="C14863" t="s">
        <v>23490</v>
      </c>
      <c r="D14863" t="str">
        <f>HYPERLINK("https://rhld.insurance.arkansas.gov/NPILookup?Npi=1750388401","1750388401")</f>
        <v>1750388401</v>
      </c>
      <c r="E14863" t="s">
        <v>2654</v>
      </c>
    </row>
    <row r="14864" spans="1:5" x14ac:dyDescent="0.25">
      <c r="A14864" t="s">
        <v>2</v>
      </c>
      <c r="B14864" t="s">
        <v>3458</v>
      </c>
      <c r="C14864" t="s">
        <v>23490</v>
      </c>
      <c r="D14864" t="str">
        <f>HYPERLINK("https://rhld.insurance.arkansas.gov/NPILookup?Npi=1750388492","1750388492")</f>
        <v>1750388492</v>
      </c>
      <c r="E14864" t="s">
        <v>3915</v>
      </c>
    </row>
    <row r="14865" spans="1:5" x14ac:dyDescent="0.25">
      <c r="A14865" t="s">
        <v>2</v>
      </c>
      <c r="B14865" t="s">
        <v>3458</v>
      </c>
      <c r="C14865" t="s">
        <v>23490</v>
      </c>
      <c r="D14865" t="str">
        <f>HYPERLINK("https://rhld.insurance.arkansas.gov/NPILookup?Npi=1750390068","1750390068")</f>
        <v>1750390068</v>
      </c>
      <c r="E14865" t="s">
        <v>22898</v>
      </c>
    </row>
    <row r="14866" spans="1:5" x14ac:dyDescent="0.25">
      <c r="A14866" t="s">
        <v>2</v>
      </c>
      <c r="B14866" t="s">
        <v>3458</v>
      </c>
      <c r="C14866" t="s">
        <v>23490</v>
      </c>
      <c r="D14866" t="str">
        <f>HYPERLINK("https://rhld.insurance.arkansas.gov/NPILookup?Npi=1750391116","1750391116")</f>
        <v>1750391116</v>
      </c>
      <c r="E14866" t="s">
        <v>2657</v>
      </c>
    </row>
    <row r="14867" spans="1:5" x14ac:dyDescent="0.25">
      <c r="A14867" t="s">
        <v>2</v>
      </c>
      <c r="B14867" t="s">
        <v>3458</v>
      </c>
      <c r="C14867" t="s">
        <v>23490</v>
      </c>
      <c r="D14867" t="str">
        <f>HYPERLINK("https://rhld.insurance.arkansas.gov/NPILookup?Npi=1750406658","1750406658")</f>
        <v>1750406658</v>
      </c>
      <c r="E14867" t="s">
        <v>2658</v>
      </c>
    </row>
    <row r="14868" spans="1:5" x14ac:dyDescent="0.25">
      <c r="A14868" t="s">
        <v>2</v>
      </c>
      <c r="B14868" t="s">
        <v>3458</v>
      </c>
      <c r="C14868" t="s">
        <v>23490</v>
      </c>
      <c r="D14868" t="str">
        <f>HYPERLINK("https://rhld.insurance.arkansas.gov/NPILookup?Npi=1750411088","1750411088")</f>
        <v>1750411088</v>
      </c>
      <c r="E14868" t="s">
        <v>8833</v>
      </c>
    </row>
    <row r="14869" spans="1:5" x14ac:dyDescent="0.25">
      <c r="A14869" t="s">
        <v>2</v>
      </c>
      <c r="B14869" t="s">
        <v>3458</v>
      </c>
      <c r="C14869" t="s">
        <v>23490</v>
      </c>
      <c r="D14869" t="str">
        <f>HYPERLINK("https://rhld.insurance.arkansas.gov/NPILookup?Npi=1750421640","1750421640")</f>
        <v>1750421640</v>
      </c>
      <c r="E14869" t="s">
        <v>15901</v>
      </c>
    </row>
    <row r="14870" spans="1:5" x14ac:dyDescent="0.25">
      <c r="A14870" t="s">
        <v>2</v>
      </c>
      <c r="B14870" t="s">
        <v>3458</v>
      </c>
      <c r="C14870" t="s">
        <v>23490</v>
      </c>
      <c r="D14870" t="str">
        <f>HYPERLINK("https://rhld.insurance.arkansas.gov/NPILookup?Npi=1750442711","1750442711")</f>
        <v>1750442711</v>
      </c>
      <c r="E14870" t="s">
        <v>18105</v>
      </c>
    </row>
    <row r="14871" spans="1:5" x14ac:dyDescent="0.25">
      <c r="A14871" t="s">
        <v>2</v>
      </c>
      <c r="B14871" t="s">
        <v>3458</v>
      </c>
      <c r="C14871" t="s">
        <v>23490</v>
      </c>
      <c r="D14871" t="str">
        <f>HYPERLINK("https://rhld.insurance.arkansas.gov/NPILookup?Npi=1750471231","1750471231")</f>
        <v>1750471231</v>
      </c>
      <c r="E14871" t="s">
        <v>2661</v>
      </c>
    </row>
    <row r="14872" spans="1:5" x14ac:dyDescent="0.25">
      <c r="A14872" t="s">
        <v>2</v>
      </c>
      <c r="B14872" t="s">
        <v>3458</v>
      </c>
      <c r="C14872" t="s">
        <v>23490</v>
      </c>
      <c r="D14872" t="str">
        <f>HYPERLINK("https://rhld.insurance.arkansas.gov/NPILookup?Npi=1750471256","1750471256")</f>
        <v>1750471256</v>
      </c>
      <c r="E14872" t="s">
        <v>3916</v>
      </c>
    </row>
    <row r="14873" spans="1:5" x14ac:dyDescent="0.25">
      <c r="A14873" t="s">
        <v>2</v>
      </c>
      <c r="B14873" t="s">
        <v>3458</v>
      </c>
      <c r="C14873" t="s">
        <v>23490</v>
      </c>
      <c r="D14873" t="str">
        <f>HYPERLINK("https://rhld.insurance.arkansas.gov/NPILookup?Npi=1750472643","1750472643")</f>
        <v>1750472643</v>
      </c>
      <c r="E14873" t="s">
        <v>18106</v>
      </c>
    </row>
    <row r="14874" spans="1:5" x14ac:dyDescent="0.25">
      <c r="A14874" t="s">
        <v>2</v>
      </c>
      <c r="B14874" t="s">
        <v>3458</v>
      </c>
      <c r="C14874" t="s">
        <v>23490</v>
      </c>
      <c r="D14874" t="str">
        <f>HYPERLINK("https://rhld.insurance.arkansas.gov/NPILookup?Npi=1750484218","1750484218")</f>
        <v>1750484218</v>
      </c>
      <c r="E14874" t="s">
        <v>3917</v>
      </c>
    </row>
    <row r="14875" spans="1:5" x14ac:dyDescent="0.25">
      <c r="A14875" t="s">
        <v>2</v>
      </c>
      <c r="B14875" t="s">
        <v>3458</v>
      </c>
      <c r="C14875" t="s">
        <v>23490</v>
      </c>
      <c r="D14875" t="str">
        <f>HYPERLINK("https://rhld.insurance.arkansas.gov/NPILookup?Npi=1750488284","1750488284")</f>
        <v>1750488284</v>
      </c>
      <c r="E14875" t="s">
        <v>13869</v>
      </c>
    </row>
    <row r="14876" spans="1:5" x14ac:dyDescent="0.25">
      <c r="A14876" t="s">
        <v>2</v>
      </c>
      <c r="B14876" t="s">
        <v>3458</v>
      </c>
      <c r="C14876" t="s">
        <v>23490</v>
      </c>
      <c r="D14876" t="str">
        <f>HYPERLINK("https://rhld.insurance.arkansas.gov/NPILookup?Npi=1750492203","1750492203")</f>
        <v>1750492203</v>
      </c>
      <c r="E14876" t="s">
        <v>15504</v>
      </c>
    </row>
    <row r="14877" spans="1:5" x14ac:dyDescent="0.25">
      <c r="A14877" t="s">
        <v>2</v>
      </c>
      <c r="B14877" t="s">
        <v>3458</v>
      </c>
      <c r="C14877" t="s">
        <v>23490</v>
      </c>
      <c r="D14877" t="str">
        <f>HYPERLINK("https://rhld.insurance.arkansas.gov/NPILookup?Npi=1750493474","1750493474")</f>
        <v>1750493474</v>
      </c>
      <c r="E14877" t="s">
        <v>13682</v>
      </c>
    </row>
    <row r="14878" spans="1:5" x14ac:dyDescent="0.25">
      <c r="A14878" t="s">
        <v>2</v>
      </c>
      <c r="B14878" t="s">
        <v>3458</v>
      </c>
      <c r="C14878" t="s">
        <v>23490</v>
      </c>
      <c r="D14878" t="str">
        <f>HYPERLINK("https://rhld.insurance.arkansas.gov/NPILookup?Npi=1750496253","1750496253")</f>
        <v>1750496253</v>
      </c>
      <c r="E14878" t="s">
        <v>21645</v>
      </c>
    </row>
    <row r="14879" spans="1:5" x14ac:dyDescent="0.25">
      <c r="A14879" t="s">
        <v>2</v>
      </c>
      <c r="B14879" t="s">
        <v>3458</v>
      </c>
      <c r="C14879" t="s">
        <v>23490</v>
      </c>
      <c r="D14879" t="str">
        <f>HYPERLINK("https://rhld.insurance.arkansas.gov/NPILookup?Npi=1750499984","1750499984")</f>
        <v>1750499984</v>
      </c>
      <c r="E14879" t="s">
        <v>13683</v>
      </c>
    </row>
    <row r="14880" spans="1:5" x14ac:dyDescent="0.25">
      <c r="A14880" t="s">
        <v>2</v>
      </c>
      <c r="B14880" t="s">
        <v>3458</v>
      </c>
      <c r="C14880" t="s">
        <v>23490</v>
      </c>
      <c r="D14880" t="str">
        <f>HYPERLINK("https://rhld.insurance.arkansas.gov/NPILookup?Npi=1750504312","1750504312")</f>
        <v>1750504312</v>
      </c>
      <c r="E14880" t="s">
        <v>5644</v>
      </c>
    </row>
    <row r="14881" spans="1:5" x14ac:dyDescent="0.25">
      <c r="A14881" t="s">
        <v>2</v>
      </c>
      <c r="B14881" t="s">
        <v>3458</v>
      </c>
      <c r="C14881" t="s">
        <v>23490</v>
      </c>
      <c r="D14881" t="str">
        <f>HYPERLINK("https://rhld.insurance.arkansas.gov/NPILookup?Npi=1750506861","1750506861")</f>
        <v>1750506861</v>
      </c>
      <c r="E14881" t="s">
        <v>2663</v>
      </c>
    </row>
    <row r="14882" spans="1:5" x14ac:dyDescent="0.25">
      <c r="A14882" t="s">
        <v>2</v>
      </c>
      <c r="B14882" t="s">
        <v>3458</v>
      </c>
      <c r="C14882" t="s">
        <v>23490</v>
      </c>
      <c r="D14882" t="str">
        <f>HYPERLINK("https://rhld.insurance.arkansas.gov/NPILookup?Npi=1750518072","1750518072")</f>
        <v>1750518072</v>
      </c>
      <c r="E14882" t="s">
        <v>2664</v>
      </c>
    </row>
    <row r="14883" spans="1:5" x14ac:dyDescent="0.25">
      <c r="A14883" t="s">
        <v>2</v>
      </c>
      <c r="B14883" t="s">
        <v>3458</v>
      </c>
      <c r="C14883" t="s">
        <v>23490</v>
      </c>
      <c r="D14883" t="str">
        <f>HYPERLINK("https://rhld.insurance.arkansas.gov/NPILookup?Npi=1750531505","1750531505")</f>
        <v>1750531505</v>
      </c>
      <c r="E14883" t="s">
        <v>2665</v>
      </c>
    </row>
    <row r="14884" spans="1:5" x14ac:dyDescent="0.25">
      <c r="A14884" t="s">
        <v>2</v>
      </c>
      <c r="B14884" t="s">
        <v>3458</v>
      </c>
      <c r="C14884" t="s">
        <v>23490</v>
      </c>
      <c r="D14884" t="str">
        <f>HYPERLINK("https://rhld.insurance.arkansas.gov/NPILookup?Npi=1750536967","1750536967")</f>
        <v>1750536967</v>
      </c>
      <c r="E14884" t="s">
        <v>2666</v>
      </c>
    </row>
    <row r="14885" spans="1:5" x14ac:dyDescent="0.25">
      <c r="A14885" t="s">
        <v>2</v>
      </c>
      <c r="B14885" t="s">
        <v>3458</v>
      </c>
      <c r="C14885" t="s">
        <v>23490</v>
      </c>
      <c r="D14885" t="str">
        <f>HYPERLINK("https://rhld.insurance.arkansas.gov/NPILookup?Npi=1750570677","1750570677")</f>
        <v>1750570677</v>
      </c>
      <c r="E14885" t="s">
        <v>15505</v>
      </c>
    </row>
    <row r="14886" spans="1:5" x14ac:dyDescent="0.25">
      <c r="A14886" t="s">
        <v>2</v>
      </c>
      <c r="B14886" t="s">
        <v>3458</v>
      </c>
      <c r="C14886" t="s">
        <v>23490</v>
      </c>
      <c r="D14886" t="str">
        <f>HYPERLINK("https://rhld.insurance.arkansas.gov/NPILookup?Npi=1750571592","1750571592")</f>
        <v>1750571592</v>
      </c>
      <c r="E14886" t="s">
        <v>15506</v>
      </c>
    </row>
    <row r="14887" spans="1:5" x14ac:dyDescent="0.25">
      <c r="A14887" t="s">
        <v>2</v>
      </c>
      <c r="B14887" t="s">
        <v>3458</v>
      </c>
      <c r="C14887" t="s">
        <v>23490</v>
      </c>
      <c r="D14887" t="str">
        <f>HYPERLINK("https://rhld.insurance.arkansas.gov/NPILookup?Npi=1750577698","1750577698")</f>
        <v>1750577698</v>
      </c>
      <c r="E14887" t="s">
        <v>13026</v>
      </c>
    </row>
    <row r="14888" spans="1:5" x14ac:dyDescent="0.25">
      <c r="A14888" t="s">
        <v>2</v>
      </c>
      <c r="B14888" t="s">
        <v>3458</v>
      </c>
      <c r="C14888" t="s">
        <v>23490</v>
      </c>
      <c r="D14888" t="str">
        <f>HYPERLINK("https://rhld.insurance.arkansas.gov/NPILookup?Npi=1750585063","1750585063")</f>
        <v>1750585063</v>
      </c>
      <c r="E14888" t="s">
        <v>2667</v>
      </c>
    </row>
    <row r="14889" spans="1:5" x14ac:dyDescent="0.25">
      <c r="A14889" t="s">
        <v>2</v>
      </c>
      <c r="B14889" t="s">
        <v>3458</v>
      </c>
      <c r="C14889" t="s">
        <v>23490</v>
      </c>
      <c r="D14889" t="str">
        <f>HYPERLINK("https://rhld.insurance.arkansas.gov/NPILookup?Npi=1750591053","1750591053")</f>
        <v>1750591053</v>
      </c>
      <c r="E14889" t="s">
        <v>11233</v>
      </c>
    </row>
    <row r="14890" spans="1:5" x14ac:dyDescent="0.25">
      <c r="A14890" t="s">
        <v>2</v>
      </c>
      <c r="B14890" t="s">
        <v>3458</v>
      </c>
      <c r="C14890" t="s">
        <v>23490</v>
      </c>
      <c r="D14890" t="str">
        <f>HYPERLINK("https://rhld.insurance.arkansas.gov/NPILookup?Npi=1750603270","1750603270")</f>
        <v>1750603270</v>
      </c>
      <c r="E14890" t="s">
        <v>19992</v>
      </c>
    </row>
    <row r="14891" spans="1:5" x14ac:dyDescent="0.25">
      <c r="A14891" t="s">
        <v>2</v>
      </c>
      <c r="B14891" t="s">
        <v>3458</v>
      </c>
      <c r="C14891" t="s">
        <v>23490</v>
      </c>
      <c r="D14891" t="str">
        <f>HYPERLINK("https://rhld.insurance.arkansas.gov/NPILookup?Npi=1750619292","1750619292")</f>
        <v>1750619292</v>
      </c>
      <c r="E14891" t="s">
        <v>15508</v>
      </c>
    </row>
    <row r="14892" spans="1:5" x14ac:dyDescent="0.25">
      <c r="A14892" t="s">
        <v>2</v>
      </c>
      <c r="B14892" t="s">
        <v>3458</v>
      </c>
      <c r="C14892" t="s">
        <v>23490</v>
      </c>
      <c r="D14892" t="str">
        <f>HYPERLINK("https://rhld.insurance.arkansas.gov/NPILookup?Npi=1750645388","1750645388")</f>
        <v>1750645388</v>
      </c>
      <c r="E14892" t="s">
        <v>18107</v>
      </c>
    </row>
    <row r="14893" spans="1:5" x14ac:dyDescent="0.25">
      <c r="A14893" t="s">
        <v>2</v>
      </c>
      <c r="B14893" t="s">
        <v>3458</v>
      </c>
      <c r="C14893" t="s">
        <v>23490</v>
      </c>
      <c r="D14893" t="str">
        <f>HYPERLINK("https://rhld.insurance.arkansas.gov/NPILookup?Npi=1750660528","1750660528")</f>
        <v>1750660528</v>
      </c>
      <c r="E14893" t="s">
        <v>11234</v>
      </c>
    </row>
    <row r="14894" spans="1:5" x14ac:dyDescent="0.25">
      <c r="A14894" t="s">
        <v>2</v>
      </c>
      <c r="B14894" t="s">
        <v>3458</v>
      </c>
      <c r="C14894" t="s">
        <v>23490</v>
      </c>
      <c r="D14894" t="str">
        <f>HYPERLINK("https://rhld.insurance.arkansas.gov/NPILookup?Npi=1750673265","1750673265")</f>
        <v>1750673265</v>
      </c>
      <c r="E14894" t="s">
        <v>13870</v>
      </c>
    </row>
    <row r="14895" spans="1:5" x14ac:dyDescent="0.25">
      <c r="A14895" t="s">
        <v>2</v>
      </c>
      <c r="B14895" t="s">
        <v>3458</v>
      </c>
      <c r="C14895" t="s">
        <v>23490</v>
      </c>
      <c r="D14895" t="str">
        <f>HYPERLINK("https://rhld.insurance.arkansas.gov/NPILookup?Npi=1750678991","1750678991")</f>
        <v>1750678991</v>
      </c>
      <c r="E14895" t="s">
        <v>12899</v>
      </c>
    </row>
    <row r="14896" spans="1:5" x14ac:dyDescent="0.25">
      <c r="A14896" t="s">
        <v>2</v>
      </c>
      <c r="B14896" t="s">
        <v>3458</v>
      </c>
      <c r="C14896" t="s">
        <v>23490</v>
      </c>
      <c r="D14896" t="str">
        <f>HYPERLINK("https://rhld.insurance.arkansas.gov/NPILookup?Npi=1750689105","1750689105")</f>
        <v>1750689105</v>
      </c>
      <c r="E14896" t="s">
        <v>2670</v>
      </c>
    </row>
    <row r="14897" spans="1:5" x14ac:dyDescent="0.25">
      <c r="A14897" t="s">
        <v>2</v>
      </c>
      <c r="B14897" t="s">
        <v>3458</v>
      </c>
      <c r="C14897" t="s">
        <v>23490</v>
      </c>
      <c r="D14897" t="str">
        <f>HYPERLINK("https://rhld.insurance.arkansas.gov/NPILookup?Npi=1750740635","1750740635")</f>
        <v>1750740635</v>
      </c>
      <c r="E14897" t="s">
        <v>38</v>
      </c>
    </row>
    <row r="14898" spans="1:5" x14ac:dyDescent="0.25">
      <c r="A14898" t="s">
        <v>2</v>
      </c>
      <c r="B14898" t="s">
        <v>3458</v>
      </c>
      <c r="C14898" t="s">
        <v>23490</v>
      </c>
      <c r="D14898" t="str">
        <f>HYPERLINK("https://rhld.insurance.arkansas.gov/NPILookup?Npi=1750741112","1750741112")</f>
        <v>1750741112</v>
      </c>
      <c r="E14898" t="s">
        <v>8835</v>
      </c>
    </row>
    <row r="14899" spans="1:5" x14ac:dyDescent="0.25">
      <c r="A14899" t="s">
        <v>2</v>
      </c>
      <c r="B14899" t="s">
        <v>3458</v>
      </c>
      <c r="C14899" t="s">
        <v>23490</v>
      </c>
      <c r="D14899" t="str">
        <f>HYPERLINK("https://rhld.insurance.arkansas.gov/NPILookup?Npi=1750742722","1750742722")</f>
        <v>1750742722</v>
      </c>
      <c r="E14899" t="s">
        <v>19995</v>
      </c>
    </row>
    <row r="14900" spans="1:5" x14ac:dyDescent="0.25">
      <c r="A14900" t="s">
        <v>2</v>
      </c>
      <c r="B14900" t="s">
        <v>3458</v>
      </c>
      <c r="C14900" t="s">
        <v>23490</v>
      </c>
      <c r="D14900" t="str">
        <f>HYPERLINK("https://rhld.insurance.arkansas.gov/NPILookup?Npi=1750744660","1750744660")</f>
        <v>1750744660</v>
      </c>
      <c r="E14900" t="s">
        <v>13684</v>
      </c>
    </row>
    <row r="14901" spans="1:5" x14ac:dyDescent="0.25">
      <c r="A14901" t="s">
        <v>2</v>
      </c>
      <c r="B14901" t="s">
        <v>3458</v>
      </c>
      <c r="C14901" t="s">
        <v>23490</v>
      </c>
      <c r="D14901" t="str">
        <f>HYPERLINK("https://rhld.insurance.arkansas.gov/NPILookup?Npi=1750766754","1750766754")</f>
        <v>1750766754</v>
      </c>
      <c r="E14901" t="s">
        <v>15509</v>
      </c>
    </row>
    <row r="14902" spans="1:5" x14ac:dyDescent="0.25">
      <c r="A14902" t="s">
        <v>2</v>
      </c>
      <c r="B14902" t="s">
        <v>3458</v>
      </c>
      <c r="C14902" t="s">
        <v>23490</v>
      </c>
      <c r="D14902" t="str">
        <f>HYPERLINK("https://rhld.insurance.arkansas.gov/NPILookup?Npi=1750772190","1750772190")</f>
        <v>1750772190</v>
      </c>
      <c r="E14902" t="s">
        <v>2674</v>
      </c>
    </row>
    <row r="14903" spans="1:5" x14ac:dyDescent="0.25">
      <c r="A14903" t="s">
        <v>2</v>
      </c>
      <c r="B14903" t="s">
        <v>3458</v>
      </c>
      <c r="C14903" t="s">
        <v>23490</v>
      </c>
      <c r="D14903" t="str">
        <f>HYPERLINK("https://rhld.insurance.arkansas.gov/NPILookup?Npi=1750797700","1750797700")</f>
        <v>1750797700</v>
      </c>
      <c r="E14903" t="s">
        <v>2675</v>
      </c>
    </row>
    <row r="14904" spans="1:5" x14ac:dyDescent="0.25">
      <c r="A14904" t="s">
        <v>2</v>
      </c>
      <c r="B14904" t="s">
        <v>3458</v>
      </c>
      <c r="C14904" t="s">
        <v>23490</v>
      </c>
      <c r="D14904" t="str">
        <f>HYPERLINK("https://rhld.insurance.arkansas.gov/NPILookup?Npi=1750802732","1750802732")</f>
        <v>1750802732</v>
      </c>
      <c r="E14904" t="s">
        <v>11236</v>
      </c>
    </row>
    <row r="14905" spans="1:5" x14ac:dyDescent="0.25">
      <c r="A14905" t="s">
        <v>2</v>
      </c>
      <c r="B14905" t="s">
        <v>3458</v>
      </c>
      <c r="C14905" t="s">
        <v>23490</v>
      </c>
      <c r="D14905" t="str">
        <f>HYPERLINK("https://rhld.insurance.arkansas.gov/NPILookup?Npi=1750802823","1750802823")</f>
        <v>1750802823</v>
      </c>
      <c r="E14905" t="s">
        <v>19996</v>
      </c>
    </row>
    <row r="14906" spans="1:5" x14ac:dyDescent="0.25">
      <c r="A14906" t="s">
        <v>2</v>
      </c>
      <c r="B14906" t="s">
        <v>3458</v>
      </c>
      <c r="C14906" t="s">
        <v>23490</v>
      </c>
      <c r="D14906" t="str">
        <f>HYPERLINK("https://rhld.insurance.arkansas.gov/NPILookup?Npi=1750804530","1750804530")</f>
        <v>1750804530</v>
      </c>
      <c r="E14906" t="s">
        <v>11237</v>
      </c>
    </row>
    <row r="14907" spans="1:5" x14ac:dyDescent="0.25">
      <c r="A14907" t="s">
        <v>2</v>
      </c>
      <c r="B14907" t="s">
        <v>3458</v>
      </c>
      <c r="C14907" t="s">
        <v>23490</v>
      </c>
      <c r="D14907" t="str">
        <f>HYPERLINK("https://rhld.insurance.arkansas.gov/NPILookup?Npi=1750813119","1750813119")</f>
        <v>1750813119</v>
      </c>
      <c r="E14907" t="s">
        <v>18859</v>
      </c>
    </row>
    <row r="14908" spans="1:5" x14ac:dyDescent="0.25">
      <c r="A14908" t="s">
        <v>2</v>
      </c>
      <c r="B14908" t="s">
        <v>3458</v>
      </c>
      <c r="C14908" t="s">
        <v>23490</v>
      </c>
      <c r="D14908" t="str">
        <f>HYPERLINK("https://rhld.insurance.arkansas.gov/NPILookup?Npi=1750818894","1750818894")</f>
        <v>1750818894</v>
      </c>
      <c r="E14908" t="s">
        <v>11238</v>
      </c>
    </row>
    <row r="14909" spans="1:5" x14ac:dyDescent="0.25">
      <c r="A14909" t="s">
        <v>2</v>
      </c>
      <c r="B14909" t="s">
        <v>3458</v>
      </c>
      <c r="C14909" t="s">
        <v>23490</v>
      </c>
      <c r="D14909" t="str">
        <f>HYPERLINK("https://rhld.insurance.arkansas.gov/NPILookup?Npi=1750819504","1750819504")</f>
        <v>1750819504</v>
      </c>
      <c r="E14909" t="s">
        <v>1821</v>
      </c>
    </row>
    <row r="14910" spans="1:5" x14ac:dyDescent="0.25">
      <c r="A14910" t="s">
        <v>2</v>
      </c>
      <c r="B14910" t="s">
        <v>3458</v>
      </c>
      <c r="C14910" t="s">
        <v>23490</v>
      </c>
      <c r="D14910" t="str">
        <f>HYPERLINK("https://rhld.insurance.arkansas.gov/NPILookup?Npi=1750821674","1750821674")</f>
        <v>1750821674</v>
      </c>
      <c r="E14910" t="s">
        <v>11239</v>
      </c>
    </row>
    <row r="14911" spans="1:5" x14ac:dyDescent="0.25">
      <c r="A14911" t="s">
        <v>2</v>
      </c>
      <c r="B14911" t="s">
        <v>3458</v>
      </c>
      <c r="C14911" t="s">
        <v>23490</v>
      </c>
      <c r="D14911" t="str">
        <f>HYPERLINK("https://rhld.insurance.arkansas.gov/NPILookup?Npi=1750821740","1750821740")</f>
        <v>1750821740</v>
      </c>
      <c r="E14911" t="s">
        <v>19999</v>
      </c>
    </row>
    <row r="14912" spans="1:5" x14ac:dyDescent="0.25">
      <c r="A14912" t="s">
        <v>2</v>
      </c>
      <c r="B14912" t="s">
        <v>3458</v>
      </c>
      <c r="C14912" t="s">
        <v>23490</v>
      </c>
      <c r="D14912" t="str">
        <f>HYPERLINK("https://rhld.insurance.arkansas.gov/NPILookup?Npi=1750830394","1750830394")</f>
        <v>1750830394</v>
      </c>
      <c r="E14912" t="s">
        <v>12900</v>
      </c>
    </row>
    <row r="14913" spans="1:5" x14ac:dyDescent="0.25">
      <c r="A14913" t="s">
        <v>2</v>
      </c>
      <c r="B14913" t="s">
        <v>3458</v>
      </c>
      <c r="C14913" t="s">
        <v>23490</v>
      </c>
      <c r="D14913" t="str">
        <f>HYPERLINK("https://rhld.insurance.arkansas.gov/NPILookup?Npi=1750839122","1750839122")</f>
        <v>1750839122</v>
      </c>
      <c r="E14913" t="s">
        <v>11241</v>
      </c>
    </row>
    <row r="14914" spans="1:5" x14ac:dyDescent="0.25">
      <c r="A14914" t="s">
        <v>2</v>
      </c>
      <c r="B14914" t="s">
        <v>3458</v>
      </c>
      <c r="C14914" t="s">
        <v>23490</v>
      </c>
      <c r="D14914" t="str">
        <f>HYPERLINK("https://rhld.insurance.arkansas.gov/NPILookup?Npi=1750852067","1750852067")</f>
        <v>1750852067</v>
      </c>
      <c r="E14914" t="s">
        <v>13685</v>
      </c>
    </row>
    <row r="14915" spans="1:5" x14ac:dyDescent="0.25">
      <c r="A14915" t="s">
        <v>2</v>
      </c>
      <c r="B14915" t="s">
        <v>3458</v>
      </c>
      <c r="C14915" t="s">
        <v>23490</v>
      </c>
      <c r="D14915" t="str">
        <f>HYPERLINK("https://rhld.insurance.arkansas.gov/NPILookup?Npi=1750865929","1750865929")</f>
        <v>1750865929</v>
      </c>
      <c r="E14915" t="s">
        <v>15512</v>
      </c>
    </row>
    <row r="14916" spans="1:5" x14ac:dyDescent="0.25">
      <c r="A14916" t="s">
        <v>2</v>
      </c>
      <c r="B14916" t="s">
        <v>3458</v>
      </c>
      <c r="C14916" t="s">
        <v>23490</v>
      </c>
      <c r="D14916" t="str">
        <f>HYPERLINK("https://rhld.insurance.arkansas.gov/NPILookup?Npi=1750869517","1750869517")</f>
        <v>1750869517</v>
      </c>
      <c r="E14916" t="s">
        <v>15513</v>
      </c>
    </row>
    <row r="14917" spans="1:5" x14ac:dyDescent="0.25">
      <c r="A14917" t="s">
        <v>2</v>
      </c>
      <c r="B14917" t="s">
        <v>3458</v>
      </c>
      <c r="C14917" t="s">
        <v>23490</v>
      </c>
      <c r="D14917" t="str">
        <f>HYPERLINK("https://rhld.insurance.arkansas.gov/NPILookup?Npi=1750877528","1750877528")</f>
        <v>1750877528</v>
      </c>
      <c r="E14917" t="s">
        <v>13686</v>
      </c>
    </row>
    <row r="14918" spans="1:5" x14ac:dyDescent="0.25">
      <c r="A14918" t="s">
        <v>2</v>
      </c>
      <c r="B14918" t="s">
        <v>3458</v>
      </c>
      <c r="C14918" t="s">
        <v>23490</v>
      </c>
      <c r="D14918" t="str">
        <f>HYPERLINK("https://rhld.insurance.arkansas.gov/NPILookup?Npi=1750887352","1750887352")</f>
        <v>1750887352</v>
      </c>
      <c r="E14918" t="s">
        <v>18860</v>
      </c>
    </row>
    <row r="14919" spans="1:5" x14ac:dyDescent="0.25">
      <c r="A14919" t="s">
        <v>2</v>
      </c>
      <c r="B14919" t="s">
        <v>3458</v>
      </c>
      <c r="C14919" t="s">
        <v>23490</v>
      </c>
      <c r="D14919" t="str">
        <f>HYPERLINK("https://rhld.insurance.arkansas.gov/NPILookup?Npi=1750889929","1750889929")</f>
        <v>1750889929</v>
      </c>
      <c r="E14919" t="s">
        <v>15902</v>
      </c>
    </row>
    <row r="14920" spans="1:5" x14ac:dyDescent="0.25">
      <c r="A14920" t="s">
        <v>2</v>
      </c>
      <c r="B14920" t="s">
        <v>3458</v>
      </c>
      <c r="C14920" t="s">
        <v>23490</v>
      </c>
      <c r="D14920" t="str">
        <f>HYPERLINK("https://rhld.insurance.arkansas.gov/NPILookup?Npi=1750904199","1750904199")</f>
        <v>1750904199</v>
      </c>
      <c r="E14920" t="s">
        <v>17474</v>
      </c>
    </row>
    <row r="14921" spans="1:5" x14ac:dyDescent="0.25">
      <c r="A14921" t="s">
        <v>2</v>
      </c>
      <c r="B14921" t="s">
        <v>3458</v>
      </c>
      <c r="C14921" t="s">
        <v>23490</v>
      </c>
      <c r="D14921" t="str">
        <f>HYPERLINK("https://rhld.insurance.arkansas.gov/NPILookup?Npi=1750918660","1750918660")</f>
        <v>1750918660</v>
      </c>
      <c r="E14921" t="s">
        <v>18108</v>
      </c>
    </row>
    <row r="14922" spans="1:5" x14ac:dyDescent="0.25">
      <c r="A14922" t="s">
        <v>2</v>
      </c>
      <c r="B14922" t="s">
        <v>3458</v>
      </c>
      <c r="C14922" t="s">
        <v>23490</v>
      </c>
      <c r="D14922" t="str">
        <f>HYPERLINK("https://rhld.insurance.arkansas.gov/NPILookup?Npi=1750961413","1750961413")</f>
        <v>1750961413</v>
      </c>
      <c r="E14922" t="s">
        <v>18109</v>
      </c>
    </row>
    <row r="14923" spans="1:5" x14ac:dyDescent="0.25">
      <c r="A14923" t="s">
        <v>2</v>
      </c>
      <c r="B14923" t="s">
        <v>3458</v>
      </c>
      <c r="C14923" t="s">
        <v>23490</v>
      </c>
      <c r="D14923" t="str">
        <f>HYPERLINK("https://rhld.insurance.arkansas.gov/NPILookup?Npi=1750961785","1750961785")</f>
        <v>1750961785</v>
      </c>
      <c r="E14923" t="s">
        <v>18861</v>
      </c>
    </row>
    <row r="14924" spans="1:5" x14ac:dyDescent="0.25">
      <c r="A14924" t="s">
        <v>2</v>
      </c>
      <c r="B14924" t="s">
        <v>3458</v>
      </c>
      <c r="C14924" t="s">
        <v>23490</v>
      </c>
      <c r="D14924" t="str">
        <f>HYPERLINK("https://rhld.insurance.arkansas.gov/NPILookup?Npi=1750976619","1750976619")</f>
        <v>1750976619</v>
      </c>
      <c r="E14924" t="s">
        <v>20002</v>
      </c>
    </row>
    <row r="14925" spans="1:5" x14ac:dyDescent="0.25">
      <c r="A14925" t="s">
        <v>2</v>
      </c>
      <c r="B14925" t="s">
        <v>3458</v>
      </c>
      <c r="C14925" t="s">
        <v>23490</v>
      </c>
      <c r="D14925" t="str">
        <f>HYPERLINK("https://rhld.insurance.arkansas.gov/NPILookup?Npi=1750994802","1750994802")</f>
        <v>1750994802</v>
      </c>
      <c r="E14925" t="s">
        <v>17475</v>
      </c>
    </row>
    <row r="14926" spans="1:5" x14ac:dyDescent="0.25">
      <c r="A14926" t="s">
        <v>2</v>
      </c>
      <c r="B14926" t="s">
        <v>3458</v>
      </c>
      <c r="C14926" t="s">
        <v>8427</v>
      </c>
      <c r="D14926" t="str">
        <f>HYPERLINK("https://rhld.insurance.arkansas.gov/NPILookup?Npi=1760006001","1760006001")</f>
        <v>1760006001</v>
      </c>
      <c r="E14926" t="s">
        <v>22980</v>
      </c>
    </row>
    <row r="14927" spans="1:5" x14ac:dyDescent="0.25">
      <c r="A14927" t="s">
        <v>2</v>
      </c>
      <c r="B14927" t="s">
        <v>3458</v>
      </c>
      <c r="C14927" t="s">
        <v>23490</v>
      </c>
      <c r="D14927" t="str">
        <f>HYPERLINK("https://rhld.insurance.arkansas.gov/NPILookup?Npi=1760016703","1760016703")</f>
        <v>1760016703</v>
      </c>
      <c r="E14927" t="s">
        <v>17476</v>
      </c>
    </row>
    <row r="14928" spans="1:5" x14ac:dyDescent="0.25">
      <c r="A14928" t="s">
        <v>2</v>
      </c>
      <c r="B14928" t="s">
        <v>3458</v>
      </c>
      <c r="C14928" t="s">
        <v>23490</v>
      </c>
      <c r="D14928" t="str">
        <f>HYPERLINK("https://rhld.insurance.arkansas.gov/NPILookup?Npi=1760027130","1760027130")</f>
        <v>1760027130</v>
      </c>
      <c r="E14928" t="s">
        <v>17477</v>
      </c>
    </row>
    <row r="14929" spans="1:5" x14ac:dyDescent="0.25">
      <c r="A14929" t="s">
        <v>2</v>
      </c>
      <c r="B14929" t="s">
        <v>3458</v>
      </c>
      <c r="C14929" t="s">
        <v>23490</v>
      </c>
      <c r="D14929" t="str">
        <f>HYPERLINK("https://rhld.insurance.arkansas.gov/NPILookup?Npi=1760041180","1760041180")</f>
        <v>1760041180</v>
      </c>
      <c r="E14929" t="s">
        <v>21646</v>
      </c>
    </row>
    <row r="14930" spans="1:5" x14ac:dyDescent="0.25">
      <c r="A14930" t="s">
        <v>2</v>
      </c>
      <c r="B14930" t="s">
        <v>3458</v>
      </c>
      <c r="C14930" t="s">
        <v>23490</v>
      </c>
      <c r="D14930" t="str">
        <f>HYPERLINK("https://rhld.insurance.arkansas.gov/NPILookup?Npi=1760050132","1760050132")</f>
        <v>1760050132</v>
      </c>
      <c r="E14930" t="s">
        <v>18862</v>
      </c>
    </row>
    <row r="14931" spans="1:5" x14ac:dyDescent="0.25">
      <c r="A14931" t="s">
        <v>2</v>
      </c>
      <c r="B14931" t="s">
        <v>3458</v>
      </c>
      <c r="C14931" t="s">
        <v>23490</v>
      </c>
      <c r="D14931" t="str">
        <f>HYPERLINK("https://rhld.insurance.arkansas.gov/NPILookup?Npi=1760062947","1760062947")</f>
        <v>1760062947</v>
      </c>
      <c r="E14931" t="s">
        <v>20004</v>
      </c>
    </row>
    <row r="14932" spans="1:5" x14ac:dyDescent="0.25">
      <c r="A14932" t="s">
        <v>2</v>
      </c>
      <c r="B14932" t="s">
        <v>3458</v>
      </c>
      <c r="C14932" t="s">
        <v>23490</v>
      </c>
      <c r="D14932" t="str">
        <f>HYPERLINK("https://rhld.insurance.arkansas.gov/NPILookup?Npi=1760065361","1760065361")</f>
        <v>1760065361</v>
      </c>
      <c r="E14932" t="s">
        <v>20005</v>
      </c>
    </row>
    <row r="14933" spans="1:5" x14ac:dyDescent="0.25">
      <c r="A14933" t="s">
        <v>2</v>
      </c>
      <c r="B14933" t="s">
        <v>3458</v>
      </c>
      <c r="C14933" t="s">
        <v>23490</v>
      </c>
      <c r="D14933" t="str">
        <f>HYPERLINK("https://rhld.insurance.arkansas.gov/NPILookup?Npi=1760077069","1760077069")</f>
        <v>1760077069</v>
      </c>
      <c r="E14933" t="s">
        <v>18111</v>
      </c>
    </row>
    <row r="14934" spans="1:5" x14ac:dyDescent="0.25">
      <c r="A14934" t="s">
        <v>2</v>
      </c>
      <c r="B14934" t="s">
        <v>3458</v>
      </c>
      <c r="C14934" t="s">
        <v>23490</v>
      </c>
      <c r="D14934" t="str">
        <f>HYPERLINK("https://rhld.insurance.arkansas.gov/NPILookup?Npi=1760116305","1760116305")</f>
        <v>1760116305</v>
      </c>
      <c r="E14934" t="s">
        <v>18956</v>
      </c>
    </row>
    <row r="14935" spans="1:5" x14ac:dyDescent="0.25">
      <c r="A14935" t="s">
        <v>2</v>
      </c>
      <c r="B14935" t="s">
        <v>3458</v>
      </c>
      <c r="C14935" t="s">
        <v>23490</v>
      </c>
      <c r="D14935" t="str">
        <f>HYPERLINK("https://rhld.insurance.arkansas.gov/NPILookup?Npi=1760155121","1760155121")</f>
        <v>1760155121</v>
      </c>
      <c r="E14935" t="s">
        <v>20006</v>
      </c>
    </row>
    <row r="14936" spans="1:5" x14ac:dyDescent="0.25">
      <c r="A14936" t="s">
        <v>2</v>
      </c>
      <c r="B14936" t="s">
        <v>3458</v>
      </c>
      <c r="C14936" t="s">
        <v>23490</v>
      </c>
      <c r="D14936" t="str">
        <f>HYPERLINK("https://rhld.insurance.arkansas.gov/NPILookup?Npi=1760409619","1760409619")</f>
        <v>1760409619</v>
      </c>
      <c r="E14936" t="s">
        <v>3918</v>
      </c>
    </row>
    <row r="14937" spans="1:5" x14ac:dyDescent="0.25">
      <c r="A14937" t="s">
        <v>2</v>
      </c>
      <c r="B14937" t="s">
        <v>3458</v>
      </c>
      <c r="C14937" t="s">
        <v>23490</v>
      </c>
      <c r="D14937" t="str">
        <f>HYPERLINK("https://rhld.insurance.arkansas.gov/NPILookup?Npi=1760411813","1760411813")</f>
        <v>1760411813</v>
      </c>
      <c r="E14937" t="s">
        <v>8836</v>
      </c>
    </row>
    <row r="14938" spans="1:5" x14ac:dyDescent="0.25">
      <c r="A14938" t="s">
        <v>2</v>
      </c>
      <c r="B14938" t="s">
        <v>3458</v>
      </c>
      <c r="C14938" t="s">
        <v>23490</v>
      </c>
      <c r="D14938" t="str">
        <f>HYPERLINK("https://rhld.insurance.arkansas.gov/NPILookup?Npi=1760412118","1760412118")</f>
        <v>1760412118</v>
      </c>
      <c r="E14938" t="s">
        <v>15903</v>
      </c>
    </row>
    <row r="14939" spans="1:5" x14ac:dyDescent="0.25">
      <c r="A14939" t="s">
        <v>2</v>
      </c>
      <c r="B14939" t="s">
        <v>3458</v>
      </c>
      <c r="C14939" t="s">
        <v>23490</v>
      </c>
      <c r="D14939" t="str">
        <f>HYPERLINK("https://rhld.insurance.arkansas.gov/NPILookup?Npi=1760412209","1760412209")</f>
        <v>1760412209</v>
      </c>
      <c r="E14939" t="s">
        <v>3919</v>
      </c>
    </row>
    <row r="14940" spans="1:5" x14ac:dyDescent="0.25">
      <c r="A14940" t="s">
        <v>2</v>
      </c>
      <c r="B14940" t="s">
        <v>3458</v>
      </c>
      <c r="C14940" t="s">
        <v>23490</v>
      </c>
      <c r="D14940" t="str">
        <f>HYPERLINK("https://rhld.insurance.arkansas.gov/NPILookup?Npi=1760419550","1760419550")</f>
        <v>1760419550</v>
      </c>
      <c r="E14940" t="s">
        <v>2677</v>
      </c>
    </row>
    <row r="14941" spans="1:5" x14ac:dyDescent="0.25">
      <c r="A14941" t="s">
        <v>2</v>
      </c>
      <c r="B14941" t="s">
        <v>3458</v>
      </c>
      <c r="C14941" t="s">
        <v>23490</v>
      </c>
      <c r="D14941" t="str">
        <f>HYPERLINK("https://rhld.insurance.arkansas.gov/NPILookup?Npi=1760426043","1760426043")</f>
        <v>1760426043</v>
      </c>
      <c r="E14941" t="s">
        <v>2678</v>
      </c>
    </row>
    <row r="14942" spans="1:5" x14ac:dyDescent="0.25">
      <c r="A14942" t="s">
        <v>2</v>
      </c>
      <c r="B14942" t="s">
        <v>3458</v>
      </c>
      <c r="C14942" t="s">
        <v>23490</v>
      </c>
      <c r="D14942" t="str">
        <f>HYPERLINK("https://rhld.insurance.arkansas.gov/NPILookup?Npi=1760426746","1760426746")</f>
        <v>1760426746</v>
      </c>
      <c r="E14942" t="s">
        <v>2679</v>
      </c>
    </row>
    <row r="14943" spans="1:5" x14ac:dyDescent="0.25">
      <c r="A14943" t="s">
        <v>2</v>
      </c>
      <c r="B14943" t="s">
        <v>3458</v>
      </c>
      <c r="C14943" t="s">
        <v>23490</v>
      </c>
      <c r="D14943" t="str">
        <f>HYPERLINK("https://rhld.insurance.arkansas.gov/NPILookup?Npi=1760428973","1760428973")</f>
        <v>1760428973</v>
      </c>
      <c r="E14943" t="s">
        <v>15515</v>
      </c>
    </row>
    <row r="14944" spans="1:5" x14ac:dyDescent="0.25">
      <c r="A14944" t="s">
        <v>2</v>
      </c>
      <c r="B14944" t="s">
        <v>3458</v>
      </c>
      <c r="C14944" t="s">
        <v>23490</v>
      </c>
      <c r="D14944" t="str">
        <f>HYPERLINK("https://rhld.insurance.arkansas.gov/NPILookup?Npi=1760437404","1760437404")</f>
        <v>1760437404</v>
      </c>
      <c r="E14944" t="s">
        <v>15516</v>
      </c>
    </row>
    <row r="14945" spans="1:5" x14ac:dyDescent="0.25">
      <c r="A14945" t="s">
        <v>2</v>
      </c>
      <c r="B14945" t="s">
        <v>3458</v>
      </c>
      <c r="C14945" t="s">
        <v>23490</v>
      </c>
      <c r="D14945" t="str">
        <f>HYPERLINK("https://rhld.insurance.arkansas.gov/NPILookup?Npi=1760442370","1760442370")</f>
        <v>1760442370</v>
      </c>
      <c r="E14945" t="s">
        <v>2682</v>
      </c>
    </row>
    <row r="14946" spans="1:5" x14ac:dyDescent="0.25">
      <c r="A14946" t="s">
        <v>2</v>
      </c>
      <c r="B14946" t="s">
        <v>3458</v>
      </c>
      <c r="C14946" t="s">
        <v>23490</v>
      </c>
      <c r="D14946" t="str">
        <f>HYPERLINK("https://rhld.insurance.arkansas.gov/NPILookup?Npi=1760445894","1760445894")</f>
        <v>1760445894</v>
      </c>
      <c r="E14946" t="s">
        <v>2684</v>
      </c>
    </row>
    <row r="14947" spans="1:5" x14ac:dyDescent="0.25">
      <c r="A14947" t="s">
        <v>2</v>
      </c>
      <c r="B14947" t="s">
        <v>3458</v>
      </c>
      <c r="C14947" t="s">
        <v>23490</v>
      </c>
      <c r="D14947" t="str">
        <f>HYPERLINK("https://rhld.insurance.arkansas.gov/NPILookup?Npi=1760447171","1760447171")</f>
        <v>1760447171</v>
      </c>
      <c r="E14947" t="s">
        <v>2685</v>
      </c>
    </row>
    <row r="14948" spans="1:5" x14ac:dyDescent="0.25">
      <c r="A14948" t="s">
        <v>2</v>
      </c>
      <c r="B14948" t="s">
        <v>3458</v>
      </c>
      <c r="C14948" t="s">
        <v>23490</v>
      </c>
      <c r="D14948" t="str">
        <f>HYPERLINK("https://rhld.insurance.arkansas.gov/NPILookup?Npi=1760447353","1760447353")</f>
        <v>1760447353</v>
      </c>
      <c r="E14948" t="s">
        <v>2686</v>
      </c>
    </row>
    <row r="14949" spans="1:5" x14ac:dyDescent="0.25">
      <c r="A14949" t="s">
        <v>2</v>
      </c>
      <c r="B14949" t="s">
        <v>3458</v>
      </c>
      <c r="C14949" t="s">
        <v>23490</v>
      </c>
      <c r="D14949" t="str">
        <f>HYPERLINK("https://rhld.insurance.arkansas.gov/NPILookup?Npi=1760448534","1760448534")</f>
        <v>1760448534</v>
      </c>
      <c r="E14949" t="s">
        <v>2687</v>
      </c>
    </row>
    <row r="14950" spans="1:5" x14ac:dyDescent="0.25">
      <c r="A14950" t="s">
        <v>2</v>
      </c>
      <c r="B14950" t="s">
        <v>3458</v>
      </c>
      <c r="C14950" t="s">
        <v>23490</v>
      </c>
      <c r="D14950" t="str">
        <f>HYPERLINK("https://rhld.insurance.arkansas.gov/NPILookup?Npi=1760449227","1760449227")</f>
        <v>1760449227</v>
      </c>
      <c r="E14950" t="s">
        <v>11478</v>
      </c>
    </row>
    <row r="14951" spans="1:5" x14ac:dyDescent="0.25">
      <c r="A14951" t="s">
        <v>2</v>
      </c>
      <c r="B14951" t="s">
        <v>3458</v>
      </c>
      <c r="C14951" t="s">
        <v>23490</v>
      </c>
      <c r="D14951" t="str">
        <f>HYPERLINK("https://rhld.insurance.arkansas.gov/NPILookup?Npi=1760451876","1760451876")</f>
        <v>1760451876</v>
      </c>
      <c r="E14951" t="s">
        <v>2688</v>
      </c>
    </row>
    <row r="14952" spans="1:5" x14ac:dyDescent="0.25">
      <c r="A14952" t="s">
        <v>2</v>
      </c>
      <c r="B14952" t="s">
        <v>3458</v>
      </c>
      <c r="C14952" t="s">
        <v>23490</v>
      </c>
      <c r="D14952" t="str">
        <f>HYPERLINK("https://rhld.insurance.arkansas.gov/NPILookup?Npi=1760459648","1760459648")</f>
        <v>1760459648</v>
      </c>
      <c r="E14952" t="s">
        <v>2689</v>
      </c>
    </row>
    <row r="14953" spans="1:5" x14ac:dyDescent="0.25">
      <c r="A14953" t="s">
        <v>2</v>
      </c>
      <c r="B14953" t="s">
        <v>3458</v>
      </c>
      <c r="C14953" t="s">
        <v>23490</v>
      </c>
      <c r="D14953" t="str">
        <f>HYPERLINK("https://rhld.insurance.arkansas.gov/NPILookup?Npi=1760465090","1760465090")</f>
        <v>1760465090</v>
      </c>
      <c r="E14953" t="s">
        <v>2690</v>
      </c>
    </row>
    <row r="14954" spans="1:5" x14ac:dyDescent="0.25">
      <c r="A14954" t="s">
        <v>2</v>
      </c>
      <c r="B14954" t="s">
        <v>3458</v>
      </c>
      <c r="C14954" t="s">
        <v>23490</v>
      </c>
      <c r="D14954" t="str">
        <f>HYPERLINK("https://rhld.insurance.arkansas.gov/NPILookup?Npi=1760466262","1760466262")</f>
        <v>1760466262</v>
      </c>
      <c r="E14954" t="s">
        <v>15517</v>
      </c>
    </row>
    <row r="14955" spans="1:5" x14ac:dyDescent="0.25">
      <c r="A14955" t="s">
        <v>2</v>
      </c>
      <c r="B14955" t="s">
        <v>3458</v>
      </c>
      <c r="C14955" t="s">
        <v>23490</v>
      </c>
      <c r="D14955" t="str">
        <f>HYPERLINK("https://rhld.insurance.arkansas.gov/NPILookup?Npi=1760472021","1760472021")</f>
        <v>1760472021</v>
      </c>
      <c r="E14955" t="s">
        <v>2692</v>
      </c>
    </row>
    <row r="14956" spans="1:5" x14ac:dyDescent="0.25">
      <c r="A14956" t="s">
        <v>2</v>
      </c>
      <c r="B14956" t="s">
        <v>3458</v>
      </c>
      <c r="C14956" t="s">
        <v>23490</v>
      </c>
      <c r="D14956" t="str">
        <f>HYPERLINK("https://rhld.insurance.arkansas.gov/NPILookup?Npi=1760476824","1760476824")</f>
        <v>1760476824</v>
      </c>
      <c r="E14956" t="s">
        <v>2693</v>
      </c>
    </row>
    <row r="14957" spans="1:5" x14ac:dyDescent="0.25">
      <c r="A14957" t="s">
        <v>2</v>
      </c>
      <c r="B14957" t="s">
        <v>3458</v>
      </c>
      <c r="C14957" t="s">
        <v>23490</v>
      </c>
      <c r="D14957" t="str">
        <f>HYPERLINK("https://rhld.insurance.arkansas.gov/NPILookup?Npi=1760478903","1760478903")</f>
        <v>1760478903</v>
      </c>
      <c r="E14957" t="s">
        <v>2694</v>
      </c>
    </row>
    <row r="14958" spans="1:5" x14ac:dyDescent="0.25">
      <c r="A14958" t="s">
        <v>2</v>
      </c>
      <c r="B14958" t="s">
        <v>3458</v>
      </c>
      <c r="C14958" t="s">
        <v>23490</v>
      </c>
      <c r="D14958" t="str">
        <f>HYPERLINK("https://rhld.insurance.arkansas.gov/NPILookup?Npi=1760506604","1760506604")</f>
        <v>1760506604</v>
      </c>
      <c r="E14958" t="s">
        <v>8837</v>
      </c>
    </row>
    <row r="14959" spans="1:5" x14ac:dyDescent="0.25">
      <c r="A14959" t="s">
        <v>2</v>
      </c>
      <c r="B14959" t="s">
        <v>3458</v>
      </c>
      <c r="C14959" t="s">
        <v>23490</v>
      </c>
      <c r="D14959" t="str">
        <f>HYPERLINK("https://rhld.insurance.arkansas.gov/NPILookup?Npi=1760521199","1760521199")</f>
        <v>1760521199</v>
      </c>
      <c r="E14959" t="s">
        <v>2695</v>
      </c>
    </row>
    <row r="14960" spans="1:5" x14ac:dyDescent="0.25">
      <c r="A14960" t="s">
        <v>2</v>
      </c>
      <c r="B14960" t="s">
        <v>3458</v>
      </c>
      <c r="C14960" t="s">
        <v>23490</v>
      </c>
      <c r="D14960" t="str">
        <f>HYPERLINK("https://rhld.insurance.arkansas.gov/NPILookup?Npi=1760521777","1760521777")</f>
        <v>1760521777</v>
      </c>
      <c r="E14960" t="s">
        <v>2696</v>
      </c>
    </row>
    <row r="14961" spans="1:5" x14ac:dyDescent="0.25">
      <c r="A14961" t="s">
        <v>2</v>
      </c>
      <c r="B14961" t="s">
        <v>3458</v>
      </c>
      <c r="C14961" t="s">
        <v>23490</v>
      </c>
      <c r="D14961" t="str">
        <f>HYPERLINK("https://rhld.insurance.arkansas.gov/NPILookup?Npi=1760528392","1760528392")</f>
        <v>1760528392</v>
      </c>
      <c r="E14961" t="s">
        <v>2697</v>
      </c>
    </row>
    <row r="14962" spans="1:5" x14ac:dyDescent="0.25">
      <c r="A14962" t="s">
        <v>2</v>
      </c>
      <c r="B14962" t="s">
        <v>3458</v>
      </c>
      <c r="C14962" t="s">
        <v>23490</v>
      </c>
      <c r="D14962" t="str">
        <f>HYPERLINK("https://rhld.insurance.arkansas.gov/NPILookup?Npi=1760536783","1760536783")</f>
        <v>1760536783</v>
      </c>
      <c r="E14962" t="s">
        <v>15518</v>
      </c>
    </row>
    <row r="14963" spans="1:5" x14ac:dyDescent="0.25">
      <c r="A14963" t="s">
        <v>2</v>
      </c>
      <c r="B14963" t="s">
        <v>3458</v>
      </c>
      <c r="C14963" t="s">
        <v>23490</v>
      </c>
      <c r="D14963" t="str">
        <f>HYPERLINK("https://rhld.insurance.arkansas.gov/NPILookup?Npi=1760562078","1760562078")</f>
        <v>1760562078</v>
      </c>
      <c r="E14963" t="s">
        <v>2698</v>
      </c>
    </row>
    <row r="14964" spans="1:5" x14ac:dyDescent="0.25">
      <c r="A14964" t="s">
        <v>2</v>
      </c>
      <c r="B14964" t="s">
        <v>3458</v>
      </c>
      <c r="C14964" t="s">
        <v>23490</v>
      </c>
      <c r="D14964" t="str">
        <f>HYPERLINK("https://rhld.insurance.arkansas.gov/NPILookup?Npi=1760569487","1760569487")</f>
        <v>1760569487</v>
      </c>
      <c r="E14964" t="s">
        <v>21755</v>
      </c>
    </row>
    <row r="14965" spans="1:5" x14ac:dyDescent="0.25">
      <c r="A14965" t="s">
        <v>2</v>
      </c>
      <c r="B14965" t="s">
        <v>3458</v>
      </c>
      <c r="C14965" t="s">
        <v>23490</v>
      </c>
      <c r="D14965" t="str">
        <f>HYPERLINK("https://rhld.insurance.arkansas.gov/NPILookup?Npi=1760572259","1760572259")</f>
        <v>1760572259</v>
      </c>
      <c r="E14965" t="s">
        <v>8838</v>
      </c>
    </row>
    <row r="14966" spans="1:5" x14ac:dyDescent="0.25">
      <c r="A14966" t="s">
        <v>2</v>
      </c>
      <c r="B14966" t="s">
        <v>3458</v>
      </c>
      <c r="C14966" t="s">
        <v>23490</v>
      </c>
      <c r="D14966" t="str">
        <f>HYPERLINK("https://rhld.insurance.arkansas.gov/NPILookup?Npi=1760572267","1760572267")</f>
        <v>1760572267</v>
      </c>
      <c r="E14966" t="s">
        <v>3920</v>
      </c>
    </row>
    <row r="14967" spans="1:5" x14ac:dyDescent="0.25">
      <c r="A14967" t="s">
        <v>2</v>
      </c>
      <c r="B14967" t="s">
        <v>3458</v>
      </c>
      <c r="C14967" t="s">
        <v>23490</v>
      </c>
      <c r="D14967" t="str">
        <f>HYPERLINK("https://rhld.insurance.arkansas.gov/NPILookup?Npi=1760595136","1760595136")</f>
        <v>1760595136</v>
      </c>
      <c r="E14967" t="s">
        <v>15519</v>
      </c>
    </row>
    <row r="14968" spans="1:5" x14ac:dyDescent="0.25">
      <c r="A14968" t="s">
        <v>2</v>
      </c>
      <c r="B14968" t="s">
        <v>3458</v>
      </c>
      <c r="C14968" t="s">
        <v>23490</v>
      </c>
      <c r="D14968" t="str">
        <f>HYPERLINK("https://rhld.insurance.arkansas.gov/NPILookup?Npi=1760596563","1760596563")</f>
        <v>1760596563</v>
      </c>
      <c r="E14968" t="s">
        <v>2699</v>
      </c>
    </row>
    <row r="14969" spans="1:5" x14ac:dyDescent="0.25">
      <c r="A14969" t="s">
        <v>2</v>
      </c>
      <c r="B14969" t="s">
        <v>3458</v>
      </c>
      <c r="C14969" t="s">
        <v>23490</v>
      </c>
      <c r="D14969" t="str">
        <f>HYPERLINK("https://rhld.insurance.arkansas.gov/NPILookup?Npi=1760599294","1760599294")</f>
        <v>1760599294</v>
      </c>
      <c r="E14969" t="s">
        <v>3921</v>
      </c>
    </row>
    <row r="14970" spans="1:5" x14ac:dyDescent="0.25">
      <c r="A14970" t="s">
        <v>2</v>
      </c>
      <c r="B14970" t="s">
        <v>3458</v>
      </c>
      <c r="C14970" t="s">
        <v>23490</v>
      </c>
      <c r="D14970" t="str">
        <f>HYPERLINK("https://rhld.insurance.arkansas.gov/NPILookup?Npi=1760603575","1760603575")</f>
        <v>1760603575</v>
      </c>
      <c r="E14970" t="s">
        <v>2700</v>
      </c>
    </row>
    <row r="14971" spans="1:5" x14ac:dyDescent="0.25">
      <c r="A14971" t="s">
        <v>2</v>
      </c>
      <c r="B14971" t="s">
        <v>3458</v>
      </c>
      <c r="C14971" t="s">
        <v>23490</v>
      </c>
      <c r="D14971" t="str">
        <f>HYPERLINK("https://rhld.insurance.arkansas.gov/NPILookup?Npi=1760615033","1760615033")</f>
        <v>1760615033</v>
      </c>
      <c r="E14971" t="s">
        <v>2701</v>
      </c>
    </row>
    <row r="14972" spans="1:5" x14ac:dyDescent="0.25">
      <c r="A14972" t="s">
        <v>2</v>
      </c>
      <c r="B14972" t="s">
        <v>3458</v>
      </c>
      <c r="C14972" t="s">
        <v>23490</v>
      </c>
      <c r="D14972" t="str">
        <f>HYPERLINK("https://rhld.insurance.arkansas.gov/NPILookup?Npi=1760630131","1760630131")</f>
        <v>1760630131</v>
      </c>
      <c r="E14972" t="s">
        <v>13027</v>
      </c>
    </row>
    <row r="14973" spans="1:5" x14ac:dyDescent="0.25">
      <c r="A14973" t="s">
        <v>2</v>
      </c>
      <c r="B14973" t="s">
        <v>3458</v>
      </c>
      <c r="C14973" t="s">
        <v>23490</v>
      </c>
      <c r="D14973" t="str">
        <f>HYPERLINK("https://rhld.insurance.arkansas.gov/NPILookup?Npi=1760639579","1760639579")</f>
        <v>1760639579</v>
      </c>
      <c r="E14973" t="s">
        <v>19233</v>
      </c>
    </row>
    <row r="14974" spans="1:5" x14ac:dyDescent="0.25">
      <c r="A14974" t="s">
        <v>2</v>
      </c>
      <c r="B14974" t="s">
        <v>3458</v>
      </c>
      <c r="C14974" t="s">
        <v>23490</v>
      </c>
      <c r="D14974" t="str">
        <f>HYPERLINK("https://rhld.insurance.arkansas.gov/NPILookup?Npi=1760646020","1760646020")</f>
        <v>1760646020</v>
      </c>
      <c r="E14974" t="s">
        <v>2702</v>
      </c>
    </row>
    <row r="14975" spans="1:5" x14ac:dyDescent="0.25">
      <c r="A14975" t="s">
        <v>2</v>
      </c>
      <c r="B14975" t="s">
        <v>3458</v>
      </c>
      <c r="C14975" t="s">
        <v>23490</v>
      </c>
      <c r="D14975" t="str">
        <f>HYPERLINK("https://rhld.insurance.arkansas.gov/NPILookup?Npi=1760658744","1760658744")</f>
        <v>1760658744</v>
      </c>
      <c r="E14975" t="s">
        <v>11242</v>
      </c>
    </row>
    <row r="14976" spans="1:5" x14ac:dyDescent="0.25">
      <c r="A14976" t="s">
        <v>2</v>
      </c>
      <c r="B14976" t="s">
        <v>3458</v>
      </c>
      <c r="C14976" t="s">
        <v>23490</v>
      </c>
      <c r="D14976" t="str">
        <f>HYPERLINK("https://rhld.insurance.arkansas.gov/NPILookup?Npi=1760663017","1760663017")</f>
        <v>1760663017</v>
      </c>
      <c r="E14976" t="s">
        <v>21756</v>
      </c>
    </row>
    <row r="14977" spans="1:5" x14ac:dyDescent="0.25">
      <c r="A14977" t="s">
        <v>2</v>
      </c>
      <c r="B14977" t="s">
        <v>3458</v>
      </c>
      <c r="C14977" t="s">
        <v>23490</v>
      </c>
      <c r="D14977" t="str">
        <f>HYPERLINK("https://rhld.insurance.arkansas.gov/NPILookup?Npi=1760679500","1760679500")</f>
        <v>1760679500</v>
      </c>
      <c r="E14977" t="s">
        <v>2703</v>
      </c>
    </row>
    <row r="14978" spans="1:5" x14ac:dyDescent="0.25">
      <c r="A14978" t="s">
        <v>2</v>
      </c>
      <c r="B14978" t="s">
        <v>3458</v>
      </c>
      <c r="C14978" t="s">
        <v>23490</v>
      </c>
      <c r="D14978" t="str">
        <f>HYPERLINK("https://rhld.insurance.arkansas.gov/NPILookup?Npi=1760690010","1760690010")</f>
        <v>1760690010</v>
      </c>
      <c r="E14978" t="s">
        <v>21031</v>
      </c>
    </row>
    <row r="14979" spans="1:5" x14ac:dyDescent="0.25">
      <c r="A14979" t="s">
        <v>2</v>
      </c>
      <c r="B14979" t="s">
        <v>3458</v>
      </c>
      <c r="C14979" t="s">
        <v>23490</v>
      </c>
      <c r="D14979" t="str">
        <f>HYPERLINK("https://rhld.insurance.arkansas.gov/NPILookup?Npi=1760707251","1760707251")</f>
        <v>1760707251</v>
      </c>
      <c r="E14979" t="s">
        <v>2704</v>
      </c>
    </row>
    <row r="14980" spans="1:5" x14ac:dyDescent="0.25">
      <c r="A14980" t="s">
        <v>2</v>
      </c>
      <c r="B14980" t="s">
        <v>3458</v>
      </c>
      <c r="C14980" t="s">
        <v>23490</v>
      </c>
      <c r="D14980" t="str">
        <f>HYPERLINK("https://rhld.insurance.arkansas.gov/NPILookup?Npi=1760720155","1760720155")</f>
        <v>1760720155</v>
      </c>
      <c r="E14980" t="s">
        <v>11243</v>
      </c>
    </row>
    <row r="14981" spans="1:5" x14ac:dyDescent="0.25">
      <c r="A14981" t="s">
        <v>2</v>
      </c>
      <c r="B14981" t="s">
        <v>3458</v>
      </c>
      <c r="C14981" t="s">
        <v>8427</v>
      </c>
      <c r="D14981" t="str">
        <f>HYPERLINK("https://rhld.insurance.arkansas.gov/NPILookup?Npi=1760731608","1760731608")</f>
        <v>1760731608</v>
      </c>
      <c r="E14981" t="s">
        <v>22981</v>
      </c>
    </row>
    <row r="14982" spans="1:5" x14ac:dyDescent="0.25">
      <c r="A14982" t="s">
        <v>2</v>
      </c>
      <c r="B14982" t="s">
        <v>3458</v>
      </c>
      <c r="C14982" t="s">
        <v>23490</v>
      </c>
      <c r="D14982" t="str">
        <f>HYPERLINK("https://rhld.insurance.arkansas.gov/NPILookup?Npi=1760746457","1760746457")</f>
        <v>1760746457</v>
      </c>
      <c r="E14982" t="s">
        <v>11244</v>
      </c>
    </row>
    <row r="14983" spans="1:5" x14ac:dyDescent="0.25">
      <c r="A14983" t="s">
        <v>2</v>
      </c>
      <c r="B14983" t="s">
        <v>3458</v>
      </c>
      <c r="C14983" t="s">
        <v>23490</v>
      </c>
      <c r="D14983" t="str">
        <f>HYPERLINK("https://rhld.insurance.arkansas.gov/NPILookup?Npi=1760755144","1760755144")</f>
        <v>1760755144</v>
      </c>
      <c r="E14983" t="s">
        <v>2705</v>
      </c>
    </row>
    <row r="14984" spans="1:5" x14ac:dyDescent="0.25">
      <c r="A14984" t="s">
        <v>2</v>
      </c>
      <c r="B14984" t="s">
        <v>3458</v>
      </c>
      <c r="C14984" t="s">
        <v>23490</v>
      </c>
      <c r="D14984" t="str">
        <f>HYPERLINK("https://rhld.insurance.arkansas.gov/NPILookup?Npi=1760758445","1760758445")</f>
        <v>1760758445</v>
      </c>
      <c r="E14984" t="s">
        <v>18112</v>
      </c>
    </row>
    <row r="14985" spans="1:5" x14ac:dyDescent="0.25">
      <c r="A14985" t="s">
        <v>2</v>
      </c>
      <c r="B14985" t="s">
        <v>3458</v>
      </c>
      <c r="C14985" t="s">
        <v>23490</v>
      </c>
      <c r="D14985" t="str">
        <f>HYPERLINK("https://rhld.insurance.arkansas.gov/NPILookup?Npi=1760780449","1760780449")</f>
        <v>1760780449</v>
      </c>
      <c r="E14985" t="s">
        <v>11245</v>
      </c>
    </row>
    <row r="14986" spans="1:5" x14ac:dyDescent="0.25">
      <c r="A14986" t="s">
        <v>2</v>
      </c>
      <c r="B14986" t="s">
        <v>3458</v>
      </c>
      <c r="C14986" t="s">
        <v>23490</v>
      </c>
      <c r="D14986" t="str">
        <f>HYPERLINK("https://rhld.insurance.arkansas.gov/NPILookup?Npi=1760784771","1760784771")</f>
        <v>1760784771</v>
      </c>
      <c r="E14986" t="s">
        <v>2707</v>
      </c>
    </row>
    <row r="14987" spans="1:5" x14ac:dyDescent="0.25">
      <c r="A14987" t="s">
        <v>2</v>
      </c>
      <c r="B14987" t="s">
        <v>3458</v>
      </c>
      <c r="C14987" t="s">
        <v>23490</v>
      </c>
      <c r="D14987" t="str">
        <f>HYPERLINK("https://rhld.insurance.arkansas.gov/NPILookup?Npi=1760800247","1760800247")</f>
        <v>1760800247</v>
      </c>
      <c r="E14987" t="s">
        <v>11246</v>
      </c>
    </row>
    <row r="14988" spans="1:5" x14ac:dyDescent="0.25">
      <c r="A14988" t="s">
        <v>2</v>
      </c>
      <c r="B14988" t="s">
        <v>3458</v>
      </c>
      <c r="C14988" t="s">
        <v>23490</v>
      </c>
      <c r="D14988" t="str">
        <f>HYPERLINK("https://rhld.insurance.arkansas.gov/NPILookup?Npi=1760822084","1760822084")</f>
        <v>1760822084</v>
      </c>
      <c r="E14988" t="s">
        <v>20008</v>
      </c>
    </row>
    <row r="14989" spans="1:5" x14ac:dyDescent="0.25">
      <c r="A14989" t="s">
        <v>2</v>
      </c>
      <c r="B14989" t="s">
        <v>3458</v>
      </c>
      <c r="C14989" t="s">
        <v>23490</v>
      </c>
      <c r="D14989" t="str">
        <f>HYPERLINK("https://rhld.insurance.arkansas.gov/NPILookup?Npi=1760834857","1760834857")</f>
        <v>1760834857</v>
      </c>
      <c r="E14989" t="s">
        <v>11247</v>
      </c>
    </row>
    <row r="14990" spans="1:5" x14ac:dyDescent="0.25">
      <c r="A14990" t="s">
        <v>2</v>
      </c>
      <c r="B14990" t="s">
        <v>3458</v>
      </c>
      <c r="C14990" t="s">
        <v>23490</v>
      </c>
      <c r="D14990" t="str">
        <f>HYPERLINK("https://rhld.insurance.arkansas.gov/NPILookup?Npi=1760848253","1760848253")</f>
        <v>1760848253</v>
      </c>
      <c r="E14990" t="s">
        <v>8840</v>
      </c>
    </row>
    <row r="14991" spans="1:5" x14ac:dyDescent="0.25">
      <c r="A14991" t="s">
        <v>2</v>
      </c>
      <c r="B14991" t="s">
        <v>3458</v>
      </c>
      <c r="C14991" t="s">
        <v>23490</v>
      </c>
      <c r="D14991" t="str">
        <f>HYPERLINK("https://rhld.insurance.arkansas.gov/NPILookup?Npi=1760855639","1760855639")</f>
        <v>1760855639</v>
      </c>
      <c r="E14991" t="s">
        <v>8841</v>
      </c>
    </row>
    <row r="14992" spans="1:5" x14ac:dyDescent="0.25">
      <c r="A14992" t="s">
        <v>2</v>
      </c>
      <c r="B14992" t="s">
        <v>3458</v>
      </c>
      <c r="C14992" t="s">
        <v>23490</v>
      </c>
      <c r="D14992" t="str">
        <f>HYPERLINK("https://rhld.insurance.arkansas.gov/NPILookup?Npi=1760873319","1760873319")</f>
        <v>1760873319</v>
      </c>
      <c r="E14992" t="s">
        <v>2709</v>
      </c>
    </row>
    <row r="14993" spans="1:5" x14ac:dyDescent="0.25">
      <c r="A14993" t="s">
        <v>2</v>
      </c>
      <c r="B14993" t="s">
        <v>3458</v>
      </c>
      <c r="C14993" t="s">
        <v>23490</v>
      </c>
      <c r="D14993" t="str">
        <f>HYPERLINK("https://rhld.insurance.arkansas.gov/NPILookup?Npi=1760878508","1760878508")</f>
        <v>1760878508</v>
      </c>
      <c r="E14993" t="s">
        <v>22982</v>
      </c>
    </row>
    <row r="14994" spans="1:5" x14ac:dyDescent="0.25">
      <c r="A14994" t="s">
        <v>2</v>
      </c>
      <c r="B14994" t="s">
        <v>3458</v>
      </c>
      <c r="C14994" t="s">
        <v>23490</v>
      </c>
      <c r="D14994" t="str">
        <f>HYPERLINK("https://rhld.insurance.arkansas.gov/NPILookup?Npi=1760881049","1760881049")</f>
        <v>1760881049</v>
      </c>
      <c r="E14994" t="s">
        <v>15522</v>
      </c>
    </row>
    <row r="14995" spans="1:5" x14ac:dyDescent="0.25">
      <c r="A14995" t="s">
        <v>2</v>
      </c>
      <c r="B14995" t="s">
        <v>3458</v>
      </c>
      <c r="C14995" t="s">
        <v>23490</v>
      </c>
      <c r="D14995" t="str">
        <f>HYPERLINK("https://rhld.insurance.arkansas.gov/NPILookup?Npi=1760892095","1760892095")</f>
        <v>1760892095</v>
      </c>
      <c r="E14995" t="s">
        <v>15523</v>
      </c>
    </row>
    <row r="14996" spans="1:5" x14ac:dyDescent="0.25">
      <c r="A14996" t="s">
        <v>2</v>
      </c>
      <c r="B14996" t="s">
        <v>3458</v>
      </c>
      <c r="C14996" t="s">
        <v>23490</v>
      </c>
      <c r="D14996" t="str">
        <f>HYPERLINK("https://rhld.insurance.arkansas.gov/NPILookup?Npi=1760892566","1760892566")</f>
        <v>1760892566</v>
      </c>
      <c r="E14996" t="s">
        <v>18216</v>
      </c>
    </row>
    <row r="14997" spans="1:5" x14ac:dyDescent="0.25">
      <c r="A14997" t="s">
        <v>2</v>
      </c>
      <c r="B14997" t="s">
        <v>3458</v>
      </c>
      <c r="C14997" t="s">
        <v>23490</v>
      </c>
      <c r="D14997" t="str">
        <f>HYPERLINK("https://rhld.insurance.arkansas.gov/NPILookup?Npi=1760894976","1760894976")</f>
        <v>1760894976</v>
      </c>
      <c r="E14997" t="s">
        <v>11248</v>
      </c>
    </row>
    <row r="14998" spans="1:5" x14ac:dyDescent="0.25">
      <c r="A14998" t="s">
        <v>2</v>
      </c>
      <c r="B14998" t="s">
        <v>3458</v>
      </c>
      <c r="C14998" t="s">
        <v>23490</v>
      </c>
      <c r="D14998" t="str">
        <f>HYPERLINK("https://rhld.insurance.arkansas.gov/NPILookup?Npi=1760897144","1760897144")</f>
        <v>1760897144</v>
      </c>
      <c r="E14998" t="s">
        <v>2710</v>
      </c>
    </row>
    <row r="14999" spans="1:5" x14ac:dyDescent="0.25">
      <c r="A14999" t="s">
        <v>2</v>
      </c>
      <c r="B14999" t="s">
        <v>3458</v>
      </c>
      <c r="C14999" t="s">
        <v>23490</v>
      </c>
      <c r="D14999" t="str">
        <f>HYPERLINK("https://rhld.insurance.arkansas.gov/NPILookup?Npi=1760908982","1760908982")</f>
        <v>1760908982</v>
      </c>
      <c r="E14999" t="s">
        <v>11249</v>
      </c>
    </row>
    <row r="15000" spans="1:5" x14ac:dyDescent="0.25">
      <c r="A15000" t="s">
        <v>2</v>
      </c>
      <c r="B15000" t="s">
        <v>3458</v>
      </c>
      <c r="C15000" t="s">
        <v>23490</v>
      </c>
      <c r="D15000" t="str">
        <f>HYPERLINK("https://rhld.insurance.arkansas.gov/NPILookup?Npi=1760914014","1760914014")</f>
        <v>1760914014</v>
      </c>
      <c r="E15000" t="s">
        <v>18217</v>
      </c>
    </row>
    <row r="15001" spans="1:5" x14ac:dyDescent="0.25">
      <c r="A15001" t="s">
        <v>2</v>
      </c>
      <c r="B15001" t="s">
        <v>3458</v>
      </c>
      <c r="C15001" t="s">
        <v>23490</v>
      </c>
      <c r="D15001" t="str">
        <f>HYPERLINK("https://rhld.insurance.arkansas.gov/NPILookup?Npi=1760915813","1760915813")</f>
        <v>1760915813</v>
      </c>
      <c r="E15001" t="s">
        <v>12901</v>
      </c>
    </row>
    <row r="15002" spans="1:5" x14ac:dyDescent="0.25">
      <c r="A15002" t="s">
        <v>2</v>
      </c>
      <c r="B15002" t="s">
        <v>3458</v>
      </c>
      <c r="C15002" t="s">
        <v>23490</v>
      </c>
      <c r="D15002" t="str">
        <f>HYPERLINK("https://rhld.insurance.arkansas.gov/NPILookup?Npi=1760916365","1760916365")</f>
        <v>1760916365</v>
      </c>
      <c r="E15002" t="s">
        <v>13689</v>
      </c>
    </row>
    <row r="15003" spans="1:5" x14ac:dyDescent="0.25">
      <c r="A15003" t="s">
        <v>2</v>
      </c>
      <c r="B15003" t="s">
        <v>3458</v>
      </c>
      <c r="C15003" t="s">
        <v>23490</v>
      </c>
      <c r="D15003" t="str">
        <f>HYPERLINK("https://rhld.insurance.arkansas.gov/NPILookup?Npi=1760919534","1760919534")</f>
        <v>1760919534</v>
      </c>
      <c r="E15003" t="s">
        <v>15904</v>
      </c>
    </row>
    <row r="15004" spans="1:5" x14ac:dyDescent="0.25">
      <c r="A15004" t="s">
        <v>2</v>
      </c>
      <c r="B15004" t="s">
        <v>3458</v>
      </c>
      <c r="C15004" t="s">
        <v>23490</v>
      </c>
      <c r="D15004" t="str">
        <f>HYPERLINK("https://rhld.insurance.arkansas.gov/NPILookup?Npi=1760921696","1760921696")</f>
        <v>1760921696</v>
      </c>
      <c r="E15004" t="s">
        <v>15524</v>
      </c>
    </row>
    <row r="15005" spans="1:5" x14ac:dyDescent="0.25">
      <c r="A15005" t="s">
        <v>2</v>
      </c>
      <c r="B15005" t="s">
        <v>3458</v>
      </c>
      <c r="C15005" t="s">
        <v>23490</v>
      </c>
      <c r="D15005" t="str">
        <f>HYPERLINK("https://rhld.insurance.arkansas.gov/NPILookup?Npi=1760922462","1760922462")</f>
        <v>1760922462</v>
      </c>
      <c r="E15005" t="s">
        <v>15525</v>
      </c>
    </row>
    <row r="15006" spans="1:5" x14ac:dyDescent="0.25">
      <c r="A15006" t="s">
        <v>2</v>
      </c>
      <c r="B15006" t="s">
        <v>3458</v>
      </c>
      <c r="C15006" t="s">
        <v>23490</v>
      </c>
      <c r="D15006" t="str">
        <f>HYPERLINK("https://rhld.insurance.arkansas.gov/NPILookup?Npi=1760925598","1760925598")</f>
        <v>1760925598</v>
      </c>
      <c r="E15006" t="s">
        <v>11252</v>
      </c>
    </row>
    <row r="15007" spans="1:5" x14ac:dyDescent="0.25">
      <c r="A15007" t="s">
        <v>2</v>
      </c>
      <c r="B15007" t="s">
        <v>3458</v>
      </c>
      <c r="C15007" t="s">
        <v>23490</v>
      </c>
      <c r="D15007" t="str">
        <f>HYPERLINK("https://rhld.insurance.arkansas.gov/NPILookup?Npi=1760928097","1760928097")</f>
        <v>1760928097</v>
      </c>
      <c r="E15007" t="s">
        <v>10710</v>
      </c>
    </row>
    <row r="15008" spans="1:5" x14ac:dyDescent="0.25">
      <c r="A15008" t="s">
        <v>2</v>
      </c>
      <c r="B15008" t="s">
        <v>3458</v>
      </c>
      <c r="C15008" t="s">
        <v>23490</v>
      </c>
      <c r="D15008" t="str">
        <f>HYPERLINK("https://rhld.insurance.arkansas.gov/NPILookup?Npi=1760929939","1760929939")</f>
        <v>1760929939</v>
      </c>
      <c r="E15008" t="s">
        <v>13028</v>
      </c>
    </row>
    <row r="15009" spans="1:5" x14ac:dyDescent="0.25">
      <c r="A15009" t="s">
        <v>2</v>
      </c>
      <c r="B15009" t="s">
        <v>3458</v>
      </c>
      <c r="C15009" t="s">
        <v>23490</v>
      </c>
      <c r="D15009" t="str">
        <f>HYPERLINK("https://rhld.insurance.arkansas.gov/NPILookup?Npi=1760957351","1760957351")</f>
        <v>1760957351</v>
      </c>
      <c r="E15009" t="s">
        <v>13690</v>
      </c>
    </row>
    <row r="15010" spans="1:5" x14ac:dyDescent="0.25">
      <c r="A15010" t="s">
        <v>2</v>
      </c>
      <c r="B15010" t="s">
        <v>3458</v>
      </c>
      <c r="C15010" t="s">
        <v>23490</v>
      </c>
      <c r="D15010" t="str">
        <f>HYPERLINK("https://rhld.insurance.arkansas.gov/NPILookup?Npi=1760996276","1760996276")</f>
        <v>1760996276</v>
      </c>
      <c r="E15010" t="s">
        <v>12902</v>
      </c>
    </row>
    <row r="15011" spans="1:5" x14ac:dyDescent="0.25">
      <c r="A15011" t="s">
        <v>2</v>
      </c>
      <c r="B15011" t="s">
        <v>3458</v>
      </c>
      <c r="C15011" t="s">
        <v>23490</v>
      </c>
      <c r="D15011" t="str">
        <f>HYPERLINK("https://rhld.insurance.arkansas.gov/NPILookup?Npi=1770003337","1770003337")</f>
        <v>1770003337</v>
      </c>
      <c r="E15011" t="s">
        <v>11253</v>
      </c>
    </row>
    <row r="15012" spans="1:5" x14ac:dyDescent="0.25">
      <c r="A15012" t="s">
        <v>2</v>
      </c>
      <c r="B15012" t="s">
        <v>3458</v>
      </c>
      <c r="C15012" t="s">
        <v>23490</v>
      </c>
      <c r="D15012" t="str">
        <f>HYPERLINK("https://rhld.insurance.arkansas.gov/NPILookup?Npi=1770007700","1770007700")</f>
        <v>1770007700</v>
      </c>
      <c r="E15012" t="s">
        <v>13692</v>
      </c>
    </row>
    <row r="15013" spans="1:5" x14ac:dyDescent="0.25">
      <c r="A15013" t="s">
        <v>2</v>
      </c>
      <c r="B15013" t="s">
        <v>3458</v>
      </c>
      <c r="C15013" t="s">
        <v>23490</v>
      </c>
      <c r="D15013" t="str">
        <f>HYPERLINK("https://rhld.insurance.arkansas.gov/NPILookup?Npi=1770014490","1770014490")</f>
        <v>1770014490</v>
      </c>
      <c r="E15013" t="s">
        <v>18116</v>
      </c>
    </row>
    <row r="15014" spans="1:5" x14ac:dyDescent="0.25">
      <c r="A15014" t="s">
        <v>2</v>
      </c>
      <c r="B15014" t="s">
        <v>3458</v>
      </c>
      <c r="C15014" t="s">
        <v>23490</v>
      </c>
      <c r="D15014" t="str">
        <f>HYPERLINK("https://rhld.insurance.arkansas.gov/NPILookup?Npi=1770020521","1770020521")</f>
        <v>1770020521</v>
      </c>
      <c r="E15014" t="s">
        <v>11254</v>
      </c>
    </row>
    <row r="15015" spans="1:5" x14ac:dyDescent="0.25">
      <c r="A15015" t="s">
        <v>2</v>
      </c>
      <c r="B15015" t="s">
        <v>3458</v>
      </c>
      <c r="C15015" t="s">
        <v>23490</v>
      </c>
      <c r="D15015" t="str">
        <f>HYPERLINK("https://rhld.insurance.arkansas.gov/NPILookup?Npi=1770039752","1770039752")</f>
        <v>1770039752</v>
      </c>
      <c r="E15015" t="s">
        <v>11255</v>
      </c>
    </row>
    <row r="15016" spans="1:5" x14ac:dyDescent="0.25">
      <c r="A15016" t="s">
        <v>2</v>
      </c>
      <c r="B15016" t="s">
        <v>3458</v>
      </c>
      <c r="C15016" t="s">
        <v>23490</v>
      </c>
      <c r="D15016" t="str">
        <f>HYPERLINK("https://rhld.insurance.arkansas.gov/NPILookup?Npi=1770040222","1770040222")</f>
        <v>1770040222</v>
      </c>
      <c r="E15016" t="s">
        <v>13693</v>
      </c>
    </row>
    <row r="15017" spans="1:5" x14ac:dyDescent="0.25">
      <c r="A15017" t="s">
        <v>2</v>
      </c>
      <c r="B15017" t="s">
        <v>3458</v>
      </c>
      <c r="C15017" t="s">
        <v>23490</v>
      </c>
      <c r="D15017" t="str">
        <f>HYPERLINK("https://rhld.insurance.arkansas.gov/NPILookup?Npi=1770048084","1770048084")</f>
        <v>1770048084</v>
      </c>
      <c r="E15017" t="s">
        <v>13694</v>
      </c>
    </row>
    <row r="15018" spans="1:5" x14ac:dyDescent="0.25">
      <c r="A15018" t="s">
        <v>2</v>
      </c>
      <c r="B15018" t="s">
        <v>3458</v>
      </c>
      <c r="C15018" t="s">
        <v>23490</v>
      </c>
      <c r="D15018" t="str">
        <f>HYPERLINK("https://rhld.insurance.arkansas.gov/NPILookup?Npi=1770051666","1770051666")</f>
        <v>1770051666</v>
      </c>
      <c r="E15018" t="s">
        <v>20011</v>
      </c>
    </row>
    <row r="15019" spans="1:5" x14ac:dyDescent="0.25">
      <c r="A15019" t="s">
        <v>2</v>
      </c>
      <c r="B15019" t="s">
        <v>3458</v>
      </c>
      <c r="C15019" t="s">
        <v>23490</v>
      </c>
      <c r="D15019" t="str">
        <f>HYPERLINK("https://rhld.insurance.arkansas.gov/NPILookup?Npi=1770068850","1770068850")</f>
        <v>1770068850</v>
      </c>
      <c r="E15019" t="s">
        <v>15527</v>
      </c>
    </row>
    <row r="15020" spans="1:5" x14ac:dyDescent="0.25">
      <c r="A15020" t="s">
        <v>2</v>
      </c>
      <c r="B15020" t="s">
        <v>3458</v>
      </c>
      <c r="C15020" t="s">
        <v>23490</v>
      </c>
      <c r="D15020" t="str">
        <f>HYPERLINK("https://rhld.insurance.arkansas.gov/NPILookup?Npi=1770075558","1770075558")</f>
        <v>1770075558</v>
      </c>
      <c r="E15020" t="s">
        <v>13696</v>
      </c>
    </row>
    <row r="15021" spans="1:5" x14ac:dyDescent="0.25">
      <c r="A15021" t="s">
        <v>2</v>
      </c>
      <c r="B15021" t="s">
        <v>3458</v>
      </c>
      <c r="C15021" t="s">
        <v>23490</v>
      </c>
      <c r="D15021" t="str">
        <f>HYPERLINK("https://rhld.insurance.arkansas.gov/NPILookup?Npi=1770088296","1770088296")</f>
        <v>1770088296</v>
      </c>
      <c r="E15021" t="s">
        <v>18863</v>
      </c>
    </row>
    <row r="15022" spans="1:5" x14ac:dyDescent="0.25">
      <c r="A15022" t="s">
        <v>2</v>
      </c>
      <c r="B15022" t="s">
        <v>3458</v>
      </c>
      <c r="C15022" t="s">
        <v>23490</v>
      </c>
      <c r="D15022" t="str">
        <f>HYPERLINK("https://rhld.insurance.arkansas.gov/NPILookup?Npi=1770089773","1770089773")</f>
        <v>1770089773</v>
      </c>
      <c r="E15022" t="s">
        <v>21085</v>
      </c>
    </row>
    <row r="15023" spans="1:5" x14ac:dyDescent="0.25">
      <c r="A15023" t="s">
        <v>2</v>
      </c>
      <c r="B15023" t="s">
        <v>3458</v>
      </c>
      <c r="C15023" t="s">
        <v>23490</v>
      </c>
      <c r="D15023" t="str">
        <f>HYPERLINK("https://rhld.insurance.arkansas.gov/NPILookup?Npi=1770098964","1770098964")</f>
        <v>1770098964</v>
      </c>
      <c r="E15023" t="s">
        <v>12903</v>
      </c>
    </row>
    <row r="15024" spans="1:5" x14ac:dyDescent="0.25">
      <c r="A15024" t="s">
        <v>2</v>
      </c>
      <c r="B15024" t="s">
        <v>3458</v>
      </c>
      <c r="C15024" t="s">
        <v>23490</v>
      </c>
      <c r="D15024" t="str">
        <f>HYPERLINK("https://rhld.insurance.arkansas.gov/NPILookup?Npi=1770156762","1770156762")</f>
        <v>1770156762</v>
      </c>
      <c r="E15024" t="s">
        <v>21648</v>
      </c>
    </row>
    <row r="15025" spans="1:5" x14ac:dyDescent="0.25">
      <c r="A15025" t="s">
        <v>2</v>
      </c>
      <c r="B15025" t="s">
        <v>3458</v>
      </c>
      <c r="C15025" t="s">
        <v>23490</v>
      </c>
      <c r="D15025" t="str">
        <f>HYPERLINK("https://rhld.insurance.arkansas.gov/NPILookup?Npi=1770173536","1770173536")</f>
        <v>1770173536</v>
      </c>
      <c r="E15025" t="s">
        <v>18118</v>
      </c>
    </row>
    <row r="15026" spans="1:5" x14ac:dyDescent="0.25">
      <c r="A15026" t="s">
        <v>2</v>
      </c>
      <c r="B15026" t="s">
        <v>3458</v>
      </c>
      <c r="C15026" t="s">
        <v>23490</v>
      </c>
      <c r="D15026" t="str">
        <f>HYPERLINK("https://rhld.insurance.arkansas.gov/NPILookup?Npi=1770192791","1770192791")</f>
        <v>1770192791</v>
      </c>
      <c r="E15026" t="s">
        <v>17478</v>
      </c>
    </row>
    <row r="15027" spans="1:5" x14ac:dyDescent="0.25">
      <c r="A15027" t="s">
        <v>2</v>
      </c>
      <c r="B15027" t="s">
        <v>3458</v>
      </c>
      <c r="C15027" t="s">
        <v>23490</v>
      </c>
      <c r="D15027" t="str">
        <f>HYPERLINK("https://rhld.insurance.arkansas.gov/NPILookup?Npi=1770198848","1770198848")</f>
        <v>1770198848</v>
      </c>
      <c r="E15027" t="s">
        <v>18119</v>
      </c>
    </row>
    <row r="15028" spans="1:5" x14ac:dyDescent="0.25">
      <c r="A15028" t="s">
        <v>2</v>
      </c>
      <c r="B15028" t="s">
        <v>3458</v>
      </c>
      <c r="C15028" t="s">
        <v>23490</v>
      </c>
      <c r="D15028" t="str">
        <f>HYPERLINK("https://rhld.insurance.arkansas.gov/NPILookup?Npi=1770216202","1770216202")</f>
        <v>1770216202</v>
      </c>
      <c r="E15028" t="s">
        <v>21033</v>
      </c>
    </row>
    <row r="15029" spans="1:5" x14ac:dyDescent="0.25">
      <c r="A15029" t="s">
        <v>2</v>
      </c>
      <c r="B15029" t="s">
        <v>3458</v>
      </c>
      <c r="C15029" t="s">
        <v>23490</v>
      </c>
      <c r="D15029" t="str">
        <f>HYPERLINK("https://rhld.insurance.arkansas.gov/NPILookup?Npi=1770217887","1770217887")</f>
        <v>1770217887</v>
      </c>
      <c r="E15029" t="s">
        <v>21034</v>
      </c>
    </row>
    <row r="15030" spans="1:5" x14ac:dyDescent="0.25">
      <c r="A15030" t="s">
        <v>2</v>
      </c>
      <c r="B15030" t="s">
        <v>3458</v>
      </c>
      <c r="C15030" t="s">
        <v>23490</v>
      </c>
      <c r="D15030" t="str">
        <f>HYPERLINK("https://rhld.insurance.arkansas.gov/NPILookup?Npi=1770510331","1770510331")</f>
        <v>1770510331</v>
      </c>
      <c r="E15030" t="s">
        <v>2711</v>
      </c>
    </row>
    <row r="15031" spans="1:5" x14ac:dyDescent="0.25">
      <c r="A15031" t="s">
        <v>2</v>
      </c>
      <c r="B15031" t="s">
        <v>3458</v>
      </c>
      <c r="C15031" t="s">
        <v>23490</v>
      </c>
      <c r="D15031" t="str">
        <f>HYPERLINK("https://rhld.insurance.arkansas.gov/NPILookup?Npi=1770513210","1770513210")</f>
        <v>1770513210</v>
      </c>
      <c r="E15031" t="s">
        <v>15905</v>
      </c>
    </row>
    <row r="15032" spans="1:5" x14ac:dyDescent="0.25">
      <c r="A15032" t="s">
        <v>2</v>
      </c>
      <c r="B15032" t="s">
        <v>3458</v>
      </c>
      <c r="C15032" t="s">
        <v>23490</v>
      </c>
      <c r="D15032" t="str">
        <f>HYPERLINK("https://rhld.insurance.arkansas.gov/NPILookup?Npi=1770520819","1770520819")</f>
        <v>1770520819</v>
      </c>
      <c r="E15032" t="s">
        <v>8842</v>
      </c>
    </row>
    <row r="15033" spans="1:5" x14ac:dyDescent="0.25">
      <c r="A15033" t="s">
        <v>2</v>
      </c>
      <c r="B15033" t="s">
        <v>3458</v>
      </c>
      <c r="C15033" t="s">
        <v>8427</v>
      </c>
      <c r="D15033" t="str">
        <f>HYPERLINK("https://rhld.insurance.arkansas.gov/NPILookup?Npi=1770520900","1770520900")</f>
        <v>1770520900</v>
      </c>
      <c r="E15033" t="s">
        <v>22983</v>
      </c>
    </row>
    <row r="15034" spans="1:5" x14ac:dyDescent="0.25">
      <c r="A15034" t="s">
        <v>2</v>
      </c>
      <c r="B15034" t="s">
        <v>3458</v>
      </c>
      <c r="C15034" t="s">
        <v>23490</v>
      </c>
      <c r="D15034" t="str">
        <f>HYPERLINK("https://rhld.insurance.arkansas.gov/NPILookup?Npi=1770528952","1770528952")</f>
        <v>1770528952</v>
      </c>
      <c r="E15034" t="s">
        <v>3922</v>
      </c>
    </row>
    <row r="15035" spans="1:5" x14ac:dyDescent="0.25">
      <c r="A15035" t="s">
        <v>2</v>
      </c>
      <c r="B15035" t="s">
        <v>3458</v>
      </c>
      <c r="C15035" t="s">
        <v>23490</v>
      </c>
      <c r="D15035" t="str">
        <f>HYPERLINK("https://rhld.insurance.arkansas.gov/NPILookup?Npi=1770530586","1770530586")</f>
        <v>1770530586</v>
      </c>
      <c r="E15035" t="s">
        <v>15530</v>
      </c>
    </row>
    <row r="15036" spans="1:5" x14ac:dyDescent="0.25">
      <c r="A15036" t="s">
        <v>2</v>
      </c>
      <c r="B15036" t="s">
        <v>3458</v>
      </c>
      <c r="C15036" t="s">
        <v>23490</v>
      </c>
      <c r="D15036" t="str">
        <f>HYPERLINK("https://rhld.insurance.arkansas.gov/NPILookup?Npi=1770531766","1770531766")</f>
        <v>1770531766</v>
      </c>
      <c r="E15036" t="s">
        <v>2712</v>
      </c>
    </row>
    <row r="15037" spans="1:5" x14ac:dyDescent="0.25">
      <c r="A15037" t="s">
        <v>2</v>
      </c>
      <c r="B15037" t="s">
        <v>3458</v>
      </c>
      <c r="C15037" t="s">
        <v>23490</v>
      </c>
      <c r="D15037" t="str">
        <f>HYPERLINK("https://rhld.insurance.arkansas.gov/NPILookup?Npi=1770534521","1770534521")</f>
        <v>1770534521</v>
      </c>
      <c r="E15037" t="s">
        <v>11479</v>
      </c>
    </row>
    <row r="15038" spans="1:5" x14ac:dyDescent="0.25">
      <c r="A15038" t="s">
        <v>2</v>
      </c>
      <c r="B15038" t="s">
        <v>3458</v>
      </c>
      <c r="C15038" t="s">
        <v>23490</v>
      </c>
      <c r="D15038" t="str">
        <f>HYPERLINK("https://rhld.insurance.arkansas.gov/NPILookup?Npi=1770538308","1770538308")</f>
        <v>1770538308</v>
      </c>
      <c r="E15038" t="s">
        <v>2713</v>
      </c>
    </row>
    <row r="15039" spans="1:5" x14ac:dyDescent="0.25">
      <c r="A15039" t="s">
        <v>2</v>
      </c>
      <c r="B15039" t="s">
        <v>3458</v>
      </c>
      <c r="C15039" t="s">
        <v>23490</v>
      </c>
      <c r="D15039" t="str">
        <f>HYPERLINK("https://rhld.insurance.arkansas.gov/NPILookup?Npi=1770540023","1770540023")</f>
        <v>1770540023</v>
      </c>
      <c r="E15039" t="s">
        <v>2714</v>
      </c>
    </row>
    <row r="15040" spans="1:5" x14ac:dyDescent="0.25">
      <c r="A15040" t="s">
        <v>2</v>
      </c>
      <c r="B15040" t="s">
        <v>3458</v>
      </c>
      <c r="C15040" t="s">
        <v>23490</v>
      </c>
      <c r="D15040" t="str">
        <f>HYPERLINK("https://rhld.insurance.arkansas.gov/NPILookup?Npi=1770541856","1770541856")</f>
        <v>1770541856</v>
      </c>
      <c r="E15040" t="s">
        <v>3923</v>
      </c>
    </row>
    <row r="15041" spans="1:5" x14ac:dyDescent="0.25">
      <c r="A15041" t="s">
        <v>2</v>
      </c>
      <c r="B15041" t="s">
        <v>3458</v>
      </c>
      <c r="C15041" t="s">
        <v>23490</v>
      </c>
      <c r="D15041" t="str">
        <f>HYPERLINK("https://rhld.insurance.arkansas.gov/NPILookup?Npi=1770559635","1770559635")</f>
        <v>1770559635</v>
      </c>
      <c r="E15041" t="s">
        <v>2716</v>
      </c>
    </row>
    <row r="15042" spans="1:5" x14ac:dyDescent="0.25">
      <c r="A15042" t="s">
        <v>2</v>
      </c>
      <c r="B15042" t="s">
        <v>3458</v>
      </c>
      <c r="C15042" t="s">
        <v>23490</v>
      </c>
      <c r="D15042" t="str">
        <f>HYPERLINK("https://rhld.insurance.arkansas.gov/NPILookup?Npi=1770568230","1770568230")</f>
        <v>1770568230</v>
      </c>
      <c r="E15042" t="s">
        <v>15532</v>
      </c>
    </row>
    <row r="15043" spans="1:5" x14ac:dyDescent="0.25">
      <c r="A15043" t="s">
        <v>2</v>
      </c>
      <c r="B15043" t="s">
        <v>3458</v>
      </c>
      <c r="C15043" t="s">
        <v>23490</v>
      </c>
      <c r="D15043" t="str">
        <f>HYPERLINK("https://rhld.insurance.arkansas.gov/NPILookup?Npi=1770576035","1770576035")</f>
        <v>1770576035</v>
      </c>
      <c r="E15043" t="s">
        <v>2717</v>
      </c>
    </row>
    <row r="15044" spans="1:5" x14ac:dyDescent="0.25">
      <c r="A15044" t="s">
        <v>2</v>
      </c>
      <c r="B15044" t="s">
        <v>3458</v>
      </c>
      <c r="C15044" t="s">
        <v>23490</v>
      </c>
      <c r="D15044" t="str">
        <f>HYPERLINK("https://rhld.insurance.arkansas.gov/NPILookup?Npi=1770578072","1770578072")</f>
        <v>1770578072</v>
      </c>
      <c r="E15044" t="s">
        <v>2718</v>
      </c>
    </row>
    <row r="15045" spans="1:5" x14ac:dyDescent="0.25">
      <c r="A15045" t="s">
        <v>2</v>
      </c>
      <c r="B15045" t="s">
        <v>3458</v>
      </c>
      <c r="C15045" t="s">
        <v>23490</v>
      </c>
      <c r="D15045" t="str">
        <f>HYPERLINK("https://rhld.insurance.arkansas.gov/NPILookup?Npi=1770578718","1770578718")</f>
        <v>1770578718</v>
      </c>
      <c r="E15045" t="s">
        <v>2719</v>
      </c>
    </row>
    <row r="15046" spans="1:5" x14ac:dyDescent="0.25">
      <c r="A15046" t="s">
        <v>2</v>
      </c>
      <c r="B15046" t="s">
        <v>3458</v>
      </c>
      <c r="C15046" t="s">
        <v>23490</v>
      </c>
      <c r="D15046" t="str">
        <f>HYPERLINK("https://rhld.insurance.arkansas.gov/NPILookup?Npi=1770580169","1770580169")</f>
        <v>1770580169</v>
      </c>
      <c r="E15046" t="s">
        <v>2720</v>
      </c>
    </row>
    <row r="15047" spans="1:5" x14ac:dyDescent="0.25">
      <c r="A15047" t="s">
        <v>2</v>
      </c>
      <c r="B15047" t="s">
        <v>3458</v>
      </c>
      <c r="C15047" t="s">
        <v>23490</v>
      </c>
      <c r="D15047" t="str">
        <f>HYPERLINK("https://rhld.insurance.arkansas.gov/NPILookup?Npi=1770583189","1770583189")</f>
        <v>1770583189</v>
      </c>
      <c r="E15047" t="s">
        <v>2723</v>
      </c>
    </row>
    <row r="15048" spans="1:5" x14ac:dyDescent="0.25">
      <c r="A15048" t="s">
        <v>2</v>
      </c>
      <c r="B15048" t="s">
        <v>3458</v>
      </c>
      <c r="C15048" t="s">
        <v>23490</v>
      </c>
      <c r="D15048" t="str">
        <f>HYPERLINK("https://rhld.insurance.arkansas.gov/NPILookup?Npi=1770588576","1770588576")</f>
        <v>1770588576</v>
      </c>
      <c r="E15048" t="s">
        <v>3924</v>
      </c>
    </row>
    <row r="15049" spans="1:5" x14ac:dyDescent="0.25">
      <c r="A15049" t="s">
        <v>2</v>
      </c>
      <c r="B15049" t="s">
        <v>3458</v>
      </c>
      <c r="C15049" t="s">
        <v>23490</v>
      </c>
      <c r="D15049" t="str">
        <f>HYPERLINK("https://rhld.insurance.arkansas.gov/NPILookup?Npi=1770596314","1770596314")</f>
        <v>1770596314</v>
      </c>
      <c r="E15049" t="s">
        <v>2724</v>
      </c>
    </row>
    <row r="15050" spans="1:5" x14ac:dyDescent="0.25">
      <c r="A15050" t="s">
        <v>2</v>
      </c>
      <c r="B15050" t="s">
        <v>3458</v>
      </c>
      <c r="C15050" t="s">
        <v>23490</v>
      </c>
      <c r="D15050" t="str">
        <f>HYPERLINK("https://rhld.insurance.arkansas.gov/NPILookup?Npi=1770628471","1770628471")</f>
        <v>1770628471</v>
      </c>
      <c r="E15050" t="s">
        <v>2725</v>
      </c>
    </row>
    <row r="15051" spans="1:5" x14ac:dyDescent="0.25">
      <c r="A15051" t="s">
        <v>2</v>
      </c>
      <c r="B15051" t="s">
        <v>3458</v>
      </c>
      <c r="C15051" t="s">
        <v>23490</v>
      </c>
      <c r="D15051" t="str">
        <f>HYPERLINK("https://rhld.insurance.arkansas.gov/NPILookup?Npi=1770658262","1770658262")</f>
        <v>1770658262</v>
      </c>
      <c r="E15051" t="s">
        <v>8844</v>
      </c>
    </row>
    <row r="15052" spans="1:5" x14ac:dyDescent="0.25">
      <c r="A15052" t="s">
        <v>2</v>
      </c>
      <c r="B15052" t="s">
        <v>3458</v>
      </c>
      <c r="C15052" t="s">
        <v>23490</v>
      </c>
      <c r="D15052" t="str">
        <f>HYPERLINK("https://rhld.insurance.arkansas.gov/NPILookup?Npi=1770660045","1770660045")</f>
        <v>1770660045</v>
      </c>
      <c r="E15052" t="s">
        <v>8845</v>
      </c>
    </row>
    <row r="15053" spans="1:5" x14ac:dyDescent="0.25">
      <c r="A15053" t="s">
        <v>2</v>
      </c>
      <c r="B15053" t="s">
        <v>3458</v>
      </c>
      <c r="C15053" t="s">
        <v>23490</v>
      </c>
      <c r="D15053" t="str">
        <f>HYPERLINK("https://rhld.insurance.arkansas.gov/NPILookup?Npi=1770667925","1770667925")</f>
        <v>1770667925</v>
      </c>
      <c r="E15053" t="s">
        <v>15906</v>
      </c>
    </row>
    <row r="15054" spans="1:5" x14ac:dyDescent="0.25">
      <c r="A15054" t="s">
        <v>2</v>
      </c>
      <c r="B15054" t="s">
        <v>3458</v>
      </c>
      <c r="C15054" t="s">
        <v>23490</v>
      </c>
      <c r="D15054" t="str">
        <f>HYPERLINK("https://rhld.insurance.arkansas.gov/NPILookup?Npi=1770670879","1770670879")</f>
        <v>1770670879</v>
      </c>
      <c r="E15054" t="s">
        <v>2727</v>
      </c>
    </row>
    <row r="15055" spans="1:5" x14ac:dyDescent="0.25">
      <c r="A15055" t="s">
        <v>2</v>
      </c>
      <c r="B15055" t="s">
        <v>3458</v>
      </c>
      <c r="C15055" t="s">
        <v>23490</v>
      </c>
      <c r="D15055" t="str">
        <f>HYPERLINK("https://rhld.insurance.arkansas.gov/NPILookup?Npi=1770674954","1770674954")</f>
        <v>1770674954</v>
      </c>
      <c r="E15055" t="s">
        <v>3925</v>
      </c>
    </row>
    <row r="15056" spans="1:5" x14ac:dyDescent="0.25">
      <c r="A15056" t="s">
        <v>2</v>
      </c>
      <c r="B15056" t="s">
        <v>3458</v>
      </c>
      <c r="C15056" t="s">
        <v>23490</v>
      </c>
      <c r="D15056" t="str">
        <f>HYPERLINK("https://rhld.insurance.arkansas.gov/NPILookup?Npi=1770683641","1770683641")</f>
        <v>1770683641</v>
      </c>
      <c r="E15056" t="s">
        <v>2728</v>
      </c>
    </row>
    <row r="15057" spans="1:5" x14ac:dyDescent="0.25">
      <c r="A15057" t="s">
        <v>2</v>
      </c>
      <c r="B15057" t="s">
        <v>3458</v>
      </c>
      <c r="C15057" t="s">
        <v>23490</v>
      </c>
      <c r="D15057" t="str">
        <f>HYPERLINK("https://rhld.insurance.arkansas.gov/NPILookup?Npi=1770683989","1770683989")</f>
        <v>1770683989</v>
      </c>
      <c r="E15057" t="s">
        <v>3926</v>
      </c>
    </row>
    <row r="15058" spans="1:5" x14ac:dyDescent="0.25">
      <c r="A15058" t="s">
        <v>2</v>
      </c>
      <c r="B15058" t="s">
        <v>3458</v>
      </c>
      <c r="C15058" t="s">
        <v>23490</v>
      </c>
      <c r="D15058" t="str">
        <f>HYPERLINK("https://rhld.insurance.arkansas.gov/NPILookup?Npi=1770685869","1770685869")</f>
        <v>1770685869</v>
      </c>
      <c r="E15058" t="s">
        <v>22984</v>
      </c>
    </row>
    <row r="15059" spans="1:5" x14ac:dyDescent="0.25">
      <c r="A15059" t="s">
        <v>2</v>
      </c>
      <c r="B15059" t="s">
        <v>3458</v>
      </c>
      <c r="C15059" t="s">
        <v>23490</v>
      </c>
      <c r="D15059" t="str">
        <f>HYPERLINK("https://rhld.insurance.arkansas.gov/NPILookup?Npi=1770699670","1770699670")</f>
        <v>1770699670</v>
      </c>
      <c r="E15059" t="s">
        <v>15535</v>
      </c>
    </row>
    <row r="15060" spans="1:5" x14ac:dyDescent="0.25">
      <c r="A15060" t="s">
        <v>2</v>
      </c>
      <c r="B15060" t="s">
        <v>3458</v>
      </c>
      <c r="C15060" t="s">
        <v>23490</v>
      </c>
      <c r="D15060" t="str">
        <f>HYPERLINK("https://rhld.insurance.arkansas.gov/NPILookup?Npi=1770710071","1770710071")</f>
        <v>1770710071</v>
      </c>
      <c r="E15060" t="s">
        <v>3927</v>
      </c>
    </row>
    <row r="15061" spans="1:5" x14ac:dyDescent="0.25">
      <c r="A15061" t="s">
        <v>2</v>
      </c>
      <c r="B15061" t="s">
        <v>3458</v>
      </c>
      <c r="C15061" t="s">
        <v>23490</v>
      </c>
      <c r="D15061" t="str">
        <f>HYPERLINK("https://rhld.insurance.arkansas.gov/NPILookup?Npi=1770747149","1770747149")</f>
        <v>1770747149</v>
      </c>
      <c r="E15061" t="s">
        <v>12904</v>
      </c>
    </row>
    <row r="15062" spans="1:5" x14ac:dyDescent="0.25">
      <c r="A15062" t="s">
        <v>2</v>
      </c>
      <c r="B15062" t="s">
        <v>3458</v>
      </c>
      <c r="C15062" t="s">
        <v>23490</v>
      </c>
      <c r="D15062" t="str">
        <f>HYPERLINK("https://rhld.insurance.arkansas.gov/NPILookup?Npi=1770748352","1770748352")</f>
        <v>1770748352</v>
      </c>
      <c r="E15062" t="s">
        <v>11258</v>
      </c>
    </row>
    <row r="15063" spans="1:5" x14ac:dyDescent="0.25">
      <c r="A15063" t="s">
        <v>2</v>
      </c>
      <c r="B15063" t="s">
        <v>3458</v>
      </c>
      <c r="C15063" t="s">
        <v>23490</v>
      </c>
      <c r="D15063" t="str">
        <f>HYPERLINK("https://rhld.insurance.arkansas.gov/NPILookup?Npi=1770763674","1770763674")</f>
        <v>1770763674</v>
      </c>
      <c r="E15063" t="s">
        <v>22985</v>
      </c>
    </row>
    <row r="15064" spans="1:5" x14ac:dyDescent="0.25">
      <c r="A15064" t="s">
        <v>2</v>
      </c>
      <c r="B15064" t="s">
        <v>3458</v>
      </c>
      <c r="C15064" t="s">
        <v>23490</v>
      </c>
      <c r="D15064" t="str">
        <f>HYPERLINK("https://rhld.insurance.arkansas.gov/NPILookup?Npi=1770769903","1770769903")</f>
        <v>1770769903</v>
      </c>
      <c r="E15064" t="s">
        <v>15537</v>
      </c>
    </row>
    <row r="15065" spans="1:5" x14ac:dyDescent="0.25">
      <c r="A15065" t="s">
        <v>2</v>
      </c>
      <c r="B15065" t="s">
        <v>3458</v>
      </c>
      <c r="C15065" t="s">
        <v>23490</v>
      </c>
      <c r="D15065" t="str">
        <f>HYPERLINK("https://rhld.insurance.arkansas.gov/NPILookup?Npi=1770771297","1770771297")</f>
        <v>1770771297</v>
      </c>
      <c r="E15065" t="s">
        <v>2729</v>
      </c>
    </row>
    <row r="15066" spans="1:5" x14ac:dyDescent="0.25">
      <c r="A15066" t="s">
        <v>2</v>
      </c>
      <c r="B15066" t="s">
        <v>3458</v>
      </c>
      <c r="C15066" t="s">
        <v>23490</v>
      </c>
      <c r="D15066" t="str">
        <f>HYPERLINK("https://rhld.insurance.arkansas.gov/NPILookup?Npi=1770771586","1770771586")</f>
        <v>1770771586</v>
      </c>
      <c r="E15066" t="s">
        <v>15538</v>
      </c>
    </row>
    <row r="15067" spans="1:5" x14ac:dyDescent="0.25">
      <c r="A15067" t="s">
        <v>2</v>
      </c>
      <c r="B15067" t="s">
        <v>3458</v>
      </c>
      <c r="C15067" t="s">
        <v>23490</v>
      </c>
      <c r="D15067" t="str">
        <f>HYPERLINK("https://rhld.insurance.arkansas.gov/NPILookup?Npi=1770785420","1770785420")</f>
        <v>1770785420</v>
      </c>
      <c r="E15067" t="s">
        <v>2731</v>
      </c>
    </row>
    <row r="15068" spans="1:5" x14ac:dyDescent="0.25">
      <c r="A15068" t="s">
        <v>2</v>
      </c>
      <c r="B15068" t="s">
        <v>3458</v>
      </c>
      <c r="C15068" t="s">
        <v>23490</v>
      </c>
      <c r="D15068" t="str">
        <f>HYPERLINK("https://rhld.insurance.arkansas.gov/NPILookup?Npi=1770798878","1770798878")</f>
        <v>1770798878</v>
      </c>
      <c r="E15068" t="s">
        <v>2732</v>
      </c>
    </row>
    <row r="15069" spans="1:5" x14ac:dyDescent="0.25">
      <c r="A15069" t="s">
        <v>2</v>
      </c>
      <c r="B15069" t="s">
        <v>3458</v>
      </c>
      <c r="C15069" t="s">
        <v>23490</v>
      </c>
      <c r="D15069" t="str">
        <f>HYPERLINK("https://rhld.insurance.arkansas.gov/NPILookup?Npi=1770808396","1770808396")</f>
        <v>1770808396</v>
      </c>
      <c r="E15069" t="s">
        <v>11259</v>
      </c>
    </row>
    <row r="15070" spans="1:5" x14ac:dyDescent="0.25">
      <c r="A15070" t="s">
        <v>2</v>
      </c>
      <c r="B15070" t="s">
        <v>3458</v>
      </c>
      <c r="C15070" t="s">
        <v>23490</v>
      </c>
      <c r="D15070" t="str">
        <f>HYPERLINK("https://rhld.insurance.arkansas.gov/NPILookup?Npi=1770817421","1770817421")</f>
        <v>1770817421</v>
      </c>
      <c r="E15070" t="s">
        <v>2734</v>
      </c>
    </row>
    <row r="15071" spans="1:5" x14ac:dyDescent="0.25">
      <c r="A15071" t="s">
        <v>2</v>
      </c>
      <c r="B15071" t="s">
        <v>3458</v>
      </c>
      <c r="C15071" t="s">
        <v>23490</v>
      </c>
      <c r="D15071" t="str">
        <f>HYPERLINK("https://rhld.insurance.arkansas.gov/NPILookup?Npi=1770842148","1770842148")</f>
        <v>1770842148</v>
      </c>
      <c r="E15071" t="s">
        <v>2735</v>
      </c>
    </row>
    <row r="15072" spans="1:5" x14ac:dyDescent="0.25">
      <c r="A15072" t="s">
        <v>2</v>
      </c>
      <c r="B15072" t="s">
        <v>3458</v>
      </c>
      <c r="C15072" t="s">
        <v>23490</v>
      </c>
      <c r="D15072" t="str">
        <f>HYPERLINK("https://rhld.insurance.arkansas.gov/NPILookup?Npi=1770848434","1770848434")</f>
        <v>1770848434</v>
      </c>
      <c r="E15072" t="s">
        <v>15540</v>
      </c>
    </row>
    <row r="15073" spans="1:5" x14ac:dyDescent="0.25">
      <c r="A15073" t="s">
        <v>2</v>
      </c>
      <c r="B15073" t="s">
        <v>3458</v>
      </c>
      <c r="C15073" t="s">
        <v>23490</v>
      </c>
      <c r="D15073" t="str">
        <f>HYPERLINK("https://rhld.insurance.arkansas.gov/NPILookup?Npi=1770855173","1770855173")</f>
        <v>1770855173</v>
      </c>
      <c r="E15073" t="s">
        <v>15541</v>
      </c>
    </row>
    <row r="15074" spans="1:5" x14ac:dyDescent="0.25">
      <c r="A15074" t="s">
        <v>2</v>
      </c>
      <c r="B15074" t="s">
        <v>3458</v>
      </c>
      <c r="C15074" t="s">
        <v>23490</v>
      </c>
      <c r="D15074" t="str">
        <f>HYPERLINK("https://rhld.insurance.arkansas.gov/NPILookup?Npi=1770866360","1770866360")</f>
        <v>1770866360</v>
      </c>
      <c r="E15074" t="s">
        <v>2736</v>
      </c>
    </row>
    <row r="15075" spans="1:5" x14ac:dyDescent="0.25">
      <c r="A15075" t="s">
        <v>2</v>
      </c>
      <c r="B15075" t="s">
        <v>3458</v>
      </c>
      <c r="C15075" t="s">
        <v>23490</v>
      </c>
      <c r="D15075" t="str">
        <f>HYPERLINK("https://rhld.insurance.arkansas.gov/NPILookup?Npi=1770876328","1770876328")</f>
        <v>1770876328</v>
      </c>
      <c r="E15075" t="s">
        <v>2737</v>
      </c>
    </row>
    <row r="15076" spans="1:5" x14ac:dyDescent="0.25">
      <c r="A15076" t="s">
        <v>2</v>
      </c>
      <c r="B15076" t="s">
        <v>3458</v>
      </c>
      <c r="C15076" t="s">
        <v>23490</v>
      </c>
      <c r="D15076" t="str">
        <f>HYPERLINK("https://rhld.insurance.arkansas.gov/NPILookup?Npi=1770877821","1770877821")</f>
        <v>1770877821</v>
      </c>
      <c r="E15076" t="s">
        <v>2738</v>
      </c>
    </row>
    <row r="15077" spans="1:5" x14ac:dyDescent="0.25">
      <c r="A15077" t="s">
        <v>2</v>
      </c>
      <c r="B15077" t="s">
        <v>3458</v>
      </c>
      <c r="C15077" t="s">
        <v>23490</v>
      </c>
      <c r="D15077" t="str">
        <f>HYPERLINK("https://rhld.insurance.arkansas.gov/NPILookup?Npi=1770885121","1770885121")</f>
        <v>1770885121</v>
      </c>
      <c r="E15077" t="s">
        <v>15542</v>
      </c>
    </row>
    <row r="15078" spans="1:5" x14ac:dyDescent="0.25">
      <c r="A15078" t="s">
        <v>2</v>
      </c>
      <c r="B15078" t="s">
        <v>3458</v>
      </c>
      <c r="C15078" t="s">
        <v>23490</v>
      </c>
      <c r="D15078" t="str">
        <f>HYPERLINK("https://rhld.insurance.arkansas.gov/NPILookup?Npi=1770902793","1770902793")</f>
        <v>1770902793</v>
      </c>
      <c r="E15078" t="s">
        <v>12905</v>
      </c>
    </row>
    <row r="15079" spans="1:5" x14ac:dyDescent="0.25">
      <c r="A15079" t="s">
        <v>2</v>
      </c>
      <c r="B15079" t="s">
        <v>3458</v>
      </c>
      <c r="C15079" t="s">
        <v>23490</v>
      </c>
      <c r="D15079" t="str">
        <f>HYPERLINK("https://rhld.insurance.arkansas.gov/NPILookup?Npi=1770903882","1770903882")</f>
        <v>1770903882</v>
      </c>
      <c r="E15079" t="s">
        <v>21086</v>
      </c>
    </row>
    <row r="15080" spans="1:5" x14ac:dyDescent="0.25">
      <c r="A15080" t="s">
        <v>2</v>
      </c>
      <c r="B15080" t="s">
        <v>3458</v>
      </c>
      <c r="C15080" t="s">
        <v>23490</v>
      </c>
      <c r="D15080" t="str">
        <f>HYPERLINK("https://rhld.insurance.arkansas.gov/NPILookup?Npi=1770907339","1770907339")</f>
        <v>1770907339</v>
      </c>
      <c r="E15080" t="s">
        <v>2739</v>
      </c>
    </row>
    <row r="15081" spans="1:5" x14ac:dyDescent="0.25">
      <c r="A15081" t="s">
        <v>2</v>
      </c>
      <c r="B15081" t="s">
        <v>3458</v>
      </c>
      <c r="C15081" t="s">
        <v>23490</v>
      </c>
      <c r="D15081" t="str">
        <f>HYPERLINK("https://rhld.insurance.arkansas.gov/NPILookup?Npi=1770908998","1770908998")</f>
        <v>1770908998</v>
      </c>
      <c r="E15081" t="s">
        <v>2740</v>
      </c>
    </row>
    <row r="15082" spans="1:5" x14ac:dyDescent="0.25">
      <c r="A15082" t="s">
        <v>2</v>
      </c>
      <c r="B15082" t="s">
        <v>3458</v>
      </c>
      <c r="C15082" t="s">
        <v>23490</v>
      </c>
      <c r="D15082" t="str">
        <f>HYPERLINK("https://rhld.insurance.arkansas.gov/NPILookup?Npi=1770923724","1770923724")</f>
        <v>1770923724</v>
      </c>
      <c r="E15082" t="s">
        <v>13697</v>
      </c>
    </row>
    <row r="15083" spans="1:5" x14ac:dyDescent="0.25">
      <c r="A15083" t="s">
        <v>2</v>
      </c>
      <c r="B15083" t="s">
        <v>3458</v>
      </c>
      <c r="C15083" t="s">
        <v>23490</v>
      </c>
      <c r="D15083" t="str">
        <f>HYPERLINK("https://rhld.insurance.arkansas.gov/NPILookup?Npi=1770925265","1770925265")</f>
        <v>1770925265</v>
      </c>
      <c r="E15083" t="s">
        <v>21035</v>
      </c>
    </row>
    <row r="15084" spans="1:5" x14ac:dyDescent="0.25">
      <c r="A15084" t="s">
        <v>2</v>
      </c>
      <c r="B15084" t="s">
        <v>3458</v>
      </c>
      <c r="C15084" t="s">
        <v>23490</v>
      </c>
      <c r="D15084" t="str">
        <f>HYPERLINK("https://rhld.insurance.arkansas.gov/NPILookup?Npi=1770927121","1770927121")</f>
        <v>1770927121</v>
      </c>
      <c r="E15084" t="s">
        <v>11260</v>
      </c>
    </row>
    <row r="15085" spans="1:5" x14ac:dyDescent="0.25">
      <c r="A15085" t="s">
        <v>2</v>
      </c>
      <c r="B15085" t="s">
        <v>3458</v>
      </c>
      <c r="C15085" t="s">
        <v>23490</v>
      </c>
      <c r="D15085" t="str">
        <f>HYPERLINK("https://rhld.insurance.arkansas.gov/NPILookup?Npi=1770930927","1770930927")</f>
        <v>1770930927</v>
      </c>
      <c r="E15085" t="s">
        <v>15543</v>
      </c>
    </row>
    <row r="15086" spans="1:5" x14ac:dyDescent="0.25">
      <c r="A15086" t="s">
        <v>2</v>
      </c>
      <c r="B15086" t="s">
        <v>3458</v>
      </c>
      <c r="C15086" t="s">
        <v>23490</v>
      </c>
      <c r="D15086" t="str">
        <f>HYPERLINK("https://rhld.insurance.arkansas.gov/NPILookup?Npi=1770948218","1770948218")</f>
        <v>1770948218</v>
      </c>
      <c r="E15086" t="s">
        <v>8846</v>
      </c>
    </row>
    <row r="15087" spans="1:5" x14ac:dyDescent="0.25">
      <c r="A15087" t="s">
        <v>2</v>
      </c>
      <c r="B15087" t="s">
        <v>3458</v>
      </c>
      <c r="C15087" t="s">
        <v>23490</v>
      </c>
      <c r="D15087" t="str">
        <f>HYPERLINK("https://rhld.insurance.arkansas.gov/NPILookup?Npi=1770991754","1770991754")</f>
        <v>1770991754</v>
      </c>
      <c r="E15087" t="s">
        <v>11262</v>
      </c>
    </row>
    <row r="15088" spans="1:5" x14ac:dyDescent="0.25">
      <c r="A15088" t="s">
        <v>2</v>
      </c>
      <c r="B15088" t="s">
        <v>3458</v>
      </c>
      <c r="C15088" t="s">
        <v>23490</v>
      </c>
      <c r="D15088" t="str">
        <f>HYPERLINK("https://rhld.insurance.arkansas.gov/NPILookup?Npi=1770993461","1770993461")</f>
        <v>1770993461</v>
      </c>
      <c r="E15088" t="s">
        <v>8847</v>
      </c>
    </row>
    <row r="15089" spans="1:5" x14ac:dyDescent="0.25">
      <c r="A15089" t="s">
        <v>2</v>
      </c>
      <c r="B15089" t="s">
        <v>3458</v>
      </c>
      <c r="C15089" t="s">
        <v>23490</v>
      </c>
      <c r="D15089" t="str">
        <f>HYPERLINK("https://rhld.insurance.arkansas.gov/NPILookup?Npi=1770996753","1770996753")</f>
        <v>1770996753</v>
      </c>
      <c r="E15089" t="s">
        <v>12906</v>
      </c>
    </row>
    <row r="15090" spans="1:5" x14ac:dyDescent="0.25">
      <c r="A15090" t="s">
        <v>2</v>
      </c>
      <c r="B15090" t="s">
        <v>3458</v>
      </c>
      <c r="C15090" t="s">
        <v>23490</v>
      </c>
      <c r="D15090" t="str">
        <f>HYPERLINK("https://rhld.insurance.arkansas.gov/NPILookup?Npi=1780010546","1780010546")</f>
        <v>1780010546</v>
      </c>
      <c r="E15090" t="s">
        <v>2741</v>
      </c>
    </row>
    <row r="15091" spans="1:5" x14ac:dyDescent="0.25">
      <c r="A15091" t="s">
        <v>2</v>
      </c>
      <c r="B15091" t="s">
        <v>3458</v>
      </c>
      <c r="C15091" t="s">
        <v>23490</v>
      </c>
      <c r="D15091" t="str">
        <f>HYPERLINK("https://rhld.insurance.arkansas.gov/NPILookup?Npi=1780018143","1780018143")</f>
        <v>1780018143</v>
      </c>
      <c r="E15091" t="s">
        <v>2742</v>
      </c>
    </row>
    <row r="15092" spans="1:5" x14ac:dyDescent="0.25">
      <c r="A15092" t="s">
        <v>2</v>
      </c>
      <c r="B15092" t="s">
        <v>3458</v>
      </c>
      <c r="C15092" t="s">
        <v>23490</v>
      </c>
      <c r="D15092" t="str">
        <f>HYPERLINK("https://rhld.insurance.arkansas.gov/NPILookup?Npi=1780035998","1780035998")</f>
        <v>1780035998</v>
      </c>
      <c r="E15092" t="s">
        <v>11263</v>
      </c>
    </row>
    <row r="15093" spans="1:5" x14ac:dyDescent="0.25">
      <c r="A15093" t="s">
        <v>2</v>
      </c>
      <c r="B15093" t="s">
        <v>3458</v>
      </c>
      <c r="C15093" t="s">
        <v>23490</v>
      </c>
      <c r="D15093" t="str">
        <f>HYPERLINK("https://rhld.insurance.arkansas.gov/NPILookup?Npi=1780038604","1780038604")</f>
        <v>1780038604</v>
      </c>
      <c r="E15093" t="s">
        <v>1397</v>
      </c>
    </row>
    <row r="15094" spans="1:5" x14ac:dyDescent="0.25">
      <c r="A15094" t="s">
        <v>2</v>
      </c>
      <c r="B15094" t="s">
        <v>3458</v>
      </c>
      <c r="C15094" t="s">
        <v>23490</v>
      </c>
      <c r="D15094" t="str">
        <f>HYPERLINK("https://rhld.insurance.arkansas.gov/NPILookup?Npi=1780041939","1780041939")</f>
        <v>1780041939</v>
      </c>
      <c r="E15094" t="s">
        <v>8848</v>
      </c>
    </row>
    <row r="15095" spans="1:5" x14ac:dyDescent="0.25">
      <c r="A15095" t="s">
        <v>2</v>
      </c>
      <c r="B15095" t="s">
        <v>3458</v>
      </c>
      <c r="C15095" t="s">
        <v>23490</v>
      </c>
      <c r="D15095" t="str">
        <f>HYPERLINK("https://rhld.insurance.arkansas.gov/NPILookup?Npi=1780044594","1780044594")</f>
        <v>1780044594</v>
      </c>
      <c r="E15095" t="s">
        <v>11265</v>
      </c>
    </row>
    <row r="15096" spans="1:5" x14ac:dyDescent="0.25">
      <c r="A15096" t="s">
        <v>2</v>
      </c>
      <c r="B15096" t="s">
        <v>3458</v>
      </c>
      <c r="C15096" t="s">
        <v>23490</v>
      </c>
      <c r="D15096" t="str">
        <f>HYPERLINK("https://rhld.insurance.arkansas.gov/NPILookup?Npi=1780046664","1780046664")</f>
        <v>1780046664</v>
      </c>
      <c r="E15096" t="s">
        <v>8849</v>
      </c>
    </row>
    <row r="15097" spans="1:5" x14ac:dyDescent="0.25">
      <c r="A15097" t="s">
        <v>2</v>
      </c>
      <c r="B15097" t="s">
        <v>3458</v>
      </c>
      <c r="C15097" t="s">
        <v>23490</v>
      </c>
      <c r="D15097" t="str">
        <f>HYPERLINK("https://rhld.insurance.arkansas.gov/NPILookup?Npi=1780055178","1780055178")</f>
        <v>1780055178</v>
      </c>
      <c r="E15097" t="s">
        <v>8850</v>
      </c>
    </row>
    <row r="15098" spans="1:5" x14ac:dyDescent="0.25">
      <c r="A15098" t="s">
        <v>2</v>
      </c>
      <c r="B15098" t="s">
        <v>3458</v>
      </c>
      <c r="C15098" t="s">
        <v>23490</v>
      </c>
      <c r="D15098" t="str">
        <f>HYPERLINK("https://rhld.insurance.arkansas.gov/NPILookup?Npi=1780060319","1780060319")</f>
        <v>1780060319</v>
      </c>
      <c r="E15098" t="s">
        <v>15544</v>
      </c>
    </row>
    <row r="15099" spans="1:5" x14ac:dyDescent="0.25">
      <c r="A15099" t="s">
        <v>2</v>
      </c>
      <c r="B15099" t="s">
        <v>3458</v>
      </c>
      <c r="C15099" t="s">
        <v>23490</v>
      </c>
      <c r="D15099" t="str">
        <f>HYPERLINK("https://rhld.insurance.arkansas.gov/NPILookup?Npi=1780075473","1780075473")</f>
        <v>1780075473</v>
      </c>
      <c r="E15099" t="s">
        <v>8851</v>
      </c>
    </row>
    <row r="15100" spans="1:5" x14ac:dyDescent="0.25">
      <c r="A15100" t="s">
        <v>2</v>
      </c>
      <c r="B15100" t="s">
        <v>3458</v>
      </c>
      <c r="C15100" t="s">
        <v>23490</v>
      </c>
      <c r="D15100" t="str">
        <f>HYPERLINK("https://rhld.insurance.arkansas.gov/NPILookup?Npi=1780086132","1780086132")</f>
        <v>1780086132</v>
      </c>
      <c r="E15100" t="s">
        <v>3928</v>
      </c>
    </row>
    <row r="15101" spans="1:5" x14ac:dyDescent="0.25">
      <c r="A15101" t="s">
        <v>2</v>
      </c>
      <c r="B15101" t="s">
        <v>3458</v>
      </c>
      <c r="C15101" t="s">
        <v>23490</v>
      </c>
      <c r="D15101" t="str">
        <f>HYPERLINK("https://rhld.insurance.arkansas.gov/NPILookup?Npi=1780093740","1780093740")</f>
        <v>1780093740</v>
      </c>
      <c r="E15101" t="s">
        <v>3929</v>
      </c>
    </row>
    <row r="15102" spans="1:5" x14ac:dyDescent="0.25">
      <c r="A15102" t="s">
        <v>2</v>
      </c>
      <c r="B15102" t="s">
        <v>3458</v>
      </c>
      <c r="C15102" t="s">
        <v>23490</v>
      </c>
      <c r="D15102" t="str">
        <f>HYPERLINK("https://rhld.insurance.arkansas.gov/NPILookup?Npi=1780095323","1780095323")</f>
        <v>1780095323</v>
      </c>
      <c r="E15102" t="s">
        <v>12907</v>
      </c>
    </row>
    <row r="15103" spans="1:5" x14ac:dyDescent="0.25">
      <c r="A15103" t="s">
        <v>2</v>
      </c>
      <c r="B15103" t="s">
        <v>3458</v>
      </c>
      <c r="C15103" t="s">
        <v>23490</v>
      </c>
      <c r="D15103" t="str">
        <f>HYPERLINK("https://rhld.insurance.arkansas.gov/NPILookup?Npi=1780095901","1780095901")</f>
        <v>1780095901</v>
      </c>
      <c r="E15103" t="s">
        <v>15545</v>
      </c>
    </row>
    <row r="15104" spans="1:5" x14ac:dyDescent="0.25">
      <c r="A15104" t="s">
        <v>2</v>
      </c>
      <c r="B15104" t="s">
        <v>3458</v>
      </c>
      <c r="C15104" t="s">
        <v>23490</v>
      </c>
      <c r="D15104" t="str">
        <f>HYPERLINK("https://rhld.insurance.arkansas.gov/NPILookup?Npi=1780099614","1780099614")</f>
        <v>1780099614</v>
      </c>
      <c r="E15104" t="s">
        <v>8852</v>
      </c>
    </row>
    <row r="15105" spans="1:5" x14ac:dyDescent="0.25">
      <c r="A15105" t="s">
        <v>2</v>
      </c>
      <c r="B15105" t="s">
        <v>3458</v>
      </c>
      <c r="C15105" t="s">
        <v>23490</v>
      </c>
      <c r="D15105" t="str">
        <f>HYPERLINK("https://rhld.insurance.arkansas.gov/NPILookup?Npi=1780101139","1780101139")</f>
        <v>1780101139</v>
      </c>
      <c r="E15105" t="s">
        <v>15546</v>
      </c>
    </row>
    <row r="15106" spans="1:5" x14ac:dyDescent="0.25">
      <c r="A15106" t="s">
        <v>2</v>
      </c>
      <c r="B15106" t="s">
        <v>3458</v>
      </c>
      <c r="C15106" t="s">
        <v>23490</v>
      </c>
      <c r="D15106" t="str">
        <f>HYPERLINK("https://rhld.insurance.arkansas.gov/NPILookup?Npi=1780107219","1780107219")</f>
        <v>1780107219</v>
      </c>
      <c r="E15106" t="s">
        <v>11266</v>
      </c>
    </row>
    <row r="15107" spans="1:5" x14ac:dyDescent="0.25">
      <c r="A15107" t="s">
        <v>2</v>
      </c>
      <c r="B15107" t="s">
        <v>3458</v>
      </c>
      <c r="C15107" t="s">
        <v>23490</v>
      </c>
      <c r="D15107" t="str">
        <f>HYPERLINK("https://rhld.insurance.arkansas.gov/NPILookup?Npi=1780109009","1780109009")</f>
        <v>1780109009</v>
      </c>
      <c r="E15107" t="s">
        <v>13029</v>
      </c>
    </row>
    <row r="15108" spans="1:5" x14ac:dyDescent="0.25">
      <c r="A15108" t="s">
        <v>2</v>
      </c>
      <c r="B15108" t="s">
        <v>3458</v>
      </c>
      <c r="C15108" t="s">
        <v>23490</v>
      </c>
      <c r="D15108" t="str">
        <f>HYPERLINK("https://rhld.insurance.arkansas.gov/NPILookup?Npi=1780120097","1780120097")</f>
        <v>1780120097</v>
      </c>
      <c r="E15108" t="s">
        <v>12908</v>
      </c>
    </row>
    <row r="15109" spans="1:5" x14ac:dyDescent="0.25">
      <c r="A15109" t="s">
        <v>2</v>
      </c>
      <c r="B15109" t="s">
        <v>3458</v>
      </c>
      <c r="C15109" t="s">
        <v>23490</v>
      </c>
      <c r="D15109" t="str">
        <f>HYPERLINK("https://rhld.insurance.arkansas.gov/NPILookup?Npi=1780137349","1780137349")</f>
        <v>1780137349</v>
      </c>
      <c r="E15109" t="s">
        <v>11267</v>
      </c>
    </row>
    <row r="15110" spans="1:5" x14ac:dyDescent="0.25">
      <c r="A15110" t="s">
        <v>2</v>
      </c>
      <c r="B15110" t="s">
        <v>3458</v>
      </c>
      <c r="C15110" t="s">
        <v>23490</v>
      </c>
      <c r="D15110" t="str">
        <f>HYPERLINK("https://rhld.insurance.arkansas.gov/NPILookup?Npi=1780160085","1780160085")</f>
        <v>1780160085</v>
      </c>
      <c r="E15110" t="s">
        <v>13701</v>
      </c>
    </row>
    <row r="15111" spans="1:5" x14ac:dyDescent="0.25">
      <c r="A15111" t="s">
        <v>2</v>
      </c>
      <c r="B15111" t="s">
        <v>3458</v>
      </c>
      <c r="C15111" t="s">
        <v>23490</v>
      </c>
      <c r="D15111" t="str">
        <f>HYPERLINK("https://rhld.insurance.arkansas.gov/NPILookup?Npi=1780175257","1780175257")</f>
        <v>1780175257</v>
      </c>
      <c r="E15111" t="s">
        <v>20018</v>
      </c>
    </row>
    <row r="15112" spans="1:5" x14ac:dyDescent="0.25">
      <c r="A15112" t="s">
        <v>2</v>
      </c>
      <c r="B15112" t="s">
        <v>3458</v>
      </c>
      <c r="C15112" t="s">
        <v>23490</v>
      </c>
      <c r="D15112" t="str">
        <f>HYPERLINK("https://rhld.insurance.arkansas.gov/NPILookup?Npi=1780195347","1780195347")</f>
        <v>1780195347</v>
      </c>
      <c r="E15112" t="s">
        <v>13030</v>
      </c>
    </row>
    <row r="15113" spans="1:5" x14ac:dyDescent="0.25">
      <c r="A15113" t="s">
        <v>2</v>
      </c>
      <c r="B15113" t="s">
        <v>3458</v>
      </c>
      <c r="C15113" t="s">
        <v>23490</v>
      </c>
      <c r="D15113" t="str">
        <f>HYPERLINK("https://rhld.insurance.arkansas.gov/NPILookup?Npi=1780196550","1780196550")</f>
        <v>1780196550</v>
      </c>
      <c r="E15113" t="s">
        <v>13871</v>
      </c>
    </row>
    <row r="15114" spans="1:5" x14ac:dyDescent="0.25">
      <c r="A15114" t="s">
        <v>2</v>
      </c>
      <c r="B15114" t="s">
        <v>3458</v>
      </c>
      <c r="C15114" t="s">
        <v>23490</v>
      </c>
      <c r="D15114" t="str">
        <f>HYPERLINK("https://rhld.insurance.arkansas.gov/NPILookup?Npi=1780256727","1780256727")</f>
        <v>1780256727</v>
      </c>
      <c r="E15114" t="s">
        <v>20021</v>
      </c>
    </row>
    <row r="15115" spans="1:5" x14ac:dyDescent="0.25">
      <c r="A15115" t="s">
        <v>2</v>
      </c>
      <c r="B15115" t="s">
        <v>3458</v>
      </c>
      <c r="C15115" t="s">
        <v>23490</v>
      </c>
      <c r="D15115" t="str">
        <f>HYPERLINK("https://rhld.insurance.arkansas.gov/NPILookup?Npi=1780273250","1780273250")</f>
        <v>1780273250</v>
      </c>
      <c r="E15115" t="s">
        <v>18123</v>
      </c>
    </row>
    <row r="15116" spans="1:5" x14ac:dyDescent="0.25">
      <c r="A15116" t="s">
        <v>2</v>
      </c>
      <c r="B15116" t="s">
        <v>3458</v>
      </c>
      <c r="C15116" t="s">
        <v>8427</v>
      </c>
      <c r="D15116" t="str">
        <f>HYPERLINK("https://rhld.insurance.arkansas.gov/NPILookup?Npi=1780274043","1780274043")</f>
        <v>1780274043</v>
      </c>
      <c r="E15116" t="s">
        <v>22986</v>
      </c>
    </row>
    <row r="15117" spans="1:5" x14ac:dyDescent="0.25">
      <c r="A15117" t="s">
        <v>2</v>
      </c>
      <c r="B15117" t="s">
        <v>3458</v>
      </c>
      <c r="C15117" t="s">
        <v>23490</v>
      </c>
      <c r="D15117" t="str">
        <f>HYPERLINK("https://rhld.insurance.arkansas.gov/NPILookup?Npi=1780295048","1780295048")</f>
        <v>1780295048</v>
      </c>
      <c r="E15117" t="s">
        <v>21649</v>
      </c>
    </row>
    <row r="15118" spans="1:5" x14ac:dyDescent="0.25">
      <c r="A15118" t="s">
        <v>2</v>
      </c>
      <c r="B15118" t="s">
        <v>3458</v>
      </c>
      <c r="C15118" t="s">
        <v>23490</v>
      </c>
      <c r="D15118" t="str">
        <f>HYPERLINK("https://rhld.insurance.arkansas.gov/NPILookup?Npi=1780297739","1780297739")</f>
        <v>1780297739</v>
      </c>
      <c r="E15118" t="s">
        <v>17479</v>
      </c>
    </row>
    <row r="15119" spans="1:5" x14ac:dyDescent="0.25">
      <c r="A15119" t="s">
        <v>2</v>
      </c>
      <c r="B15119" t="s">
        <v>3458</v>
      </c>
      <c r="C15119" t="s">
        <v>23490</v>
      </c>
      <c r="D15119" t="str">
        <f>HYPERLINK("https://rhld.insurance.arkansas.gov/NPILookup?Npi=1780331975","1780331975")</f>
        <v>1780331975</v>
      </c>
      <c r="E15119" t="s">
        <v>20022</v>
      </c>
    </row>
    <row r="15120" spans="1:5" x14ac:dyDescent="0.25">
      <c r="A15120" t="s">
        <v>2</v>
      </c>
      <c r="B15120" t="s">
        <v>3458</v>
      </c>
      <c r="C15120" t="s">
        <v>23490</v>
      </c>
      <c r="D15120" t="str">
        <f>HYPERLINK("https://rhld.insurance.arkansas.gov/NPILookup?Npi=1780332890","1780332890")</f>
        <v>1780332890</v>
      </c>
      <c r="E15120" t="s">
        <v>20023</v>
      </c>
    </row>
    <row r="15121" spans="1:5" x14ac:dyDescent="0.25">
      <c r="A15121" t="s">
        <v>2</v>
      </c>
      <c r="B15121" t="s">
        <v>3458</v>
      </c>
      <c r="C15121" t="s">
        <v>23490</v>
      </c>
      <c r="D15121" t="str">
        <f>HYPERLINK("https://rhld.insurance.arkansas.gov/NPILookup?Npi=1780356642","1780356642")</f>
        <v>1780356642</v>
      </c>
      <c r="E15121" t="s">
        <v>20024</v>
      </c>
    </row>
    <row r="15122" spans="1:5" x14ac:dyDescent="0.25">
      <c r="A15122" t="s">
        <v>2</v>
      </c>
      <c r="B15122" t="s">
        <v>3458</v>
      </c>
      <c r="C15122" t="s">
        <v>23490</v>
      </c>
      <c r="D15122" t="str">
        <f>HYPERLINK("https://rhld.insurance.arkansas.gov/NPILookup?Npi=1780603076","1780603076")</f>
        <v>1780603076</v>
      </c>
      <c r="E15122" t="s">
        <v>3930</v>
      </c>
    </row>
    <row r="15123" spans="1:5" x14ac:dyDescent="0.25">
      <c r="A15123" t="s">
        <v>2</v>
      </c>
      <c r="B15123" t="s">
        <v>3458</v>
      </c>
      <c r="C15123" t="s">
        <v>23490</v>
      </c>
      <c r="D15123" t="str">
        <f>HYPERLINK("https://rhld.insurance.arkansas.gov/NPILookup?Npi=1780609032","1780609032")</f>
        <v>1780609032</v>
      </c>
      <c r="E15123" t="s">
        <v>2744</v>
      </c>
    </row>
    <row r="15124" spans="1:5" x14ac:dyDescent="0.25">
      <c r="A15124" t="s">
        <v>2</v>
      </c>
      <c r="B15124" t="s">
        <v>3458</v>
      </c>
      <c r="C15124" t="s">
        <v>23490</v>
      </c>
      <c r="D15124" t="str">
        <f>HYPERLINK("https://rhld.insurance.arkansas.gov/NPILookup?Npi=1780611681","1780611681")</f>
        <v>1780611681</v>
      </c>
      <c r="E15124" t="s">
        <v>15550</v>
      </c>
    </row>
    <row r="15125" spans="1:5" x14ac:dyDescent="0.25">
      <c r="A15125" t="s">
        <v>2</v>
      </c>
      <c r="B15125" t="s">
        <v>3458</v>
      </c>
      <c r="C15125" t="s">
        <v>23490</v>
      </c>
      <c r="D15125" t="str">
        <f>HYPERLINK("https://rhld.insurance.arkansas.gov/NPILookup?Npi=1780613489","1780613489")</f>
        <v>1780613489</v>
      </c>
      <c r="E15125" t="s">
        <v>2745</v>
      </c>
    </row>
    <row r="15126" spans="1:5" x14ac:dyDescent="0.25">
      <c r="A15126" t="s">
        <v>2</v>
      </c>
      <c r="B15126" t="s">
        <v>3458</v>
      </c>
      <c r="C15126" t="s">
        <v>23490</v>
      </c>
      <c r="D15126" t="str">
        <f>HYPERLINK("https://rhld.insurance.arkansas.gov/NPILookup?Npi=1780619957","1780619957")</f>
        <v>1780619957</v>
      </c>
      <c r="E15126" t="s">
        <v>15551</v>
      </c>
    </row>
    <row r="15127" spans="1:5" x14ac:dyDescent="0.25">
      <c r="A15127" t="s">
        <v>2</v>
      </c>
      <c r="B15127" t="s">
        <v>3458</v>
      </c>
      <c r="C15127" t="s">
        <v>23490</v>
      </c>
      <c r="D15127" t="str">
        <f>HYPERLINK("https://rhld.insurance.arkansas.gov/NPILookup?Npi=1780625749","1780625749")</f>
        <v>1780625749</v>
      </c>
      <c r="E15127" t="s">
        <v>11268</v>
      </c>
    </row>
    <row r="15128" spans="1:5" x14ac:dyDescent="0.25">
      <c r="A15128" t="s">
        <v>2</v>
      </c>
      <c r="B15128" t="s">
        <v>3458</v>
      </c>
      <c r="C15128" t="s">
        <v>23490</v>
      </c>
      <c r="D15128" t="str">
        <f>HYPERLINK("https://rhld.insurance.arkansas.gov/NPILookup?Npi=1780631168","1780631168")</f>
        <v>1780631168</v>
      </c>
      <c r="E15128" t="s">
        <v>2746</v>
      </c>
    </row>
    <row r="15129" spans="1:5" x14ac:dyDescent="0.25">
      <c r="A15129" t="s">
        <v>2</v>
      </c>
      <c r="B15129" t="s">
        <v>3458</v>
      </c>
      <c r="C15129" t="s">
        <v>23490</v>
      </c>
      <c r="D15129" t="str">
        <f>HYPERLINK("https://rhld.insurance.arkansas.gov/NPILookup?Npi=1780633966","1780633966")</f>
        <v>1780633966</v>
      </c>
      <c r="E15129" t="s">
        <v>2747</v>
      </c>
    </row>
    <row r="15130" spans="1:5" x14ac:dyDescent="0.25">
      <c r="A15130" t="s">
        <v>2</v>
      </c>
      <c r="B15130" t="s">
        <v>3458</v>
      </c>
      <c r="C15130" t="s">
        <v>23490</v>
      </c>
      <c r="D15130" t="str">
        <f>HYPERLINK("https://rhld.insurance.arkansas.gov/NPILookup?Npi=1780651505","1780651505")</f>
        <v>1780651505</v>
      </c>
      <c r="E15130" t="s">
        <v>2344</v>
      </c>
    </row>
    <row r="15131" spans="1:5" x14ac:dyDescent="0.25">
      <c r="A15131" t="s">
        <v>2</v>
      </c>
      <c r="B15131" t="s">
        <v>3458</v>
      </c>
      <c r="C15131" t="s">
        <v>23490</v>
      </c>
      <c r="D15131" t="str">
        <f>HYPERLINK("https://rhld.insurance.arkansas.gov/NPILookup?Npi=1780654053","1780654053")</f>
        <v>1780654053</v>
      </c>
      <c r="E15131" t="s">
        <v>2748</v>
      </c>
    </row>
    <row r="15132" spans="1:5" x14ac:dyDescent="0.25">
      <c r="A15132" t="s">
        <v>2</v>
      </c>
      <c r="B15132" t="s">
        <v>3458</v>
      </c>
      <c r="C15132" t="s">
        <v>23490</v>
      </c>
      <c r="D15132" t="str">
        <f>HYPERLINK("https://rhld.insurance.arkansas.gov/NPILookup?Npi=1780670257","1780670257")</f>
        <v>1780670257</v>
      </c>
      <c r="E15132" t="s">
        <v>2749</v>
      </c>
    </row>
    <row r="15133" spans="1:5" x14ac:dyDescent="0.25">
      <c r="A15133" t="s">
        <v>2</v>
      </c>
      <c r="B15133" t="s">
        <v>3458</v>
      </c>
      <c r="C15133" t="s">
        <v>23490</v>
      </c>
      <c r="D15133" t="str">
        <f>HYPERLINK("https://rhld.insurance.arkansas.gov/NPILookup?Npi=1780670604","1780670604")</f>
        <v>1780670604</v>
      </c>
      <c r="E15133" t="s">
        <v>2750</v>
      </c>
    </row>
    <row r="15134" spans="1:5" x14ac:dyDescent="0.25">
      <c r="A15134" t="s">
        <v>2</v>
      </c>
      <c r="B15134" t="s">
        <v>3458</v>
      </c>
      <c r="C15134" t="s">
        <v>23490</v>
      </c>
      <c r="D15134" t="str">
        <f>HYPERLINK("https://rhld.insurance.arkansas.gov/NPILookup?Npi=1780673368","1780673368")</f>
        <v>1780673368</v>
      </c>
      <c r="E15134" t="s">
        <v>2751</v>
      </c>
    </row>
    <row r="15135" spans="1:5" x14ac:dyDescent="0.25">
      <c r="A15135" t="s">
        <v>2</v>
      </c>
      <c r="B15135" t="s">
        <v>3458</v>
      </c>
      <c r="C15135" t="s">
        <v>23490</v>
      </c>
      <c r="D15135" t="str">
        <f>HYPERLINK("https://rhld.insurance.arkansas.gov/NPILookup?Npi=1780674143","1780674143")</f>
        <v>1780674143</v>
      </c>
      <c r="E15135" t="s">
        <v>2752</v>
      </c>
    </row>
    <row r="15136" spans="1:5" x14ac:dyDescent="0.25">
      <c r="A15136" t="s">
        <v>2</v>
      </c>
      <c r="B15136" t="s">
        <v>3458</v>
      </c>
      <c r="C15136" t="s">
        <v>23490</v>
      </c>
      <c r="D15136" t="str">
        <f>HYPERLINK("https://rhld.insurance.arkansas.gov/NPILookup?Npi=1780677666","1780677666")</f>
        <v>1780677666</v>
      </c>
      <c r="E15136" t="s">
        <v>2753</v>
      </c>
    </row>
    <row r="15137" spans="1:5" x14ac:dyDescent="0.25">
      <c r="A15137" t="s">
        <v>2</v>
      </c>
      <c r="B15137" t="s">
        <v>3458</v>
      </c>
      <c r="C15137" t="s">
        <v>23490</v>
      </c>
      <c r="D15137" t="str">
        <f>HYPERLINK("https://rhld.insurance.arkansas.gov/NPILookup?Npi=1780680538","1780680538")</f>
        <v>1780680538</v>
      </c>
      <c r="E15137" t="s">
        <v>2754</v>
      </c>
    </row>
    <row r="15138" spans="1:5" x14ac:dyDescent="0.25">
      <c r="A15138" t="s">
        <v>2</v>
      </c>
      <c r="B15138" t="s">
        <v>3458</v>
      </c>
      <c r="C15138" t="s">
        <v>23490</v>
      </c>
      <c r="D15138" t="str">
        <f>HYPERLINK("https://rhld.insurance.arkansas.gov/NPILookup?Npi=1780684696","1780684696")</f>
        <v>1780684696</v>
      </c>
      <c r="E15138" t="s">
        <v>2755</v>
      </c>
    </row>
    <row r="15139" spans="1:5" x14ac:dyDescent="0.25">
      <c r="A15139" t="s">
        <v>2</v>
      </c>
      <c r="B15139" t="s">
        <v>3458</v>
      </c>
      <c r="C15139" t="s">
        <v>23490</v>
      </c>
      <c r="D15139" t="str">
        <f>HYPERLINK("https://rhld.insurance.arkansas.gov/NPILookup?Npi=1780685123","1780685123")</f>
        <v>1780685123</v>
      </c>
      <c r="E15139" t="s">
        <v>2756</v>
      </c>
    </row>
    <row r="15140" spans="1:5" x14ac:dyDescent="0.25">
      <c r="A15140" t="s">
        <v>2</v>
      </c>
      <c r="B15140" t="s">
        <v>3458</v>
      </c>
      <c r="C15140" t="s">
        <v>23490</v>
      </c>
      <c r="D15140" t="str">
        <f>HYPERLINK("https://rhld.insurance.arkansas.gov/NPILookup?Npi=1780706663","1780706663")</f>
        <v>1780706663</v>
      </c>
      <c r="E15140" t="s">
        <v>17025</v>
      </c>
    </row>
    <row r="15141" spans="1:5" x14ac:dyDescent="0.25">
      <c r="A15141" t="s">
        <v>2</v>
      </c>
      <c r="B15141" t="s">
        <v>3458</v>
      </c>
      <c r="C15141" t="s">
        <v>23490</v>
      </c>
      <c r="D15141" t="str">
        <f>HYPERLINK("https://rhld.insurance.arkansas.gov/NPILookup?Npi=1780713214","1780713214")</f>
        <v>1780713214</v>
      </c>
      <c r="E15141" t="s">
        <v>2757</v>
      </c>
    </row>
    <row r="15142" spans="1:5" x14ac:dyDescent="0.25">
      <c r="A15142" t="s">
        <v>2</v>
      </c>
      <c r="B15142" t="s">
        <v>3458</v>
      </c>
      <c r="C15142" t="s">
        <v>23490</v>
      </c>
      <c r="D15142" t="str">
        <f>HYPERLINK("https://rhld.insurance.arkansas.gov/NPILookup?Npi=1780721431","1780721431")</f>
        <v>1780721431</v>
      </c>
      <c r="E15142" t="s">
        <v>15552</v>
      </c>
    </row>
    <row r="15143" spans="1:5" x14ac:dyDescent="0.25">
      <c r="A15143" t="s">
        <v>2</v>
      </c>
      <c r="B15143" t="s">
        <v>3458</v>
      </c>
      <c r="C15143" t="s">
        <v>23490</v>
      </c>
      <c r="D15143" t="str">
        <f>HYPERLINK("https://rhld.insurance.arkansas.gov/NPILookup?Npi=1780744870","1780744870")</f>
        <v>1780744870</v>
      </c>
      <c r="E15143" t="s">
        <v>2759</v>
      </c>
    </row>
    <row r="15144" spans="1:5" x14ac:dyDescent="0.25">
      <c r="A15144" t="s">
        <v>2</v>
      </c>
      <c r="B15144" t="s">
        <v>3458</v>
      </c>
      <c r="C15144" t="s">
        <v>23490</v>
      </c>
      <c r="D15144" t="str">
        <f>HYPERLINK("https://rhld.insurance.arkansas.gov/NPILookup?Npi=1780774349","1780774349")</f>
        <v>1780774349</v>
      </c>
      <c r="E15144" t="s">
        <v>3931</v>
      </c>
    </row>
    <row r="15145" spans="1:5" x14ac:dyDescent="0.25">
      <c r="A15145" t="s">
        <v>2</v>
      </c>
      <c r="B15145" t="s">
        <v>3458</v>
      </c>
      <c r="C15145" t="s">
        <v>23490</v>
      </c>
      <c r="D15145" t="str">
        <f>HYPERLINK("https://rhld.insurance.arkansas.gov/NPILookup?Npi=1780776435","1780776435")</f>
        <v>1780776435</v>
      </c>
      <c r="E15145" t="s">
        <v>2761</v>
      </c>
    </row>
    <row r="15146" spans="1:5" x14ac:dyDescent="0.25">
      <c r="A15146" t="s">
        <v>2</v>
      </c>
      <c r="B15146" t="s">
        <v>3458</v>
      </c>
      <c r="C15146" t="s">
        <v>23490</v>
      </c>
      <c r="D15146" t="str">
        <f>HYPERLINK("https://rhld.insurance.arkansas.gov/NPILookup?Npi=1780791004","1780791004")</f>
        <v>1780791004</v>
      </c>
      <c r="E15146" t="s">
        <v>15553</v>
      </c>
    </row>
    <row r="15147" spans="1:5" x14ac:dyDescent="0.25">
      <c r="A15147" t="s">
        <v>2</v>
      </c>
      <c r="B15147" t="s">
        <v>3458</v>
      </c>
      <c r="C15147" t="s">
        <v>23490</v>
      </c>
      <c r="D15147" t="str">
        <f>HYPERLINK("https://rhld.insurance.arkansas.gov/NPILookup?Npi=1780798058","1780798058")</f>
        <v>1780798058</v>
      </c>
      <c r="E15147" t="s">
        <v>15554</v>
      </c>
    </row>
    <row r="15148" spans="1:5" x14ac:dyDescent="0.25">
      <c r="A15148" t="s">
        <v>2</v>
      </c>
      <c r="B15148" t="s">
        <v>3458</v>
      </c>
      <c r="C15148" t="s">
        <v>23490</v>
      </c>
      <c r="D15148" t="str">
        <f>HYPERLINK("https://rhld.insurance.arkansas.gov/NPILookup?Npi=1780801381","1780801381")</f>
        <v>1780801381</v>
      </c>
      <c r="E15148" t="s">
        <v>3932</v>
      </c>
    </row>
    <row r="15149" spans="1:5" x14ac:dyDescent="0.25">
      <c r="A15149" t="s">
        <v>2</v>
      </c>
      <c r="B15149" t="s">
        <v>3458</v>
      </c>
      <c r="C15149" t="s">
        <v>23490</v>
      </c>
      <c r="D15149" t="str">
        <f>HYPERLINK("https://rhld.insurance.arkansas.gov/NPILookup?Npi=1780833707","1780833707")</f>
        <v>1780833707</v>
      </c>
      <c r="E15149" t="s">
        <v>2762</v>
      </c>
    </row>
    <row r="15150" spans="1:5" x14ac:dyDescent="0.25">
      <c r="A15150" t="s">
        <v>2</v>
      </c>
      <c r="B15150" t="s">
        <v>3458</v>
      </c>
      <c r="C15150" t="s">
        <v>23490</v>
      </c>
      <c r="D15150" t="str">
        <f>HYPERLINK("https://rhld.insurance.arkansas.gov/NPILookup?Npi=1780877969","1780877969")</f>
        <v>1780877969</v>
      </c>
      <c r="E15150" t="s">
        <v>2764</v>
      </c>
    </row>
    <row r="15151" spans="1:5" x14ac:dyDescent="0.25">
      <c r="A15151" t="s">
        <v>2</v>
      </c>
      <c r="B15151" t="s">
        <v>3458</v>
      </c>
      <c r="C15151" t="s">
        <v>23490</v>
      </c>
      <c r="D15151" t="str">
        <f>HYPERLINK("https://rhld.insurance.arkansas.gov/NPILookup?Npi=1780908319","1780908319")</f>
        <v>1780908319</v>
      </c>
      <c r="E15151" t="s">
        <v>2765</v>
      </c>
    </row>
    <row r="15152" spans="1:5" x14ac:dyDescent="0.25">
      <c r="A15152" t="s">
        <v>2</v>
      </c>
      <c r="B15152" t="s">
        <v>3458</v>
      </c>
      <c r="C15152" t="s">
        <v>23490</v>
      </c>
      <c r="D15152" t="str">
        <f>HYPERLINK("https://rhld.insurance.arkansas.gov/NPILookup?Npi=1780917443","1780917443")</f>
        <v>1780917443</v>
      </c>
      <c r="E15152" t="s">
        <v>8853</v>
      </c>
    </row>
    <row r="15153" spans="1:5" x14ac:dyDescent="0.25">
      <c r="A15153" t="s">
        <v>2</v>
      </c>
      <c r="B15153" t="s">
        <v>3458</v>
      </c>
      <c r="C15153" t="s">
        <v>23490</v>
      </c>
      <c r="D15153" t="str">
        <f>HYPERLINK("https://rhld.insurance.arkansas.gov/NPILookup?Npi=1780938951","1780938951")</f>
        <v>1780938951</v>
      </c>
      <c r="E15153" t="s">
        <v>2767</v>
      </c>
    </row>
    <row r="15154" spans="1:5" x14ac:dyDescent="0.25">
      <c r="A15154" t="s">
        <v>2</v>
      </c>
      <c r="B15154" t="s">
        <v>3458</v>
      </c>
      <c r="C15154" t="s">
        <v>23490</v>
      </c>
      <c r="D15154" t="str">
        <f>HYPERLINK("https://rhld.insurance.arkansas.gov/NPILookup?Npi=1780961227","1780961227")</f>
        <v>1780961227</v>
      </c>
      <c r="E15154" t="s">
        <v>15555</v>
      </c>
    </row>
    <row r="15155" spans="1:5" x14ac:dyDescent="0.25">
      <c r="A15155" t="s">
        <v>2</v>
      </c>
      <c r="B15155" t="s">
        <v>3458</v>
      </c>
      <c r="C15155" t="s">
        <v>23490</v>
      </c>
      <c r="D15155" t="str">
        <f>HYPERLINK("https://rhld.insurance.arkansas.gov/NPILookup?Npi=1780977009","1780977009")</f>
        <v>1780977009</v>
      </c>
      <c r="E15155" t="s">
        <v>11271</v>
      </c>
    </row>
    <row r="15156" spans="1:5" x14ac:dyDescent="0.25">
      <c r="A15156" t="s">
        <v>2</v>
      </c>
      <c r="B15156" t="s">
        <v>3458</v>
      </c>
      <c r="C15156" t="s">
        <v>23490</v>
      </c>
      <c r="D15156" t="str">
        <f>HYPERLINK("https://rhld.insurance.arkansas.gov/NPILookup?Npi=1780980847","1780980847")</f>
        <v>1780980847</v>
      </c>
      <c r="E15156" t="s">
        <v>2401</v>
      </c>
    </row>
    <row r="15157" spans="1:5" x14ac:dyDescent="0.25">
      <c r="A15157" t="s">
        <v>2</v>
      </c>
      <c r="B15157" t="s">
        <v>3458</v>
      </c>
      <c r="C15157" t="s">
        <v>23490</v>
      </c>
      <c r="D15157" t="str">
        <f>HYPERLINK("https://rhld.insurance.arkansas.gov/NPILookup?Npi=1780986000","1780986000")</f>
        <v>1780986000</v>
      </c>
      <c r="E15157" t="s">
        <v>13031</v>
      </c>
    </row>
    <row r="15158" spans="1:5" x14ac:dyDescent="0.25">
      <c r="A15158" t="s">
        <v>2</v>
      </c>
      <c r="B15158" t="s">
        <v>3458</v>
      </c>
      <c r="C15158" t="s">
        <v>23490</v>
      </c>
      <c r="D15158" t="str">
        <f>HYPERLINK("https://rhld.insurance.arkansas.gov/NPILookup?Npi=1780986372","1780986372")</f>
        <v>1780986372</v>
      </c>
      <c r="E15158" t="s">
        <v>2768</v>
      </c>
    </row>
    <row r="15159" spans="1:5" x14ac:dyDescent="0.25">
      <c r="A15159" t="s">
        <v>2</v>
      </c>
      <c r="B15159" t="s">
        <v>3458</v>
      </c>
      <c r="C15159" t="s">
        <v>23490</v>
      </c>
      <c r="D15159" t="str">
        <f>HYPERLINK("https://rhld.insurance.arkansas.gov/NPILookup?Npi=1780990408","1780990408")</f>
        <v>1780990408</v>
      </c>
      <c r="E15159" t="s">
        <v>2769</v>
      </c>
    </row>
    <row r="15160" spans="1:5" x14ac:dyDescent="0.25">
      <c r="A15160" t="s">
        <v>2</v>
      </c>
      <c r="B15160" t="s">
        <v>3458</v>
      </c>
      <c r="C15160" t="s">
        <v>23490</v>
      </c>
      <c r="D15160" t="str">
        <f>HYPERLINK("https://rhld.insurance.arkansas.gov/NPILookup?Npi=1790011005","1790011005")</f>
        <v>1790011005</v>
      </c>
      <c r="E15160" t="s">
        <v>2770</v>
      </c>
    </row>
    <row r="15161" spans="1:5" x14ac:dyDescent="0.25">
      <c r="A15161" t="s">
        <v>2</v>
      </c>
      <c r="B15161" t="s">
        <v>3458</v>
      </c>
      <c r="C15161" t="s">
        <v>23490</v>
      </c>
      <c r="D15161" t="str">
        <f>HYPERLINK("https://rhld.insurance.arkansas.gov/NPILookup?Npi=1790020113","1790020113")</f>
        <v>1790020113</v>
      </c>
      <c r="E15161" t="s">
        <v>3933</v>
      </c>
    </row>
    <row r="15162" spans="1:5" x14ac:dyDescent="0.25">
      <c r="A15162" t="s">
        <v>2</v>
      </c>
      <c r="B15162" t="s">
        <v>3458</v>
      </c>
      <c r="C15162" t="s">
        <v>23490</v>
      </c>
      <c r="D15162" t="str">
        <f>HYPERLINK("https://rhld.insurance.arkansas.gov/NPILookup?Npi=1790024602","1790024602")</f>
        <v>1790024602</v>
      </c>
      <c r="E15162" t="s">
        <v>13032</v>
      </c>
    </row>
    <row r="15163" spans="1:5" x14ac:dyDescent="0.25">
      <c r="A15163" t="s">
        <v>2</v>
      </c>
      <c r="B15163" t="s">
        <v>3458</v>
      </c>
      <c r="C15163" t="s">
        <v>23490</v>
      </c>
      <c r="D15163" t="str">
        <f>HYPERLINK("https://rhld.insurance.arkansas.gov/NPILookup?Npi=1790035731","1790035731")</f>
        <v>1790035731</v>
      </c>
      <c r="E15163" t="s">
        <v>15556</v>
      </c>
    </row>
    <row r="15164" spans="1:5" x14ac:dyDescent="0.25">
      <c r="A15164" t="s">
        <v>2</v>
      </c>
      <c r="B15164" t="s">
        <v>3458</v>
      </c>
      <c r="C15164" t="s">
        <v>23490</v>
      </c>
      <c r="D15164" t="str">
        <f>HYPERLINK("https://rhld.insurance.arkansas.gov/NPILookup?Npi=1790057016","1790057016")</f>
        <v>1790057016</v>
      </c>
      <c r="E15164" t="s">
        <v>15557</v>
      </c>
    </row>
    <row r="15165" spans="1:5" x14ac:dyDescent="0.25">
      <c r="A15165" t="s">
        <v>2</v>
      </c>
      <c r="B15165" t="s">
        <v>3458</v>
      </c>
      <c r="C15165" t="s">
        <v>23490</v>
      </c>
      <c r="D15165" t="str">
        <f>HYPERLINK("https://rhld.insurance.arkansas.gov/NPILookup?Npi=1790058709","1790058709")</f>
        <v>1790058709</v>
      </c>
      <c r="E15165" t="s">
        <v>11273</v>
      </c>
    </row>
    <row r="15166" spans="1:5" x14ac:dyDescent="0.25">
      <c r="A15166" t="s">
        <v>2</v>
      </c>
      <c r="B15166" t="s">
        <v>3458</v>
      </c>
      <c r="C15166" t="s">
        <v>23490</v>
      </c>
      <c r="D15166" t="str">
        <f>HYPERLINK("https://rhld.insurance.arkansas.gov/NPILookup?Npi=1790063212","1790063212")</f>
        <v>1790063212</v>
      </c>
      <c r="E15166" t="s">
        <v>15558</v>
      </c>
    </row>
    <row r="15167" spans="1:5" x14ac:dyDescent="0.25">
      <c r="A15167" t="s">
        <v>2</v>
      </c>
      <c r="B15167" t="s">
        <v>3458</v>
      </c>
      <c r="C15167" t="s">
        <v>23490</v>
      </c>
      <c r="D15167" t="str">
        <f>HYPERLINK("https://rhld.insurance.arkansas.gov/NPILookup?Npi=1790065068","1790065068")</f>
        <v>1790065068</v>
      </c>
      <c r="E15167" t="s">
        <v>20028</v>
      </c>
    </row>
    <row r="15168" spans="1:5" x14ac:dyDescent="0.25">
      <c r="A15168" t="s">
        <v>2</v>
      </c>
      <c r="B15168" t="s">
        <v>3458</v>
      </c>
      <c r="C15168" t="s">
        <v>23490</v>
      </c>
      <c r="D15168" t="str">
        <f>HYPERLINK("https://rhld.insurance.arkansas.gov/NPILookup?Npi=1790067486","1790067486")</f>
        <v>1790067486</v>
      </c>
      <c r="E15168" t="s">
        <v>15559</v>
      </c>
    </row>
    <row r="15169" spans="1:5" x14ac:dyDescent="0.25">
      <c r="A15169" t="s">
        <v>2</v>
      </c>
      <c r="B15169" t="s">
        <v>3458</v>
      </c>
      <c r="C15169" t="s">
        <v>23490</v>
      </c>
      <c r="D15169" t="str">
        <f>HYPERLINK("https://rhld.insurance.arkansas.gov/NPILookup?Npi=1790068773","1790068773")</f>
        <v>1790068773</v>
      </c>
      <c r="E15169" t="s">
        <v>8854</v>
      </c>
    </row>
    <row r="15170" spans="1:5" x14ac:dyDescent="0.25">
      <c r="A15170" t="s">
        <v>2</v>
      </c>
      <c r="B15170" t="s">
        <v>3458</v>
      </c>
      <c r="C15170" t="s">
        <v>23490</v>
      </c>
      <c r="D15170" t="str">
        <f>HYPERLINK("https://rhld.insurance.arkansas.gov/NPILookup?Npi=1790071165","1790071165")</f>
        <v>1790071165</v>
      </c>
      <c r="E15170" t="s">
        <v>11274</v>
      </c>
    </row>
    <row r="15171" spans="1:5" x14ac:dyDescent="0.25">
      <c r="A15171" t="s">
        <v>2</v>
      </c>
      <c r="B15171" t="s">
        <v>3458</v>
      </c>
      <c r="C15171" t="s">
        <v>23490</v>
      </c>
      <c r="D15171" t="str">
        <f>HYPERLINK("https://rhld.insurance.arkansas.gov/NPILookup?Npi=1790077600","1790077600")</f>
        <v>1790077600</v>
      </c>
      <c r="E15171" t="s">
        <v>15560</v>
      </c>
    </row>
    <row r="15172" spans="1:5" x14ac:dyDescent="0.25">
      <c r="A15172" t="s">
        <v>2</v>
      </c>
      <c r="B15172" t="s">
        <v>3458</v>
      </c>
      <c r="C15172" t="s">
        <v>23490</v>
      </c>
      <c r="D15172" t="str">
        <f>HYPERLINK("https://rhld.insurance.arkansas.gov/NPILookup?Npi=1790100329","1790100329")</f>
        <v>1790100329</v>
      </c>
      <c r="E15172" t="s">
        <v>2774</v>
      </c>
    </row>
    <row r="15173" spans="1:5" x14ac:dyDescent="0.25">
      <c r="A15173" t="s">
        <v>2</v>
      </c>
      <c r="B15173" t="s">
        <v>3458</v>
      </c>
      <c r="C15173" t="s">
        <v>23490</v>
      </c>
      <c r="D15173" t="str">
        <f>HYPERLINK("https://rhld.insurance.arkansas.gov/NPILookup?Npi=1790103190","1790103190")</f>
        <v>1790103190</v>
      </c>
      <c r="E15173" t="s">
        <v>11275</v>
      </c>
    </row>
    <row r="15174" spans="1:5" x14ac:dyDescent="0.25">
      <c r="A15174" t="s">
        <v>2</v>
      </c>
      <c r="B15174" t="s">
        <v>3458</v>
      </c>
      <c r="C15174" t="s">
        <v>23490</v>
      </c>
      <c r="D15174" t="str">
        <f>HYPERLINK("https://rhld.insurance.arkansas.gov/NPILookup?Npi=1790104297","1790104297")</f>
        <v>1790104297</v>
      </c>
      <c r="E15174" t="s">
        <v>15561</v>
      </c>
    </row>
    <row r="15175" spans="1:5" x14ac:dyDescent="0.25">
      <c r="A15175" t="s">
        <v>2</v>
      </c>
      <c r="B15175" t="s">
        <v>3458</v>
      </c>
      <c r="C15175" t="s">
        <v>23490</v>
      </c>
      <c r="D15175" t="str">
        <f>HYPERLINK("https://rhld.insurance.arkansas.gov/NPILookup?Npi=1790111433","1790111433")</f>
        <v>1790111433</v>
      </c>
      <c r="E15175" t="s">
        <v>23019</v>
      </c>
    </row>
    <row r="15176" spans="1:5" x14ac:dyDescent="0.25">
      <c r="A15176" t="s">
        <v>2</v>
      </c>
      <c r="B15176" t="s">
        <v>3458</v>
      </c>
      <c r="C15176" t="s">
        <v>23490</v>
      </c>
      <c r="D15176" t="str">
        <f>HYPERLINK("https://rhld.insurance.arkansas.gov/NPILookup?Npi=1790136547","1790136547")</f>
        <v>1790136547</v>
      </c>
      <c r="E15176" t="s">
        <v>8856</v>
      </c>
    </row>
    <row r="15177" spans="1:5" x14ac:dyDescent="0.25">
      <c r="A15177" t="s">
        <v>2</v>
      </c>
      <c r="B15177" t="s">
        <v>3458</v>
      </c>
      <c r="C15177" t="s">
        <v>23490</v>
      </c>
      <c r="D15177" t="str">
        <f>HYPERLINK("https://rhld.insurance.arkansas.gov/NPILookup?Npi=1790137867","1790137867")</f>
        <v>1790137867</v>
      </c>
      <c r="E15177" t="s">
        <v>13705</v>
      </c>
    </row>
    <row r="15178" spans="1:5" x14ac:dyDescent="0.25">
      <c r="A15178" t="s">
        <v>2</v>
      </c>
      <c r="B15178" t="s">
        <v>3458</v>
      </c>
      <c r="C15178" t="s">
        <v>23490</v>
      </c>
      <c r="D15178" t="str">
        <f>HYPERLINK("https://rhld.insurance.arkansas.gov/NPILookup?Npi=1790142974","1790142974")</f>
        <v>1790142974</v>
      </c>
      <c r="E15178" t="s">
        <v>11276</v>
      </c>
    </row>
    <row r="15179" spans="1:5" x14ac:dyDescent="0.25">
      <c r="A15179" t="s">
        <v>2</v>
      </c>
      <c r="B15179" t="s">
        <v>3458</v>
      </c>
      <c r="C15179" t="s">
        <v>23490</v>
      </c>
      <c r="D15179" t="str">
        <f>HYPERLINK("https://rhld.insurance.arkansas.gov/NPILookup?Npi=1790146280","1790146280")</f>
        <v>1790146280</v>
      </c>
      <c r="E15179" t="s">
        <v>18124</v>
      </c>
    </row>
    <row r="15180" spans="1:5" x14ac:dyDescent="0.25">
      <c r="A15180" t="s">
        <v>2</v>
      </c>
      <c r="B15180" t="s">
        <v>3458</v>
      </c>
      <c r="C15180" t="s">
        <v>23490</v>
      </c>
      <c r="D15180" t="str">
        <f>HYPERLINK("https://rhld.insurance.arkansas.gov/NPILookup?Npi=1790150498","1790150498")</f>
        <v>1790150498</v>
      </c>
      <c r="E15180" t="s">
        <v>8857</v>
      </c>
    </row>
    <row r="15181" spans="1:5" x14ac:dyDescent="0.25">
      <c r="A15181" t="s">
        <v>2</v>
      </c>
      <c r="B15181" t="s">
        <v>3458</v>
      </c>
      <c r="C15181" t="s">
        <v>23490</v>
      </c>
      <c r="D15181" t="str">
        <f>HYPERLINK("https://rhld.insurance.arkansas.gov/NPILookup?Npi=1790159135","1790159135")</f>
        <v>1790159135</v>
      </c>
      <c r="E15181" t="s">
        <v>8858</v>
      </c>
    </row>
    <row r="15182" spans="1:5" x14ac:dyDescent="0.25">
      <c r="A15182" t="s">
        <v>2</v>
      </c>
      <c r="B15182" t="s">
        <v>3458</v>
      </c>
      <c r="C15182" t="s">
        <v>23490</v>
      </c>
      <c r="D15182" t="str">
        <f>HYPERLINK("https://rhld.insurance.arkansas.gov/NPILookup?Npi=1790161719","1790161719")</f>
        <v>1790161719</v>
      </c>
      <c r="E15182" t="s">
        <v>8859</v>
      </c>
    </row>
    <row r="15183" spans="1:5" x14ac:dyDescent="0.25">
      <c r="A15183" t="s">
        <v>2</v>
      </c>
      <c r="B15183" t="s">
        <v>3458</v>
      </c>
      <c r="C15183" t="s">
        <v>23490</v>
      </c>
      <c r="D15183" t="str">
        <f>HYPERLINK("https://rhld.insurance.arkansas.gov/NPILookup?Npi=1790166445","1790166445")</f>
        <v>1790166445</v>
      </c>
      <c r="E15183" t="s">
        <v>13706</v>
      </c>
    </row>
    <row r="15184" spans="1:5" x14ac:dyDescent="0.25">
      <c r="A15184" t="s">
        <v>2</v>
      </c>
      <c r="B15184" t="s">
        <v>3458</v>
      </c>
      <c r="C15184" t="s">
        <v>23490</v>
      </c>
      <c r="D15184" t="str">
        <f>HYPERLINK("https://rhld.insurance.arkansas.gov/NPILookup?Npi=1790175867","1790175867")</f>
        <v>1790175867</v>
      </c>
      <c r="E15184" t="s">
        <v>15562</v>
      </c>
    </row>
    <row r="15185" spans="1:5" x14ac:dyDescent="0.25">
      <c r="A15185" t="s">
        <v>2</v>
      </c>
      <c r="B15185" t="s">
        <v>3458</v>
      </c>
      <c r="C15185" t="s">
        <v>23490</v>
      </c>
      <c r="D15185" t="str">
        <f>HYPERLINK("https://rhld.insurance.arkansas.gov/NPILookup?Npi=1790179711","1790179711")</f>
        <v>1790179711</v>
      </c>
      <c r="E15185" t="s">
        <v>11277</v>
      </c>
    </row>
    <row r="15186" spans="1:5" x14ac:dyDescent="0.25">
      <c r="A15186" t="s">
        <v>2</v>
      </c>
      <c r="B15186" t="s">
        <v>3458</v>
      </c>
      <c r="C15186" t="s">
        <v>23490</v>
      </c>
      <c r="D15186" t="str">
        <f>HYPERLINK("https://rhld.insurance.arkansas.gov/NPILookup?Npi=1790191856","1790191856")</f>
        <v>1790191856</v>
      </c>
      <c r="E15186" t="s">
        <v>21087</v>
      </c>
    </row>
    <row r="15187" spans="1:5" x14ac:dyDescent="0.25">
      <c r="A15187" t="s">
        <v>2</v>
      </c>
      <c r="B15187" t="s">
        <v>3458</v>
      </c>
      <c r="C15187" t="s">
        <v>23490</v>
      </c>
      <c r="D15187" t="str">
        <f>HYPERLINK("https://rhld.insurance.arkansas.gov/NPILookup?Npi=1790191914","1790191914")</f>
        <v>1790191914</v>
      </c>
      <c r="E15187" t="s">
        <v>2775</v>
      </c>
    </row>
    <row r="15188" spans="1:5" x14ac:dyDescent="0.25">
      <c r="A15188" t="s">
        <v>2</v>
      </c>
      <c r="B15188" t="s">
        <v>3458</v>
      </c>
      <c r="C15188" t="s">
        <v>23490</v>
      </c>
      <c r="D15188" t="str">
        <f>HYPERLINK("https://rhld.insurance.arkansas.gov/NPILookup?Npi=1790198133","1790198133")</f>
        <v>1790198133</v>
      </c>
      <c r="E15188" t="s">
        <v>2776</v>
      </c>
    </row>
    <row r="15189" spans="1:5" x14ac:dyDescent="0.25">
      <c r="A15189" t="s">
        <v>2</v>
      </c>
      <c r="B15189" t="s">
        <v>3458</v>
      </c>
      <c r="C15189" t="s">
        <v>23490</v>
      </c>
      <c r="D15189" t="str">
        <f>HYPERLINK("https://rhld.insurance.arkansas.gov/NPILookup?Npi=1790225233","1790225233")</f>
        <v>1790225233</v>
      </c>
      <c r="E15189" t="s">
        <v>11279</v>
      </c>
    </row>
    <row r="15190" spans="1:5" x14ac:dyDescent="0.25">
      <c r="A15190" t="s">
        <v>2</v>
      </c>
      <c r="B15190" t="s">
        <v>3458</v>
      </c>
      <c r="C15190" t="s">
        <v>23490</v>
      </c>
      <c r="D15190" t="str">
        <f>HYPERLINK("https://rhld.insurance.arkansas.gov/NPILookup?Npi=1790233187","1790233187")</f>
        <v>1790233187</v>
      </c>
      <c r="E15190" t="s">
        <v>11280</v>
      </c>
    </row>
    <row r="15191" spans="1:5" x14ac:dyDescent="0.25">
      <c r="A15191" t="s">
        <v>2</v>
      </c>
      <c r="B15191" t="s">
        <v>3458</v>
      </c>
      <c r="C15191" t="s">
        <v>23490</v>
      </c>
      <c r="D15191" t="str">
        <f>HYPERLINK("https://rhld.insurance.arkansas.gov/NPILookup?Npi=1790253326","1790253326")</f>
        <v>1790253326</v>
      </c>
      <c r="E15191" t="s">
        <v>13709</v>
      </c>
    </row>
    <row r="15192" spans="1:5" x14ac:dyDescent="0.25">
      <c r="A15192" t="s">
        <v>2</v>
      </c>
      <c r="B15192" t="s">
        <v>3458</v>
      </c>
      <c r="C15192" t="s">
        <v>23490</v>
      </c>
      <c r="D15192" t="str">
        <f>HYPERLINK("https://rhld.insurance.arkansas.gov/NPILookup?Npi=1790262228","1790262228")</f>
        <v>1790262228</v>
      </c>
      <c r="E15192" t="s">
        <v>13710</v>
      </c>
    </row>
    <row r="15193" spans="1:5" x14ac:dyDescent="0.25">
      <c r="A15193" t="s">
        <v>2</v>
      </c>
      <c r="B15193" t="s">
        <v>3458</v>
      </c>
      <c r="C15193" t="s">
        <v>23490</v>
      </c>
      <c r="D15193" t="str">
        <f>HYPERLINK("https://rhld.insurance.arkansas.gov/NPILookup?Npi=1790274355","1790274355")</f>
        <v>1790274355</v>
      </c>
      <c r="E15193" t="s">
        <v>13711</v>
      </c>
    </row>
    <row r="15194" spans="1:5" x14ac:dyDescent="0.25">
      <c r="A15194" t="s">
        <v>2</v>
      </c>
      <c r="B15194" t="s">
        <v>3458</v>
      </c>
      <c r="C15194" t="s">
        <v>23490</v>
      </c>
      <c r="D15194" t="str">
        <f>HYPERLINK("https://rhld.insurance.arkansas.gov/NPILookup?Npi=1790284180","1790284180")</f>
        <v>1790284180</v>
      </c>
      <c r="E15194" t="s">
        <v>12909</v>
      </c>
    </row>
    <row r="15195" spans="1:5" x14ac:dyDescent="0.25">
      <c r="A15195" t="s">
        <v>2</v>
      </c>
      <c r="B15195" t="s">
        <v>3458</v>
      </c>
      <c r="C15195" t="s">
        <v>23490</v>
      </c>
      <c r="D15195" t="str">
        <f>HYPERLINK("https://rhld.insurance.arkansas.gov/NPILookup?Npi=1790286904","1790286904")</f>
        <v>1790286904</v>
      </c>
      <c r="E15195" t="s">
        <v>12910</v>
      </c>
    </row>
    <row r="15196" spans="1:5" x14ac:dyDescent="0.25">
      <c r="A15196" t="s">
        <v>2</v>
      </c>
      <c r="B15196" t="s">
        <v>3458</v>
      </c>
      <c r="C15196" t="s">
        <v>23490</v>
      </c>
      <c r="D15196" t="str">
        <f>HYPERLINK("https://rhld.insurance.arkansas.gov/NPILookup?Npi=1790317220","1790317220")</f>
        <v>1790317220</v>
      </c>
      <c r="E15196" t="s">
        <v>18864</v>
      </c>
    </row>
    <row r="15197" spans="1:5" x14ac:dyDescent="0.25">
      <c r="A15197" t="s">
        <v>2</v>
      </c>
      <c r="B15197" t="s">
        <v>3458</v>
      </c>
      <c r="C15197" t="s">
        <v>23490</v>
      </c>
      <c r="D15197" t="str">
        <f>HYPERLINK("https://rhld.insurance.arkansas.gov/NPILookup?Npi=1790380574","1790380574")</f>
        <v>1790380574</v>
      </c>
      <c r="E15197" t="s">
        <v>18865</v>
      </c>
    </row>
    <row r="15198" spans="1:5" x14ac:dyDescent="0.25">
      <c r="A15198" t="s">
        <v>2</v>
      </c>
      <c r="B15198" t="s">
        <v>3458</v>
      </c>
      <c r="C15198" t="s">
        <v>23490</v>
      </c>
      <c r="D15198" t="str">
        <f>HYPERLINK("https://rhld.insurance.arkansas.gov/NPILookup?Npi=1790404499","1790404499")</f>
        <v>1790404499</v>
      </c>
      <c r="E15198" t="s">
        <v>21037</v>
      </c>
    </row>
    <row r="15199" spans="1:5" x14ac:dyDescent="0.25">
      <c r="A15199" t="s">
        <v>2</v>
      </c>
      <c r="B15199" t="s">
        <v>3458</v>
      </c>
      <c r="C15199" t="s">
        <v>23490</v>
      </c>
      <c r="D15199" t="str">
        <f>HYPERLINK("https://rhld.insurance.arkansas.gov/NPILookup?Npi=1790459923","1790459923")</f>
        <v>1790459923</v>
      </c>
      <c r="E15199" t="s">
        <v>18866</v>
      </c>
    </row>
    <row r="15200" spans="1:5" x14ac:dyDescent="0.25">
      <c r="A15200" t="s">
        <v>2</v>
      </c>
      <c r="B15200" t="s">
        <v>3458</v>
      </c>
      <c r="C15200" t="s">
        <v>23490</v>
      </c>
      <c r="D15200" t="str">
        <f>HYPERLINK("https://rhld.insurance.arkansas.gov/NPILookup?Npi=1790701555","1790701555")</f>
        <v>1790701555</v>
      </c>
      <c r="E15200" t="s">
        <v>3934</v>
      </c>
    </row>
    <row r="15201" spans="1:5" x14ac:dyDescent="0.25">
      <c r="A15201" t="s">
        <v>2</v>
      </c>
      <c r="B15201" t="s">
        <v>3458</v>
      </c>
      <c r="C15201" t="s">
        <v>23490</v>
      </c>
      <c r="D15201" t="str">
        <f>HYPERLINK("https://rhld.insurance.arkansas.gov/NPILookup?Npi=1790709038","1790709038")</f>
        <v>1790709038</v>
      </c>
      <c r="E15201" t="s">
        <v>2777</v>
      </c>
    </row>
    <row r="15202" spans="1:5" x14ac:dyDescent="0.25">
      <c r="A15202" t="s">
        <v>2</v>
      </c>
      <c r="B15202" t="s">
        <v>3458</v>
      </c>
      <c r="C15202" t="s">
        <v>23490</v>
      </c>
      <c r="D15202" t="str">
        <f>HYPERLINK("https://rhld.insurance.arkansas.gov/NPILookup?Npi=1790709079","1790709079")</f>
        <v>1790709079</v>
      </c>
      <c r="E15202" t="s">
        <v>15566</v>
      </c>
    </row>
    <row r="15203" spans="1:5" x14ac:dyDescent="0.25">
      <c r="A15203" t="s">
        <v>2</v>
      </c>
      <c r="B15203" t="s">
        <v>3458</v>
      </c>
      <c r="C15203" t="s">
        <v>23490</v>
      </c>
      <c r="D15203" t="str">
        <f>HYPERLINK("https://rhld.insurance.arkansas.gov/NPILookup?Npi=1790714269","1790714269")</f>
        <v>1790714269</v>
      </c>
      <c r="E15203" t="s">
        <v>2778</v>
      </c>
    </row>
    <row r="15204" spans="1:5" x14ac:dyDescent="0.25">
      <c r="A15204" t="s">
        <v>2</v>
      </c>
      <c r="B15204" t="s">
        <v>3458</v>
      </c>
      <c r="C15204" t="s">
        <v>23490</v>
      </c>
      <c r="D15204" t="str">
        <f>HYPERLINK("https://rhld.insurance.arkansas.gov/NPILookup?Npi=1790716314","1790716314")</f>
        <v>1790716314</v>
      </c>
      <c r="E15204" t="s">
        <v>12911</v>
      </c>
    </row>
    <row r="15205" spans="1:5" x14ac:dyDescent="0.25">
      <c r="A15205" t="s">
        <v>2</v>
      </c>
      <c r="B15205" t="s">
        <v>3458</v>
      </c>
      <c r="C15205" t="s">
        <v>23490</v>
      </c>
      <c r="D15205" t="str">
        <f>HYPERLINK("https://rhld.insurance.arkansas.gov/NPILookup?Npi=1790732493","1790732493")</f>
        <v>1790732493</v>
      </c>
      <c r="E15205" t="s">
        <v>2779</v>
      </c>
    </row>
    <row r="15206" spans="1:5" x14ac:dyDescent="0.25">
      <c r="A15206" t="s">
        <v>2</v>
      </c>
      <c r="B15206" t="s">
        <v>3458</v>
      </c>
      <c r="C15206" t="s">
        <v>23490</v>
      </c>
      <c r="D15206" t="str">
        <f>HYPERLINK("https://rhld.insurance.arkansas.gov/NPILookup?Npi=1790733301","1790733301")</f>
        <v>1790733301</v>
      </c>
      <c r="E15206" t="s">
        <v>2780</v>
      </c>
    </row>
    <row r="15207" spans="1:5" x14ac:dyDescent="0.25">
      <c r="A15207" t="s">
        <v>2</v>
      </c>
      <c r="B15207" t="s">
        <v>3458</v>
      </c>
      <c r="C15207" t="s">
        <v>23490</v>
      </c>
      <c r="D15207" t="str">
        <f>HYPERLINK("https://rhld.insurance.arkansas.gov/NPILookup?Npi=1790735124","1790735124")</f>
        <v>1790735124</v>
      </c>
      <c r="E15207" t="s">
        <v>3935</v>
      </c>
    </row>
    <row r="15208" spans="1:5" x14ac:dyDescent="0.25">
      <c r="A15208" t="s">
        <v>2</v>
      </c>
      <c r="B15208" t="s">
        <v>3458</v>
      </c>
      <c r="C15208" t="s">
        <v>23490</v>
      </c>
      <c r="D15208" t="str">
        <f>HYPERLINK("https://rhld.insurance.arkansas.gov/NPILookup?Npi=1790735736","1790735736")</f>
        <v>1790735736</v>
      </c>
      <c r="E15208" t="s">
        <v>15567</v>
      </c>
    </row>
    <row r="15209" spans="1:5" x14ac:dyDescent="0.25">
      <c r="A15209" t="s">
        <v>2</v>
      </c>
      <c r="B15209" t="s">
        <v>3458</v>
      </c>
      <c r="C15209" t="s">
        <v>23490</v>
      </c>
      <c r="D15209" t="str">
        <f>HYPERLINK("https://rhld.insurance.arkansas.gov/NPILookup?Npi=1790749182","1790749182")</f>
        <v>1790749182</v>
      </c>
      <c r="E15209" t="s">
        <v>2781</v>
      </c>
    </row>
    <row r="15210" spans="1:5" x14ac:dyDescent="0.25">
      <c r="A15210" t="s">
        <v>2</v>
      </c>
      <c r="B15210" t="s">
        <v>3458</v>
      </c>
      <c r="C15210" t="s">
        <v>23490</v>
      </c>
      <c r="D15210" t="str">
        <f>HYPERLINK("https://rhld.insurance.arkansas.gov/NPILookup?Npi=1790749943","1790749943")</f>
        <v>1790749943</v>
      </c>
      <c r="E15210" t="s">
        <v>2782</v>
      </c>
    </row>
    <row r="15211" spans="1:5" x14ac:dyDescent="0.25">
      <c r="A15211" t="s">
        <v>2</v>
      </c>
      <c r="B15211" t="s">
        <v>3458</v>
      </c>
      <c r="C15211" t="s">
        <v>23490</v>
      </c>
      <c r="D15211" t="str">
        <f>HYPERLINK("https://rhld.insurance.arkansas.gov/NPILookup?Npi=1790751329","1790751329")</f>
        <v>1790751329</v>
      </c>
      <c r="E15211" t="s">
        <v>2783</v>
      </c>
    </row>
    <row r="15212" spans="1:5" x14ac:dyDescent="0.25">
      <c r="A15212" t="s">
        <v>2</v>
      </c>
      <c r="B15212" t="s">
        <v>3458</v>
      </c>
      <c r="C15212" t="s">
        <v>23490</v>
      </c>
      <c r="D15212" t="str">
        <f>HYPERLINK("https://rhld.insurance.arkansas.gov/NPILookup?Npi=1790753929","1790753929")</f>
        <v>1790753929</v>
      </c>
      <c r="E15212" t="s">
        <v>2784</v>
      </c>
    </row>
    <row r="15213" spans="1:5" x14ac:dyDescent="0.25">
      <c r="A15213" t="s">
        <v>2</v>
      </c>
      <c r="B15213" t="s">
        <v>3458</v>
      </c>
      <c r="C15213" t="s">
        <v>23490</v>
      </c>
      <c r="D15213" t="str">
        <f>HYPERLINK("https://rhld.insurance.arkansas.gov/NPILookup?Npi=1790754281","1790754281")</f>
        <v>1790754281</v>
      </c>
      <c r="E15213" t="s">
        <v>2785</v>
      </c>
    </row>
    <row r="15214" spans="1:5" x14ac:dyDescent="0.25">
      <c r="A15214" t="s">
        <v>2</v>
      </c>
      <c r="B15214" t="s">
        <v>3458</v>
      </c>
      <c r="C15214" t="s">
        <v>23490</v>
      </c>
      <c r="D15214" t="str">
        <f>HYPERLINK("https://rhld.insurance.arkansas.gov/NPILookup?Npi=1790773521","1790773521")</f>
        <v>1790773521</v>
      </c>
      <c r="E15214" t="s">
        <v>2786</v>
      </c>
    </row>
    <row r="15215" spans="1:5" x14ac:dyDescent="0.25">
      <c r="A15215" t="s">
        <v>2</v>
      </c>
      <c r="B15215" t="s">
        <v>3458</v>
      </c>
      <c r="C15215" t="s">
        <v>23490</v>
      </c>
      <c r="D15215" t="str">
        <f>HYPERLINK("https://rhld.insurance.arkansas.gov/NPILookup?Npi=1790775518","1790775518")</f>
        <v>1790775518</v>
      </c>
      <c r="E15215" t="s">
        <v>2787</v>
      </c>
    </row>
    <row r="15216" spans="1:5" x14ac:dyDescent="0.25">
      <c r="A15216" t="s">
        <v>2</v>
      </c>
      <c r="B15216" t="s">
        <v>3458</v>
      </c>
      <c r="C15216" t="s">
        <v>23490</v>
      </c>
      <c r="D15216" t="str">
        <f>HYPERLINK("https://rhld.insurance.arkansas.gov/NPILookup?Npi=1790784106","1790784106")</f>
        <v>1790784106</v>
      </c>
      <c r="E15216" t="s">
        <v>15568</v>
      </c>
    </row>
    <row r="15217" spans="1:5" x14ac:dyDescent="0.25">
      <c r="A15217" t="s">
        <v>2</v>
      </c>
      <c r="B15217" t="s">
        <v>3458</v>
      </c>
      <c r="C15217" t="s">
        <v>23490</v>
      </c>
      <c r="D15217" t="str">
        <f>HYPERLINK("https://rhld.insurance.arkansas.gov/NPILookup?Npi=1790789527","1790789527")</f>
        <v>1790789527</v>
      </c>
      <c r="E15217" t="s">
        <v>3936</v>
      </c>
    </row>
    <row r="15218" spans="1:5" x14ac:dyDescent="0.25">
      <c r="A15218" t="s">
        <v>2</v>
      </c>
      <c r="B15218" t="s">
        <v>3458</v>
      </c>
      <c r="C15218" t="s">
        <v>23490</v>
      </c>
      <c r="D15218" t="str">
        <f>HYPERLINK("https://rhld.insurance.arkansas.gov/NPILookup?Npi=1790792711","1790792711")</f>
        <v>1790792711</v>
      </c>
      <c r="E15218" t="s">
        <v>2788</v>
      </c>
    </row>
    <row r="15219" spans="1:5" x14ac:dyDescent="0.25">
      <c r="A15219" t="s">
        <v>2</v>
      </c>
      <c r="B15219" t="s">
        <v>3458</v>
      </c>
      <c r="C15219" t="s">
        <v>23490</v>
      </c>
      <c r="D15219" t="str">
        <f>HYPERLINK("https://rhld.insurance.arkansas.gov/NPILookup?Npi=1790802809","1790802809")</f>
        <v>1790802809</v>
      </c>
      <c r="E15219" t="s">
        <v>2789</v>
      </c>
    </row>
    <row r="15220" spans="1:5" x14ac:dyDescent="0.25">
      <c r="A15220" t="s">
        <v>2</v>
      </c>
      <c r="B15220" t="s">
        <v>3458</v>
      </c>
      <c r="C15220" t="s">
        <v>23490</v>
      </c>
      <c r="D15220" t="str">
        <f>HYPERLINK("https://rhld.insurance.arkansas.gov/NPILookup?Npi=1790817427","1790817427")</f>
        <v>1790817427</v>
      </c>
      <c r="E15220" t="s">
        <v>8860</v>
      </c>
    </row>
    <row r="15221" spans="1:5" x14ac:dyDescent="0.25">
      <c r="A15221" t="s">
        <v>2</v>
      </c>
      <c r="B15221" t="s">
        <v>3458</v>
      </c>
      <c r="C15221" t="s">
        <v>23490</v>
      </c>
      <c r="D15221" t="str">
        <f>HYPERLINK("https://rhld.insurance.arkansas.gov/NPILookup?Npi=1790818359","1790818359")</f>
        <v>1790818359</v>
      </c>
      <c r="E15221" t="s">
        <v>3937</v>
      </c>
    </row>
    <row r="15222" spans="1:5" x14ac:dyDescent="0.25">
      <c r="A15222" t="s">
        <v>2</v>
      </c>
      <c r="B15222" t="s">
        <v>3458</v>
      </c>
      <c r="C15222" t="s">
        <v>23490</v>
      </c>
      <c r="D15222" t="str">
        <f>HYPERLINK("https://rhld.insurance.arkansas.gov/NPILookup?Npi=1790853638","1790853638")</f>
        <v>1790853638</v>
      </c>
      <c r="E15222" t="s">
        <v>13714</v>
      </c>
    </row>
    <row r="15223" spans="1:5" x14ac:dyDescent="0.25">
      <c r="A15223" t="s">
        <v>2</v>
      </c>
      <c r="B15223" t="s">
        <v>3458</v>
      </c>
      <c r="C15223" t="s">
        <v>23490</v>
      </c>
      <c r="D15223" t="str">
        <f>HYPERLINK("https://rhld.insurance.arkansas.gov/NPILookup?Npi=1790870897","1790870897")</f>
        <v>1790870897</v>
      </c>
      <c r="E15223" t="s">
        <v>8861</v>
      </c>
    </row>
    <row r="15224" spans="1:5" x14ac:dyDescent="0.25">
      <c r="A15224" t="s">
        <v>2</v>
      </c>
      <c r="B15224" t="s">
        <v>3458</v>
      </c>
      <c r="C15224" t="s">
        <v>23490</v>
      </c>
      <c r="D15224" t="str">
        <f>HYPERLINK("https://rhld.insurance.arkansas.gov/NPILookup?Npi=1790876753","1790876753")</f>
        <v>1790876753</v>
      </c>
      <c r="E15224" t="s">
        <v>20032</v>
      </c>
    </row>
    <row r="15225" spans="1:5" x14ac:dyDescent="0.25">
      <c r="A15225" t="s">
        <v>2</v>
      </c>
      <c r="B15225" t="s">
        <v>3458</v>
      </c>
      <c r="C15225" t="s">
        <v>23490</v>
      </c>
      <c r="D15225" t="str">
        <f>HYPERLINK("https://rhld.insurance.arkansas.gov/NPILookup?Npi=1790882595","1790882595")</f>
        <v>1790882595</v>
      </c>
      <c r="E15225" t="s">
        <v>2790</v>
      </c>
    </row>
    <row r="15226" spans="1:5" x14ac:dyDescent="0.25">
      <c r="A15226" t="s">
        <v>2</v>
      </c>
      <c r="B15226" t="s">
        <v>3458</v>
      </c>
      <c r="C15226" t="s">
        <v>23490</v>
      </c>
      <c r="D15226" t="str">
        <f>HYPERLINK("https://rhld.insurance.arkansas.gov/NPILookup?Npi=1790886356","1790886356")</f>
        <v>1790886356</v>
      </c>
      <c r="E15226" t="s">
        <v>3938</v>
      </c>
    </row>
    <row r="15227" spans="1:5" x14ac:dyDescent="0.25">
      <c r="A15227" t="s">
        <v>2</v>
      </c>
      <c r="B15227" t="s">
        <v>3458</v>
      </c>
      <c r="C15227" t="s">
        <v>23490</v>
      </c>
      <c r="D15227" t="str">
        <f>HYPERLINK("https://rhld.insurance.arkansas.gov/NPILookup?Npi=1790891448","1790891448")</f>
        <v>1790891448</v>
      </c>
      <c r="E15227" t="s">
        <v>2791</v>
      </c>
    </row>
    <row r="15228" spans="1:5" x14ac:dyDescent="0.25">
      <c r="A15228" t="s">
        <v>2</v>
      </c>
      <c r="B15228" t="s">
        <v>3458</v>
      </c>
      <c r="C15228" t="s">
        <v>23490</v>
      </c>
      <c r="D15228" t="str">
        <f>HYPERLINK("https://rhld.insurance.arkansas.gov/NPILookup?Npi=1790891851","1790891851")</f>
        <v>1790891851</v>
      </c>
      <c r="E15228" t="s">
        <v>15570</v>
      </c>
    </row>
    <row r="15229" spans="1:5" x14ac:dyDescent="0.25">
      <c r="A15229" t="s">
        <v>2</v>
      </c>
      <c r="B15229" t="s">
        <v>3458</v>
      </c>
      <c r="C15229" t="s">
        <v>23490</v>
      </c>
      <c r="D15229" t="str">
        <f>HYPERLINK("https://rhld.insurance.arkansas.gov/NPILookup?Npi=1790893741","1790893741")</f>
        <v>1790893741</v>
      </c>
      <c r="E15229" t="s">
        <v>20265</v>
      </c>
    </row>
    <row r="15230" spans="1:5" x14ac:dyDescent="0.25">
      <c r="A15230" t="s">
        <v>2</v>
      </c>
      <c r="B15230" t="s">
        <v>3458</v>
      </c>
      <c r="C15230" t="s">
        <v>23490</v>
      </c>
      <c r="D15230" t="str">
        <f>HYPERLINK("https://rhld.insurance.arkansas.gov/NPILookup?Npi=1790897395","1790897395")</f>
        <v>1790897395</v>
      </c>
      <c r="E15230" t="s">
        <v>2792</v>
      </c>
    </row>
    <row r="15231" spans="1:5" x14ac:dyDescent="0.25">
      <c r="A15231" t="s">
        <v>2</v>
      </c>
      <c r="B15231" t="s">
        <v>3458</v>
      </c>
      <c r="C15231" t="s">
        <v>23490</v>
      </c>
      <c r="D15231" t="str">
        <f>HYPERLINK("https://rhld.insurance.arkansas.gov/NPILookup?Npi=1790904035","1790904035")</f>
        <v>1790904035</v>
      </c>
      <c r="E15231" t="s">
        <v>3939</v>
      </c>
    </row>
    <row r="15232" spans="1:5" x14ac:dyDescent="0.25">
      <c r="A15232" t="s">
        <v>2</v>
      </c>
      <c r="B15232" t="s">
        <v>3458</v>
      </c>
      <c r="C15232" t="s">
        <v>23490</v>
      </c>
      <c r="D15232" t="str">
        <f>HYPERLINK("https://rhld.insurance.arkansas.gov/NPILookup?Npi=1790914927","1790914927")</f>
        <v>1790914927</v>
      </c>
      <c r="E15232" t="s">
        <v>2793</v>
      </c>
    </row>
    <row r="15233" spans="1:5" x14ac:dyDescent="0.25">
      <c r="A15233" t="s">
        <v>2</v>
      </c>
      <c r="B15233" t="s">
        <v>3458</v>
      </c>
      <c r="C15233" t="s">
        <v>23490</v>
      </c>
      <c r="D15233" t="str">
        <f>HYPERLINK("https://rhld.insurance.arkansas.gov/NPILookup?Npi=1790915544","1790915544")</f>
        <v>1790915544</v>
      </c>
      <c r="E15233" t="s">
        <v>8862</v>
      </c>
    </row>
    <row r="15234" spans="1:5" x14ac:dyDescent="0.25">
      <c r="A15234" t="s">
        <v>2</v>
      </c>
      <c r="B15234" t="s">
        <v>3458</v>
      </c>
      <c r="C15234" t="s">
        <v>23490</v>
      </c>
      <c r="D15234" t="str">
        <f>HYPERLINK("https://rhld.insurance.arkansas.gov/NPILookup?Npi=1790926475","1790926475")</f>
        <v>1790926475</v>
      </c>
      <c r="E15234" t="s">
        <v>2794</v>
      </c>
    </row>
    <row r="15235" spans="1:5" x14ac:dyDescent="0.25">
      <c r="A15235" t="s">
        <v>2</v>
      </c>
      <c r="B15235" t="s">
        <v>3458</v>
      </c>
      <c r="C15235" t="s">
        <v>23490</v>
      </c>
      <c r="D15235" t="str">
        <f>HYPERLINK("https://rhld.insurance.arkansas.gov/NPILookup?Npi=1790926798","1790926798")</f>
        <v>1790926798</v>
      </c>
      <c r="E15235" t="s">
        <v>2795</v>
      </c>
    </row>
    <row r="15236" spans="1:5" x14ac:dyDescent="0.25">
      <c r="A15236" t="s">
        <v>2</v>
      </c>
      <c r="B15236" t="s">
        <v>3458</v>
      </c>
      <c r="C15236" t="s">
        <v>23490</v>
      </c>
      <c r="D15236" t="str">
        <f>HYPERLINK("https://rhld.insurance.arkansas.gov/NPILookup?Npi=1790939460","1790939460")</f>
        <v>1790939460</v>
      </c>
      <c r="E15236" t="s">
        <v>13033</v>
      </c>
    </row>
    <row r="15237" spans="1:5" x14ac:dyDescent="0.25">
      <c r="A15237" t="s">
        <v>2</v>
      </c>
      <c r="B15237" t="s">
        <v>3458</v>
      </c>
      <c r="C15237" t="s">
        <v>23490</v>
      </c>
      <c r="D15237" t="str">
        <f>HYPERLINK("https://rhld.insurance.arkansas.gov/NPILookup?Npi=1790952067","1790952067")</f>
        <v>1790952067</v>
      </c>
      <c r="E15237" t="s">
        <v>11281</v>
      </c>
    </row>
    <row r="15238" spans="1:5" x14ac:dyDescent="0.25">
      <c r="A15238" t="s">
        <v>2</v>
      </c>
      <c r="B15238" t="s">
        <v>3458</v>
      </c>
      <c r="C15238" t="s">
        <v>23490</v>
      </c>
      <c r="D15238" t="str">
        <f>HYPERLINK("https://rhld.insurance.arkansas.gov/NPILookup?Npi=1790958114","1790958114")</f>
        <v>1790958114</v>
      </c>
      <c r="E15238" t="s">
        <v>3940</v>
      </c>
    </row>
    <row r="15239" spans="1:5" x14ac:dyDescent="0.25">
      <c r="A15239" t="s">
        <v>2</v>
      </c>
      <c r="B15239" t="s">
        <v>3458</v>
      </c>
      <c r="C15239" t="s">
        <v>23490</v>
      </c>
      <c r="D15239" t="str">
        <f>HYPERLINK("https://rhld.insurance.arkansas.gov/NPILookup?Npi=1790980126","1790980126")</f>
        <v>1790980126</v>
      </c>
      <c r="E15239" t="s">
        <v>13872</v>
      </c>
    </row>
    <row r="15240" spans="1:5" x14ac:dyDescent="0.25">
      <c r="A15240" t="s">
        <v>2</v>
      </c>
      <c r="B15240" t="s">
        <v>3458</v>
      </c>
      <c r="C15240" t="s">
        <v>23490</v>
      </c>
      <c r="D15240" t="str">
        <f>HYPERLINK("https://rhld.insurance.arkansas.gov/NPILookup?Npi=1790988319","1790988319")</f>
        <v>1790988319</v>
      </c>
      <c r="E15240" t="s">
        <v>11282</v>
      </c>
    </row>
    <row r="15241" spans="1:5" x14ac:dyDescent="0.25">
      <c r="A15241" t="s">
        <v>2</v>
      </c>
      <c r="B15241" t="s">
        <v>3458</v>
      </c>
      <c r="C15241" t="s">
        <v>23490</v>
      </c>
      <c r="D15241" t="str">
        <f>HYPERLINK("https://rhld.insurance.arkansas.gov/NPILookup?Npi=1801010061","1801010061")</f>
        <v>1801010061</v>
      </c>
      <c r="E15241" t="s">
        <v>2800</v>
      </c>
    </row>
    <row r="15242" spans="1:5" x14ac:dyDescent="0.25">
      <c r="A15242" t="s">
        <v>2</v>
      </c>
      <c r="B15242" t="s">
        <v>3458</v>
      </c>
      <c r="C15242" t="s">
        <v>23490</v>
      </c>
      <c r="D15242" t="str">
        <f>HYPERLINK("https://rhld.insurance.arkansas.gov/NPILookup?Npi=1801035662","1801035662")</f>
        <v>1801035662</v>
      </c>
      <c r="E15242" t="s">
        <v>13715</v>
      </c>
    </row>
    <row r="15243" spans="1:5" x14ac:dyDescent="0.25">
      <c r="A15243" t="s">
        <v>2</v>
      </c>
      <c r="B15243" t="s">
        <v>3458</v>
      </c>
      <c r="C15243" t="s">
        <v>23490</v>
      </c>
      <c r="D15243" t="str">
        <f>HYPERLINK("https://rhld.insurance.arkansas.gov/NPILookup?Npi=1801044300","1801044300")</f>
        <v>1801044300</v>
      </c>
      <c r="E15243" t="s">
        <v>2802</v>
      </c>
    </row>
    <row r="15244" spans="1:5" x14ac:dyDescent="0.25">
      <c r="A15244" t="s">
        <v>2</v>
      </c>
      <c r="B15244" t="s">
        <v>3458</v>
      </c>
      <c r="C15244" t="s">
        <v>23490</v>
      </c>
      <c r="D15244" t="str">
        <f>HYPERLINK("https://rhld.insurance.arkansas.gov/NPILookup?Npi=1801048558","1801048558")</f>
        <v>1801048558</v>
      </c>
      <c r="E15244" t="s">
        <v>2803</v>
      </c>
    </row>
    <row r="15245" spans="1:5" x14ac:dyDescent="0.25">
      <c r="A15245" t="s">
        <v>2</v>
      </c>
      <c r="B15245" t="s">
        <v>3458</v>
      </c>
      <c r="C15245" t="s">
        <v>23490</v>
      </c>
      <c r="D15245" t="str">
        <f>HYPERLINK("https://rhld.insurance.arkansas.gov/NPILookup?Npi=1801057583","1801057583")</f>
        <v>1801057583</v>
      </c>
      <c r="E15245" t="s">
        <v>2804</v>
      </c>
    </row>
    <row r="15246" spans="1:5" x14ac:dyDescent="0.25">
      <c r="A15246" t="s">
        <v>2</v>
      </c>
      <c r="B15246" t="s">
        <v>3458</v>
      </c>
      <c r="C15246" t="s">
        <v>23490</v>
      </c>
      <c r="D15246" t="str">
        <f>HYPERLINK("https://rhld.insurance.arkansas.gov/NPILookup?Npi=1801060207","1801060207")</f>
        <v>1801060207</v>
      </c>
      <c r="E15246" t="s">
        <v>21757</v>
      </c>
    </row>
    <row r="15247" spans="1:5" x14ac:dyDescent="0.25">
      <c r="A15247" t="s">
        <v>2</v>
      </c>
      <c r="B15247" t="s">
        <v>3458</v>
      </c>
      <c r="C15247" t="s">
        <v>23490</v>
      </c>
      <c r="D15247" t="str">
        <f>HYPERLINK("https://rhld.insurance.arkansas.gov/NPILookup?Npi=1801073531","1801073531")</f>
        <v>1801073531</v>
      </c>
      <c r="E15247" t="s">
        <v>2805</v>
      </c>
    </row>
    <row r="15248" spans="1:5" x14ac:dyDescent="0.25">
      <c r="A15248" t="s">
        <v>2</v>
      </c>
      <c r="B15248" t="s">
        <v>3458</v>
      </c>
      <c r="C15248" t="s">
        <v>23490</v>
      </c>
      <c r="D15248" t="str">
        <f>HYPERLINK("https://rhld.insurance.arkansas.gov/NPILookup?Npi=1801077797","1801077797")</f>
        <v>1801077797</v>
      </c>
      <c r="E15248" t="s">
        <v>15571</v>
      </c>
    </row>
    <row r="15249" spans="1:5" x14ac:dyDescent="0.25">
      <c r="A15249" t="s">
        <v>2</v>
      </c>
      <c r="B15249" t="s">
        <v>3458</v>
      </c>
      <c r="C15249" t="s">
        <v>23490</v>
      </c>
      <c r="D15249" t="str">
        <f>HYPERLINK("https://rhld.insurance.arkansas.gov/NPILookup?Npi=1801104682","1801104682")</f>
        <v>1801104682</v>
      </c>
      <c r="E15249" t="s">
        <v>2806</v>
      </c>
    </row>
    <row r="15250" spans="1:5" x14ac:dyDescent="0.25">
      <c r="A15250" t="s">
        <v>2</v>
      </c>
      <c r="B15250" t="s">
        <v>3458</v>
      </c>
      <c r="C15250" t="s">
        <v>23490</v>
      </c>
      <c r="D15250" t="str">
        <f>HYPERLINK("https://rhld.insurance.arkansas.gov/NPILookup?Npi=1801110549","1801110549")</f>
        <v>1801110549</v>
      </c>
      <c r="E15250" t="s">
        <v>3941</v>
      </c>
    </row>
    <row r="15251" spans="1:5" x14ac:dyDescent="0.25">
      <c r="A15251" t="s">
        <v>2</v>
      </c>
      <c r="B15251" t="s">
        <v>3458</v>
      </c>
      <c r="C15251" t="s">
        <v>23490</v>
      </c>
      <c r="D15251" t="str">
        <f>HYPERLINK("https://rhld.insurance.arkansas.gov/NPILookup?Npi=1801125216","1801125216")</f>
        <v>1801125216</v>
      </c>
      <c r="E15251" t="s">
        <v>3942</v>
      </c>
    </row>
    <row r="15252" spans="1:5" x14ac:dyDescent="0.25">
      <c r="A15252" t="s">
        <v>2</v>
      </c>
      <c r="B15252" t="s">
        <v>3458</v>
      </c>
      <c r="C15252" t="s">
        <v>23490</v>
      </c>
      <c r="D15252" t="str">
        <f>HYPERLINK("https://rhld.insurance.arkansas.gov/NPILookup?Npi=1801133343","1801133343")</f>
        <v>1801133343</v>
      </c>
      <c r="E15252" t="s">
        <v>15572</v>
      </c>
    </row>
    <row r="15253" spans="1:5" x14ac:dyDescent="0.25">
      <c r="A15253" t="s">
        <v>2</v>
      </c>
      <c r="B15253" t="s">
        <v>3458</v>
      </c>
      <c r="C15253" t="s">
        <v>23490</v>
      </c>
      <c r="D15253" t="str">
        <f>HYPERLINK("https://rhld.insurance.arkansas.gov/NPILookup?Npi=1801140652","1801140652")</f>
        <v>1801140652</v>
      </c>
      <c r="E15253" t="s">
        <v>2807</v>
      </c>
    </row>
    <row r="15254" spans="1:5" x14ac:dyDescent="0.25">
      <c r="A15254" t="s">
        <v>2</v>
      </c>
      <c r="B15254" t="s">
        <v>3458</v>
      </c>
      <c r="C15254" t="s">
        <v>23490</v>
      </c>
      <c r="D15254" t="str">
        <f>HYPERLINK("https://rhld.insurance.arkansas.gov/NPILookup?Npi=1801153705","1801153705")</f>
        <v>1801153705</v>
      </c>
      <c r="E15254" t="s">
        <v>15573</v>
      </c>
    </row>
    <row r="15255" spans="1:5" x14ac:dyDescent="0.25">
      <c r="A15255" t="s">
        <v>2</v>
      </c>
      <c r="B15255" t="s">
        <v>3458</v>
      </c>
      <c r="C15255" t="s">
        <v>23490</v>
      </c>
      <c r="D15255" t="str">
        <f>HYPERLINK("https://rhld.insurance.arkansas.gov/NPILookup?Npi=1801177720","1801177720")</f>
        <v>1801177720</v>
      </c>
      <c r="E15255" t="s">
        <v>2808</v>
      </c>
    </row>
    <row r="15256" spans="1:5" x14ac:dyDescent="0.25">
      <c r="A15256" t="s">
        <v>2</v>
      </c>
      <c r="B15256" t="s">
        <v>3458</v>
      </c>
      <c r="C15256" t="s">
        <v>23490</v>
      </c>
      <c r="D15256" t="str">
        <f>HYPERLINK("https://rhld.insurance.arkansas.gov/NPILookup?Npi=1801193438","1801193438")</f>
        <v>1801193438</v>
      </c>
      <c r="E15256" t="s">
        <v>15574</v>
      </c>
    </row>
    <row r="15257" spans="1:5" x14ac:dyDescent="0.25">
      <c r="A15257" t="s">
        <v>2</v>
      </c>
      <c r="B15257" t="s">
        <v>3458</v>
      </c>
      <c r="C15257" t="s">
        <v>23490</v>
      </c>
      <c r="D15257" t="str">
        <f>HYPERLINK("https://rhld.insurance.arkansas.gov/NPILookup?Npi=1801209234","1801209234")</f>
        <v>1801209234</v>
      </c>
      <c r="E15257" t="s">
        <v>17516</v>
      </c>
    </row>
    <row r="15258" spans="1:5" x14ac:dyDescent="0.25">
      <c r="A15258" t="s">
        <v>2</v>
      </c>
      <c r="B15258" t="s">
        <v>3458</v>
      </c>
      <c r="C15258" t="s">
        <v>23490</v>
      </c>
      <c r="D15258" t="str">
        <f>HYPERLINK("https://rhld.insurance.arkansas.gov/NPILookup?Npi=1801211966","1801211966")</f>
        <v>1801211966</v>
      </c>
      <c r="E15258" t="s">
        <v>11283</v>
      </c>
    </row>
    <row r="15259" spans="1:5" x14ac:dyDescent="0.25">
      <c r="A15259" t="s">
        <v>2</v>
      </c>
      <c r="B15259" t="s">
        <v>3458</v>
      </c>
      <c r="C15259" t="s">
        <v>23490</v>
      </c>
      <c r="D15259" t="str">
        <f>HYPERLINK("https://rhld.insurance.arkansas.gov/NPILookup?Npi=1801228663","1801228663")</f>
        <v>1801228663</v>
      </c>
      <c r="E15259" t="s">
        <v>2811</v>
      </c>
    </row>
    <row r="15260" spans="1:5" x14ac:dyDescent="0.25">
      <c r="A15260" t="s">
        <v>2</v>
      </c>
      <c r="B15260" t="s">
        <v>3458</v>
      </c>
      <c r="C15260" t="s">
        <v>23490</v>
      </c>
      <c r="D15260" t="str">
        <f>HYPERLINK("https://rhld.insurance.arkansas.gov/NPILookup?Npi=1801235783","1801235783")</f>
        <v>1801235783</v>
      </c>
      <c r="E15260" t="s">
        <v>8864</v>
      </c>
    </row>
    <row r="15261" spans="1:5" x14ac:dyDescent="0.25">
      <c r="A15261" t="s">
        <v>2</v>
      </c>
      <c r="B15261" t="s">
        <v>3458</v>
      </c>
      <c r="C15261" t="s">
        <v>23490</v>
      </c>
      <c r="D15261" t="str">
        <f>HYPERLINK("https://rhld.insurance.arkansas.gov/NPILookup?Npi=1801236195","1801236195")</f>
        <v>1801236195</v>
      </c>
      <c r="E15261" t="s">
        <v>2812</v>
      </c>
    </row>
    <row r="15262" spans="1:5" x14ac:dyDescent="0.25">
      <c r="A15262" t="s">
        <v>2</v>
      </c>
      <c r="B15262" t="s">
        <v>3458</v>
      </c>
      <c r="C15262" t="s">
        <v>23490</v>
      </c>
      <c r="D15262" t="str">
        <f>HYPERLINK("https://rhld.insurance.arkansas.gov/NPILookup?Npi=1801240395","1801240395")</f>
        <v>1801240395</v>
      </c>
      <c r="E15262" t="s">
        <v>18126</v>
      </c>
    </row>
    <row r="15263" spans="1:5" x14ac:dyDescent="0.25">
      <c r="A15263" t="s">
        <v>2</v>
      </c>
      <c r="B15263" t="s">
        <v>3458</v>
      </c>
      <c r="C15263" t="s">
        <v>23490</v>
      </c>
      <c r="D15263" t="str">
        <f>HYPERLINK("https://rhld.insurance.arkansas.gov/NPILookup?Npi=1801246129","1801246129")</f>
        <v>1801246129</v>
      </c>
      <c r="E15263" t="s">
        <v>13716</v>
      </c>
    </row>
    <row r="15264" spans="1:5" x14ac:dyDescent="0.25">
      <c r="A15264" t="s">
        <v>2</v>
      </c>
      <c r="B15264" t="s">
        <v>3458</v>
      </c>
      <c r="C15264" t="s">
        <v>23490</v>
      </c>
      <c r="D15264" t="str">
        <f>HYPERLINK("https://rhld.insurance.arkansas.gov/NPILookup?Npi=1801247945","1801247945")</f>
        <v>1801247945</v>
      </c>
      <c r="E15264" t="s">
        <v>15575</v>
      </c>
    </row>
    <row r="15265" spans="1:5" x14ac:dyDescent="0.25">
      <c r="A15265" t="s">
        <v>2</v>
      </c>
      <c r="B15265" t="s">
        <v>3458</v>
      </c>
      <c r="C15265" t="s">
        <v>23490</v>
      </c>
      <c r="D15265" t="str">
        <f>HYPERLINK("https://rhld.insurance.arkansas.gov/NPILookup?Npi=1801268479","1801268479")</f>
        <v>1801268479</v>
      </c>
      <c r="E15265" t="s">
        <v>2813</v>
      </c>
    </row>
    <row r="15266" spans="1:5" x14ac:dyDescent="0.25">
      <c r="A15266" t="s">
        <v>2</v>
      </c>
      <c r="B15266" t="s">
        <v>3458</v>
      </c>
      <c r="C15266" t="s">
        <v>23490</v>
      </c>
      <c r="D15266" t="str">
        <f>HYPERLINK("https://rhld.insurance.arkansas.gov/NPILookup?Npi=1801277959","1801277959")</f>
        <v>1801277959</v>
      </c>
      <c r="E15266" t="s">
        <v>13717</v>
      </c>
    </row>
    <row r="15267" spans="1:5" x14ac:dyDescent="0.25">
      <c r="A15267" t="s">
        <v>2</v>
      </c>
      <c r="B15267" t="s">
        <v>3458</v>
      </c>
      <c r="C15267" t="s">
        <v>23490</v>
      </c>
      <c r="D15267" t="str">
        <f>HYPERLINK("https://rhld.insurance.arkansas.gov/NPILookup?Npi=1801281977","1801281977")</f>
        <v>1801281977</v>
      </c>
      <c r="E15267" t="s">
        <v>13873</v>
      </c>
    </row>
    <row r="15268" spans="1:5" x14ac:dyDescent="0.25">
      <c r="A15268" t="s">
        <v>2</v>
      </c>
      <c r="B15268" t="s">
        <v>3458</v>
      </c>
      <c r="C15268" t="s">
        <v>23490</v>
      </c>
      <c r="D15268" t="str">
        <f>HYPERLINK("https://rhld.insurance.arkansas.gov/NPILookup?Npi=1801287883","1801287883")</f>
        <v>1801287883</v>
      </c>
      <c r="E15268" t="s">
        <v>15576</v>
      </c>
    </row>
    <row r="15269" spans="1:5" x14ac:dyDescent="0.25">
      <c r="A15269" t="s">
        <v>2</v>
      </c>
      <c r="B15269" t="s">
        <v>3458</v>
      </c>
      <c r="C15269" t="s">
        <v>23490</v>
      </c>
      <c r="D15269" t="str">
        <f>HYPERLINK("https://rhld.insurance.arkansas.gov/NPILookup?Npi=1801291901","1801291901")</f>
        <v>1801291901</v>
      </c>
      <c r="E15269" t="s">
        <v>8865</v>
      </c>
    </row>
    <row r="15270" spans="1:5" x14ac:dyDescent="0.25">
      <c r="A15270" t="s">
        <v>2</v>
      </c>
      <c r="B15270" t="s">
        <v>3458</v>
      </c>
      <c r="C15270" t="s">
        <v>23490</v>
      </c>
      <c r="D15270" t="str">
        <f>HYPERLINK("https://rhld.insurance.arkansas.gov/NPILookup?Npi=1801332002","1801332002")</f>
        <v>1801332002</v>
      </c>
      <c r="E15270" t="s">
        <v>11285</v>
      </c>
    </row>
    <row r="15271" spans="1:5" x14ac:dyDescent="0.25">
      <c r="A15271" t="s">
        <v>2</v>
      </c>
      <c r="B15271" t="s">
        <v>3458</v>
      </c>
      <c r="C15271" t="s">
        <v>23490</v>
      </c>
      <c r="D15271" t="str">
        <f>HYPERLINK("https://rhld.insurance.arkansas.gov/NPILookup?Npi=1801333174","1801333174")</f>
        <v>1801333174</v>
      </c>
      <c r="E15271" t="s">
        <v>11286</v>
      </c>
    </row>
    <row r="15272" spans="1:5" x14ac:dyDescent="0.25">
      <c r="A15272" t="s">
        <v>2</v>
      </c>
      <c r="B15272" t="s">
        <v>3458</v>
      </c>
      <c r="C15272" t="s">
        <v>23490</v>
      </c>
      <c r="D15272" t="str">
        <f>HYPERLINK("https://rhld.insurance.arkansas.gov/NPILookup?Npi=1801335187","1801335187")</f>
        <v>1801335187</v>
      </c>
      <c r="E15272" t="s">
        <v>20038</v>
      </c>
    </row>
    <row r="15273" spans="1:5" x14ac:dyDescent="0.25">
      <c r="A15273" t="s">
        <v>2</v>
      </c>
      <c r="B15273" t="s">
        <v>3458</v>
      </c>
      <c r="C15273" t="s">
        <v>23490</v>
      </c>
      <c r="D15273" t="str">
        <f>HYPERLINK("https://rhld.insurance.arkansas.gov/NPILookup?Npi=1801340344","1801340344")</f>
        <v>1801340344</v>
      </c>
      <c r="E15273" t="s">
        <v>12912</v>
      </c>
    </row>
    <row r="15274" spans="1:5" x14ac:dyDescent="0.25">
      <c r="A15274" t="s">
        <v>2</v>
      </c>
      <c r="B15274" t="s">
        <v>3458</v>
      </c>
      <c r="C15274" t="s">
        <v>23490</v>
      </c>
      <c r="D15274" t="str">
        <f>HYPERLINK("https://rhld.insurance.arkansas.gov/NPILookup?Npi=1801346192","1801346192")</f>
        <v>1801346192</v>
      </c>
      <c r="E15274" t="s">
        <v>11287</v>
      </c>
    </row>
    <row r="15275" spans="1:5" x14ac:dyDescent="0.25">
      <c r="A15275" t="s">
        <v>2</v>
      </c>
      <c r="B15275" t="s">
        <v>3458</v>
      </c>
      <c r="C15275" t="s">
        <v>23490</v>
      </c>
      <c r="D15275" t="str">
        <f>HYPERLINK("https://rhld.insurance.arkansas.gov/NPILookup?Npi=1801348875","1801348875")</f>
        <v>1801348875</v>
      </c>
      <c r="E15275" t="s">
        <v>20039</v>
      </c>
    </row>
    <row r="15276" spans="1:5" x14ac:dyDescent="0.25">
      <c r="A15276" t="s">
        <v>2</v>
      </c>
      <c r="B15276" t="s">
        <v>3458</v>
      </c>
      <c r="C15276" t="s">
        <v>23490</v>
      </c>
      <c r="D15276" t="str">
        <f>HYPERLINK("https://rhld.insurance.arkansas.gov/NPILookup?Npi=1801350137","1801350137")</f>
        <v>1801350137</v>
      </c>
      <c r="E15276" t="s">
        <v>13718</v>
      </c>
    </row>
    <row r="15277" spans="1:5" x14ac:dyDescent="0.25">
      <c r="A15277" t="s">
        <v>2</v>
      </c>
      <c r="B15277" t="s">
        <v>3458</v>
      </c>
      <c r="C15277" t="s">
        <v>23490</v>
      </c>
      <c r="D15277" t="str">
        <f>HYPERLINK("https://rhld.insurance.arkansas.gov/NPILookup?Npi=1801360516","1801360516")</f>
        <v>1801360516</v>
      </c>
      <c r="E15277" t="s">
        <v>13874</v>
      </c>
    </row>
    <row r="15278" spans="1:5" x14ac:dyDescent="0.25">
      <c r="A15278" t="s">
        <v>2</v>
      </c>
      <c r="B15278" t="s">
        <v>3458</v>
      </c>
      <c r="C15278" t="s">
        <v>23490</v>
      </c>
      <c r="D15278" t="str">
        <f>HYPERLINK("https://rhld.insurance.arkansas.gov/NPILookup?Npi=1801371810","1801371810")</f>
        <v>1801371810</v>
      </c>
      <c r="E15278" t="s">
        <v>21652</v>
      </c>
    </row>
    <row r="15279" spans="1:5" x14ac:dyDescent="0.25">
      <c r="A15279" t="s">
        <v>2</v>
      </c>
      <c r="B15279" t="s">
        <v>3458</v>
      </c>
      <c r="C15279" t="s">
        <v>23490</v>
      </c>
      <c r="D15279" t="str">
        <f>HYPERLINK("https://rhld.insurance.arkansas.gov/NPILookup?Npi=1801373824","1801373824")</f>
        <v>1801373824</v>
      </c>
      <c r="E15279" t="s">
        <v>13719</v>
      </c>
    </row>
    <row r="15280" spans="1:5" x14ac:dyDescent="0.25">
      <c r="A15280" t="s">
        <v>2</v>
      </c>
      <c r="B15280" t="s">
        <v>3458</v>
      </c>
      <c r="C15280" t="s">
        <v>23490</v>
      </c>
      <c r="D15280" t="str">
        <f>HYPERLINK("https://rhld.insurance.arkansas.gov/NPILookup?Npi=1801381579","1801381579")</f>
        <v>1801381579</v>
      </c>
      <c r="E15280" t="s">
        <v>19091</v>
      </c>
    </row>
    <row r="15281" spans="1:5" x14ac:dyDescent="0.25">
      <c r="A15281" t="s">
        <v>2</v>
      </c>
      <c r="B15281" t="s">
        <v>3458</v>
      </c>
      <c r="C15281" t="s">
        <v>23490</v>
      </c>
      <c r="D15281" t="str">
        <f>HYPERLINK("https://rhld.insurance.arkansas.gov/NPILookup?Npi=1801381645","1801381645")</f>
        <v>1801381645</v>
      </c>
      <c r="E15281" t="s">
        <v>15577</v>
      </c>
    </row>
    <row r="15282" spans="1:5" x14ac:dyDescent="0.25">
      <c r="A15282" t="s">
        <v>2</v>
      </c>
      <c r="B15282" t="s">
        <v>3458</v>
      </c>
      <c r="C15282" t="s">
        <v>23490</v>
      </c>
      <c r="D15282" t="str">
        <f>HYPERLINK("https://rhld.insurance.arkansas.gov/NPILookup?Npi=1801385976","1801385976")</f>
        <v>1801385976</v>
      </c>
      <c r="E15282" t="s">
        <v>13720</v>
      </c>
    </row>
    <row r="15283" spans="1:5" x14ac:dyDescent="0.25">
      <c r="A15283" t="s">
        <v>2</v>
      </c>
      <c r="B15283" t="s">
        <v>3458</v>
      </c>
      <c r="C15283" t="s">
        <v>23490</v>
      </c>
      <c r="D15283" t="str">
        <f>HYPERLINK("https://rhld.insurance.arkansas.gov/NPILookup?Npi=1801388160","1801388160")</f>
        <v>1801388160</v>
      </c>
      <c r="E15283" t="s">
        <v>15578</v>
      </c>
    </row>
    <row r="15284" spans="1:5" x14ac:dyDescent="0.25">
      <c r="A15284" t="s">
        <v>2</v>
      </c>
      <c r="B15284" t="s">
        <v>3458</v>
      </c>
      <c r="C15284" t="s">
        <v>23490</v>
      </c>
      <c r="D15284" t="str">
        <f>HYPERLINK("https://rhld.insurance.arkansas.gov/NPILookup?Npi=1801391826","1801391826")</f>
        <v>1801391826</v>
      </c>
      <c r="E15284" t="s">
        <v>18929</v>
      </c>
    </row>
    <row r="15285" spans="1:5" x14ac:dyDescent="0.25">
      <c r="A15285" t="s">
        <v>2</v>
      </c>
      <c r="B15285" t="s">
        <v>3458</v>
      </c>
      <c r="C15285" t="s">
        <v>23490</v>
      </c>
      <c r="D15285" t="str">
        <f>HYPERLINK("https://rhld.insurance.arkansas.gov/NPILookup?Npi=1801397096","1801397096")</f>
        <v>1801397096</v>
      </c>
      <c r="E15285" t="s">
        <v>17031</v>
      </c>
    </row>
    <row r="15286" spans="1:5" x14ac:dyDescent="0.25">
      <c r="A15286" t="s">
        <v>2</v>
      </c>
      <c r="B15286" t="s">
        <v>3458</v>
      </c>
      <c r="C15286" t="s">
        <v>23490</v>
      </c>
      <c r="D15286" t="str">
        <f>HYPERLINK("https://rhld.insurance.arkansas.gov/NPILookup?Npi=1801407440","1801407440")</f>
        <v>1801407440</v>
      </c>
      <c r="E15286" t="s">
        <v>18867</v>
      </c>
    </row>
    <row r="15287" spans="1:5" x14ac:dyDescent="0.25">
      <c r="A15287" t="s">
        <v>2</v>
      </c>
      <c r="B15287" t="s">
        <v>3458</v>
      </c>
      <c r="C15287" t="s">
        <v>23490</v>
      </c>
      <c r="D15287" t="str">
        <f>HYPERLINK("https://rhld.insurance.arkansas.gov/NPILookup?Npi=1801407747","1801407747")</f>
        <v>1801407747</v>
      </c>
      <c r="E15287" t="s">
        <v>18127</v>
      </c>
    </row>
    <row r="15288" spans="1:5" x14ac:dyDescent="0.25">
      <c r="A15288" t="s">
        <v>2</v>
      </c>
      <c r="B15288" t="s">
        <v>3458</v>
      </c>
      <c r="C15288" t="s">
        <v>8427</v>
      </c>
      <c r="D15288" t="str">
        <f>HYPERLINK("https://rhld.insurance.arkansas.gov/NPILookup?Npi=1801410527","1801410527")</f>
        <v>1801410527</v>
      </c>
      <c r="E15288" t="s">
        <v>22987</v>
      </c>
    </row>
    <row r="15289" spans="1:5" x14ac:dyDescent="0.25">
      <c r="A15289" t="s">
        <v>2</v>
      </c>
      <c r="B15289" t="s">
        <v>3458</v>
      </c>
      <c r="C15289" t="s">
        <v>23490</v>
      </c>
      <c r="D15289" t="str">
        <f>HYPERLINK("https://rhld.insurance.arkansas.gov/NPILookup?Npi=1801415229","1801415229")</f>
        <v>1801415229</v>
      </c>
      <c r="E15289" t="s">
        <v>18218</v>
      </c>
    </row>
    <row r="15290" spans="1:5" x14ac:dyDescent="0.25">
      <c r="A15290" t="s">
        <v>2</v>
      </c>
      <c r="B15290" t="s">
        <v>3458</v>
      </c>
      <c r="C15290" t="s">
        <v>23490</v>
      </c>
      <c r="D15290" t="str">
        <f>HYPERLINK("https://rhld.insurance.arkansas.gov/NPILookup?Npi=1801483037","1801483037")</f>
        <v>1801483037</v>
      </c>
      <c r="E15290" t="s">
        <v>18868</v>
      </c>
    </row>
    <row r="15291" spans="1:5" x14ac:dyDescent="0.25">
      <c r="A15291" t="s">
        <v>2</v>
      </c>
      <c r="B15291" t="s">
        <v>3458</v>
      </c>
      <c r="C15291" t="s">
        <v>8427</v>
      </c>
      <c r="D15291" t="str">
        <f>HYPERLINK("https://rhld.insurance.arkansas.gov/NPILookup?Npi=1801483946","1801483946")</f>
        <v>1801483946</v>
      </c>
      <c r="E15291" t="s">
        <v>22988</v>
      </c>
    </row>
    <row r="15292" spans="1:5" x14ac:dyDescent="0.25">
      <c r="A15292" t="s">
        <v>2</v>
      </c>
      <c r="B15292" t="s">
        <v>3458</v>
      </c>
      <c r="C15292" t="s">
        <v>23490</v>
      </c>
      <c r="D15292" t="str">
        <f>HYPERLINK("https://rhld.insurance.arkansas.gov/NPILookup?Npi=1801508775","1801508775")</f>
        <v>1801508775</v>
      </c>
      <c r="E15292" t="s">
        <v>21758</v>
      </c>
    </row>
    <row r="15293" spans="1:5" x14ac:dyDescent="0.25">
      <c r="A15293" t="s">
        <v>2</v>
      </c>
      <c r="B15293" t="s">
        <v>3458</v>
      </c>
      <c r="C15293" t="s">
        <v>23490</v>
      </c>
      <c r="D15293" t="str">
        <f>HYPERLINK("https://rhld.insurance.arkansas.gov/NPILookup?Npi=1801526751","1801526751")</f>
        <v>1801526751</v>
      </c>
      <c r="E15293" t="s">
        <v>21040</v>
      </c>
    </row>
    <row r="15294" spans="1:5" x14ac:dyDescent="0.25">
      <c r="A15294" t="s">
        <v>2</v>
      </c>
      <c r="B15294" t="s">
        <v>3458</v>
      </c>
      <c r="C15294" t="s">
        <v>23490</v>
      </c>
      <c r="D15294" t="str">
        <f>HYPERLINK("https://rhld.insurance.arkansas.gov/NPILookup?Npi=1801540646","1801540646")</f>
        <v>1801540646</v>
      </c>
      <c r="E15294" t="s">
        <v>20042</v>
      </c>
    </row>
    <row r="15295" spans="1:5" x14ac:dyDescent="0.25">
      <c r="A15295" t="s">
        <v>2</v>
      </c>
      <c r="B15295" t="s">
        <v>3458</v>
      </c>
      <c r="C15295" t="s">
        <v>23490</v>
      </c>
      <c r="D15295" t="str">
        <f>HYPERLINK("https://rhld.insurance.arkansas.gov/NPILookup?Npi=1801826375","1801826375")</f>
        <v>1801826375</v>
      </c>
      <c r="E15295" t="s">
        <v>2817</v>
      </c>
    </row>
    <row r="15296" spans="1:5" x14ac:dyDescent="0.25">
      <c r="A15296" t="s">
        <v>2</v>
      </c>
      <c r="B15296" t="s">
        <v>3458</v>
      </c>
      <c r="C15296" t="s">
        <v>23490</v>
      </c>
      <c r="D15296" t="str">
        <f>HYPERLINK("https://rhld.insurance.arkansas.gov/NPILookup?Npi=1801826961","1801826961")</f>
        <v>1801826961</v>
      </c>
      <c r="E15296" t="s">
        <v>2818</v>
      </c>
    </row>
    <row r="15297" spans="1:5" x14ac:dyDescent="0.25">
      <c r="A15297" t="s">
        <v>2</v>
      </c>
      <c r="B15297" t="s">
        <v>3458</v>
      </c>
      <c r="C15297" t="s">
        <v>23490</v>
      </c>
      <c r="D15297" t="str">
        <f>HYPERLINK("https://rhld.insurance.arkansas.gov/NPILookup?Npi=1801830740","1801830740")</f>
        <v>1801830740</v>
      </c>
      <c r="E15297" t="s">
        <v>3943</v>
      </c>
    </row>
    <row r="15298" spans="1:5" x14ac:dyDescent="0.25">
      <c r="A15298" t="s">
        <v>2</v>
      </c>
      <c r="B15298" t="s">
        <v>3458</v>
      </c>
      <c r="C15298" t="s">
        <v>23490</v>
      </c>
      <c r="D15298" t="str">
        <f>HYPERLINK("https://rhld.insurance.arkansas.gov/NPILookup?Npi=1801835038","1801835038")</f>
        <v>1801835038</v>
      </c>
      <c r="E15298" t="s">
        <v>2819</v>
      </c>
    </row>
    <row r="15299" spans="1:5" x14ac:dyDescent="0.25">
      <c r="A15299" t="s">
        <v>2</v>
      </c>
      <c r="B15299" t="s">
        <v>3458</v>
      </c>
      <c r="C15299" t="s">
        <v>23490</v>
      </c>
      <c r="D15299" t="str">
        <f>HYPERLINK("https://rhld.insurance.arkansas.gov/NPILookup?Npi=1801835343","1801835343")</f>
        <v>1801835343</v>
      </c>
      <c r="E15299" t="s">
        <v>15581</v>
      </c>
    </row>
    <row r="15300" spans="1:5" x14ac:dyDescent="0.25">
      <c r="A15300" t="s">
        <v>2</v>
      </c>
      <c r="B15300" t="s">
        <v>3458</v>
      </c>
      <c r="C15300" t="s">
        <v>23490</v>
      </c>
      <c r="D15300" t="str">
        <f>HYPERLINK("https://rhld.insurance.arkansas.gov/NPILookup?Npi=1801858188","1801858188")</f>
        <v>1801858188</v>
      </c>
      <c r="E15300" t="s">
        <v>2820</v>
      </c>
    </row>
    <row r="15301" spans="1:5" x14ac:dyDescent="0.25">
      <c r="A15301" t="s">
        <v>2</v>
      </c>
      <c r="B15301" t="s">
        <v>3458</v>
      </c>
      <c r="C15301" t="s">
        <v>23490</v>
      </c>
      <c r="D15301" t="str">
        <f>HYPERLINK("https://rhld.insurance.arkansas.gov/NPILookup?Npi=1801860077","1801860077")</f>
        <v>1801860077</v>
      </c>
      <c r="E15301" t="s">
        <v>21759</v>
      </c>
    </row>
    <row r="15302" spans="1:5" x14ac:dyDescent="0.25">
      <c r="A15302" t="s">
        <v>2</v>
      </c>
      <c r="B15302" t="s">
        <v>3458</v>
      </c>
      <c r="C15302" t="s">
        <v>23490</v>
      </c>
      <c r="D15302" t="str">
        <f>HYPERLINK("https://rhld.insurance.arkansas.gov/NPILookup?Npi=1801868666","1801868666")</f>
        <v>1801868666</v>
      </c>
      <c r="E15302" t="s">
        <v>8359</v>
      </c>
    </row>
    <row r="15303" spans="1:5" x14ac:dyDescent="0.25">
      <c r="A15303" t="s">
        <v>2</v>
      </c>
      <c r="B15303" t="s">
        <v>3458</v>
      </c>
      <c r="C15303" t="s">
        <v>23490</v>
      </c>
      <c r="D15303" t="str">
        <f>HYPERLINK("https://rhld.insurance.arkansas.gov/NPILookup?Npi=1801869185","1801869185")</f>
        <v>1801869185</v>
      </c>
      <c r="E15303" t="s">
        <v>2821</v>
      </c>
    </row>
    <row r="15304" spans="1:5" x14ac:dyDescent="0.25">
      <c r="A15304" t="s">
        <v>2</v>
      </c>
      <c r="B15304" t="s">
        <v>3458</v>
      </c>
      <c r="C15304" t="s">
        <v>23490</v>
      </c>
      <c r="D15304" t="str">
        <f>HYPERLINK("https://rhld.insurance.arkansas.gov/NPILookup?Npi=1801873559","1801873559")</f>
        <v>1801873559</v>
      </c>
      <c r="E15304" t="s">
        <v>8990</v>
      </c>
    </row>
    <row r="15305" spans="1:5" x14ac:dyDescent="0.25">
      <c r="A15305" t="s">
        <v>2</v>
      </c>
      <c r="B15305" t="s">
        <v>3458</v>
      </c>
      <c r="C15305" t="s">
        <v>23490</v>
      </c>
      <c r="D15305" t="str">
        <f>HYPERLINK("https://rhld.insurance.arkansas.gov/NPILookup?Npi=1801880059","1801880059")</f>
        <v>1801880059</v>
      </c>
      <c r="E15305" t="s">
        <v>2822</v>
      </c>
    </row>
    <row r="15306" spans="1:5" x14ac:dyDescent="0.25">
      <c r="A15306" t="s">
        <v>2</v>
      </c>
      <c r="B15306" t="s">
        <v>3458</v>
      </c>
      <c r="C15306" t="s">
        <v>23490</v>
      </c>
      <c r="D15306" t="str">
        <f>HYPERLINK("https://rhld.insurance.arkansas.gov/NPILookup?Npi=1801891387","1801891387")</f>
        <v>1801891387</v>
      </c>
      <c r="E15306" t="s">
        <v>18869</v>
      </c>
    </row>
    <row r="15307" spans="1:5" x14ac:dyDescent="0.25">
      <c r="A15307" t="s">
        <v>2</v>
      </c>
      <c r="B15307" t="s">
        <v>3458</v>
      </c>
      <c r="C15307" t="s">
        <v>23490</v>
      </c>
      <c r="D15307" t="str">
        <f>HYPERLINK("https://rhld.insurance.arkansas.gov/NPILookup?Npi=1801895206","1801895206")</f>
        <v>1801895206</v>
      </c>
      <c r="E15307" t="s">
        <v>2824</v>
      </c>
    </row>
    <row r="15308" spans="1:5" x14ac:dyDescent="0.25">
      <c r="A15308" t="s">
        <v>2</v>
      </c>
      <c r="B15308" t="s">
        <v>3458</v>
      </c>
      <c r="C15308" t="s">
        <v>23490</v>
      </c>
      <c r="D15308" t="str">
        <f>HYPERLINK("https://rhld.insurance.arkansas.gov/NPILookup?Npi=1801896220","1801896220")</f>
        <v>1801896220</v>
      </c>
      <c r="E15308" t="s">
        <v>13875</v>
      </c>
    </row>
    <row r="15309" spans="1:5" x14ac:dyDescent="0.25">
      <c r="A15309" t="s">
        <v>2</v>
      </c>
      <c r="B15309" t="s">
        <v>3458</v>
      </c>
      <c r="C15309" t="s">
        <v>23490</v>
      </c>
      <c r="D15309" t="str">
        <f>HYPERLINK("https://rhld.insurance.arkansas.gov/NPILookup?Npi=1801897053","1801897053")</f>
        <v>1801897053</v>
      </c>
      <c r="E15309" t="s">
        <v>2825</v>
      </c>
    </row>
    <row r="15310" spans="1:5" x14ac:dyDescent="0.25">
      <c r="A15310" t="s">
        <v>2</v>
      </c>
      <c r="B15310" t="s">
        <v>3458</v>
      </c>
      <c r="C15310" t="s">
        <v>23490</v>
      </c>
      <c r="D15310" t="str">
        <f>HYPERLINK("https://rhld.insurance.arkansas.gov/NPILookup?Npi=1801898630","1801898630")</f>
        <v>1801898630</v>
      </c>
      <c r="E15310" t="s">
        <v>2826</v>
      </c>
    </row>
    <row r="15311" spans="1:5" x14ac:dyDescent="0.25">
      <c r="A15311" t="s">
        <v>2</v>
      </c>
      <c r="B15311" t="s">
        <v>3458</v>
      </c>
      <c r="C15311" t="s">
        <v>23490</v>
      </c>
      <c r="D15311" t="str">
        <f>HYPERLINK("https://rhld.insurance.arkansas.gov/NPILookup?Npi=1801902309","1801902309")</f>
        <v>1801902309</v>
      </c>
      <c r="E15311" t="s">
        <v>15582</v>
      </c>
    </row>
    <row r="15312" spans="1:5" x14ac:dyDescent="0.25">
      <c r="A15312" t="s">
        <v>2</v>
      </c>
      <c r="B15312" t="s">
        <v>3458</v>
      </c>
      <c r="C15312" t="s">
        <v>23490</v>
      </c>
      <c r="D15312" t="str">
        <f>HYPERLINK("https://rhld.insurance.arkansas.gov/NPILookup?Npi=1801908108","1801908108")</f>
        <v>1801908108</v>
      </c>
      <c r="E15312" t="s">
        <v>2827</v>
      </c>
    </row>
    <row r="15313" spans="1:5" x14ac:dyDescent="0.25">
      <c r="A15313" t="s">
        <v>2</v>
      </c>
      <c r="B15313" t="s">
        <v>3458</v>
      </c>
      <c r="C15313" t="s">
        <v>23490</v>
      </c>
      <c r="D15313" t="str">
        <f>HYPERLINK("https://rhld.insurance.arkansas.gov/NPILookup?Npi=1801938980","1801938980")</f>
        <v>1801938980</v>
      </c>
      <c r="E15313" t="s">
        <v>15907</v>
      </c>
    </row>
    <row r="15314" spans="1:5" x14ac:dyDescent="0.25">
      <c r="A15314" t="s">
        <v>2</v>
      </c>
      <c r="B15314" t="s">
        <v>3458</v>
      </c>
      <c r="C15314" t="s">
        <v>23490</v>
      </c>
      <c r="D15314" t="str">
        <f>HYPERLINK("https://rhld.insurance.arkansas.gov/NPILookup?Npi=1801939558","1801939558")</f>
        <v>1801939558</v>
      </c>
      <c r="E15314" t="s">
        <v>2829</v>
      </c>
    </row>
    <row r="15315" spans="1:5" x14ac:dyDescent="0.25">
      <c r="A15315" t="s">
        <v>2</v>
      </c>
      <c r="B15315" t="s">
        <v>3458</v>
      </c>
      <c r="C15315" t="s">
        <v>23490</v>
      </c>
      <c r="D15315" t="str">
        <f>HYPERLINK("https://rhld.insurance.arkansas.gov/NPILookup?Npi=1801958145","1801958145")</f>
        <v>1801958145</v>
      </c>
      <c r="E15315" t="s">
        <v>2831</v>
      </c>
    </row>
    <row r="15316" spans="1:5" x14ac:dyDescent="0.25">
      <c r="A15316" t="s">
        <v>2</v>
      </c>
      <c r="B15316" t="s">
        <v>3458</v>
      </c>
      <c r="C15316" t="s">
        <v>23490</v>
      </c>
      <c r="D15316" t="str">
        <f>HYPERLINK("https://rhld.insurance.arkansas.gov/NPILookup?Npi=1811001282","1811001282")</f>
        <v>1811001282</v>
      </c>
      <c r="E15316" t="s">
        <v>2833</v>
      </c>
    </row>
    <row r="15317" spans="1:5" x14ac:dyDescent="0.25">
      <c r="A15317" t="s">
        <v>2</v>
      </c>
      <c r="B15317" t="s">
        <v>3458</v>
      </c>
      <c r="C15317" t="s">
        <v>23490</v>
      </c>
      <c r="D15317" t="str">
        <f>HYPERLINK("https://rhld.insurance.arkansas.gov/NPILookup?Npi=1811019854","1811019854")</f>
        <v>1811019854</v>
      </c>
      <c r="E15317" t="s">
        <v>2835</v>
      </c>
    </row>
    <row r="15318" spans="1:5" x14ac:dyDescent="0.25">
      <c r="A15318" t="s">
        <v>2</v>
      </c>
      <c r="B15318" t="s">
        <v>3458</v>
      </c>
      <c r="C15318" t="s">
        <v>23490</v>
      </c>
      <c r="D15318" t="str">
        <f>HYPERLINK("https://rhld.insurance.arkansas.gov/NPILookup?Npi=1811057565","1811057565")</f>
        <v>1811057565</v>
      </c>
      <c r="E15318" t="s">
        <v>3944</v>
      </c>
    </row>
    <row r="15319" spans="1:5" x14ac:dyDescent="0.25">
      <c r="A15319" t="s">
        <v>2</v>
      </c>
      <c r="B15319" t="s">
        <v>3458</v>
      </c>
      <c r="C15319" t="s">
        <v>23490</v>
      </c>
      <c r="D15319" t="str">
        <f>HYPERLINK("https://rhld.insurance.arkansas.gov/NPILookup?Npi=1811074461","1811074461")</f>
        <v>1811074461</v>
      </c>
      <c r="E15319" t="s">
        <v>15583</v>
      </c>
    </row>
    <row r="15320" spans="1:5" x14ac:dyDescent="0.25">
      <c r="A15320" t="s">
        <v>2</v>
      </c>
      <c r="B15320" t="s">
        <v>3458</v>
      </c>
      <c r="C15320" t="s">
        <v>23490</v>
      </c>
      <c r="D15320" t="str">
        <f>HYPERLINK("https://rhld.insurance.arkansas.gov/NPILookup?Npi=1811084296","1811084296")</f>
        <v>1811084296</v>
      </c>
      <c r="E15320" t="s">
        <v>18128</v>
      </c>
    </row>
    <row r="15321" spans="1:5" x14ac:dyDescent="0.25">
      <c r="A15321" t="s">
        <v>2</v>
      </c>
      <c r="B15321" t="s">
        <v>3458</v>
      </c>
      <c r="C15321" t="s">
        <v>23490</v>
      </c>
      <c r="D15321" t="str">
        <f>HYPERLINK("https://rhld.insurance.arkansas.gov/NPILookup?Npi=1811090848","1811090848")</f>
        <v>1811090848</v>
      </c>
      <c r="E15321" t="s">
        <v>8311</v>
      </c>
    </row>
    <row r="15322" spans="1:5" x14ac:dyDescent="0.25">
      <c r="A15322" t="s">
        <v>2</v>
      </c>
      <c r="B15322" t="s">
        <v>3458</v>
      </c>
      <c r="C15322" t="s">
        <v>23490</v>
      </c>
      <c r="D15322" t="str">
        <f>HYPERLINK("https://rhld.insurance.arkansas.gov/NPILookup?Npi=1811098403","1811098403")</f>
        <v>1811098403</v>
      </c>
      <c r="E15322" t="s">
        <v>2840</v>
      </c>
    </row>
    <row r="15323" spans="1:5" x14ac:dyDescent="0.25">
      <c r="A15323" t="s">
        <v>2</v>
      </c>
      <c r="B15323" t="s">
        <v>3458</v>
      </c>
      <c r="C15323" t="s">
        <v>23490</v>
      </c>
      <c r="D15323" t="str">
        <f>HYPERLINK("https://rhld.insurance.arkansas.gov/NPILookup?Npi=1811130867","1811130867")</f>
        <v>1811130867</v>
      </c>
      <c r="E15323" t="s">
        <v>2841</v>
      </c>
    </row>
    <row r="15324" spans="1:5" x14ac:dyDescent="0.25">
      <c r="A15324" t="s">
        <v>2</v>
      </c>
      <c r="B15324" t="s">
        <v>3458</v>
      </c>
      <c r="C15324" t="s">
        <v>23490</v>
      </c>
      <c r="D15324" t="str">
        <f>HYPERLINK("https://rhld.insurance.arkansas.gov/NPILookup?Npi=1811200959","1811200959")</f>
        <v>1811200959</v>
      </c>
      <c r="E15324" t="s">
        <v>2843</v>
      </c>
    </row>
    <row r="15325" spans="1:5" x14ac:dyDescent="0.25">
      <c r="A15325" t="s">
        <v>2</v>
      </c>
      <c r="B15325" t="s">
        <v>3458</v>
      </c>
      <c r="C15325" t="s">
        <v>23490</v>
      </c>
      <c r="D15325" t="str">
        <f>HYPERLINK("https://rhld.insurance.arkansas.gov/NPILookup?Npi=1811230691","1811230691")</f>
        <v>1811230691</v>
      </c>
      <c r="E15325" t="s">
        <v>2845</v>
      </c>
    </row>
    <row r="15326" spans="1:5" x14ac:dyDescent="0.25">
      <c r="A15326" t="s">
        <v>2</v>
      </c>
      <c r="B15326" t="s">
        <v>3458</v>
      </c>
      <c r="C15326" t="s">
        <v>23490</v>
      </c>
      <c r="D15326" t="str">
        <f>HYPERLINK("https://rhld.insurance.arkansas.gov/NPILookup?Npi=1811234594","1811234594")</f>
        <v>1811234594</v>
      </c>
      <c r="E15326" t="s">
        <v>11288</v>
      </c>
    </row>
    <row r="15327" spans="1:5" x14ac:dyDescent="0.25">
      <c r="A15327" t="s">
        <v>2</v>
      </c>
      <c r="B15327" t="s">
        <v>3458</v>
      </c>
      <c r="C15327" t="s">
        <v>23490</v>
      </c>
      <c r="D15327" t="str">
        <f>HYPERLINK("https://rhld.insurance.arkansas.gov/NPILookup?Npi=1811236334","1811236334")</f>
        <v>1811236334</v>
      </c>
      <c r="E15327" t="s">
        <v>13722</v>
      </c>
    </row>
    <row r="15328" spans="1:5" x14ac:dyDescent="0.25">
      <c r="A15328" t="s">
        <v>2</v>
      </c>
      <c r="B15328" t="s">
        <v>3458</v>
      </c>
      <c r="C15328" t="s">
        <v>23490</v>
      </c>
      <c r="D15328" t="str">
        <f>HYPERLINK("https://rhld.insurance.arkansas.gov/NPILookup?Npi=1811236789","1811236789")</f>
        <v>1811236789</v>
      </c>
      <c r="E15328" t="s">
        <v>2846</v>
      </c>
    </row>
    <row r="15329" spans="1:5" x14ac:dyDescent="0.25">
      <c r="A15329" t="s">
        <v>2</v>
      </c>
      <c r="B15329" t="s">
        <v>3458</v>
      </c>
      <c r="C15329" t="s">
        <v>23490</v>
      </c>
      <c r="D15329" t="str">
        <f>HYPERLINK("https://rhld.insurance.arkansas.gov/NPILookup?Npi=1811246127","1811246127")</f>
        <v>1811246127</v>
      </c>
      <c r="E15329" t="s">
        <v>2847</v>
      </c>
    </row>
    <row r="15330" spans="1:5" x14ac:dyDescent="0.25">
      <c r="A15330" t="s">
        <v>2</v>
      </c>
      <c r="B15330" t="s">
        <v>3458</v>
      </c>
      <c r="C15330" t="s">
        <v>23490</v>
      </c>
      <c r="D15330" t="str">
        <f>HYPERLINK("https://rhld.insurance.arkansas.gov/NPILookup?Npi=1811286750","1811286750")</f>
        <v>1811286750</v>
      </c>
      <c r="E15330" t="s">
        <v>2850</v>
      </c>
    </row>
    <row r="15331" spans="1:5" x14ac:dyDescent="0.25">
      <c r="A15331" t="s">
        <v>2</v>
      </c>
      <c r="B15331" t="s">
        <v>3458</v>
      </c>
      <c r="C15331" t="s">
        <v>23490</v>
      </c>
      <c r="D15331" t="str">
        <f>HYPERLINK("https://rhld.insurance.arkansas.gov/NPILookup?Npi=1811293756","1811293756")</f>
        <v>1811293756</v>
      </c>
      <c r="E15331" t="s">
        <v>8867</v>
      </c>
    </row>
    <row r="15332" spans="1:5" x14ac:dyDescent="0.25">
      <c r="A15332" t="s">
        <v>2</v>
      </c>
      <c r="B15332" t="s">
        <v>3458</v>
      </c>
      <c r="C15332" t="s">
        <v>23490</v>
      </c>
      <c r="D15332" t="str">
        <f>HYPERLINK("https://rhld.insurance.arkansas.gov/NPILookup?Npi=1811312960","1811312960")</f>
        <v>1811312960</v>
      </c>
      <c r="E15332" t="s">
        <v>8868</v>
      </c>
    </row>
    <row r="15333" spans="1:5" x14ac:dyDescent="0.25">
      <c r="A15333" t="s">
        <v>2</v>
      </c>
      <c r="B15333" t="s">
        <v>3458</v>
      </c>
      <c r="C15333" t="s">
        <v>23490</v>
      </c>
      <c r="D15333" t="str">
        <f>HYPERLINK("https://rhld.insurance.arkansas.gov/NPILookup?Npi=1811313554","1811313554")</f>
        <v>1811313554</v>
      </c>
      <c r="E15333" t="s">
        <v>12913</v>
      </c>
    </row>
    <row r="15334" spans="1:5" x14ac:dyDescent="0.25">
      <c r="A15334" t="s">
        <v>2</v>
      </c>
      <c r="B15334" t="s">
        <v>3458</v>
      </c>
      <c r="C15334" t="s">
        <v>23490</v>
      </c>
      <c r="D15334" t="str">
        <f>HYPERLINK("https://rhld.insurance.arkansas.gov/NPILookup?Npi=1811315310","1811315310")</f>
        <v>1811315310</v>
      </c>
      <c r="E15334" t="s">
        <v>11480</v>
      </c>
    </row>
    <row r="15335" spans="1:5" x14ac:dyDescent="0.25">
      <c r="A15335" t="s">
        <v>2</v>
      </c>
      <c r="B15335" t="s">
        <v>3458</v>
      </c>
      <c r="C15335" t="s">
        <v>23490</v>
      </c>
      <c r="D15335" t="str">
        <f>HYPERLINK("https://rhld.insurance.arkansas.gov/NPILookup?Npi=1811319783","1811319783")</f>
        <v>1811319783</v>
      </c>
      <c r="E15335" t="s">
        <v>2851</v>
      </c>
    </row>
    <row r="15336" spans="1:5" x14ac:dyDescent="0.25">
      <c r="A15336" t="s">
        <v>2</v>
      </c>
      <c r="B15336" t="s">
        <v>3458</v>
      </c>
      <c r="C15336" t="s">
        <v>23490</v>
      </c>
      <c r="D15336" t="str">
        <f>HYPERLINK("https://rhld.insurance.arkansas.gov/NPILookup?Npi=1811331754","1811331754")</f>
        <v>1811331754</v>
      </c>
      <c r="E15336" t="s">
        <v>8870</v>
      </c>
    </row>
    <row r="15337" spans="1:5" x14ac:dyDescent="0.25">
      <c r="A15337" t="s">
        <v>2</v>
      </c>
      <c r="B15337" t="s">
        <v>3458</v>
      </c>
      <c r="C15337" t="s">
        <v>23490</v>
      </c>
      <c r="D15337" t="str">
        <f>HYPERLINK("https://rhld.insurance.arkansas.gov/NPILookup?Npi=1811336423","1811336423")</f>
        <v>1811336423</v>
      </c>
      <c r="E15337" t="s">
        <v>17480</v>
      </c>
    </row>
    <row r="15338" spans="1:5" x14ac:dyDescent="0.25">
      <c r="A15338" t="s">
        <v>2</v>
      </c>
      <c r="B15338" t="s">
        <v>3458</v>
      </c>
      <c r="C15338" t="s">
        <v>23490</v>
      </c>
      <c r="D15338" t="str">
        <f>HYPERLINK("https://rhld.insurance.arkansas.gov/NPILookup?Npi=1811339054","1811339054")</f>
        <v>1811339054</v>
      </c>
      <c r="E15338" t="s">
        <v>11289</v>
      </c>
    </row>
    <row r="15339" spans="1:5" x14ac:dyDescent="0.25">
      <c r="A15339" t="s">
        <v>2</v>
      </c>
      <c r="B15339" t="s">
        <v>3458</v>
      </c>
      <c r="C15339" t="s">
        <v>23490</v>
      </c>
      <c r="D15339" t="str">
        <f>HYPERLINK("https://rhld.insurance.arkansas.gov/NPILookup?Npi=1811346158","1811346158")</f>
        <v>1811346158</v>
      </c>
      <c r="E15339" t="s">
        <v>17517</v>
      </c>
    </row>
    <row r="15340" spans="1:5" x14ac:dyDescent="0.25">
      <c r="A15340" t="s">
        <v>2</v>
      </c>
      <c r="B15340" t="s">
        <v>3458</v>
      </c>
      <c r="C15340" t="s">
        <v>23490</v>
      </c>
      <c r="D15340" t="str">
        <f>HYPERLINK("https://rhld.insurance.arkansas.gov/NPILookup?Npi=1811348519","1811348519")</f>
        <v>1811348519</v>
      </c>
      <c r="E15340" t="s">
        <v>11290</v>
      </c>
    </row>
    <row r="15341" spans="1:5" x14ac:dyDescent="0.25">
      <c r="A15341" t="s">
        <v>2</v>
      </c>
      <c r="B15341" t="s">
        <v>3458</v>
      </c>
      <c r="C15341" t="s">
        <v>23490</v>
      </c>
      <c r="D15341" t="str">
        <f>HYPERLINK("https://rhld.insurance.arkansas.gov/NPILookup?Npi=1811356645","1811356645")</f>
        <v>1811356645</v>
      </c>
      <c r="E15341" t="s">
        <v>8871</v>
      </c>
    </row>
    <row r="15342" spans="1:5" x14ac:dyDescent="0.25">
      <c r="A15342" t="s">
        <v>2</v>
      </c>
      <c r="B15342" t="s">
        <v>3458</v>
      </c>
      <c r="C15342" t="s">
        <v>23490</v>
      </c>
      <c r="D15342" t="str">
        <f>HYPERLINK("https://rhld.insurance.arkansas.gov/NPILookup?Npi=1811356751","1811356751")</f>
        <v>1811356751</v>
      </c>
      <c r="E15342" t="s">
        <v>13724</v>
      </c>
    </row>
    <row r="15343" spans="1:5" x14ac:dyDescent="0.25">
      <c r="A15343" t="s">
        <v>2</v>
      </c>
      <c r="B15343" t="s">
        <v>3458</v>
      </c>
      <c r="C15343" t="s">
        <v>23490</v>
      </c>
      <c r="D15343" t="str">
        <f>HYPERLINK("https://rhld.insurance.arkansas.gov/NPILookup?Npi=1811362510","1811362510")</f>
        <v>1811362510</v>
      </c>
      <c r="E15343" t="s">
        <v>21088</v>
      </c>
    </row>
    <row r="15344" spans="1:5" x14ac:dyDescent="0.25">
      <c r="A15344" t="s">
        <v>2</v>
      </c>
      <c r="B15344" t="s">
        <v>3458</v>
      </c>
      <c r="C15344" t="s">
        <v>23490</v>
      </c>
      <c r="D15344" t="str">
        <f>HYPERLINK("https://rhld.insurance.arkansas.gov/NPILookup?Npi=1811363070","1811363070")</f>
        <v>1811363070</v>
      </c>
      <c r="E15344" t="s">
        <v>2853</v>
      </c>
    </row>
    <row r="15345" spans="1:5" x14ac:dyDescent="0.25">
      <c r="A15345" t="s">
        <v>2</v>
      </c>
      <c r="B15345" t="s">
        <v>3458</v>
      </c>
      <c r="C15345" t="s">
        <v>23490</v>
      </c>
      <c r="D15345" t="str">
        <f>HYPERLINK("https://rhld.insurance.arkansas.gov/NPILookup?Npi=1811364995","1811364995")</f>
        <v>1811364995</v>
      </c>
      <c r="E15345" t="s">
        <v>11291</v>
      </c>
    </row>
    <row r="15346" spans="1:5" x14ac:dyDescent="0.25">
      <c r="A15346" t="s">
        <v>2</v>
      </c>
      <c r="B15346" t="s">
        <v>3458</v>
      </c>
      <c r="C15346" t="s">
        <v>23490</v>
      </c>
      <c r="D15346" t="str">
        <f>HYPERLINK("https://rhld.insurance.arkansas.gov/NPILookup?Npi=1811372204","1811372204")</f>
        <v>1811372204</v>
      </c>
      <c r="E15346" t="s">
        <v>8872</v>
      </c>
    </row>
    <row r="15347" spans="1:5" x14ac:dyDescent="0.25">
      <c r="A15347" t="s">
        <v>2</v>
      </c>
      <c r="B15347" t="s">
        <v>3458</v>
      </c>
      <c r="C15347" t="s">
        <v>23490</v>
      </c>
      <c r="D15347" t="str">
        <f>HYPERLINK("https://rhld.insurance.arkansas.gov/NPILookup?Npi=1811385206","1811385206")</f>
        <v>1811385206</v>
      </c>
      <c r="E15347" t="s">
        <v>11292</v>
      </c>
    </row>
    <row r="15348" spans="1:5" x14ac:dyDescent="0.25">
      <c r="A15348" t="s">
        <v>2</v>
      </c>
      <c r="B15348" t="s">
        <v>3458</v>
      </c>
      <c r="C15348" t="s">
        <v>23490</v>
      </c>
      <c r="D15348" t="str">
        <f>HYPERLINK("https://rhld.insurance.arkansas.gov/NPILookup?Npi=1811388739","1811388739")</f>
        <v>1811388739</v>
      </c>
      <c r="E15348" t="s">
        <v>8873</v>
      </c>
    </row>
    <row r="15349" spans="1:5" x14ac:dyDescent="0.25">
      <c r="A15349" t="s">
        <v>2</v>
      </c>
      <c r="B15349" t="s">
        <v>3458</v>
      </c>
      <c r="C15349" t="s">
        <v>23490</v>
      </c>
      <c r="D15349" t="str">
        <f>HYPERLINK("https://rhld.insurance.arkansas.gov/NPILookup?Npi=1811388945","1811388945")</f>
        <v>1811388945</v>
      </c>
      <c r="E15349" t="s">
        <v>17033</v>
      </c>
    </row>
    <row r="15350" spans="1:5" x14ac:dyDescent="0.25">
      <c r="A15350" t="s">
        <v>2</v>
      </c>
      <c r="B15350" t="s">
        <v>3458</v>
      </c>
      <c r="C15350" t="s">
        <v>23490</v>
      </c>
      <c r="D15350" t="str">
        <f>HYPERLINK("https://rhld.insurance.arkansas.gov/NPILookup?Npi=1811401193","1811401193")</f>
        <v>1811401193</v>
      </c>
      <c r="E15350" t="s">
        <v>12914</v>
      </c>
    </row>
    <row r="15351" spans="1:5" x14ac:dyDescent="0.25">
      <c r="A15351" t="s">
        <v>2</v>
      </c>
      <c r="B15351" t="s">
        <v>3458</v>
      </c>
      <c r="C15351" t="s">
        <v>23490</v>
      </c>
      <c r="D15351" t="str">
        <f>HYPERLINK("https://rhld.insurance.arkansas.gov/NPILookup?Npi=1811401318","1811401318")</f>
        <v>1811401318</v>
      </c>
      <c r="E15351" t="s">
        <v>12915</v>
      </c>
    </row>
    <row r="15352" spans="1:5" x14ac:dyDescent="0.25">
      <c r="A15352" t="s">
        <v>2</v>
      </c>
      <c r="B15352" t="s">
        <v>3458</v>
      </c>
      <c r="C15352" t="s">
        <v>23490</v>
      </c>
      <c r="D15352" t="str">
        <f>HYPERLINK("https://rhld.insurance.arkansas.gov/NPILookup?Npi=1811404551","1811404551")</f>
        <v>1811404551</v>
      </c>
      <c r="E15352" t="s">
        <v>12916</v>
      </c>
    </row>
    <row r="15353" spans="1:5" x14ac:dyDescent="0.25">
      <c r="A15353" t="s">
        <v>2</v>
      </c>
      <c r="B15353" t="s">
        <v>3458</v>
      </c>
      <c r="C15353" t="s">
        <v>23490</v>
      </c>
      <c r="D15353" t="str">
        <f>HYPERLINK("https://rhld.insurance.arkansas.gov/NPILookup?Npi=1811416910","1811416910")</f>
        <v>1811416910</v>
      </c>
      <c r="E15353" t="s">
        <v>11293</v>
      </c>
    </row>
    <row r="15354" spans="1:5" x14ac:dyDescent="0.25">
      <c r="A15354" t="s">
        <v>2</v>
      </c>
      <c r="B15354" t="s">
        <v>3458</v>
      </c>
      <c r="C15354" t="s">
        <v>23490</v>
      </c>
      <c r="D15354" t="str">
        <f>HYPERLINK("https://rhld.insurance.arkansas.gov/NPILookup?Npi=1811420730","1811420730")</f>
        <v>1811420730</v>
      </c>
      <c r="E15354" t="s">
        <v>18870</v>
      </c>
    </row>
    <row r="15355" spans="1:5" x14ac:dyDescent="0.25">
      <c r="A15355" t="s">
        <v>2</v>
      </c>
      <c r="B15355" t="s">
        <v>3458</v>
      </c>
      <c r="C15355" t="s">
        <v>23490</v>
      </c>
      <c r="D15355" t="str">
        <f>HYPERLINK("https://rhld.insurance.arkansas.gov/NPILookup?Npi=1811421431","1811421431")</f>
        <v>1811421431</v>
      </c>
      <c r="E15355" t="s">
        <v>17481</v>
      </c>
    </row>
    <row r="15356" spans="1:5" x14ac:dyDescent="0.25">
      <c r="A15356" t="s">
        <v>2</v>
      </c>
      <c r="B15356" t="s">
        <v>3458</v>
      </c>
      <c r="C15356" t="s">
        <v>23490</v>
      </c>
      <c r="D15356" t="str">
        <f>HYPERLINK("https://rhld.insurance.arkansas.gov/NPILookup?Npi=1811442247","1811442247")</f>
        <v>1811442247</v>
      </c>
      <c r="E15356" t="s">
        <v>21655</v>
      </c>
    </row>
    <row r="15357" spans="1:5" x14ac:dyDescent="0.25">
      <c r="A15357" t="s">
        <v>2</v>
      </c>
      <c r="B15357" t="s">
        <v>3458</v>
      </c>
      <c r="C15357" t="s">
        <v>23490</v>
      </c>
      <c r="D15357" t="str">
        <f>HYPERLINK("https://rhld.insurance.arkansas.gov/NPILookup?Npi=1811443526","1811443526")</f>
        <v>1811443526</v>
      </c>
      <c r="E15357" t="s">
        <v>8874</v>
      </c>
    </row>
    <row r="15358" spans="1:5" x14ac:dyDescent="0.25">
      <c r="A15358" t="s">
        <v>2</v>
      </c>
      <c r="B15358" t="s">
        <v>3458</v>
      </c>
      <c r="C15358" t="s">
        <v>23490</v>
      </c>
      <c r="D15358" t="str">
        <f>HYPERLINK("https://rhld.insurance.arkansas.gov/NPILookup?Npi=1811462138","1811462138")</f>
        <v>1811462138</v>
      </c>
      <c r="E15358" t="s">
        <v>15585</v>
      </c>
    </row>
    <row r="15359" spans="1:5" x14ac:dyDescent="0.25">
      <c r="A15359" t="s">
        <v>2</v>
      </c>
      <c r="B15359" t="s">
        <v>3458</v>
      </c>
      <c r="C15359" t="s">
        <v>23490</v>
      </c>
      <c r="D15359" t="str">
        <f>HYPERLINK("https://rhld.insurance.arkansas.gov/NPILookup?Npi=1811472822","1811472822")</f>
        <v>1811472822</v>
      </c>
      <c r="E15359" t="s">
        <v>15586</v>
      </c>
    </row>
    <row r="15360" spans="1:5" x14ac:dyDescent="0.25">
      <c r="A15360" t="s">
        <v>2</v>
      </c>
      <c r="B15360" t="s">
        <v>3458</v>
      </c>
      <c r="C15360" t="s">
        <v>23490</v>
      </c>
      <c r="D15360" t="str">
        <f>HYPERLINK("https://rhld.insurance.arkansas.gov/NPILookup?Npi=1811494974","1811494974")</f>
        <v>1811494974</v>
      </c>
      <c r="E15360" t="s">
        <v>18130</v>
      </c>
    </row>
    <row r="15361" spans="1:5" x14ac:dyDescent="0.25">
      <c r="A15361" t="s">
        <v>2</v>
      </c>
      <c r="B15361" t="s">
        <v>3458</v>
      </c>
      <c r="C15361" t="s">
        <v>23490</v>
      </c>
      <c r="D15361" t="str">
        <f>HYPERLINK("https://rhld.insurance.arkansas.gov/NPILookup?Npi=1811496052","1811496052")</f>
        <v>1811496052</v>
      </c>
      <c r="E15361" t="s">
        <v>13727</v>
      </c>
    </row>
    <row r="15362" spans="1:5" x14ac:dyDescent="0.25">
      <c r="A15362" t="s">
        <v>2</v>
      </c>
      <c r="B15362" t="s">
        <v>3458</v>
      </c>
      <c r="C15362" t="s">
        <v>23490</v>
      </c>
      <c r="D15362" t="str">
        <f>HYPERLINK("https://rhld.insurance.arkansas.gov/NPILookup?Npi=1811504038","1811504038")</f>
        <v>1811504038</v>
      </c>
      <c r="E15362" t="s">
        <v>20045</v>
      </c>
    </row>
    <row r="15363" spans="1:5" x14ac:dyDescent="0.25">
      <c r="A15363" t="s">
        <v>2</v>
      </c>
      <c r="B15363" t="s">
        <v>3458</v>
      </c>
      <c r="C15363" t="s">
        <v>23490</v>
      </c>
      <c r="D15363" t="str">
        <f>HYPERLINK("https://rhld.insurance.arkansas.gov/NPILookup?Npi=1811517972","1811517972")</f>
        <v>1811517972</v>
      </c>
      <c r="E15363" t="s">
        <v>18132</v>
      </c>
    </row>
    <row r="15364" spans="1:5" x14ac:dyDescent="0.25">
      <c r="A15364" t="s">
        <v>2</v>
      </c>
      <c r="B15364" t="s">
        <v>3458</v>
      </c>
      <c r="C15364" t="s">
        <v>8427</v>
      </c>
      <c r="D15364" t="str">
        <f>HYPERLINK("https://rhld.insurance.arkansas.gov/NPILookup?Npi=1811525017","1811525017")</f>
        <v>1811525017</v>
      </c>
      <c r="E15364" t="s">
        <v>22989</v>
      </c>
    </row>
    <row r="15365" spans="1:5" x14ac:dyDescent="0.25">
      <c r="A15365" t="s">
        <v>2</v>
      </c>
      <c r="B15365" t="s">
        <v>3458</v>
      </c>
      <c r="C15365" t="s">
        <v>23490</v>
      </c>
      <c r="D15365" t="str">
        <f>HYPERLINK("https://rhld.insurance.arkansas.gov/NPILookup?Npi=1811536931","1811536931")</f>
        <v>1811536931</v>
      </c>
      <c r="E15365" t="s">
        <v>18134</v>
      </c>
    </row>
    <row r="15366" spans="1:5" x14ac:dyDescent="0.25">
      <c r="A15366" t="s">
        <v>2</v>
      </c>
      <c r="B15366" t="s">
        <v>3458</v>
      </c>
      <c r="C15366" t="s">
        <v>23490</v>
      </c>
      <c r="D15366" t="str">
        <f>HYPERLINK("https://rhld.insurance.arkansas.gov/NPILookup?Npi=1811550031","1811550031")</f>
        <v>1811550031</v>
      </c>
      <c r="E15366" t="s">
        <v>17036</v>
      </c>
    </row>
    <row r="15367" spans="1:5" x14ac:dyDescent="0.25">
      <c r="A15367" t="s">
        <v>2</v>
      </c>
      <c r="B15367" t="s">
        <v>3458</v>
      </c>
      <c r="C15367" t="s">
        <v>23490</v>
      </c>
      <c r="D15367" t="str">
        <f>HYPERLINK("https://rhld.insurance.arkansas.gov/NPILookup?Npi=1811561921","1811561921")</f>
        <v>1811561921</v>
      </c>
      <c r="E15367" t="s">
        <v>20047</v>
      </c>
    </row>
    <row r="15368" spans="1:5" x14ac:dyDescent="0.25">
      <c r="A15368" t="s">
        <v>2</v>
      </c>
      <c r="B15368" t="s">
        <v>3458</v>
      </c>
      <c r="C15368" t="s">
        <v>23490</v>
      </c>
      <c r="D15368" t="str">
        <f>HYPERLINK("https://rhld.insurance.arkansas.gov/NPILookup?Npi=1811579386","1811579386")</f>
        <v>1811579386</v>
      </c>
      <c r="E15368" t="s">
        <v>21042</v>
      </c>
    </row>
    <row r="15369" spans="1:5" x14ac:dyDescent="0.25">
      <c r="A15369" t="s">
        <v>2</v>
      </c>
      <c r="B15369" t="s">
        <v>3458</v>
      </c>
      <c r="C15369" t="s">
        <v>23490</v>
      </c>
      <c r="D15369" t="str">
        <f>HYPERLINK("https://rhld.insurance.arkansas.gov/NPILookup?Npi=1811630304","1811630304")</f>
        <v>1811630304</v>
      </c>
      <c r="E15369" t="s">
        <v>20048</v>
      </c>
    </row>
    <row r="15370" spans="1:5" x14ac:dyDescent="0.25">
      <c r="A15370" t="s">
        <v>2</v>
      </c>
      <c r="B15370" t="s">
        <v>3458</v>
      </c>
      <c r="C15370" t="s">
        <v>23490</v>
      </c>
      <c r="D15370" t="str">
        <f>HYPERLINK("https://rhld.insurance.arkansas.gov/NPILookup?Npi=1811633845","1811633845")</f>
        <v>1811633845</v>
      </c>
      <c r="E15370" t="s">
        <v>20596</v>
      </c>
    </row>
    <row r="15371" spans="1:5" x14ac:dyDescent="0.25">
      <c r="A15371" t="s">
        <v>2</v>
      </c>
      <c r="B15371" t="s">
        <v>3458</v>
      </c>
      <c r="C15371" t="s">
        <v>23490</v>
      </c>
      <c r="D15371" t="str">
        <f>HYPERLINK("https://rhld.insurance.arkansas.gov/NPILookup?Npi=1811635634","1811635634")</f>
        <v>1811635634</v>
      </c>
      <c r="E15371" t="s">
        <v>21043</v>
      </c>
    </row>
    <row r="15372" spans="1:5" x14ac:dyDescent="0.25">
      <c r="A15372" t="s">
        <v>2</v>
      </c>
      <c r="B15372" t="s">
        <v>3458</v>
      </c>
      <c r="C15372" t="s">
        <v>23490</v>
      </c>
      <c r="D15372" t="str">
        <f>HYPERLINK("https://rhld.insurance.arkansas.gov/NPILookup?Npi=1811638919","1811638919")</f>
        <v>1811638919</v>
      </c>
      <c r="E15372" t="s">
        <v>20049</v>
      </c>
    </row>
    <row r="15373" spans="1:5" x14ac:dyDescent="0.25">
      <c r="A15373" t="s">
        <v>2</v>
      </c>
      <c r="B15373" t="s">
        <v>3458</v>
      </c>
      <c r="C15373" t="s">
        <v>23490</v>
      </c>
      <c r="D15373" t="str">
        <f>HYPERLINK("https://rhld.insurance.arkansas.gov/NPILookup?Npi=1811639008","1811639008")</f>
        <v>1811639008</v>
      </c>
      <c r="E15373" t="s">
        <v>21044</v>
      </c>
    </row>
    <row r="15374" spans="1:5" x14ac:dyDescent="0.25">
      <c r="A15374" t="s">
        <v>2</v>
      </c>
      <c r="B15374" t="s">
        <v>3458</v>
      </c>
      <c r="C15374" t="s">
        <v>23490</v>
      </c>
      <c r="D15374" t="str">
        <f>HYPERLINK("https://rhld.insurance.arkansas.gov/NPILookup?Npi=1811916448","1811916448")</f>
        <v>1811916448</v>
      </c>
      <c r="E15374" t="s">
        <v>2854</v>
      </c>
    </row>
    <row r="15375" spans="1:5" x14ac:dyDescent="0.25">
      <c r="A15375" t="s">
        <v>2</v>
      </c>
      <c r="B15375" t="s">
        <v>3458</v>
      </c>
      <c r="C15375" t="s">
        <v>23490</v>
      </c>
      <c r="D15375" t="str">
        <f>HYPERLINK("https://rhld.insurance.arkansas.gov/NPILookup?Npi=1811918246","1811918246")</f>
        <v>1811918246</v>
      </c>
      <c r="E15375" t="s">
        <v>15590</v>
      </c>
    </row>
    <row r="15376" spans="1:5" x14ac:dyDescent="0.25">
      <c r="A15376" t="s">
        <v>2</v>
      </c>
      <c r="B15376" t="s">
        <v>3458</v>
      </c>
      <c r="C15376" t="s">
        <v>23490</v>
      </c>
      <c r="D15376" t="str">
        <f>HYPERLINK("https://rhld.insurance.arkansas.gov/NPILookup?Npi=1811921455","1811921455")</f>
        <v>1811921455</v>
      </c>
      <c r="E15376" t="s">
        <v>2855</v>
      </c>
    </row>
    <row r="15377" spans="1:5" x14ac:dyDescent="0.25">
      <c r="A15377" t="s">
        <v>2</v>
      </c>
      <c r="B15377" t="s">
        <v>3458</v>
      </c>
      <c r="C15377" t="s">
        <v>23490</v>
      </c>
      <c r="D15377" t="str">
        <f>HYPERLINK("https://rhld.insurance.arkansas.gov/NPILookup?Npi=1811925910","1811925910")</f>
        <v>1811925910</v>
      </c>
      <c r="E15377" t="s">
        <v>2856</v>
      </c>
    </row>
    <row r="15378" spans="1:5" x14ac:dyDescent="0.25">
      <c r="A15378" t="s">
        <v>2</v>
      </c>
      <c r="B15378" t="s">
        <v>3458</v>
      </c>
      <c r="C15378" t="s">
        <v>23490</v>
      </c>
      <c r="D15378" t="str">
        <f>HYPERLINK("https://rhld.insurance.arkansas.gov/NPILookup?Npi=1811930928","1811930928")</f>
        <v>1811930928</v>
      </c>
      <c r="E15378" t="s">
        <v>3945</v>
      </c>
    </row>
    <row r="15379" spans="1:5" x14ac:dyDescent="0.25">
      <c r="A15379" t="s">
        <v>2</v>
      </c>
      <c r="B15379" t="s">
        <v>3458</v>
      </c>
      <c r="C15379" t="s">
        <v>23490</v>
      </c>
      <c r="D15379" t="str">
        <f>HYPERLINK("https://rhld.insurance.arkansas.gov/NPILookup?Npi=1811931397","1811931397")</f>
        <v>1811931397</v>
      </c>
      <c r="E15379" t="s">
        <v>8875</v>
      </c>
    </row>
    <row r="15380" spans="1:5" x14ac:dyDescent="0.25">
      <c r="A15380" t="s">
        <v>2</v>
      </c>
      <c r="B15380" t="s">
        <v>3458</v>
      </c>
      <c r="C15380" t="s">
        <v>23490</v>
      </c>
      <c r="D15380" t="str">
        <f>HYPERLINK("https://rhld.insurance.arkansas.gov/NPILookup?Npi=1811932601","1811932601")</f>
        <v>1811932601</v>
      </c>
      <c r="E15380" t="s">
        <v>13728</v>
      </c>
    </row>
    <row r="15381" spans="1:5" x14ac:dyDescent="0.25">
      <c r="A15381" t="s">
        <v>2</v>
      </c>
      <c r="B15381" t="s">
        <v>3458</v>
      </c>
      <c r="C15381" t="s">
        <v>23490</v>
      </c>
      <c r="D15381" t="str">
        <f>HYPERLINK("https://rhld.insurance.arkansas.gov/NPILookup?Npi=1811938905","1811938905")</f>
        <v>1811938905</v>
      </c>
      <c r="E15381" t="s">
        <v>21658</v>
      </c>
    </row>
    <row r="15382" spans="1:5" x14ac:dyDescent="0.25">
      <c r="A15382" t="s">
        <v>2</v>
      </c>
      <c r="B15382" t="s">
        <v>3458</v>
      </c>
      <c r="C15382" t="s">
        <v>23490</v>
      </c>
      <c r="D15382" t="str">
        <f>HYPERLINK("https://rhld.insurance.arkansas.gov/NPILookup?Npi=1811953177","1811953177")</f>
        <v>1811953177</v>
      </c>
      <c r="E15382" t="s">
        <v>2858</v>
      </c>
    </row>
    <row r="15383" spans="1:5" x14ac:dyDescent="0.25">
      <c r="A15383" t="s">
        <v>2</v>
      </c>
      <c r="B15383" t="s">
        <v>3458</v>
      </c>
      <c r="C15383" t="s">
        <v>23490</v>
      </c>
      <c r="D15383" t="str">
        <f>HYPERLINK("https://rhld.insurance.arkansas.gov/NPILookup?Npi=1811953888","1811953888")</f>
        <v>1811953888</v>
      </c>
      <c r="E15383" t="s">
        <v>15591</v>
      </c>
    </row>
    <row r="15384" spans="1:5" x14ac:dyDescent="0.25">
      <c r="A15384" t="s">
        <v>2</v>
      </c>
      <c r="B15384" t="s">
        <v>3458</v>
      </c>
      <c r="C15384" t="s">
        <v>23490</v>
      </c>
      <c r="D15384" t="str">
        <f>HYPERLINK("https://rhld.insurance.arkansas.gov/NPILookup?Npi=1811955974","1811955974")</f>
        <v>1811955974</v>
      </c>
      <c r="E15384" t="s">
        <v>3946</v>
      </c>
    </row>
    <row r="15385" spans="1:5" x14ac:dyDescent="0.25">
      <c r="A15385" t="s">
        <v>2</v>
      </c>
      <c r="B15385" t="s">
        <v>3458</v>
      </c>
      <c r="C15385" t="s">
        <v>23490</v>
      </c>
      <c r="D15385" t="str">
        <f>HYPERLINK("https://rhld.insurance.arkansas.gov/NPILookup?Npi=1811963325","1811963325")</f>
        <v>1811963325</v>
      </c>
      <c r="E15385" t="s">
        <v>2859</v>
      </c>
    </row>
    <row r="15386" spans="1:5" x14ac:dyDescent="0.25">
      <c r="A15386" t="s">
        <v>2</v>
      </c>
      <c r="B15386" t="s">
        <v>3458</v>
      </c>
      <c r="C15386" t="s">
        <v>23490</v>
      </c>
      <c r="D15386" t="str">
        <f>HYPERLINK("https://rhld.insurance.arkansas.gov/NPILookup?Npi=1811965619","1811965619")</f>
        <v>1811965619</v>
      </c>
      <c r="E15386" t="s">
        <v>15592</v>
      </c>
    </row>
    <row r="15387" spans="1:5" x14ac:dyDescent="0.25">
      <c r="A15387" t="s">
        <v>2</v>
      </c>
      <c r="B15387" t="s">
        <v>3458</v>
      </c>
      <c r="C15387" t="s">
        <v>23490</v>
      </c>
      <c r="D15387" t="str">
        <f>HYPERLINK("https://rhld.insurance.arkansas.gov/NPILookup?Npi=1811968092","1811968092")</f>
        <v>1811968092</v>
      </c>
      <c r="E15387" t="s">
        <v>2860</v>
      </c>
    </row>
    <row r="15388" spans="1:5" x14ac:dyDescent="0.25">
      <c r="A15388" t="s">
        <v>2</v>
      </c>
      <c r="B15388" t="s">
        <v>3458</v>
      </c>
      <c r="C15388" t="s">
        <v>23490</v>
      </c>
      <c r="D15388" t="str">
        <f>HYPERLINK("https://rhld.insurance.arkansas.gov/NPILookup?Npi=1811970817","1811970817")</f>
        <v>1811970817</v>
      </c>
      <c r="E15388" t="s">
        <v>15593</v>
      </c>
    </row>
    <row r="15389" spans="1:5" x14ac:dyDescent="0.25">
      <c r="A15389" t="s">
        <v>2</v>
      </c>
      <c r="B15389" t="s">
        <v>3458</v>
      </c>
      <c r="C15389" t="s">
        <v>23490</v>
      </c>
      <c r="D15389" t="str">
        <f>HYPERLINK("https://rhld.insurance.arkansas.gov/NPILookup?Npi=1811977416","1811977416")</f>
        <v>1811977416</v>
      </c>
      <c r="E15389" t="s">
        <v>3947</v>
      </c>
    </row>
    <row r="15390" spans="1:5" x14ac:dyDescent="0.25">
      <c r="A15390" t="s">
        <v>2</v>
      </c>
      <c r="B15390" t="s">
        <v>3458</v>
      </c>
      <c r="C15390" t="s">
        <v>23490</v>
      </c>
      <c r="D15390" t="str">
        <f>HYPERLINK("https://rhld.insurance.arkansas.gov/NPILookup?Npi=1811980840","1811980840")</f>
        <v>1811980840</v>
      </c>
      <c r="E15390" t="s">
        <v>3948</v>
      </c>
    </row>
    <row r="15391" spans="1:5" x14ac:dyDescent="0.25">
      <c r="A15391" t="s">
        <v>2</v>
      </c>
      <c r="B15391" t="s">
        <v>3458</v>
      </c>
      <c r="C15391" t="s">
        <v>23490</v>
      </c>
      <c r="D15391" t="str">
        <f>HYPERLINK("https://rhld.insurance.arkansas.gov/NPILookup?Npi=1811983398","1811983398")</f>
        <v>1811983398</v>
      </c>
      <c r="E15391" t="s">
        <v>2863</v>
      </c>
    </row>
    <row r="15392" spans="1:5" x14ac:dyDescent="0.25">
      <c r="A15392" t="s">
        <v>2</v>
      </c>
      <c r="B15392" t="s">
        <v>3458</v>
      </c>
      <c r="C15392" t="s">
        <v>23490</v>
      </c>
      <c r="D15392" t="str">
        <f>HYPERLINK("https://rhld.insurance.arkansas.gov/NPILookup?Npi=1811985187","1811985187")</f>
        <v>1811985187</v>
      </c>
      <c r="E15392" t="s">
        <v>2864</v>
      </c>
    </row>
    <row r="15393" spans="1:5" x14ac:dyDescent="0.25">
      <c r="A15393" t="s">
        <v>2</v>
      </c>
      <c r="B15393" t="s">
        <v>3458</v>
      </c>
      <c r="C15393" t="s">
        <v>23490</v>
      </c>
      <c r="D15393" t="str">
        <f>HYPERLINK("https://rhld.insurance.arkansas.gov/NPILookup?Npi=1811985302","1811985302")</f>
        <v>1811985302</v>
      </c>
      <c r="E15393" t="s">
        <v>13034</v>
      </c>
    </row>
    <row r="15394" spans="1:5" x14ac:dyDescent="0.25">
      <c r="A15394" t="s">
        <v>2</v>
      </c>
      <c r="B15394" t="s">
        <v>3458</v>
      </c>
      <c r="C15394" t="s">
        <v>23490</v>
      </c>
      <c r="D15394" t="str">
        <f>HYPERLINK("https://rhld.insurance.arkansas.gov/NPILookup?Npi=1811985831","1811985831")</f>
        <v>1811985831</v>
      </c>
      <c r="E15394" t="s">
        <v>2866</v>
      </c>
    </row>
    <row r="15395" spans="1:5" x14ac:dyDescent="0.25">
      <c r="A15395" t="s">
        <v>2</v>
      </c>
      <c r="B15395" t="s">
        <v>3458</v>
      </c>
      <c r="C15395" t="s">
        <v>23490</v>
      </c>
      <c r="D15395" t="str">
        <f>HYPERLINK("https://rhld.insurance.arkansas.gov/NPILookup?Npi=1811997729","1811997729")</f>
        <v>1811997729</v>
      </c>
      <c r="E15395" t="s">
        <v>3949</v>
      </c>
    </row>
    <row r="15396" spans="1:5" x14ac:dyDescent="0.25">
      <c r="A15396" t="s">
        <v>2</v>
      </c>
      <c r="B15396" t="s">
        <v>3458</v>
      </c>
      <c r="C15396" t="s">
        <v>23490</v>
      </c>
      <c r="D15396" t="str">
        <f>HYPERLINK("https://rhld.insurance.arkansas.gov/NPILookup?Npi=1821001041","1821001041")</f>
        <v>1821001041</v>
      </c>
      <c r="E15396" t="s">
        <v>15594</v>
      </c>
    </row>
    <row r="15397" spans="1:5" x14ac:dyDescent="0.25">
      <c r="A15397" t="s">
        <v>2</v>
      </c>
      <c r="B15397" t="s">
        <v>3458</v>
      </c>
      <c r="C15397" t="s">
        <v>23490</v>
      </c>
      <c r="D15397" t="str">
        <f>HYPERLINK("https://rhld.insurance.arkansas.gov/NPILookup?Npi=1821006735","1821006735")</f>
        <v>1821006735</v>
      </c>
      <c r="E15397" t="s">
        <v>22898</v>
      </c>
    </row>
    <row r="15398" spans="1:5" x14ac:dyDescent="0.25">
      <c r="A15398" t="s">
        <v>2</v>
      </c>
      <c r="B15398" t="s">
        <v>3458</v>
      </c>
      <c r="C15398" t="s">
        <v>23490</v>
      </c>
      <c r="D15398" t="str">
        <f>HYPERLINK("https://rhld.insurance.arkansas.gov/NPILookup?Npi=1821020587","1821020587")</f>
        <v>1821020587</v>
      </c>
      <c r="E15398" t="s">
        <v>2868</v>
      </c>
    </row>
    <row r="15399" spans="1:5" x14ac:dyDescent="0.25">
      <c r="A15399" t="s">
        <v>2</v>
      </c>
      <c r="B15399" t="s">
        <v>3458</v>
      </c>
      <c r="C15399" t="s">
        <v>23490</v>
      </c>
      <c r="D15399" t="str">
        <f>HYPERLINK("https://rhld.insurance.arkansas.gov/NPILookup?Npi=1821025867","1821025867")</f>
        <v>1821025867</v>
      </c>
      <c r="E15399" t="s">
        <v>15595</v>
      </c>
    </row>
    <row r="15400" spans="1:5" x14ac:dyDescent="0.25">
      <c r="A15400" t="s">
        <v>2</v>
      </c>
      <c r="B15400" t="s">
        <v>3458</v>
      </c>
      <c r="C15400" t="s">
        <v>23490</v>
      </c>
      <c r="D15400" t="str">
        <f>HYPERLINK("https://rhld.insurance.arkansas.gov/NPILookup?Npi=1821027160","1821027160")</f>
        <v>1821027160</v>
      </c>
      <c r="E15400" t="s">
        <v>2870</v>
      </c>
    </row>
    <row r="15401" spans="1:5" x14ac:dyDescent="0.25">
      <c r="A15401" t="s">
        <v>2</v>
      </c>
      <c r="B15401" t="s">
        <v>3458</v>
      </c>
      <c r="C15401" t="s">
        <v>23490</v>
      </c>
      <c r="D15401" t="str">
        <f>HYPERLINK("https://rhld.insurance.arkansas.gov/NPILookup?Npi=1821031295","1821031295")</f>
        <v>1821031295</v>
      </c>
      <c r="E15401" t="s">
        <v>3950</v>
      </c>
    </row>
    <row r="15402" spans="1:5" x14ac:dyDescent="0.25">
      <c r="A15402" t="s">
        <v>2</v>
      </c>
      <c r="B15402" t="s">
        <v>3458</v>
      </c>
      <c r="C15402" t="s">
        <v>23490</v>
      </c>
      <c r="D15402" t="str">
        <f>HYPERLINK("https://rhld.insurance.arkansas.gov/NPILookup?Npi=1821046558","1821046558")</f>
        <v>1821046558</v>
      </c>
      <c r="E15402" t="s">
        <v>2872</v>
      </c>
    </row>
    <row r="15403" spans="1:5" x14ac:dyDescent="0.25">
      <c r="A15403" t="s">
        <v>2</v>
      </c>
      <c r="B15403" t="s">
        <v>3458</v>
      </c>
      <c r="C15403" t="s">
        <v>23490</v>
      </c>
      <c r="D15403" t="str">
        <f>HYPERLINK("https://rhld.insurance.arkansas.gov/NPILookup?Npi=1821049453","1821049453")</f>
        <v>1821049453</v>
      </c>
      <c r="E15403" t="s">
        <v>2874</v>
      </c>
    </row>
    <row r="15404" spans="1:5" x14ac:dyDescent="0.25">
      <c r="A15404" t="s">
        <v>2</v>
      </c>
      <c r="B15404" t="s">
        <v>3458</v>
      </c>
      <c r="C15404" t="s">
        <v>23490</v>
      </c>
      <c r="D15404" t="str">
        <f>HYPERLINK("https://rhld.insurance.arkansas.gov/NPILookup?Npi=1821050022","1821050022")</f>
        <v>1821050022</v>
      </c>
      <c r="E15404" t="s">
        <v>2875</v>
      </c>
    </row>
    <row r="15405" spans="1:5" x14ac:dyDescent="0.25">
      <c r="A15405" t="s">
        <v>2</v>
      </c>
      <c r="B15405" t="s">
        <v>3458</v>
      </c>
      <c r="C15405" t="s">
        <v>23490</v>
      </c>
      <c r="D15405" t="str">
        <f>HYPERLINK("https://rhld.insurance.arkansas.gov/NPILookup?Npi=1821055278","1821055278")</f>
        <v>1821055278</v>
      </c>
      <c r="E15405" t="s">
        <v>3951</v>
      </c>
    </row>
    <row r="15406" spans="1:5" x14ac:dyDescent="0.25">
      <c r="A15406" t="s">
        <v>2</v>
      </c>
      <c r="B15406" t="s">
        <v>3458</v>
      </c>
      <c r="C15406" t="s">
        <v>23490</v>
      </c>
      <c r="D15406" t="str">
        <f>HYPERLINK("https://rhld.insurance.arkansas.gov/NPILookup?Npi=1821056441","1821056441")</f>
        <v>1821056441</v>
      </c>
      <c r="E15406" t="s">
        <v>2876</v>
      </c>
    </row>
    <row r="15407" spans="1:5" x14ac:dyDescent="0.25">
      <c r="A15407" t="s">
        <v>2</v>
      </c>
      <c r="B15407" t="s">
        <v>3458</v>
      </c>
      <c r="C15407" t="s">
        <v>23490</v>
      </c>
      <c r="D15407" t="str">
        <f>HYPERLINK("https://rhld.insurance.arkansas.gov/NPILookup?Npi=1821065715","1821065715")</f>
        <v>1821065715</v>
      </c>
      <c r="E15407" t="s">
        <v>2877</v>
      </c>
    </row>
    <row r="15408" spans="1:5" x14ac:dyDescent="0.25">
      <c r="A15408" t="s">
        <v>2</v>
      </c>
      <c r="B15408" t="s">
        <v>3458</v>
      </c>
      <c r="C15408" t="s">
        <v>23490</v>
      </c>
      <c r="D15408" t="str">
        <f>HYPERLINK("https://rhld.insurance.arkansas.gov/NPILookup?Npi=1821072570","1821072570")</f>
        <v>1821072570</v>
      </c>
      <c r="E15408" t="s">
        <v>2878</v>
      </c>
    </row>
    <row r="15409" spans="1:5" x14ac:dyDescent="0.25">
      <c r="A15409" t="s">
        <v>2</v>
      </c>
      <c r="B15409" t="s">
        <v>3458</v>
      </c>
      <c r="C15409" t="s">
        <v>23490</v>
      </c>
      <c r="D15409" t="str">
        <f>HYPERLINK("https://rhld.insurance.arkansas.gov/NPILookup?Npi=1821074592","1821074592")</f>
        <v>1821074592</v>
      </c>
      <c r="E15409" t="s">
        <v>2879</v>
      </c>
    </row>
    <row r="15410" spans="1:5" x14ac:dyDescent="0.25">
      <c r="A15410" t="s">
        <v>2</v>
      </c>
      <c r="B15410" t="s">
        <v>3458</v>
      </c>
      <c r="C15410" t="s">
        <v>23490</v>
      </c>
      <c r="D15410" t="str">
        <f>HYPERLINK("https://rhld.insurance.arkansas.gov/NPILookup?Npi=1821075938","1821075938")</f>
        <v>1821075938</v>
      </c>
      <c r="E15410" t="s">
        <v>2880</v>
      </c>
    </row>
    <row r="15411" spans="1:5" x14ac:dyDescent="0.25">
      <c r="A15411" t="s">
        <v>2</v>
      </c>
      <c r="B15411" t="s">
        <v>3458</v>
      </c>
      <c r="C15411" t="s">
        <v>23490</v>
      </c>
      <c r="D15411" t="str">
        <f>HYPERLINK("https://rhld.insurance.arkansas.gov/NPILookup?Npi=1821076274","1821076274")</f>
        <v>1821076274</v>
      </c>
      <c r="E15411" t="s">
        <v>3952</v>
      </c>
    </row>
    <row r="15412" spans="1:5" x14ac:dyDescent="0.25">
      <c r="A15412" t="s">
        <v>2</v>
      </c>
      <c r="B15412" t="s">
        <v>3458</v>
      </c>
      <c r="C15412" t="s">
        <v>23490</v>
      </c>
      <c r="D15412" t="str">
        <f>HYPERLINK("https://rhld.insurance.arkansas.gov/NPILookup?Npi=1821077975","1821077975")</f>
        <v>1821077975</v>
      </c>
      <c r="E15412" t="s">
        <v>2881</v>
      </c>
    </row>
    <row r="15413" spans="1:5" x14ac:dyDescent="0.25">
      <c r="A15413" t="s">
        <v>2</v>
      </c>
      <c r="B15413" t="s">
        <v>3458</v>
      </c>
      <c r="C15413" t="s">
        <v>23490</v>
      </c>
      <c r="D15413" t="str">
        <f>HYPERLINK("https://rhld.insurance.arkansas.gov/NPILookup?Npi=1821082835","1821082835")</f>
        <v>1821082835</v>
      </c>
      <c r="E15413" t="s">
        <v>2882</v>
      </c>
    </row>
    <row r="15414" spans="1:5" x14ac:dyDescent="0.25">
      <c r="A15414" t="s">
        <v>2</v>
      </c>
      <c r="B15414" t="s">
        <v>3458</v>
      </c>
      <c r="C15414" t="s">
        <v>23490</v>
      </c>
      <c r="D15414" t="str">
        <f>HYPERLINK("https://rhld.insurance.arkansas.gov/NPILookup?Npi=1821084377","1821084377")</f>
        <v>1821084377</v>
      </c>
      <c r="E15414" t="s">
        <v>2883</v>
      </c>
    </row>
    <row r="15415" spans="1:5" x14ac:dyDescent="0.25">
      <c r="A15415" t="s">
        <v>2</v>
      </c>
      <c r="B15415" t="s">
        <v>3458</v>
      </c>
      <c r="C15415" t="s">
        <v>23490</v>
      </c>
      <c r="D15415" t="str">
        <f>HYPERLINK("https://rhld.insurance.arkansas.gov/NPILookup?Npi=1821085226","1821085226")</f>
        <v>1821085226</v>
      </c>
      <c r="E15415" t="s">
        <v>2884</v>
      </c>
    </row>
    <row r="15416" spans="1:5" x14ac:dyDescent="0.25">
      <c r="A15416" t="s">
        <v>2</v>
      </c>
      <c r="B15416" t="s">
        <v>3458</v>
      </c>
      <c r="C15416" t="s">
        <v>23490</v>
      </c>
      <c r="D15416" t="str">
        <f>HYPERLINK("https://rhld.insurance.arkansas.gov/NPILookup?Npi=1821085648","1821085648")</f>
        <v>1821085648</v>
      </c>
      <c r="E15416" t="s">
        <v>11295</v>
      </c>
    </row>
    <row r="15417" spans="1:5" x14ac:dyDescent="0.25">
      <c r="A15417" t="s">
        <v>2</v>
      </c>
      <c r="B15417" t="s">
        <v>3458</v>
      </c>
      <c r="C15417" t="s">
        <v>23490</v>
      </c>
      <c r="D15417" t="str">
        <f>HYPERLINK("https://rhld.insurance.arkansas.gov/NPILookup?Npi=1821086703","1821086703")</f>
        <v>1821086703</v>
      </c>
      <c r="E15417" t="s">
        <v>11296</v>
      </c>
    </row>
    <row r="15418" spans="1:5" x14ac:dyDescent="0.25">
      <c r="A15418" t="s">
        <v>2</v>
      </c>
      <c r="B15418" t="s">
        <v>3458</v>
      </c>
      <c r="C15418" t="s">
        <v>23490</v>
      </c>
      <c r="D15418" t="str">
        <f>HYPERLINK("https://rhld.insurance.arkansas.gov/NPILookup?Npi=1821092537","1821092537")</f>
        <v>1821092537</v>
      </c>
      <c r="E15418" t="s">
        <v>2886</v>
      </c>
    </row>
    <row r="15419" spans="1:5" x14ac:dyDescent="0.25">
      <c r="A15419" t="s">
        <v>2</v>
      </c>
      <c r="B15419" t="s">
        <v>3458</v>
      </c>
      <c r="C15419" t="s">
        <v>23490</v>
      </c>
      <c r="D15419" t="str">
        <f>HYPERLINK("https://rhld.insurance.arkansas.gov/NPILookup?Npi=1821093063","1821093063")</f>
        <v>1821093063</v>
      </c>
      <c r="E15419" t="s">
        <v>2887</v>
      </c>
    </row>
    <row r="15420" spans="1:5" x14ac:dyDescent="0.25">
      <c r="A15420" t="s">
        <v>2</v>
      </c>
      <c r="B15420" t="s">
        <v>3458</v>
      </c>
      <c r="C15420" t="s">
        <v>23490</v>
      </c>
      <c r="D15420" t="str">
        <f>HYPERLINK("https://rhld.insurance.arkansas.gov/NPILookup?Npi=1821093287","1821093287")</f>
        <v>1821093287</v>
      </c>
      <c r="E15420" t="s">
        <v>15597</v>
      </c>
    </row>
    <row r="15421" spans="1:5" x14ac:dyDescent="0.25">
      <c r="A15421" t="s">
        <v>2</v>
      </c>
      <c r="B15421" t="s">
        <v>3458</v>
      </c>
      <c r="C15421" t="s">
        <v>23490</v>
      </c>
      <c r="D15421" t="str">
        <f>HYPERLINK("https://rhld.insurance.arkansas.gov/NPILookup?Npi=1821098369","1821098369")</f>
        <v>1821098369</v>
      </c>
      <c r="E15421" t="s">
        <v>11297</v>
      </c>
    </row>
    <row r="15422" spans="1:5" x14ac:dyDescent="0.25">
      <c r="A15422" t="s">
        <v>2</v>
      </c>
      <c r="B15422" t="s">
        <v>3458</v>
      </c>
      <c r="C15422" t="s">
        <v>23490</v>
      </c>
      <c r="D15422" t="str">
        <f>HYPERLINK("https://rhld.insurance.arkansas.gov/NPILookup?Npi=1821098732","1821098732")</f>
        <v>1821098732</v>
      </c>
      <c r="E15422" t="s">
        <v>3953</v>
      </c>
    </row>
    <row r="15423" spans="1:5" x14ac:dyDescent="0.25">
      <c r="A15423" t="s">
        <v>2</v>
      </c>
      <c r="B15423" t="s">
        <v>3458</v>
      </c>
      <c r="C15423" t="s">
        <v>23490</v>
      </c>
      <c r="D15423" t="str">
        <f>HYPERLINK("https://rhld.insurance.arkansas.gov/NPILookup?Npi=1821135070","1821135070")</f>
        <v>1821135070</v>
      </c>
      <c r="E15423" t="s">
        <v>15908</v>
      </c>
    </row>
    <row r="15424" spans="1:5" x14ac:dyDescent="0.25">
      <c r="A15424" t="s">
        <v>2</v>
      </c>
      <c r="B15424" t="s">
        <v>3458</v>
      </c>
      <c r="C15424" t="s">
        <v>23490</v>
      </c>
      <c r="D15424" t="str">
        <f>HYPERLINK("https://rhld.insurance.arkansas.gov/NPILookup?Npi=1821135690","1821135690")</f>
        <v>1821135690</v>
      </c>
      <c r="E15424" t="s">
        <v>2888</v>
      </c>
    </row>
    <row r="15425" spans="1:5" x14ac:dyDescent="0.25">
      <c r="A15425" t="s">
        <v>2</v>
      </c>
      <c r="B15425" t="s">
        <v>3458</v>
      </c>
      <c r="C15425" t="s">
        <v>23490</v>
      </c>
      <c r="D15425" t="str">
        <f>HYPERLINK("https://rhld.insurance.arkansas.gov/NPILookup?Npi=1821173832","1821173832")</f>
        <v>1821173832</v>
      </c>
      <c r="E15425" t="s">
        <v>21045</v>
      </c>
    </row>
    <row r="15426" spans="1:5" x14ac:dyDescent="0.25">
      <c r="A15426" t="s">
        <v>2</v>
      </c>
      <c r="B15426" t="s">
        <v>3458</v>
      </c>
      <c r="C15426" t="s">
        <v>23490</v>
      </c>
      <c r="D15426" t="str">
        <f>HYPERLINK("https://rhld.insurance.arkansas.gov/NPILookup?Npi=1821189879","1821189879")</f>
        <v>1821189879</v>
      </c>
      <c r="E15426" t="s">
        <v>2892</v>
      </c>
    </row>
    <row r="15427" spans="1:5" x14ac:dyDescent="0.25">
      <c r="A15427" t="s">
        <v>2</v>
      </c>
      <c r="B15427" t="s">
        <v>3458</v>
      </c>
      <c r="C15427" t="s">
        <v>23490</v>
      </c>
      <c r="D15427" t="str">
        <f>HYPERLINK("https://rhld.insurance.arkansas.gov/NPILookup?Npi=1821190802","1821190802")</f>
        <v>1821190802</v>
      </c>
      <c r="E15427" t="s">
        <v>12917</v>
      </c>
    </row>
    <row r="15428" spans="1:5" x14ac:dyDescent="0.25">
      <c r="A15428" t="s">
        <v>2</v>
      </c>
      <c r="B15428" t="s">
        <v>3458</v>
      </c>
      <c r="C15428" t="s">
        <v>23490</v>
      </c>
      <c r="D15428" t="str">
        <f>HYPERLINK("https://rhld.insurance.arkansas.gov/NPILookup?Npi=1821196445","1821196445")</f>
        <v>1821196445</v>
      </c>
      <c r="E15428" t="s">
        <v>2893</v>
      </c>
    </row>
    <row r="15429" spans="1:5" x14ac:dyDescent="0.25">
      <c r="A15429" t="s">
        <v>2</v>
      </c>
      <c r="B15429" t="s">
        <v>3458</v>
      </c>
      <c r="C15429" t="s">
        <v>23490</v>
      </c>
      <c r="D15429" t="str">
        <f>HYPERLINK("https://rhld.insurance.arkansas.gov/NPILookup?Npi=1821203340","1821203340")</f>
        <v>1821203340</v>
      </c>
      <c r="E15429" t="s">
        <v>15909</v>
      </c>
    </row>
    <row r="15430" spans="1:5" x14ac:dyDescent="0.25">
      <c r="A15430" t="s">
        <v>2</v>
      </c>
      <c r="B15430" t="s">
        <v>3458</v>
      </c>
      <c r="C15430" t="s">
        <v>23490</v>
      </c>
      <c r="D15430" t="str">
        <f>HYPERLINK("https://rhld.insurance.arkansas.gov/NPILookup?Npi=1821230707","1821230707")</f>
        <v>1821230707</v>
      </c>
      <c r="E15430" t="s">
        <v>2895</v>
      </c>
    </row>
    <row r="15431" spans="1:5" x14ac:dyDescent="0.25">
      <c r="A15431" t="s">
        <v>2</v>
      </c>
      <c r="B15431" t="s">
        <v>3458</v>
      </c>
      <c r="C15431" t="s">
        <v>23490</v>
      </c>
      <c r="D15431" t="str">
        <f>HYPERLINK("https://rhld.insurance.arkansas.gov/NPILookup?Npi=1821295148","1821295148")</f>
        <v>1821295148</v>
      </c>
      <c r="E15431" t="s">
        <v>2898</v>
      </c>
    </row>
    <row r="15432" spans="1:5" x14ac:dyDescent="0.25">
      <c r="A15432" t="s">
        <v>2</v>
      </c>
      <c r="B15432" t="s">
        <v>3458</v>
      </c>
      <c r="C15432" t="s">
        <v>23490</v>
      </c>
      <c r="D15432" t="str">
        <f>HYPERLINK("https://rhld.insurance.arkansas.gov/NPILookup?Npi=1821297961","1821297961")</f>
        <v>1821297961</v>
      </c>
      <c r="E15432" t="s">
        <v>18871</v>
      </c>
    </row>
    <row r="15433" spans="1:5" x14ac:dyDescent="0.25">
      <c r="A15433" t="s">
        <v>2</v>
      </c>
      <c r="B15433" t="s">
        <v>3458</v>
      </c>
      <c r="C15433" t="s">
        <v>23490</v>
      </c>
      <c r="D15433" t="str">
        <f>HYPERLINK("https://rhld.insurance.arkansas.gov/NPILookup?Npi=1821301466","1821301466")</f>
        <v>1821301466</v>
      </c>
      <c r="E15433" t="s">
        <v>2899</v>
      </c>
    </row>
    <row r="15434" spans="1:5" x14ac:dyDescent="0.25">
      <c r="A15434" t="s">
        <v>2</v>
      </c>
      <c r="B15434" t="s">
        <v>3458</v>
      </c>
      <c r="C15434" t="s">
        <v>23490</v>
      </c>
      <c r="D15434" t="str">
        <f>HYPERLINK("https://rhld.insurance.arkansas.gov/NPILookup?Npi=1821338476","1821338476")</f>
        <v>1821338476</v>
      </c>
      <c r="E15434" t="s">
        <v>15599</v>
      </c>
    </row>
    <row r="15435" spans="1:5" x14ac:dyDescent="0.25">
      <c r="A15435" t="s">
        <v>2</v>
      </c>
      <c r="B15435" t="s">
        <v>3458</v>
      </c>
      <c r="C15435" t="s">
        <v>23490</v>
      </c>
      <c r="D15435" t="str">
        <f>HYPERLINK("https://rhld.insurance.arkansas.gov/NPILookup?Npi=1821352519","1821352519")</f>
        <v>1821352519</v>
      </c>
      <c r="E15435" t="s">
        <v>13876</v>
      </c>
    </row>
    <row r="15436" spans="1:5" x14ac:dyDescent="0.25">
      <c r="A15436" t="s">
        <v>2</v>
      </c>
      <c r="B15436" t="s">
        <v>3458</v>
      </c>
      <c r="C15436" t="s">
        <v>23490</v>
      </c>
      <c r="D15436" t="str">
        <f>HYPERLINK("https://rhld.insurance.arkansas.gov/NPILookup?Npi=1821357864","1821357864")</f>
        <v>1821357864</v>
      </c>
      <c r="E15436" t="s">
        <v>15600</v>
      </c>
    </row>
    <row r="15437" spans="1:5" x14ac:dyDescent="0.25">
      <c r="A15437" t="s">
        <v>2</v>
      </c>
      <c r="B15437" t="s">
        <v>3458</v>
      </c>
      <c r="C15437" t="s">
        <v>23490</v>
      </c>
      <c r="D15437" t="str">
        <f>HYPERLINK("https://rhld.insurance.arkansas.gov/NPILookup?Npi=1821368721","1821368721")</f>
        <v>1821368721</v>
      </c>
      <c r="E15437" t="s">
        <v>2900</v>
      </c>
    </row>
    <row r="15438" spans="1:5" x14ac:dyDescent="0.25">
      <c r="A15438" t="s">
        <v>2</v>
      </c>
      <c r="B15438" t="s">
        <v>3458</v>
      </c>
      <c r="C15438" t="s">
        <v>23490</v>
      </c>
      <c r="D15438" t="str">
        <f>HYPERLINK("https://rhld.insurance.arkansas.gov/NPILookup?Npi=1821404682","1821404682")</f>
        <v>1821404682</v>
      </c>
      <c r="E15438" t="s">
        <v>11298</v>
      </c>
    </row>
    <row r="15439" spans="1:5" x14ac:dyDescent="0.25">
      <c r="A15439" t="s">
        <v>2</v>
      </c>
      <c r="B15439" t="s">
        <v>3458</v>
      </c>
      <c r="C15439" t="s">
        <v>23490</v>
      </c>
      <c r="D15439" t="str">
        <f>HYPERLINK("https://rhld.insurance.arkansas.gov/NPILookup?Npi=1821409996","1821409996")</f>
        <v>1821409996</v>
      </c>
      <c r="E15439" t="s">
        <v>3954</v>
      </c>
    </row>
    <row r="15440" spans="1:5" x14ac:dyDescent="0.25">
      <c r="A15440" t="s">
        <v>2</v>
      </c>
      <c r="B15440" t="s">
        <v>3458</v>
      </c>
      <c r="C15440" t="s">
        <v>23490</v>
      </c>
      <c r="D15440" t="str">
        <f>HYPERLINK("https://rhld.insurance.arkansas.gov/NPILookup?Npi=1821437302","1821437302")</f>
        <v>1821437302</v>
      </c>
      <c r="E15440" t="s">
        <v>2901</v>
      </c>
    </row>
    <row r="15441" spans="1:5" x14ac:dyDescent="0.25">
      <c r="A15441" t="s">
        <v>2</v>
      </c>
      <c r="B15441" t="s">
        <v>3458</v>
      </c>
      <c r="C15441" t="s">
        <v>23490</v>
      </c>
      <c r="D15441" t="str">
        <f>HYPERLINK("https://rhld.insurance.arkansas.gov/NPILookup?Npi=1821437328","1821437328")</f>
        <v>1821437328</v>
      </c>
      <c r="E15441" t="s">
        <v>12918</v>
      </c>
    </row>
    <row r="15442" spans="1:5" x14ac:dyDescent="0.25">
      <c r="A15442" t="s">
        <v>2</v>
      </c>
      <c r="B15442" t="s">
        <v>3458</v>
      </c>
      <c r="C15442" t="s">
        <v>23490</v>
      </c>
      <c r="D15442" t="str">
        <f>HYPERLINK("https://rhld.insurance.arkansas.gov/NPILookup?Npi=1821438326","1821438326")</f>
        <v>1821438326</v>
      </c>
      <c r="E15442" t="s">
        <v>11481</v>
      </c>
    </row>
    <row r="15443" spans="1:5" x14ac:dyDescent="0.25">
      <c r="A15443" t="s">
        <v>2</v>
      </c>
      <c r="B15443" t="s">
        <v>3458</v>
      </c>
      <c r="C15443" t="s">
        <v>23490</v>
      </c>
      <c r="D15443" t="str">
        <f>HYPERLINK("https://rhld.insurance.arkansas.gov/NPILookup?Npi=1821449372","1821449372")</f>
        <v>1821449372</v>
      </c>
      <c r="E15443" t="s">
        <v>11299</v>
      </c>
    </row>
    <row r="15444" spans="1:5" x14ac:dyDescent="0.25">
      <c r="A15444" t="s">
        <v>2</v>
      </c>
      <c r="B15444" t="s">
        <v>3458</v>
      </c>
      <c r="C15444" t="s">
        <v>23490</v>
      </c>
      <c r="D15444" t="str">
        <f>HYPERLINK("https://rhld.insurance.arkansas.gov/NPILookup?Npi=1821455734","1821455734")</f>
        <v>1821455734</v>
      </c>
      <c r="E15444" t="s">
        <v>15602</v>
      </c>
    </row>
    <row r="15445" spans="1:5" x14ac:dyDescent="0.25">
      <c r="A15445" t="s">
        <v>2</v>
      </c>
      <c r="B15445" t="s">
        <v>3458</v>
      </c>
      <c r="C15445" t="s">
        <v>23490</v>
      </c>
      <c r="D15445" t="str">
        <f>HYPERLINK("https://rhld.insurance.arkansas.gov/NPILookup?Npi=1821458605","1821458605")</f>
        <v>1821458605</v>
      </c>
      <c r="E15445" t="s">
        <v>11300</v>
      </c>
    </row>
    <row r="15446" spans="1:5" x14ac:dyDescent="0.25">
      <c r="A15446" t="s">
        <v>2</v>
      </c>
      <c r="B15446" t="s">
        <v>3458</v>
      </c>
      <c r="C15446" t="s">
        <v>23490</v>
      </c>
      <c r="D15446" t="str">
        <f>HYPERLINK("https://rhld.insurance.arkansas.gov/NPILookup?Npi=1821469065","1821469065")</f>
        <v>1821469065</v>
      </c>
      <c r="E15446" t="s">
        <v>17038</v>
      </c>
    </row>
    <row r="15447" spans="1:5" x14ac:dyDescent="0.25">
      <c r="A15447" t="s">
        <v>2</v>
      </c>
      <c r="B15447" t="s">
        <v>3458</v>
      </c>
      <c r="C15447" t="s">
        <v>23490</v>
      </c>
      <c r="D15447" t="str">
        <f>HYPERLINK("https://rhld.insurance.arkansas.gov/NPILookup?Npi=1821471855","1821471855")</f>
        <v>1821471855</v>
      </c>
      <c r="E15447" t="s">
        <v>12919</v>
      </c>
    </row>
    <row r="15448" spans="1:5" x14ac:dyDescent="0.25">
      <c r="A15448" t="s">
        <v>2</v>
      </c>
      <c r="B15448" t="s">
        <v>3458</v>
      </c>
      <c r="C15448" t="s">
        <v>23490</v>
      </c>
      <c r="D15448" t="str">
        <f>HYPERLINK("https://rhld.insurance.arkansas.gov/NPILookup?Npi=1821479767","1821479767")</f>
        <v>1821479767</v>
      </c>
      <c r="E15448" t="s">
        <v>2902</v>
      </c>
    </row>
    <row r="15449" spans="1:5" x14ac:dyDescent="0.25">
      <c r="A15449" t="s">
        <v>2</v>
      </c>
      <c r="B15449" t="s">
        <v>3458</v>
      </c>
      <c r="C15449" t="s">
        <v>23490</v>
      </c>
      <c r="D15449" t="str">
        <f>HYPERLINK("https://rhld.insurance.arkansas.gov/NPILookup?Npi=1821487844","1821487844")</f>
        <v>1821487844</v>
      </c>
      <c r="E15449" t="s">
        <v>13035</v>
      </c>
    </row>
    <row r="15450" spans="1:5" x14ac:dyDescent="0.25">
      <c r="A15450" t="s">
        <v>2</v>
      </c>
      <c r="B15450" t="s">
        <v>3458</v>
      </c>
      <c r="C15450" t="s">
        <v>23490</v>
      </c>
      <c r="D15450" t="str">
        <f>HYPERLINK("https://rhld.insurance.arkansas.gov/NPILookup?Npi=1821507419","1821507419")</f>
        <v>1821507419</v>
      </c>
      <c r="E15450" t="s">
        <v>21046</v>
      </c>
    </row>
    <row r="15451" spans="1:5" x14ac:dyDescent="0.25">
      <c r="A15451" t="s">
        <v>2</v>
      </c>
      <c r="B15451" t="s">
        <v>3458</v>
      </c>
      <c r="C15451" t="s">
        <v>23490</v>
      </c>
      <c r="D15451" t="str">
        <f>HYPERLINK("https://rhld.insurance.arkansas.gov/NPILookup?Npi=1821514506","1821514506")</f>
        <v>1821514506</v>
      </c>
      <c r="E15451" t="s">
        <v>15604</v>
      </c>
    </row>
    <row r="15452" spans="1:5" x14ac:dyDescent="0.25">
      <c r="A15452" t="s">
        <v>2</v>
      </c>
      <c r="B15452" t="s">
        <v>3458</v>
      </c>
      <c r="C15452" t="s">
        <v>23490</v>
      </c>
      <c r="D15452" t="str">
        <f>HYPERLINK("https://rhld.insurance.arkansas.gov/NPILookup?Npi=1821515792","1821515792")</f>
        <v>1821515792</v>
      </c>
      <c r="E15452" t="s">
        <v>11301</v>
      </c>
    </row>
    <row r="15453" spans="1:5" x14ac:dyDescent="0.25">
      <c r="A15453" t="s">
        <v>2</v>
      </c>
      <c r="B15453" t="s">
        <v>3458</v>
      </c>
      <c r="C15453" t="s">
        <v>23490</v>
      </c>
      <c r="D15453" t="str">
        <f>HYPERLINK("https://rhld.insurance.arkansas.gov/NPILookup?Npi=1821523994","1821523994")</f>
        <v>1821523994</v>
      </c>
      <c r="E15453" t="s">
        <v>17482</v>
      </c>
    </row>
    <row r="15454" spans="1:5" x14ac:dyDescent="0.25">
      <c r="A15454" t="s">
        <v>2</v>
      </c>
      <c r="B15454" t="s">
        <v>3458</v>
      </c>
      <c r="C15454" t="s">
        <v>23490</v>
      </c>
      <c r="D15454" t="str">
        <f>HYPERLINK("https://rhld.insurance.arkansas.gov/NPILookup?Npi=1821534835","1821534835")</f>
        <v>1821534835</v>
      </c>
      <c r="E15454" t="s">
        <v>11303</v>
      </c>
    </row>
    <row r="15455" spans="1:5" x14ac:dyDescent="0.25">
      <c r="A15455" t="s">
        <v>2</v>
      </c>
      <c r="B15455" t="s">
        <v>3458</v>
      </c>
      <c r="C15455" t="s">
        <v>23490</v>
      </c>
      <c r="D15455" t="str">
        <f>HYPERLINK("https://rhld.insurance.arkansas.gov/NPILookup?Npi=1821537168","1821537168")</f>
        <v>1821537168</v>
      </c>
      <c r="E15455" t="s">
        <v>11304</v>
      </c>
    </row>
    <row r="15456" spans="1:5" x14ac:dyDescent="0.25">
      <c r="A15456" t="s">
        <v>2</v>
      </c>
      <c r="B15456" t="s">
        <v>3458</v>
      </c>
      <c r="C15456" t="s">
        <v>23490</v>
      </c>
      <c r="D15456" t="str">
        <f>HYPERLINK("https://rhld.insurance.arkansas.gov/NPILookup?Npi=1821538125","1821538125")</f>
        <v>1821538125</v>
      </c>
      <c r="E15456" t="s">
        <v>11305</v>
      </c>
    </row>
    <row r="15457" spans="1:5" x14ac:dyDescent="0.25">
      <c r="A15457" t="s">
        <v>2</v>
      </c>
      <c r="B15457" t="s">
        <v>3458</v>
      </c>
      <c r="C15457" t="s">
        <v>23490</v>
      </c>
      <c r="D15457" t="str">
        <f>HYPERLINK("https://rhld.insurance.arkansas.gov/NPILookup?Npi=1821541673","1821541673")</f>
        <v>1821541673</v>
      </c>
      <c r="E15457" t="s">
        <v>11306</v>
      </c>
    </row>
    <row r="15458" spans="1:5" x14ac:dyDescent="0.25">
      <c r="A15458" t="s">
        <v>2</v>
      </c>
      <c r="B15458" t="s">
        <v>3458</v>
      </c>
      <c r="C15458" t="s">
        <v>23490</v>
      </c>
      <c r="D15458" t="str">
        <f>HYPERLINK("https://rhld.insurance.arkansas.gov/NPILookup?Npi=1821564204","1821564204")</f>
        <v>1821564204</v>
      </c>
      <c r="E15458" t="s">
        <v>15605</v>
      </c>
    </row>
    <row r="15459" spans="1:5" x14ac:dyDescent="0.25">
      <c r="A15459" t="s">
        <v>2</v>
      </c>
      <c r="B15459" t="s">
        <v>3458</v>
      </c>
      <c r="C15459" t="s">
        <v>23490</v>
      </c>
      <c r="D15459" t="str">
        <f>HYPERLINK("https://rhld.insurance.arkansas.gov/NPILookup?Npi=1821574641","1821574641")</f>
        <v>1821574641</v>
      </c>
      <c r="E15459" t="s">
        <v>13734</v>
      </c>
    </row>
    <row r="15460" spans="1:5" x14ac:dyDescent="0.25">
      <c r="A15460" t="s">
        <v>2</v>
      </c>
      <c r="B15460" t="s">
        <v>3458</v>
      </c>
      <c r="C15460" t="s">
        <v>8427</v>
      </c>
      <c r="D15460" t="str">
        <f>HYPERLINK("https://rhld.insurance.arkansas.gov/NPILookup?Npi=1821589250","1821589250")</f>
        <v>1821589250</v>
      </c>
      <c r="E15460" t="s">
        <v>22990</v>
      </c>
    </row>
    <row r="15461" spans="1:5" x14ac:dyDescent="0.25">
      <c r="A15461" t="s">
        <v>2</v>
      </c>
      <c r="B15461" t="s">
        <v>3458</v>
      </c>
      <c r="C15461" t="s">
        <v>23490</v>
      </c>
      <c r="D15461" t="str">
        <f>HYPERLINK("https://rhld.insurance.arkansas.gov/NPILookup?Npi=1821589870","1821589870")</f>
        <v>1821589870</v>
      </c>
      <c r="E15461" t="s">
        <v>18872</v>
      </c>
    </row>
    <row r="15462" spans="1:5" x14ac:dyDescent="0.25">
      <c r="A15462" t="s">
        <v>2</v>
      </c>
      <c r="B15462" t="s">
        <v>3458</v>
      </c>
      <c r="C15462" t="s">
        <v>23490</v>
      </c>
      <c r="D15462" t="str">
        <f>HYPERLINK("https://rhld.insurance.arkansas.gov/NPILookup?Npi=1821605916","1821605916")</f>
        <v>1821605916</v>
      </c>
      <c r="E15462" t="s">
        <v>18873</v>
      </c>
    </row>
    <row r="15463" spans="1:5" x14ac:dyDescent="0.25">
      <c r="A15463" t="s">
        <v>2</v>
      </c>
      <c r="B15463" t="s">
        <v>3458</v>
      </c>
      <c r="C15463" t="s">
        <v>23490</v>
      </c>
      <c r="D15463" t="str">
        <f>HYPERLINK("https://rhld.insurance.arkansas.gov/NPILookup?Npi=1821619370","1821619370")</f>
        <v>1821619370</v>
      </c>
      <c r="E15463" t="s">
        <v>21048</v>
      </c>
    </row>
    <row r="15464" spans="1:5" x14ac:dyDescent="0.25">
      <c r="A15464" t="s">
        <v>2</v>
      </c>
      <c r="B15464" t="s">
        <v>3458</v>
      </c>
      <c r="C15464" t="s">
        <v>23490</v>
      </c>
      <c r="D15464" t="str">
        <f>HYPERLINK("https://rhld.insurance.arkansas.gov/NPILookup?Npi=1821641051","1821641051")</f>
        <v>1821641051</v>
      </c>
      <c r="E15464" t="s">
        <v>21049</v>
      </c>
    </row>
    <row r="15465" spans="1:5" x14ac:dyDescent="0.25">
      <c r="A15465" t="s">
        <v>2</v>
      </c>
      <c r="B15465" t="s">
        <v>3458</v>
      </c>
      <c r="C15465" t="s">
        <v>23490</v>
      </c>
      <c r="D15465" t="str">
        <f>HYPERLINK("https://rhld.insurance.arkansas.gov/NPILookup?Npi=1821643024","1821643024")</f>
        <v>1821643024</v>
      </c>
      <c r="E15465" t="s">
        <v>18137</v>
      </c>
    </row>
    <row r="15466" spans="1:5" x14ac:dyDescent="0.25">
      <c r="A15466" t="s">
        <v>2</v>
      </c>
      <c r="B15466" t="s">
        <v>3458</v>
      </c>
      <c r="C15466" t="s">
        <v>23490</v>
      </c>
      <c r="D15466" t="str">
        <f>HYPERLINK("https://rhld.insurance.arkansas.gov/NPILookup?Npi=1821661802","1821661802")</f>
        <v>1821661802</v>
      </c>
      <c r="E15466" t="s">
        <v>18874</v>
      </c>
    </row>
    <row r="15467" spans="1:5" x14ac:dyDescent="0.25">
      <c r="A15467" t="s">
        <v>2</v>
      </c>
      <c r="B15467" t="s">
        <v>3458</v>
      </c>
      <c r="C15467" t="s">
        <v>23490</v>
      </c>
      <c r="D15467" t="str">
        <f>HYPERLINK("https://rhld.insurance.arkansas.gov/NPILookup?Npi=1821674193","1821674193")</f>
        <v>1821674193</v>
      </c>
      <c r="E15467" t="s">
        <v>18138</v>
      </c>
    </row>
    <row r="15468" spans="1:5" x14ac:dyDescent="0.25">
      <c r="A15468" t="s">
        <v>2</v>
      </c>
      <c r="B15468" t="s">
        <v>3458</v>
      </c>
      <c r="C15468" t="s">
        <v>23490</v>
      </c>
      <c r="D15468" t="str">
        <f>HYPERLINK("https://rhld.insurance.arkansas.gov/NPILookup?Npi=1821678269","1821678269")</f>
        <v>1821678269</v>
      </c>
      <c r="E15468" t="s">
        <v>18876</v>
      </c>
    </row>
    <row r="15469" spans="1:5" x14ac:dyDescent="0.25">
      <c r="A15469" t="s">
        <v>2</v>
      </c>
      <c r="B15469" t="s">
        <v>3458</v>
      </c>
      <c r="C15469" t="s">
        <v>23490</v>
      </c>
      <c r="D15469" t="str">
        <f>HYPERLINK("https://rhld.insurance.arkansas.gov/NPILookup?Npi=1821682238","1821682238")</f>
        <v>1821682238</v>
      </c>
      <c r="E15469" t="s">
        <v>18139</v>
      </c>
    </row>
    <row r="15470" spans="1:5" x14ac:dyDescent="0.25">
      <c r="A15470" t="s">
        <v>2</v>
      </c>
      <c r="B15470" t="s">
        <v>3458</v>
      </c>
      <c r="C15470" t="s">
        <v>23490</v>
      </c>
      <c r="D15470" t="str">
        <f>HYPERLINK("https://rhld.insurance.arkansas.gov/NPILookup?Npi=1821690884","1821690884")</f>
        <v>1821690884</v>
      </c>
      <c r="E15470" t="s">
        <v>18140</v>
      </c>
    </row>
    <row r="15471" spans="1:5" x14ac:dyDescent="0.25">
      <c r="A15471" t="s">
        <v>2</v>
      </c>
      <c r="B15471" t="s">
        <v>3458</v>
      </c>
      <c r="C15471" t="s">
        <v>23490</v>
      </c>
      <c r="D15471" t="str">
        <f>HYPERLINK("https://rhld.insurance.arkansas.gov/NPILookup?Npi=1821720160","1821720160")</f>
        <v>1821720160</v>
      </c>
      <c r="E15471" t="s">
        <v>21050</v>
      </c>
    </row>
    <row r="15472" spans="1:5" x14ac:dyDescent="0.25">
      <c r="A15472" t="s">
        <v>2</v>
      </c>
      <c r="B15472" t="s">
        <v>3458</v>
      </c>
      <c r="C15472" t="s">
        <v>23490</v>
      </c>
      <c r="D15472" t="str">
        <f>HYPERLINK("https://rhld.insurance.arkansas.gov/NPILookup?Npi=1821730946","1821730946")</f>
        <v>1821730946</v>
      </c>
      <c r="E15472" t="s">
        <v>21051</v>
      </c>
    </row>
    <row r="15473" spans="1:5" x14ac:dyDescent="0.25">
      <c r="A15473" t="s">
        <v>2</v>
      </c>
      <c r="B15473" t="s">
        <v>3458</v>
      </c>
      <c r="C15473" t="s">
        <v>23490</v>
      </c>
      <c r="D15473" t="str">
        <f>HYPERLINK("https://rhld.insurance.arkansas.gov/NPILookup?Npi=1821752825","1821752825")</f>
        <v>1821752825</v>
      </c>
      <c r="E15473" t="s">
        <v>20058</v>
      </c>
    </row>
    <row r="15474" spans="1:5" x14ac:dyDescent="0.25">
      <c r="A15474" t="s">
        <v>2</v>
      </c>
      <c r="B15474" t="s">
        <v>3458</v>
      </c>
      <c r="C15474" t="s">
        <v>23490</v>
      </c>
      <c r="D15474" t="str">
        <f>HYPERLINK("https://rhld.insurance.arkansas.gov/NPILookup?Npi=1821767260","1821767260")</f>
        <v>1821767260</v>
      </c>
      <c r="E15474" t="s">
        <v>20059</v>
      </c>
    </row>
    <row r="15475" spans="1:5" x14ac:dyDescent="0.25">
      <c r="A15475" t="s">
        <v>2</v>
      </c>
      <c r="B15475" t="s">
        <v>3458</v>
      </c>
      <c r="C15475" t="s">
        <v>23490</v>
      </c>
      <c r="D15475" t="str">
        <f>HYPERLINK("https://rhld.insurance.arkansas.gov/NPILookup?Npi=1831103050","1831103050")</f>
        <v>1831103050</v>
      </c>
      <c r="E15475" t="s">
        <v>2903</v>
      </c>
    </row>
    <row r="15476" spans="1:5" x14ac:dyDescent="0.25">
      <c r="A15476" t="s">
        <v>2</v>
      </c>
      <c r="B15476" t="s">
        <v>3458</v>
      </c>
      <c r="C15476" t="s">
        <v>23490</v>
      </c>
      <c r="D15476" t="str">
        <f>HYPERLINK("https://rhld.insurance.arkansas.gov/NPILookup?Npi=1831105683","1831105683")</f>
        <v>1831105683</v>
      </c>
      <c r="E15476" t="s">
        <v>2904</v>
      </c>
    </row>
    <row r="15477" spans="1:5" x14ac:dyDescent="0.25">
      <c r="A15477" t="s">
        <v>2</v>
      </c>
      <c r="B15477" t="s">
        <v>3458</v>
      </c>
      <c r="C15477" t="s">
        <v>23490</v>
      </c>
      <c r="D15477" t="str">
        <f>HYPERLINK("https://rhld.insurance.arkansas.gov/NPILookup?Npi=1831105980","1831105980")</f>
        <v>1831105980</v>
      </c>
      <c r="E15477" t="s">
        <v>15606</v>
      </c>
    </row>
    <row r="15478" spans="1:5" x14ac:dyDescent="0.25">
      <c r="A15478" t="s">
        <v>2</v>
      </c>
      <c r="B15478" t="s">
        <v>3458</v>
      </c>
      <c r="C15478" t="s">
        <v>23490</v>
      </c>
      <c r="D15478" t="str">
        <f>HYPERLINK("https://rhld.insurance.arkansas.gov/NPILookup?Npi=1831106038","1831106038")</f>
        <v>1831106038</v>
      </c>
      <c r="E15478" t="s">
        <v>3955</v>
      </c>
    </row>
    <row r="15479" spans="1:5" x14ac:dyDescent="0.25">
      <c r="A15479" t="s">
        <v>2</v>
      </c>
      <c r="B15479" t="s">
        <v>3458</v>
      </c>
      <c r="C15479" t="s">
        <v>23490</v>
      </c>
      <c r="D15479" t="str">
        <f>HYPERLINK("https://rhld.insurance.arkansas.gov/NPILookup?Npi=1831108430","1831108430")</f>
        <v>1831108430</v>
      </c>
      <c r="E15479" t="s">
        <v>2905</v>
      </c>
    </row>
    <row r="15480" spans="1:5" x14ac:dyDescent="0.25">
      <c r="A15480" t="s">
        <v>2</v>
      </c>
      <c r="B15480" t="s">
        <v>3458</v>
      </c>
      <c r="C15480" t="s">
        <v>23490</v>
      </c>
      <c r="D15480" t="str">
        <f>HYPERLINK("https://rhld.insurance.arkansas.gov/NPILookup?Npi=1831110758","1831110758")</f>
        <v>1831110758</v>
      </c>
      <c r="E15480" t="s">
        <v>2906</v>
      </c>
    </row>
    <row r="15481" spans="1:5" x14ac:dyDescent="0.25">
      <c r="A15481" t="s">
        <v>2</v>
      </c>
      <c r="B15481" t="s">
        <v>3458</v>
      </c>
      <c r="C15481" t="s">
        <v>23490</v>
      </c>
      <c r="D15481" t="str">
        <f>HYPERLINK("https://rhld.insurance.arkansas.gov/NPILookup?Npi=1831116789","1831116789")</f>
        <v>1831116789</v>
      </c>
      <c r="E15481" t="s">
        <v>3956</v>
      </c>
    </row>
    <row r="15482" spans="1:5" x14ac:dyDescent="0.25">
      <c r="A15482" t="s">
        <v>2</v>
      </c>
      <c r="B15482" t="s">
        <v>3458</v>
      </c>
      <c r="C15482" t="s">
        <v>23490</v>
      </c>
      <c r="D15482" t="str">
        <f>HYPERLINK("https://rhld.insurance.arkansas.gov/NPILookup?Npi=1831125459","1831125459")</f>
        <v>1831125459</v>
      </c>
      <c r="E15482" t="s">
        <v>3957</v>
      </c>
    </row>
    <row r="15483" spans="1:5" x14ac:dyDescent="0.25">
      <c r="A15483" t="s">
        <v>2</v>
      </c>
      <c r="B15483" t="s">
        <v>3458</v>
      </c>
      <c r="C15483" t="s">
        <v>23490</v>
      </c>
      <c r="D15483" t="str">
        <f>HYPERLINK("https://rhld.insurance.arkansas.gov/NPILookup?Npi=1831136787","1831136787")</f>
        <v>1831136787</v>
      </c>
      <c r="E15483" t="s">
        <v>15607</v>
      </c>
    </row>
    <row r="15484" spans="1:5" x14ac:dyDescent="0.25">
      <c r="A15484" t="s">
        <v>2</v>
      </c>
      <c r="B15484" t="s">
        <v>3458</v>
      </c>
      <c r="C15484" t="s">
        <v>23490</v>
      </c>
      <c r="D15484" t="str">
        <f>HYPERLINK("https://rhld.insurance.arkansas.gov/NPILookup?Npi=1831139054","1831139054")</f>
        <v>1831139054</v>
      </c>
      <c r="E15484" t="s">
        <v>15608</v>
      </c>
    </row>
    <row r="15485" spans="1:5" x14ac:dyDescent="0.25">
      <c r="A15485" t="s">
        <v>2</v>
      </c>
      <c r="B15485" t="s">
        <v>3458</v>
      </c>
      <c r="C15485" t="s">
        <v>23490</v>
      </c>
      <c r="D15485" t="str">
        <f>HYPERLINK("https://rhld.insurance.arkansas.gov/NPILookup?Npi=1831140508","1831140508")</f>
        <v>1831140508</v>
      </c>
      <c r="E15485" t="s">
        <v>2908</v>
      </c>
    </row>
    <row r="15486" spans="1:5" x14ac:dyDescent="0.25">
      <c r="A15486" t="s">
        <v>2</v>
      </c>
      <c r="B15486" t="s">
        <v>3458</v>
      </c>
      <c r="C15486" t="s">
        <v>23490</v>
      </c>
      <c r="D15486" t="str">
        <f>HYPERLINK("https://rhld.insurance.arkansas.gov/NPILookup?Npi=1831140672","1831140672")</f>
        <v>1831140672</v>
      </c>
      <c r="E15486" t="s">
        <v>8991</v>
      </c>
    </row>
    <row r="15487" spans="1:5" x14ac:dyDescent="0.25">
      <c r="A15487" t="s">
        <v>2</v>
      </c>
      <c r="B15487" t="s">
        <v>3458</v>
      </c>
      <c r="C15487" t="s">
        <v>23490</v>
      </c>
      <c r="D15487" t="str">
        <f>HYPERLINK("https://rhld.insurance.arkansas.gov/NPILookup?Npi=1831141399","1831141399")</f>
        <v>1831141399</v>
      </c>
      <c r="E15487" t="s">
        <v>15609</v>
      </c>
    </row>
    <row r="15488" spans="1:5" x14ac:dyDescent="0.25">
      <c r="A15488" t="s">
        <v>2</v>
      </c>
      <c r="B15488" t="s">
        <v>3458</v>
      </c>
      <c r="C15488" t="s">
        <v>23490</v>
      </c>
      <c r="D15488" t="str">
        <f>HYPERLINK("https://rhld.insurance.arkansas.gov/NPILookup?Npi=1831149764","1831149764")</f>
        <v>1831149764</v>
      </c>
      <c r="E15488" t="s">
        <v>2910</v>
      </c>
    </row>
    <row r="15489" spans="1:5" x14ac:dyDescent="0.25">
      <c r="A15489" t="s">
        <v>2</v>
      </c>
      <c r="B15489" t="s">
        <v>3458</v>
      </c>
      <c r="C15489" t="s">
        <v>23490</v>
      </c>
      <c r="D15489" t="str">
        <f>HYPERLINK("https://rhld.insurance.arkansas.gov/NPILookup?Npi=1831152081","1831152081")</f>
        <v>1831152081</v>
      </c>
      <c r="E15489" t="s">
        <v>15610</v>
      </c>
    </row>
    <row r="15490" spans="1:5" x14ac:dyDescent="0.25">
      <c r="A15490" t="s">
        <v>2</v>
      </c>
      <c r="B15490" t="s">
        <v>3458</v>
      </c>
      <c r="C15490" t="s">
        <v>23490</v>
      </c>
      <c r="D15490" t="str">
        <f>HYPERLINK("https://rhld.insurance.arkansas.gov/NPILookup?Npi=1831152495","1831152495")</f>
        <v>1831152495</v>
      </c>
      <c r="E15490" t="s">
        <v>3958</v>
      </c>
    </row>
    <row r="15491" spans="1:5" x14ac:dyDescent="0.25">
      <c r="A15491" t="s">
        <v>2</v>
      </c>
      <c r="B15491" t="s">
        <v>3458</v>
      </c>
      <c r="C15491" t="s">
        <v>23490</v>
      </c>
      <c r="D15491" t="str">
        <f>HYPERLINK("https://rhld.insurance.arkansas.gov/NPILookup?Npi=1831154343","1831154343")</f>
        <v>1831154343</v>
      </c>
      <c r="E15491" t="s">
        <v>2911</v>
      </c>
    </row>
    <row r="15492" spans="1:5" x14ac:dyDescent="0.25">
      <c r="A15492" t="s">
        <v>2</v>
      </c>
      <c r="B15492" t="s">
        <v>3458</v>
      </c>
      <c r="C15492" t="s">
        <v>23490</v>
      </c>
      <c r="D15492" t="str">
        <f>HYPERLINK("https://rhld.insurance.arkansas.gov/NPILookup?Npi=1831155191","1831155191")</f>
        <v>1831155191</v>
      </c>
      <c r="E15492" t="s">
        <v>3959</v>
      </c>
    </row>
    <row r="15493" spans="1:5" x14ac:dyDescent="0.25">
      <c r="A15493" t="s">
        <v>2</v>
      </c>
      <c r="B15493" t="s">
        <v>3458</v>
      </c>
      <c r="C15493" t="s">
        <v>23490</v>
      </c>
      <c r="D15493" t="str">
        <f>HYPERLINK("https://rhld.insurance.arkansas.gov/NPILookup?Npi=1831157858","1831157858")</f>
        <v>1831157858</v>
      </c>
      <c r="E15493" t="s">
        <v>2912</v>
      </c>
    </row>
    <row r="15494" spans="1:5" x14ac:dyDescent="0.25">
      <c r="A15494" t="s">
        <v>2</v>
      </c>
      <c r="B15494" t="s">
        <v>3458</v>
      </c>
      <c r="C15494" t="s">
        <v>23490</v>
      </c>
      <c r="D15494" t="str">
        <f>HYPERLINK("https://rhld.insurance.arkansas.gov/NPILookup?Npi=1831158302","1831158302")</f>
        <v>1831158302</v>
      </c>
      <c r="E15494" t="s">
        <v>2913</v>
      </c>
    </row>
    <row r="15495" spans="1:5" x14ac:dyDescent="0.25">
      <c r="A15495" t="s">
        <v>2</v>
      </c>
      <c r="B15495" t="s">
        <v>3458</v>
      </c>
      <c r="C15495" t="s">
        <v>23490</v>
      </c>
      <c r="D15495" t="str">
        <f>HYPERLINK("https://rhld.insurance.arkansas.gov/NPILookup?Npi=1831159185","1831159185")</f>
        <v>1831159185</v>
      </c>
      <c r="E15495" t="s">
        <v>2914</v>
      </c>
    </row>
    <row r="15496" spans="1:5" x14ac:dyDescent="0.25">
      <c r="A15496" t="s">
        <v>2</v>
      </c>
      <c r="B15496" t="s">
        <v>3458</v>
      </c>
      <c r="C15496" t="s">
        <v>23490</v>
      </c>
      <c r="D15496" t="str">
        <f>HYPERLINK("https://rhld.insurance.arkansas.gov/NPILookup?Npi=1831166677","1831166677")</f>
        <v>1831166677</v>
      </c>
      <c r="E15496" t="s">
        <v>2915</v>
      </c>
    </row>
    <row r="15497" spans="1:5" x14ac:dyDescent="0.25">
      <c r="A15497" t="s">
        <v>2</v>
      </c>
      <c r="B15497" t="s">
        <v>3458</v>
      </c>
      <c r="C15497" t="s">
        <v>23490</v>
      </c>
      <c r="D15497" t="str">
        <f>HYPERLINK("https://rhld.insurance.arkansas.gov/NPILookup?Npi=1831168350","1831168350")</f>
        <v>1831168350</v>
      </c>
      <c r="E15497" t="s">
        <v>2916</v>
      </c>
    </row>
    <row r="15498" spans="1:5" x14ac:dyDescent="0.25">
      <c r="A15498" t="s">
        <v>2</v>
      </c>
      <c r="B15498" t="s">
        <v>3458</v>
      </c>
      <c r="C15498" t="s">
        <v>23490</v>
      </c>
      <c r="D15498" t="str">
        <f>HYPERLINK("https://rhld.insurance.arkansas.gov/NPILookup?Npi=1831172444","1831172444")</f>
        <v>1831172444</v>
      </c>
      <c r="E15498" t="s">
        <v>2918</v>
      </c>
    </row>
    <row r="15499" spans="1:5" x14ac:dyDescent="0.25">
      <c r="A15499" t="s">
        <v>2</v>
      </c>
      <c r="B15499" t="s">
        <v>3458</v>
      </c>
      <c r="C15499" t="s">
        <v>23490</v>
      </c>
      <c r="D15499" t="str">
        <f>HYPERLINK("https://rhld.insurance.arkansas.gov/NPILookup?Npi=1831178524","1831178524")</f>
        <v>1831178524</v>
      </c>
      <c r="E15499" t="s">
        <v>2919</v>
      </c>
    </row>
    <row r="15500" spans="1:5" x14ac:dyDescent="0.25">
      <c r="A15500" t="s">
        <v>2</v>
      </c>
      <c r="B15500" t="s">
        <v>3458</v>
      </c>
      <c r="C15500" t="s">
        <v>23490</v>
      </c>
      <c r="D15500" t="str">
        <f>HYPERLINK("https://rhld.insurance.arkansas.gov/NPILookup?Npi=1831179779","1831179779")</f>
        <v>1831179779</v>
      </c>
      <c r="E15500" t="s">
        <v>2920</v>
      </c>
    </row>
    <row r="15501" spans="1:5" x14ac:dyDescent="0.25">
      <c r="A15501" t="s">
        <v>2</v>
      </c>
      <c r="B15501" t="s">
        <v>3458</v>
      </c>
      <c r="C15501" t="s">
        <v>23490</v>
      </c>
      <c r="D15501" t="str">
        <f>HYPERLINK("https://rhld.insurance.arkansas.gov/NPILookup?Npi=1831182526","1831182526")</f>
        <v>1831182526</v>
      </c>
      <c r="E15501" t="s">
        <v>2921</v>
      </c>
    </row>
    <row r="15502" spans="1:5" x14ac:dyDescent="0.25">
      <c r="A15502" t="s">
        <v>2</v>
      </c>
      <c r="B15502" t="s">
        <v>3458</v>
      </c>
      <c r="C15502" t="s">
        <v>23490</v>
      </c>
      <c r="D15502" t="str">
        <f>HYPERLINK("https://rhld.insurance.arkansas.gov/NPILookup?Npi=1831184068","1831184068")</f>
        <v>1831184068</v>
      </c>
      <c r="E15502" t="s">
        <v>2922</v>
      </c>
    </row>
    <row r="15503" spans="1:5" x14ac:dyDescent="0.25">
      <c r="A15503" t="s">
        <v>2</v>
      </c>
      <c r="B15503" t="s">
        <v>3458</v>
      </c>
      <c r="C15503" t="s">
        <v>23490</v>
      </c>
      <c r="D15503" t="str">
        <f>HYPERLINK("https://rhld.insurance.arkansas.gov/NPILookup?Npi=1831184837","1831184837")</f>
        <v>1831184837</v>
      </c>
      <c r="E15503" t="s">
        <v>2923</v>
      </c>
    </row>
    <row r="15504" spans="1:5" x14ac:dyDescent="0.25">
      <c r="A15504" t="s">
        <v>2</v>
      </c>
      <c r="B15504" t="s">
        <v>3458</v>
      </c>
      <c r="C15504" t="s">
        <v>23490</v>
      </c>
      <c r="D15504" t="str">
        <f>HYPERLINK("https://rhld.insurance.arkansas.gov/NPILookup?Npi=1831186741","1831186741")</f>
        <v>1831186741</v>
      </c>
      <c r="E15504" t="s">
        <v>3960</v>
      </c>
    </row>
    <row r="15505" spans="1:5" x14ac:dyDescent="0.25">
      <c r="A15505" t="s">
        <v>2</v>
      </c>
      <c r="B15505" t="s">
        <v>3458</v>
      </c>
      <c r="C15505" t="s">
        <v>23490</v>
      </c>
      <c r="D15505" t="str">
        <f>HYPERLINK("https://rhld.insurance.arkansas.gov/NPILookup?Npi=1831187699","1831187699")</f>
        <v>1831187699</v>
      </c>
      <c r="E15505" t="s">
        <v>2925</v>
      </c>
    </row>
    <row r="15506" spans="1:5" x14ac:dyDescent="0.25">
      <c r="A15506" t="s">
        <v>2</v>
      </c>
      <c r="B15506" t="s">
        <v>3458</v>
      </c>
      <c r="C15506" t="s">
        <v>23490</v>
      </c>
      <c r="D15506" t="str">
        <f>HYPERLINK("https://rhld.insurance.arkansas.gov/NPILookup?Npi=1831190339","1831190339")</f>
        <v>1831190339</v>
      </c>
      <c r="E15506" t="s">
        <v>2574</v>
      </c>
    </row>
    <row r="15507" spans="1:5" x14ac:dyDescent="0.25">
      <c r="A15507" t="s">
        <v>2</v>
      </c>
      <c r="B15507" t="s">
        <v>3458</v>
      </c>
      <c r="C15507" t="s">
        <v>23490</v>
      </c>
      <c r="D15507" t="str">
        <f>HYPERLINK("https://rhld.insurance.arkansas.gov/NPILookup?Npi=1831201292","1831201292")</f>
        <v>1831201292</v>
      </c>
      <c r="E15507" t="s">
        <v>15611</v>
      </c>
    </row>
    <row r="15508" spans="1:5" x14ac:dyDescent="0.25">
      <c r="A15508" t="s">
        <v>2</v>
      </c>
      <c r="B15508" t="s">
        <v>3458</v>
      </c>
      <c r="C15508" t="s">
        <v>23490</v>
      </c>
      <c r="D15508" t="str">
        <f>HYPERLINK("https://rhld.insurance.arkansas.gov/NPILookup?Npi=1831271493","1831271493")</f>
        <v>1831271493</v>
      </c>
      <c r="E15508" t="s">
        <v>2928</v>
      </c>
    </row>
    <row r="15509" spans="1:5" x14ac:dyDescent="0.25">
      <c r="A15509" t="s">
        <v>2</v>
      </c>
      <c r="B15509" t="s">
        <v>3458</v>
      </c>
      <c r="C15509" t="s">
        <v>23490</v>
      </c>
      <c r="D15509" t="str">
        <f>HYPERLINK("https://rhld.insurance.arkansas.gov/NPILookup?Npi=1831272319","1831272319")</f>
        <v>1831272319</v>
      </c>
      <c r="E15509" t="s">
        <v>15612</v>
      </c>
    </row>
    <row r="15510" spans="1:5" x14ac:dyDescent="0.25">
      <c r="A15510" t="s">
        <v>2</v>
      </c>
      <c r="B15510" t="s">
        <v>3458</v>
      </c>
      <c r="C15510" t="s">
        <v>23490</v>
      </c>
      <c r="D15510" t="str">
        <f>HYPERLINK("https://rhld.insurance.arkansas.gov/NPILookup?Npi=1831291533","1831291533")</f>
        <v>1831291533</v>
      </c>
      <c r="E15510" t="s">
        <v>2930</v>
      </c>
    </row>
    <row r="15511" spans="1:5" x14ac:dyDescent="0.25">
      <c r="A15511" t="s">
        <v>2</v>
      </c>
      <c r="B15511" t="s">
        <v>3458</v>
      </c>
      <c r="C15511" t="s">
        <v>23490</v>
      </c>
      <c r="D15511" t="str">
        <f>HYPERLINK("https://rhld.insurance.arkansas.gov/NPILookup?Npi=1831299049","1831299049")</f>
        <v>1831299049</v>
      </c>
      <c r="E15511" t="s">
        <v>22898</v>
      </c>
    </row>
    <row r="15512" spans="1:5" x14ac:dyDescent="0.25">
      <c r="A15512" t="s">
        <v>2</v>
      </c>
      <c r="B15512" t="s">
        <v>3458</v>
      </c>
      <c r="C15512" t="s">
        <v>23490</v>
      </c>
      <c r="D15512" t="str">
        <f>HYPERLINK("https://rhld.insurance.arkansas.gov/NPILookup?Npi=1831349018","1831349018")</f>
        <v>1831349018</v>
      </c>
      <c r="E15512" t="s">
        <v>17483</v>
      </c>
    </row>
    <row r="15513" spans="1:5" x14ac:dyDescent="0.25">
      <c r="A15513" t="s">
        <v>2</v>
      </c>
      <c r="B15513" t="s">
        <v>3458</v>
      </c>
      <c r="C15513" t="s">
        <v>23490</v>
      </c>
      <c r="D15513" t="str">
        <f>HYPERLINK("https://rhld.insurance.arkansas.gov/NPILookup?Npi=1831350339","1831350339")</f>
        <v>1831350339</v>
      </c>
      <c r="E15513" t="s">
        <v>13877</v>
      </c>
    </row>
    <row r="15514" spans="1:5" x14ac:dyDescent="0.25">
      <c r="A15514" t="s">
        <v>2</v>
      </c>
      <c r="B15514" t="s">
        <v>3458</v>
      </c>
      <c r="C15514" t="s">
        <v>23490</v>
      </c>
      <c r="D15514" t="str">
        <f>HYPERLINK("https://rhld.insurance.arkansas.gov/NPILookup?Npi=1831353937","1831353937")</f>
        <v>1831353937</v>
      </c>
      <c r="E15514" t="s">
        <v>3961</v>
      </c>
    </row>
    <row r="15515" spans="1:5" x14ac:dyDescent="0.25">
      <c r="A15515" t="s">
        <v>2</v>
      </c>
      <c r="B15515" t="s">
        <v>3458</v>
      </c>
      <c r="C15515" t="s">
        <v>23490</v>
      </c>
      <c r="D15515" t="str">
        <f>HYPERLINK("https://rhld.insurance.arkansas.gov/NPILookup?Npi=1831354935","1831354935")</f>
        <v>1831354935</v>
      </c>
      <c r="E15515" t="s">
        <v>2932</v>
      </c>
    </row>
    <row r="15516" spans="1:5" x14ac:dyDescent="0.25">
      <c r="A15516" t="s">
        <v>2</v>
      </c>
      <c r="B15516" t="s">
        <v>3458</v>
      </c>
      <c r="C15516" t="s">
        <v>23490</v>
      </c>
      <c r="D15516" t="str">
        <f>HYPERLINK("https://rhld.insurance.arkansas.gov/NPILookup?Npi=1831355064","1831355064")</f>
        <v>1831355064</v>
      </c>
      <c r="E15516" t="s">
        <v>22991</v>
      </c>
    </row>
    <row r="15517" spans="1:5" x14ac:dyDescent="0.25">
      <c r="A15517" t="s">
        <v>2</v>
      </c>
      <c r="B15517" t="s">
        <v>3458</v>
      </c>
      <c r="C15517" t="s">
        <v>23490</v>
      </c>
      <c r="D15517" t="str">
        <f>HYPERLINK("https://rhld.insurance.arkansas.gov/NPILookup?Npi=1831359082","1831359082")</f>
        <v>1831359082</v>
      </c>
      <c r="E15517" t="s">
        <v>2933</v>
      </c>
    </row>
    <row r="15518" spans="1:5" x14ac:dyDescent="0.25">
      <c r="A15518" t="s">
        <v>2</v>
      </c>
      <c r="B15518" t="s">
        <v>3458</v>
      </c>
      <c r="C15518" t="s">
        <v>23490</v>
      </c>
      <c r="D15518" t="str">
        <f>HYPERLINK("https://rhld.insurance.arkansas.gov/NPILookup?Npi=1831363654","1831363654")</f>
        <v>1831363654</v>
      </c>
      <c r="E15518" t="s">
        <v>21760</v>
      </c>
    </row>
    <row r="15519" spans="1:5" x14ac:dyDescent="0.25">
      <c r="A15519" t="s">
        <v>2</v>
      </c>
      <c r="B15519" t="s">
        <v>3458</v>
      </c>
      <c r="C15519" t="s">
        <v>23490</v>
      </c>
      <c r="D15519" t="str">
        <f>HYPERLINK("https://rhld.insurance.arkansas.gov/NPILookup?Npi=1831385772","1831385772")</f>
        <v>1831385772</v>
      </c>
      <c r="E15519" t="s">
        <v>20266</v>
      </c>
    </row>
    <row r="15520" spans="1:5" x14ac:dyDescent="0.25">
      <c r="A15520" t="s">
        <v>2</v>
      </c>
      <c r="B15520" t="s">
        <v>3458</v>
      </c>
      <c r="C15520" t="s">
        <v>23490</v>
      </c>
      <c r="D15520" t="str">
        <f>HYPERLINK("https://rhld.insurance.arkansas.gov/NPILookup?Npi=1831400852","1831400852")</f>
        <v>1831400852</v>
      </c>
      <c r="E15520" t="s">
        <v>2935</v>
      </c>
    </row>
    <row r="15521" spans="1:5" x14ac:dyDescent="0.25">
      <c r="A15521" t="s">
        <v>2</v>
      </c>
      <c r="B15521" t="s">
        <v>3458</v>
      </c>
      <c r="C15521" t="s">
        <v>23490</v>
      </c>
      <c r="D15521" t="str">
        <f>HYPERLINK("https://rhld.insurance.arkansas.gov/NPILookup?Npi=1831439116","1831439116")</f>
        <v>1831439116</v>
      </c>
      <c r="E15521" t="s">
        <v>13738</v>
      </c>
    </row>
    <row r="15522" spans="1:5" x14ac:dyDescent="0.25">
      <c r="A15522" t="s">
        <v>2</v>
      </c>
      <c r="B15522" t="s">
        <v>3458</v>
      </c>
      <c r="C15522" t="s">
        <v>23490</v>
      </c>
      <c r="D15522" t="str">
        <f>HYPERLINK("https://rhld.insurance.arkansas.gov/NPILookup?Npi=1831453208","1831453208")</f>
        <v>1831453208</v>
      </c>
      <c r="E15522" t="s">
        <v>15910</v>
      </c>
    </row>
    <row r="15523" spans="1:5" x14ac:dyDescent="0.25">
      <c r="A15523" t="s">
        <v>2</v>
      </c>
      <c r="B15523" t="s">
        <v>3458</v>
      </c>
      <c r="C15523" t="s">
        <v>23490</v>
      </c>
      <c r="D15523" t="str">
        <f>HYPERLINK("https://rhld.insurance.arkansas.gov/NPILookup?Npi=1831453935","1831453935")</f>
        <v>1831453935</v>
      </c>
      <c r="E15523" t="s">
        <v>2938</v>
      </c>
    </row>
    <row r="15524" spans="1:5" x14ac:dyDescent="0.25">
      <c r="A15524" t="s">
        <v>2</v>
      </c>
      <c r="B15524" t="s">
        <v>3458</v>
      </c>
      <c r="C15524" t="s">
        <v>23490</v>
      </c>
      <c r="D15524" t="str">
        <f>HYPERLINK("https://rhld.insurance.arkansas.gov/NPILookup?Npi=1831486992","1831486992")</f>
        <v>1831486992</v>
      </c>
      <c r="E15524" t="s">
        <v>15911</v>
      </c>
    </row>
    <row r="15525" spans="1:5" x14ac:dyDescent="0.25">
      <c r="A15525" t="s">
        <v>2</v>
      </c>
      <c r="B15525" t="s">
        <v>3458</v>
      </c>
      <c r="C15525" t="s">
        <v>23490</v>
      </c>
      <c r="D15525" t="str">
        <f>HYPERLINK("https://rhld.insurance.arkansas.gov/NPILookup?Npi=1831504638","1831504638")</f>
        <v>1831504638</v>
      </c>
      <c r="E15525" t="s">
        <v>2940</v>
      </c>
    </row>
    <row r="15526" spans="1:5" x14ac:dyDescent="0.25">
      <c r="A15526" t="s">
        <v>2</v>
      </c>
      <c r="B15526" t="s">
        <v>3458</v>
      </c>
      <c r="C15526" t="s">
        <v>23490</v>
      </c>
      <c r="D15526" t="str">
        <f>HYPERLINK("https://rhld.insurance.arkansas.gov/NPILookup?Npi=1831514306","1831514306")</f>
        <v>1831514306</v>
      </c>
      <c r="E15526" t="s">
        <v>2942</v>
      </c>
    </row>
    <row r="15527" spans="1:5" x14ac:dyDescent="0.25">
      <c r="A15527" t="s">
        <v>2</v>
      </c>
      <c r="B15527" t="s">
        <v>3458</v>
      </c>
      <c r="C15527" t="s">
        <v>23490</v>
      </c>
      <c r="D15527" t="str">
        <f>HYPERLINK("https://rhld.insurance.arkansas.gov/NPILookup?Npi=1831524909","1831524909")</f>
        <v>1831524909</v>
      </c>
      <c r="E15527" t="s">
        <v>15613</v>
      </c>
    </row>
    <row r="15528" spans="1:5" x14ac:dyDescent="0.25">
      <c r="A15528" t="s">
        <v>2</v>
      </c>
      <c r="B15528" t="s">
        <v>3458</v>
      </c>
      <c r="C15528" t="s">
        <v>23490</v>
      </c>
      <c r="D15528" t="str">
        <f>HYPERLINK("https://rhld.insurance.arkansas.gov/NPILookup?Npi=1831526615","1831526615")</f>
        <v>1831526615</v>
      </c>
      <c r="E15528" t="s">
        <v>2944</v>
      </c>
    </row>
    <row r="15529" spans="1:5" x14ac:dyDescent="0.25">
      <c r="A15529" t="s">
        <v>2</v>
      </c>
      <c r="B15529" t="s">
        <v>3458</v>
      </c>
      <c r="C15529" t="s">
        <v>23490</v>
      </c>
      <c r="D15529" t="str">
        <f>HYPERLINK("https://rhld.insurance.arkansas.gov/NPILookup?Npi=1831532175","1831532175")</f>
        <v>1831532175</v>
      </c>
      <c r="E15529" t="s">
        <v>11483</v>
      </c>
    </row>
    <row r="15530" spans="1:5" x14ac:dyDescent="0.25">
      <c r="A15530" t="s">
        <v>2</v>
      </c>
      <c r="B15530" t="s">
        <v>3458</v>
      </c>
      <c r="C15530" t="s">
        <v>23490</v>
      </c>
      <c r="D15530" t="str">
        <f>HYPERLINK("https://rhld.insurance.arkansas.gov/NPILookup?Npi=1831532332","1831532332")</f>
        <v>1831532332</v>
      </c>
      <c r="E15530" t="s">
        <v>13878</v>
      </c>
    </row>
    <row r="15531" spans="1:5" x14ac:dyDescent="0.25">
      <c r="A15531" t="s">
        <v>2</v>
      </c>
      <c r="B15531" t="s">
        <v>3458</v>
      </c>
      <c r="C15531" t="s">
        <v>23490</v>
      </c>
      <c r="D15531" t="str">
        <f>HYPERLINK("https://rhld.insurance.arkansas.gov/NPILookup?Npi=1831532837","1831532837")</f>
        <v>1831532837</v>
      </c>
      <c r="E15531" t="s">
        <v>11484</v>
      </c>
    </row>
    <row r="15532" spans="1:5" x14ac:dyDescent="0.25">
      <c r="A15532" t="s">
        <v>2</v>
      </c>
      <c r="B15532" t="s">
        <v>3458</v>
      </c>
      <c r="C15532" t="s">
        <v>23490</v>
      </c>
      <c r="D15532" t="str">
        <f>HYPERLINK("https://rhld.insurance.arkansas.gov/NPILookup?Npi=1831540749","1831540749")</f>
        <v>1831540749</v>
      </c>
      <c r="E15532" t="s">
        <v>15614</v>
      </c>
    </row>
    <row r="15533" spans="1:5" x14ac:dyDescent="0.25">
      <c r="A15533" t="s">
        <v>2</v>
      </c>
      <c r="B15533" t="s">
        <v>3458</v>
      </c>
      <c r="C15533" t="s">
        <v>23490</v>
      </c>
      <c r="D15533" t="str">
        <f>HYPERLINK("https://rhld.insurance.arkansas.gov/NPILookup?Npi=1831541051","1831541051")</f>
        <v>1831541051</v>
      </c>
      <c r="E15533" t="s">
        <v>11485</v>
      </c>
    </row>
    <row r="15534" spans="1:5" x14ac:dyDescent="0.25">
      <c r="A15534" t="s">
        <v>2</v>
      </c>
      <c r="B15534" t="s">
        <v>3458</v>
      </c>
      <c r="C15534" t="s">
        <v>23490</v>
      </c>
      <c r="D15534" t="str">
        <f>HYPERLINK("https://rhld.insurance.arkansas.gov/NPILookup?Npi=1831547421","1831547421")</f>
        <v>1831547421</v>
      </c>
      <c r="E15534" t="s">
        <v>15615</v>
      </c>
    </row>
    <row r="15535" spans="1:5" x14ac:dyDescent="0.25">
      <c r="A15535" t="s">
        <v>2</v>
      </c>
      <c r="B15535" t="s">
        <v>3458</v>
      </c>
      <c r="C15535" t="s">
        <v>23490</v>
      </c>
      <c r="D15535" t="str">
        <f>HYPERLINK("https://rhld.insurance.arkansas.gov/NPILookup?Npi=1831548270","1831548270")</f>
        <v>1831548270</v>
      </c>
      <c r="E15535" t="s">
        <v>13740</v>
      </c>
    </row>
    <row r="15536" spans="1:5" x14ac:dyDescent="0.25">
      <c r="A15536" t="s">
        <v>2</v>
      </c>
      <c r="B15536" t="s">
        <v>3458</v>
      </c>
      <c r="C15536" t="s">
        <v>23490</v>
      </c>
      <c r="D15536" t="str">
        <f>HYPERLINK("https://rhld.insurance.arkansas.gov/NPILookup?Npi=1831553999","1831553999")</f>
        <v>1831553999</v>
      </c>
      <c r="E15536" t="s">
        <v>11307</v>
      </c>
    </row>
    <row r="15537" spans="1:5" x14ac:dyDescent="0.25">
      <c r="A15537" t="s">
        <v>2</v>
      </c>
      <c r="B15537" t="s">
        <v>3458</v>
      </c>
      <c r="C15537" t="s">
        <v>23490</v>
      </c>
      <c r="D15537" t="str">
        <f>HYPERLINK("https://rhld.insurance.arkansas.gov/NPILookup?Npi=1831561828","1831561828")</f>
        <v>1831561828</v>
      </c>
      <c r="E15537" t="s">
        <v>8879</v>
      </c>
    </row>
    <row r="15538" spans="1:5" x14ac:dyDescent="0.25">
      <c r="A15538" t="s">
        <v>2</v>
      </c>
      <c r="B15538" t="s">
        <v>3458</v>
      </c>
      <c r="C15538" t="s">
        <v>23490</v>
      </c>
      <c r="D15538" t="str">
        <f>HYPERLINK("https://rhld.insurance.arkansas.gov/NPILookup?Npi=1831573468","1831573468")</f>
        <v>1831573468</v>
      </c>
      <c r="E15538" t="s">
        <v>8880</v>
      </c>
    </row>
    <row r="15539" spans="1:5" x14ac:dyDescent="0.25">
      <c r="A15539" t="s">
        <v>2</v>
      </c>
      <c r="B15539" t="s">
        <v>3458</v>
      </c>
      <c r="C15539" t="s">
        <v>23490</v>
      </c>
      <c r="D15539" t="str">
        <f>HYPERLINK("https://rhld.insurance.arkansas.gov/NPILookup?Npi=1831580018","1831580018")</f>
        <v>1831580018</v>
      </c>
      <c r="E15539" t="s">
        <v>8881</v>
      </c>
    </row>
    <row r="15540" spans="1:5" x14ac:dyDescent="0.25">
      <c r="A15540" t="s">
        <v>2</v>
      </c>
      <c r="B15540" t="s">
        <v>3458</v>
      </c>
      <c r="C15540" t="s">
        <v>23490</v>
      </c>
      <c r="D15540" t="str">
        <f>HYPERLINK("https://rhld.insurance.arkansas.gov/NPILookup?Npi=1831584622","1831584622")</f>
        <v>1831584622</v>
      </c>
      <c r="E15540" t="s">
        <v>11308</v>
      </c>
    </row>
    <row r="15541" spans="1:5" x14ac:dyDescent="0.25">
      <c r="A15541" t="s">
        <v>2</v>
      </c>
      <c r="B15541" t="s">
        <v>3458</v>
      </c>
      <c r="C15541" t="s">
        <v>23490</v>
      </c>
      <c r="D15541" t="str">
        <f>HYPERLINK("https://rhld.insurance.arkansas.gov/NPILookup?Npi=1831589720","1831589720")</f>
        <v>1831589720</v>
      </c>
      <c r="E15541" t="s">
        <v>11309</v>
      </c>
    </row>
    <row r="15542" spans="1:5" x14ac:dyDescent="0.25">
      <c r="A15542" t="s">
        <v>2</v>
      </c>
      <c r="B15542" t="s">
        <v>3458</v>
      </c>
      <c r="C15542" t="s">
        <v>23490</v>
      </c>
      <c r="D15542" t="str">
        <f>HYPERLINK("https://rhld.insurance.arkansas.gov/NPILookup?Npi=1831602135","1831602135")</f>
        <v>1831602135</v>
      </c>
      <c r="E15542" t="s">
        <v>13741</v>
      </c>
    </row>
    <row r="15543" spans="1:5" x14ac:dyDescent="0.25">
      <c r="A15543" t="s">
        <v>2</v>
      </c>
      <c r="B15543" t="s">
        <v>3458</v>
      </c>
      <c r="C15543" t="s">
        <v>23490</v>
      </c>
      <c r="D15543" t="str">
        <f>HYPERLINK("https://rhld.insurance.arkansas.gov/NPILookup?Npi=1831610765","1831610765")</f>
        <v>1831610765</v>
      </c>
      <c r="E15543" t="s">
        <v>11310</v>
      </c>
    </row>
    <row r="15544" spans="1:5" x14ac:dyDescent="0.25">
      <c r="A15544" t="s">
        <v>2</v>
      </c>
      <c r="B15544" t="s">
        <v>3458</v>
      </c>
      <c r="C15544" t="s">
        <v>23490</v>
      </c>
      <c r="D15544" t="str">
        <f>HYPERLINK("https://rhld.insurance.arkansas.gov/NPILookup?Npi=1831620434","1831620434")</f>
        <v>1831620434</v>
      </c>
      <c r="E15544" t="s">
        <v>11311</v>
      </c>
    </row>
    <row r="15545" spans="1:5" x14ac:dyDescent="0.25">
      <c r="A15545" t="s">
        <v>2</v>
      </c>
      <c r="B15545" t="s">
        <v>3458</v>
      </c>
      <c r="C15545" t="s">
        <v>23490</v>
      </c>
      <c r="D15545" t="str">
        <f>HYPERLINK("https://rhld.insurance.arkansas.gov/NPILookup?Npi=1831620509","1831620509")</f>
        <v>1831620509</v>
      </c>
      <c r="E15545" t="s">
        <v>11312</v>
      </c>
    </row>
    <row r="15546" spans="1:5" x14ac:dyDescent="0.25">
      <c r="A15546" t="s">
        <v>2</v>
      </c>
      <c r="B15546" t="s">
        <v>3458</v>
      </c>
      <c r="C15546" t="s">
        <v>23490</v>
      </c>
      <c r="D15546" t="str">
        <f>HYPERLINK("https://rhld.insurance.arkansas.gov/NPILookup?Npi=1831621952","1831621952")</f>
        <v>1831621952</v>
      </c>
      <c r="E15546" t="s">
        <v>13742</v>
      </c>
    </row>
    <row r="15547" spans="1:5" x14ac:dyDescent="0.25">
      <c r="A15547" t="s">
        <v>2</v>
      </c>
      <c r="B15547" t="s">
        <v>3458</v>
      </c>
      <c r="C15547" t="s">
        <v>23490</v>
      </c>
      <c r="D15547" t="str">
        <f>HYPERLINK("https://rhld.insurance.arkansas.gov/NPILookup?Npi=1831624014","1831624014")</f>
        <v>1831624014</v>
      </c>
      <c r="E15547" t="s">
        <v>20061</v>
      </c>
    </row>
    <row r="15548" spans="1:5" x14ac:dyDescent="0.25">
      <c r="A15548" t="s">
        <v>2</v>
      </c>
      <c r="B15548" t="s">
        <v>3458</v>
      </c>
      <c r="C15548" t="s">
        <v>23490</v>
      </c>
      <c r="D15548" t="str">
        <f>HYPERLINK("https://rhld.insurance.arkansas.gov/NPILookup?Npi=1831637412","1831637412")</f>
        <v>1831637412</v>
      </c>
      <c r="E15548" t="s">
        <v>11314</v>
      </c>
    </row>
    <row r="15549" spans="1:5" x14ac:dyDescent="0.25">
      <c r="A15549" t="s">
        <v>2</v>
      </c>
      <c r="B15549" t="s">
        <v>3458</v>
      </c>
      <c r="C15549" t="s">
        <v>23490</v>
      </c>
      <c r="D15549" t="str">
        <f>HYPERLINK("https://rhld.insurance.arkansas.gov/NPILookup?Npi=1831662246","1831662246")</f>
        <v>1831662246</v>
      </c>
      <c r="E15549" t="s">
        <v>13743</v>
      </c>
    </row>
    <row r="15550" spans="1:5" x14ac:dyDescent="0.25">
      <c r="A15550" t="s">
        <v>2</v>
      </c>
      <c r="B15550" t="s">
        <v>3458</v>
      </c>
      <c r="C15550" t="s">
        <v>23490</v>
      </c>
      <c r="D15550" t="str">
        <f>HYPERLINK("https://rhld.insurance.arkansas.gov/NPILookup?Npi=1831673789","1831673789")</f>
        <v>1831673789</v>
      </c>
      <c r="E15550" t="s">
        <v>21052</v>
      </c>
    </row>
    <row r="15551" spans="1:5" x14ac:dyDescent="0.25">
      <c r="A15551" t="s">
        <v>2</v>
      </c>
      <c r="B15551" t="s">
        <v>3458</v>
      </c>
      <c r="C15551" t="s">
        <v>23490</v>
      </c>
      <c r="D15551" t="str">
        <f>HYPERLINK("https://rhld.insurance.arkansas.gov/NPILookup?Npi=1831678671","1831678671")</f>
        <v>1831678671</v>
      </c>
      <c r="E15551" t="s">
        <v>15616</v>
      </c>
    </row>
    <row r="15552" spans="1:5" x14ac:dyDescent="0.25">
      <c r="A15552" t="s">
        <v>2</v>
      </c>
      <c r="B15552" t="s">
        <v>3458</v>
      </c>
      <c r="C15552" t="s">
        <v>23490</v>
      </c>
      <c r="D15552" t="str">
        <f>HYPERLINK("https://rhld.insurance.arkansas.gov/NPILookup?Npi=1831714591","1831714591")</f>
        <v>1831714591</v>
      </c>
      <c r="E15552" t="s">
        <v>20063</v>
      </c>
    </row>
    <row r="15553" spans="1:5" x14ac:dyDescent="0.25">
      <c r="A15553" t="s">
        <v>2</v>
      </c>
      <c r="B15553" t="s">
        <v>3458</v>
      </c>
      <c r="C15553" t="s">
        <v>23490</v>
      </c>
      <c r="D15553" t="str">
        <f>HYPERLINK("https://rhld.insurance.arkansas.gov/NPILookup?Npi=1831717115","1831717115")</f>
        <v>1831717115</v>
      </c>
      <c r="E15553" t="s">
        <v>18440</v>
      </c>
    </row>
    <row r="15554" spans="1:5" x14ac:dyDescent="0.25">
      <c r="A15554" t="s">
        <v>2</v>
      </c>
      <c r="B15554" t="s">
        <v>3458</v>
      </c>
      <c r="C15554" t="s">
        <v>8427</v>
      </c>
      <c r="D15554" t="str">
        <f>HYPERLINK("https://rhld.insurance.arkansas.gov/NPILookup?Npi=1831727148","1831727148")</f>
        <v>1831727148</v>
      </c>
      <c r="E15554" t="s">
        <v>22992</v>
      </c>
    </row>
    <row r="15555" spans="1:5" x14ac:dyDescent="0.25">
      <c r="A15555" t="s">
        <v>2</v>
      </c>
      <c r="B15555" t="s">
        <v>3458</v>
      </c>
      <c r="C15555" t="s">
        <v>23490</v>
      </c>
      <c r="D15555" t="str">
        <f>HYPERLINK("https://rhld.insurance.arkansas.gov/NPILookup?Npi=1831780097","1831780097")</f>
        <v>1831780097</v>
      </c>
      <c r="E15555" t="s">
        <v>18142</v>
      </c>
    </row>
    <row r="15556" spans="1:5" x14ac:dyDescent="0.25">
      <c r="A15556" t="s">
        <v>2</v>
      </c>
      <c r="B15556" t="s">
        <v>3458</v>
      </c>
      <c r="C15556" t="s">
        <v>23490</v>
      </c>
      <c r="D15556" t="str">
        <f>HYPERLINK("https://rhld.insurance.arkansas.gov/NPILookup?Npi=1831780337","1831780337")</f>
        <v>1831780337</v>
      </c>
      <c r="E15556" t="s">
        <v>18143</v>
      </c>
    </row>
    <row r="15557" spans="1:5" x14ac:dyDescent="0.25">
      <c r="A15557" t="s">
        <v>2</v>
      </c>
      <c r="B15557" t="s">
        <v>3458</v>
      </c>
      <c r="C15557" t="s">
        <v>23490</v>
      </c>
      <c r="D15557" t="str">
        <f>HYPERLINK("https://rhld.insurance.arkansas.gov/NPILookup?Npi=1831807650","1831807650")</f>
        <v>1831807650</v>
      </c>
      <c r="E15557" t="s">
        <v>21661</v>
      </c>
    </row>
    <row r="15558" spans="1:5" x14ac:dyDescent="0.25">
      <c r="A15558" t="s">
        <v>2</v>
      </c>
      <c r="B15558" t="s">
        <v>3458</v>
      </c>
      <c r="C15558" t="s">
        <v>23490</v>
      </c>
      <c r="D15558" t="str">
        <f>HYPERLINK("https://rhld.insurance.arkansas.gov/NPILookup?Npi=1831831833","1831831833")</f>
        <v>1831831833</v>
      </c>
      <c r="E15558" t="s">
        <v>21053</v>
      </c>
    </row>
    <row r="15559" spans="1:5" x14ac:dyDescent="0.25">
      <c r="A15559" t="s">
        <v>2</v>
      </c>
      <c r="B15559" t="s">
        <v>3458</v>
      </c>
      <c r="C15559" t="s">
        <v>23490</v>
      </c>
      <c r="D15559" t="str">
        <f>HYPERLINK("https://rhld.insurance.arkansas.gov/NPILookup?Npi=1831833383","1831833383")</f>
        <v>1831833383</v>
      </c>
      <c r="E15559" t="s">
        <v>20065</v>
      </c>
    </row>
    <row r="15560" spans="1:5" x14ac:dyDescent="0.25">
      <c r="A15560" t="s">
        <v>2</v>
      </c>
      <c r="B15560" t="s">
        <v>3458</v>
      </c>
      <c r="C15560" t="s">
        <v>23490</v>
      </c>
      <c r="D15560" t="str">
        <f>HYPERLINK("https://rhld.insurance.arkansas.gov/NPILookup?Npi=1831834829","1831834829")</f>
        <v>1831834829</v>
      </c>
      <c r="E15560" t="s">
        <v>21054</v>
      </c>
    </row>
    <row r="15561" spans="1:5" x14ac:dyDescent="0.25">
      <c r="A15561" t="s">
        <v>2</v>
      </c>
      <c r="B15561" t="s">
        <v>3458</v>
      </c>
      <c r="C15561" t="s">
        <v>23490</v>
      </c>
      <c r="D15561" t="str">
        <f>HYPERLINK("https://rhld.insurance.arkansas.gov/NPILookup?Npi=1831850130","1831850130")</f>
        <v>1831850130</v>
      </c>
      <c r="E15561" t="s">
        <v>20066</v>
      </c>
    </row>
    <row r="15562" spans="1:5" x14ac:dyDescent="0.25">
      <c r="A15562" t="s">
        <v>2</v>
      </c>
      <c r="B15562" t="s">
        <v>3458</v>
      </c>
      <c r="C15562" t="s">
        <v>23490</v>
      </c>
      <c r="D15562" t="str">
        <f>HYPERLINK("https://rhld.insurance.arkansas.gov/NPILookup?Npi=1841213238","1841213238")</f>
        <v>1841213238</v>
      </c>
      <c r="E15562" t="s">
        <v>2945</v>
      </c>
    </row>
    <row r="15563" spans="1:5" x14ac:dyDescent="0.25">
      <c r="A15563" t="s">
        <v>2</v>
      </c>
      <c r="B15563" t="s">
        <v>3458</v>
      </c>
      <c r="C15563" t="s">
        <v>23490</v>
      </c>
      <c r="D15563" t="str">
        <f>HYPERLINK("https://rhld.insurance.arkansas.gov/NPILookup?Npi=1841223377","1841223377")</f>
        <v>1841223377</v>
      </c>
      <c r="E15563" t="s">
        <v>15617</v>
      </c>
    </row>
    <row r="15564" spans="1:5" x14ac:dyDescent="0.25">
      <c r="A15564" t="s">
        <v>2</v>
      </c>
      <c r="B15564" t="s">
        <v>3458</v>
      </c>
      <c r="C15564" t="s">
        <v>23490</v>
      </c>
      <c r="D15564" t="str">
        <f>HYPERLINK("https://rhld.insurance.arkansas.gov/NPILookup?Npi=1841227071","1841227071")</f>
        <v>1841227071</v>
      </c>
      <c r="E15564" t="s">
        <v>2947</v>
      </c>
    </row>
    <row r="15565" spans="1:5" x14ac:dyDescent="0.25">
      <c r="A15565" t="s">
        <v>2</v>
      </c>
      <c r="B15565" t="s">
        <v>3458</v>
      </c>
      <c r="C15565" t="s">
        <v>23490</v>
      </c>
      <c r="D15565" t="str">
        <f>HYPERLINK("https://rhld.insurance.arkansas.gov/NPILookup?Npi=1841229903","1841229903")</f>
        <v>1841229903</v>
      </c>
      <c r="E15565" t="s">
        <v>15618</v>
      </c>
    </row>
    <row r="15566" spans="1:5" x14ac:dyDescent="0.25">
      <c r="A15566" t="s">
        <v>2</v>
      </c>
      <c r="B15566" t="s">
        <v>3458</v>
      </c>
      <c r="C15566" t="s">
        <v>23490</v>
      </c>
      <c r="D15566" t="str">
        <f>HYPERLINK("https://rhld.insurance.arkansas.gov/NPILookup?Npi=1841238342","1841238342")</f>
        <v>1841238342</v>
      </c>
      <c r="E15566" t="s">
        <v>15619</v>
      </c>
    </row>
    <row r="15567" spans="1:5" x14ac:dyDescent="0.25">
      <c r="A15567" t="s">
        <v>2</v>
      </c>
      <c r="B15567" t="s">
        <v>3458</v>
      </c>
      <c r="C15567" t="s">
        <v>23490</v>
      </c>
      <c r="D15567" t="str">
        <f>HYPERLINK("https://rhld.insurance.arkansas.gov/NPILookup?Npi=1841244720","1841244720")</f>
        <v>1841244720</v>
      </c>
      <c r="E15567" t="s">
        <v>2950</v>
      </c>
    </row>
    <row r="15568" spans="1:5" x14ac:dyDescent="0.25">
      <c r="A15568" t="s">
        <v>2</v>
      </c>
      <c r="B15568" t="s">
        <v>3458</v>
      </c>
      <c r="C15568" t="s">
        <v>23490</v>
      </c>
      <c r="D15568" t="str">
        <f>HYPERLINK("https://rhld.insurance.arkansas.gov/NPILookup?Npi=1841257730","1841257730")</f>
        <v>1841257730</v>
      </c>
      <c r="E15568" t="s">
        <v>11315</v>
      </c>
    </row>
    <row r="15569" spans="1:5" x14ac:dyDescent="0.25">
      <c r="A15569" t="s">
        <v>2</v>
      </c>
      <c r="B15569" t="s">
        <v>3458</v>
      </c>
      <c r="C15569" t="s">
        <v>23490</v>
      </c>
      <c r="D15569" t="str">
        <f>HYPERLINK("https://rhld.insurance.arkansas.gov/NPILookup?Npi=1841257813","1841257813")</f>
        <v>1841257813</v>
      </c>
      <c r="E15569" t="s">
        <v>2951</v>
      </c>
    </row>
    <row r="15570" spans="1:5" x14ac:dyDescent="0.25">
      <c r="A15570" t="s">
        <v>2</v>
      </c>
      <c r="B15570" t="s">
        <v>3458</v>
      </c>
      <c r="C15570" t="s">
        <v>23490</v>
      </c>
      <c r="D15570" t="str">
        <f>HYPERLINK("https://rhld.insurance.arkansas.gov/NPILookup?Npi=1841260122","1841260122")</f>
        <v>1841260122</v>
      </c>
      <c r="E15570" t="s">
        <v>2952</v>
      </c>
    </row>
    <row r="15571" spans="1:5" x14ac:dyDescent="0.25">
      <c r="A15571" t="s">
        <v>2</v>
      </c>
      <c r="B15571" t="s">
        <v>3458</v>
      </c>
      <c r="C15571" t="s">
        <v>23490</v>
      </c>
      <c r="D15571" t="str">
        <f>HYPERLINK("https://rhld.insurance.arkansas.gov/NPILookup?Npi=1841260700","1841260700")</f>
        <v>1841260700</v>
      </c>
      <c r="E15571" t="s">
        <v>8992</v>
      </c>
    </row>
    <row r="15572" spans="1:5" x14ac:dyDescent="0.25">
      <c r="A15572" t="s">
        <v>2</v>
      </c>
      <c r="B15572" t="s">
        <v>3458</v>
      </c>
      <c r="C15572" t="s">
        <v>23490</v>
      </c>
      <c r="D15572" t="str">
        <f>HYPERLINK("https://rhld.insurance.arkansas.gov/NPILookup?Npi=1841276003","1841276003")</f>
        <v>1841276003</v>
      </c>
      <c r="E15572" t="s">
        <v>2953</v>
      </c>
    </row>
    <row r="15573" spans="1:5" x14ac:dyDescent="0.25">
      <c r="A15573" t="s">
        <v>2</v>
      </c>
      <c r="B15573" t="s">
        <v>3458</v>
      </c>
      <c r="C15573" t="s">
        <v>23490</v>
      </c>
      <c r="D15573" t="str">
        <f>HYPERLINK("https://rhld.insurance.arkansas.gov/NPILookup?Npi=1841278520","1841278520")</f>
        <v>1841278520</v>
      </c>
      <c r="E15573" t="s">
        <v>15620</v>
      </c>
    </row>
    <row r="15574" spans="1:5" x14ac:dyDescent="0.25">
      <c r="A15574" t="s">
        <v>2</v>
      </c>
      <c r="B15574" t="s">
        <v>3458</v>
      </c>
      <c r="C15574" t="s">
        <v>23490</v>
      </c>
      <c r="D15574" t="str">
        <f>HYPERLINK("https://rhld.insurance.arkansas.gov/NPILookup?Npi=1841278611","1841278611")</f>
        <v>1841278611</v>
      </c>
      <c r="E15574" t="s">
        <v>2954</v>
      </c>
    </row>
    <row r="15575" spans="1:5" x14ac:dyDescent="0.25">
      <c r="A15575" t="s">
        <v>2</v>
      </c>
      <c r="B15575" t="s">
        <v>3458</v>
      </c>
      <c r="C15575" t="s">
        <v>23490</v>
      </c>
      <c r="D15575" t="str">
        <f>HYPERLINK("https://rhld.insurance.arkansas.gov/NPILookup?Npi=1841279254","1841279254")</f>
        <v>1841279254</v>
      </c>
      <c r="E15575" t="s">
        <v>18877</v>
      </c>
    </row>
    <row r="15576" spans="1:5" x14ac:dyDescent="0.25">
      <c r="A15576" t="s">
        <v>2</v>
      </c>
      <c r="B15576" t="s">
        <v>3458</v>
      </c>
      <c r="C15576" t="s">
        <v>23490</v>
      </c>
      <c r="D15576" t="str">
        <f>HYPERLINK("https://rhld.insurance.arkansas.gov/NPILookup?Npi=1841285228","1841285228")</f>
        <v>1841285228</v>
      </c>
      <c r="E15576" t="s">
        <v>15621</v>
      </c>
    </row>
    <row r="15577" spans="1:5" x14ac:dyDescent="0.25">
      <c r="A15577" t="s">
        <v>2</v>
      </c>
      <c r="B15577" t="s">
        <v>3458</v>
      </c>
      <c r="C15577" t="s">
        <v>23490</v>
      </c>
      <c r="D15577" t="str">
        <f>HYPERLINK("https://rhld.insurance.arkansas.gov/NPILookup?Npi=1841293537","1841293537")</f>
        <v>1841293537</v>
      </c>
      <c r="E15577" t="s">
        <v>2956</v>
      </c>
    </row>
    <row r="15578" spans="1:5" x14ac:dyDescent="0.25">
      <c r="A15578" t="s">
        <v>2</v>
      </c>
      <c r="B15578" t="s">
        <v>3458</v>
      </c>
      <c r="C15578" t="s">
        <v>23490</v>
      </c>
      <c r="D15578" t="str">
        <f>HYPERLINK("https://rhld.insurance.arkansas.gov/NPILookup?Npi=1841315678","1841315678")</f>
        <v>1841315678</v>
      </c>
      <c r="E15578" t="s">
        <v>15622</v>
      </c>
    </row>
    <row r="15579" spans="1:5" x14ac:dyDescent="0.25">
      <c r="A15579" t="s">
        <v>2</v>
      </c>
      <c r="B15579" t="s">
        <v>3458</v>
      </c>
      <c r="C15579" t="s">
        <v>23490</v>
      </c>
      <c r="D15579" t="str">
        <f>HYPERLINK("https://rhld.insurance.arkansas.gov/NPILookup?Npi=1841380326","1841380326")</f>
        <v>1841380326</v>
      </c>
      <c r="E15579" t="s">
        <v>2960</v>
      </c>
    </row>
    <row r="15580" spans="1:5" x14ac:dyDescent="0.25">
      <c r="A15580" t="s">
        <v>2</v>
      </c>
      <c r="B15580" t="s">
        <v>3458</v>
      </c>
      <c r="C15580" t="s">
        <v>23490</v>
      </c>
      <c r="D15580" t="str">
        <f>HYPERLINK("https://rhld.insurance.arkansas.gov/NPILookup?Npi=1841386281","1841386281")</f>
        <v>1841386281</v>
      </c>
      <c r="E15580" t="s">
        <v>15623</v>
      </c>
    </row>
    <row r="15581" spans="1:5" x14ac:dyDescent="0.25">
      <c r="A15581" t="s">
        <v>2</v>
      </c>
      <c r="B15581" t="s">
        <v>3458</v>
      </c>
      <c r="C15581" t="s">
        <v>23490</v>
      </c>
      <c r="D15581" t="str">
        <f>HYPERLINK("https://rhld.insurance.arkansas.gov/NPILookup?Npi=1841392784","1841392784")</f>
        <v>1841392784</v>
      </c>
      <c r="E15581" t="s">
        <v>18878</v>
      </c>
    </row>
    <row r="15582" spans="1:5" x14ac:dyDescent="0.25">
      <c r="A15582" t="s">
        <v>2</v>
      </c>
      <c r="B15582" t="s">
        <v>3458</v>
      </c>
      <c r="C15582" t="s">
        <v>23490</v>
      </c>
      <c r="D15582" t="str">
        <f>HYPERLINK("https://rhld.insurance.arkansas.gov/NPILookup?Npi=1841396611","1841396611")</f>
        <v>1841396611</v>
      </c>
      <c r="E15582" t="s">
        <v>3963</v>
      </c>
    </row>
    <row r="15583" spans="1:5" x14ac:dyDescent="0.25">
      <c r="A15583" t="s">
        <v>2</v>
      </c>
      <c r="B15583" t="s">
        <v>3458</v>
      </c>
      <c r="C15583" t="s">
        <v>23490</v>
      </c>
      <c r="D15583" t="str">
        <f>HYPERLINK("https://rhld.insurance.arkansas.gov/NPILookup?Npi=1841404035","1841404035")</f>
        <v>1841404035</v>
      </c>
      <c r="E15583" t="s">
        <v>15624</v>
      </c>
    </row>
    <row r="15584" spans="1:5" x14ac:dyDescent="0.25">
      <c r="A15584" t="s">
        <v>2</v>
      </c>
      <c r="B15584" t="s">
        <v>3458</v>
      </c>
      <c r="C15584" t="s">
        <v>23490</v>
      </c>
      <c r="D15584" t="str">
        <f>HYPERLINK("https://rhld.insurance.arkansas.gov/NPILookup?Npi=1841419173","1841419173")</f>
        <v>1841419173</v>
      </c>
      <c r="E15584" t="s">
        <v>3964</v>
      </c>
    </row>
    <row r="15585" spans="1:5" x14ac:dyDescent="0.25">
      <c r="A15585" t="s">
        <v>2</v>
      </c>
      <c r="B15585" t="s">
        <v>3458</v>
      </c>
      <c r="C15585" t="s">
        <v>23490</v>
      </c>
      <c r="D15585" t="str">
        <f>HYPERLINK("https://rhld.insurance.arkansas.gov/NPILookup?Npi=1841425253","1841425253")</f>
        <v>1841425253</v>
      </c>
      <c r="E15585" t="s">
        <v>714</v>
      </c>
    </row>
    <row r="15586" spans="1:5" x14ac:dyDescent="0.25">
      <c r="A15586" t="s">
        <v>2</v>
      </c>
      <c r="B15586" t="s">
        <v>3458</v>
      </c>
      <c r="C15586" t="s">
        <v>23490</v>
      </c>
      <c r="D15586" t="str">
        <f>HYPERLINK("https://rhld.insurance.arkansas.gov/NPILookup?Npi=1841450343","1841450343")</f>
        <v>1841450343</v>
      </c>
      <c r="E15586" t="s">
        <v>2961</v>
      </c>
    </row>
    <row r="15587" spans="1:5" x14ac:dyDescent="0.25">
      <c r="A15587" t="s">
        <v>2</v>
      </c>
      <c r="B15587" t="s">
        <v>3458</v>
      </c>
      <c r="C15587" t="s">
        <v>23490</v>
      </c>
      <c r="D15587" t="str">
        <f>HYPERLINK("https://rhld.insurance.arkansas.gov/NPILookup?Npi=1841466117","1841466117")</f>
        <v>1841466117</v>
      </c>
      <c r="E15587" t="s">
        <v>3965</v>
      </c>
    </row>
    <row r="15588" spans="1:5" x14ac:dyDescent="0.25">
      <c r="A15588" t="s">
        <v>2</v>
      </c>
      <c r="B15588" t="s">
        <v>3458</v>
      </c>
      <c r="C15588" t="s">
        <v>23490</v>
      </c>
      <c r="D15588" t="str">
        <f>HYPERLINK("https://rhld.insurance.arkansas.gov/NPILookup?Npi=1841490141","1841490141")</f>
        <v>1841490141</v>
      </c>
      <c r="E15588" t="s">
        <v>2962</v>
      </c>
    </row>
    <row r="15589" spans="1:5" x14ac:dyDescent="0.25">
      <c r="A15589" t="s">
        <v>2</v>
      </c>
      <c r="B15589" t="s">
        <v>3458</v>
      </c>
      <c r="C15589" t="s">
        <v>23490</v>
      </c>
      <c r="D15589" t="str">
        <f>HYPERLINK("https://rhld.insurance.arkansas.gov/NPILookup?Npi=1841507944","1841507944")</f>
        <v>1841507944</v>
      </c>
      <c r="E15589" t="s">
        <v>8883</v>
      </c>
    </row>
    <row r="15590" spans="1:5" x14ac:dyDescent="0.25">
      <c r="A15590" t="s">
        <v>2</v>
      </c>
      <c r="B15590" t="s">
        <v>3458</v>
      </c>
      <c r="C15590" t="s">
        <v>23490</v>
      </c>
      <c r="D15590" t="str">
        <f>HYPERLINK("https://rhld.insurance.arkansas.gov/NPILookup?Npi=1841526001","1841526001")</f>
        <v>1841526001</v>
      </c>
      <c r="E15590" t="s">
        <v>2963</v>
      </c>
    </row>
    <row r="15591" spans="1:5" x14ac:dyDescent="0.25">
      <c r="A15591" t="s">
        <v>2</v>
      </c>
      <c r="B15591" t="s">
        <v>3458</v>
      </c>
      <c r="C15591" t="s">
        <v>23490</v>
      </c>
      <c r="D15591" t="str">
        <f>HYPERLINK("https://rhld.insurance.arkansas.gov/NPILookup?Npi=1841535499","1841535499")</f>
        <v>1841535499</v>
      </c>
      <c r="E15591" t="s">
        <v>20068</v>
      </c>
    </row>
    <row r="15592" spans="1:5" x14ac:dyDescent="0.25">
      <c r="A15592" t="s">
        <v>2</v>
      </c>
      <c r="B15592" t="s">
        <v>3458</v>
      </c>
      <c r="C15592" t="s">
        <v>23490</v>
      </c>
      <c r="D15592" t="str">
        <f>HYPERLINK("https://rhld.insurance.arkansas.gov/NPILookup?Npi=1841554870","1841554870")</f>
        <v>1841554870</v>
      </c>
      <c r="E15592" t="s">
        <v>21662</v>
      </c>
    </row>
    <row r="15593" spans="1:5" x14ac:dyDescent="0.25">
      <c r="A15593" t="s">
        <v>2</v>
      </c>
      <c r="B15593" t="s">
        <v>3458</v>
      </c>
      <c r="C15593" t="s">
        <v>23490</v>
      </c>
      <c r="D15593" t="str">
        <f>HYPERLINK("https://rhld.insurance.arkansas.gov/NPILookup?Npi=1841560927","1841560927")</f>
        <v>1841560927</v>
      </c>
      <c r="E15593" t="s">
        <v>15626</v>
      </c>
    </row>
    <row r="15594" spans="1:5" x14ac:dyDescent="0.25">
      <c r="A15594" t="s">
        <v>2</v>
      </c>
      <c r="B15594" t="s">
        <v>3458</v>
      </c>
      <c r="C15594" t="s">
        <v>23490</v>
      </c>
      <c r="D15594" t="str">
        <f>HYPERLINK("https://rhld.insurance.arkansas.gov/NPILookup?Npi=1841589017","1841589017")</f>
        <v>1841589017</v>
      </c>
      <c r="E15594" t="s">
        <v>2965</v>
      </c>
    </row>
    <row r="15595" spans="1:5" x14ac:dyDescent="0.25">
      <c r="A15595" t="s">
        <v>2</v>
      </c>
      <c r="B15595" t="s">
        <v>3458</v>
      </c>
      <c r="C15595" t="s">
        <v>23490</v>
      </c>
      <c r="D15595" t="str">
        <f>HYPERLINK("https://rhld.insurance.arkansas.gov/NPILookup?Npi=1841589900","1841589900")</f>
        <v>1841589900</v>
      </c>
      <c r="E15595" t="s">
        <v>2966</v>
      </c>
    </row>
    <row r="15596" spans="1:5" x14ac:dyDescent="0.25">
      <c r="A15596" t="s">
        <v>2</v>
      </c>
      <c r="B15596" t="s">
        <v>3458</v>
      </c>
      <c r="C15596" t="s">
        <v>23490</v>
      </c>
      <c r="D15596" t="str">
        <f>HYPERLINK("https://rhld.insurance.arkansas.gov/NPILookup?Npi=1841602695","1841602695")</f>
        <v>1841602695</v>
      </c>
      <c r="E15596" t="s">
        <v>11317</v>
      </c>
    </row>
    <row r="15597" spans="1:5" x14ac:dyDescent="0.25">
      <c r="A15597" t="s">
        <v>2</v>
      </c>
      <c r="B15597" t="s">
        <v>3458</v>
      </c>
      <c r="C15597" t="s">
        <v>23490</v>
      </c>
      <c r="D15597" t="str">
        <f>HYPERLINK("https://rhld.insurance.arkansas.gov/NPILookup?Npi=1841611746","1841611746")</f>
        <v>1841611746</v>
      </c>
      <c r="E15597" t="s">
        <v>15628</v>
      </c>
    </row>
    <row r="15598" spans="1:5" x14ac:dyDescent="0.25">
      <c r="A15598" t="s">
        <v>2</v>
      </c>
      <c r="B15598" t="s">
        <v>3458</v>
      </c>
      <c r="C15598" t="s">
        <v>23490</v>
      </c>
      <c r="D15598" t="str">
        <f>HYPERLINK("https://rhld.insurance.arkansas.gov/NPILookup?Npi=1841634649","1841634649")</f>
        <v>1841634649</v>
      </c>
      <c r="E15598" t="s">
        <v>13036</v>
      </c>
    </row>
    <row r="15599" spans="1:5" x14ac:dyDescent="0.25">
      <c r="A15599" t="s">
        <v>2</v>
      </c>
      <c r="B15599" t="s">
        <v>3458</v>
      </c>
      <c r="C15599" t="s">
        <v>23490</v>
      </c>
      <c r="D15599" t="str">
        <f>HYPERLINK("https://rhld.insurance.arkansas.gov/NPILookup?Npi=1841635596","1841635596")</f>
        <v>1841635596</v>
      </c>
      <c r="E15599" t="s">
        <v>2967</v>
      </c>
    </row>
    <row r="15600" spans="1:5" x14ac:dyDescent="0.25">
      <c r="A15600" t="s">
        <v>2</v>
      </c>
      <c r="B15600" t="s">
        <v>3458</v>
      </c>
      <c r="C15600" t="s">
        <v>23490</v>
      </c>
      <c r="D15600" t="str">
        <f>HYPERLINK("https://rhld.insurance.arkansas.gov/NPILookup?Npi=1841636354","1841636354")</f>
        <v>1841636354</v>
      </c>
      <c r="E15600" t="s">
        <v>11318</v>
      </c>
    </row>
    <row r="15601" spans="1:5" x14ac:dyDescent="0.25">
      <c r="A15601" t="s">
        <v>2</v>
      </c>
      <c r="B15601" t="s">
        <v>3458</v>
      </c>
      <c r="C15601" t="s">
        <v>23490</v>
      </c>
      <c r="D15601" t="str">
        <f>HYPERLINK("https://rhld.insurance.arkansas.gov/NPILookup?Npi=1841636792","1841636792")</f>
        <v>1841636792</v>
      </c>
      <c r="E15601" t="s">
        <v>21418</v>
      </c>
    </row>
    <row r="15602" spans="1:5" x14ac:dyDescent="0.25">
      <c r="A15602" t="s">
        <v>2</v>
      </c>
      <c r="B15602" t="s">
        <v>3458</v>
      </c>
      <c r="C15602" t="s">
        <v>23490</v>
      </c>
      <c r="D15602" t="str">
        <f>HYPERLINK("https://rhld.insurance.arkansas.gov/NPILookup?Npi=1841649076","1841649076")</f>
        <v>1841649076</v>
      </c>
      <c r="E15602" t="s">
        <v>637</v>
      </c>
    </row>
    <row r="15603" spans="1:5" x14ac:dyDescent="0.25">
      <c r="A15603" t="s">
        <v>2</v>
      </c>
      <c r="B15603" t="s">
        <v>3458</v>
      </c>
      <c r="C15603" t="s">
        <v>23490</v>
      </c>
      <c r="D15603" t="str">
        <f>HYPERLINK("https://rhld.insurance.arkansas.gov/NPILookup?Npi=1841665510","1841665510")</f>
        <v>1841665510</v>
      </c>
      <c r="E15603" t="s">
        <v>2968</v>
      </c>
    </row>
    <row r="15604" spans="1:5" x14ac:dyDescent="0.25">
      <c r="A15604" t="s">
        <v>2</v>
      </c>
      <c r="B15604" t="s">
        <v>3458</v>
      </c>
      <c r="C15604" t="s">
        <v>23490</v>
      </c>
      <c r="D15604" t="str">
        <f>HYPERLINK("https://rhld.insurance.arkansas.gov/NPILookup?Npi=1841677622","1841677622")</f>
        <v>1841677622</v>
      </c>
      <c r="E15604" t="s">
        <v>2969</v>
      </c>
    </row>
    <row r="15605" spans="1:5" x14ac:dyDescent="0.25">
      <c r="A15605" t="s">
        <v>2</v>
      </c>
      <c r="B15605" t="s">
        <v>3458</v>
      </c>
      <c r="C15605" t="s">
        <v>23490</v>
      </c>
      <c r="D15605" t="str">
        <f>HYPERLINK("https://rhld.insurance.arkansas.gov/NPILookup?Npi=1841684073","1841684073")</f>
        <v>1841684073</v>
      </c>
      <c r="E15605" t="s">
        <v>11319</v>
      </c>
    </row>
    <row r="15606" spans="1:5" x14ac:dyDescent="0.25">
      <c r="A15606" t="s">
        <v>2</v>
      </c>
      <c r="B15606" t="s">
        <v>3458</v>
      </c>
      <c r="C15606" t="s">
        <v>23490</v>
      </c>
      <c r="D15606" t="str">
        <f>HYPERLINK("https://rhld.insurance.arkansas.gov/NPILookup?Npi=1841698370","1841698370")</f>
        <v>1841698370</v>
      </c>
      <c r="E15606" t="s">
        <v>18146</v>
      </c>
    </row>
    <row r="15607" spans="1:5" x14ac:dyDescent="0.25">
      <c r="A15607" t="s">
        <v>2</v>
      </c>
      <c r="B15607" t="s">
        <v>3458</v>
      </c>
      <c r="C15607" t="s">
        <v>23490</v>
      </c>
      <c r="D15607" t="str">
        <f>HYPERLINK("https://rhld.insurance.arkansas.gov/NPILookup?Npi=1841705860","1841705860")</f>
        <v>1841705860</v>
      </c>
      <c r="E15607" t="s">
        <v>12920</v>
      </c>
    </row>
    <row r="15608" spans="1:5" x14ac:dyDescent="0.25">
      <c r="A15608" t="s">
        <v>2</v>
      </c>
      <c r="B15608" t="s">
        <v>3458</v>
      </c>
      <c r="C15608" t="s">
        <v>23490</v>
      </c>
      <c r="D15608" t="str">
        <f>HYPERLINK("https://rhld.insurance.arkansas.gov/NPILookup?Npi=1841715547","1841715547")</f>
        <v>1841715547</v>
      </c>
      <c r="E15608" t="s">
        <v>13879</v>
      </c>
    </row>
    <row r="15609" spans="1:5" x14ac:dyDescent="0.25">
      <c r="A15609" t="s">
        <v>2</v>
      </c>
      <c r="B15609" t="s">
        <v>3458</v>
      </c>
      <c r="C15609" t="s">
        <v>23490</v>
      </c>
      <c r="D15609" t="str">
        <f>HYPERLINK("https://rhld.insurance.arkansas.gov/NPILookup?Npi=1841723996","1841723996")</f>
        <v>1841723996</v>
      </c>
      <c r="E15609" t="s">
        <v>17484</v>
      </c>
    </row>
    <row r="15610" spans="1:5" x14ac:dyDescent="0.25">
      <c r="A15610" t="s">
        <v>2</v>
      </c>
      <c r="B15610" t="s">
        <v>3458</v>
      </c>
      <c r="C15610" t="s">
        <v>23490</v>
      </c>
      <c r="D15610" t="str">
        <f>HYPERLINK("https://rhld.insurance.arkansas.gov/NPILookup?Npi=1841729480","1841729480")</f>
        <v>1841729480</v>
      </c>
      <c r="E15610" t="s">
        <v>18219</v>
      </c>
    </row>
    <row r="15611" spans="1:5" x14ac:dyDescent="0.25">
      <c r="A15611" t="s">
        <v>2</v>
      </c>
      <c r="B15611" t="s">
        <v>3458</v>
      </c>
      <c r="C15611" t="s">
        <v>23490</v>
      </c>
      <c r="D15611" t="str">
        <f>HYPERLINK("https://rhld.insurance.arkansas.gov/NPILookup?Npi=1841733300","1841733300")</f>
        <v>1841733300</v>
      </c>
      <c r="E15611" t="s">
        <v>11320</v>
      </c>
    </row>
    <row r="15612" spans="1:5" x14ac:dyDescent="0.25">
      <c r="A15612" t="s">
        <v>2</v>
      </c>
      <c r="B15612" t="s">
        <v>3458</v>
      </c>
      <c r="C15612" t="s">
        <v>23490</v>
      </c>
      <c r="D15612" t="str">
        <f>HYPERLINK("https://rhld.insurance.arkansas.gov/NPILookup?Npi=1841738978","1841738978")</f>
        <v>1841738978</v>
      </c>
      <c r="E15612" t="s">
        <v>11322</v>
      </c>
    </row>
    <row r="15613" spans="1:5" x14ac:dyDescent="0.25">
      <c r="A15613" t="s">
        <v>2</v>
      </c>
      <c r="B15613" t="s">
        <v>3458</v>
      </c>
      <c r="C15613" t="s">
        <v>23490</v>
      </c>
      <c r="D15613" t="str">
        <f>HYPERLINK("https://rhld.insurance.arkansas.gov/NPILookup?Npi=1841758059","1841758059")</f>
        <v>1841758059</v>
      </c>
      <c r="E15613" t="s">
        <v>18148</v>
      </c>
    </row>
    <row r="15614" spans="1:5" x14ac:dyDescent="0.25">
      <c r="A15614" t="s">
        <v>2</v>
      </c>
      <c r="B15614" t="s">
        <v>3458</v>
      </c>
      <c r="C15614" t="s">
        <v>23490</v>
      </c>
      <c r="D15614" t="str">
        <f>HYPERLINK("https://rhld.insurance.arkansas.gov/NPILookup?Npi=1841767118","1841767118")</f>
        <v>1841767118</v>
      </c>
      <c r="E15614" t="s">
        <v>13747</v>
      </c>
    </row>
    <row r="15615" spans="1:5" x14ac:dyDescent="0.25">
      <c r="A15615" t="s">
        <v>2</v>
      </c>
      <c r="B15615" t="s">
        <v>3458</v>
      </c>
      <c r="C15615" t="s">
        <v>23490</v>
      </c>
      <c r="D15615" t="str">
        <f>HYPERLINK("https://rhld.insurance.arkansas.gov/NPILookup?Npi=1841772290","1841772290")</f>
        <v>1841772290</v>
      </c>
      <c r="E15615" t="s">
        <v>20267</v>
      </c>
    </row>
    <row r="15616" spans="1:5" x14ac:dyDescent="0.25">
      <c r="A15616" t="s">
        <v>2</v>
      </c>
      <c r="B15616" t="s">
        <v>3458</v>
      </c>
      <c r="C15616" t="s">
        <v>23490</v>
      </c>
      <c r="D15616" t="str">
        <f>HYPERLINK("https://rhld.insurance.arkansas.gov/NPILookup?Npi=1841776846","1841776846")</f>
        <v>1841776846</v>
      </c>
      <c r="E15616" t="s">
        <v>18879</v>
      </c>
    </row>
    <row r="15617" spans="1:5" x14ac:dyDescent="0.25">
      <c r="A15617" t="s">
        <v>2</v>
      </c>
      <c r="B15617" t="s">
        <v>3458</v>
      </c>
      <c r="C15617" t="s">
        <v>23490</v>
      </c>
      <c r="D15617" t="str">
        <f>HYPERLINK("https://rhld.insurance.arkansas.gov/NPILookup?Npi=1841798105","1841798105")</f>
        <v>1841798105</v>
      </c>
      <c r="E15617" t="s">
        <v>12921</v>
      </c>
    </row>
    <row r="15618" spans="1:5" x14ac:dyDescent="0.25">
      <c r="A15618" t="s">
        <v>2</v>
      </c>
      <c r="B15618" t="s">
        <v>3458</v>
      </c>
      <c r="C15618" t="s">
        <v>23490</v>
      </c>
      <c r="D15618" t="str">
        <f>HYPERLINK("https://rhld.insurance.arkansas.gov/NPILookup?Npi=1841804945","1841804945")</f>
        <v>1841804945</v>
      </c>
      <c r="E15618" t="s">
        <v>18149</v>
      </c>
    </row>
    <row r="15619" spans="1:5" x14ac:dyDescent="0.25">
      <c r="A15619" t="s">
        <v>2</v>
      </c>
      <c r="B15619" t="s">
        <v>3458</v>
      </c>
      <c r="C15619" t="s">
        <v>23490</v>
      </c>
      <c r="D15619" t="str">
        <f>HYPERLINK("https://rhld.insurance.arkansas.gov/NPILookup?Npi=1841856176","1841856176")</f>
        <v>1841856176</v>
      </c>
      <c r="E15619" t="s">
        <v>21663</v>
      </c>
    </row>
    <row r="15620" spans="1:5" x14ac:dyDescent="0.25">
      <c r="A15620" t="s">
        <v>2</v>
      </c>
      <c r="B15620" t="s">
        <v>3458</v>
      </c>
      <c r="C15620" t="s">
        <v>23490</v>
      </c>
      <c r="D15620" t="str">
        <f>HYPERLINK("https://rhld.insurance.arkansas.gov/NPILookup?Npi=1841861317","1841861317")</f>
        <v>1841861317</v>
      </c>
      <c r="E15620" t="s">
        <v>18880</v>
      </c>
    </row>
    <row r="15621" spans="1:5" x14ac:dyDescent="0.25">
      <c r="A15621" t="s">
        <v>2</v>
      </c>
      <c r="B15621" t="s">
        <v>3458</v>
      </c>
      <c r="C15621" t="s">
        <v>23490</v>
      </c>
      <c r="D15621" t="str">
        <f>HYPERLINK("https://rhld.insurance.arkansas.gov/NPILookup?Npi=1841875911","1841875911")</f>
        <v>1841875911</v>
      </c>
      <c r="E15621" t="s">
        <v>18881</v>
      </c>
    </row>
    <row r="15622" spans="1:5" x14ac:dyDescent="0.25">
      <c r="A15622" t="s">
        <v>2</v>
      </c>
      <c r="B15622" t="s">
        <v>3458</v>
      </c>
      <c r="C15622" t="s">
        <v>23490</v>
      </c>
      <c r="D15622" t="str">
        <f>HYPERLINK("https://rhld.insurance.arkansas.gov/NPILookup?Npi=1841889854","1841889854")</f>
        <v>1841889854</v>
      </c>
      <c r="E15622" t="s">
        <v>20070</v>
      </c>
    </row>
    <row r="15623" spans="1:5" x14ac:dyDescent="0.25">
      <c r="A15623" t="s">
        <v>2</v>
      </c>
      <c r="B15623" t="s">
        <v>3458</v>
      </c>
      <c r="C15623" t="s">
        <v>23490</v>
      </c>
      <c r="D15623" t="str">
        <f>HYPERLINK("https://rhld.insurance.arkansas.gov/NPILookup?Npi=1851024996","1851024996")</f>
        <v>1851024996</v>
      </c>
      <c r="E15623" t="s">
        <v>21056</v>
      </c>
    </row>
    <row r="15624" spans="1:5" x14ac:dyDescent="0.25">
      <c r="A15624" t="s">
        <v>2</v>
      </c>
      <c r="B15624" t="s">
        <v>3458</v>
      </c>
      <c r="C15624" t="s">
        <v>23490</v>
      </c>
      <c r="D15624" t="str">
        <f>HYPERLINK("https://rhld.insurance.arkansas.gov/NPILookup?Npi=1851045223","1851045223")</f>
        <v>1851045223</v>
      </c>
      <c r="E15624" t="s">
        <v>21057</v>
      </c>
    </row>
    <row r="15625" spans="1:5" x14ac:dyDescent="0.25">
      <c r="A15625" t="s">
        <v>2</v>
      </c>
      <c r="B15625" t="s">
        <v>3458</v>
      </c>
      <c r="C15625" t="s">
        <v>23490</v>
      </c>
      <c r="D15625" t="str">
        <f>HYPERLINK("https://rhld.insurance.arkansas.gov/NPILookup?Npi=1851053656","1851053656")</f>
        <v>1851053656</v>
      </c>
      <c r="E15625" t="s">
        <v>21664</v>
      </c>
    </row>
    <row r="15626" spans="1:5" x14ac:dyDescent="0.25">
      <c r="A15626" t="s">
        <v>2</v>
      </c>
      <c r="B15626" t="s">
        <v>3458</v>
      </c>
      <c r="C15626" t="s">
        <v>23490</v>
      </c>
      <c r="D15626" t="str">
        <f>HYPERLINK("https://rhld.insurance.arkansas.gov/NPILookup?Npi=1851058804","1851058804")</f>
        <v>1851058804</v>
      </c>
      <c r="E15626" t="s">
        <v>22993</v>
      </c>
    </row>
    <row r="15627" spans="1:5" x14ac:dyDescent="0.25">
      <c r="A15627" t="s">
        <v>2</v>
      </c>
      <c r="B15627" t="s">
        <v>3458</v>
      </c>
      <c r="C15627" t="s">
        <v>23490</v>
      </c>
      <c r="D15627" t="str">
        <f>HYPERLINK("https://rhld.insurance.arkansas.gov/NPILookup?Npi=1851068068","1851068068")</f>
        <v>1851068068</v>
      </c>
      <c r="E15627" t="s">
        <v>20071</v>
      </c>
    </row>
    <row r="15628" spans="1:5" x14ac:dyDescent="0.25">
      <c r="A15628" t="s">
        <v>2</v>
      </c>
      <c r="B15628" t="s">
        <v>3458</v>
      </c>
      <c r="C15628" t="s">
        <v>23490</v>
      </c>
      <c r="D15628" t="str">
        <f>HYPERLINK("https://rhld.insurance.arkansas.gov/NPILookup?Npi=1851300453","1851300453")</f>
        <v>1851300453</v>
      </c>
      <c r="E15628" t="s">
        <v>3966</v>
      </c>
    </row>
    <row r="15629" spans="1:5" x14ac:dyDescent="0.25">
      <c r="A15629" t="s">
        <v>2</v>
      </c>
      <c r="B15629" t="s">
        <v>3458</v>
      </c>
      <c r="C15629" t="s">
        <v>23490</v>
      </c>
      <c r="D15629" t="str">
        <f>HYPERLINK("https://rhld.insurance.arkansas.gov/NPILookup?Npi=1851301204","1851301204")</f>
        <v>1851301204</v>
      </c>
      <c r="E15629" t="s">
        <v>2970</v>
      </c>
    </row>
    <row r="15630" spans="1:5" x14ac:dyDescent="0.25">
      <c r="A15630" t="s">
        <v>2</v>
      </c>
      <c r="B15630" t="s">
        <v>3458</v>
      </c>
      <c r="C15630" t="s">
        <v>23490</v>
      </c>
      <c r="D15630" t="str">
        <f>HYPERLINK("https://rhld.insurance.arkansas.gov/NPILookup?Npi=1851308480","1851308480")</f>
        <v>1851308480</v>
      </c>
      <c r="E15630" t="s">
        <v>15629</v>
      </c>
    </row>
    <row r="15631" spans="1:5" x14ac:dyDescent="0.25">
      <c r="A15631" t="s">
        <v>2</v>
      </c>
      <c r="B15631" t="s">
        <v>3458</v>
      </c>
      <c r="C15631" t="s">
        <v>23490</v>
      </c>
      <c r="D15631" t="str">
        <f>HYPERLINK("https://rhld.insurance.arkansas.gov/NPILookup?Npi=1851315410","1851315410")</f>
        <v>1851315410</v>
      </c>
      <c r="E15631" t="s">
        <v>15630</v>
      </c>
    </row>
    <row r="15632" spans="1:5" x14ac:dyDescent="0.25">
      <c r="A15632" t="s">
        <v>2</v>
      </c>
      <c r="B15632" t="s">
        <v>3458</v>
      </c>
      <c r="C15632" t="s">
        <v>23490</v>
      </c>
      <c r="D15632" t="str">
        <f>HYPERLINK("https://rhld.insurance.arkansas.gov/NPILookup?Npi=1851329262","1851329262")</f>
        <v>1851329262</v>
      </c>
      <c r="E15632" t="s">
        <v>3967</v>
      </c>
    </row>
    <row r="15633" spans="1:5" x14ac:dyDescent="0.25">
      <c r="A15633" t="s">
        <v>2</v>
      </c>
      <c r="B15633" t="s">
        <v>3458</v>
      </c>
      <c r="C15633" t="s">
        <v>23490</v>
      </c>
      <c r="D15633" t="str">
        <f>HYPERLINK("https://rhld.insurance.arkansas.gov/NPILookup?Npi=1851332860","1851332860")</f>
        <v>1851332860</v>
      </c>
      <c r="E15633" t="s">
        <v>15631</v>
      </c>
    </row>
    <row r="15634" spans="1:5" x14ac:dyDescent="0.25">
      <c r="A15634" t="s">
        <v>2</v>
      </c>
      <c r="B15634" t="s">
        <v>3458</v>
      </c>
      <c r="C15634" t="s">
        <v>23490</v>
      </c>
      <c r="D15634" t="str">
        <f>HYPERLINK("https://rhld.insurance.arkansas.gov/NPILookup?Npi=1851333033","1851333033")</f>
        <v>1851333033</v>
      </c>
      <c r="E15634" t="s">
        <v>3968</v>
      </c>
    </row>
    <row r="15635" spans="1:5" x14ac:dyDescent="0.25">
      <c r="A15635" t="s">
        <v>2</v>
      </c>
      <c r="B15635" t="s">
        <v>3458</v>
      </c>
      <c r="C15635" t="s">
        <v>23490</v>
      </c>
      <c r="D15635" t="str">
        <f>HYPERLINK("https://rhld.insurance.arkansas.gov/NPILookup?Npi=1851336697","1851336697")</f>
        <v>1851336697</v>
      </c>
      <c r="E15635" t="s">
        <v>20268</v>
      </c>
    </row>
    <row r="15636" spans="1:5" x14ac:dyDescent="0.25">
      <c r="A15636" t="s">
        <v>2</v>
      </c>
      <c r="B15636" t="s">
        <v>3458</v>
      </c>
      <c r="C15636" t="s">
        <v>23490</v>
      </c>
      <c r="D15636" t="str">
        <f>HYPERLINK("https://rhld.insurance.arkansas.gov/NPILookup?Npi=1851341218","1851341218")</f>
        <v>1851341218</v>
      </c>
      <c r="E15636" t="s">
        <v>2973</v>
      </c>
    </row>
    <row r="15637" spans="1:5" x14ac:dyDescent="0.25">
      <c r="A15637" t="s">
        <v>2</v>
      </c>
      <c r="B15637" t="s">
        <v>3458</v>
      </c>
      <c r="C15637" t="s">
        <v>23490</v>
      </c>
      <c r="D15637" t="str">
        <f>HYPERLINK("https://rhld.insurance.arkansas.gov/NPILookup?Npi=1851368740","1851368740")</f>
        <v>1851368740</v>
      </c>
      <c r="E15637" t="s">
        <v>2974</v>
      </c>
    </row>
    <row r="15638" spans="1:5" x14ac:dyDescent="0.25">
      <c r="A15638" t="s">
        <v>2</v>
      </c>
      <c r="B15638" t="s">
        <v>3458</v>
      </c>
      <c r="C15638" t="s">
        <v>23490</v>
      </c>
      <c r="D15638" t="str">
        <f>HYPERLINK("https://rhld.insurance.arkansas.gov/NPILookup?Npi=1851371314","1851371314")</f>
        <v>1851371314</v>
      </c>
      <c r="E15638" t="s">
        <v>2975</v>
      </c>
    </row>
    <row r="15639" spans="1:5" x14ac:dyDescent="0.25">
      <c r="A15639" t="s">
        <v>2</v>
      </c>
      <c r="B15639" t="s">
        <v>3458</v>
      </c>
      <c r="C15639" t="s">
        <v>23490</v>
      </c>
      <c r="D15639" t="str">
        <f>HYPERLINK("https://rhld.insurance.arkansas.gov/NPILookup?Npi=1851384374","1851384374")</f>
        <v>1851384374</v>
      </c>
      <c r="E15639" t="s">
        <v>3969</v>
      </c>
    </row>
    <row r="15640" spans="1:5" x14ac:dyDescent="0.25">
      <c r="A15640" t="s">
        <v>2</v>
      </c>
      <c r="B15640" t="s">
        <v>3458</v>
      </c>
      <c r="C15640" t="s">
        <v>23490</v>
      </c>
      <c r="D15640" t="str">
        <f>HYPERLINK("https://rhld.insurance.arkansas.gov/NPILookup?Npi=1851385793","1851385793")</f>
        <v>1851385793</v>
      </c>
      <c r="E15640" t="s">
        <v>2976</v>
      </c>
    </row>
    <row r="15641" spans="1:5" x14ac:dyDescent="0.25">
      <c r="A15641" t="s">
        <v>2</v>
      </c>
      <c r="B15641" t="s">
        <v>3458</v>
      </c>
      <c r="C15641" t="s">
        <v>23490</v>
      </c>
      <c r="D15641" t="str">
        <f>HYPERLINK("https://rhld.insurance.arkansas.gov/NPILookup?Npi=1851397665","1851397665")</f>
        <v>1851397665</v>
      </c>
      <c r="E15641" t="s">
        <v>17079</v>
      </c>
    </row>
    <row r="15642" spans="1:5" x14ac:dyDescent="0.25">
      <c r="A15642" t="s">
        <v>2</v>
      </c>
      <c r="B15642" t="s">
        <v>3458</v>
      </c>
      <c r="C15642" t="s">
        <v>23490</v>
      </c>
      <c r="D15642" t="str">
        <f>HYPERLINK("https://rhld.insurance.arkansas.gov/NPILookup?Npi=1851397822","1851397822")</f>
        <v>1851397822</v>
      </c>
      <c r="E15642" t="s">
        <v>2977</v>
      </c>
    </row>
    <row r="15643" spans="1:5" x14ac:dyDescent="0.25">
      <c r="A15643" t="s">
        <v>2</v>
      </c>
      <c r="B15643" t="s">
        <v>3458</v>
      </c>
      <c r="C15643" t="s">
        <v>23490</v>
      </c>
      <c r="D15643" t="str">
        <f>HYPERLINK("https://rhld.insurance.arkansas.gov/NPILookup?Npi=1851399265","1851399265")</f>
        <v>1851399265</v>
      </c>
      <c r="E15643" t="s">
        <v>3970</v>
      </c>
    </row>
    <row r="15644" spans="1:5" x14ac:dyDescent="0.25">
      <c r="A15644" t="s">
        <v>2</v>
      </c>
      <c r="B15644" t="s">
        <v>3458</v>
      </c>
      <c r="C15644" t="s">
        <v>23490</v>
      </c>
      <c r="D15644" t="str">
        <f>HYPERLINK("https://rhld.insurance.arkansas.gov/NPILookup?Npi=1851403422","1851403422")</f>
        <v>1851403422</v>
      </c>
      <c r="E15644" t="s">
        <v>2978</v>
      </c>
    </row>
    <row r="15645" spans="1:5" x14ac:dyDescent="0.25">
      <c r="A15645" t="s">
        <v>2</v>
      </c>
      <c r="B15645" t="s">
        <v>3458</v>
      </c>
      <c r="C15645" t="s">
        <v>23490</v>
      </c>
      <c r="D15645" t="str">
        <f>HYPERLINK("https://rhld.insurance.arkansas.gov/NPILookup?Npi=1851411789","1851411789")</f>
        <v>1851411789</v>
      </c>
      <c r="E15645" t="s">
        <v>15632</v>
      </c>
    </row>
    <row r="15646" spans="1:5" x14ac:dyDescent="0.25">
      <c r="A15646" t="s">
        <v>2</v>
      </c>
      <c r="B15646" t="s">
        <v>3458</v>
      </c>
      <c r="C15646" t="s">
        <v>23490</v>
      </c>
      <c r="D15646" t="str">
        <f>HYPERLINK("https://rhld.insurance.arkansas.gov/NPILookup?Npi=1851417794","1851417794")</f>
        <v>1851417794</v>
      </c>
      <c r="E15646" t="s">
        <v>15912</v>
      </c>
    </row>
    <row r="15647" spans="1:5" x14ac:dyDescent="0.25">
      <c r="A15647" t="s">
        <v>2</v>
      </c>
      <c r="B15647" t="s">
        <v>3458</v>
      </c>
      <c r="C15647" t="s">
        <v>23490</v>
      </c>
      <c r="D15647" t="str">
        <f>HYPERLINK("https://rhld.insurance.arkansas.gov/NPILookup?Npi=1851459275","1851459275")</f>
        <v>1851459275</v>
      </c>
      <c r="E15647" t="s">
        <v>2979</v>
      </c>
    </row>
    <row r="15648" spans="1:5" x14ac:dyDescent="0.25">
      <c r="A15648" t="s">
        <v>2</v>
      </c>
      <c r="B15648" t="s">
        <v>3458</v>
      </c>
      <c r="C15648" t="s">
        <v>23490</v>
      </c>
      <c r="D15648" t="str">
        <f>HYPERLINK("https://rhld.insurance.arkansas.gov/NPILookup?Npi=1851470140","1851470140")</f>
        <v>1851470140</v>
      </c>
      <c r="E15648" t="s">
        <v>2980</v>
      </c>
    </row>
    <row r="15649" spans="1:5" x14ac:dyDescent="0.25">
      <c r="A15649" t="s">
        <v>2</v>
      </c>
      <c r="B15649" t="s">
        <v>3458</v>
      </c>
      <c r="C15649" t="s">
        <v>8427</v>
      </c>
      <c r="D15649" t="str">
        <f>HYPERLINK("https://rhld.insurance.arkansas.gov/NPILookup?Npi=1851470231","1851470231")</f>
        <v>1851470231</v>
      </c>
      <c r="E15649" t="s">
        <v>22994</v>
      </c>
    </row>
    <row r="15650" spans="1:5" x14ac:dyDescent="0.25">
      <c r="A15650" t="s">
        <v>2</v>
      </c>
      <c r="B15650" t="s">
        <v>3458</v>
      </c>
      <c r="C15650" t="s">
        <v>23490</v>
      </c>
      <c r="D15650" t="str">
        <f>HYPERLINK("https://rhld.insurance.arkansas.gov/NPILookup?Npi=1851473854","1851473854")</f>
        <v>1851473854</v>
      </c>
      <c r="E15650" t="s">
        <v>15633</v>
      </c>
    </row>
    <row r="15651" spans="1:5" x14ac:dyDescent="0.25">
      <c r="A15651" t="s">
        <v>2</v>
      </c>
      <c r="B15651" t="s">
        <v>3458</v>
      </c>
      <c r="C15651" t="s">
        <v>23490</v>
      </c>
      <c r="D15651" t="str">
        <f>HYPERLINK("https://rhld.insurance.arkansas.gov/NPILookup?Npi=1851477079","1851477079")</f>
        <v>1851477079</v>
      </c>
      <c r="E15651" t="s">
        <v>15634</v>
      </c>
    </row>
    <row r="15652" spans="1:5" x14ac:dyDescent="0.25">
      <c r="A15652" t="s">
        <v>2</v>
      </c>
      <c r="B15652" t="s">
        <v>3458</v>
      </c>
      <c r="C15652" t="s">
        <v>23490</v>
      </c>
      <c r="D15652" t="str">
        <f>HYPERLINK("https://rhld.insurance.arkansas.gov/NPILookup?Npi=1851480974","1851480974")</f>
        <v>1851480974</v>
      </c>
      <c r="E15652" t="s">
        <v>15635</v>
      </c>
    </row>
    <row r="15653" spans="1:5" x14ac:dyDescent="0.25">
      <c r="A15653" t="s">
        <v>2</v>
      </c>
      <c r="B15653" t="s">
        <v>3458</v>
      </c>
      <c r="C15653" t="s">
        <v>23490</v>
      </c>
      <c r="D15653" t="str">
        <f>HYPERLINK("https://rhld.insurance.arkansas.gov/NPILookup?Npi=1851481337","1851481337")</f>
        <v>1851481337</v>
      </c>
      <c r="E15653" t="s">
        <v>2982</v>
      </c>
    </row>
    <row r="15654" spans="1:5" x14ac:dyDescent="0.25">
      <c r="A15654" t="s">
        <v>2</v>
      </c>
      <c r="B15654" t="s">
        <v>3458</v>
      </c>
      <c r="C15654" t="s">
        <v>23490</v>
      </c>
      <c r="D15654" t="str">
        <f>HYPERLINK("https://rhld.insurance.arkansas.gov/NPILookup?Npi=1851482921","1851482921")</f>
        <v>1851482921</v>
      </c>
      <c r="E15654" t="s">
        <v>13749</v>
      </c>
    </row>
    <row r="15655" spans="1:5" x14ac:dyDescent="0.25">
      <c r="A15655" t="s">
        <v>2</v>
      </c>
      <c r="B15655" t="s">
        <v>3458</v>
      </c>
      <c r="C15655" t="s">
        <v>23490</v>
      </c>
      <c r="D15655" t="str">
        <f>HYPERLINK("https://rhld.insurance.arkansas.gov/NPILookup?Npi=1851484992","1851484992")</f>
        <v>1851484992</v>
      </c>
      <c r="E15655" t="s">
        <v>2983</v>
      </c>
    </row>
    <row r="15656" spans="1:5" x14ac:dyDescent="0.25">
      <c r="A15656" t="s">
        <v>2</v>
      </c>
      <c r="B15656" t="s">
        <v>3458</v>
      </c>
      <c r="C15656" t="s">
        <v>23490</v>
      </c>
      <c r="D15656" t="str">
        <f>HYPERLINK("https://rhld.insurance.arkansas.gov/NPILookup?Npi=1851494462","1851494462")</f>
        <v>1851494462</v>
      </c>
      <c r="E15656" t="s">
        <v>2984</v>
      </c>
    </row>
    <row r="15657" spans="1:5" x14ac:dyDescent="0.25">
      <c r="A15657" t="s">
        <v>2</v>
      </c>
      <c r="B15657" t="s">
        <v>3458</v>
      </c>
      <c r="C15657" t="s">
        <v>23490</v>
      </c>
      <c r="D15657" t="str">
        <f>HYPERLINK("https://rhld.insurance.arkansas.gov/NPILookup?Npi=1851505358","1851505358")</f>
        <v>1851505358</v>
      </c>
      <c r="E15657" t="s">
        <v>2985</v>
      </c>
    </row>
    <row r="15658" spans="1:5" x14ac:dyDescent="0.25">
      <c r="A15658" t="s">
        <v>2</v>
      </c>
      <c r="B15658" t="s">
        <v>3458</v>
      </c>
      <c r="C15658" t="s">
        <v>23490</v>
      </c>
      <c r="D15658" t="str">
        <f>HYPERLINK("https://rhld.insurance.arkansas.gov/NPILookup?Npi=1851525745","1851525745")</f>
        <v>1851525745</v>
      </c>
      <c r="E15658" t="s">
        <v>15913</v>
      </c>
    </row>
    <row r="15659" spans="1:5" x14ac:dyDescent="0.25">
      <c r="A15659" t="s">
        <v>2</v>
      </c>
      <c r="B15659" t="s">
        <v>3458</v>
      </c>
      <c r="C15659" t="s">
        <v>8427</v>
      </c>
      <c r="D15659" t="str">
        <f>HYPERLINK("https://rhld.insurance.arkansas.gov/NPILookup?Npi=1851573349","1851573349")</f>
        <v>1851573349</v>
      </c>
      <c r="E15659" t="s">
        <v>22995</v>
      </c>
    </row>
    <row r="15660" spans="1:5" x14ac:dyDescent="0.25">
      <c r="A15660" t="s">
        <v>2</v>
      </c>
      <c r="B15660" t="s">
        <v>3458</v>
      </c>
      <c r="C15660" t="s">
        <v>23490</v>
      </c>
      <c r="D15660" t="str">
        <f>HYPERLINK("https://rhld.insurance.arkansas.gov/NPILookup?Npi=1851581383","1851581383")</f>
        <v>1851581383</v>
      </c>
      <c r="E15660" t="s">
        <v>13750</v>
      </c>
    </row>
    <row r="15661" spans="1:5" x14ac:dyDescent="0.25">
      <c r="A15661" t="s">
        <v>2</v>
      </c>
      <c r="B15661" t="s">
        <v>3458</v>
      </c>
      <c r="C15661" t="s">
        <v>23490</v>
      </c>
      <c r="D15661" t="str">
        <f>HYPERLINK("https://rhld.insurance.arkansas.gov/NPILookup?Npi=1851591358","1851591358")</f>
        <v>1851591358</v>
      </c>
      <c r="E15661" t="s">
        <v>2987</v>
      </c>
    </row>
    <row r="15662" spans="1:5" x14ac:dyDescent="0.25">
      <c r="A15662" t="s">
        <v>2</v>
      </c>
      <c r="B15662" t="s">
        <v>3458</v>
      </c>
      <c r="C15662" t="s">
        <v>23490</v>
      </c>
      <c r="D15662" t="str">
        <f>HYPERLINK("https://rhld.insurance.arkansas.gov/NPILookup?Npi=1851592604","1851592604")</f>
        <v>1851592604</v>
      </c>
      <c r="E15662" t="s">
        <v>2988</v>
      </c>
    </row>
    <row r="15663" spans="1:5" x14ac:dyDescent="0.25">
      <c r="A15663" t="s">
        <v>2</v>
      </c>
      <c r="B15663" t="s">
        <v>3458</v>
      </c>
      <c r="C15663" t="s">
        <v>23490</v>
      </c>
      <c r="D15663" t="str">
        <f>HYPERLINK("https://rhld.insurance.arkansas.gov/NPILookup?Npi=1851617757","1851617757")</f>
        <v>1851617757</v>
      </c>
      <c r="E15663" t="s">
        <v>3971</v>
      </c>
    </row>
    <row r="15664" spans="1:5" x14ac:dyDescent="0.25">
      <c r="A15664" t="s">
        <v>2</v>
      </c>
      <c r="B15664" t="s">
        <v>3458</v>
      </c>
      <c r="C15664" t="s">
        <v>23490</v>
      </c>
      <c r="D15664" t="str">
        <f>HYPERLINK("https://rhld.insurance.arkansas.gov/NPILookup?Npi=1851652168","1851652168")</f>
        <v>1851652168</v>
      </c>
      <c r="E15664" t="s">
        <v>8886</v>
      </c>
    </row>
    <row r="15665" spans="1:5" x14ac:dyDescent="0.25">
      <c r="A15665" t="s">
        <v>2</v>
      </c>
      <c r="B15665" t="s">
        <v>3458</v>
      </c>
      <c r="C15665" t="s">
        <v>23490</v>
      </c>
      <c r="D15665" t="str">
        <f>HYPERLINK("https://rhld.insurance.arkansas.gov/NPILookup?Npi=1851653117","1851653117")</f>
        <v>1851653117</v>
      </c>
      <c r="E15665" t="s">
        <v>2989</v>
      </c>
    </row>
    <row r="15666" spans="1:5" x14ac:dyDescent="0.25">
      <c r="A15666" t="s">
        <v>2</v>
      </c>
      <c r="B15666" t="s">
        <v>3458</v>
      </c>
      <c r="C15666" t="s">
        <v>23490</v>
      </c>
      <c r="D15666" t="str">
        <f>HYPERLINK("https://rhld.insurance.arkansas.gov/NPILookup?Npi=1851670368","1851670368")</f>
        <v>1851670368</v>
      </c>
      <c r="E15666" t="s">
        <v>22996</v>
      </c>
    </row>
    <row r="15667" spans="1:5" x14ac:dyDescent="0.25">
      <c r="A15667" t="s">
        <v>2</v>
      </c>
      <c r="B15667" t="s">
        <v>3458</v>
      </c>
      <c r="C15667" t="s">
        <v>23490</v>
      </c>
      <c r="D15667" t="str">
        <f>HYPERLINK("https://rhld.insurance.arkansas.gov/NPILookup?Npi=1851682694","1851682694")</f>
        <v>1851682694</v>
      </c>
      <c r="E15667" t="s">
        <v>2990</v>
      </c>
    </row>
    <row r="15668" spans="1:5" x14ac:dyDescent="0.25">
      <c r="A15668" t="s">
        <v>2</v>
      </c>
      <c r="B15668" t="s">
        <v>3458</v>
      </c>
      <c r="C15668" t="s">
        <v>23490</v>
      </c>
      <c r="D15668" t="str">
        <f>HYPERLINK("https://rhld.insurance.arkansas.gov/NPILookup?Npi=1851697197","1851697197")</f>
        <v>1851697197</v>
      </c>
      <c r="E15668" t="s">
        <v>2992</v>
      </c>
    </row>
    <row r="15669" spans="1:5" x14ac:dyDescent="0.25">
      <c r="A15669" t="s">
        <v>2</v>
      </c>
      <c r="B15669" t="s">
        <v>3458</v>
      </c>
      <c r="C15669" t="s">
        <v>23490</v>
      </c>
      <c r="D15669" t="str">
        <f>HYPERLINK("https://rhld.insurance.arkansas.gov/NPILookup?Npi=1851718381","1851718381")</f>
        <v>1851718381</v>
      </c>
      <c r="E15669" t="s">
        <v>18882</v>
      </c>
    </row>
    <row r="15670" spans="1:5" x14ac:dyDescent="0.25">
      <c r="A15670" t="s">
        <v>2</v>
      </c>
      <c r="B15670" t="s">
        <v>3458</v>
      </c>
      <c r="C15670" t="s">
        <v>23490</v>
      </c>
      <c r="D15670" t="str">
        <f>HYPERLINK("https://rhld.insurance.arkansas.gov/NPILookup?Npi=1851721385","1851721385")</f>
        <v>1851721385</v>
      </c>
      <c r="E15670" t="s">
        <v>15636</v>
      </c>
    </row>
    <row r="15671" spans="1:5" x14ac:dyDescent="0.25">
      <c r="A15671" t="s">
        <v>2</v>
      </c>
      <c r="B15671" t="s">
        <v>3458</v>
      </c>
      <c r="C15671" t="s">
        <v>23490</v>
      </c>
      <c r="D15671" t="str">
        <f>HYPERLINK("https://rhld.insurance.arkansas.gov/NPILookup?Npi=1851723019","1851723019")</f>
        <v>1851723019</v>
      </c>
      <c r="E15671" t="s">
        <v>2993</v>
      </c>
    </row>
    <row r="15672" spans="1:5" x14ac:dyDescent="0.25">
      <c r="A15672" t="s">
        <v>2</v>
      </c>
      <c r="B15672" t="s">
        <v>3458</v>
      </c>
      <c r="C15672" t="s">
        <v>23490</v>
      </c>
      <c r="D15672" t="str">
        <f>HYPERLINK("https://rhld.insurance.arkansas.gov/NPILookup?Npi=1851731582","1851731582")</f>
        <v>1851731582</v>
      </c>
      <c r="E15672" t="s">
        <v>8888</v>
      </c>
    </row>
    <row r="15673" spans="1:5" x14ac:dyDescent="0.25">
      <c r="A15673" t="s">
        <v>2</v>
      </c>
      <c r="B15673" t="s">
        <v>3458</v>
      </c>
      <c r="C15673" t="s">
        <v>23490</v>
      </c>
      <c r="D15673" t="str">
        <f>HYPERLINK("https://rhld.insurance.arkansas.gov/NPILookup?Npi=1851734347","1851734347")</f>
        <v>1851734347</v>
      </c>
      <c r="E15673" t="s">
        <v>11324</v>
      </c>
    </row>
    <row r="15674" spans="1:5" x14ac:dyDescent="0.25">
      <c r="A15674" t="s">
        <v>2</v>
      </c>
      <c r="B15674" t="s">
        <v>3458</v>
      </c>
      <c r="C15674" t="s">
        <v>23490</v>
      </c>
      <c r="D15674" t="str">
        <f>HYPERLINK("https://rhld.insurance.arkansas.gov/NPILookup?Npi=1851737787","1851737787")</f>
        <v>1851737787</v>
      </c>
      <c r="E15674" t="s">
        <v>13752</v>
      </c>
    </row>
    <row r="15675" spans="1:5" x14ac:dyDescent="0.25">
      <c r="A15675" t="s">
        <v>2</v>
      </c>
      <c r="B15675" t="s">
        <v>3458</v>
      </c>
      <c r="C15675" t="s">
        <v>23490</v>
      </c>
      <c r="D15675" t="str">
        <f>HYPERLINK("https://rhld.insurance.arkansas.gov/NPILookup?Npi=1851739007","1851739007")</f>
        <v>1851739007</v>
      </c>
      <c r="E15675" t="s">
        <v>17485</v>
      </c>
    </row>
    <row r="15676" spans="1:5" x14ac:dyDescent="0.25">
      <c r="A15676" t="s">
        <v>2</v>
      </c>
      <c r="B15676" t="s">
        <v>3458</v>
      </c>
      <c r="C15676" t="s">
        <v>23490</v>
      </c>
      <c r="D15676" t="str">
        <f>HYPERLINK("https://rhld.insurance.arkansas.gov/NPILookup?Npi=1851743645","1851743645")</f>
        <v>1851743645</v>
      </c>
      <c r="E15676" t="s">
        <v>11325</v>
      </c>
    </row>
    <row r="15677" spans="1:5" x14ac:dyDescent="0.25">
      <c r="A15677" t="s">
        <v>2</v>
      </c>
      <c r="B15677" t="s">
        <v>3458</v>
      </c>
      <c r="C15677" t="s">
        <v>23490</v>
      </c>
      <c r="D15677" t="str">
        <f>HYPERLINK("https://rhld.insurance.arkansas.gov/NPILookup?Npi=1851753776","1851753776")</f>
        <v>1851753776</v>
      </c>
      <c r="E15677" t="s">
        <v>11326</v>
      </c>
    </row>
    <row r="15678" spans="1:5" x14ac:dyDescent="0.25">
      <c r="A15678" t="s">
        <v>2</v>
      </c>
      <c r="B15678" t="s">
        <v>3458</v>
      </c>
      <c r="C15678" t="s">
        <v>23490</v>
      </c>
      <c r="D15678" t="str">
        <f>HYPERLINK("https://rhld.insurance.arkansas.gov/NPILookup?Npi=1851754964","1851754964")</f>
        <v>1851754964</v>
      </c>
      <c r="E15678" t="s">
        <v>15637</v>
      </c>
    </row>
    <row r="15679" spans="1:5" x14ac:dyDescent="0.25">
      <c r="A15679" t="s">
        <v>2</v>
      </c>
      <c r="B15679" t="s">
        <v>3458</v>
      </c>
      <c r="C15679" t="s">
        <v>23490</v>
      </c>
      <c r="D15679" t="str">
        <f>HYPERLINK("https://rhld.insurance.arkansas.gov/NPILookup?Npi=1851758478","1851758478")</f>
        <v>1851758478</v>
      </c>
      <c r="E15679" t="s">
        <v>8993</v>
      </c>
    </row>
    <row r="15680" spans="1:5" x14ac:dyDescent="0.25">
      <c r="A15680" t="s">
        <v>2</v>
      </c>
      <c r="B15680" t="s">
        <v>3458</v>
      </c>
      <c r="C15680" t="s">
        <v>23490</v>
      </c>
      <c r="D15680" t="str">
        <f>HYPERLINK("https://rhld.insurance.arkansas.gov/NPILookup?Npi=1851758973","1851758973")</f>
        <v>1851758973</v>
      </c>
      <c r="E15680" t="s">
        <v>8890</v>
      </c>
    </row>
    <row r="15681" spans="1:5" x14ac:dyDescent="0.25">
      <c r="A15681" t="s">
        <v>2</v>
      </c>
      <c r="B15681" t="s">
        <v>3458</v>
      </c>
      <c r="C15681" t="s">
        <v>23490</v>
      </c>
      <c r="D15681" t="str">
        <f>HYPERLINK("https://rhld.insurance.arkansas.gov/NPILookup?Npi=1851792626","1851792626")</f>
        <v>1851792626</v>
      </c>
      <c r="E15681" t="s">
        <v>15638</v>
      </c>
    </row>
    <row r="15682" spans="1:5" x14ac:dyDescent="0.25">
      <c r="A15682" t="s">
        <v>2</v>
      </c>
      <c r="B15682" t="s">
        <v>3458</v>
      </c>
      <c r="C15682" t="s">
        <v>23490</v>
      </c>
      <c r="D15682" t="str">
        <f>HYPERLINK("https://rhld.insurance.arkansas.gov/NPILookup?Npi=1851794291","1851794291")</f>
        <v>1851794291</v>
      </c>
      <c r="E15682" t="s">
        <v>2995</v>
      </c>
    </row>
    <row r="15683" spans="1:5" x14ac:dyDescent="0.25">
      <c r="A15683" t="s">
        <v>2</v>
      </c>
      <c r="B15683" t="s">
        <v>3458</v>
      </c>
      <c r="C15683" t="s">
        <v>23490</v>
      </c>
      <c r="D15683" t="str">
        <f>HYPERLINK("https://rhld.insurance.arkansas.gov/NPILookup?Npi=1851813141","1851813141")</f>
        <v>1851813141</v>
      </c>
      <c r="E15683" t="s">
        <v>11327</v>
      </c>
    </row>
    <row r="15684" spans="1:5" x14ac:dyDescent="0.25">
      <c r="A15684" t="s">
        <v>2</v>
      </c>
      <c r="B15684" t="s">
        <v>3458</v>
      </c>
      <c r="C15684" t="s">
        <v>23490</v>
      </c>
      <c r="D15684" t="str">
        <f>HYPERLINK("https://rhld.insurance.arkansas.gov/NPILookup?Npi=1851815542","1851815542")</f>
        <v>1851815542</v>
      </c>
      <c r="E15684" t="s">
        <v>13037</v>
      </c>
    </row>
    <row r="15685" spans="1:5" x14ac:dyDescent="0.25">
      <c r="A15685" t="s">
        <v>2</v>
      </c>
      <c r="B15685" t="s">
        <v>3458</v>
      </c>
      <c r="C15685" t="s">
        <v>23490</v>
      </c>
      <c r="D15685" t="str">
        <f>HYPERLINK("https://rhld.insurance.arkansas.gov/NPILookup?Npi=1851817084","1851817084")</f>
        <v>1851817084</v>
      </c>
      <c r="E15685" t="s">
        <v>19236</v>
      </c>
    </row>
    <row r="15686" spans="1:5" x14ac:dyDescent="0.25">
      <c r="A15686" t="s">
        <v>2</v>
      </c>
      <c r="B15686" t="s">
        <v>3458</v>
      </c>
      <c r="C15686" t="s">
        <v>23490</v>
      </c>
      <c r="D15686" t="str">
        <f>HYPERLINK("https://rhld.insurance.arkansas.gov/NPILookup?Npi=1851832653","1851832653")</f>
        <v>1851832653</v>
      </c>
      <c r="E15686" t="s">
        <v>11328</v>
      </c>
    </row>
    <row r="15687" spans="1:5" x14ac:dyDescent="0.25">
      <c r="A15687" t="s">
        <v>2</v>
      </c>
      <c r="B15687" t="s">
        <v>3458</v>
      </c>
      <c r="C15687" t="s">
        <v>23490</v>
      </c>
      <c r="D15687" t="str">
        <f>HYPERLINK("https://rhld.insurance.arkansas.gov/NPILookup?Npi=1851834972","1851834972")</f>
        <v>1851834972</v>
      </c>
      <c r="E15687" t="s">
        <v>21058</v>
      </c>
    </row>
    <row r="15688" spans="1:5" x14ac:dyDescent="0.25">
      <c r="A15688" t="s">
        <v>2</v>
      </c>
      <c r="B15688" t="s">
        <v>3458</v>
      </c>
      <c r="C15688" t="s">
        <v>23490</v>
      </c>
      <c r="D15688" t="str">
        <f>HYPERLINK("https://rhld.insurance.arkansas.gov/NPILookup?Npi=1851839427","1851839427")</f>
        <v>1851839427</v>
      </c>
      <c r="E15688" t="s">
        <v>12922</v>
      </c>
    </row>
    <row r="15689" spans="1:5" x14ac:dyDescent="0.25">
      <c r="A15689" t="s">
        <v>2</v>
      </c>
      <c r="B15689" t="s">
        <v>3458</v>
      </c>
      <c r="C15689" t="s">
        <v>23490</v>
      </c>
      <c r="D15689" t="str">
        <f>HYPERLINK("https://rhld.insurance.arkansas.gov/NPILookup?Npi=1851845200","1851845200")</f>
        <v>1851845200</v>
      </c>
      <c r="E15689" t="s">
        <v>11329</v>
      </c>
    </row>
    <row r="15690" spans="1:5" x14ac:dyDescent="0.25">
      <c r="A15690" t="s">
        <v>2</v>
      </c>
      <c r="B15690" t="s">
        <v>3458</v>
      </c>
      <c r="C15690" t="s">
        <v>23490</v>
      </c>
      <c r="D15690" t="str">
        <f>HYPERLINK("https://rhld.insurance.arkansas.gov/NPILookup?Npi=1851858773","1851858773")</f>
        <v>1851858773</v>
      </c>
      <c r="E15690" t="s">
        <v>13755</v>
      </c>
    </row>
    <row r="15691" spans="1:5" x14ac:dyDescent="0.25">
      <c r="A15691" t="s">
        <v>2</v>
      </c>
      <c r="B15691" t="s">
        <v>3458</v>
      </c>
      <c r="C15691" t="s">
        <v>23490</v>
      </c>
      <c r="D15691" t="str">
        <f>HYPERLINK("https://rhld.insurance.arkansas.gov/NPILookup?Npi=1851902118","1851902118")</f>
        <v>1851902118</v>
      </c>
      <c r="E15691" t="s">
        <v>18152</v>
      </c>
    </row>
    <row r="15692" spans="1:5" x14ac:dyDescent="0.25">
      <c r="A15692" t="s">
        <v>2</v>
      </c>
      <c r="B15692" t="s">
        <v>3458</v>
      </c>
      <c r="C15692" t="s">
        <v>23490</v>
      </c>
      <c r="D15692" t="str">
        <f>HYPERLINK("https://rhld.insurance.arkansas.gov/NPILookup?Npi=1851902860","1851902860")</f>
        <v>1851902860</v>
      </c>
      <c r="E15692" t="s">
        <v>18883</v>
      </c>
    </row>
    <row r="15693" spans="1:5" x14ac:dyDescent="0.25">
      <c r="A15693" t="s">
        <v>2</v>
      </c>
      <c r="B15693" t="s">
        <v>3458</v>
      </c>
      <c r="C15693" t="s">
        <v>8427</v>
      </c>
      <c r="D15693" t="str">
        <f>HYPERLINK("https://rhld.insurance.arkansas.gov/NPILookup?Npi=1851929673","1851929673")</f>
        <v>1851929673</v>
      </c>
      <c r="E15693" t="s">
        <v>22997</v>
      </c>
    </row>
    <row r="15694" spans="1:5" x14ac:dyDescent="0.25">
      <c r="A15694" t="s">
        <v>2</v>
      </c>
      <c r="B15694" t="s">
        <v>3458</v>
      </c>
      <c r="C15694" t="s">
        <v>23490</v>
      </c>
      <c r="D15694" t="str">
        <f>HYPERLINK("https://rhld.insurance.arkansas.gov/NPILookup?Npi=1851946776","1851946776")</f>
        <v>1851946776</v>
      </c>
      <c r="E15694" t="s">
        <v>18153</v>
      </c>
    </row>
    <row r="15695" spans="1:5" x14ac:dyDescent="0.25">
      <c r="A15695" t="s">
        <v>2</v>
      </c>
      <c r="B15695" t="s">
        <v>3458</v>
      </c>
      <c r="C15695" t="s">
        <v>23490</v>
      </c>
      <c r="D15695" t="str">
        <f>HYPERLINK("https://rhld.insurance.arkansas.gov/NPILookup?Npi=1851962823","1851962823")</f>
        <v>1851962823</v>
      </c>
      <c r="E15695" t="s">
        <v>18884</v>
      </c>
    </row>
    <row r="15696" spans="1:5" x14ac:dyDescent="0.25">
      <c r="A15696" t="s">
        <v>2</v>
      </c>
      <c r="B15696" t="s">
        <v>3458</v>
      </c>
      <c r="C15696" t="s">
        <v>23490</v>
      </c>
      <c r="D15696" t="str">
        <f>HYPERLINK("https://rhld.insurance.arkansas.gov/NPILookup?Npi=1861003196","1861003196")</f>
        <v>1861003196</v>
      </c>
      <c r="E15696" t="s">
        <v>18154</v>
      </c>
    </row>
    <row r="15697" spans="1:5" x14ac:dyDescent="0.25">
      <c r="A15697" t="s">
        <v>2</v>
      </c>
      <c r="B15697" t="s">
        <v>3458</v>
      </c>
      <c r="C15697" t="s">
        <v>23490</v>
      </c>
      <c r="D15697" t="str">
        <f>HYPERLINK("https://rhld.insurance.arkansas.gov/NPILookup?Npi=1861005860","1861005860")</f>
        <v>1861005860</v>
      </c>
      <c r="E15697" t="s">
        <v>18220</v>
      </c>
    </row>
    <row r="15698" spans="1:5" x14ac:dyDescent="0.25">
      <c r="A15698" t="s">
        <v>2</v>
      </c>
      <c r="B15698" t="s">
        <v>3458</v>
      </c>
      <c r="C15698" t="s">
        <v>23490</v>
      </c>
      <c r="D15698" t="str">
        <f>HYPERLINK("https://rhld.insurance.arkansas.gov/NPILookup?Npi=1861018947","1861018947")</f>
        <v>1861018947</v>
      </c>
      <c r="E15698" t="s">
        <v>17486</v>
      </c>
    </row>
    <row r="15699" spans="1:5" x14ac:dyDescent="0.25">
      <c r="A15699" t="s">
        <v>2</v>
      </c>
      <c r="B15699" t="s">
        <v>3458</v>
      </c>
      <c r="C15699" t="s">
        <v>8427</v>
      </c>
      <c r="D15699" t="str">
        <f>HYPERLINK("https://rhld.insurance.arkansas.gov/NPILookup?Npi=1861020240","1861020240")</f>
        <v>1861020240</v>
      </c>
      <c r="E15699" t="s">
        <v>22998</v>
      </c>
    </row>
    <row r="15700" spans="1:5" x14ac:dyDescent="0.25">
      <c r="A15700" t="s">
        <v>2</v>
      </c>
      <c r="B15700" t="s">
        <v>3458</v>
      </c>
      <c r="C15700" t="s">
        <v>8427</v>
      </c>
      <c r="D15700" t="str">
        <f>HYPERLINK("https://rhld.insurance.arkansas.gov/NPILookup?Npi=1861021040","1861021040")</f>
        <v>1861021040</v>
      </c>
      <c r="E15700" t="s">
        <v>22999</v>
      </c>
    </row>
    <row r="15701" spans="1:5" x14ac:dyDescent="0.25">
      <c r="A15701" t="s">
        <v>2</v>
      </c>
      <c r="B15701" t="s">
        <v>3458</v>
      </c>
      <c r="C15701" t="s">
        <v>8427</v>
      </c>
      <c r="D15701" t="str">
        <f>HYPERLINK("https://rhld.insurance.arkansas.gov/NPILookup?Npi=1861021636","1861021636")</f>
        <v>1861021636</v>
      </c>
      <c r="E15701" t="s">
        <v>23000</v>
      </c>
    </row>
    <row r="15702" spans="1:5" x14ac:dyDescent="0.25">
      <c r="A15702" t="s">
        <v>2</v>
      </c>
      <c r="B15702" t="s">
        <v>3458</v>
      </c>
      <c r="C15702" t="s">
        <v>23490</v>
      </c>
      <c r="D15702" t="str">
        <f>HYPERLINK("https://rhld.insurance.arkansas.gov/NPILookup?Npi=1861058547","1861058547")</f>
        <v>1861058547</v>
      </c>
      <c r="E15702" t="s">
        <v>15641</v>
      </c>
    </row>
    <row r="15703" spans="1:5" x14ac:dyDescent="0.25">
      <c r="A15703" t="s">
        <v>2</v>
      </c>
      <c r="B15703" t="s">
        <v>3458</v>
      </c>
      <c r="C15703" t="s">
        <v>23490</v>
      </c>
      <c r="D15703" t="str">
        <f>HYPERLINK("https://rhld.insurance.arkansas.gov/NPILookup?Npi=1861077109","1861077109")</f>
        <v>1861077109</v>
      </c>
      <c r="E15703" t="s">
        <v>18885</v>
      </c>
    </row>
    <row r="15704" spans="1:5" x14ac:dyDescent="0.25">
      <c r="A15704" t="s">
        <v>2</v>
      </c>
      <c r="B15704" t="s">
        <v>3458</v>
      </c>
      <c r="C15704" t="s">
        <v>23490</v>
      </c>
      <c r="D15704" t="str">
        <f>HYPERLINK("https://rhld.insurance.arkansas.gov/NPILookup?Npi=1861077802","1861077802")</f>
        <v>1861077802</v>
      </c>
      <c r="E15704" t="s">
        <v>18157</v>
      </c>
    </row>
    <row r="15705" spans="1:5" x14ac:dyDescent="0.25">
      <c r="A15705" t="s">
        <v>2</v>
      </c>
      <c r="B15705" t="s">
        <v>3458</v>
      </c>
      <c r="C15705" t="s">
        <v>23490</v>
      </c>
      <c r="D15705" t="str">
        <f>HYPERLINK("https://rhld.insurance.arkansas.gov/NPILookup?Npi=1861138901","1861138901")</f>
        <v>1861138901</v>
      </c>
      <c r="E15705" t="s">
        <v>20078</v>
      </c>
    </row>
    <row r="15706" spans="1:5" x14ac:dyDescent="0.25">
      <c r="A15706" t="s">
        <v>2</v>
      </c>
      <c r="B15706" t="s">
        <v>3458</v>
      </c>
      <c r="C15706" t="s">
        <v>23490</v>
      </c>
      <c r="D15706" t="str">
        <f>HYPERLINK("https://rhld.insurance.arkansas.gov/NPILookup?Npi=1861160145","1861160145")</f>
        <v>1861160145</v>
      </c>
      <c r="E15706" t="s">
        <v>18886</v>
      </c>
    </row>
    <row r="15707" spans="1:5" x14ac:dyDescent="0.25">
      <c r="A15707" t="s">
        <v>2</v>
      </c>
      <c r="B15707" t="s">
        <v>3458</v>
      </c>
      <c r="C15707" t="s">
        <v>23490</v>
      </c>
      <c r="D15707" t="str">
        <f>HYPERLINK("https://rhld.insurance.arkansas.gov/NPILookup?Npi=1861412512","1861412512")</f>
        <v>1861412512</v>
      </c>
      <c r="E15707" t="s">
        <v>2997</v>
      </c>
    </row>
    <row r="15708" spans="1:5" x14ac:dyDescent="0.25">
      <c r="A15708" t="s">
        <v>2</v>
      </c>
      <c r="B15708" t="s">
        <v>3458</v>
      </c>
      <c r="C15708" t="s">
        <v>23490</v>
      </c>
      <c r="D15708" t="str">
        <f>HYPERLINK("https://rhld.insurance.arkansas.gov/NPILookup?Npi=1861414708","1861414708")</f>
        <v>1861414708</v>
      </c>
      <c r="E15708" t="s">
        <v>2998</v>
      </c>
    </row>
    <row r="15709" spans="1:5" x14ac:dyDescent="0.25">
      <c r="A15709" t="s">
        <v>2</v>
      </c>
      <c r="B15709" t="s">
        <v>3458</v>
      </c>
      <c r="C15709" t="s">
        <v>23490</v>
      </c>
      <c r="D15709" t="str">
        <f>HYPERLINK("https://rhld.insurance.arkansas.gov/NPILookup?Npi=1861419632","1861419632")</f>
        <v>1861419632</v>
      </c>
      <c r="E15709" t="s">
        <v>3972</v>
      </c>
    </row>
    <row r="15710" spans="1:5" x14ac:dyDescent="0.25">
      <c r="A15710" t="s">
        <v>2</v>
      </c>
      <c r="B15710" t="s">
        <v>3458</v>
      </c>
      <c r="C15710" t="s">
        <v>23490</v>
      </c>
      <c r="D15710" t="str">
        <f>HYPERLINK("https://rhld.insurance.arkansas.gov/NPILookup?Npi=1861428898","1861428898")</f>
        <v>1861428898</v>
      </c>
      <c r="E15710" t="s">
        <v>15642</v>
      </c>
    </row>
    <row r="15711" spans="1:5" x14ac:dyDescent="0.25">
      <c r="A15711" t="s">
        <v>2</v>
      </c>
      <c r="B15711" t="s">
        <v>3458</v>
      </c>
      <c r="C15711" t="s">
        <v>23490</v>
      </c>
      <c r="D15711" t="str">
        <f>HYPERLINK("https://rhld.insurance.arkansas.gov/NPILookup?Npi=1861433377","1861433377")</f>
        <v>1861433377</v>
      </c>
      <c r="E15711" t="s">
        <v>2999</v>
      </c>
    </row>
    <row r="15712" spans="1:5" x14ac:dyDescent="0.25">
      <c r="A15712" t="s">
        <v>2</v>
      </c>
      <c r="B15712" t="s">
        <v>3458</v>
      </c>
      <c r="C15712" t="s">
        <v>23490</v>
      </c>
      <c r="D15712" t="str">
        <f>HYPERLINK("https://rhld.insurance.arkansas.gov/NPILookup?Npi=1861438475","1861438475")</f>
        <v>1861438475</v>
      </c>
      <c r="E15712" t="s">
        <v>15914</v>
      </c>
    </row>
    <row r="15713" spans="1:5" x14ac:dyDescent="0.25">
      <c r="A15713" t="s">
        <v>2</v>
      </c>
      <c r="B15713" t="s">
        <v>3458</v>
      </c>
      <c r="C15713" t="s">
        <v>23490</v>
      </c>
      <c r="D15713" t="str">
        <f>HYPERLINK("https://rhld.insurance.arkansas.gov/NPILookup?Npi=1861438665","1861438665")</f>
        <v>1861438665</v>
      </c>
      <c r="E15713" t="s">
        <v>3000</v>
      </c>
    </row>
    <row r="15714" spans="1:5" x14ac:dyDescent="0.25">
      <c r="A15714" t="s">
        <v>2</v>
      </c>
      <c r="B15714" t="s">
        <v>3458</v>
      </c>
      <c r="C15714" t="s">
        <v>23490</v>
      </c>
      <c r="D15714" t="str">
        <f>HYPERLINK("https://rhld.insurance.arkansas.gov/NPILookup?Npi=1861440877","1861440877")</f>
        <v>1861440877</v>
      </c>
      <c r="E15714" t="s">
        <v>3001</v>
      </c>
    </row>
    <row r="15715" spans="1:5" x14ac:dyDescent="0.25">
      <c r="A15715" t="s">
        <v>2</v>
      </c>
      <c r="B15715" t="s">
        <v>3458</v>
      </c>
      <c r="C15715" t="s">
        <v>23490</v>
      </c>
      <c r="D15715" t="str">
        <f>HYPERLINK("https://rhld.insurance.arkansas.gov/NPILookup?Npi=1861441008","1861441008")</f>
        <v>1861441008</v>
      </c>
      <c r="E15715" t="s">
        <v>8891</v>
      </c>
    </row>
    <row r="15716" spans="1:5" x14ac:dyDescent="0.25">
      <c r="A15716" t="s">
        <v>2</v>
      </c>
      <c r="B15716" t="s">
        <v>3458</v>
      </c>
      <c r="C15716" t="s">
        <v>23490</v>
      </c>
      <c r="D15716" t="str">
        <f>HYPERLINK("https://rhld.insurance.arkansas.gov/NPILookup?Npi=1861442774","1861442774")</f>
        <v>1861442774</v>
      </c>
      <c r="E15716" t="s">
        <v>3973</v>
      </c>
    </row>
    <row r="15717" spans="1:5" x14ac:dyDescent="0.25">
      <c r="A15717" t="s">
        <v>2</v>
      </c>
      <c r="B15717" t="s">
        <v>3458</v>
      </c>
      <c r="C15717" t="s">
        <v>23490</v>
      </c>
      <c r="D15717" t="str">
        <f>HYPERLINK("https://rhld.insurance.arkansas.gov/NPILookup?Npi=1861450942","1861450942")</f>
        <v>1861450942</v>
      </c>
      <c r="E15717" t="s">
        <v>3005</v>
      </c>
    </row>
    <row r="15718" spans="1:5" x14ac:dyDescent="0.25">
      <c r="A15718" t="s">
        <v>2</v>
      </c>
      <c r="B15718" t="s">
        <v>3458</v>
      </c>
      <c r="C15718" t="s">
        <v>23490</v>
      </c>
      <c r="D15718" t="str">
        <f>HYPERLINK("https://rhld.insurance.arkansas.gov/NPILookup?Npi=1861452401","1861452401")</f>
        <v>1861452401</v>
      </c>
      <c r="E15718" t="s">
        <v>15644</v>
      </c>
    </row>
    <row r="15719" spans="1:5" x14ac:dyDescent="0.25">
      <c r="A15719" t="s">
        <v>2</v>
      </c>
      <c r="B15719" t="s">
        <v>3458</v>
      </c>
      <c r="C15719" t="s">
        <v>23490</v>
      </c>
      <c r="D15719" t="str">
        <f>HYPERLINK("https://rhld.insurance.arkansas.gov/NPILookup?Npi=1861453656","1861453656")</f>
        <v>1861453656</v>
      </c>
      <c r="E15719" t="s">
        <v>3006</v>
      </c>
    </row>
    <row r="15720" spans="1:5" x14ac:dyDescent="0.25">
      <c r="A15720" t="s">
        <v>2</v>
      </c>
      <c r="B15720" t="s">
        <v>3458</v>
      </c>
      <c r="C15720" t="s">
        <v>23490</v>
      </c>
      <c r="D15720" t="str">
        <f>HYPERLINK("https://rhld.insurance.arkansas.gov/NPILookup?Npi=1861455354","1861455354")</f>
        <v>1861455354</v>
      </c>
      <c r="E15720" t="s">
        <v>3007</v>
      </c>
    </row>
    <row r="15721" spans="1:5" x14ac:dyDescent="0.25">
      <c r="A15721" t="s">
        <v>2</v>
      </c>
      <c r="B15721" t="s">
        <v>3458</v>
      </c>
      <c r="C15721" t="s">
        <v>23490</v>
      </c>
      <c r="D15721" t="str">
        <f>HYPERLINK("https://rhld.insurance.arkansas.gov/NPILookup?Npi=1861457988","1861457988")</f>
        <v>1861457988</v>
      </c>
      <c r="E15721" t="s">
        <v>3008</v>
      </c>
    </row>
    <row r="15722" spans="1:5" x14ac:dyDescent="0.25">
      <c r="A15722" t="s">
        <v>2</v>
      </c>
      <c r="B15722" t="s">
        <v>3458</v>
      </c>
      <c r="C15722" t="s">
        <v>23490</v>
      </c>
      <c r="D15722" t="str">
        <f>HYPERLINK("https://rhld.insurance.arkansas.gov/NPILookup?Npi=1861458069","1861458069")</f>
        <v>1861458069</v>
      </c>
      <c r="E15722" t="s">
        <v>12923</v>
      </c>
    </row>
    <row r="15723" spans="1:5" x14ac:dyDescent="0.25">
      <c r="A15723" t="s">
        <v>2</v>
      </c>
      <c r="B15723" t="s">
        <v>3458</v>
      </c>
      <c r="C15723" t="s">
        <v>23490</v>
      </c>
      <c r="D15723" t="str">
        <f>HYPERLINK("https://rhld.insurance.arkansas.gov/NPILookup?Npi=1861461378","1861461378")</f>
        <v>1861461378</v>
      </c>
      <c r="E15723" t="s">
        <v>15645</v>
      </c>
    </row>
    <row r="15724" spans="1:5" x14ac:dyDescent="0.25">
      <c r="A15724" t="s">
        <v>2</v>
      </c>
      <c r="B15724" t="s">
        <v>3458</v>
      </c>
      <c r="C15724" t="s">
        <v>23490</v>
      </c>
      <c r="D15724" t="str">
        <f>HYPERLINK("https://rhld.insurance.arkansas.gov/NPILookup?Npi=1861475147","1861475147")</f>
        <v>1861475147</v>
      </c>
      <c r="E15724" t="s">
        <v>3974</v>
      </c>
    </row>
    <row r="15725" spans="1:5" x14ac:dyDescent="0.25">
      <c r="A15725" t="s">
        <v>2</v>
      </c>
      <c r="B15725" t="s">
        <v>3458</v>
      </c>
      <c r="C15725" t="s">
        <v>23490</v>
      </c>
      <c r="D15725" t="str">
        <f>HYPERLINK("https://rhld.insurance.arkansas.gov/NPILookup?Npi=1861479966","1861479966")</f>
        <v>1861479966</v>
      </c>
      <c r="E15725" t="s">
        <v>3009</v>
      </c>
    </row>
    <row r="15726" spans="1:5" x14ac:dyDescent="0.25">
      <c r="A15726" t="s">
        <v>2</v>
      </c>
      <c r="B15726" t="s">
        <v>3458</v>
      </c>
      <c r="C15726" t="s">
        <v>23490</v>
      </c>
      <c r="D15726" t="str">
        <f>HYPERLINK("https://rhld.insurance.arkansas.gov/NPILookup?Npi=1861482739","1861482739")</f>
        <v>1861482739</v>
      </c>
      <c r="E15726" t="s">
        <v>12924</v>
      </c>
    </row>
    <row r="15727" spans="1:5" x14ac:dyDescent="0.25">
      <c r="A15727" t="s">
        <v>2</v>
      </c>
      <c r="B15727" t="s">
        <v>3458</v>
      </c>
      <c r="C15727" t="s">
        <v>23490</v>
      </c>
      <c r="D15727" t="str">
        <f>HYPERLINK("https://rhld.insurance.arkansas.gov/NPILookup?Npi=1861485179","1861485179")</f>
        <v>1861485179</v>
      </c>
      <c r="E15727" t="s">
        <v>15915</v>
      </c>
    </row>
    <row r="15728" spans="1:5" x14ac:dyDescent="0.25">
      <c r="A15728" t="s">
        <v>2</v>
      </c>
      <c r="B15728" t="s">
        <v>3458</v>
      </c>
      <c r="C15728" t="s">
        <v>23490</v>
      </c>
      <c r="D15728" t="str">
        <f>HYPERLINK("https://rhld.insurance.arkansas.gov/NPILookup?Npi=1861486920","1861486920")</f>
        <v>1861486920</v>
      </c>
      <c r="E15728" t="s">
        <v>3010</v>
      </c>
    </row>
    <row r="15729" spans="1:5" x14ac:dyDescent="0.25">
      <c r="A15729" t="s">
        <v>2</v>
      </c>
      <c r="B15729" t="s">
        <v>3458</v>
      </c>
      <c r="C15729" t="s">
        <v>23490</v>
      </c>
      <c r="D15729" t="str">
        <f>HYPERLINK("https://rhld.insurance.arkansas.gov/NPILookup?Npi=1861488017","1861488017")</f>
        <v>1861488017</v>
      </c>
      <c r="E15729" t="s">
        <v>3012</v>
      </c>
    </row>
    <row r="15730" spans="1:5" x14ac:dyDescent="0.25">
      <c r="A15730" t="s">
        <v>2</v>
      </c>
      <c r="B15730" t="s">
        <v>3458</v>
      </c>
      <c r="C15730" t="s">
        <v>23490</v>
      </c>
      <c r="D15730" t="str">
        <f>HYPERLINK("https://rhld.insurance.arkansas.gov/NPILookup?Npi=1861488348","1861488348")</f>
        <v>1861488348</v>
      </c>
      <c r="E15730" t="s">
        <v>3013</v>
      </c>
    </row>
    <row r="15731" spans="1:5" x14ac:dyDescent="0.25">
      <c r="A15731" t="s">
        <v>2</v>
      </c>
      <c r="B15731" t="s">
        <v>3458</v>
      </c>
      <c r="C15731" t="s">
        <v>23490</v>
      </c>
      <c r="D15731" t="str">
        <f>HYPERLINK("https://rhld.insurance.arkansas.gov/NPILookup?Npi=1861490773","1861490773")</f>
        <v>1861490773</v>
      </c>
      <c r="E15731" t="s">
        <v>15646</v>
      </c>
    </row>
    <row r="15732" spans="1:5" x14ac:dyDescent="0.25">
      <c r="A15732" t="s">
        <v>2</v>
      </c>
      <c r="B15732" t="s">
        <v>3458</v>
      </c>
      <c r="C15732" t="s">
        <v>23490</v>
      </c>
      <c r="D15732" t="str">
        <f>HYPERLINK("https://rhld.insurance.arkansas.gov/NPILookup?Npi=1861493066","1861493066")</f>
        <v>1861493066</v>
      </c>
      <c r="E15732" t="s">
        <v>15647</v>
      </c>
    </row>
    <row r="15733" spans="1:5" x14ac:dyDescent="0.25">
      <c r="A15733" t="s">
        <v>2</v>
      </c>
      <c r="B15733" t="s">
        <v>3458</v>
      </c>
      <c r="C15733" t="s">
        <v>23490</v>
      </c>
      <c r="D15733" t="str">
        <f>HYPERLINK("https://rhld.insurance.arkansas.gov/NPILookup?Npi=1861495152","1861495152")</f>
        <v>1861495152</v>
      </c>
      <c r="E15733" t="s">
        <v>15648</v>
      </c>
    </row>
    <row r="15734" spans="1:5" x14ac:dyDescent="0.25">
      <c r="A15734" t="s">
        <v>2</v>
      </c>
      <c r="B15734" t="s">
        <v>3458</v>
      </c>
      <c r="C15734" t="s">
        <v>23490</v>
      </c>
      <c r="D15734" t="str">
        <f>HYPERLINK("https://rhld.insurance.arkansas.gov/NPILookup?Npi=1861496507","1861496507")</f>
        <v>1861496507</v>
      </c>
      <c r="E15734" t="s">
        <v>15649</v>
      </c>
    </row>
    <row r="15735" spans="1:5" x14ac:dyDescent="0.25">
      <c r="A15735" t="s">
        <v>2</v>
      </c>
      <c r="B15735" t="s">
        <v>3458</v>
      </c>
      <c r="C15735" t="s">
        <v>23490</v>
      </c>
      <c r="D15735" t="str">
        <f>HYPERLINK("https://rhld.insurance.arkansas.gov/NPILookup?Npi=1861496671","1861496671")</f>
        <v>1861496671</v>
      </c>
      <c r="E15735" t="s">
        <v>3015</v>
      </c>
    </row>
    <row r="15736" spans="1:5" x14ac:dyDescent="0.25">
      <c r="A15736" t="s">
        <v>2</v>
      </c>
      <c r="B15736" t="s">
        <v>3458</v>
      </c>
      <c r="C15736" t="s">
        <v>23490</v>
      </c>
      <c r="D15736" t="str">
        <f>HYPERLINK("https://rhld.insurance.arkansas.gov/NPILookup?Npi=1861498768","1861498768")</f>
        <v>1861498768</v>
      </c>
      <c r="E15736" t="s">
        <v>3016</v>
      </c>
    </row>
    <row r="15737" spans="1:5" x14ac:dyDescent="0.25">
      <c r="A15737" t="s">
        <v>2</v>
      </c>
      <c r="B15737" t="s">
        <v>3458</v>
      </c>
      <c r="C15737" t="s">
        <v>23490</v>
      </c>
      <c r="D15737" t="str">
        <f>HYPERLINK("https://rhld.insurance.arkansas.gov/NPILookup?Npi=1861499600","1861499600")</f>
        <v>1861499600</v>
      </c>
      <c r="E15737" t="s">
        <v>3975</v>
      </c>
    </row>
    <row r="15738" spans="1:5" x14ac:dyDescent="0.25">
      <c r="A15738" t="s">
        <v>2</v>
      </c>
      <c r="B15738" t="s">
        <v>3458</v>
      </c>
      <c r="C15738" t="s">
        <v>23490</v>
      </c>
      <c r="D15738" t="str">
        <f>HYPERLINK("https://rhld.insurance.arkansas.gov/NPILookup?Npi=1861506453","1861506453")</f>
        <v>1861506453</v>
      </c>
      <c r="E15738" t="s">
        <v>3017</v>
      </c>
    </row>
    <row r="15739" spans="1:5" x14ac:dyDescent="0.25">
      <c r="A15739" t="s">
        <v>2</v>
      </c>
      <c r="B15739" t="s">
        <v>3458</v>
      </c>
      <c r="C15739" t="s">
        <v>23490</v>
      </c>
      <c r="D15739" t="str">
        <f>HYPERLINK("https://rhld.insurance.arkansas.gov/NPILookup?Npi=1861508558","1861508558")</f>
        <v>1861508558</v>
      </c>
      <c r="E15739" t="s">
        <v>15650</v>
      </c>
    </row>
    <row r="15740" spans="1:5" x14ac:dyDescent="0.25">
      <c r="A15740" t="s">
        <v>2</v>
      </c>
      <c r="B15740" t="s">
        <v>3458</v>
      </c>
      <c r="C15740" t="s">
        <v>23490</v>
      </c>
      <c r="D15740" t="str">
        <f>HYPERLINK("https://rhld.insurance.arkansas.gov/NPILookup?Npi=1861512105","1861512105")</f>
        <v>1861512105</v>
      </c>
      <c r="E15740" t="s">
        <v>3018</v>
      </c>
    </row>
    <row r="15741" spans="1:5" x14ac:dyDescent="0.25">
      <c r="A15741" t="s">
        <v>2</v>
      </c>
      <c r="B15741" t="s">
        <v>3458</v>
      </c>
      <c r="C15741" t="s">
        <v>23490</v>
      </c>
      <c r="D15741" t="str">
        <f>HYPERLINK("https://rhld.insurance.arkansas.gov/NPILookup?Npi=1861520777","1861520777")</f>
        <v>1861520777</v>
      </c>
      <c r="E15741" t="s">
        <v>3019</v>
      </c>
    </row>
    <row r="15742" spans="1:5" x14ac:dyDescent="0.25">
      <c r="A15742" t="s">
        <v>2</v>
      </c>
      <c r="B15742" t="s">
        <v>3458</v>
      </c>
      <c r="C15742" t="s">
        <v>23490</v>
      </c>
      <c r="D15742" t="str">
        <f>HYPERLINK("https://rhld.insurance.arkansas.gov/NPILookup?Npi=1861526121","1861526121")</f>
        <v>1861526121</v>
      </c>
      <c r="E15742" t="s">
        <v>3020</v>
      </c>
    </row>
    <row r="15743" spans="1:5" x14ac:dyDescent="0.25">
      <c r="A15743" t="s">
        <v>2</v>
      </c>
      <c r="B15743" t="s">
        <v>3458</v>
      </c>
      <c r="C15743" t="s">
        <v>23490</v>
      </c>
      <c r="D15743" t="str">
        <f>HYPERLINK("https://rhld.insurance.arkansas.gov/NPILookup?Npi=1861556904","1861556904")</f>
        <v>1861556904</v>
      </c>
      <c r="E15743" t="s">
        <v>11330</v>
      </c>
    </row>
    <row r="15744" spans="1:5" x14ac:dyDescent="0.25">
      <c r="A15744" t="s">
        <v>2</v>
      </c>
      <c r="B15744" t="s">
        <v>3458</v>
      </c>
      <c r="C15744" t="s">
        <v>23490</v>
      </c>
      <c r="D15744" t="str">
        <f>HYPERLINK("https://rhld.insurance.arkansas.gov/NPILookup?Npi=1861582207","1861582207")</f>
        <v>1861582207</v>
      </c>
      <c r="E15744" t="s">
        <v>3022</v>
      </c>
    </row>
    <row r="15745" spans="1:5" x14ac:dyDescent="0.25">
      <c r="A15745" t="s">
        <v>2</v>
      </c>
      <c r="B15745" t="s">
        <v>3458</v>
      </c>
      <c r="C15745" t="s">
        <v>23490</v>
      </c>
      <c r="D15745" t="str">
        <f>HYPERLINK("https://rhld.insurance.arkansas.gov/NPILookup?Npi=1861582363","1861582363")</f>
        <v>1861582363</v>
      </c>
      <c r="E15745" t="s">
        <v>3976</v>
      </c>
    </row>
    <row r="15746" spans="1:5" x14ac:dyDescent="0.25">
      <c r="A15746" t="s">
        <v>2</v>
      </c>
      <c r="B15746" t="s">
        <v>3458</v>
      </c>
      <c r="C15746" t="s">
        <v>23490</v>
      </c>
      <c r="D15746" t="str">
        <f>HYPERLINK("https://rhld.insurance.arkansas.gov/NPILookup?Npi=1861594632","1861594632")</f>
        <v>1861594632</v>
      </c>
      <c r="E15746" t="s">
        <v>20269</v>
      </c>
    </row>
    <row r="15747" spans="1:5" x14ac:dyDescent="0.25">
      <c r="A15747" t="s">
        <v>2</v>
      </c>
      <c r="B15747" t="s">
        <v>3458</v>
      </c>
      <c r="C15747" t="s">
        <v>23490</v>
      </c>
      <c r="D15747" t="str">
        <f>HYPERLINK("https://rhld.insurance.arkansas.gov/NPILookup?Npi=1861594996","1861594996")</f>
        <v>1861594996</v>
      </c>
      <c r="E15747" t="s">
        <v>3977</v>
      </c>
    </row>
    <row r="15748" spans="1:5" x14ac:dyDescent="0.25">
      <c r="A15748" t="s">
        <v>2</v>
      </c>
      <c r="B15748" t="s">
        <v>3458</v>
      </c>
      <c r="C15748" t="s">
        <v>23490</v>
      </c>
      <c r="D15748" t="str">
        <f>HYPERLINK("https://rhld.insurance.arkansas.gov/NPILookup?Npi=1861608721","1861608721")</f>
        <v>1861608721</v>
      </c>
      <c r="E15748" t="s">
        <v>3024</v>
      </c>
    </row>
    <row r="15749" spans="1:5" x14ac:dyDescent="0.25">
      <c r="A15749" t="s">
        <v>2</v>
      </c>
      <c r="B15749" t="s">
        <v>3458</v>
      </c>
      <c r="C15749" t="s">
        <v>23490</v>
      </c>
      <c r="D15749" t="str">
        <f>HYPERLINK("https://rhld.insurance.arkansas.gov/NPILookup?Npi=1861611196","1861611196")</f>
        <v>1861611196</v>
      </c>
      <c r="E15749" t="s">
        <v>3978</v>
      </c>
    </row>
    <row r="15750" spans="1:5" x14ac:dyDescent="0.25">
      <c r="A15750" t="s">
        <v>2</v>
      </c>
      <c r="B15750" t="s">
        <v>3458</v>
      </c>
      <c r="C15750" t="s">
        <v>23490</v>
      </c>
      <c r="D15750" t="str">
        <f>HYPERLINK("https://rhld.insurance.arkansas.gov/NPILookup?Npi=1861639015","1861639015")</f>
        <v>1861639015</v>
      </c>
      <c r="E15750" t="s">
        <v>15651</v>
      </c>
    </row>
    <row r="15751" spans="1:5" x14ac:dyDescent="0.25">
      <c r="A15751" t="s">
        <v>2</v>
      </c>
      <c r="B15751" t="s">
        <v>3458</v>
      </c>
      <c r="C15751" t="s">
        <v>23490</v>
      </c>
      <c r="D15751" t="str">
        <f>HYPERLINK("https://rhld.insurance.arkansas.gov/NPILookup?Npi=1861684060","1861684060")</f>
        <v>1861684060</v>
      </c>
      <c r="E15751" t="s">
        <v>20270</v>
      </c>
    </row>
    <row r="15752" spans="1:5" x14ac:dyDescent="0.25">
      <c r="A15752" t="s">
        <v>2</v>
      </c>
      <c r="B15752" t="s">
        <v>3458</v>
      </c>
      <c r="C15752" t="s">
        <v>23490</v>
      </c>
      <c r="D15752" t="str">
        <f>HYPERLINK("https://rhld.insurance.arkansas.gov/NPILookup?Npi=1861685570","1861685570")</f>
        <v>1861685570</v>
      </c>
      <c r="E15752" t="s">
        <v>8893</v>
      </c>
    </row>
    <row r="15753" spans="1:5" x14ac:dyDescent="0.25">
      <c r="A15753" t="s">
        <v>2</v>
      </c>
      <c r="B15753" t="s">
        <v>3458</v>
      </c>
      <c r="C15753" t="s">
        <v>23490</v>
      </c>
      <c r="D15753" t="str">
        <f>HYPERLINK("https://rhld.insurance.arkansas.gov/NPILookup?Npi=1861695132","1861695132")</f>
        <v>1861695132</v>
      </c>
      <c r="E15753" t="s">
        <v>3027</v>
      </c>
    </row>
    <row r="15754" spans="1:5" x14ac:dyDescent="0.25">
      <c r="A15754" t="s">
        <v>2</v>
      </c>
      <c r="B15754" t="s">
        <v>3458</v>
      </c>
      <c r="C15754" t="s">
        <v>23490</v>
      </c>
      <c r="D15754" t="str">
        <f>HYPERLINK("https://rhld.insurance.arkansas.gov/NPILookup?Npi=1861710550","1861710550")</f>
        <v>1861710550</v>
      </c>
      <c r="E15754" t="s">
        <v>3979</v>
      </c>
    </row>
    <row r="15755" spans="1:5" x14ac:dyDescent="0.25">
      <c r="A15755" t="s">
        <v>2</v>
      </c>
      <c r="B15755" t="s">
        <v>3458</v>
      </c>
      <c r="C15755" t="s">
        <v>23490</v>
      </c>
      <c r="D15755" t="str">
        <f>HYPERLINK("https://rhld.insurance.arkansas.gov/NPILookup?Npi=1861730665","1861730665")</f>
        <v>1861730665</v>
      </c>
      <c r="E15755" t="s">
        <v>3028</v>
      </c>
    </row>
    <row r="15756" spans="1:5" x14ac:dyDescent="0.25">
      <c r="A15756" t="s">
        <v>2</v>
      </c>
      <c r="B15756" t="s">
        <v>3458</v>
      </c>
      <c r="C15756" t="s">
        <v>23490</v>
      </c>
      <c r="D15756" t="str">
        <f>HYPERLINK("https://rhld.insurance.arkansas.gov/NPILookup?Npi=1861734972","1861734972")</f>
        <v>1861734972</v>
      </c>
      <c r="E15756" t="s">
        <v>11331</v>
      </c>
    </row>
    <row r="15757" spans="1:5" x14ac:dyDescent="0.25">
      <c r="A15757" t="s">
        <v>2</v>
      </c>
      <c r="B15757" t="s">
        <v>3458</v>
      </c>
      <c r="C15757" t="s">
        <v>23490</v>
      </c>
      <c r="D15757" t="str">
        <f>HYPERLINK("https://rhld.insurance.arkansas.gov/NPILookup?Npi=1861735300","1861735300")</f>
        <v>1861735300</v>
      </c>
      <c r="E15757" t="s">
        <v>15652</v>
      </c>
    </row>
    <row r="15758" spans="1:5" x14ac:dyDescent="0.25">
      <c r="A15758" t="s">
        <v>2</v>
      </c>
      <c r="B15758" t="s">
        <v>3458</v>
      </c>
      <c r="C15758" t="s">
        <v>23490</v>
      </c>
      <c r="D15758" t="str">
        <f>HYPERLINK("https://rhld.insurance.arkansas.gov/NPILookup?Npi=1861744773","1861744773")</f>
        <v>1861744773</v>
      </c>
      <c r="E15758" t="s">
        <v>15653</v>
      </c>
    </row>
    <row r="15759" spans="1:5" x14ac:dyDescent="0.25">
      <c r="A15759" t="s">
        <v>2</v>
      </c>
      <c r="B15759" t="s">
        <v>3458</v>
      </c>
      <c r="C15759" t="s">
        <v>23490</v>
      </c>
      <c r="D15759" t="str">
        <f>HYPERLINK("https://rhld.insurance.arkansas.gov/NPILookup?Npi=1861755118","1861755118")</f>
        <v>1861755118</v>
      </c>
      <c r="E15759" t="s">
        <v>3029</v>
      </c>
    </row>
    <row r="15760" spans="1:5" x14ac:dyDescent="0.25">
      <c r="A15760" t="s">
        <v>2</v>
      </c>
      <c r="B15760" t="s">
        <v>3458</v>
      </c>
      <c r="C15760" t="s">
        <v>23490</v>
      </c>
      <c r="D15760" t="str">
        <f>HYPERLINK("https://rhld.insurance.arkansas.gov/NPILookup?Npi=1861772634","1861772634")</f>
        <v>1861772634</v>
      </c>
      <c r="E15760" t="s">
        <v>20080</v>
      </c>
    </row>
    <row r="15761" spans="1:5" x14ac:dyDescent="0.25">
      <c r="A15761" t="s">
        <v>2</v>
      </c>
      <c r="B15761" t="s">
        <v>3458</v>
      </c>
      <c r="C15761" t="s">
        <v>23490</v>
      </c>
      <c r="D15761" t="str">
        <f>HYPERLINK("https://rhld.insurance.arkansas.gov/NPILookup?Npi=1861788028","1861788028")</f>
        <v>1861788028</v>
      </c>
      <c r="E15761" t="s">
        <v>3032</v>
      </c>
    </row>
    <row r="15762" spans="1:5" x14ac:dyDescent="0.25">
      <c r="A15762" t="s">
        <v>2</v>
      </c>
      <c r="B15762" t="s">
        <v>3458</v>
      </c>
      <c r="C15762" t="s">
        <v>23490</v>
      </c>
      <c r="D15762" t="str">
        <f>HYPERLINK("https://rhld.insurance.arkansas.gov/NPILookup?Npi=1861804627","1861804627")</f>
        <v>1861804627</v>
      </c>
      <c r="E15762" t="s">
        <v>11332</v>
      </c>
    </row>
    <row r="15763" spans="1:5" x14ac:dyDescent="0.25">
      <c r="A15763" t="s">
        <v>2</v>
      </c>
      <c r="B15763" t="s">
        <v>3458</v>
      </c>
      <c r="C15763" t="s">
        <v>23490</v>
      </c>
      <c r="D15763" t="str">
        <f>HYPERLINK("https://rhld.insurance.arkansas.gov/NPILookup?Npi=1861815623","1861815623")</f>
        <v>1861815623</v>
      </c>
      <c r="E15763" t="s">
        <v>15654</v>
      </c>
    </row>
    <row r="15764" spans="1:5" x14ac:dyDescent="0.25">
      <c r="A15764" t="s">
        <v>2</v>
      </c>
      <c r="B15764" t="s">
        <v>3458</v>
      </c>
      <c r="C15764" t="s">
        <v>23490</v>
      </c>
      <c r="D15764" t="str">
        <f>HYPERLINK("https://rhld.insurance.arkansas.gov/NPILookup?Npi=1861825911","1861825911")</f>
        <v>1861825911</v>
      </c>
      <c r="E15764" t="s">
        <v>8894</v>
      </c>
    </row>
    <row r="15765" spans="1:5" x14ac:dyDescent="0.25">
      <c r="A15765" t="s">
        <v>2</v>
      </c>
      <c r="B15765" t="s">
        <v>3458</v>
      </c>
      <c r="C15765" t="s">
        <v>23490</v>
      </c>
      <c r="D15765" t="str">
        <f>HYPERLINK("https://rhld.insurance.arkansas.gov/NPILookup?Npi=1861864209","1861864209")</f>
        <v>1861864209</v>
      </c>
      <c r="E15765" t="s">
        <v>20081</v>
      </c>
    </row>
    <row r="15766" spans="1:5" x14ac:dyDescent="0.25">
      <c r="A15766" t="s">
        <v>2</v>
      </c>
      <c r="B15766" t="s">
        <v>3458</v>
      </c>
      <c r="C15766" t="s">
        <v>23490</v>
      </c>
      <c r="D15766" t="str">
        <f>HYPERLINK("https://rhld.insurance.arkansas.gov/NPILookup?Npi=1861868648","1861868648")</f>
        <v>1861868648</v>
      </c>
      <c r="E15766" t="s">
        <v>3980</v>
      </c>
    </row>
    <row r="15767" spans="1:5" x14ac:dyDescent="0.25">
      <c r="A15767" t="s">
        <v>2</v>
      </c>
      <c r="B15767" t="s">
        <v>3458</v>
      </c>
      <c r="C15767" t="s">
        <v>23490</v>
      </c>
      <c r="D15767" t="str">
        <f>HYPERLINK("https://rhld.insurance.arkansas.gov/NPILookup?Npi=1861872699","1861872699")</f>
        <v>1861872699</v>
      </c>
      <c r="E15767" t="s">
        <v>3033</v>
      </c>
    </row>
    <row r="15768" spans="1:5" x14ac:dyDescent="0.25">
      <c r="A15768" t="s">
        <v>2</v>
      </c>
      <c r="B15768" t="s">
        <v>3458</v>
      </c>
      <c r="C15768" t="s">
        <v>23490</v>
      </c>
      <c r="D15768" t="str">
        <f>HYPERLINK("https://rhld.insurance.arkansas.gov/NPILookup?Npi=1861874182","1861874182")</f>
        <v>1861874182</v>
      </c>
      <c r="E15768" t="s">
        <v>15656</v>
      </c>
    </row>
    <row r="15769" spans="1:5" x14ac:dyDescent="0.25">
      <c r="A15769" t="s">
        <v>2</v>
      </c>
      <c r="B15769" t="s">
        <v>3458</v>
      </c>
      <c r="C15769" t="s">
        <v>23490</v>
      </c>
      <c r="D15769" t="str">
        <f>HYPERLINK("https://rhld.insurance.arkansas.gov/NPILookup?Npi=1861904377","1861904377")</f>
        <v>1861904377</v>
      </c>
      <c r="E15769" t="s">
        <v>12926</v>
      </c>
    </row>
    <row r="15770" spans="1:5" x14ac:dyDescent="0.25">
      <c r="A15770" t="s">
        <v>2</v>
      </c>
      <c r="B15770" t="s">
        <v>3458</v>
      </c>
      <c r="C15770" t="s">
        <v>23490</v>
      </c>
      <c r="D15770" t="str">
        <f>HYPERLINK("https://rhld.insurance.arkansas.gov/NPILookup?Npi=1861911091","1861911091")</f>
        <v>1861911091</v>
      </c>
      <c r="E15770" t="s">
        <v>12927</v>
      </c>
    </row>
    <row r="15771" spans="1:5" x14ac:dyDescent="0.25">
      <c r="A15771" t="s">
        <v>2</v>
      </c>
      <c r="B15771" t="s">
        <v>3458</v>
      </c>
      <c r="C15771" t="s">
        <v>23490</v>
      </c>
      <c r="D15771" t="str">
        <f>HYPERLINK("https://rhld.insurance.arkansas.gov/NPILookup?Npi=1861915233","1861915233")</f>
        <v>1861915233</v>
      </c>
      <c r="E15771" t="s">
        <v>11334</v>
      </c>
    </row>
    <row r="15772" spans="1:5" x14ac:dyDescent="0.25">
      <c r="A15772" t="s">
        <v>2</v>
      </c>
      <c r="B15772" t="s">
        <v>3458</v>
      </c>
      <c r="C15772" t="s">
        <v>23490</v>
      </c>
      <c r="D15772" t="str">
        <f>HYPERLINK("https://rhld.insurance.arkansas.gov/NPILookup?Npi=1861924383","1861924383")</f>
        <v>1861924383</v>
      </c>
      <c r="E15772" t="s">
        <v>17487</v>
      </c>
    </row>
    <row r="15773" spans="1:5" x14ac:dyDescent="0.25">
      <c r="A15773" t="s">
        <v>2</v>
      </c>
      <c r="B15773" t="s">
        <v>3458</v>
      </c>
      <c r="C15773" t="s">
        <v>23490</v>
      </c>
      <c r="D15773" t="str">
        <f>HYPERLINK("https://rhld.insurance.arkansas.gov/NPILookup?Npi=1861924904","1861924904")</f>
        <v>1861924904</v>
      </c>
      <c r="E15773" t="s">
        <v>17518</v>
      </c>
    </row>
    <row r="15774" spans="1:5" x14ac:dyDescent="0.25">
      <c r="A15774" t="s">
        <v>2</v>
      </c>
      <c r="B15774" t="s">
        <v>3458</v>
      </c>
      <c r="C15774" t="s">
        <v>23490</v>
      </c>
      <c r="D15774" t="str">
        <f>HYPERLINK("https://rhld.insurance.arkansas.gov/NPILookup?Npi=1861934184","1861934184")</f>
        <v>1861934184</v>
      </c>
      <c r="E15774" t="s">
        <v>15657</v>
      </c>
    </row>
    <row r="15775" spans="1:5" x14ac:dyDescent="0.25">
      <c r="A15775" t="s">
        <v>2</v>
      </c>
      <c r="B15775" t="s">
        <v>3458</v>
      </c>
      <c r="C15775" t="s">
        <v>23490</v>
      </c>
      <c r="D15775" t="str">
        <f>HYPERLINK("https://rhld.insurance.arkansas.gov/NPILookup?Npi=1861935504","1861935504")</f>
        <v>1861935504</v>
      </c>
      <c r="E15775" t="s">
        <v>20082</v>
      </c>
    </row>
    <row r="15776" spans="1:5" x14ac:dyDescent="0.25">
      <c r="A15776" t="s">
        <v>2</v>
      </c>
      <c r="B15776" t="s">
        <v>3458</v>
      </c>
      <c r="C15776" t="s">
        <v>23490</v>
      </c>
      <c r="D15776" t="str">
        <f>HYPERLINK("https://rhld.insurance.arkansas.gov/NPILookup?Npi=1861956922","1861956922")</f>
        <v>1861956922</v>
      </c>
      <c r="E15776" t="s">
        <v>13880</v>
      </c>
    </row>
    <row r="15777" spans="1:5" x14ac:dyDescent="0.25">
      <c r="A15777" t="s">
        <v>2</v>
      </c>
      <c r="B15777" t="s">
        <v>3458</v>
      </c>
      <c r="C15777" t="s">
        <v>23490</v>
      </c>
      <c r="D15777" t="str">
        <f>HYPERLINK("https://rhld.insurance.arkansas.gov/NPILookup?Npi=1861958951","1861958951")</f>
        <v>1861958951</v>
      </c>
      <c r="E15777" t="s">
        <v>17488</v>
      </c>
    </row>
    <row r="15778" spans="1:5" x14ac:dyDescent="0.25">
      <c r="A15778" t="s">
        <v>2</v>
      </c>
      <c r="B15778" t="s">
        <v>3458</v>
      </c>
      <c r="C15778" t="s">
        <v>23490</v>
      </c>
      <c r="D15778" t="str">
        <f>HYPERLINK("https://rhld.insurance.arkansas.gov/NPILookup?Npi=1861964447","1861964447")</f>
        <v>1861964447</v>
      </c>
      <c r="E15778" t="s">
        <v>23001</v>
      </c>
    </row>
    <row r="15779" spans="1:5" x14ac:dyDescent="0.25">
      <c r="A15779" t="s">
        <v>2</v>
      </c>
      <c r="B15779" t="s">
        <v>3458</v>
      </c>
      <c r="C15779" t="s">
        <v>23490</v>
      </c>
      <c r="D15779" t="str">
        <f>HYPERLINK("https://rhld.insurance.arkansas.gov/NPILookup?Npi=1861986580","1861986580")</f>
        <v>1861986580</v>
      </c>
      <c r="E15779" t="s">
        <v>15658</v>
      </c>
    </row>
    <row r="15780" spans="1:5" x14ac:dyDescent="0.25">
      <c r="A15780" t="s">
        <v>2</v>
      </c>
      <c r="B15780" t="s">
        <v>3458</v>
      </c>
      <c r="C15780" t="s">
        <v>23490</v>
      </c>
      <c r="D15780" t="str">
        <f>HYPERLINK("https://rhld.insurance.arkansas.gov/NPILookup?Npi=1871001859","1871001859")</f>
        <v>1871001859</v>
      </c>
      <c r="E15780" t="s">
        <v>20271</v>
      </c>
    </row>
    <row r="15781" spans="1:5" x14ac:dyDescent="0.25">
      <c r="A15781" t="s">
        <v>2</v>
      </c>
      <c r="B15781" t="s">
        <v>3458</v>
      </c>
      <c r="C15781" t="s">
        <v>23490</v>
      </c>
      <c r="D15781" t="str">
        <f>HYPERLINK("https://rhld.insurance.arkansas.gov/NPILookup?Npi=1871003319","1871003319")</f>
        <v>1871003319</v>
      </c>
      <c r="E15781" t="s">
        <v>15659</v>
      </c>
    </row>
    <row r="15782" spans="1:5" x14ac:dyDescent="0.25">
      <c r="A15782" t="s">
        <v>2</v>
      </c>
      <c r="B15782" t="s">
        <v>3458</v>
      </c>
      <c r="C15782" t="s">
        <v>23490</v>
      </c>
      <c r="D15782" t="str">
        <f>HYPERLINK("https://rhld.insurance.arkansas.gov/NPILookup?Npi=1871013359","1871013359")</f>
        <v>1871013359</v>
      </c>
      <c r="E15782" t="s">
        <v>18159</v>
      </c>
    </row>
    <row r="15783" spans="1:5" x14ac:dyDescent="0.25">
      <c r="A15783" t="s">
        <v>2</v>
      </c>
      <c r="B15783" t="s">
        <v>3458</v>
      </c>
      <c r="C15783" t="s">
        <v>23490</v>
      </c>
      <c r="D15783" t="str">
        <f>HYPERLINK("https://rhld.insurance.arkansas.gov/NPILookup?Npi=1871034165","1871034165")</f>
        <v>1871034165</v>
      </c>
      <c r="E15783" t="s">
        <v>11338</v>
      </c>
    </row>
    <row r="15784" spans="1:5" x14ac:dyDescent="0.25">
      <c r="A15784" t="s">
        <v>2</v>
      </c>
      <c r="B15784" t="s">
        <v>3458</v>
      </c>
      <c r="C15784" t="s">
        <v>23490</v>
      </c>
      <c r="D15784" t="str">
        <f>HYPERLINK("https://rhld.insurance.arkansas.gov/NPILookup?Npi=1871035766","1871035766")</f>
        <v>1871035766</v>
      </c>
      <c r="E15784" t="s">
        <v>15660</v>
      </c>
    </row>
    <row r="15785" spans="1:5" x14ac:dyDescent="0.25">
      <c r="A15785" t="s">
        <v>2</v>
      </c>
      <c r="B15785" t="s">
        <v>3458</v>
      </c>
      <c r="C15785" t="s">
        <v>23490</v>
      </c>
      <c r="D15785" t="str">
        <f>HYPERLINK("https://rhld.insurance.arkansas.gov/NPILookup?Npi=1871039610","1871039610")</f>
        <v>1871039610</v>
      </c>
      <c r="E15785" t="s">
        <v>11339</v>
      </c>
    </row>
    <row r="15786" spans="1:5" x14ac:dyDescent="0.25">
      <c r="A15786" t="s">
        <v>2</v>
      </c>
      <c r="B15786" t="s">
        <v>3458</v>
      </c>
      <c r="C15786" t="s">
        <v>23490</v>
      </c>
      <c r="D15786" t="str">
        <f>HYPERLINK("https://rhld.insurance.arkansas.gov/NPILookup?Npi=1871041715","1871041715")</f>
        <v>1871041715</v>
      </c>
      <c r="E15786" t="s">
        <v>11340</v>
      </c>
    </row>
    <row r="15787" spans="1:5" x14ac:dyDescent="0.25">
      <c r="A15787" t="s">
        <v>2</v>
      </c>
      <c r="B15787" t="s">
        <v>3458</v>
      </c>
      <c r="C15787" t="s">
        <v>23490</v>
      </c>
      <c r="D15787" t="str">
        <f>HYPERLINK("https://rhld.insurance.arkansas.gov/NPILookup?Npi=1871049098","1871049098")</f>
        <v>1871049098</v>
      </c>
      <c r="E15787" t="s">
        <v>11341</v>
      </c>
    </row>
    <row r="15788" spans="1:5" x14ac:dyDescent="0.25">
      <c r="A15788" t="s">
        <v>2</v>
      </c>
      <c r="B15788" t="s">
        <v>3458</v>
      </c>
      <c r="C15788" t="s">
        <v>23490</v>
      </c>
      <c r="D15788" t="str">
        <f>HYPERLINK("https://rhld.insurance.arkansas.gov/NPILookup?Npi=1871064972","1871064972")</f>
        <v>1871064972</v>
      </c>
      <c r="E15788" t="s">
        <v>15661</v>
      </c>
    </row>
    <row r="15789" spans="1:5" x14ac:dyDescent="0.25">
      <c r="A15789" t="s">
        <v>2</v>
      </c>
      <c r="B15789" t="s">
        <v>3458</v>
      </c>
      <c r="C15789" t="s">
        <v>23490</v>
      </c>
      <c r="D15789" t="str">
        <f>HYPERLINK("https://rhld.insurance.arkansas.gov/NPILookup?Npi=1871083386","1871083386")</f>
        <v>1871083386</v>
      </c>
      <c r="E15789" t="s">
        <v>13760</v>
      </c>
    </row>
    <row r="15790" spans="1:5" x14ac:dyDescent="0.25">
      <c r="A15790" t="s">
        <v>2</v>
      </c>
      <c r="B15790" t="s">
        <v>3458</v>
      </c>
      <c r="C15790" t="s">
        <v>23490</v>
      </c>
      <c r="D15790" t="str">
        <f>HYPERLINK("https://rhld.insurance.arkansas.gov/NPILookup?Npi=1871084087","1871084087")</f>
        <v>1871084087</v>
      </c>
      <c r="E15790" t="s">
        <v>13761</v>
      </c>
    </row>
    <row r="15791" spans="1:5" x14ac:dyDescent="0.25">
      <c r="A15791" t="s">
        <v>2</v>
      </c>
      <c r="B15791" t="s">
        <v>3458</v>
      </c>
      <c r="C15791" t="s">
        <v>23490</v>
      </c>
      <c r="D15791" t="str">
        <f>HYPERLINK("https://rhld.insurance.arkansas.gov/NPILookup?Npi=1871084301","1871084301")</f>
        <v>1871084301</v>
      </c>
      <c r="E15791" t="s">
        <v>18887</v>
      </c>
    </row>
    <row r="15792" spans="1:5" x14ac:dyDescent="0.25">
      <c r="A15792" t="s">
        <v>2</v>
      </c>
      <c r="B15792" t="s">
        <v>3458</v>
      </c>
      <c r="C15792" t="s">
        <v>23490</v>
      </c>
      <c r="D15792" t="str">
        <f>HYPERLINK("https://rhld.insurance.arkansas.gov/NPILookup?Npi=1871085860","1871085860")</f>
        <v>1871085860</v>
      </c>
      <c r="E15792" t="s">
        <v>18888</v>
      </c>
    </row>
    <row r="15793" spans="1:5" x14ac:dyDescent="0.25">
      <c r="A15793" t="s">
        <v>2</v>
      </c>
      <c r="B15793" t="s">
        <v>3458</v>
      </c>
      <c r="C15793" t="s">
        <v>23490</v>
      </c>
      <c r="D15793" t="str">
        <f>HYPERLINK("https://rhld.insurance.arkansas.gov/NPILookup?Npi=1871092817","1871092817")</f>
        <v>1871092817</v>
      </c>
      <c r="E15793" t="s">
        <v>13762</v>
      </c>
    </row>
    <row r="15794" spans="1:5" x14ac:dyDescent="0.25">
      <c r="A15794" t="s">
        <v>2</v>
      </c>
      <c r="B15794" t="s">
        <v>3458</v>
      </c>
      <c r="C15794" t="s">
        <v>23490</v>
      </c>
      <c r="D15794" t="str">
        <f>HYPERLINK("https://rhld.insurance.arkansas.gov/NPILookup?Npi=1871103093","1871103093")</f>
        <v>1871103093</v>
      </c>
      <c r="E15794" t="s">
        <v>18160</v>
      </c>
    </row>
    <row r="15795" spans="1:5" x14ac:dyDescent="0.25">
      <c r="A15795" t="s">
        <v>2</v>
      </c>
      <c r="B15795" t="s">
        <v>3458</v>
      </c>
      <c r="C15795" t="s">
        <v>23490</v>
      </c>
      <c r="D15795" t="str">
        <f>HYPERLINK("https://rhld.insurance.arkansas.gov/NPILookup?Npi=1871117770","1871117770")</f>
        <v>1871117770</v>
      </c>
      <c r="E15795" t="s">
        <v>20085</v>
      </c>
    </row>
    <row r="15796" spans="1:5" x14ac:dyDescent="0.25">
      <c r="A15796" t="s">
        <v>2</v>
      </c>
      <c r="B15796" t="s">
        <v>3458</v>
      </c>
      <c r="C15796" t="s">
        <v>23490</v>
      </c>
      <c r="D15796" t="str">
        <f>HYPERLINK("https://rhld.insurance.arkansas.gov/NPILookup?Npi=1871162206","1871162206")</f>
        <v>1871162206</v>
      </c>
      <c r="E15796" t="s">
        <v>20086</v>
      </c>
    </row>
    <row r="15797" spans="1:5" x14ac:dyDescent="0.25">
      <c r="A15797" t="s">
        <v>2</v>
      </c>
      <c r="B15797" t="s">
        <v>3458</v>
      </c>
      <c r="C15797" t="s">
        <v>23490</v>
      </c>
      <c r="D15797" t="str">
        <f>HYPERLINK("https://rhld.insurance.arkansas.gov/NPILookup?Npi=1871164798","1871164798")</f>
        <v>1871164798</v>
      </c>
      <c r="E15797" t="s">
        <v>18889</v>
      </c>
    </row>
    <row r="15798" spans="1:5" x14ac:dyDescent="0.25">
      <c r="A15798" t="s">
        <v>2</v>
      </c>
      <c r="B15798" t="s">
        <v>3458</v>
      </c>
      <c r="C15798" t="s">
        <v>23490</v>
      </c>
      <c r="D15798" t="str">
        <f>HYPERLINK("https://rhld.insurance.arkansas.gov/NPILookup?Npi=1871185546","1871185546")</f>
        <v>1871185546</v>
      </c>
      <c r="E15798" t="s">
        <v>18162</v>
      </c>
    </row>
    <row r="15799" spans="1:5" x14ac:dyDescent="0.25">
      <c r="A15799" t="s">
        <v>2</v>
      </c>
      <c r="B15799" t="s">
        <v>3458</v>
      </c>
      <c r="C15799" t="s">
        <v>23490</v>
      </c>
      <c r="D15799" t="str">
        <f>HYPERLINK("https://rhld.insurance.arkansas.gov/NPILookup?Npi=1871207654","1871207654")</f>
        <v>1871207654</v>
      </c>
      <c r="E15799" t="s">
        <v>21668</v>
      </c>
    </row>
    <row r="15800" spans="1:5" x14ac:dyDescent="0.25">
      <c r="A15800" t="s">
        <v>2</v>
      </c>
      <c r="B15800" t="s">
        <v>3458</v>
      </c>
      <c r="C15800" t="s">
        <v>23490</v>
      </c>
      <c r="D15800" t="str">
        <f>HYPERLINK("https://rhld.insurance.arkansas.gov/NPILookup?Npi=1871218271","1871218271")</f>
        <v>1871218271</v>
      </c>
      <c r="E15800" t="s">
        <v>21669</v>
      </c>
    </row>
    <row r="15801" spans="1:5" x14ac:dyDescent="0.25">
      <c r="A15801" t="s">
        <v>2</v>
      </c>
      <c r="B15801" t="s">
        <v>3458</v>
      </c>
      <c r="C15801" t="s">
        <v>23490</v>
      </c>
      <c r="D15801" t="str">
        <f>HYPERLINK("https://rhld.insurance.arkansas.gov/NPILookup?Npi=1871244301","1871244301")</f>
        <v>1871244301</v>
      </c>
      <c r="E15801" t="s">
        <v>20087</v>
      </c>
    </row>
    <row r="15802" spans="1:5" x14ac:dyDescent="0.25">
      <c r="A15802" t="s">
        <v>2</v>
      </c>
      <c r="B15802" t="s">
        <v>3458</v>
      </c>
      <c r="C15802" t="s">
        <v>23490</v>
      </c>
      <c r="D15802" t="str">
        <f>HYPERLINK("https://rhld.insurance.arkansas.gov/NPILookup?Npi=1871255679","1871255679")</f>
        <v>1871255679</v>
      </c>
      <c r="E15802" t="s">
        <v>18890</v>
      </c>
    </row>
    <row r="15803" spans="1:5" x14ac:dyDescent="0.25">
      <c r="A15803" t="s">
        <v>2</v>
      </c>
      <c r="B15803" t="s">
        <v>3458</v>
      </c>
      <c r="C15803" t="s">
        <v>23490</v>
      </c>
      <c r="D15803" t="str">
        <f>HYPERLINK("https://rhld.insurance.arkansas.gov/NPILookup?Npi=1871502658","1871502658")</f>
        <v>1871502658</v>
      </c>
      <c r="E15803" t="s">
        <v>3034</v>
      </c>
    </row>
    <row r="15804" spans="1:5" x14ac:dyDescent="0.25">
      <c r="A15804" t="s">
        <v>2</v>
      </c>
      <c r="B15804" t="s">
        <v>3458</v>
      </c>
      <c r="C15804" t="s">
        <v>23490</v>
      </c>
      <c r="D15804" t="str">
        <f>HYPERLINK("https://rhld.insurance.arkansas.gov/NPILookup?Npi=1871503672","1871503672")</f>
        <v>1871503672</v>
      </c>
      <c r="E15804" t="s">
        <v>3035</v>
      </c>
    </row>
    <row r="15805" spans="1:5" x14ac:dyDescent="0.25">
      <c r="A15805" t="s">
        <v>2</v>
      </c>
      <c r="B15805" t="s">
        <v>3458</v>
      </c>
      <c r="C15805" t="s">
        <v>23490</v>
      </c>
      <c r="D15805" t="str">
        <f>HYPERLINK("https://rhld.insurance.arkansas.gov/NPILookup?Npi=1871504050","1871504050")</f>
        <v>1871504050</v>
      </c>
      <c r="E15805" t="s">
        <v>3981</v>
      </c>
    </row>
    <row r="15806" spans="1:5" x14ac:dyDescent="0.25">
      <c r="A15806" t="s">
        <v>2</v>
      </c>
      <c r="B15806" t="s">
        <v>3458</v>
      </c>
      <c r="C15806" t="s">
        <v>23490</v>
      </c>
      <c r="D15806" t="str">
        <f>HYPERLINK("https://rhld.insurance.arkansas.gov/NPILookup?Npi=1871516336","1871516336")</f>
        <v>1871516336</v>
      </c>
      <c r="E15806" t="s">
        <v>3037</v>
      </c>
    </row>
    <row r="15807" spans="1:5" x14ac:dyDescent="0.25">
      <c r="A15807" t="s">
        <v>2</v>
      </c>
      <c r="B15807" t="s">
        <v>3458</v>
      </c>
      <c r="C15807" t="s">
        <v>23490</v>
      </c>
      <c r="D15807" t="str">
        <f>HYPERLINK("https://rhld.insurance.arkansas.gov/NPILookup?Npi=1871528240","1871528240")</f>
        <v>1871528240</v>
      </c>
      <c r="E15807" t="s">
        <v>3982</v>
      </c>
    </row>
    <row r="15808" spans="1:5" x14ac:dyDescent="0.25">
      <c r="A15808" t="s">
        <v>2</v>
      </c>
      <c r="B15808" t="s">
        <v>3458</v>
      </c>
      <c r="C15808" t="s">
        <v>23490</v>
      </c>
      <c r="D15808" t="str">
        <f>HYPERLINK("https://rhld.insurance.arkansas.gov/NPILookup?Npi=1871529271","1871529271")</f>
        <v>1871529271</v>
      </c>
      <c r="E15808" t="s">
        <v>3983</v>
      </c>
    </row>
    <row r="15809" spans="1:5" x14ac:dyDescent="0.25">
      <c r="A15809" t="s">
        <v>2</v>
      </c>
      <c r="B15809" t="s">
        <v>3458</v>
      </c>
      <c r="C15809" t="s">
        <v>23490</v>
      </c>
      <c r="D15809" t="str">
        <f>HYPERLINK("https://rhld.insurance.arkansas.gov/NPILookup?Npi=1871535864","1871535864")</f>
        <v>1871535864</v>
      </c>
      <c r="E15809" t="s">
        <v>2994</v>
      </c>
    </row>
    <row r="15810" spans="1:5" x14ac:dyDescent="0.25">
      <c r="A15810" t="s">
        <v>2</v>
      </c>
      <c r="B15810" t="s">
        <v>3458</v>
      </c>
      <c r="C15810" t="s">
        <v>23490</v>
      </c>
      <c r="D15810" t="str">
        <f>HYPERLINK("https://rhld.insurance.arkansas.gov/NPILookup?Npi=1871536268","1871536268")</f>
        <v>1871536268</v>
      </c>
      <c r="E15810" t="s">
        <v>22898</v>
      </c>
    </row>
    <row r="15811" spans="1:5" x14ac:dyDescent="0.25">
      <c r="A15811" t="s">
        <v>2</v>
      </c>
      <c r="B15811" t="s">
        <v>3458</v>
      </c>
      <c r="C15811" t="s">
        <v>23490</v>
      </c>
      <c r="D15811" t="str">
        <f>HYPERLINK("https://rhld.insurance.arkansas.gov/NPILookup?Npi=1871537084","1871537084")</f>
        <v>1871537084</v>
      </c>
      <c r="E15811" t="s">
        <v>3039</v>
      </c>
    </row>
    <row r="15812" spans="1:5" x14ac:dyDescent="0.25">
      <c r="A15812" t="s">
        <v>2</v>
      </c>
      <c r="B15812" t="s">
        <v>3458</v>
      </c>
      <c r="C15812" t="s">
        <v>23490</v>
      </c>
      <c r="D15812" t="str">
        <f>HYPERLINK("https://rhld.insurance.arkansas.gov/NPILookup?Npi=1871541409","1871541409")</f>
        <v>1871541409</v>
      </c>
      <c r="E15812" t="s">
        <v>3041</v>
      </c>
    </row>
    <row r="15813" spans="1:5" x14ac:dyDescent="0.25">
      <c r="A15813" t="s">
        <v>2</v>
      </c>
      <c r="B15813" t="s">
        <v>3458</v>
      </c>
      <c r="C15813" t="s">
        <v>23490</v>
      </c>
      <c r="D15813" t="str">
        <f>HYPERLINK("https://rhld.insurance.arkansas.gov/NPILookup?Npi=1871544965","1871544965")</f>
        <v>1871544965</v>
      </c>
      <c r="E15813" t="s">
        <v>3042</v>
      </c>
    </row>
    <row r="15814" spans="1:5" x14ac:dyDescent="0.25">
      <c r="A15814" t="s">
        <v>2</v>
      </c>
      <c r="B15814" t="s">
        <v>3458</v>
      </c>
      <c r="C15814" t="s">
        <v>23490</v>
      </c>
      <c r="D15814" t="str">
        <f>HYPERLINK("https://rhld.insurance.arkansas.gov/NPILookup?Npi=1871554410","1871554410")</f>
        <v>1871554410</v>
      </c>
      <c r="E15814" t="s">
        <v>3043</v>
      </c>
    </row>
    <row r="15815" spans="1:5" x14ac:dyDescent="0.25">
      <c r="A15815" t="s">
        <v>2</v>
      </c>
      <c r="B15815" t="s">
        <v>3458</v>
      </c>
      <c r="C15815" t="s">
        <v>23490</v>
      </c>
      <c r="D15815" t="str">
        <f>HYPERLINK("https://rhld.insurance.arkansas.gov/NPILookup?Npi=1871555011","1871555011")</f>
        <v>1871555011</v>
      </c>
      <c r="E15815" t="s">
        <v>15662</v>
      </c>
    </row>
    <row r="15816" spans="1:5" x14ac:dyDescent="0.25">
      <c r="A15816" t="s">
        <v>2</v>
      </c>
      <c r="B15816" t="s">
        <v>3458</v>
      </c>
      <c r="C15816" t="s">
        <v>23490</v>
      </c>
      <c r="D15816" t="str">
        <f>HYPERLINK("https://rhld.insurance.arkansas.gov/NPILookup?Npi=1871556639","1871556639")</f>
        <v>1871556639</v>
      </c>
      <c r="E15816" t="s">
        <v>1289</v>
      </c>
    </row>
    <row r="15817" spans="1:5" x14ac:dyDescent="0.25">
      <c r="A15817" t="s">
        <v>2</v>
      </c>
      <c r="B15817" t="s">
        <v>3458</v>
      </c>
      <c r="C15817" t="s">
        <v>23490</v>
      </c>
      <c r="D15817" t="str">
        <f>HYPERLINK("https://rhld.insurance.arkansas.gov/NPILookup?Npi=1871556829","1871556829")</f>
        <v>1871556829</v>
      </c>
      <c r="E15817" t="s">
        <v>3044</v>
      </c>
    </row>
    <row r="15818" spans="1:5" x14ac:dyDescent="0.25">
      <c r="A15818" t="s">
        <v>2</v>
      </c>
      <c r="B15818" t="s">
        <v>3458</v>
      </c>
      <c r="C15818" t="s">
        <v>23490</v>
      </c>
      <c r="D15818" t="str">
        <f>HYPERLINK("https://rhld.insurance.arkansas.gov/NPILookup?Npi=1871557157","1871557157")</f>
        <v>1871557157</v>
      </c>
      <c r="E15818" t="s">
        <v>3984</v>
      </c>
    </row>
    <row r="15819" spans="1:5" x14ac:dyDescent="0.25">
      <c r="A15819" t="s">
        <v>2</v>
      </c>
      <c r="B15819" t="s">
        <v>3458</v>
      </c>
      <c r="C15819" t="s">
        <v>23490</v>
      </c>
      <c r="D15819" t="str">
        <f>HYPERLINK("https://rhld.insurance.arkansas.gov/NPILookup?Npi=1871575886","1871575886")</f>
        <v>1871575886</v>
      </c>
      <c r="E15819" t="s">
        <v>3045</v>
      </c>
    </row>
    <row r="15820" spans="1:5" x14ac:dyDescent="0.25">
      <c r="A15820" t="s">
        <v>2</v>
      </c>
      <c r="B15820" t="s">
        <v>3458</v>
      </c>
      <c r="C15820" t="s">
        <v>23490</v>
      </c>
      <c r="D15820" t="str">
        <f>HYPERLINK("https://rhld.insurance.arkansas.gov/NPILookup?Npi=1871578500","1871578500")</f>
        <v>1871578500</v>
      </c>
      <c r="E15820" t="s">
        <v>11342</v>
      </c>
    </row>
    <row r="15821" spans="1:5" x14ac:dyDescent="0.25">
      <c r="A15821" t="s">
        <v>2</v>
      </c>
      <c r="B15821" t="s">
        <v>3458</v>
      </c>
      <c r="C15821" t="s">
        <v>23490</v>
      </c>
      <c r="D15821" t="str">
        <f>HYPERLINK("https://rhld.insurance.arkansas.gov/NPILookup?Npi=1871581082","1871581082")</f>
        <v>1871581082</v>
      </c>
      <c r="E15821" t="s">
        <v>15663</v>
      </c>
    </row>
    <row r="15822" spans="1:5" x14ac:dyDescent="0.25">
      <c r="A15822" t="s">
        <v>2</v>
      </c>
      <c r="B15822" t="s">
        <v>3458</v>
      </c>
      <c r="C15822" t="s">
        <v>23490</v>
      </c>
      <c r="D15822" t="str">
        <f>HYPERLINK("https://rhld.insurance.arkansas.gov/NPILookup?Npi=1871582130","1871582130")</f>
        <v>1871582130</v>
      </c>
      <c r="E15822" t="s">
        <v>15664</v>
      </c>
    </row>
    <row r="15823" spans="1:5" x14ac:dyDescent="0.25">
      <c r="A15823" t="s">
        <v>2</v>
      </c>
      <c r="B15823" t="s">
        <v>3458</v>
      </c>
      <c r="C15823" t="s">
        <v>23490</v>
      </c>
      <c r="D15823" t="str">
        <f>HYPERLINK("https://rhld.insurance.arkansas.gov/NPILookup?Npi=1871582379","1871582379")</f>
        <v>1871582379</v>
      </c>
      <c r="E15823" t="s">
        <v>3048</v>
      </c>
    </row>
    <row r="15824" spans="1:5" x14ac:dyDescent="0.25">
      <c r="A15824" t="s">
        <v>2</v>
      </c>
      <c r="B15824" t="s">
        <v>3458</v>
      </c>
      <c r="C15824" t="s">
        <v>23490</v>
      </c>
      <c r="D15824" t="str">
        <f>HYPERLINK("https://rhld.insurance.arkansas.gov/NPILookup?Npi=1871583229","1871583229")</f>
        <v>1871583229</v>
      </c>
      <c r="E15824" t="s">
        <v>3049</v>
      </c>
    </row>
    <row r="15825" spans="1:5" x14ac:dyDescent="0.25">
      <c r="A15825" t="s">
        <v>2</v>
      </c>
      <c r="B15825" t="s">
        <v>3458</v>
      </c>
      <c r="C15825" t="s">
        <v>23490</v>
      </c>
      <c r="D15825" t="str">
        <f>HYPERLINK("https://rhld.insurance.arkansas.gov/NPILookup?Npi=1871586495","1871586495")</f>
        <v>1871586495</v>
      </c>
      <c r="E15825" t="s">
        <v>3050</v>
      </c>
    </row>
    <row r="15826" spans="1:5" x14ac:dyDescent="0.25">
      <c r="A15826" t="s">
        <v>2</v>
      </c>
      <c r="B15826" t="s">
        <v>3458</v>
      </c>
      <c r="C15826" t="s">
        <v>23490</v>
      </c>
      <c r="D15826" t="str">
        <f>HYPERLINK("https://rhld.insurance.arkansas.gov/NPILookup?Npi=1871589309","1871589309")</f>
        <v>1871589309</v>
      </c>
      <c r="E15826" t="s">
        <v>3051</v>
      </c>
    </row>
    <row r="15827" spans="1:5" x14ac:dyDescent="0.25">
      <c r="A15827" t="s">
        <v>2</v>
      </c>
      <c r="B15827" t="s">
        <v>3458</v>
      </c>
      <c r="C15827" t="s">
        <v>23490</v>
      </c>
      <c r="D15827" t="str">
        <f>HYPERLINK("https://rhld.insurance.arkansas.gov/NPILookup?Npi=1871591438","1871591438")</f>
        <v>1871591438</v>
      </c>
      <c r="E15827" t="s">
        <v>3052</v>
      </c>
    </row>
    <row r="15828" spans="1:5" x14ac:dyDescent="0.25">
      <c r="A15828" t="s">
        <v>2</v>
      </c>
      <c r="B15828" t="s">
        <v>3458</v>
      </c>
      <c r="C15828" t="s">
        <v>23490</v>
      </c>
      <c r="D15828" t="str">
        <f>HYPERLINK("https://rhld.insurance.arkansas.gov/NPILookup?Npi=1871592287","1871592287")</f>
        <v>1871592287</v>
      </c>
      <c r="E15828" t="s">
        <v>15665</v>
      </c>
    </row>
    <row r="15829" spans="1:5" x14ac:dyDescent="0.25">
      <c r="A15829" t="s">
        <v>2</v>
      </c>
      <c r="B15829" t="s">
        <v>3458</v>
      </c>
      <c r="C15829" t="s">
        <v>23490</v>
      </c>
      <c r="D15829" t="str">
        <f>HYPERLINK("https://rhld.insurance.arkansas.gov/NPILookup?Npi=1871592659","1871592659")</f>
        <v>1871592659</v>
      </c>
      <c r="E15829" t="s">
        <v>3053</v>
      </c>
    </row>
    <row r="15830" spans="1:5" x14ac:dyDescent="0.25">
      <c r="A15830" t="s">
        <v>2</v>
      </c>
      <c r="B15830" t="s">
        <v>3458</v>
      </c>
      <c r="C15830" t="s">
        <v>23490</v>
      </c>
      <c r="D15830" t="str">
        <f>HYPERLINK("https://rhld.insurance.arkansas.gov/NPILookup?Npi=1871594457","1871594457")</f>
        <v>1871594457</v>
      </c>
      <c r="E15830" t="s">
        <v>3054</v>
      </c>
    </row>
    <row r="15831" spans="1:5" x14ac:dyDescent="0.25">
      <c r="A15831" t="s">
        <v>2</v>
      </c>
      <c r="B15831" t="s">
        <v>3458</v>
      </c>
      <c r="C15831" t="s">
        <v>23490</v>
      </c>
      <c r="D15831" t="str">
        <f>HYPERLINK("https://rhld.insurance.arkansas.gov/NPILookup?Npi=1871597385","1871597385")</f>
        <v>1871597385</v>
      </c>
      <c r="E15831" t="s">
        <v>15666</v>
      </c>
    </row>
    <row r="15832" spans="1:5" x14ac:dyDescent="0.25">
      <c r="A15832" t="s">
        <v>2</v>
      </c>
      <c r="B15832" t="s">
        <v>3458</v>
      </c>
      <c r="C15832" t="s">
        <v>23490</v>
      </c>
      <c r="D15832" t="str">
        <f>HYPERLINK("https://rhld.insurance.arkansas.gov/NPILookup?Npi=1871598037","1871598037")</f>
        <v>1871598037</v>
      </c>
      <c r="E15832" t="s">
        <v>3055</v>
      </c>
    </row>
    <row r="15833" spans="1:5" x14ac:dyDescent="0.25">
      <c r="A15833" t="s">
        <v>2</v>
      </c>
      <c r="B15833" t="s">
        <v>3458</v>
      </c>
      <c r="C15833" t="s">
        <v>23490</v>
      </c>
      <c r="D15833" t="str">
        <f>HYPERLINK("https://rhld.insurance.arkansas.gov/NPILookup?Npi=1871600189","1871600189")</f>
        <v>1871600189</v>
      </c>
      <c r="E15833" t="s">
        <v>15667</v>
      </c>
    </row>
    <row r="15834" spans="1:5" x14ac:dyDescent="0.25">
      <c r="A15834" t="s">
        <v>2</v>
      </c>
      <c r="B15834" t="s">
        <v>3458</v>
      </c>
      <c r="C15834" t="s">
        <v>23490</v>
      </c>
      <c r="D15834" t="str">
        <f>HYPERLINK("https://rhld.insurance.arkansas.gov/NPILookup?Npi=1871622969","1871622969")</f>
        <v>1871622969</v>
      </c>
      <c r="E15834" t="s">
        <v>3056</v>
      </c>
    </row>
    <row r="15835" spans="1:5" x14ac:dyDescent="0.25">
      <c r="A15835" t="s">
        <v>2</v>
      </c>
      <c r="B15835" t="s">
        <v>3458</v>
      </c>
      <c r="C15835" t="s">
        <v>23490</v>
      </c>
      <c r="D15835" t="str">
        <f>HYPERLINK("https://rhld.insurance.arkansas.gov/NPILookup?Npi=1871642306","1871642306")</f>
        <v>1871642306</v>
      </c>
      <c r="E15835" t="s">
        <v>3058</v>
      </c>
    </row>
    <row r="15836" spans="1:5" x14ac:dyDescent="0.25">
      <c r="A15836" t="s">
        <v>2</v>
      </c>
      <c r="B15836" t="s">
        <v>3458</v>
      </c>
      <c r="C15836" t="s">
        <v>23490</v>
      </c>
      <c r="D15836" t="str">
        <f>HYPERLINK("https://rhld.insurance.arkansas.gov/NPILookup?Npi=1871667618","1871667618")</f>
        <v>1871667618</v>
      </c>
      <c r="E15836" t="s">
        <v>11343</v>
      </c>
    </row>
    <row r="15837" spans="1:5" x14ac:dyDescent="0.25">
      <c r="A15837" t="s">
        <v>2</v>
      </c>
      <c r="B15837" t="s">
        <v>3458</v>
      </c>
      <c r="C15837" t="s">
        <v>23490</v>
      </c>
      <c r="D15837" t="str">
        <f>HYPERLINK("https://rhld.insurance.arkansas.gov/NPILookup?Npi=1871675702","1871675702")</f>
        <v>1871675702</v>
      </c>
      <c r="E15837" t="s">
        <v>3060</v>
      </c>
    </row>
    <row r="15838" spans="1:5" x14ac:dyDescent="0.25">
      <c r="A15838" t="s">
        <v>2</v>
      </c>
      <c r="B15838" t="s">
        <v>3458</v>
      </c>
      <c r="C15838" t="s">
        <v>23490</v>
      </c>
      <c r="D15838" t="str">
        <f>HYPERLINK("https://rhld.insurance.arkansas.gov/NPILookup?Npi=1871676403","1871676403")</f>
        <v>1871676403</v>
      </c>
      <c r="E15838" t="s">
        <v>3061</v>
      </c>
    </row>
    <row r="15839" spans="1:5" x14ac:dyDescent="0.25">
      <c r="A15839" t="s">
        <v>2</v>
      </c>
      <c r="B15839" t="s">
        <v>3458</v>
      </c>
      <c r="C15839" t="s">
        <v>23490</v>
      </c>
      <c r="D15839" t="str">
        <f>HYPERLINK("https://rhld.insurance.arkansas.gov/NPILookup?Npi=1871683433","1871683433")</f>
        <v>1871683433</v>
      </c>
      <c r="E15839" t="s">
        <v>3985</v>
      </c>
    </row>
    <row r="15840" spans="1:5" x14ac:dyDescent="0.25">
      <c r="A15840" t="s">
        <v>2</v>
      </c>
      <c r="B15840" t="s">
        <v>3458</v>
      </c>
      <c r="C15840" t="s">
        <v>23490</v>
      </c>
      <c r="D15840" t="str">
        <f>HYPERLINK("https://rhld.insurance.arkansas.gov/NPILookup?Npi=1871684076","1871684076")</f>
        <v>1871684076</v>
      </c>
      <c r="E15840" t="s">
        <v>3986</v>
      </c>
    </row>
    <row r="15841" spans="1:5" x14ac:dyDescent="0.25">
      <c r="A15841" t="s">
        <v>2</v>
      </c>
      <c r="B15841" t="s">
        <v>3458</v>
      </c>
      <c r="C15841" t="s">
        <v>23490</v>
      </c>
      <c r="D15841" t="str">
        <f>HYPERLINK("https://rhld.insurance.arkansas.gov/NPILookup?Npi=1871703496","1871703496")</f>
        <v>1871703496</v>
      </c>
      <c r="E15841" t="s">
        <v>3065</v>
      </c>
    </row>
    <row r="15842" spans="1:5" x14ac:dyDescent="0.25">
      <c r="A15842" t="s">
        <v>2</v>
      </c>
      <c r="B15842" t="s">
        <v>3458</v>
      </c>
      <c r="C15842" t="s">
        <v>23490</v>
      </c>
      <c r="D15842" t="str">
        <f>HYPERLINK("https://rhld.insurance.arkansas.gov/NPILookup?Npi=1871708180","1871708180")</f>
        <v>1871708180</v>
      </c>
      <c r="E15842" t="s">
        <v>3067</v>
      </c>
    </row>
    <row r="15843" spans="1:5" x14ac:dyDescent="0.25">
      <c r="A15843" t="s">
        <v>2</v>
      </c>
      <c r="B15843" t="s">
        <v>3458</v>
      </c>
      <c r="C15843" t="s">
        <v>23490</v>
      </c>
      <c r="D15843" t="str">
        <f>HYPERLINK("https://rhld.insurance.arkansas.gov/NPILookup?Npi=1871715904","1871715904")</f>
        <v>1871715904</v>
      </c>
      <c r="E15843" t="s">
        <v>3068</v>
      </c>
    </row>
    <row r="15844" spans="1:5" x14ac:dyDescent="0.25">
      <c r="A15844" t="s">
        <v>2</v>
      </c>
      <c r="B15844" t="s">
        <v>3458</v>
      </c>
      <c r="C15844" t="s">
        <v>23490</v>
      </c>
      <c r="D15844" t="str">
        <f>HYPERLINK("https://rhld.insurance.arkansas.gov/NPILookup?Npi=1871722066","1871722066")</f>
        <v>1871722066</v>
      </c>
      <c r="E15844" t="s">
        <v>12928</v>
      </c>
    </row>
    <row r="15845" spans="1:5" x14ac:dyDescent="0.25">
      <c r="A15845" t="s">
        <v>2</v>
      </c>
      <c r="B15845" t="s">
        <v>3458</v>
      </c>
      <c r="C15845" t="s">
        <v>23490</v>
      </c>
      <c r="D15845" t="str">
        <f>HYPERLINK("https://rhld.insurance.arkansas.gov/NPILookup?Npi=1871733162","1871733162")</f>
        <v>1871733162</v>
      </c>
      <c r="E15845" t="s">
        <v>15668</v>
      </c>
    </row>
    <row r="15846" spans="1:5" x14ac:dyDescent="0.25">
      <c r="A15846" t="s">
        <v>2</v>
      </c>
      <c r="B15846" t="s">
        <v>3458</v>
      </c>
      <c r="C15846" t="s">
        <v>23490</v>
      </c>
      <c r="D15846" t="str">
        <f>HYPERLINK("https://rhld.insurance.arkansas.gov/NPILookup?Npi=1871746800","1871746800")</f>
        <v>1871746800</v>
      </c>
      <c r="E15846" t="s">
        <v>11344</v>
      </c>
    </row>
    <row r="15847" spans="1:5" x14ac:dyDescent="0.25">
      <c r="A15847" t="s">
        <v>2</v>
      </c>
      <c r="B15847" t="s">
        <v>3458</v>
      </c>
      <c r="C15847" t="s">
        <v>23490</v>
      </c>
      <c r="D15847" t="str">
        <f>HYPERLINK("https://rhld.insurance.arkansas.gov/NPILookup?Npi=1871755777","1871755777")</f>
        <v>1871755777</v>
      </c>
      <c r="E15847" t="s">
        <v>13764</v>
      </c>
    </row>
    <row r="15848" spans="1:5" x14ac:dyDescent="0.25">
      <c r="A15848" t="s">
        <v>2</v>
      </c>
      <c r="B15848" t="s">
        <v>3458</v>
      </c>
      <c r="C15848" t="s">
        <v>23490</v>
      </c>
      <c r="D15848" t="str">
        <f>HYPERLINK("https://rhld.insurance.arkansas.gov/NPILookup?Npi=1871760629","1871760629")</f>
        <v>1871760629</v>
      </c>
      <c r="E15848" t="s">
        <v>3987</v>
      </c>
    </row>
    <row r="15849" spans="1:5" x14ac:dyDescent="0.25">
      <c r="A15849" t="s">
        <v>2</v>
      </c>
      <c r="B15849" t="s">
        <v>3458</v>
      </c>
      <c r="C15849" t="s">
        <v>23490</v>
      </c>
      <c r="D15849" t="str">
        <f>HYPERLINK("https://rhld.insurance.arkansas.gov/NPILookup?Npi=1871774075","1871774075")</f>
        <v>1871774075</v>
      </c>
      <c r="E15849" t="s">
        <v>3069</v>
      </c>
    </row>
    <row r="15850" spans="1:5" x14ac:dyDescent="0.25">
      <c r="A15850" t="s">
        <v>2</v>
      </c>
      <c r="B15850" t="s">
        <v>3458</v>
      </c>
      <c r="C15850" t="s">
        <v>23490</v>
      </c>
      <c r="D15850" t="str">
        <f>HYPERLINK("https://rhld.insurance.arkansas.gov/NPILookup?Npi=1871803403","1871803403")</f>
        <v>1871803403</v>
      </c>
      <c r="E15850" t="s">
        <v>3988</v>
      </c>
    </row>
    <row r="15851" spans="1:5" x14ac:dyDescent="0.25">
      <c r="A15851" t="s">
        <v>2</v>
      </c>
      <c r="B15851" t="s">
        <v>3458</v>
      </c>
      <c r="C15851" t="s">
        <v>23490</v>
      </c>
      <c r="D15851" t="str">
        <f>HYPERLINK("https://rhld.insurance.arkansas.gov/NPILookup?Npi=1871806679","1871806679")</f>
        <v>1871806679</v>
      </c>
      <c r="E15851" t="s">
        <v>20272</v>
      </c>
    </row>
    <row r="15852" spans="1:5" x14ac:dyDescent="0.25">
      <c r="A15852" t="s">
        <v>2</v>
      </c>
      <c r="B15852" t="s">
        <v>3458</v>
      </c>
      <c r="C15852" t="s">
        <v>23490</v>
      </c>
      <c r="D15852" t="str">
        <f>HYPERLINK("https://rhld.insurance.arkansas.gov/NPILookup?Npi=1871808048","1871808048")</f>
        <v>1871808048</v>
      </c>
      <c r="E15852" t="s">
        <v>3070</v>
      </c>
    </row>
    <row r="15853" spans="1:5" x14ac:dyDescent="0.25">
      <c r="A15853" t="s">
        <v>2</v>
      </c>
      <c r="B15853" t="s">
        <v>3458</v>
      </c>
      <c r="C15853" t="s">
        <v>23490</v>
      </c>
      <c r="D15853" t="str">
        <f>HYPERLINK("https://rhld.insurance.arkansas.gov/NPILookup?Npi=1871844498","1871844498")</f>
        <v>1871844498</v>
      </c>
      <c r="E15853" t="s">
        <v>15669</v>
      </c>
    </row>
    <row r="15854" spans="1:5" x14ac:dyDescent="0.25">
      <c r="A15854" t="s">
        <v>2</v>
      </c>
      <c r="B15854" t="s">
        <v>3458</v>
      </c>
      <c r="C15854" t="s">
        <v>23490</v>
      </c>
      <c r="D15854" t="str">
        <f>HYPERLINK("https://rhld.insurance.arkansas.gov/NPILookup?Npi=1871850420","1871850420")</f>
        <v>1871850420</v>
      </c>
      <c r="E15854" t="s">
        <v>2844</v>
      </c>
    </row>
    <row r="15855" spans="1:5" x14ac:dyDescent="0.25">
      <c r="A15855" t="s">
        <v>2</v>
      </c>
      <c r="B15855" t="s">
        <v>3458</v>
      </c>
      <c r="C15855" t="s">
        <v>23490</v>
      </c>
      <c r="D15855" t="str">
        <f>HYPERLINK("https://rhld.insurance.arkansas.gov/NPILookup?Npi=1871865717","1871865717")</f>
        <v>1871865717</v>
      </c>
      <c r="E15855" t="s">
        <v>3071</v>
      </c>
    </row>
    <row r="15856" spans="1:5" x14ac:dyDescent="0.25">
      <c r="A15856" t="s">
        <v>2</v>
      </c>
      <c r="B15856" t="s">
        <v>3458</v>
      </c>
      <c r="C15856" t="s">
        <v>23490</v>
      </c>
      <c r="D15856" t="str">
        <f>HYPERLINK("https://rhld.insurance.arkansas.gov/NPILookup?Npi=1871866376","1871866376")</f>
        <v>1871866376</v>
      </c>
      <c r="E15856" t="s">
        <v>11346</v>
      </c>
    </row>
    <row r="15857" spans="1:5" x14ac:dyDescent="0.25">
      <c r="A15857" t="s">
        <v>2</v>
      </c>
      <c r="B15857" t="s">
        <v>3458</v>
      </c>
      <c r="C15857" t="s">
        <v>23490</v>
      </c>
      <c r="D15857" t="str">
        <f>HYPERLINK("https://rhld.insurance.arkansas.gov/NPILookup?Npi=1871866830","1871866830")</f>
        <v>1871866830</v>
      </c>
      <c r="E15857" t="s">
        <v>8896</v>
      </c>
    </row>
    <row r="15858" spans="1:5" x14ac:dyDescent="0.25">
      <c r="A15858" t="s">
        <v>2</v>
      </c>
      <c r="B15858" t="s">
        <v>3458</v>
      </c>
      <c r="C15858" t="s">
        <v>23490</v>
      </c>
      <c r="D15858" t="str">
        <f>HYPERLINK("https://rhld.insurance.arkansas.gov/NPILookup?Npi=1871885525","1871885525")</f>
        <v>1871885525</v>
      </c>
      <c r="E15858" t="s">
        <v>11486</v>
      </c>
    </row>
    <row r="15859" spans="1:5" x14ac:dyDescent="0.25">
      <c r="A15859" t="s">
        <v>2</v>
      </c>
      <c r="B15859" t="s">
        <v>3458</v>
      </c>
      <c r="C15859" t="s">
        <v>23490</v>
      </c>
      <c r="D15859" t="str">
        <f>HYPERLINK("https://rhld.insurance.arkansas.gov/NPILookup?Npi=1871905174","1871905174")</f>
        <v>1871905174</v>
      </c>
      <c r="E15859" t="s">
        <v>13765</v>
      </c>
    </row>
    <row r="15860" spans="1:5" x14ac:dyDescent="0.25">
      <c r="A15860" t="s">
        <v>2</v>
      </c>
      <c r="B15860" t="s">
        <v>3458</v>
      </c>
      <c r="C15860" t="s">
        <v>23490</v>
      </c>
      <c r="D15860" t="str">
        <f>HYPERLINK("https://rhld.insurance.arkansas.gov/NPILookup?Npi=1871908483","1871908483")</f>
        <v>1871908483</v>
      </c>
      <c r="E15860" t="s">
        <v>3073</v>
      </c>
    </row>
    <row r="15861" spans="1:5" x14ac:dyDescent="0.25">
      <c r="A15861" t="s">
        <v>2</v>
      </c>
      <c r="B15861" t="s">
        <v>3458</v>
      </c>
      <c r="C15861" t="s">
        <v>23490</v>
      </c>
      <c r="D15861" t="str">
        <f>HYPERLINK("https://rhld.insurance.arkansas.gov/NPILookup?Npi=1871908905","1871908905")</f>
        <v>1871908905</v>
      </c>
      <c r="E15861" t="s">
        <v>21060</v>
      </c>
    </row>
    <row r="15862" spans="1:5" x14ac:dyDescent="0.25">
      <c r="A15862" t="s">
        <v>2</v>
      </c>
      <c r="B15862" t="s">
        <v>3458</v>
      </c>
      <c r="C15862" t="s">
        <v>23490</v>
      </c>
      <c r="D15862" t="str">
        <f>HYPERLINK("https://rhld.insurance.arkansas.gov/NPILookup?Npi=1871914317","1871914317")</f>
        <v>1871914317</v>
      </c>
      <c r="E15862" t="s">
        <v>17044</v>
      </c>
    </row>
    <row r="15863" spans="1:5" x14ac:dyDescent="0.25">
      <c r="A15863" t="s">
        <v>2</v>
      </c>
      <c r="B15863" t="s">
        <v>3458</v>
      </c>
      <c r="C15863" t="s">
        <v>23490</v>
      </c>
      <c r="D15863" t="str">
        <f>HYPERLINK("https://rhld.insurance.arkansas.gov/NPILookup?Npi=1871916395","1871916395")</f>
        <v>1871916395</v>
      </c>
      <c r="E15863" t="s">
        <v>3074</v>
      </c>
    </row>
    <row r="15864" spans="1:5" x14ac:dyDescent="0.25">
      <c r="A15864" t="s">
        <v>2</v>
      </c>
      <c r="B15864" t="s">
        <v>3458</v>
      </c>
      <c r="C15864" t="s">
        <v>23490</v>
      </c>
      <c r="D15864" t="str">
        <f>HYPERLINK("https://rhld.insurance.arkansas.gov/NPILookup?Npi=1871929398","1871929398")</f>
        <v>1871929398</v>
      </c>
      <c r="E15864" t="s">
        <v>3075</v>
      </c>
    </row>
    <row r="15865" spans="1:5" x14ac:dyDescent="0.25">
      <c r="A15865" t="s">
        <v>2</v>
      </c>
      <c r="B15865" t="s">
        <v>3458</v>
      </c>
      <c r="C15865" t="s">
        <v>23490</v>
      </c>
      <c r="D15865" t="str">
        <f>HYPERLINK("https://rhld.insurance.arkansas.gov/NPILookup?Npi=1871935049","1871935049")</f>
        <v>1871935049</v>
      </c>
      <c r="E15865" t="s">
        <v>8897</v>
      </c>
    </row>
    <row r="15866" spans="1:5" x14ac:dyDescent="0.25">
      <c r="A15866" t="s">
        <v>2</v>
      </c>
      <c r="B15866" t="s">
        <v>3458</v>
      </c>
      <c r="C15866" t="s">
        <v>23490</v>
      </c>
      <c r="D15866" t="str">
        <f>HYPERLINK("https://rhld.insurance.arkansas.gov/NPILookup?Npi=1871935155","1871935155")</f>
        <v>1871935155</v>
      </c>
      <c r="E15866" t="s">
        <v>11347</v>
      </c>
    </row>
    <row r="15867" spans="1:5" x14ac:dyDescent="0.25">
      <c r="A15867" t="s">
        <v>2</v>
      </c>
      <c r="B15867" t="s">
        <v>3458</v>
      </c>
      <c r="C15867" t="s">
        <v>23490</v>
      </c>
      <c r="D15867" t="str">
        <f>HYPERLINK("https://rhld.insurance.arkansas.gov/NPILookup?Npi=1871948166","1871948166")</f>
        <v>1871948166</v>
      </c>
      <c r="E15867" t="s">
        <v>13767</v>
      </c>
    </row>
    <row r="15868" spans="1:5" x14ac:dyDescent="0.25">
      <c r="A15868" t="s">
        <v>2</v>
      </c>
      <c r="B15868" t="s">
        <v>3458</v>
      </c>
      <c r="C15868" t="s">
        <v>23490</v>
      </c>
      <c r="D15868" t="str">
        <f>HYPERLINK("https://rhld.insurance.arkansas.gov/NPILookup?Npi=1871948596","1871948596")</f>
        <v>1871948596</v>
      </c>
      <c r="E15868" t="s">
        <v>8898</v>
      </c>
    </row>
    <row r="15869" spans="1:5" x14ac:dyDescent="0.25">
      <c r="A15869" t="s">
        <v>2</v>
      </c>
      <c r="B15869" t="s">
        <v>3458</v>
      </c>
      <c r="C15869" t="s">
        <v>23490</v>
      </c>
      <c r="D15869" t="str">
        <f>HYPERLINK("https://rhld.insurance.arkansas.gov/NPILookup?Npi=1871976852","1871976852")</f>
        <v>1871976852</v>
      </c>
      <c r="E15869" t="s">
        <v>8899</v>
      </c>
    </row>
    <row r="15870" spans="1:5" x14ac:dyDescent="0.25">
      <c r="A15870" t="s">
        <v>2</v>
      </c>
      <c r="B15870" t="s">
        <v>3458</v>
      </c>
      <c r="C15870" t="s">
        <v>23490</v>
      </c>
      <c r="D15870" t="str">
        <f>HYPERLINK("https://rhld.insurance.arkansas.gov/NPILookup?Npi=1871985564","1871985564")</f>
        <v>1871985564</v>
      </c>
      <c r="E15870" t="s">
        <v>15670</v>
      </c>
    </row>
    <row r="15871" spans="1:5" x14ac:dyDescent="0.25">
      <c r="A15871" t="s">
        <v>2</v>
      </c>
      <c r="B15871" t="s">
        <v>3458</v>
      </c>
      <c r="C15871" t="s">
        <v>23490</v>
      </c>
      <c r="D15871" t="str">
        <f>HYPERLINK("https://rhld.insurance.arkansas.gov/NPILookup?Npi=1871986315","1871986315")</f>
        <v>1871986315</v>
      </c>
      <c r="E15871" t="s">
        <v>3077</v>
      </c>
    </row>
    <row r="15872" spans="1:5" x14ac:dyDescent="0.25">
      <c r="A15872" t="s">
        <v>2</v>
      </c>
      <c r="B15872" t="s">
        <v>3458</v>
      </c>
      <c r="C15872" t="s">
        <v>23490</v>
      </c>
      <c r="D15872" t="str">
        <f>HYPERLINK("https://rhld.insurance.arkansas.gov/NPILookup?Npi=1881000321","1881000321")</f>
        <v>1881000321</v>
      </c>
      <c r="E15872" t="s">
        <v>3078</v>
      </c>
    </row>
    <row r="15873" spans="1:5" x14ac:dyDescent="0.25">
      <c r="A15873" t="s">
        <v>2</v>
      </c>
      <c r="B15873" t="s">
        <v>3458</v>
      </c>
      <c r="C15873" t="s">
        <v>23490</v>
      </c>
      <c r="D15873" t="str">
        <f>HYPERLINK("https://rhld.insurance.arkansas.gov/NPILookup?Npi=1881001899","1881001899")</f>
        <v>1881001899</v>
      </c>
      <c r="E15873" t="s">
        <v>11348</v>
      </c>
    </row>
    <row r="15874" spans="1:5" x14ac:dyDescent="0.25">
      <c r="A15874" t="s">
        <v>2</v>
      </c>
      <c r="B15874" t="s">
        <v>3458</v>
      </c>
      <c r="C15874" t="s">
        <v>23490</v>
      </c>
      <c r="D15874" t="str">
        <f>HYPERLINK("https://rhld.insurance.arkansas.gov/NPILookup?Npi=1881002756","1881002756")</f>
        <v>1881002756</v>
      </c>
      <c r="E15874" t="s">
        <v>3080</v>
      </c>
    </row>
    <row r="15875" spans="1:5" x14ac:dyDescent="0.25">
      <c r="A15875" t="s">
        <v>2</v>
      </c>
      <c r="B15875" t="s">
        <v>3458</v>
      </c>
      <c r="C15875" t="s">
        <v>23490</v>
      </c>
      <c r="D15875" t="str">
        <f>HYPERLINK("https://rhld.insurance.arkansas.gov/NPILookup?Npi=1881008498","1881008498")</f>
        <v>1881008498</v>
      </c>
      <c r="E15875" t="s">
        <v>11349</v>
      </c>
    </row>
    <row r="15876" spans="1:5" x14ac:dyDescent="0.25">
      <c r="A15876" t="s">
        <v>2</v>
      </c>
      <c r="B15876" t="s">
        <v>3458</v>
      </c>
      <c r="C15876" t="s">
        <v>23490</v>
      </c>
      <c r="D15876" t="str">
        <f>HYPERLINK("https://rhld.insurance.arkansas.gov/NPILookup?Npi=1881013779","1881013779")</f>
        <v>1881013779</v>
      </c>
      <c r="E15876" t="s">
        <v>11350</v>
      </c>
    </row>
    <row r="15877" spans="1:5" x14ac:dyDescent="0.25">
      <c r="A15877" t="s">
        <v>2</v>
      </c>
      <c r="B15877" t="s">
        <v>3458</v>
      </c>
      <c r="C15877" t="s">
        <v>23490</v>
      </c>
      <c r="D15877" t="str">
        <f>HYPERLINK("https://rhld.insurance.arkansas.gov/NPILookup?Npi=1881022291","1881022291")</f>
        <v>1881022291</v>
      </c>
      <c r="E15877" t="s">
        <v>20091</v>
      </c>
    </row>
    <row r="15878" spans="1:5" x14ac:dyDescent="0.25">
      <c r="A15878" t="s">
        <v>2</v>
      </c>
      <c r="B15878" t="s">
        <v>3458</v>
      </c>
      <c r="C15878" t="s">
        <v>23490</v>
      </c>
      <c r="D15878" t="str">
        <f>HYPERLINK("https://rhld.insurance.arkansas.gov/NPILookup?Npi=1881032795","1881032795")</f>
        <v>1881032795</v>
      </c>
      <c r="E15878" t="s">
        <v>20092</v>
      </c>
    </row>
    <row r="15879" spans="1:5" x14ac:dyDescent="0.25">
      <c r="A15879" t="s">
        <v>2</v>
      </c>
      <c r="B15879" t="s">
        <v>3458</v>
      </c>
      <c r="C15879" t="s">
        <v>23490</v>
      </c>
      <c r="D15879" t="str">
        <f>HYPERLINK("https://rhld.insurance.arkansas.gov/NPILookup?Npi=1881034460","1881034460")</f>
        <v>1881034460</v>
      </c>
      <c r="E15879" t="s">
        <v>12929</v>
      </c>
    </row>
    <row r="15880" spans="1:5" x14ac:dyDescent="0.25">
      <c r="A15880" t="s">
        <v>2</v>
      </c>
      <c r="B15880" t="s">
        <v>3458</v>
      </c>
      <c r="C15880" t="s">
        <v>23490</v>
      </c>
      <c r="D15880" t="str">
        <f>HYPERLINK("https://rhld.insurance.arkansas.gov/NPILookup?Npi=1881035244","1881035244")</f>
        <v>1881035244</v>
      </c>
      <c r="E15880" t="s">
        <v>15672</v>
      </c>
    </row>
    <row r="15881" spans="1:5" x14ac:dyDescent="0.25">
      <c r="A15881" t="s">
        <v>2</v>
      </c>
      <c r="B15881" t="s">
        <v>3458</v>
      </c>
      <c r="C15881" t="s">
        <v>23490</v>
      </c>
      <c r="D15881" t="str">
        <f>HYPERLINK("https://rhld.insurance.arkansas.gov/NPILookup?Npi=1881051522","1881051522")</f>
        <v>1881051522</v>
      </c>
      <c r="E15881" t="s">
        <v>8900</v>
      </c>
    </row>
    <row r="15882" spans="1:5" x14ac:dyDescent="0.25">
      <c r="A15882" t="s">
        <v>2</v>
      </c>
      <c r="B15882" t="s">
        <v>3458</v>
      </c>
      <c r="C15882" t="s">
        <v>23490</v>
      </c>
      <c r="D15882" t="str">
        <f>HYPERLINK("https://rhld.insurance.arkansas.gov/NPILookup?Npi=1881054294","1881054294")</f>
        <v>1881054294</v>
      </c>
      <c r="E15882" t="s">
        <v>21761</v>
      </c>
    </row>
    <row r="15883" spans="1:5" x14ac:dyDescent="0.25">
      <c r="A15883" t="s">
        <v>2</v>
      </c>
      <c r="B15883" t="s">
        <v>3458</v>
      </c>
      <c r="C15883" t="s">
        <v>23490</v>
      </c>
      <c r="D15883" t="str">
        <f>HYPERLINK("https://rhld.insurance.arkansas.gov/NPILookup?Npi=1881054328","1881054328")</f>
        <v>1881054328</v>
      </c>
      <c r="E15883" t="s">
        <v>11351</v>
      </c>
    </row>
    <row r="15884" spans="1:5" x14ac:dyDescent="0.25">
      <c r="A15884" t="s">
        <v>2</v>
      </c>
      <c r="B15884" t="s">
        <v>3458</v>
      </c>
      <c r="C15884" t="s">
        <v>23490</v>
      </c>
      <c r="D15884" t="str">
        <f>HYPERLINK("https://rhld.insurance.arkansas.gov/NPILookup?Npi=1881057172","1881057172")</f>
        <v>1881057172</v>
      </c>
      <c r="E15884" t="s">
        <v>8901</v>
      </c>
    </row>
    <row r="15885" spans="1:5" x14ac:dyDescent="0.25">
      <c r="A15885" t="s">
        <v>2</v>
      </c>
      <c r="B15885" t="s">
        <v>3458</v>
      </c>
      <c r="C15885" t="s">
        <v>23490</v>
      </c>
      <c r="D15885" t="str">
        <f>HYPERLINK("https://rhld.insurance.arkansas.gov/NPILookup?Npi=1881070803","1881070803")</f>
        <v>1881070803</v>
      </c>
      <c r="E15885" t="s">
        <v>3081</v>
      </c>
    </row>
    <row r="15886" spans="1:5" x14ac:dyDescent="0.25">
      <c r="A15886" t="s">
        <v>2</v>
      </c>
      <c r="B15886" t="s">
        <v>3458</v>
      </c>
      <c r="C15886" t="s">
        <v>23490</v>
      </c>
      <c r="D15886" t="str">
        <f>HYPERLINK("https://rhld.insurance.arkansas.gov/NPILookup?Npi=1881071348","1881071348")</f>
        <v>1881071348</v>
      </c>
      <c r="E15886" t="s">
        <v>13768</v>
      </c>
    </row>
    <row r="15887" spans="1:5" x14ac:dyDescent="0.25">
      <c r="A15887" t="s">
        <v>2</v>
      </c>
      <c r="B15887" t="s">
        <v>3458</v>
      </c>
      <c r="C15887" t="s">
        <v>23490</v>
      </c>
      <c r="D15887" t="str">
        <f>HYPERLINK("https://rhld.insurance.arkansas.gov/NPILookup?Npi=1881072544","1881072544")</f>
        <v>1881072544</v>
      </c>
      <c r="E15887" t="s">
        <v>13769</v>
      </c>
    </row>
    <row r="15888" spans="1:5" x14ac:dyDescent="0.25">
      <c r="A15888" t="s">
        <v>2</v>
      </c>
      <c r="B15888" t="s">
        <v>3458</v>
      </c>
      <c r="C15888" t="s">
        <v>23490</v>
      </c>
      <c r="D15888" t="str">
        <f>HYPERLINK("https://rhld.insurance.arkansas.gov/NPILookup?Npi=1881076644","1881076644")</f>
        <v>1881076644</v>
      </c>
      <c r="E15888" t="s">
        <v>18164</v>
      </c>
    </row>
    <row r="15889" spans="1:5" x14ac:dyDescent="0.25">
      <c r="A15889" t="s">
        <v>2</v>
      </c>
      <c r="B15889" t="s">
        <v>3458</v>
      </c>
      <c r="C15889" t="s">
        <v>23490</v>
      </c>
      <c r="D15889" t="str">
        <f>HYPERLINK("https://rhld.insurance.arkansas.gov/NPILookup?Npi=1881086148","1881086148")</f>
        <v>1881086148</v>
      </c>
      <c r="E15889" t="s">
        <v>12930</v>
      </c>
    </row>
    <row r="15890" spans="1:5" x14ac:dyDescent="0.25">
      <c r="A15890" t="s">
        <v>2</v>
      </c>
      <c r="B15890" t="s">
        <v>3458</v>
      </c>
      <c r="C15890" t="s">
        <v>23490</v>
      </c>
      <c r="D15890" t="str">
        <f>HYPERLINK("https://rhld.insurance.arkansas.gov/NPILookup?Npi=1881107076","1881107076")</f>
        <v>1881107076</v>
      </c>
      <c r="E15890" t="s">
        <v>12931</v>
      </c>
    </row>
    <row r="15891" spans="1:5" x14ac:dyDescent="0.25">
      <c r="A15891" t="s">
        <v>2</v>
      </c>
      <c r="B15891" t="s">
        <v>3458</v>
      </c>
      <c r="C15891" t="s">
        <v>23490</v>
      </c>
      <c r="D15891" t="str">
        <f>HYPERLINK("https://rhld.insurance.arkansas.gov/NPILookup?Npi=1881127884","1881127884")</f>
        <v>1881127884</v>
      </c>
      <c r="E15891" t="s">
        <v>18930</v>
      </c>
    </row>
    <row r="15892" spans="1:5" x14ac:dyDescent="0.25">
      <c r="A15892" t="s">
        <v>2</v>
      </c>
      <c r="B15892" t="s">
        <v>3458</v>
      </c>
      <c r="C15892" t="s">
        <v>23490</v>
      </c>
      <c r="D15892" t="str">
        <f>HYPERLINK("https://rhld.insurance.arkansas.gov/NPILookup?Npi=1881143360","1881143360")</f>
        <v>1881143360</v>
      </c>
      <c r="E15892" t="s">
        <v>13038</v>
      </c>
    </row>
    <row r="15893" spans="1:5" x14ac:dyDescent="0.25">
      <c r="A15893" t="s">
        <v>2</v>
      </c>
      <c r="B15893" t="s">
        <v>3458</v>
      </c>
      <c r="C15893" t="s">
        <v>23490</v>
      </c>
      <c r="D15893" t="str">
        <f>HYPERLINK("https://rhld.insurance.arkansas.gov/NPILookup?Npi=1881150563","1881150563")</f>
        <v>1881150563</v>
      </c>
      <c r="E15893" t="s">
        <v>15916</v>
      </c>
    </row>
    <row r="15894" spans="1:5" x14ac:dyDescent="0.25">
      <c r="A15894" t="s">
        <v>2</v>
      </c>
      <c r="B15894" t="s">
        <v>3458</v>
      </c>
      <c r="C15894" t="s">
        <v>23490</v>
      </c>
      <c r="D15894" t="str">
        <f>HYPERLINK("https://rhld.insurance.arkansas.gov/NPILookup?Npi=1881160240","1881160240")</f>
        <v>1881160240</v>
      </c>
      <c r="E15894" t="s">
        <v>15675</v>
      </c>
    </row>
    <row r="15895" spans="1:5" x14ac:dyDescent="0.25">
      <c r="A15895" t="s">
        <v>2</v>
      </c>
      <c r="B15895" t="s">
        <v>3458</v>
      </c>
      <c r="C15895" t="s">
        <v>23490</v>
      </c>
      <c r="D15895" t="str">
        <f>HYPERLINK("https://rhld.insurance.arkansas.gov/NPILookup?Npi=1881184893","1881184893")</f>
        <v>1881184893</v>
      </c>
      <c r="E15895" t="s">
        <v>15676</v>
      </c>
    </row>
    <row r="15896" spans="1:5" x14ac:dyDescent="0.25">
      <c r="A15896" t="s">
        <v>2</v>
      </c>
      <c r="B15896" t="s">
        <v>3458</v>
      </c>
      <c r="C15896" t="s">
        <v>23490</v>
      </c>
      <c r="D15896" t="str">
        <f>HYPERLINK("https://rhld.insurance.arkansas.gov/NPILookup?Npi=1881187904","1881187904")</f>
        <v>1881187904</v>
      </c>
      <c r="E15896" t="s">
        <v>13770</v>
      </c>
    </row>
    <row r="15897" spans="1:5" x14ac:dyDescent="0.25">
      <c r="A15897" t="s">
        <v>2</v>
      </c>
      <c r="B15897" t="s">
        <v>3458</v>
      </c>
      <c r="C15897" t="s">
        <v>8427</v>
      </c>
      <c r="D15897" t="str">
        <f>HYPERLINK("https://rhld.insurance.arkansas.gov/NPILookup?Npi=1881222073","1881222073")</f>
        <v>1881222073</v>
      </c>
      <c r="E15897" t="s">
        <v>23002</v>
      </c>
    </row>
    <row r="15898" spans="1:5" x14ac:dyDescent="0.25">
      <c r="A15898" t="s">
        <v>2</v>
      </c>
      <c r="B15898" t="s">
        <v>3458</v>
      </c>
      <c r="C15898" t="s">
        <v>23490</v>
      </c>
      <c r="D15898" t="str">
        <f>HYPERLINK("https://rhld.insurance.arkansas.gov/NPILookup?Npi=1881260826","1881260826")</f>
        <v>1881260826</v>
      </c>
      <c r="E15898" t="s">
        <v>18891</v>
      </c>
    </row>
    <row r="15899" spans="1:5" x14ac:dyDescent="0.25">
      <c r="A15899" t="s">
        <v>2</v>
      </c>
      <c r="B15899" t="s">
        <v>3458</v>
      </c>
      <c r="C15899" t="s">
        <v>23490</v>
      </c>
      <c r="D15899" t="str">
        <f>HYPERLINK("https://rhld.insurance.arkansas.gov/NPILookup?Npi=1881269660","1881269660")</f>
        <v>1881269660</v>
      </c>
      <c r="E15899" t="s">
        <v>20096</v>
      </c>
    </row>
    <row r="15900" spans="1:5" x14ac:dyDescent="0.25">
      <c r="A15900" t="s">
        <v>2</v>
      </c>
      <c r="B15900" t="s">
        <v>3458</v>
      </c>
      <c r="C15900" t="s">
        <v>23490</v>
      </c>
      <c r="D15900" t="str">
        <f>HYPERLINK("https://rhld.insurance.arkansas.gov/NPILookup?Npi=1881270122","1881270122")</f>
        <v>1881270122</v>
      </c>
      <c r="E15900" t="s">
        <v>20273</v>
      </c>
    </row>
    <row r="15901" spans="1:5" x14ac:dyDescent="0.25">
      <c r="A15901" t="s">
        <v>2</v>
      </c>
      <c r="B15901" t="s">
        <v>3458</v>
      </c>
      <c r="C15901" t="s">
        <v>23490</v>
      </c>
      <c r="D15901" t="str">
        <f>HYPERLINK("https://rhld.insurance.arkansas.gov/NPILookup?Npi=1881270536","1881270536")</f>
        <v>1881270536</v>
      </c>
      <c r="E15901" t="s">
        <v>18892</v>
      </c>
    </row>
    <row r="15902" spans="1:5" x14ac:dyDescent="0.25">
      <c r="A15902" t="s">
        <v>2</v>
      </c>
      <c r="B15902" t="s">
        <v>3458</v>
      </c>
      <c r="C15902" t="s">
        <v>23490</v>
      </c>
      <c r="D15902" t="str">
        <f>HYPERLINK("https://rhld.insurance.arkansas.gov/NPILookup?Npi=1881285336","1881285336")</f>
        <v>1881285336</v>
      </c>
      <c r="E15902" t="s">
        <v>18165</v>
      </c>
    </row>
    <row r="15903" spans="1:5" x14ac:dyDescent="0.25">
      <c r="A15903" t="s">
        <v>2</v>
      </c>
      <c r="B15903" t="s">
        <v>3458</v>
      </c>
      <c r="C15903" t="s">
        <v>23490</v>
      </c>
      <c r="D15903" t="str">
        <f>HYPERLINK("https://rhld.insurance.arkansas.gov/NPILookup?Npi=1881291896","1881291896")</f>
        <v>1881291896</v>
      </c>
      <c r="E15903" t="s">
        <v>17489</v>
      </c>
    </row>
    <row r="15904" spans="1:5" x14ac:dyDescent="0.25">
      <c r="A15904" t="s">
        <v>2</v>
      </c>
      <c r="B15904" t="s">
        <v>3458</v>
      </c>
      <c r="C15904" t="s">
        <v>23490</v>
      </c>
      <c r="D15904" t="str">
        <f>HYPERLINK("https://rhld.insurance.arkansas.gov/NPILookup?Npi=1881318475","1881318475")</f>
        <v>1881318475</v>
      </c>
      <c r="E15904" t="s">
        <v>21670</v>
      </c>
    </row>
    <row r="15905" spans="1:5" x14ac:dyDescent="0.25">
      <c r="A15905" t="s">
        <v>2</v>
      </c>
      <c r="B15905" t="s">
        <v>3458</v>
      </c>
      <c r="C15905" t="s">
        <v>23490</v>
      </c>
      <c r="D15905" t="str">
        <f>HYPERLINK("https://rhld.insurance.arkansas.gov/NPILookup?Npi=1881319366","1881319366")</f>
        <v>1881319366</v>
      </c>
      <c r="E15905" t="s">
        <v>21671</v>
      </c>
    </row>
    <row r="15906" spans="1:5" x14ac:dyDescent="0.25">
      <c r="A15906" t="s">
        <v>2</v>
      </c>
      <c r="B15906" t="s">
        <v>3458</v>
      </c>
      <c r="C15906" t="s">
        <v>23490</v>
      </c>
      <c r="D15906" t="str">
        <f>HYPERLINK("https://rhld.insurance.arkansas.gov/NPILookup?Npi=1881348779","1881348779")</f>
        <v>1881348779</v>
      </c>
      <c r="E15906" t="s">
        <v>20098</v>
      </c>
    </row>
    <row r="15907" spans="1:5" x14ac:dyDescent="0.25">
      <c r="A15907" t="s">
        <v>2</v>
      </c>
      <c r="B15907" t="s">
        <v>3458</v>
      </c>
      <c r="C15907" t="s">
        <v>23490</v>
      </c>
      <c r="D15907" t="str">
        <f>HYPERLINK("https://rhld.insurance.arkansas.gov/NPILookup?Npi=1881364875","1881364875")</f>
        <v>1881364875</v>
      </c>
      <c r="E15907" t="s">
        <v>20099</v>
      </c>
    </row>
    <row r="15908" spans="1:5" x14ac:dyDescent="0.25">
      <c r="A15908" t="s">
        <v>2</v>
      </c>
      <c r="B15908" t="s">
        <v>3458</v>
      </c>
      <c r="C15908" t="s">
        <v>23490</v>
      </c>
      <c r="D15908" t="str">
        <f>HYPERLINK("https://rhld.insurance.arkansas.gov/NPILookup?Npi=1881620821","1881620821")</f>
        <v>1881620821</v>
      </c>
      <c r="E15908" t="s">
        <v>3989</v>
      </c>
    </row>
    <row r="15909" spans="1:5" x14ac:dyDescent="0.25">
      <c r="A15909" t="s">
        <v>2</v>
      </c>
      <c r="B15909" t="s">
        <v>3458</v>
      </c>
      <c r="C15909" t="s">
        <v>23490</v>
      </c>
      <c r="D15909" t="str">
        <f>HYPERLINK("https://rhld.insurance.arkansas.gov/NPILookup?Npi=1881624039","1881624039")</f>
        <v>1881624039</v>
      </c>
      <c r="E15909" t="s">
        <v>3084</v>
      </c>
    </row>
    <row r="15910" spans="1:5" x14ac:dyDescent="0.25">
      <c r="A15910" t="s">
        <v>2</v>
      </c>
      <c r="B15910" t="s">
        <v>3458</v>
      </c>
      <c r="C15910" t="s">
        <v>23490</v>
      </c>
      <c r="D15910" t="str">
        <f>HYPERLINK("https://rhld.insurance.arkansas.gov/NPILookup?Npi=1881624369","1881624369")</f>
        <v>1881624369</v>
      </c>
      <c r="E15910" t="s">
        <v>8902</v>
      </c>
    </row>
    <row r="15911" spans="1:5" x14ac:dyDescent="0.25">
      <c r="A15911" t="s">
        <v>2</v>
      </c>
      <c r="B15911" t="s">
        <v>3458</v>
      </c>
      <c r="C15911" t="s">
        <v>23490</v>
      </c>
      <c r="D15911" t="str">
        <f>HYPERLINK("https://rhld.insurance.arkansas.gov/NPILookup?Npi=1881626331","1881626331")</f>
        <v>1881626331</v>
      </c>
      <c r="E15911" t="s">
        <v>8903</v>
      </c>
    </row>
    <row r="15912" spans="1:5" x14ac:dyDescent="0.25">
      <c r="A15912" t="s">
        <v>2</v>
      </c>
      <c r="B15912" t="s">
        <v>3458</v>
      </c>
      <c r="C15912" t="s">
        <v>23490</v>
      </c>
      <c r="D15912" t="str">
        <f>HYPERLINK("https://rhld.insurance.arkansas.gov/NPILookup?Npi=1881630259","1881630259")</f>
        <v>1881630259</v>
      </c>
      <c r="E15912" t="s">
        <v>3085</v>
      </c>
    </row>
    <row r="15913" spans="1:5" x14ac:dyDescent="0.25">
      <c r="A15913" t="s">
        <v>2</v>
      </c>
      <c r="B15913" t="s">
        <v>3458</v>
      </c>
      <c r="C15913" t="s">
        <v>23490</v>
      </c>
      <c r="D15913" t="str">
        <f>HYPERLINK("https://rhld.insurance.arkansas.gov/NPILookup?Npi=1881634103","1881634103")</f>
        <v>1881634103</v>
      </c>
      <c r="E15913" t="s">
        <v>3087</v>
      </c>
    </row>
    <row r="15914" spans="1:5" x14ac:dyDescent="0.25">
      <c r="A15914" t="s">
        <v>2</v>
      </c>
      <c r="B15914" t="s">
        <v>3458</v>
      </c>
      <c r="C15914" t="s">
        <v>23490</v>
      </c>
      <c r="D15914" t="str">
        <f>HYPERLINK("https://rhld.insurance.arkansas.gov/NPILookup?Npi=1881636132","1881636132")</f>
        <v>1881636132</v>
      </c>
      <c r="E15914" t="s">
        <v>3990</v>
      </c>
    </row>
    <row r="15915" spans="1:5" x14ac:dyDescent="0.25">
      <c r="A15915" t="s">
        <v>2</v>
      </c>
      <c r="B15915" t="s">
        <v>3458</v>
      </c>
      <c r="C15915" t="s">
        <v>23490</v>
      </c>
      <c r="D15915" t="str">
        <f>HYPERLINK("https://rhld.insurance.arkansas.gov/NPILookup?Npi=1881646099","1881646099")</f>
        <v>1881646099</v>
      </c>
      <c r="E15915" t="s">
        <v>3088</v>
      </c>
    </row>
    <row r="15916" spans="1:5" x14ac:dyDescent="0.25">
      <c r="A15916" t="s">
        <v>2</v>
      </c>
      <c r="B15916" t="s">
        <v>3458</v>
      </c>
      <c r="C15916" t="s">
        <v>23490</v>
      </c>
      <c r="D15916" t="str">
        <f>HYPERLINK("https://rhld.insurance.arkansas.gov/NPILookup?Npi=1881647170","1881647170")</f>
        <v>1881647170</v>
      </c>
      <c r="E15916" t="s">
        <v>15678</v>
      </c>
    </row>
    <row r="15917" spans="1:5" x14ac:dyDescent="0.25">
      <c r="A15917" t="s">
        <v>2</v>
      </c>
      <c r="B15917" t="s">
        <v>3458</v>
      </c>
      <c r="C15917" t="s">
        <v>23490</v>
      </c>
      <c r="D15917" t="str">
        <f>HYPERLINK("https://rhld.insurance.arkansas.gov/NPILookup?Npi=1881652592","1881652592")</f>
        <v>1881652592</v>
      </c>
      <c r="E15917" t="s">
        <v>3089</v>
      </c>
    </row>
    <row r="15918" spans="1:5" x14ac:dyDescent="0.25">
      <c r="A15918" t="s">
        <v>2</v>
      </c>
      <c r="B15918" t="s">
        <v>3458</v>
      </c>
      <c r="C15918" t="s">
        <v>23490</v>
      </c>
      <c r="D15918" t="str">
        <f>HYPERLINK("https://rhld.insurance.arkansas.gov/NPILookup?Npi=1881654218","1881654218")</f>
        <v>1881654218</v>
      </c>
      <c r="E15918" t="s">
        <v>18166</v>
      </c>
    </row>
    <row r="15919" spans="1:5" x14ac:dyDescent="0.25">
      <c r="A15919" t="s">
        <v>2</v>
      </c>
      <c r="B15919" t="s">
        <v>3458</v>
      </c>
      <c r="C15919" t="s">
        <v>23490</v>
      </c>
      <c r="D15919" t="str">
        <f>HYPERLINK("https://rhld.insurance.arkansas.gov/NPILookup?Npi=1881658623","1881658623")</f>
        <v>1881658623</v>
      </c>
      <c r="E15919" t="s">
        <v>3090</v>
      </c>
    </row>
    <row r="15920" spans="1:5" x14ac:dyDescent="0.25">
      <c r="A15920" t="s">
        <v>2</v>
      </c>
      <c r="B15920" t="s">
        <v>3458</v>
      </c>
      <c r="C15920" t="s">
        <v>23490</v>
      </c>
      <c r="D15920" t="str">
        <f>HYPERLINK("https://rhld.insurance.arkansas.gov/NPILookup?Npi=1881660058","1881660058")</f>
        <v>1881660058</v>
      </c>
      <c r="E15920" t="s">
        <v>3091</v>
      </c>
    </row>
    <row r="15921" spans="1:5" x14ac:dyDescent="0.25">
      <c r="A15921" t="s">
        <v>2</v>
      </c>
      <c r="B15921" t="s">
        <v>3458</v>
      </c>
      <c r="C15921" t="s">
        <v>23490</v>
      </c>
      <c r="D15921" t="str">
        <f>HYPERLINK("https://rhld.insurance.arkansas.gov/NPILookup?Npi=1881660223","1881660223")</f>
        <v>1881660223</v>
      </c>
      <c r="E15921" t="s">
        <v>3991</v>
      </c>
    </row>
    <row r="15922" spans="1:5" x14ac:dyDescent="0.25">
      <c r="A15922" t="s">
        <v>2</v>
      </c>
      <c r="B15922" t="s">
        <v>3458</v>
      </c>
      <c r="C15922" t="s">
        <v>23490</v>
      </c>
      <c r="D15922" t="str">
        <f>HYPERLINK("https://rhld.insurance.arkansas.gov/NPILookup?Npi=1881660777","1881660777")</f>
        <v>1881660777</v>
      </c>
      <c r="E15922" t="s">
        <v>11353</v>
      </c>
    </row>
    <row r="15923" spans="1:5" x14ac:dyDescent="0.25">
      <c r="A15923" t="s">
        <v>2</v>
      </c>
      <c r="B15923" t="s">
        <v>3458</v>
      </c>
      <c r="C15923" t="s">
        <v>23490</v>
      </c>
      <c r="D15923" t="str">
        <f>HYPERLINK("https://rhld.insurance.arkansas.gov/NPILookup?Npi=1881667269","1881667269")</f>
        <v>1881667269</v>
      </c>
      <c r="E15923" t="s">
        <v>11354</v>
      </c>
    </row>
    <row r="15924" spans="1:5" x14ac:dyDescent="0.25">
      <c r="A15924" t="s">
        <v>2</v>
      </c>
      <c r="B15924" t="s">
        <v>3458</v>
      </c>
      <c r="C15924" t="s">
        <v>23490</v>
      </c>
      <c r="D15924" t="str">
        <f>HYPERLINK("https://rhld.insurance.arkansas.gov/NPILookup?Npi=1881671501","1881671501")</f>
        <v>1881671501</v>
      </c>
      <c r="E15924" t="s">
        <v>3992</v>
      </c>
    </row>
    <row r="15925" spans="1:5" x14ac:dyDescent="0.25">
      <c r="A15925" t="s">
        <v>2</v>
      </c>
      <c r="B15925" t="s">
        <v>3458</v>
      </c>
      <c r="C15925" t="s">
        <v>23490</v>
      </c>
      <c r="D15925" t="str">
        <f>HYPERLINK("https://rhld.insurance.arkansas.gov/NPILookup?Npi=1881672152","1881672152")</f>
        <v>1881672152</v>
      </c>
      <c r="E15925" t="s">
        <v>3093</v>
      </c>
    </row>
    <row r="15926" spans="1:5" x14ac:dyDescent="0.25">
      <c r="A15926" t="s">
        <v>2</v>
      </c>
      <c r="B15926" t="s">
        <v>3458</v>
      </c>
      <c r="C15926" t="s">
        <v>23490</v>
      </c>
      <c r="D15926" t="str">
        <f>HYPERLINK("https://rhld.insurance.arkansas.gov/NPILookup?Npi=1881672418","1881672418")</f>
        <v>1881672418</v>
      </c>
      <c r="E15926" t="s">
        <v>3993</v>
      </c>
    </row>
    <row r="15927" spans="1:5" x14ac:dyDescent="0.25">
      <c r="A15927" t="s">
        <v>2</v>
      </c>
      <c r="B15927" t="s">
        <v>3458</v>
      </c>
      <c r="C15927" t="s">
        <v>23490</v>
      </c>
      <c r="D15927" t="str">
        <f>HYPERLINK("https://rhld.insurance.arkansas.gov/NPILookup?Npi=1881676526","1881676526")</f>
        <v>1881676526</v>
      </c>
      <c r="E15927" t="s">
        <v>3095</v>
      </c>
    </row>
    <row r="15928" spans="1:5" x14ac:dyDescent="0.25">
      <c r="A15928" t="s">
        <v>2</v>
      </c>
      <c r="B15928" t="s">
        <v>3458</v>
      </c>
      <c r="C15928" t="s">
        <v>23490</v>
      </c>
      <c r="D15928" t="str">
        <f>HYPERLINK("https://rhld.insurance.arkansas.gov/NPILookup?Npi=1881677797","1881677797")</f>
        <v>1881677797</v>
      </c>
      <c r="E15928" t="s">
        <v>11355</v>
      </c>
    </row>
    <row r="15929" spans="1:5" x14ac:dyDescent="0.25">
      <c r="A15929" t="s">
        <v>2</v>
      </c>
      <c r="B15929" t="s">
        <v>3458</v>
      </c>
      <c r="C15929" t="s">
        <v>23490</v>
      </c>
      <c r="D15929" t="str">
        <f>HYPERLINK("https://rhld.insurance.arkansas.gov/NPILookup?Npi=1881681799","1881681799")</f>
        <v>1881681799</v>
      </c>
      <c r="E15929" t="s">
        <v>3994</v>
      </c>
    </row>
    <row r="15930" spans="1:5" x14ac:dyDescent="0.25">
      <c r="A15930" t="s">
        <v>2</v>
      </c>
      <c r="B15930" t="s">
        <v>3458</v>
      </c>
      <c r="C15930" t="s">
        <v>23490</v>
      </c>
      <c r="D15930" t="str">
        <f>HYPERLINK("https://rhld.insurance.arkansas.gov/NPILookup?Npi=1881681864","1881681864")</f>
        <v>1881681864</v>
      </c>
      <c r="E15930" t="s">
        <v>3096</v>
      </c>
    </row>
    <row r="15931" spans="1:5" x14ac:dyDescent="0.25">
      <c r="A15931" t="s">
        <v>2</v>
      </c>
      <c r="B15931" t="s">
        <v>3458</v>
      </c>
      <c r="C15931" t="s">
        <v>23490</v>
      </c>
      <c r="D15931" t="str">
        <f>HYPERLINK("https://rhld.insurance.arkansas.gov/NPILookup?Npi=1881686962","1881686962")</f>
        <v>1881686962</v>
      </c>
      <c r="E15931" t="s">
        <v>3097</v>
      </c>
    </row>
    <row r="15932" spans="1:5" x14ac:dyDescent="0.25">
      <c r="A15932" t="s">
        <v>2</v>
      </c>
      <c r="B15932" t="s">
        <v>3458</v>
      </c>
      <c r="C15932" t="s">
        <v>23490</v>
      </c>
      <c r="D15932" t="str">
        <f>HYPERLINK("https://rhld.insurance.arkansas.gov/NPILookup?Npi=1881688802","1881688802")</f>
        <v>1881688802</v>
      </c>
      <c r="E15932" t="s">
        <v>3995</v>
      </c>
    </row>
    <row r="15933" spans="1:5" x14ac:dyDescent="0.25">
      <c r="A15933" t="s">
        <v>2</v>
      </c>
      <c r="B15933" t="s">
        <v>3458</v>
      </c>
      <c r="C15933" t="s">
        <v>23490</v>
      </c>
      <c r="D15933" t="str">
        <f>HYPERLINK("https://rhld.insurance.arkansas.gov/NPILookup?Npi=1881689933","1881689933")</f>
        <v>1881689933</v>
      </c>
      <c r="E15933" t="s">
        <v>15679</v>
      </c>
    </row>
    <row r="15934" spans="1:5" x14ac:dyDescent="0.25">
      <c r="A15934" t="s">
        <v>2</v>
      </c>
      <c r="B15934" t="s">
        <v>3458</v>
      </c>
      <c r="C15934" t="s">
        <v>23490</v>
      </c>
      <c r="D15934" t="str">
        <f>HYPERLINK("https://rhld.insurance.arkansas.gov/NPILookup?Npi=1881690477","1881690477")</f>
        <v>1881690477</v>
      </c>
      <c r="E15934" t="s">
        <v>3098</v>
      </c>
    </row>
    <row r="15935" spans="1:5" x14ac:dyDescent="0.25">
      <c r="A15935" t="s">
        <v>2</v>
      </c>
      <c r="B15935" t="s">
        <v>3458</v>
      </c>
      <c r="C15935" t="s">
        <v>23490</v>
      </c>
      <c r="D15935" t="str">
        <f>HYPERLINK("https://rhld.insurance.arkansas.gov/NPILookup?Npi=1881699320","1881699320")</f>
        <v>1881699320</v>
      </c>
      <c r="E15935" t="s">
        <v>3996</v>
      </c>
    </row>
    <row r="15936" spans="1:5" x14ac:dyDescent="0.25">
      <c r="A15936" t="s">
        <v>2</v>
      </c>
      <c r="B15936" t="s">
        <v>3458</v>
      </c>
      <c r="C15936" t="s">
        <v>23490</v>
      </c>
      <c r="D15936" t="str">
        <f>HYPERLINK("https://rhld.insurance.arkansas.gov/NPILookup?Npi=1881725125","1881725125")</f>
        <v>1881725125</v>
      </c>
      <c r="E15936" t="s">
        <v>8904</v>
      </c>
    </row>
    <row r="15937" spans="1:5" x14ac:dyDescent="0.25">
      <c r="A15937" t="s">
        <v>2</v>
      </c>
      <c r="B15937" t="s">
        <v>3458</v>
      </c>
      <c r="C15937" t="s">
        <v>23490</v>
      </c>
      <c r="D15937" t="str">
        <f>HYPERLINK("https://rhld.insurance.arkansas.gov/NPILookup?Npi=1881725976","1881725976")</f>
        <v>1881725976</v>
      </c>
      <c r="E15937" t="s">
        <v>15508</v>
      </c>
    </row>
    <row r="15938" spans="1:5" x14ac:dyDescent="0.25">
      <c r="A15938" t="s">
        <v>2</v>
      </c>
      <c r="B15938" t="s">
        <v>3458</v>
      </c>
      <c r="C15938" t="s">
        <v>23490</v>
      </c>
      <c r="D15938" t="str">
        <f>HYPERLINK("https://rhld.insurance.arkansas.gov/NPILookup?Npi=1881734440","1881734440")</f>
        <v>1881734440</v>
      </c>
      <c r="E15938" t="s">
        <v>11356</v>
      </c>
    </row>
    <row r="15939" spans="1:5" x14ac:dyDescent="0.25">
      <c r="A15939" t="s">
        <v>2</v>
      </c>
      <c r="B15939" t="s">
        <v>3458</v>
      </c>
      <c r="C15939" t="s">
        <v>23490</v>
      </c>
      <c r="D15939" t="str">
        <f>HYPERLINK("https://rhld.insurance.arkansas.gov/NPILookup?Npi=1881752939","1881752939")</f>
        <v>1881752939</v>
      </c>
      <c r="E15939" t="s">
        <v>3997</v>
      </c>
    </row>
    <row r="15940" spans="1:5" x14ac:dyDescent="0.25">
      <c r="A15940" t="s">
        <v>2</v>
      </c>
      <c r="B15940" t="s">
        <v>3458</v>
      </c>
      <c r="C15940" t="s">
        <v>23490</v>
      </c>
      <c r="D15940" t="str">
        <f>HYPERLINK("https://rhld.insurance.arkansas.gov/NPILookup?Npi=1881773216","1881773216")</f>
        <v>1881773216</v>
      </c>
      <c r="E15940" t="s">
        <v>3101</v>
      </c>
    </row>
    <row r="15941" spans="1:5" x14ac:dyDescent="0.25">
      <c r="A15941" t="s">
        <v>2</v>
      </c>
      <c r="B15941" t="s">
        <v>3458</v>
      </c>
      <c r="C15941" t="s">
        <v>23490</v>
      </c>
      <c r="D15941" t="str">
        <f>HYPERLINK("https://rhld.insurance.arkansas.gov/NPILookup?Npi=1881773661","1881773661")</f>
        <v>1881773661</v>
      </c>
      <c r="E15941" t="s">
        <v>15917</v>
      </c>
    </row>
    <row r="15942" spans="1:5" x14ac:dyDescent="0.25">
      <c r="A15942" t="s">
        <v>2</v>
      </c>
      <c r="B15942" t="s">
        <v>3458</v>
      </c>
      <c r="C15942" t="s">
        <v>23490</v>
      </c>
      <c r="D15942" t="str">
        <f>HYPERLINK("https://rhld.insurance.arkansas.gov/NPILookup?Npi=1881784650","1881784650")</f>
        <v>1881784650</v>
      </c>
      <c r="E15942" t="s">
        <v>3998</v>
      </c>
    </row>
    <row r="15943" spans="1:5" x14ac:dyDescent="0.25">
      <c r="A15943" t="s">
        <v>2</v>
      </c>
      <c r="B15943" t="s">
        <v>3458</v>
      </c>
      <c r="C15943" t="s">
        <v>23490</v>
      </c>
      <c r="D15943" t="str">
        <f>HYPERLINK("https://rhld.insurance.arkansas.gov/NPILookup?Npi=1881788453","1881788453")</f>
        <v>1881788453</v>
      </c>
      <c r="E15943" t="s">
        <v>3102</v>
      </c>
    </row>
    <row r="15944" spans="1:5" x14ac:dyDescent="0.25">
      <c r="A15944" t="s">
        <v>2</v>
      </c>
      <c r="B15944" t="s">
        <v>3458</v>
      </c>
      <c r="C15944" t="s">
        <v>23490</v>
      </c>
      <c r="D15944" t="str">
        <f>HYPERLINK("https://rhld.insurance.arkansas.gov/NPILookup?Npi=1881813111","1881813111")</f>
        <v>1881813111</v>
      </c>
      <c r="E15944" t="s">
        <v>3999</v>
      </c>
    </row>
    <row r="15945" spans="1:5" x14ac:dyDescent="0.25">
      <c r="A15945" t="s">
        <v>2</v>
      </c>
      <c r="B15945" t="s">
        <v>3458</v>
      </c>
      <c r="C15945" t="s">
        <v>23490</v>
      </c>
      <c r="D15945" t="str">
        <f>HYPERLINK("https://rhld.insurance.arkansas.gov/NPILookup?Npi=1881815017","1881815017")</f>
        <v>1881815017</v>
      </c>
      <c r="E15945" t="s">
        <v>3103</v>
      </c>
    </row>
    <row r="15946" spans="1:5" x14ac:dyDescent="0.25">
      <c r="A15946" t="s">
        <v>2</v>
      </c>
      <c r="B15946" t="s">
        <v>3458</v>
      </c>
      <c r="C15946" t="s">
        <v>23490</v>
      </c>
      <c r="D15946" t="str">
        <f>HYPERLINK("https://rhld.insurance.arkansas.gov/NPILookup?Npi=1881845758","1881845758")</f>
        <v>1881845758</v>
      </c>
      <c r="E15946" t="s">
        <v>3104</v>
      </c>
    </row>
    <row r="15947" spans="1:5" x14ac:dyDescent="0.25">
      <c r="A15947" t="s">
        <v>2</v>
      </c>
      <c r="B15947" t="s">
        <v>3458</v>
      </c>
      <c r="C15947" t="s">
        <v>23490</v>
      </c>
      <c r="D15947" t="str">
        <f>HYPERLINK("https://rhld.insurance.arkansas.gov/NPILookup?Npi=1881850345","1881850345")</f>
        <v>1881850345</v>
      </c>
      <c r="E15947" t="s">
        <v>8905</v>
      </c>
    </row>
    <row r="15948" spans="1:5" x14ac:dyDescent="0.25">
      <c r="A15948" t="s">
        <v>2</v>
      </c>
      <c r="B15948" t="s">
        <v>3458</v>
      </c>
      <c r="C15948" t="s">
        <v>23490</v>
      </c>
      <c r="D15948" t="str">
        <f>HYPERLINK("https://rhld.insurance.arkansas.gov/NPILookup?Npi=1881859353","1881859353")</f>
        <v>1881859353</v>
      </c>
      <c r="E15948" t="s">
        <v>18167</v>
      </c>
    </row>
    <row r="15949" spans="1:5" x14ac:dyDescent="0.25">
      <c r="A15949" t="s">
        <v>2</v>
      </c>
      <c r="B15949" t="s">
        <v>3458</v>
      </c>
      <c r="C15949" t="s">
        <v>23490</v>
      </c>
      <c r="D15949" t="str">
        <f>HYPERLINK("https://rhld.insurance.arkansas.gov/NPILookup?Npi=1881870236","1881870236")</f>
        <v>1881870236</v>
      </c>
      <c r="E15949" t="s">
        <v>4000</v>
      </c>
    </row>
    <row r="15950" spans="1:5" x14ac:dyDescent="0.25">
      <c r="A15950" t="s">
        <v>2</v>
      </c>
      <c r="B15950" t="s">
        <v>3458</v>
      </c>
      <c r="C15950" t="s">
        <v>23490</v>
      </c>
      <c r="D15950" t="str">
        <f>HYPERLINK("https://rhld.insurance.arkansas.gov/NPILookup?Npi=1881874394","1881874394")</f>
        <v>1881874394</v>
      </c>
      <c r="E15950" t="s">
        <v>3105</v>
      </c>
    </row>
    <row r="15951" spans="1:5" x14ac:dyDescent="0.25">
      <c r="A15951" t="s">
        <v>2</v>
      </c>
      <c r="B15951" t="s">
        <v>3458</v>
      </c>
      <c r="C15951" t="s">
        <v>23490</v>
      </c>
      <c r="D15951" t="str">
        <f>HYPERLINK("https://rhld.insurance.arkansas.gov/NPILookup?Npi=1881878064","1881878064")</f>
        <v>1881878064</v>
      </c>
      <c r="E15951" t="s">
        <v>3106</v>
      </c>
    </row>
    <row r="15952" spans="1:5" x14ac:dyDescent="0.25">
      <c r="A15952" t="s">
        <v>2</v>
      </c>
      <c r="B15952" t="s">
        <v>3458</v>
      </c>
      <c r="C15952" t="s">
        <v>23490</v>
      </c>
      <c r="D15952" t="str">
        <f>HYPERLINK("https://rhld.insurance.arkansas.gov/NPILookup?Npi=1881888980","1881888980")</f>
        <v>1881888980</v>
      </c>
      <c r="E15952" t="s">
        <v>8906</v>
      </c>
    </row>
    <row r="15953" spans="1:5" x14ac:dyDescent="0.25">
      <c r="A15953" t="s">
        <v>2</v>
      </c>
      <c r="B15953" t="s">
        <v>3458</v>
      </c>
      <c r="C15953" t="s">
        <v>23490</v>
      </c>
      <c r="D15953" t="str">
        <f>HYPERLINK("https://rhld.insurance.arkansas.gov/NPILookup?Npi=1881892065","1881892065")</f>
        <v>1881892065</v>
      </c>
      <c r="E15953" t="s">
        <v>3107</v>
      </c>
    </row>
    <row r="15954" spans="1:5" x14ac:dyDescent="0.25">
      <c r="A15954" t="s">
        <v>2</v>
      </c>
      <c r="B15954" t="s">
        <v>3458</v>
      </c>
      <c r="C15954" t="s">
        <v>23490</v>
      </c>
      <c r="D15954" t="str">
        <f>HYPERLINK("https://rhld.insurance.arkansas.gov/NPILookup?Npi=1881899771","1881899771")</f>
        <v>1881899771</v>
      </c>
      <c r="E15954" t="s">
        <v>3108</v>
      </c>
    </row>
    <row r="15955" spans="1:5" x14ac:dyDescent="0.25">
      <c r="A15955" t="s">
        <v>2</v>
      </c>
      <c r="B15955" t="s">
        <v>3458</v>
      </c>
      <c r="C15955" t="s">
        <v>23490</v>
      </c>
      <c r="D15955" t="str">
        <f>HYPERLINK("https://rhld.insurance.arkansas.gov/NPILookup?Npi=1881936797","1881936797")</f>
        <v>1881936797</v>
      </c>
      <c r="E15955" t="s">
        <v>17046</v>
      </c>
    </row>
    <row r="15956" spans="1:5" x14ac:dyDescent="0.25">
      <c r="A15956" t="s">
        <v>2</v>
      </c>
      <c r="B15956" t="s">
        <v>3458</v>
      </c>
      <c r="C15956" t="s">
        <v>23490</v>
      </c>
      <c r="D15956" t="str">
        <f>HYPERLINK("https://rhld.insurance.arkansas.gov/NPILookup?Npi=1881943090","1881943090")</f>
        <v>1881943090</v>
      </c>
      <c r="E15956" t="s">
        <v>13881</v>
      </c>
    </row>
    <row r="15957" spans="1:5" x14ac:dyDescent="0.25">
      <c r="A15957" t="s">
        <v>2</v>
      </c>
      <c r="B15957" t="s">
        <v>3458</v>
      </c>
      <c r="C15957" t="s">
        <v>23490</v>
      </c>
      <c r="D15957" t="str">
        <f>HYPERLINK("https://rhld.insurance.arkansas.gov/NPILookup?Npi=1881954469","1881954469")</f>
        <v>1881954469</v>
      </c>
      <c r="E15957" t="s">
        <v>15681</v>
      </c>
    </row>
    <row r="15958" spans="1:5" x14ac:dyDescent="0.25">
      <c r="A15958" t="s">
        <v>2</v>
      </c>
      <c r="B15958" t="s">
        <v>3458</v>
      </c>
      <c r="C15958" t="s">
        <v>23490</v>
      </c>
      <c r="D15958" t="str">
        <f>HYPERLINK("https://rhld.insurance.arkansas.gov/NPILookup?Npi=1881962686","1881962686")</f>
        <v>1881962686</v>
      </c>
      <c r="E15958" t="s">
        <v>8908</v>
      </c>
    </row>
    <row r="15959" spans="1:5" x14ac:dyDescent="0.25">
      <c r="A15959" t="s">
        <v>2</v>
      </c>
      <c r="B15959" t="s">
        <v>3458</v>
      </c>
      <c r="C15959" t="s">
        <v>23490</v>
      </c>
      <c r="D15959" t="str">
        <f>HYPERLINK("https://rhld.insurance.arkansas.gov/NPILookup?Npi=1881974012","1881974012")</f>
        <v>1881974012</v>
      </c>
      <c r="E15959" t="s">
        <v>11487</v>
      </c>
    </row>
    <row r="15960" spans="1:5" x14ac:dyDescent="0.25">
      <c r="A15960" t="s">
        <v>2</v>
      </c>
      <c r="B15960" t="s">
        <v>3458</v>
      </c>
      <c r="C15960" t="s">
        <v>23490</v>
      </c>
      <c r="D15960" t="str">
        <f>HYPERLINK("https://rhld.insurance.arkansas.gov/NPILookup?Npi=1881983112","1881983112")</f>
        <v>1881983112</v>
      </c>
      <c r="E15960" t="s">
        <v>3110</v>
      </c>
    </row>
    <row r="15961" spans="1:5" x14ac:dyDescent="0.25">
      <c r="A15961" t="s">
        <v>2</v>
      </c>
      <c r="B15961" t="s">
        <v>3458</v>
      </c>
      <c r="C15961" t="s">
        <v>23490</v>
      </c>
      <c r="D15961" t="str">
        <f>HYPERLINK("https://rhld.insurance.arkansas.gov/NPILookup?Npi=1881994440","1881994440")</f>
        <v>1881994440</v>
      </c>
      <c r="E15961" t="s">
        <v>3111</v>
      </c>
    </row>
    <row r="15962" spans="1:5" x14ac:dyDescent="0.25">
      <c r="A15962" t="s">
        <v>2</v>
      </c>
      <c r="B15962" t="s">
        <v>3458</v>
      </c>
      <c r="C15962" t="s">
        <v>23490</v>
      </c>
      <c r="D15962" t="str">
        <f>HYPERLINK("https://rhld.insurance.arkansas.gov/NPILookup?Npi=1891012589","1891012589")</f>
        <v>1891012589</v>
      </c>
      <c r="E15962" t="s">
        <v>4001</v>
      </c>
    </row>
    <row r="15963" spans="1:5" x14ac:dyDescent="0.25">
      <c r="A15963" t="s">
        <v>2</v>
      </c>
      <c r="B15963" t="s">
        <v>3458</v>
      </c>
      <c r="C15963" t="s">
        <v>23490</v>
      </c>
      <c r="D15963" t="str">
        <f>HYPERLINK("https://rhld.insurance.arkansas.gov/NPILookup?Npi=1891015442","1891015442")</f>
        <v>1891015442</v>
      </c>
      <c r="E15963" t="s">
        <v>3112</v>
      </c>
    </row>
    <row r="15964" spans="1:5" x14ac:dyDescent="0.25">
      <c r="A15964" t="s">
        <v>2</v>
      </c>
      <c r="B15964" t="s">
        <v>3458</v>
      </c>
      <c r="C15964" t="s">
        <v>23490</v>
      </c>
      <c r="D15964" t="str">
        <f>HYPERLINK("https://rhld.insurance.arkansas.gov/NPILookup?Npi=1891015467","1891015467")</f>
        <v>1891015467</v>
      </c>
      <c r="E15964" t="s">
        <v>20101</v>
      </c>
    </row>
    <row r="15965" spans="1:5" x14ac:dyDescent="0.25">
      <c r="A15965" t="s">
        <v>2</v>
      </c>
      <c r="B15965" t="s">
        <v>3458</v>
      </c>
      <c r="C15965" t="s">
        <v>23490</v>
      </c>
      <c r="D15965" t="str">
        <f>HYPERLINK("https://rhld.insurance.arkansas.gov/NPILookup?Npi=1891018370","1891018370")</f>
        <v>1891018370</v>
      </c>
      <c r="E15965" t="s">
        <v>3113</v>
      </c>
    </row>
    <row r="15966" spans="1:5" x14ac:dyDescent="0.25">
      <c r="A15966" t="s">
        <v>2</v>
      </c>
      <c r="B15966" t="s">
        <v>3458</v>
      </c>
      <c r="C15966" t="s">
        <v>23490</v>
      </c>
      <c r="D15966" t="str">
        <f>HYPERLINK("https://rhld.insurance.arkansas.gov/NPILookup?Npi=1891019774","1891019774")</f>
        <v>1891019774</v>
      </c>
      <c r="E15966" t="s">
        <v>3114</v>
      </c>
    </row>
    <row r="15967" spans="1:5" x14ac:dyDescent="0.25">
      <c r="A15967" t="s">
        <v>2</v>
      </c>
      <c r="B15967" t="s">
        <v>3458</v>
      </c>
      <c r="C15967" t="s">
        <v>23490</v>
      </c>
      <c r="D15967" t="str">
        <f>HYPERLINK("https://rhld.insurance.arkansas.gov/NPILookup?Npi=1891043105","1891043105")</f>
        <v>1891043105</v>
      </c>
      <c r="E15967" t="s">
        <v>3117</v>
      </c>
    </row>
    <row r="15968" spans="1:5" x14ac:dyDescent="0.25">
      <c r="A15968" t="s">
        <v>2</v>
      </c>
      <c r="B15968" t="s">
        <v>3458</v>
      </c>
      <c r="C15968" t="s">
        <v>23490</v>
      </c>
      <c r="D15968" t="str">
        <f>HYPERLINK("https://rhld.insurance.arkansas.gov/NPILookup?Npi=1891057691","1891057691")</f>
        <v>1891057691</v>
      </c>
      <c r="E15968" t="s">
        <v>8909</v>
      </c>
    </row>
    <row r="15969" spans="1:5" x14ac:dyDescent="0.25">
      <c r="A15969" t="s">
        <v>2</v>
      </c>
      <c r="B15969" t="s">
        <v>3458</v>
      </c>
      <c r="C15969" t="s">
        <v>23490</v>
      </c>
      <c r="D15969" t="str">
        <f>HYPERLINK("https://rhld.insurance.arkansas.gov/NPILookup?Npi=1891057964","1891057964")</f>
        <v>1891057964</v>
      </c>
      <c r="E15969" t="s">
        <v>15683</v>
      </c>
    </row>
    <row r="15970" spans="1:5" x14ac:dyDescent="0.25">
      <c r="A15970" t="s">
        <v>2</v>
      </c>
      <c r="B15970" t="s">
        <v>3458</v>
      </c>
      <c r="C15970" t="s">
        <v>23490</v>
      </c>
      <c r="D15970" t="str">
        <f>HYPERLINK("https://rhld.insurance.arkansas.gov/NPILookup?Npi=1891074308","1891074308")</f>
        <v>1891074308</v>
      </c>
      <c r="E15970" t="s">
        <v>3119</v>
      </c>
    </row>
    <row r="15971" spans="1:5" x14ac:dyDescent="0.25">
      <c r="A15971" t="s">
        <v>2</v>
      </c>
      <c r="B15971" t="s">
        <v>3458</v>
      </c>
      <c r="C15971" t="s">
        <v>23490</v>
      </c>
      <c r="D15971" t="str">
        <f>HYPERLINK("https://rhld.insurance.arkansas.gov/NPILookup?Npi=1891084943","1891084943")</f>
        <v>1891084943</v>
      </c>
      <c r="E15971" t="s">
        <v>15684</v>
      </c>
    </row>
    <row r="15972" spans="1:5" x14ac:dyDescent="0.25">
      <c r="A15972" t="s">
        <v>2</v>
      </c>
      <c r="B15972" t="s">
        <v>3458</v>
      </c>
      <c r="C15972" t="s">
        <v>23490</v>
      </c>
      <c r="D15972" t="str">
        <f>HYPERLINK("https://rhld.insurance.arkansas.gov/NPILookup?Npi=1891094272","1891094272")</f>
        <v>1891094272</v>
      </c>
      <c r="E15972" t="s">
        <v>8654</v>
      </c>
    </row>
    <row r="15973" spans="1:5" x14ac:dyDescent="0.25">
      <c r="A15973" t="s">
        <v>2</v>
      </c>
      <c r="B15973" t="s">
        <v>3458</v>
      </c>
      <c r="C15973" t="s">
        <v>23490</v>
      </c>
      <c r="D15973" t="str">
        <f>HYPERLINK("https://rhld.insurance.arkansas.gov/NPILookup?Npi=1891103073","1891103073")</f>
        <v>1891103073</v>
      </c>
      <c r="E15973" t="s">
        <v>18168</v>
      </c>
    </row>
    <row r="15974" spans="1:5" x14ac:dyDescent="0.25">
      <c r="A15974" t="s">
        <v>2</v>
      </c>
      <c r="B15974" t="s">
        <v>3458</v>
      </c>
      <c r="C15974" t="s">
        <v>23490</v>
      </c>
      <c r="D15974" t="str">
        <f>HYPERLINK("https://rhld.insurance.arkansas.gov/NPILookup?Npi=1891105136","1891105136")</f>
        <v>1891105136</v>
      </c>
      <c r="E15974" t="s">
        <v>12932</v>
      </c>
    </row>
    <row r="15975" spans="1:5" x14ac:dyDescent="0.25">
      <c r="A15975" t="s">
        <v>2</v>
      </c>
      <c r="B15975" t="s">
        <v>3458</v>
      </c>
      <c r="C15975" t="s">
        <v>23490</v>
      </c>
      <c r="D15975" t="str">
        <f>HYPERLINK("https://rhld.insurance.arkansas.gov/NPILookup?Npi=1891106936","1891106936")</f>
        <v>1891106936</v>
      </c>
      <c r="E15975" t="s">
        <v>15685</v>
      </c>
    </row>
    <row r="15976" spans="1:5" x14ac:dyDescent="0.25">
      <c r="A15976" t="s">
        <v>2</v>
      </c>
      <c r="B15976" t="s">
        <v>3458</v>
      </c>
      <c r="C15976" t="s">
        <v>23490</v>
      </c>
      <c r="D15976" t="str">
        <f>HYPERLINK("https://rhld.insurance.arkansas.gov/NPILookup?Npi=1891115945","1891115945")</f>
        <v>1891115945</v>
      </c>
      <c r="E15976" t="s">
        <v>13772</v>
      </c>
    </row>
    <row r="15977" spans="1:5" x14ac:dyDescent="0.25">
      <c r="A15977" t="s">
        <v>2</v>
      </c>
      <c r="B15977" t="s">
        <v>3458</v>
      </c>
      <c r="C15977" t="s">
        <v>23490</v>
      </c>
      <c r="D15977" t="str">
        <f>HYPERLINK("https://rhld.insurance.arkansas.gov/NPILookup?Npi=1891131157","1891131157")</f>
        <v>1891131157</v>
      </c>
      <c r="E15977" t="s">
        <v>8910</v>
      </c>
    </row>
    <row r="15978" spans="1:5" x14ac:dyDescent="0.25">
      <c r="A15978" t="s">
        <v>2</v>
      </c>
      <c r="B15978" t="s">
        <v>3458</v>
      </c>
      <c r="C15978" t="s">
        <v>23490</v>
      </c>
      <c r="D15978" t="str">
        <f>HYPERLINK("https://rhld.insurance.arkansas.gov/NPILookup?Npi=1891134474","1891134474")</f>
        <v>1891134474</v>
      </c>
      <c r="E15978" t="s">
        <v>11488</v>
      </c>
    </row>
    <row r="15979" spans="1:5" x14ac:dyDescent="0.25">
      <c r="A15979" t="s">
        <v>2</v>
      </c>
      <c r="B15979" t="s">
        <v>3458</v>
      </c>
      <c r="C15979" t="s">
        <v>23490</v>
      </c>
      <c r="D15979" t="str">
        <f>HYPERLINK("https://rhld.insurance.arkansas.gov/NPILookup?Npi=1891138848","1891138848")</f>
        <v>1891138848</v>
      </c>
      <c r="E15979" t="s">
        <v>15687</v>
      </c>
    </row>
    <row r="15980" spans="1:5" x14ac:dyDescent="0.25">
      <c r="A15980" t="s">
        <v>2</v>
      </c>
      <c r="B15980" t="s">
        <v>3458</v>
      </c>
      <c r="C15980" t="s">
        <v>23490</v>
      </c>
      <c r="D15980" t="str">
        <f>HYPERLINK("https://rhld.insurance.arkansas.gov/NPILookup?Npi=1891138947","1891138947")</f>
        <v>1891138947</v>
      </c>
      <c r="E15980" t="s">
        <v>8994</v>
      </c>
    </row>
    <row r="15981" spans="1:5" x14ac:dyDescent="0.25">
      <c r="A15981" t="s">
        <v>2</v>
      </c>
      <c r="B15981" t="s">
        <v>3458</v>
      </c>
      <c r="C15981" t="s">
        <v>23490</v>
      </c>
      <c r="D15981" t="str">
        <f>HYPERLINK("https://rhld.insurance.arkansas.gov/NPILookup?Npi=1891155222","1891155222")</f>
        <v>1891155222</v>
      </c>
      <c r="E15981" t="s">
        <v>8911</v>
      </c>
    </row>
    <row r="15982" spans="1:5" x14ac:dyDescent="0.25">
      <c r="A15982" t="s">
        <v>2</v>
      </c>
      <c r="B15982" t="s">
        <v>3458</v>
      </c>
      <c r="C15982" t="s">
        <v>23490</v>
      </c>
      <c r="D15982" t="str">
        <f>HYPERLINK("https://rhld.insurance.arkansas.gov/NPILookup?Npi=1891165817","1891165817")</f>
        <v>1891165817</v>
      </c>
      <c r="E15982" t="s">
        <v>3120</v>
      </c>
    </row>
    <row r="15983" spans="1:5" x14ac:dyDescent="0.25">
      <c r="A15983" t="s">
        <v>2</v>
      </c>
      <c r="B15983" t="s">
        <v>3458</v>
      </c>
      <c r="C15983" t="s">
        <v>23490</v>
      </c>
      <c r="D15983" t="str">
        <f>HYPERLINK("https://rhld.insurance.arkansas.gov/NPILookup?Npi=1891170676","1891170676")</f>
        <v>1891170676</v>
      </c>
      <c r="E15983" t="s">
        <v>3121</v>
      </c>
    </row>
    <row r="15984" spans="1:5" x14ac:dyDescent="0.25">
      <c r="A15984" t="s">
        <v>2</v>
      </c>
      <c r="B15984" t="s">
        <v>3458</v>
      </c>
      <c r="C15984" t="s">
        <v>23490</v>
      </c>
      <c r="D15984" t="str">
        <f>HYPERLINK("https://rhld.insurance.arkansas.gov/NPILookup?Npi=1891186219","1891186219")</f>
        <v>1891186219</v>
      </c>
      <c r="E15984" t="s">
        <v>8995</v>
      </c>
    </row>
    <row r="15985" spans="1:5" x14ac:dyDescent="0.25">
      <c r="A15985" t="s">
        <v>2</v>
      </c>
      <c r="B15985" t="s">
        <v>3458</v>
      </c>
      <c r="C15985" t="s">
        <v>23490</v>
      </c>
      <c r="D15985" t="str">
        <f>HYPERLINK("https://rhld.insurance.arkansas.gov/NPILookup?Npi=1891186912","1891186912")</f>
        <v>1891186912</v>
      </c>
      <c r="E15985" t="s">
        <v>8912</v>
      </c>
    </row>
    <row r="15986" spans="1:5" x14ac:dyDescent="0.25">
      <c r="A15986" t="s">
        <v>2</v>
      </c>
      <c r="B15986" t="s">
        <v>3458</v>
      </c>
      <c r="C15986" t="s">
        <v>23490</v>
      </c>
      <c r="D15986" t="str">
        <f>HYPERLINK("https://rhld.insurance.arkansas.gov/NPILookup?Npi=1891201588","1891201588")</f>
        <v>1891201588</v>
      </c>
      <c r="E15986" t="s">
        <v>12933</v>
      </c>
    </row>
    <row r="15987" spans="1:5" x14ac:dyDescent="0.25">
      <c r="A15987" t="s">
        <v>2</v>
      </c>
      <c r="B15987" t="s">
        <v>3458</v>
      </c>
      <c r="C15987" t="s">
        <v>23490</v>
      </c>
      <c r="D15987" t="str">
        <f>HYPERLINK("https://rhld.insurance.arkansas.gov/NPILookup?Npi=1891209086","1891209086")</f>
        <v>1891209086</v>
      </c>
      <c r="E15987" t="s">
        <v>13039</v>
      </c>
    </row>
    <row r="15988" spans="1:5" x14ac:dyDescent="0.25">
      <c r="A15988" t="s">
        <v>2</v>
      </c>
      <c r="B15988" t="s">
        <v>3458</v>
      </c>
      <c r="C15988" t="s">
        <v>23490</v>
      </c>
      <c r="D15988" t="str">
        <f>HYPERLINK("https://rhld.insurance.arkansas.gov/NPILookup?Npi=1891238408","1891238408")</f>
        <v>1891238408</v>
      </c>
      <c r="E15988" t="s">
        <v>11357</v>
      </c>
    </row>
    <row r="15989" spans="1:5" x14ac:dyDescent="0.25">
      <c r="A15989" t="s">
        <v>2</v>
      </c>
      <c r="B15989" t="s">
        <v>3458</v>
      </c>
      <c r="C15989" t="s">
        <v>23490</v>
      </c>
      <c r="D15989" t="str">
        <f>HYPERLINK("https://rhld.insurance.arkansas.gov/NPILookup?Npi=1891249645","1891249645")</f>
        <v>1891249645</v>
      </c>
      <c r="E15989" t="s">
        <v>1905</v>
      </c>
    </row>
    <row r="15990" spans="1:5" x14ac:dyDescent="0.25">
      <c r="A15990" t="s">
        <v>2</v>
      </c>
      <c r="B15990" t="s">
        <v>3458</v>
      </c>
      <c r="C15990" t="s">
        <v>23490</v>
      </c>
      <c r="D15990" t="str">
        <f>HYPERLINK("https://rhld.insurance.arkansas.gov/NPILookup?Npi=1891259651","1891259651")</f>
        <v>1891259651</v>
      </c>
      <c r="E15990" t="s">
        <v>20104</v>
      </c>
    </row>
    <row r="15991" spans="1:5" x14ac:dyDescent="0.25">
      <c r="A15991" t="s">
        <v>2</v>
      </c>
      <c r="B15991" t="s">
        <v>3458</v>
      </c>
      <c r="C15991" t="s">
        <v>23490</v>
      </c>
      <c r="D15991" t="str">
        <f>HYPERLINK("https://rhld.insurance.arkansas.gov/NPILookup?Npi=1891273652","1891273652")</f>
        <v>1891273652</v>
      </c>
      <c r="E15991" t="s">
        <v>15688</v>
      </c>
    </row>
    <row r="15992" spans="1:5" x14ac:dyDescent="0.25">
      <c r="A15992" t="s">
        <v>2</v>
      </c>
      <c r="B15992" t="s">
        <v>3458</v>
      </c>
      <c r="C15992" t="s">
        <v>23490</v>
      </c>
      <c r="D15992" t="str">
        <f>HYPERLINK("https://rhld.insurance.arkansas.gov/NPILookup?Npi=1891281622","1891281622")</f>
        <v>1891281622</v>
      </c>
      <c r="E15992" t="s">
        <v>13773</v>
      </c>
    </row>
    <row r="15993" spans="1:5" x14ac:dyDescent="0.25">
      <c r="A15993" t="s">
        <v>2</v>
      </c>
      <c r="B15993" t="s">
        <v>3458</v>
      </c>
      <c r="C15993" t="s">
        <v>23490</v>
      </c>
      <c r="D15993" t="str">
        <f>HYPERLINK("https://rhld.insurance.arkansas.gov/NPILookup?Npi=1891294443","1891294443")</f>
        <v>1891294443</v>
      </c>
      <c r="E15993" t="s">
        <v>8338</v>
      </c>
    </row>
    <row r="15994" spans="1:5" x14ac:dyDescent="0.25">
      <c r="A15994" t="s">
        <v>2</v>
      </c>
      <c r="B15994" t="s">
        <v>3458</v>
      </c>
      <c r="C15994" t="s">
        <v>23490</v>
      </c>
      <c r="D15994" t="str">
        <f>HYPERLINK("https://rhld.insurance.arkansas.gov/NPILookup?Npi=1891307054","1891307054")</f>
        <v>1891307054</v>
      </c>
      <c r="E15994" t="s">
        <v>18893</v>
      </c>
    </row>
    <row r="15995" spans="1:5" x14ac:dyDescent="0.25">
      <c r="A15995" t="s">
        <v>2</v>
      </c>
      <c r="B15995" t="s">
        <v>3458</v>
      </c>
      <c r="C15995" t="s">
        <v>23490</v>
      </c>
      <c r="D15995" t="str">
        <f>HYPERLINK("https://rhld.insurance.arkansas.gov/NPILookup?Npi=1891308839","1891308839")</f>
        <v>1891308839</v>
      </c>
      <c r="E15995" t="s">
        <v>18170</v>
      </c>
    </row>
    <row r="15996" spans="1:5" x14ac:dyDescent="0.25">
      <c r="A15996" t="s">
        <v>2</v>
      </c>
      <c r="B15996" t="s">
        <v>3458</v>
      </c>
      <c r="C15996" t="s">
        <v>8427</v>
      </c>
      <c r="D15996" t="str">
        <f>HYPERLINK("https://rhld.insurance.arkansas.gov/NPILookup?Npi=1891315008","1891315008")</f>
        <v>1891315008</v>
      </c>
      <c r="E15996" t="s">
        <v>23003</v>
      </c>
    </row>
    <row r="15997" spans="1:5" x14ac:dyDescent="0.25">
      <c r="A15997" t="s">
        <v>2</v>
      </c>
      <c r="B15997" t="s">
        <v>3458</v>
      </c>
      <c r="C15997" t="s">
        <v>23490</v>
      </c>
      <c r="D15997" t="str">
        <f>HYPERLINK("https://rhld.insurance.arkansas.gov/NPILookup?Npi=1891324216","1891324216")</f>
        <v>1891324216</v>
      </c>
      <c r="E15997" t="s">
        <v>20106</v>
      </c>
    </row>
    <row r="15998" spans="1:5" x14ac:dyDescent="0.25">
      <c r="A15998" t="s">
        <v>2</v>
      </c>
      <c r="B15998" t="s">
        <v>3458</v>
      </c>
      <c r="C15998" t="s">
        <v>23490</v>
      </c>
      <c r="D15998" t="str">
        <f>HYPERLINK("https://rhld.insurance.arkansas.gov/NPILookup?Npi=1891337275","1891337275")</f>
        <v>1891337275</v>
      </c>
      <c r="E15998" t="s">
        <v>18171</v>
      </c>
    </row>
    <row r="15999" spans="1:5" x14ac:dyDescent="0.25">
      <c r="A15999" t="s">
        <v>2</v>
      </c>
      <c r="B15999" t="s">
        <v>3458</v>
      </c>
      <c r="C15999" t="s">
        <v>23490</v>
      </c>
      <c r="D15999" t="str">
        <f>HYPERLINK("https://rhld.insurance.arkansas.gov/NPILookup?Npi=1891337614","1891337614")</f>
        <v>1891337614</v>
      </c>
      <c r="E15999" t="s">
        <v>20274</v>
      </c>
    </row>
    <row r="16000" spans="1:5" x14ac:dyDescent="0.25">
      <c r="A16000" t="s">
        <v>2</v>
      </c>
      <c r="B16000" t="s">
        <v>3458</v>
      </c>
      <c r="C16000" t="s">
        <v>23490</v>
      </c>
      <c r="D16000" t="str">
        <f>HYPERLINK("https://rhld.insurance.arkansas.gov/NPILookup?Npi=1891346862","1891346862")</f>
        <v>1891346862</v>
      </c>
      <c r="E16000" t="s">
        <v>18894</v>
      </c>
    </row>
    <row r="16001" spans="1:5" x14ac:dyDescent="0.25">
      <c r="A16001" t="s">
        <v>2</v>
      </c>
      <c r="B16001" t="s">
        <v>3458</v>
      </c>
      <c r="C16001" t="s">
        <v>23490</v>
      </c>
      <c r="D16001" t="str">
        <f>HYPERLINK("https://rhld.insurance.arkansas.gov/NPILookup?Npi=1891363081","1891363081")</f>
        <v>1891363081</v>
      </c>
      <c r="E16001" t="s">
        <v>21673</v>
      </c>
    </row>
    <row r="16002" spans="1:5" x14ac:dyDescent="0.25">
      <c r="A16002" t="s">
        <v>2</v>
      </c>
      <c r="B16002" t="s">
        <v>3458</v>
      </c>
      <c r="C16002" t="s">
        <v>23490</v>
      </c>
      <c r="D16002" t="str">
        <f>HYPERLINK("https://rhld.insurance.arkansas.gov/NPILookup?Npi=1891367314","1891367314")</f>
        <v>1891367314</v>
      </c>
      <c r="E16002" t="s">
        <v>18895</v>
      </c>
    </row>
    <row r="16003" spans="1:5" x14ac:dyDescent="0.25">
      <c r="A16003" t="s">
        <v>2</v>
      </c>
      <c r="B16003" t="s">
        <v>3458</v>
      </c>
      <c r="C16003" t="s">
        <v>23490</v>
      </c>
      <c r="D16003" t="str">
        <f>HYPERLINK("https://rhld.insurance.arkansas.gov/NPILookup?Npi=1891375838","1891375838")</f>
        <v>1891375838</v>
      </c>
      <c r="E16003" t="s">
        <v>18172</v>
      </c>
    </row>
    <row r="16004" spans="1:5" x14ac:dyDescent="0.25">
      <c r="A16004" t="s">
        <v>2</v>
      </c>
      <c r="B16004" t="s">
        <v>3458</v>
      </c>
      <c r="C16004" t="s">
        <v>23490</v>
      </c>
      <c r="D16004" t="str">
        <f>HYPERLINK("https://rhld.insurance.arkansas.gov/NPILookup?Npi=1891388666","1891388666")</f>
        <v>1891388666</v>
      </c>
      <c r="E16004" t="s">
        <v>20108</v>
      </c>
    </row>
    <row r="16005" spans="1:5" x14ac:dyDescent="0.25">
      <c r="A16005" t="s">
        <v>2</v>
      </c>
      <c r="B16005" t="s">
        <v>3458</v>
      </c>
      <c r="C16005" t="s">
        <v>23490</v>
      </c>
      <c r="D16005" t="str">
        <f>HYPERLINK("https://rhld.insurance.arkansas.gov/NPILookup?Npi=1891390951","1891390951")</f>
        <v>1891390951</v>
      </c>
      <c r="E16005" t="s">
        <v>16582</v>
      </c>
    </row>
    <row r="16006" spans="1:5" x14ac:dyDescent="0.25">
      <c r="A16006" t="s">
        <v>2</v>
      </c>
      <c r="B16006" t="s">
        <v>3458</v>
      </c>
      <c r="C16006" t="s">
        <v>23490</v>
      </c>
      <c r="D16006" t="str">
        <f>HYPERLINK("https://rhld.insurance.arkansas.gov/NPILookup?Npi=1891409470","1891409470")</f>
        <v>1891409470</v>
      </c>
      <c r="E16006" t="s">
        <v>21675</v>
      </c>
    </row>
    <row r="16007" spans="1:5" x14ac:dyDescent="0.25">
      <c r="A16007" t="s">
        <v>2</v>
      </c>
      <c r="B16007" t="s">
        <v>3458</v>
      </c>
      <c r="C16007" t="s">
        <v>23490</v>
      </c>
      <c r="D16007" t="str">
        <f>HYPERLINK("https://rhld.insurance.arkansas.gov/NPILookup?Npi=1891467726","1891467726")</f>
        <v>1891467726</v>
      </c>
      <c r="E16007" t="s">
        <v>23004</v>
      </c>
    </row>
    <row r="16008" spans="1:5" x14ac:dyDescent="0.25">
      <c r="A16008" t="s">
        <v>2</v>
      </c>
      <c r="B16008" t="s">
        <v>3458</v>
      </c>
      <c r="C16008" t="s">
        <v>23490</v>
      </c>
      <c r="D16008" t="str">
        <f>HYPERLINK("https://rhld.insurance.arkansas.gov/NPILookup?Npi=1891720470","1891720470")</f>
        <v>1891720470</v>
      </c>
      <c r="E16008" t="s">
        <v>3122</v>
      </c>
    </row>
    <row r="16009" spans="1:5" x14ac:dyDescent="0.25">
      <c r="A16009" t="s">
        <v>2</v>
      </c>
      <c r="B16009" t="s">
        <v>3458</v>
      </c>
      <c r="C16009" t="s">
        <v>23490</v>
      </c>
      <c r="D16009" t="str">
        <f>HYPERLINK("https://rhld.insurance.arkansas.gov/NPILookup?Npi=1891735098","1891735098")</f>
        <v>1891735098</v>
      </c>
      <c r="E16009" t="s">
        <v>3123</v>
      </c>
    </row>
    <row r="16010" spans="1:5" x14ac:dyDescent="0.25">
      <c r="A16010" t="s">
        <v>2</v>
      </c>
      <c r="B16010" t="s">
        <v>3458</v>
      </c>
      <c r="C16010" t="s">
        <v>23490</v>
      </c>
      <c r="D16010" t="str">
        <f>HYPERLINK("https://rhld.insurance.arkansas.gov/NPILookup?Npi=1891744876","1891744876")</f>
        <v>1891744876</v>
      </c>
      <c r="E16010" t="s">
        <v>3124</v>
      </c>
    </row>
    <row r="16011" spans="1:5" x14ac:dyDescent="0.25">
      <c r="A16011" t="s">
        <v>2</v>
      </c>
      <c r="B16011" t="s">
        <v>3458</v>
      </c>
      <c r="C16011" t="s">
        <v>23490</v>
      </c>
      <c r="D16011" t="str">
        <f>HYPERLINK("https://rhld.insurance.arkansas.gov/NPILookup?Npi=1891754784","1891754784")</f>
        <v>1891754784</v>
      </c>
      <c r="E16011" t="s">
        <v>3125</v>
      </c>
    </row>
    <row r="16012" spans="1:5" x14ac:dyDescent="0.25">
      <c r="A16012" t="s">
        <v>2</v>
      </c>
      <c r="B16012" t="s">
        <v>3458</v>
      </c>
      <c r="C16012" t="s">
        <v>23490</v>
      </c>
      <c r="D16012" t="str">
        <f>HYPERLINK("https://rhld.insurance.arkansas.gov/NPILookup?Npi=1891757761","1891757761")</f>
        <v>1891757761</v>
      </c>
      <c r="E16012" t="s">
        <v>3126</v>
      </c>
    </row>
    <row r="16013" spans="1:5" x14ac:dyDescent="0.25">
      <c r="A16013" t="s">
        <v>2</v>
      </c>
      <c r="B16013" t="s">
        <v>3458</v>
      </c>
      <c r="C16013" t="s">
        <v>23490</v>
      </c>
      <c r="D16013" t="str">
        <f>HYPERLINK("https://rhld.insurance.arkansas.gov/NPILookup?Npi=1891758074","1891758074")</f>
        <v>1891758074</v>
      </c>
      <c r="E16013" t="s">
        <v>4002</v>
      </c>
    </row>
    <row r="16014" spans="1:5" x14ac:dyDescent="0.25">
      <c r="A16014" t="s">
        <v>2</v>
      </c>
      <c r="B16014" t="s">
        <v>3458</v>
      </c>
      <c r="C16014" t="s">
        <v>23490</v>
      </c>
      <c r="D16014" t="str">
        <f>HYPERLINK("https://rhld.insurance.arkansas.gov/NPILookup?Npi=1891768040","1891768040")</f>
        <v>1891768040</v>
      </c>
      <c r="E16014" t="s">
        <v>3127</v>
      </c>
    </row>
    <row r="16015" spans="1:5" x14ac:dyDescent="0.25">
      <c r="A16015" t="s">
        <v>2</v>
      </c>
      <c r="B16015" t="s">
        <v>3458</v>
      </c>
      <c r="C16015" t="s">
        <v>23490</v>
      </c>
      <c r="D16015" t="str">
        <f>HYPERLINK("https://rhld.insurance.arkansas.gov/NPILookup?Npi=1891772570","1891772570")</f>
        <v>1891772570</v>
      </c>
      <c r="E16015" t="s">
        <v>4003</v>
      </c>
    </row>
    <row r="16016" spans="1:5" x14ac:dyDescent="0.25">
      <c r="A16016" t="s">
        <v>2</v>
      </c>
      <c r="B16016" t="s">
        <v>3458</v>
      </c>
      <c r="C16016" t="s">
        <v>23490</v>
      </c>
      <c r="D16016" t="str">
        <f>HYPERLINK("https://rhld.insurance.arkansas.gov/NPILookup?Npi=1891779674","1891779674")</f>
        <v>1891779674</v>
      </c>
      <c r="E16016" t="s">
        <v>4004</v>
      </c>
    </row>
    <row r="16017" spans="1:5" x14ac:dyDescent="0.25">
      <c r="A16017" t="s">
        <v>2</v>
      </c>
      <c r="B16017" t="s">
        <v>3458</v>
      </c>
      <c r="C16017" t="s">
        <v>23490</v>
      </c>
      <c r="D16017" t="str">
        <f>HYPERLINK("https://rhld.insurance.arkansas.gov/NPILookup?Npi=1891792172","1891792172")</f>
        <v>1891792172</v>
      </c>
      <c r="E16017" t="s">
        <v>866</v>
      </c>
    </row>
    <row r="16018" spans="1:5" x14ac:dyDescent="0.25">
      <c r="A16018" t="s">
        <v>2</v>
      </c>
      <c r="B16018" t="s">
        <v>3458</v>
      </c>
      <c r="C16018" t="s">
        <v>23490</v>
      </c>
      <c r="D16018" t="str">
        <f>HYPERLINK("https://rhld.insurance.arkansas.gov/NPILookup?Npi=1891792883","1891792883")</f>
        <v>1891792883</v>
      </c>
      <c r="E16018" t="s">
        <v>3129</v>
      </c>
    </row>
    <row r="16019" spans="1:5" x14ac:dyDescent="0.25">
      <c r="A16019" t="s">
        <v>2</v>
      </c>
      <c r="B16019" t="s">
        <v>3458</v>
      </c>
      <c r="C16019" t="s">
        <v>23490</v>
      </c>
      <c r="D16019" t="str">
        <f>HYPERLINK("https://rhld.insurance.arkansas.gov/NPILookup?Npi=1891816153","1891816153")</f>
        <v>1891816153</v>
      </c>
      <c r="E16019" t="s">
        <v>3132</v>
      </c>
    </row>
    <row r="16020" spans="1:5" x14ac:dyDescent="0.25">
      <c r="A16020" t="s">
        <v>2</v>
      </c>
      <c r="B16020" t="s">
        <v>3458</v>
      </c>
      <c r="C16020" t="s">
        <v>23490</v>
      </c>
      <c r="D16020" t="str">
        <f>HYPERLINK("https://rhld.insurance.arkansas.gov/NPILookup?Npi=1891826269","1891826269")</f>
        <v>1891826269</v>
      </c>
      <c r="E16020" t="s">
        <v>3134</v>
      </c>
    </row>
    <row r="16021" spans="1:5" x14ac:dyDescent="0.25">
      <c r="A16021" t="s">
        <v>2</v>
      </c>
      <c r="B16021" t="s">
        <v>3458</v>
      </c>
      <c r="C16021" t="s">
        <v>23490</v>
      </c>
      <c r="D16021" t="str">
        <f>HYPERLINK("https://rhld.insurance.arkansas.gov/NPILookup?Npi=1891837134","1891837134")</f>
        <v>1891837134</v>
      </c>
      <c r="E16021" t="s">
        <v>15689</v>
      </c>
    </row>
    <row r="16022" spans="1:5" x14ac:dyDescent="0.25">
      <c r="A16022" t="s">
        <v>2</v>
      </c>
      <c r="B16022" t="s">
        <v>3458</v>
      </c>
      <c r="C16022" t="s">
        <v>23490</v>
      </c>
      <c r="D16022" t="str">
        <f>HYPERLINK("https://rhld.insurance.arkansas.gov/NPILookup?Npi=1891880555","1891880555")</f>
        <v>1891880555</v>
      </c>
      <c r="E16022" t="s">
        <v>3135</v>
      </c>
    </row>
    <row r="16023" spans="1:5" x14ac:dyDescent="0.25">
      <c r="A16023" t="s">
        <v>2</v>
      </c>
      <c r="B16023" t="s">
        <v>3458</v>
      </c>
      <c r="C16023" t="s">
        <v>23490</v>
      </c>
      <c r="D16023" t="str">
        <f>HYPERLINK("https://rhld.insurance.arkansas.gov/NPILookup?Npi=1891882940","1891882940")</f>
        <v>1891882940</v>
      </c>
      <c r="E16023" t="s">
        <v>3136</v>
      </c>
    </row>
    <row r="16024" spans="1:5" x14ac:dyDescent="0.25">
      <c r="A16024" t="s">
        <v>2</v>
      </c>
      <c r="B16024" t="s">
        <v>3458</v>
      </c>
      <c r="C16024" t="s">
        <v>23490</v>
      </c>
      <c r="D16024" t="str">
        <f>HYPERLINK("https://rhld.insurance.arkansas.gov/NPILookup?Npi=1891890406","1891890406")</f>
        <v>1891890406</v>
      </c>
      <c r="E16024" t="s">
        <v>3137</v>
      </c>
    </row>
    <row r="16025" spans="1:5" x14ac:dyDescent="0.25">
      <c r="A16025" t="s">
        <v>2</v>
      </c>
      <c r="B16025" t="s">
        <v>3458</v>
      </c>
      <c r="C16025" t="s">
        <v>23490</v>
      </c>
      <c r="D16025" t="str">
        <f>HYPERLINK("https://rhld.insurance.arkansas.gov/NPILookup?Npi=1891894630","1891894630")</f>
        <v>1891894630</v>
      </c>
      <c r="E16025" t="s">
        <v>3138</v>
      </c>
    </row>
    <row r="16026" spans="1:5" x14ac:dyDescent="0.25">
      <c r="A16026" t="s">
        <v>2</v>
      </c>
      <c r="B16026" t="s">
        <v>3458</v>
      </c>
      <c r="C16026" t="s">
        <v>23490</v>
      </c>
      <c r="D16026" t="str">
        <f>HYPERLINK("https://rhld.insurance.arkansas.gov/NPILookup?Npi=1891908117","1891908117")</f>
        <v>1891908117</v>
      </c>
      <c r="E16026" t="s">
        <v>15690</v>
      </c>
    </row>
    <row r="16027" spans="1:5" x14ac:dyDescent="0.25">
      <c r="A16027" t="s">
        <v>2</v>
      </c>
      <c r="B16027" t="s">
        <v>3458</v>
      </c>
      <c r="C16027" t="s">
        <v>23490</v>
      </c>
      <c r="D16027" t="str">
        <f>HYPERLINK("https://rhld.insurance.arkansas.gov/NPILookup?Npi=1891919049","1891919049")</f>
        <v>1891919049</v>
      </c>
      <c r="E16027" t="s">
        <v>3139</v>
      </c>
    </row>
    <row r="16028" spans="1:5" x14ac:dyDescent="0.25">
      <c r="A16028" t="s">
        <v>2</v>
      </c>
      <c r="B16028" t="s">
        <v>3458</v>
      </c>
      <c r="C16028" t="s">
        <v>23490</v>
      </c>
      <c r="D16028" t="str">
        <f>HYPERLINK("https://rhld.insurance.arkansas.gov/NPILookup?Npi=1891928313","1891928313")</f>
        <v>1891928313</v>
      </c>
      <c r="E16028" t="s">
        <v>15691</v>
      </c>
    </row>
    <row r="16029" spans="1:5" x14ac:dyDescent="0.25">
      <c r="A16029" t="s">
        <v>2</v>
      </c>
      <c r="B16029" t="s">
        <v>3458</v>
      </c>
      <c r="C16029" t="s">
        <v>23490</v>
      </c>
      <c r="D16029" t="str">
        <f>HYPERLINK("https://rhld.insurance.arkansas.gov/NPILookup?Npi=1891938239","1891938239")</f>
        <v>1891938239</v>
      </c>
      <c r="E16029" t="s">
        <v>4005</v>
      </c>
    </row>
    <row r="16030" spans="1:5" x14ac:dyDescent="0.25">
      <c r="A16030" t="s">
        <v>2</v>
      </c>
      <c r="B16030" t="s">
        <v>3458</v>
      </c>
      <c r="C16030" t="s">
        <v>23490</v>
      </c>
      <c r="D16030" t="str">
        <f>HYPERLINK("https://rhld.insurance.arkansas.gov/NPILookup?Npi=1891955043","1891955043")</f>
        <v>1891955043</v>
      </c>
      <c r="E16030" t="s">
        <v>11359</v>
      </c>
    </row>
    <row r="16031" spans="1:5" x14ac:dyDescent="0.25">
      <c r="A16031" t="s">
        <v>2</v>
      </c>
      <c r="B16031" t="s">
        <v>3458</v>
      </c>
      <c r="C16031" t="s">
        <v>23490</v>
      </c>
      <c r="D16031" t="str">
        <f>HYPERLINK("https://rhld.insurance.arkansas.gov/NPILookup?Npi=1902011752","1902011752")</f>
        <v>1902011752</v>
      </c>
      <c r="E16031" t="s">
        <v>4006</v>
      </c>
    </row>
    <row r="16032" spans="1:5" x14ac:dyDescent="0.25">
      <c r="A16032" t="s">
        <v>2</v>
      </c>
      <c r="B16032" t="s">
        <v>3458</v>
      </c>
      <c r="C16032" t="s">
        <v>23490</v>
      </c>
      <c r="D16032" t="str">
        <f>HYPERLINK("https://rhld.insurance.arkansas.gov/NPILookup?Npi=1902015852","1902015852")</f>
        <v>1902015852</v>
      </c>
      <c r="E16032" t="s">
        <v>21762</v>
      </c>
    </row>
    <row r="16033" spans="1:5" x14ac:dyDescent="0.25">
      <c r="A16033" t="s">
        <v>2</v>
      </c>
      <c r="B16033" t="s">
        <v>3458</v>
      </c>
      <c r="C16033" t="s">
        <v>23490</v>
      </c>
      <c r="D16033" t="str">
        <f>HYPERLINK("https://rhld.insurance.arkansas.gov/NPILookup?Npi=1902038375","1902038375")</f>
        <v>1902038375</v>
      </c>
      <c r="E16033" t="s">
        <v>3143</v>
      </c>
    </row>
    <row r="16034" spans="1:5" x14ac:dyDescent="0.25">
      <c r="A16034" t="s">
        <v>2</v>
      </c>
      <c r="B16034" t="s">
        <v>3458</v>
      </c>
      <c r="C16034" t="s">
        <v>23490</v>
      </c>
      <c r="D16034" t="str">
        <f>HYPERLINK("https://rhld.insurance.arkansas.gov/NPILookup?Npi=1902038961","1902038961")</f>
        <v>1902038961</v>
      </c>
      <c r="E16034" t="s">
        <v>3144</v>
      </c>
    </row>
    <row r="16035" spans="1:5" x14ac:dyDescent="0.25">
      <c r="A16035" t="s">
        <v>2</v>
      </c>
      <c r="B16035" t="s">
        <v>3458</v>
      </c>
      <c r="C16035" t="s">
        <v>23490</v>
      </c>
      <c r="D16035" t="str">
        <f>HYPERLINK("https://rhld.insurance.arkansas.gov/NPILookup?Npi=1902042765","1902042765")</f>
        <v>1902042765</v>
      </c>
      <c r="E16035" t="s">
        <v>15692</v>
      </c>
    </row>
    <row r="16036" spans="1:5" x14ac:dyDescent="0.25">
      <c r="A16036" t="s">
        <v>2</v>
      </c>
      <c r="B16036" t="s">
        <v>3458</v>
      </c>
      <c r="C16036" t="s">
        <v>23490</v>
      </c>
      <c r="D16036" t="str">
        <f>HYPERLINK("https://rhld.insurance.arkansas.gov/NPILookup?Npi=1902053556","1902053556")</f>
        <v>1902053556</v>
      </c>
      <c r="E16036" t="s">
        <v>21676</v>
      </c>
    </row>
    <row r="16037" spans="1:5" x14ac:dyDescent="0.25">
      <c r="A16037" t="s">
        <v>2</v>
      </c>
      <c r="B16037" t="s">
        <v>3458</v>
      </c>
      <c r="C16037" t="s">
        <v>23490</v>
      </c>
      <c r="D16037" t="str">
        <f>HYPERLINK("https://rhld.insurance.arkansas.gov/NPILookup?Npi=1902062219","1902062219")</f>
        <v>1902062219</v>
      </c>
      <c r="E16037" t="s">
        <v>3145</v>
      </c>
    </row>
    <row r="16038" spans="1:5" x14ac:dyDescent="0.25">
      <c r="A16038" t="s">
        <v>2</v>
      </c>
      <c r="B16038" t="s">
        <v>3458</v>
      </c>
      <c r="C16038" t="s">
        <v>23490</v>
      </c>
      <c r="D16038" t="str">
        <f>HYPERLINK("https://rhld.insurance.arkansas.gov/NPILookup?Npi=1902064272","1902064272")</f>
        <v>1902064272</v>
      </c>
      <c r="E16038" t="s">
        <v>4007</v>
      </c>
    </row>
    <row r="16039" spans="1:5" x14ac:dyDescent="0.25">
      <c r="A16039" t="s">
        <v>2</v>
      </c>
      <c r="B16039" t="s">
        <v>3458</v>
      </c>
      <c r="C16039" t="s">
        <v>23490</v>
      </c>
      <c r="D16039" t="str">
        <f>HYPERLINK("https://rhld.insurance.arkansas.gov/NPILookup?Npi=1902096613","1902096613")</f>
        <v>1902096613</v>
      </c>
      <c r="E16039" t="s">
        <v>13775</v>
      </c>
    </row>
    <row r="16040" spans="1:5" x14ac:dyDescent="0.25">
      <c r="A16040" t="s">
        <v>2</v>
      </c>
      <c r="B16040" t="s">
        <v>3458</v>
      </c>
      <c r="C16040" t="s">
        <v>23490</v>
      </c>
      <c r="D16040" t="str">
        <f>HYPERLINK("https://rhld.insurance.arkansas.gov/NPILookup?Npi=1902108517","1902108517")</f>
        <v>1902108517</v>
      </c>
      <c r="E16040" t="s">
        <v>15693</v>
      </c>
    </row>
    <row r="16041" spans="1:5" x14ac:dyDescent="0.25">
      <c r="A16041" t="s">
        <v>2</v>
      </c>
      <c r="B16041" t="s">
        <v>3458</v>
      </c>
      <c r="C16041" t="s">
        <v>23490</v>
      </c>
      <c r="D16041" t="str">
        <f>HYPERLINK("https://rhld.insurance.arkansas.gov/NPILookup?Npi=1902144991","1902144991")</f>
        <v>1902144991</v>
      </c>
      <c r="E16041" t="s">
        <v>3146</v>
      </c>
    </row>
    <row r="16042" spans="1:5" x14ac:dyDescent="0.25">
      <c r="A16042" t="s">
        <v>2</v>
      </c>
      <c r="B16042" t="s">
        <v>3458</v>
      </c>
      <c r="C16042" t="s">
        <v>23490</v>
      </c>
      <c r="D16042" t="str">
        <f>HYPERLINK("https://rhld.insurance.arkansas.gov/NPILookup?Npi=1902157571","1902157571")</f>
        <v>1902157571</v>
      </c>
      <c r="E16042" t="s">
        <v>21089</v>
      </c>
    </row>
    <row r="16043" spans="1:5" x14ac:dyDescent="0.25">
      <c r="A16043" t="s">
        <v>2</v>
      </c>
      <c r="B16043" t="s">
        <v>3458</v>
      </c>
      <c r="C16043" t="s">
        <v>23490</v>
      </c>
      <c r="D16043" t="str">
        <f>HYPERLINK("https://rhld.insurance.arkansas.gov/NPILookup?Npi=1902186976","1902186976")</f>
        <v>1902186976</v>
      </c>
      <c r="E16043" t="s">
        <v>3148</v>
      </c>
    </row>
    <row r="16044" spans="1:5" x14ac:dyDescent="0.25">
      <c r="A16044" t="s">
        <v>2</v>
      </c>
      <c r="B16044" t="s">
        <v>3458</v>
      </c>
      <c r="C16044" t="s">
        <v>23490</v>
      </c>
      <c r="D16044" t="str">
        <f>HYPERLINK("https://rhld.insurance.arkansas.gov/NPILookup?Npi=1902196686","1902196686")</f>
        <v>1902196686</v>
      </c>
      <c r="E16044" t="s">
        <v>3149</v>
      </c>
    </row>
    <row r="16045" spans="1:5" x14ac:dyDescent="0.25">
      <c r="A16045" t="s">
        <v>2</v>
      </c>
      <c r="B16045" t="s">
        <v>3458</v>
      </c>
      <c r="C16045" t="s">
        <v>23490</v>
      </c>
      <c r="D16045" t="str">
        <f>HYPERLINK("https://rhld.insurance.arkansas.gov/NPILookup?Npi=1902210875","1902210875")</f>
        <v>1902210875</v>
      </c>
      <c r="E16045" t="s">
        <v>11361</v>
      </c>
    </row>
    <row r="16046" spans="1:5" x14ac:dyDescent="0.25">
      <c r="A16046" t="s">
        <v>2</v>
      </c>
      <c r="B16046" t="s">
        <v>3458</v>
      </c>
      <c r="C16046" t="s">
        <v>23490</v>
      </c>
      <c r="D16046" t="str">
        <f>HYPERLINK("https://rhld.insurance.arkansas.gov/NPILookup?Npi=1902217946","1902217946")</f>
        <v>1902217946</v>
      </c>
      <c r="E16046" t="s">
        <v>11362</v>
      </c>
    </row>
    <row r="16047" spans="1:5" x14ac:dyDescent="0.25">
      <c r="A16047" t="s">
        <v>2</v>
      </c>
      <c r="B16047" t="s">
        <v>3458</v>
      </c>
      <c r="C16047" t="s">
        <v>23490</v>
      </c>
      <c r="D16047" t="str">
        <f>HYPERLINK("https://rhld.insurance.arkansas.gov/NPILookup?Npi=1902220494","1902220494")</f>
        <v>1902220494</v>
      </c>
      <c r="E16047" t="s">
        <v>8917</v>
      </c>
    </row>
    <row r="16048" spans="1:5" x14ac:dyDescent="0.25">
      <c r="A16048" t="s">
        <v>2</v>
      </c>
      <c r="B16048" t="s">
        <v>3458</v>
      </c>
      <c r="C16048" t="s">
        <v>23490</v>
      </c>
      <c r="D16048" t="str">
        <f>HYPERLINK("https://rhld.insurance.arkansas.gov/NPILookup?Npi=1902245889","1902245889")</f>
        <v>1902245889</v>
      </c>
      <c r="E16048" t="s">
        <v>11363</v>
      </c>
    </row>
    <row r="16049" spans="1:5" x14ac:dyDescent="0.25">
      <c r="A16049" t="s">
        <v>2</v>
      </c>
      <c r="B16049" t="s">
        <v>3458</v>
      </c>
      <c r="C16049" t="s">
        <v>23490</v>
      </c>
      <c r="D16049" t="str">
        <f>HYPERLINK("https://rhld.insurance.arkansas.gov/NPILookup?Npi=1902249279","1902249279")</f>
        <v>1902249279</v>
      </c>
      <c r="E16049" t="s">
        <v>11364</v>
      </c>
    </row>
    <row r="16050" spans="1:5" x14ac:dyDescent="0.25">
      <c r="A16050" t="s">
        <v>2</v>
      </c>
      <c r="B16050" t="s">
        <v>3458</v>
      </c>
      <c r="C16050" t="s">
        <v>23490</v>
      </c>
      <c r="D16050" t="str">
        <f>HYPERLINK("https://rhld.insurance.arkansas.gov/NPILookup?Npi=1902257132","1902257132")</f>
        <v>1902257132</v>
      </c>
      <c r="E16050" t="s">
        <v>6037</v>
      </c>
    </row>
    <row r="16051" spans="1:5" x14ac:dyDescent="0.25">
      <c r="A16051" t="s">
        <v>2</v>
      </c>
      <c r="B16051" t="s">
        <v>3458</v>
      </c>
      <c r="C16051" t="s">
        <v>23490</v>
      </c>
      <c r="D16051" t="str">
        <f>HYPERLINK("https://rhld.insurance.arkansas.gov/NPILookup?Npi=1902263148","1902263148")</f>
        <v>1902263148</v>
      </c>
      <c r="E16051" t="s">
        <v>8918</v>
      </c>
    </row>
    <row r="16052" spans="1:5" x14ac:dyDescent="0.25">
      <c r="A16052" t="s">
        <v>2</v>
      </c>
      <c r="B16052" t="s">
        <v>3458</v>
      </c>
      <c r="C16052" t="s">
        <v>23490</v>
      </c>
      <c r="D16052" t="str">
        <f>HYPERLINK("https://rhld.insurance.arkansas.gov/NPILookup?Npi=1902263445","1902263445")</f>
        <v>1902263445</v>
      </c>
      <c r="E16052" t="s">
        <v>8919</v>
      </c>
    </row>
    <row r="16053" spans="1:5" x14ac:dyDescent="0.25">
      <c r="A16053" t="s">
        <v>2</v>
      </c>
      <c r="B16053" t="s">
        <v>3458</v>
      </c>
      <c r="C16053" t="s">
        <v>23490</v>
      </c>
      <c r="D16053" t="str">
        <f>HYPERLINK("https://rhld.insurance.arkansas.gov/NPILookup?Npi=1902288699","1902288699")</f>
        <v>1902288699</v>
      </c>
      <c r="E16053" t="s">
        <v>15695</v>
      </c>
    </row>
    <row r="16054" spans="1:5" x14ac:dyDescent="0.25">
      <c r="A16054" t="s">
        <v>2</v>
      </c>
      <c r="B16054" t="s">
        <v>3458</v>
      </c>
      <c r="C16054" t="s">
        <v>23490</v>
      </c>
      <c r="D16054" t="str">
        <f>HYPERLINK("https://rhld.insurance.arkansas.gov/NPILookup?Npi=1902292246","1902292246")</f>
        <v>1902292246</v>
      </c>
      <c r="E16054" t="s">
        <v>13040</v>
      </c>
    </row>
    <row r="16055" spans="1:5" x14ac:dyDescent="0.25">
      <c r="A16055" t="s">
        <v>2</v>
      </c>
      <c r="B16055" t="s">
        <v>3458</v>
      </c>
      <c r="C16055" t="s">
        <v>23490</v>
      </c>
      <c r="D16055" t="str">
        <f>HYPERLINK("https://rhld.insurance.arkansas.gov/NPILookup?Npi=1902297559","1902297559")</f>
        <v>1902297559</v>
      </c>
      <c r="E16055" t="s">
        <v>3150</v>
      </c>
    </row>
    <row r="16056" spans="1:5" x14ac:dyDescent="0.25">
      <c r="A16056" t="s">
        <v>2</v>
      </c>
      <c r="B16056" t="s">
        <v>3458</v>
      </c>
      <c r="C16056" t="s">
        <v>23490</v>
      </c>
      <c r="D16056" t="str">
        <f>HYPERLINK("https://rhld.insurance.arkansas.gov/NPILookup?Npi=1902300668","1902300668")</f>
        <v>1902300668</v>
      </c>
      <c r="E16056" t="s">
        <v>13041</v>
      </c>
    </row>
    <row r="16057" spans="1:5" x14ac:dyDescent="0.25">
      <c r="A16057" t="s">
        <v>2</v>
      </c>
      <c r="B16057" t="s">
        <v>3458</v>
      </c>
      <c r="C16057" t="s">
        <v>23490</v>
      </c>
      <c r="D16057" t="str">
        <f>HYPERLINK("https://rhld.insurance.arkansas.gov/NPILookup?Npi=1902301237","1902301237")</f>
        <v>1902301237</v>
      </c>
      <c r="E16057" t="s">
        <v>15696</v>
      </c>
    </row>
    <row r="16058" spans="1:5" x14ac:dyDescent="0.25">
      <c r="A16058" t="s">
        <v>2</v>
      </c>
      <c r="B16058" t="s">
        <v>3458</v>
      </c>
      <c r="C16058" t="s">
        <v>23490</v>
      </c>
      <c r="D16058" t="str">
        <f>HYPERLINK("https://rhld.insurance.arkansas.gov/NPILookup?Npi=1902311384","1902311384")</f>
        <v>1902311384</v>
      </c>
      <c r="E16058" t="s">
        <v>15918</v>
      </c>
    </row>
    <row r="16059" spans="1:5" x14ac:dyDescent="0.25">
      <c r="A16059" t="s">
        <v>2</v>
      </c>
      <c r="B16059" t="s">
        <v>3458</v>
      </c>
      <c r="C16059" t="s">
        <v>23490</v>
      </c>
      <c r="D16059" t="str">
        <f>HYPERLINK("https://rhld.insurance.arkansas.gov/NPILookup?Npi=1902323611","1902323611")</f>
        <v>1902323611</v>
      </c>
      <c r="E16059" t="s">
        <v>15697</v>
      </c>
    </row>
    <row r="16060" spans="1:5" x14ac:dyDescent="0.25">
      <c r="A16060" t="s">
        <v>2</v>
      </c>
      <c r="B16060" t="s">
        <v>3458</v>
      </c>
      <c r="C16060" t="s">
        <v>23490</v>
      </c>
      <c r="D16060" t="str">
        <f>HYPERLINK("https://rhld.insurance.arkansas.gov/NPILookup?Npi=1902328552","1902328552")</f>
        <v>1902328552</v>
      </c>
      <c r="E16060" t="s">
        <v>11365</v>
      </c>
    </row>
    <row r="16061" spans="1:5" x14ac:dyDescent="0.25">
      <c r="A16061" t="s">
        <v>2</v>
      </c>
      <c r="B16061" t="s">
        <v>3458</v>
      </c>
      <c r="C16061" t="s">
        <v>23490</v>
      </c>
      <c r="D16061" t="str">
        <f>HYPERLINK("https://rhld.insurance.arkansas.gov/NPILookup?Npi=1902339088","1902339088")</f>
        <v>1902339088</v>
      </c>
      <c r="E16061" t="s">
        <v>21061</v>
      </c>
    </row>
    <row r="16062" spans="1:5" x14ac:dyDescent="0.25">
      <c r="A16062" t="s">
        <v>2</v>
      </c>
      <c r="B16062" t="s">
        <v>3458</v>
      </c>
      <c r="C16062" t="s">
        <v>23490</v>
      </c>
      <c r="D16062" t="str">
        <f>HYPERLINK("https://rhld.insurance.arkansas.gov/NPILookup?Npi=1902343932","1902343932")</f>
        <v>1902343932</v>
      </c>
      <c r="E16062" t="s">
        <v>11366</v>
      </c>
    </row>
    <row r="16063" spans="1:5" x14ac:dyDescent="0.25">
      <c r="A16063" t="s">
        <v>2</v>
      </c>
      <c r="B16063" t="s">
        <v>3458</v>
      </c>
      <c r="C16063" t="s">
        <v>23490</v>
      </c>
      <c r="D16063" t="str">
        <f>HYPERLINK("https://rhld.insurance.arkansas.gov/NPILookup?Npi=1902353006","1902353006")</f>
        <v>1902353006</v>
      </c>
      <c r="E16063" t="s">
        <v>11367</v>
      </c>
    </row>
    <row r="16064" spans="1:5" x14ac:dyDescent="0.25">
      <c r="A16064" t="s">
        <v>2</v>
      </c>
      <c r="B16064" t="s">
        <v>3458</v>
      </c>
      <c r="C16064" t="s">
        <v>23490</v>
      </c>
      <c r="D16064" t="str">
        <f>HYPERLINK("https://rhld.insurance.arkansas.gov/NPILookup?Npi=1902353691","1902353691")</f>
        <v>1902353691</v>
      </c>
      <c r="E16064" t="s">
        <v>15699</v>
      </c>
    </row>
    <row r="16065" spans="1:5" x14ac:dyDescent="0.25">
      <c r="A16065" t="s">
        <v>2</v>
      </c>
      <c r="B16065" t="s">
        <v>3458</v>
      </c>
      <c r="C16065" t="s">
        <v>23490</v>
      </c>
      <c r="D16065" t="str">
        <f>HYPERLINK("https://rhld.insurance.arkansas.gov/NPILookup?Npi=1902421175","1902421175")</f>
        <v>1902421175</v>
      </c>
      <c r="E16065" t="s">
        <v>20113</v>
      </c>
    </row>
    <row r="16066" spans="1:5" x14ac:dyDescent="0.25">
      <c r="A16066" t="s">
        <v>2</v>
      </c>
      <c r="B16066" t="s">
        <v>3458</v>
      </c>
      <c r="C16066" t="s">
        <v>23490</v>
      </c>
      <c r="D16066" t="str">
        <f>HYPERLINK("https://rhld.insurance.arkansas.gov/NPILookup?Npi=1902427925","1902427925")</f>
        <v>1902427925</v>
      </c>
      <c r="E16066" t="s">
        <v>17490</v>
      </c>
    </row>
    <row r="16067" spans="1:5" x14ac:dyDescent="0.25">
      <c r="A16067" t="s">
        <v>2</v>
      </c>
      <c r="B16067" t="s">
        <v>3458</v>
      </c>
      <c r="C16067" t="s">
        <v>23490</v>
      </c>
      <c r="D16067" t="str">
        <f>HYPERLINK("https://rhld.insurance.arkansas.gov/NPILookup?Npi=1902475635","1902475635")</f>
        <v>1902475635</v>
      </c>
      <c r="E16067" t="s">
        <v>18896</v>
      </c>
    </row>
    <row r="16068" spans="1:5" x14ac:dyDescent="0.25">
      <c r="A16068" t="s">
        <v>2</v>
      </c>
      <c r="B16068" t="s">
        <v>3458</v>
      </c>
      <c r="C16068" t="s">
        <v>23490</v>
      </c>
      <c r="D16068" t="str">
        <f>HYPERLINK("https://rhld.insurance.arkansas.gov/NPILookup?Npi=1902488380","1902488380")</f>
        <v>1902488380</v>
      </c>
      <c r="E16068" t="s">
        <v>18897</v>
      </c>
    </row>
    <row r="16069" spans="1:5" x14ac:dyDescent="0.25">
      <c r="A16069" t="s">
        <v>2</v>
      </c>
      <c r="B16069" t="s">
        <v>3458</v>
      </c>
      <c r="C16069" t="s">
        <v>23490</v>
      </c>
      <c r="D16069" t="str">
        <f>HYPERLINK("https://rhld.insurance.arkansas.gov/NPILookup?Npi=1902507494","1902507494")</f>
        <v>1902507494</v>
      </c>
      <c r="E16069" t="s">
        <v>21677</v>
      </c>
    </row>
    <row r="16070" spans="1:5" x14ac:dyDescent="0.25">
      <c r="A16070" t="s">
        <v>2</v>
      </c>
      <c r="B16070" t="s">
        <v>3458</v>
      </c>
      <c r="C16070" t="s">
        <v>23490</v>
      </c>
      <c r="D16070" t="str">
        <f>HYPERLINK("https://rhld.insurance.arkansas.gov/NPILookup?Npi=1902800659","1902800659")</f>
        <v>1902800659</v>
      </c>
      <c r="E16070" t="s">
        <v>15029</v>
      </c>
    </row>
    <row r="16071" spans="1:5" x14ac:dyDescent="0.25">
      <c r="A16071" t="s">
        <v>2</v>
      </c>
      <c r="B16071" t="s">
        <v>3458</v>
      </c>
      <c r="C16071" t="s">
        <v>23490</v>
      </c>
      <c r="D16071" t="str">
        <f>HYPERLINK("https://rhld.insurance.arkansas.gov/NPILookup?Npi=1902802465","1902802465")</f>
        <v>1902802465</v>
      </c>
      <c r="E16071" t="s">
        <v>3151</v>
      </c>
    </row>
    <row r="16072" spans="1:5" x14ac:dyDescent="0.25">
      <c r="A16072" t="s">
        <v>2</v>
      </c>
      <c r="B16072" t="s">
        <v>3458</v>
      </c>
      <c r="C16072" t="s">
        <v>23490</v>
      </c>
      <c r="D16072" t="str">
        <f>HYPERLINK("https://rhld.insurance.arkansas.gov/NPILookup?Npi=1902803893","1902803893")</f>
        <v>1902803893</v>
      </c>
      <c r="E16072" t="s">
        <v>4008</v>
      </c>
    </row>
    <row r="16073" spans="1:5" x14ac:dyDescent="0.25">
      <c r="A16073" t="s">
        <v>2</v>
      </c>
      <c r="B16073" t="s">
        <v>3458</v>
      </c>
      <c r="C16073" t="s">
        <v>23490</v>
      </c>
      <c r="D16073" t="str">
        <f>HYPERLINK("https://rhld.insurance.arkansas.gov/NPILookup?Npi=1902809718","1902809718")</f>
        <v>1902809718</v>
      </c>
      <c r="E16073" t="s">
        <v>2479</v>
      </c>
    </row>
    <row r="16074" spans="1:5" x14ac:dyDescent="0.25">
      <c r="A16074" t="s">
        <v>2</v>
      </c>
      <c r="B16074" t="s">
        <v>3458</v>
      </c>
      <c r="C16074" t="s">
        <v>23490</v>
      </c>
      <c r="D16074" t="str">
        <f>HYPERLINK("https://rhld.insurance.arkansas.gov/NPILookup?Npi=1902814296","1902814296")</f>
        <v>1902814296</v>
      </c>
      <c r="E16074" t="s">
        <v>15700</v>
      </c>
    </row>
    <row r="16075" spans="1:5" x14ac:dyDescent="0.25">
      <c r="A16075" t="s">
        <v>2</v>
      </c>
      <c r="B16075" t="s">
        <v>3458</v>
      </c>
      <c r="C16075" t="s">
        <v>23490</v>
      </c>
      <c r="D16075" t="str">
        <f>HYPERLINK("https://rhld.insurance.arkansas.gov/NPILookup?Npi=1902815558","1902815558")</f>
        <v>1902815558</v>
      </c>
      <c r="E16075" t="s">
        <v>3152</v>
      </c>
    </row>
    <row r="16076" spans="1:5" x14ac:dyDescent="0.25">
      <c r="A16076" t="s">
        <v>2</v>
      </c>
      <c r="B16076" t="s">
        <v>3458</v>
      </c>
      <c r="C16076" t="s">
        <v>23490</v>
      </c>
      <c r="D16076" t="str">
        <f>HYPERLINK("https://rhld.insurance.arkansas.gov/NPILookup?Npi=1902824162","1902824162")</f>
        <v>1902824162</v>
      </c>
      <c r="E16076" t="s">
        <v>3153</v>
      </c>
    </row>
    <row r="16077" spans="1:5" x14ac:dyDescent="0.25">
      <c r="A16077" t="s">
        <v>2</v>
      </c>
      <c r="B16077" t="s">
        <v>3458</v>
      </c>
      <c r="C16077" t="s">
        <v>23490</v>
      </c>
      <c r="D16077" t="str">
        <f>HYPERLINK("https://rhld.insurance.arkansas.gov/NPILookup?Npi=1902846686","1902846686")</f>
        <v>1902846686</v>
      </c>
      <c r="E16077" t="s">
        <v>13882</v>
      </c>
    </row>
    <row r="16078" spans="1:5" x14ac:dyDescent="0.25">
      <c r="A16078" t="s">
        <v>2</v>
      </c>
      <c r="B16078" t="s">
        <v>3458</v>
      </c>
      <c r="C16078" t="s">
        <v>23490</v>
      </c>
      <c r="D16078" t="str">
        <f>HYPERLINK("https://rhld.insurance.arkansas.gov/NPILookup?Npi=1902856909","1902856909")</f>
        <v>1902856909</v>
      </c>
      <c r="E16078" t="s">
        <v>15701</v>
      </c>
    </row>
    <row r="16079" spans="1:5" x14ac:dyDescent="0.25">
      <c r="A16079" t="s">
        <v>2</v>
      </c>
      <c r="B16079" t="s">
        <v>3458</v>
      </c>
      <c r="C16079" t="s">
        <v>23490</v>
      </c>
      <c r="D16079" t="str">
        <f>HYPERLINK("https://rhld.insurance.arkansas.gov/NPILookup?Npi=1902867070","1902867070")</f>
        <v>1902867070</v>
      </c>
      <c r="E16079" t="s">
        <v>3155</v>
      </c>
    </row>
    <row r="16080" spans="1:5" x14ac:dyDescent="0.25">
      <c r="A16080" t="s">
        <v>2</v>
      </c>
      <c r="B16080" t="s">
        <v>3458</v>
      </c>
      <c r="C16080" t="s">
        <v>23490</v>
      </c>
      <c r="D16080" t="str">
        <f>HYPERLINK("https://rhld.insurance.arkansas.gov/NPILookup?Npi=1902884372","1902884372")</f>
        <v>1902884372</v>
      </c>
      <c r="E16080" t="s">
        <v>3156</v>
      </c>
    </row>
    <row r="16081" spans="1:5" x14ac:dyDescent="0.25">
      <c r="A16081" t="s">
        <v>2</v>
      </c>
      <c r="B16081" t="s">
        <v>3458</v>
      </c>
      <c r="C16081" t="s">
        <v>23490</v>
      </c>
      <c r="D16081" t="str">
        <f>HYPERLINK("https://rhld.insurance.arkansas.gov/NPILookup?Npi=1902885015","1902885015")</f>
        <v>1902885015</v>
      </c>
      <c r="E16081" t="s">
        <v>3157</v>
      </c>
    </row>
    <row r="16082" spans="1:5" x14ac:dyDescent="0.25">
      <c r="A16082" t="s">
        <v>2</v>
      </c>
      <c r="B16082" t="s">
        <v>3458</v>
      </c>
      <c r="C16082" t="s">
        <v>23490</v>
      </c>
      <c r="D16082" t="str">
        <f>HYPERLINK("https://rhld.insurance.arkansas.gov/NPILookup?Npi=1902888720","1902888720")</f>
        <v>1902888720</v>
      </c>
      <c r="E16082" t="s">
        <v>3158</v>
      </c>
    </row>
    <row r="16083" spans="1:5" x14ac:dyDescent="0.25">
      <c r="A16083" t="s">
        <v>2</v>
      </c>
      <c r="B16083" t="s">
        <v>3458</v>
      </c>
      <c r="C16083" t="s">
        <v>23490</v>
      </c>
      <c r="D16083" t="str">
        <f>HYPERLINK("https://rhld.insurance.arkansas.gov/NPILookup?Npi=1902893811","1902893811")</f>
        <v>1902893811</v>
      </c>
      <c r="E16083" t="s">
        <v>15702</v>
      </c>
    </row>
    <row r="16084" spans="1:5" x14ac:dyDescent="0.25">
      <c r="A16084" t="s">
        <v>2</v>
      </c>
      <c r="B16084" t="s">
        <v>3458</v>
      </c>
      <c r="C16084" t="s">
        <v>23490</v>
      </c>
      <c r="D16084" t="str">
        <f>HYPERLINK("https://rhld.insurance.arkansas.gov/NPILookup?Npi=1902910516","1902910516")</f>
        <v>1902910516</v>
      </c>
      <c r="E16084" t="s">
        <v>3159</v>
      </c>
    </row>
    <row r="16085" spans="1:5" x14ac:dyDescent="0.25">
      <c r="A16085" t="s">
        <v>2</v>
      </c>
      <c r="B16085" t="s">
        <v>3458</v>
      </c>
      <c r="C16085" t="s">
        <v>23490</v>
      </c>
      <c r="D16085" t="str">
        <f>HYPERLINK("https://rhld.insurance.arkansas.gov/NPILookup?Npi=1902983075","1902983075")</f>
        <v>1902983075</v>
      </c>
      <c r="E16085" t="s">
        <v>15704</v>
      </c>
    </row>
    <row r="16086" spans="1:5" x14ac:dyDescent="0.25">
      <c r="A16086" t="s">
        <v>2</v>
      </c>
      <c r="B16086" t="s">
        <v>3458</v>
      </c>
      <c r="C16086" t="s">
        <v>23490</v>
      </c>
      <c r="D16086" t="str">
        <f>HYPERLINK("https://rhld.insurance.arkansas.gov/NPILookup?Npi=1912007840","1912007840")</f>
        <v>1912007840</v>
      </c>
      <c r="E16086" t="s">
        <v>4009</v>
      </c>
    </row>
    <row r="16087" spans="1:5" x14ac:dyDescent="0.25">
      <c r="A16087" t="s">
        <v>2</v>
      </c>
      <c r="B16087" t="s">
        <v>3458</v>
      </c>
      <c r="C16087" t="s">
        <v>23490</v>
      </c>
      <c r="D16087" t="str">
        <f>HYPERLINK("https://rhld.insurance.arkansas.gov/NPILookup?Npi=1912043043","1912043043")</f>
        <v>1912043043</v>
      </c>
      <c r="E16087" t="s">
        <v>3160</v>
      </c>
    </row>
    <row r="16088" spans="1:5" x14ac:dyDescent="0.25">
      <c r="A16088" t="s">
        <v>2</v>
      </c>
      <c r="B16088" t="s">
        <v>3458</v>
      </c>
      <c r="C16088" t="s">
        <v>23490</v>
      </c>
      <c r="D16088" t="str">
        <f>HYPERLINK("https://rhld.insurance.arkansas.gov/NPILookup?Npi=1912058579","1912058579")</f>
        <v>1912058579</v>
      </c>
      <c r="E16088" t="s">
        <v>3161</v>
      </c>
    </row>
    <row r="16089" spans="1:5" x14ac:dyDescent="0.25">
      <c r="A16089" t="s">
        <v>2</v>
      </c>
      <c r="B16089" t="s">
        <v>3458</v>
      </c>
      <c r="C16089" t="s">
        <v>23490</v>
      </c>
      <c r="D16089" t="str">
        <f>HYPERLINK("https://rhld.insurance.arkansas.gov/NPILookup?Npi=1912111055","1912111055")</f>
        <v>1912111055</v>
      </c>
      <c r="E16089" t="s">
        <v>3163</v>
      </c>
    </row>
    <row r="16090" spans="1:5" x14ac:dyDescent="0.25">
      <c r="A16090" t="s">
        <v>2</v>
      </c>
      <c r="B16090" t="s">
        <v>3458</v>
      </c>
      <c r="C16090" t="s">
        <v>23490</v>
      </c>
      <c r="D16090" t="str">
        <f>HYPERLINK("https://rhld.insurance.arkansas.gov/NPILookup?Npi=1912136227","1912136227")</f>
        <v>1912136227</v>
      </c>
      <c r="E16090" t="s">
        <v>3164</v>
      </c>
    </row>
    <row r="16091" spans="1:5" x14ac:dyDescent="0.25">
      <c r="A16091" t="s">
        <v>2</v>
      </c>
      <c r="B16091" t="s">
        <v>3458</v>
      </c>
      <c r="C16091" t="s">
        <v>23490</v>
      </c>
      <c r="D16091" t="str">
        <f>HYPERLINK("https://rhld.insurance.arkansas.gov/NPILookup?Npi=1912136870","1912136870")</f>
        <v>1912136870</v>
      </c>
      <c r="E16091" t="s">
        <v>20118</v>
      </c>
    </row>
    <row r="16092" spans="1:5" x14ac:dyDescent="0.25">
      <c r="A16092" t="s">
        <v>2</v>
      </c>
      <c r="B16092" t="s">
        <v>3458</v>
      </c>
      <c r="C16092" t="s">
        <v>23490</v>
      </c>
      <c r="D16092" t="str">
        <f>HYPERLINK("https://rhld.insurance.arkansas.gov/NPILookup?Npi=1912172271","1912172271")</f>
        <v>1912172271</v>
      </c>
      <c r="E16092" t="s">
        <v>3166</v>
      </c>
    </row>
    <row r="16093" spans="1:5" x14ac:dyDescent="0.25">
      <c r="A16093" t="s">
        <v>2</v>
      </c>
      <c r="B16093" t="s">
        <v>3458</v>
      </c>
      <c r="C16093" t="s">
        <v>23490</v>
      </c>
      <c r="D16093" t="str">
        <f>HYPERLINK("https://rhld.insurance.arkansas.gov/NPILookup?Npi=1912191438","1912191438")</f>
        <v>1912191438</v>
      </c>
      <c r="E16093" t="s">
        <v>3167</v>
      </c>
    </row>
    <row r="16094" spans="1:5" x14ac:dyDescent="0.25">
      <c r="A16094" t="s">
        <v>2</v>
      </c>
      <c r="B16094" t="s">
        <v>3458</v>
      </c>
      <c r="C16094" t="s">
        <v>23490</v>
      </c>
      <c r="D16094" t="str">
        <f>HYPERLINK("https://rhld.insurance.arkansas.gov/NPILookup?Npi=1912208067","1912208067")</f>
        <v>1912208067</v>
      </c>
      <c r="E16094" t="s">
        <v>11368</v>
      </c>
    </row>
    <row r="16095" spans="1:5" x14ac:dyDescent="0.25">
      <c r="A16095" t="s">
        <v>2</v>
      </c>
      <c r="B16095" t="s">
        <v>3458</v>
      </c>
      <c r="C16095" t="s">
        <v>23490</v>
      </c>
      <c r="D16095" t="str">
        <f>HYPERLINK("https://rhld.insurance.arkansas.gov/NPILookup?Npi=1912210378","1912210378")</f>
        <v>1912210378</v>
      </c>
      <c r="E16095" t="s">
        <v>12934</v>
      </c>
    </row>
    <row r="16096" spans="1:5" x14ac:dyDescent="0.25">
      <c r="A16096" t="s">
        <v>2</v>
      </c>
      <c r="B16096" t="s">
        <v>3458</v>
      </c>
      <c r="C16096" t="s">
        <v>23490</v>
      </c>
      <c r="D16096" t="str">
        <f>HYPERLINK("https://rhld.insurance.arkansas.gov/NPILookup?Npi=1912214453","1912214453")</f>
        <v>1912214453</v>
      </c>
      <c r="E16096" t="s">
        <v>3168</v>
      </c>
    </row>
    <row r="16097" spans="1:5" x14ac:dyDescent="0.25">
      <c r="A16097" t="s">
        <v>2</v>
      </c>
      <c r="B16097" t="s">
        <v>3458</v>
      </c>
      <c r="C16097" t="s">
        <v>23490</v>
      </c>
      <c r="D16097" t="str">
        <f>HYPERLINK("https://rhld.insurance.arkansas.gov/NPILookup?Npi=1912214958","1912214958")</f>
        <v>1912214958</v>
      </c>
      <c r="E16097" t="s">
        <v>11369</v>
      </c>
    </row>
    <row r="16098" spans="1:5" x14ac:dyDescent="0.25">
      <c r="A16098" t="s">
        <v>2</v>
      </c>
      <c r="B16098" t="s">
        <v>3458</v>
      </c>
      <c r="C16098" t="s">
        <v>23490</v>
      </c>
      <c r="D16098" t="str">
        <f>HYPERLINK("https://rhld.insurance.arkansas.gov/NPILookup?Npi=1912219478","1912219478")</f>
        <v>1912219478</v>
      </c>
      <c r="E16098" t="s">
        <v>3169</v>
      </c>
    </row>
    <row r="16099" spans="1:5" x14ac:dyDescent="0.25">
      <c r="A16099" t="s">
        <v>2</v>
      </c>
      <c r="B16099" t="s">
        <v>3458</v>
      </c>
      <c r="C16099" t="s">
        <v>23490</v>
      </c>
      <c r="D16099" t="str">
        <f>HYPERLINK("https://rhld.insurance.arkansas.gov/NPILookup?Npi=1912224544","1912224544")</f>
        <v>1912224544</v>
      </c>
      <c r="E16099" t="s">
        <v>13780</v>
      </c>
    </row>
    <row r="16100" spans="1:5" x14ac:dyDescent="0.25">
      <c r="A16100" t="s">
        <v>2</v>
      </c>
      <c r="B16100" t="s">
        <v>3458</v>
      </c>
      <c r="C16100" t="s">
        <v>23490</v>
      </c>
      <c r="D16100" t="str">
        <f>HYPERLINK("https://rhld.insurance.arkansas.gov/NPILookup?Npi=1912225749","1912225749")</f>
        <v>1912225749</v>
      </c>
      <c r="E16100" t="s">
        <v>4010</v>
      </c>
    </row>
    <row r="16101" spans="1:5" x14ac:dyDescent="0.25">
      <c r="A16101" t="s">
        <v>2</v>
      </c>
      <c r="B16101" t="s">
        <v>3458</v>
      </c>
      <c r="C16101" t="s">
        <v>23490</v>
      </c>
      <c r="D16101" t="str">
        <f>HYPERLINK("https://rhld.insurance.arkansas.gov/NPILookup?Npi=1912231358","1912231358")</f>
        <v>1912231358</v>
      </c>
      <c r="E16101" t="s">
        <v>17491</v>
      </c>
    </row>
    <row r="16102" spans="1:5" x14ac:dyDescent="0.25">
      <c r="A16102" t="s">
        <v>2</v>
      </c>
      <c r="B16102" t="s">
        <v>3458</v>
      </c>
      <c r="C16102" t="s">
        <v>23490</v>
      </c>
      <c r="D16102" t="str">
        <f>HYPERLINK("https://rhld.insurance.arkansas.gov/NPILookup?Npi=1912247156","1912247156")</f>
        <v>1912247156</v>
      </c>
      <c r="E16102" t="s">
        <v>11370</v>
      </c>
    </row>
    <row r="16103" spans="1:5" x14ac:dyDescent="0.25">
      <c r="A16103" t="s">
        <v>2</v>
      </c>
      <c r="B16103" t="s">
        <v>3458</v>
      </c>
      <c r="C16103" t="s">
        <v>23490</v>
      </c>
      <c r="D16103" t="str">
        <f>HYPERLINK("https://rhld.insurance.arkansas.gov/NPILookup?Npi=1912249343","1912249343")</f>
        <v>1912249343</v>
      </c>
      <c r="E16103" t="s">
        <v>17492</v>
      </c>
    </row>
    <row r="16104" spans="1:5" x14ac:dyDescent="0.25">
      <c r="A16104" t="s">
        <v>2</v>
      </c>
      <c r="B16104" t="s">
        <v>3458</v>
      </c>
      <c r="C16104" t="s">
        <v>23490</v>
      </c>
      <c r="D16104" t="str">
        <f>HYPERLINK("https://rhld.insurance.arkansas.gov/NPILookup?Npi=1912252354","1912252354")</f>
        <v>1912252354</v>
      </c>
      <c r="E16104" t="s">
        <v>3170</v>
      </c>
    </row>
    <row r="16105" spans="1:5" x14ac:dyDescent="0.25">
      <c r="A16105" t="s">
        <v>2</v>
      </c>
      <c r="B16105" t="s">
        <v>3458</v>
      </c>
      <c r="C16105" t="s">
        <v>23490</v>
      </c>
      <c r="D16105" t="str">
        <f>HYPERLINK("https://rhld.insurance.arkansas.gov/NPILookup?Npi=1912270323","1912270323")</f>
        <v>1912270323</v>
      </c>
      <c r="E16105" t="s">
        <v>15706</v>
      </c>
    </row>
    <row r="16106" spans="1:5" x14ac:dyDescent="0.25">
      <c r="A16106" t="s">
        <v>2</v>
      </c>
      <c r="B16106" t="s">
        <v>3458</v>
      </c>
      <c r="C16106" t="s">
        <v>23490</v>
      </c>
      <c r="D16106" t="str">
        <f>HYPERLINK("https://rhld.insurance.arkansas.gov/NPILookup?Npi=1912290461","1912290461")</f>
        <v>1912290461</v>
      </c>
      <c r="E16106" t="s">
        <v>15707</v>
      </c>
    </row>
    <row r="16107" spans="1:5" x14ac:dyDescent="0.25">
      <c r="A16107" t="s">
        <v>2</v>
      </c>
      <c r="B16107" t="s">
        <v>3458</v>
      </c>
      <c r="C16107" t="s">
        <v>23490</v>
      </c>
      <c r="D16107" t="str">
        <f>HYPERLINK("https://rhld.insurance.arkansas.gov/NPILookup?Npi=1912318049","1912318049")</f>
        <v>1912318049</v>
      </c>
      <c r="E16107" t="s">
        <v>11372</v>
      </c>
    </row>
    <row r="16108" spans="1:5" x14ac:dyDescent="0.25">
      <c r="A16108" t="s">
        <v>2</v>
      </c>
      <c r="B16108" t="s">
        <v>3458</v>
      </c>
      <c r="C16108" t="s">
        <v>23490</v>
      </c>
      <c r="D16108" t="str">
        <f>HYPERLINK("https://rhld.insurance.arkansas.gov/NPILookup?Npi=1912352055","1912352055")</f>
        <v>1912352055</v>
      </c>
      <c r="E16108" t="s">
        <v>11373</v>
      </c>
    </row>
    <row r="16109" spans="1:5" x14ac:dyDescent="0.25">
      <c r="A16109" t="s">
        <v>2</v>
      </c>
      <c r="B16109" t="s">
        <v>3458</v>
      </c>
      <c r="C16109" t="s">
        <v>23490</v>
      </c>
      <c r="D16109" t="str">
        <f>HYPERLINK("https://rhld.insurance.arkansas.gov/NPILookup?Npi=1912360538","1912360538")</f>
        <v>1912360538</v>
      </c>
      <c r="E16109" t="s">
        <v>8921</v>
      </c>
    </row>
    <row r="16110" spans="1:5" x14ac:dyDescent="0.25">
      <c r="A16110" t="s">
        <v>2</v>
      </c>
      <c r="B16110" t="s">
        <v>3458</v>
      </c>
      <c r="C16110" t="s">
        <v>23490</v>
      </c>
      <c r="D16110" t="str">
        <f>HYPERLINK("https://rhld.insurance.arkansas.gov/NPILookup?Npi=1912368747","1912368747")</f>
        <v>1912368747</v>
      </c>
      <c r="E16110" t="s">
        <v>8922</v>
      </c>
    </row>
    <row r="16111" spans="1:5" x14ac:dyDescent="0.25">
      <c r="A16111" t="s">
        <v>2</v>
      </c>
      <c r="B16111" t="s">
        <v>3458</v>
      </c>
      <c r="C16111" t="s">
        <v>23490</v>
      </c>
      <c r="D16111" t="str">
        <f>HYPERLINK("https://rhld.insurance.arkansas.gov/NPILookup?Npi=1912384850","1912384850")</f>
        <v>1912384850</v>
      </c>
      <c r="E16111" t="s">
        <v>13783</v>
      </c>
    </row>
    <row r="16112" spans="1:5" x14ac:dyDescent="0.25">
      <c r="A16112" t="s">
        <v>2</v>
      </c>
      <c r="B16112" t="s">
        <v>3458</v>
      </c>
      <c r="C16112" t="s">
        <v>23490</v>
      </c>
      <c r="D16112" t="str">
        <f>HYPERLINK("https://rhld.insurance.arkansas.gov/NPILookup?Npi=1912385667","1912385667")</f>
        <v>1912385667</v>
      </c>
      <c r="E16112" t="s">
        <v>11375</v>
      </c>
    </row>
    <row r="16113" spans="1:5" x14ac:dyDescent="0.25">
      <c r="A16113" t="s">
        <v>2</v>
      </c>
      <c r="B16113" t="s">
        <v>3458</v>
      </c>
      <c r="C16113" t="s">
        <v>23490</v>
      </c>
      <c r="D16113" t="str">
        <f>HYPERLINK("https://rhld.insurance.arkansas.gov/NPILookup?Npi=1912392572","1912392572")</f>
        <v>1912392572</v>
      </c>
      <c r="E16113" t="s">
        <v>21763</v>
      </c>
    </row>
    <row r="16114" spans="1:5" x14ac:dyDescent="0.25">
      <c r="A16114" t="s">
        <v>2</v>
      </c>
      <c r="B16114" t="s">
        <v>3458</v>
      </c>
      <c r="C16114" t="s">
        <v>23490</v>
      </c>
      <c r="D16114" t="str">
        <f>HYPERLINK("https://rhld.insurance.arkansas.gov/NPILookup?Npi=1912418302","1912418302")</f>
        <v>1912418302</v>
      </c>
      <c r="E16114" t="s">
        <v>13784</v>
      </c>
    </row>
    <row r="16115" spans="1:5" x14ac:dyDescent="0.25">
      <c r="A16115" t="s">
        <v>2</v>
      </c>
      <c r="B16115" t="s">
        <v>3458</v>
      </c>
      <c r="C16115" t="s">
        <v>23490</v>
      </c>
      <c r="D16115" t="str">
        <f>HYPERLINK("https://rhld.insurance.arkansas.gov/NPILookup?Npi=1912430315","1912430315")</f>
        <v>1912430315</v>
      </c>
      <c r="E16115" t="s">
        <v>13785</v>
      </c>
    </row>
    <row r="16116" spans="1:5" x14ac:dyDescent="0.25">
      <c r="A16116" t="s">
        <v>2</v>
      </c>
      <c r="B16116" t="s">
        <v>3458</v>
      </c>
      <c r="C16116" t="s">
        <v>23490</v>
      </c>
      <c r="D16116" t="str">
        <f>HYPERLINK("https://rhld.insurance.arkansas.gov/NPILookup?Npi=1912431834","1912431834")</f>
        <v>1912431834</v>
      </c>
      <c r="E16116" t="s">
        <v>17493</v>
      </c>
    </row>
    <row r="16117" spans="1:5" x14ac:dyDescent="0.25">
      <c r="A16117" t="s">
        <v>2</v>
      </c>
      <c r="B16117" t="s">
        <v>3458</v>
      </c>
      <c r="C16117" t="s">
        <v>23490</v>
      </c>
      <c r="D16117" t="str">
        <f>HYPERLINK("https://rhld.insurance.arkansas.gov/NPILookup?Npi=1912445628","1912445628")</f>
        <v>1912445628</v>
      </c>
      <c r="E16117" t="s">
        <v>15708</v>
      </c>
    </row>
    <row r="16118" spans="1:5" x14ac:dyDescent="0.25">
      <c r="A16118" t="s">
        <v>2</v>
      </c>
      <c r="B16118" t="s">
        <v>3458</v>
      </c>
      <c r="C16118" t="s">
        <v>23490</v>
      </c>
      <c r="D16118" t="str">
        <f>HYPERLINK("https://rhld.insurance.arkansas.gov/NPILookup?Npi=1912469362","1912469362")</f>
        <v>1912469362</v>
      </c>
      <c r="E16118" t="s">
        <v>20121</v>
      </c>
    </row>
    <row r="16119" spans="1:5" x14ac:dyDescent="0.25">
      <c r="A16119" t="s">
        <v>2</v>
      </c>
      <c r="B16119" t="s">
        <v>3458</v>
      </c>
      <c r="C16119" t="s">
        <v>23490</v>
      </c>
      <c r="D16119" t="str">
        <f>HYPERLINK("https://rhld.insurance.arkansas.gov/NPILookup?Npi=1912483132","1912483132")</f>
        <v>1912483132</v>
      </c>
      <c r="E16119" t="s">
        <v>18898</v>
      </c>
    </row>
    <row r="16120" spans="1:5" x14ac:dyDescent="0.25">
      <c r="A16120" t="s">
        <v>2</v>
      </c>
      <c r="B16120" t="s">
        <v>3458</v>
      </c>
      <c r="C16120" t="s">
        <v>23490</v>
      </c>
      <c r="D16120" t="str">
        <f>HYPERLINK("https://rhld.insurance.arkansas.gov/NPILookup?Npi=1912486648","1912486648")</f>
        <v>1912486648</v>
      </c>
      <c r="E16120" t="s">
        <v>20275</v>
      </c>
    </row>
    <row r="16121" spans="1:5" x14ac:dyDescent="0.25">
      <c r="A16121" t="s">
        <v>2</v>
      </c>
      <c r="B16121" t="s">
        <v>3458</v>
      </c>
      <c r="C16121" t="s">
        <v>23490</v>
      </c>
      <c r="D16121" t="str">
        <f>HYPERLINK("https://rhld.insurance.arkansas.gov/NPILookup?Npi=1912492273","1912492273")</f>
        <v>1912492273</v>
      </c>
      <c r="E16121" t="s">
        <v>13786</v>
      </c>
    </row>
    <row r="16122" spans="1:5" x14ac:dyDescent="0.25">
      <c r="A16122" t="s">
        <v>2</v>
      </c>
      <c r="B16122" t="s">
        <v>3458</v>
      </c>
      <c r="C16122" t="s">
        <v>23490</v>
      </c>
      <c r="D16122" t="str">
        <f>HYPERLINK("https://rhld.insurance.arkansas.gov/NPILookup?Npi=1912492943","1912492943")</f>
        <v>1912492943</v>
      </c>
      <c r="E16122" t="s">
        <v>18173</v>
      </c>
    </row>
    <row r="16123" spans="1:5" x14ac:dyDescent="0.25">
      <c r="A16123" t="s">
        <v>2</v>
      </c>
      <c r="B16123" t="s">
        <v>3458</v>
      </c>
      <c r="C16123" t="s">
        <v>23490</v>
      </c>
      <c r="D16123" t="str">
        <f>HYPERLINK("https://rhld.insurance.arkansas.gov/NPILookup?Npi=1912498585","1912498585")</f>
        <v>1912498585</v>
      </c>
      <c r="E16123" t="s">
        <v>13787</v>
      </c>
    </row>
    <row r="16124" spans="1:5" x14ac:dyDescent="0.25">
      <c r="A16124" t="s">
        <v>2</v>
      </c>
      <c r="B16124" t="s">
        <v>3458</v>
      </c>
      <c r="C16124" t="s">
        <v>23490</v>
      </c>
      <c r="D16124" t="str">
        <f>HYPERLINK("https://rhld.insurance.arkansas.gov/NPILookup?Npi=1912507419","1912507419")</f>
        <v>1912507419</v>
      </c>
      <c r="E16124" t="s">
        <v>20122</v>
      </c>
    </row>
    <row r="16125" spans="1:5" x14ac:dyDescent="0.25">
      <c r="A16125" t="s">
        <v>2</v>
      </c>
      <c r="B16125" t="s">
        <v>3458</v>
      </c>
      <c r="C16125" t="s">
        <v>23490</v>
      </c>
      <c r="D16125" t="str">
        <f>HYPERLINK("https://rhld.insurance.arkansas.gov/NPILookup?Npi=1912518390","1912518390")</f>
        <v>1912518390</v>
      </c>
      <c r="E16125" t="s">
        <v>21062</v>
      </c>
    </row>
    <row r="16126" spans="1:5" x14ac:dyDescent="0.25">
      <c r="A16126" t="s">
        <v>2</v>
      </c>
      <c r="B16126" t="s">
        <v>3458</v>
      </c>
      <c r="C16126" t="s">
        <v>8427</v>
      </c>
      <c r="D16126" t="str">
        <f>HYPERLINK("https://rhld.insurance.arkansas.gov/NPILookup?Npi=1912529090","1912529090")</f>
        <v>1912529090</v>
      </c>
      <c r="E16126" t="s">
        <v>23005</v>
      </c>
    </row>
    <row r="16127" spans="1:5" x14ac:dyDescent="0.25">
      <c r="A16127" t="s">
        <v>2</v>
      </c>
      <c r="B16127" t="s">
        <v>3458</v>
      </c>
      <c r="C16127" t="s">
        <v>23490</v>
      </c>
      <c r="D16127" t="str">
        <f>HYPERLINK("https://rhld.insurance.arkansas.gov/NPILookup?Npi=1912533589","1912533589")</f>
        <v>1912533589</v>
      </c>
      <c r="E16127" t="s">
        <v>17494</v>
      </c>
    </row>
    <row r="16128" spans="1:5" x14ac:dyDescent="0.25">
      <c r="A16128" t="s">
        <v>2</v>
      </c>
      <c r="B16128" t="s">
        <v>3458</v>
      </c>
      <c r="C16128" t="s">
        <v>23490</v>
      </c>
      <c r="D16128" t="str">
        <f>HYPERLINK("https://rhld.insurance.arkansas.gov/NPILookup?Npi=1912562489","1912562489")</f>
        <v>1912562489</v>
      </c>
      <c r="E16128" t="s">
        <v>21679</v>
      </c>
    </row>
    <row r="16129" spans="1:5" x14ac:dyDescent="0.25">
      <c r="A16129" t="s">
        <v>2</v>
      </c>
      <c r="B16129" t="s">
        <v>3458</v>
      </c>
      <c r="C16129" t="s">
        <v>23490</v>
      </c>
      <c r="D16129" t="str">
        <f>HYPERLINK("https://rhld.insurance.arkansas.gov/NPILookup?Npi=1912567231","1912567231")</f>
        <v>1912567231</v>
      </c>
      <c r="E16129" t="s">
        <v>20125</v>
      </c>
    </row>
    <row r="16130" spans="1:5" x14ac:dyDescent="0.25">
      <c r="A16130" t="s">
        <v>2</v>
      </c>
      <c r="B16130" t="s">
        <v>3458</v>
      </c>
      <c r="C16130" t="s">
        <v>23490</v>
      </c>
      <c r="D16130" t="str">
        <f>HYPERLINK("https://rhld.insurance.arkansas.gov/NPILookup?Npi=1912586926","1912586926")</f>
        <v>1912586926</v>
      </c>
      <c r="E16130" t="s">
        <v>18899</v>
      </c>
    </row>
    <row r="16131" spans="1:5" x14ac:dyDescent="0.25">
      <c r="A16131" t="s">
        <v>2</v>
      </c>
      <c r="B16131" t="s">
        <v>3458</v>
      </c>
      <c r="C16131" t="s">
        <v>23490</v>
      </c>
      <c r="D16131" t="str">
        <f>HYPERLINK("https://rhld.insurance.arkansas.gov/NPILookup?Npi=1912589151","1912589151")</f>
        <v>1912589151</v>
      </c>
      <c r="E16131" t="s">
        <v>18175</v>
      </c>
    </row>
    <row r="16132" spans="1:5" x14ac:dyDescent="0.25">
      <c r="A16132" t="s">
        <v>2</v>
      </c>
      <c r="B16132" t="s">
        <v>3458</v>
      </c>
      <c r="C16132" t="s">
        <v>23490</v>
      </c>
      <c r="D16132" t="str">
        <f>HYPERLINK("https://rhld.insurance.arkansas.gov/NPILookup?Npi=1912676057","1912676057")</f>
        <v>1912676057</v>
      </c>
      <c r="E16132" t="s">
        <v>20126</v>
      </c>
    </row>
    <row r="16133" spans="1:5" x14ac:dyDescent="0.25">
      <c r="A16133" t="s">
        <v>2</v>
      </c>
      <c r="B16133" t="s">
        <v>3458</v>
      </c>
      <c r="C16133" t="s">
        <v>23490</v>
      </c>
      <c r="D16133" t="str">
        <f>HYPERLINK("https://rhld.insurance.arkansas.gov/NPILookup?Npi=1912903980","1912903980")</f>
        <v>1912903980</v>
      </c>
      <c r="E16133" t="s">
        <v>3173</v>
      </c>
    </row>
    <row r="16134" spans="1:5" x14ac:dyDescent="0.25">
      <c r="A16134" t="s">
        <v>2</v>
      </c>
      <c r="B16134" t="s">
        <v>3458</v>
      </c>
      <c r="C16134" t="s">
        <v>23490</v>
      </c>
      <c r="D16134" t="str">
        <f>HYPERLINK("https://rhld.insurance.arkansas.gov/NPILookup?Npi=1912904251","1912904251")</f>
        <v>1912904251</v>
      </c>
      <c r="E16134" t="s">
        <v>3174</v>
      </c>
    </row>
    <row r="16135" spans="1:5" x14ac:dyDescent="0.25">
      <c r="A16135" t="s">
        <v>2</v>
      </c>
      <c r="B16135" t="s">
        <v>3458</v>
      </c>
      <c r="C16135" t="s">
        <v>23490</v>
      </c>
      <c r="D16135" t="str">
        <f>HYPERLINK("https://rhld.insurance.arkansas.gov/NPILookup?Npi=1912908443","1912908443")</f>
        <v>1912908443</v>
      </c>
      <c r="E16135" t="s">
        <v>3175</v>
      </c>
    </row>
    <row r="16136" spans="1:5" x14ac:dyDescent="0.25">
      <c r="A16136" t="s">
        <v>2</v>
      </c>
      <c r="B16136" t="s">
        <v>3458</v>
      </c>
      <c r="C16136" t="s">
        <v>23490</v>
      </c>
      <c r="D16136" t="str">
        <f>HYPERLINK("https://rhld.insurance.arkansas.gov/NPILookup?Npi=1912909508","1912909508")</f>
        <v>1912909508</v>
      </c>
      <c r="E16136" t="s">
        <v>6812</v>
      </c>
    </row>
    <row r="16137" spans="1:5" x14ac:dyDescent="0.25">
      <c r="A16137" t="s">
        <v>2</v>
      </c>
      <c r="B16137" t="s">
        <v>3458</v>
      </c>
      <c r="C16137" t="s">
        <v>23490</v>
      </c>
      <c r="D16137" t="str">
        <f>HYPERLINK("https://rhld.insurance.arkansas.gov/NPILookup?Npi=1912916230","1912916230")</f>
        <v>1912916230</v>
      </c>
      <c r="E16137" t="s">
        <v>3176</v>
      </c>
    </row>
    <row r="16138" spans="1:5" x14ac:dyDescent="0.25">
      <c r="A16138" t="s">
        <v>2</v>
      </c>
      <c r="B16138" t="s">
        <v>3458</v>
      </c>
      <c r="C16138" t="s">
        <v>23490</v>
      </c>
      <c r="D16138" t="str">
        <f>HYPERLINK("https://rhld.insurance.arkansas.gov/NPILookup?Npi=1912921255","1912921255")</f>
        <v>1912921255</v>
      </c>
      <c r="E16138" t="s">
        <v>15919</v>
      </c>
    </row>
    <row r="16139" spans="1:5" x14ac:dyDescent="0.25">
      <c r="A16139" t="s">
        <v>2</v>
      </c>
      <c r="B16139" t="s">
        <v>3458</v>
      </c>
      <c r="C16139" t="s">
        <v>23490</v>
      </c>
      <c r="D16139" t="str">
        <f>HYPERLINK("https://rhld.insurance.arkansas.gov/NPILookup?Npi=1912923905","1912923905")</f>
        <v>1912923905</v>
      </c>
      <c r="E16139" t="s">
        <v>4011</v>
      </c>
    </row>
    <row r="16140" spans="1:5" x14ac:dyDescent="0.25">
      <c r="A16140" t="s">
        <v>2</v>
      </c>
      <c r="B16140" t="s">
        <v>3458</v>
      </c>
      <c r="C16140" t="s">
        <v>23490</v>
      </c>
      <c r="D16140" t="str">
        <f>HYPERLINK("https://rhld.insurance.arkansas.gov/NPILookup?Npi=1912930967","1912930967")</f>
        <v>1912930967</v>
      </c>
      <c r="E16140" t="s">
        <v>3178</v>
      </c>
    </row>
    <row r="16141" spans="1:5" x14ac:dyDescent="0.25">
      <c r="A16141" t="s">
        <v>2</v>
      </c>
      <c r="B16141" t="s">
        <v>3458</v>
      </c>
      <c r="C16141" t="s">
        <v>23490</v>
      </c>
      <c r="D16141" t="str">
        <f>HYPERLINK("https://rhld.insurance.arkansas.gov/NPILookup?Npi=1912943515","1912943515")</f>
        <v>1912943515</v>
      </c>
      <c r="E16141" t="s">
        <v>15920</v>
      </c>
    </row>
    <row r="16142" spans="1:5" x14ac:dyDescent="0.25">
      <c r="A16142" t="s">
        <v>2</v>
      </c>
      <c r="B16142" t="s">
        <v>3458</v>
      </c>
      <c r="C16142" t="s">
        <v>23490</v>
      </c>
      <c r="D16142" t="str">
        <f>HYPERLINK("https://rhld.insurance.arkansas.gov/NPILookup?Npi=1912945528","1912945528")</f>
        <v>1912945528</v>
      </c>
      <c r="E16142" t="s">
        <v>3179</v>
      </c>
    </row>
    <row r="16143" spans="1:5" x14ac:dyDescent="0.25">
      <c r="A16143" t="s">
        <v>2</v>
      </c>
      <c r="B16143" t="s">
        <v>3458</v>
      </c>
      <c r="C16143" t="s">
        <v>23490</v>
      </c>
      <c r="D16143" t="str">
        <f>HYPERLINK("https://rhld.insurance.arkansas.gov/NPILookup?Npi=1912946450","1912946450")</f>
        <v>1912946450</v>
      </c>
      <c r="E16143" t="s">
        <v>15709</v>
      </c>
    </row>
    <row r="16144" spans="1:5" x14ac:dyDescent="0.25">
      <c r="A16144" t="s">
        <v>2</v>
      </c>
      <c r="B16144" t="s">
        <v>3458</v>
      </c>
      <c r="C16144" t="s">
        <v>23490</v>
      </c>
      <c r="D16144" t="str">
        <f>HYPERLINK("https://rhld.insurance.arkansas.gov/NPILookup?Npi=1912960238","1912960238")</f>
        <v>1912960238</v>
      </c>
      <c r="E16144" t="s">
        <v>3181</v>
      </c>
    </row>
    <row r="16145" spans="1:5" x14ac:dyDescent="0.25">
      <c r="A16145" t="s">
        <v>2</v>
      </c>
      <c r="B16145" t="s">
        <v>3458</v>
      </c>
      <c r="C16145" t="s">
        <v>23490</v>
      </c>
      <c r="D16145" t="str">
        <f>HYPERLINK("https://rhld.insurance.arkansas.gov/NPILookup?Npi=1912960519","1912960519")</f>
        <v>1912960519</v>
      </c>
      <c r="E16145" t="s">
        <v>3182</v>
      </c>
    </row>
    <row r="16146" spans="1:5" x14ac:dyDescent="0.25">
      <c r="A16146" t="s">
        <v>2</v>
      </c>
      <c r="B16146" t="s">
        <v>3458</v>
      </c>
      <c r="C16146" t="s">
        <v>23490</v>
      </c>
      <c r="D16146" t="str">
        <f>HYPERLINK("https://rhld.insurance.arkansas.gov/NPILookup?Npi=1912962143","1912962143")</f>
        <v>1912962143</v>
      </c>
      <c r="E16146" t="s">
        <v>3183</v>
      </c>
    </row>
    <row r="16147" spans="1:5" x14ac:dyDescent="0.25">
      <c r="A16147" t="s">
        <v>2</v>
      </c>
      <c r="B16147" t="s">
        <v>3458</v>
      </c>
      <c r="C16147" t="s">
        <v>23490</v>
      </c>
      <c r="D16147" t="str">
        <f>HYPERLINK("https://rhld.insurance.arkansas.gov/NPILookup?Npi=1912965187","1912965187")</f>
        <v>1912965187</v>
      </c>
      <c r="E16147" t="s">
        <v>3184</v>
      </c>
    </row>
    <row r="16148" spans="1:5" x14ac:dyDescent="0.25">
      <c r="A16148" t="s">
        <v>2</v>
      </c>
      <c r="B16148" t="s">
        <v>3458</v>
      </c>
      <c r="C16148" t="s">
        <v>23490</v>
      </c>
      <c r="D16148" t="str">
        <f>HYPERLINK("https://rhld.insurance.arkansas.gov/NPILookup?Npi=1912971318","1912971318")</f>
        <v>1912971318</v>
      </c>
      <c r="E16148" t="s">
        <v>15711</v>
      </c>
    </row>
    <row r="16149" spans="1:5" x14ac:dyDescent="0.25">
      <c r="A16149" t="s">
        <v>2</v>
      </c>
      <c r="B16149" t="s">
        <v>3458</v>
      </c>
      <c r="C16149" t="s">
        <v>23490</v>
      </c>
      <c r="D16149" t="str">
        <f>HYPERLINK("https://rhld.insurance.arkansas.gov/NPILookup?Npi=1912975111","1912975111")</f>
        <v>1912975111</v>
      </c>
      <c r="E16149" t="s">
        <v>3186</v>
      </c>
    </row>
    <row r="16150" spans="1:5" x14ac:dyDescent="0.25">
      <c r="A16150" t="s">
        <v>2</v>
      </c>
      <c r="B16150" t="s">
        <v>3458</v>
      </c>
      <c r="C16150" t="s">
        <v>23490</v>
      </c>
      <c r="D16150" t="str">
        <f>HYPERLINK("https://rhld.insurance.arkansas.gov/NPILookup?Npi=1912979592","1912979592")</f>
        <v>1912979592</v>
      </c>
      <c r="E16150" t="s">
        <v>15712</v>
      </c>
    </row>
    <row r="16151" spans="1:5" x14ac:dyDescent="0.25">
      <c r="A16151" t="s">
        <v>2</v>
      </c>
      <c r="B16151" t="s">
        <v>3458</v>
      </c>
      <c r="C16151" t="s">
        <v>23490</v>
      </c>
      <c r="D16151" t="str">
        <f>HYPERLINK("https://rhld.insurance.arkansas.gov/NPILookup?Npi=1912987561","1912987561")</f>
        <v>1912987561</v>
      </c>
      <c r="E16151" t="s">
        <v>4012</v>
      </c>
    </row>
    <row r="16152" spans="1:5" x14ac:dyDescent="0.25">
      <c r="A16152" t="s">
        <v>2</v>
      </c>
      <c r="B16152" t="s">
        <v>3458</v>
      </c>
      <c r="C16152" t="s">
        <v>23490</v>
      </c>
      <c r="D16152" t="str">
        <f>HYPERLINK("https://rhld.insurance.arkansas.gov/NPILookup?Npi=1922003169","1922003169")</f>
        <v>1922003169</v>
      </c>
      <c r="E16152" t="s">
        <v>3187</v>
      </c>
    </row>
    <row r="16153" spans="1:5" x14ac:dyDescent="0.25">
      <c r="A16153" t="s">
        <v>2</v>
      </c>
      <c r="B16153" t="s">
        <v>3458</v>
      </c>
      <c r="C16153" t="s">
        <v>23490</v>
      </c>
      <c r="D16153" t="str">
        <f>HYPERLINK("https://rhld.insurance.arkansas.gov/NPILookup?Npi=1922005941","1922005941")</f>
        <v>1922005941</v>
      </c>
      <c r="E16153" t="s">
        <v>3189</v>
      </c>
    </row>
    <row r="16154" spans="1:5" x14ac:dyDescent="0.25">
      <c r="A16154" t="s">
        <v>2</v>
      </c>
      <c r="B16154" t="s">
        <v>3458</v>
      </c>
      <c r="C16154" t="s">
        <v>23490</v>
      </c>
      <c r="D16154" t="str">
        <f>HYPERLINK("https://rhld.insurance.arkansas.gov/NPILookup?Npi=1922005974","1922005974")</f>
        <v>1922005974</v>
      </c>
      <c r="E16154" t="s">
        <v>3190</v>
      </c>
    </row>
    <row r="16155" spans="1:5" x14ac:dyDescent="0.25">
      <c r="A16155" t="s">
        <v>2</v>
      </c>
      <c r="B16155" t="s">
        <v>3458</v>
      </c>
      <c r="C16155" t="s">
        <v>23490</v>
      </c>
      <c r="D16155" t="str">
        <f>HYPERLINK("https://rhld.insurance.arkansas.gov/NPILookup?Npi=1922007129","1922007129")</f>
        <v>1922007129</v>
      </c>
      <c r="E16155" t="s">
        <v>4013</v>
      </c>
    </row>
    <row r="16156" spans="1:5" x14ac:dyDescent="0.25">
      <c r="A16156" t="s">
        <v>2</v>
      </c>
      <c r="B16156" t="s">
        <v>3458</v>
      </c>
      <c r="C16156" t="s">
        <v>23490</v>
      </c>
      <c r="D16156" t="str">
        <f>HYPERLINK("https://rhld.insurance.arkansas.gov/NPILookup?Npi=1922007905","1922007905")</f>
        <v>1922007905</v>
      </c>
      <c r="E16156" t="s">
        <v>3192</v>
      </c>
    </row>
    <row r="16157" spans="1:5" x14ac:dyDescent="0.25">
      <c r="A16157" t="s">
        <v>2</v>
      </c>
      <c r="B16157" t="s">
        <v>3458</v>
      </c>
      <c r="C16157" t="s">
        <v>23490</v>
      </c>
      <c r="D16157" t="str">
        <f>HYPERLINK("https://rhld.insurance.arkansas.gov/NPILookup?Npi=1922016674","1922016674")</f>
        <v>1922016674</v>
      </c>
      <c r="E16157" t="s">
        <v>3193</v>
      </c>
    </row>
    <row r="16158" spans="1:5" x14ac:dyDescent="0.25">
      <c r="A16158" t="s">
        <v>2</v>
      </c>
      <c r="B16158" t="s">
        <v>3458</v>
      </c>
      <c r="C16158" t="s">
        <v>23490</v>
      </c>
      <c r="D16158" t="str">
        <f>HYPERLINK("https://rhld.insurance.arkansas.gov/NPILookup?Npi=1922027200","1922027200")</f>
        <v>1922027200</v>
      </c>
      <c r="E16158" t="s">
        <v>4014</v>
      </c>
    </row>
    <row r="16159" spans="1:5" x14ac:dyDescent="0.25">
      <c r="A16159" t="s">
        <v>2</v>
      </c>
      <c r="B16159" t="s">
        <v>3458</v>
      </c>
      <c r="C16159" t="s">
        <v>23490</v>
      </c>
      <c r="D16159" t="str">
        <f>HYPERLINK("https://rhld.insurance.arkansas.gov/NPILookup?Npi=1922036268","1922036268")</f>
        <v>1922036268</v>
      </c>
      <c r="E16159" t="s">
        <v>4015</v>
      </c>
    </row>
    <row r="16160" spans="1:5" x14ac:dyDescent="0.25">
      <c r="A16160" t="s">
        <v>2</v>
      </c>
      <c r="B16160" t="s">
        <v>3458</v>
      </c>
      <c r="C16160" t="s">
        <v>23490</v>
      </c>
      <c r="D16160" t="str">
        <f>HYPERLINK("https://rhld.insurance.arkansas.gov/NPILookup?Npi=1922041326","1922041326")</f>
        <v>1922041326</v>
      </c>
      <c r="E16160" t="s">
        <v>2655</v>
      </c>
    </row>
    <row r="16161" spans="1:5" x14ac:dyDescent="0.25">
      <c r="A16161" t="s">
        <v>2</v>
      </c>
      <c r="B16161" t="s">
        <v>3458</v>
      </c>
      <c r="C16161" t="s">
        <v>23490</v>
      </c>
      <c r="D16161" t="str">
        <f>HYPERLINK("https://rhld.insurance.arkansas.gov/NPILookup?Npi=1922047729","1922047729")</f>
        <v>1922047729</v>
      </c>
      <c r="E16161" t="s">
        <v>15713</v>
      </c>
    </row>
    <row r="16162" spans="1:5" x14ac:dyDescent="0.25">
      <c r="A16162" t="s">
        <v>2</v>
      </c>
      <c r="B16162" t="s">
        <v>3458</v>
      </c>
      <c r="C16162" t="s">
        <v>23490</v>
      </c>
      <c r="D16162" t="str">
        <f>HYPERLINK("https://rhld.insurance.arkansas.gov/NPILookup?Npi=1922048586","1922048586")</f>
        <v>1922048586</v>
      </c>
      <c r="E16162" t="s">
        <v>3195</v>
      </c>
    </row>
    <row r="16163" spans="1:5" x14ac:dyDescent="0.25">
      <c r="A16163" t="s">
        <v>2</v>
      </c>
      <c r="B16163" t="s">
        <v>3458</v>
      </c>
      <c r="C16163" t="s">
        <v>23490</v>
      </c>
      <c r="D16163" t="str">
        <f>HYPERLINK("https://rhld.insurance.arkansas.gov/NPILookup?Npi=1922054428","1922054428")</f>
        <v>1922054428</v>
      </c>
      <c r="E16163" t="s">
        <v>3196</v>
      </c>
    </row>
    <row r="16164" spans="1:5" x14ac:dyDescent="0.25">
      <c r="A16164" t="s">
        <v>2</v>
      </c>
      <c r="B16164" t="s">
        <v>3458</v>
      </c>
      <c r="C16164" t="s">
        <v>23490</v>
      </c>
      <c r="D16164" t="str">
        <f>HYPERLINK("https://rhld.insurance.arkansas.gov/NPILookup?Npi=1922064591","1922064591")</f>
        <v>1922064591</v>
      </c>
      <c r="E16164" t="s">
        <v>15714</v>
      </c>
    </row>
    <row r="16165" spans="1:5" x14ac:dyDescent="0.25">
      <c r="A16165" t="s">
        <v>2</v>
      </c>
      <c r="B16165" t="s">
        <v>3458</v>
      </c>
      <c r="C16165" t="s">
        <v>23490</v>
      </c>
      <c r="D16165" t="str">
        <f>HYPERLINK("https://rhld.insurance.arkansas.gov/NPILookup?Npi=1922071695","1922071695")</f>
        <v>1922071695</v>
      </c>
      <c r="E16165" t="s">
        <v>3198</v>
      </c>
    </row>
    <row r="16166" spans="1:5" x14ac:dyDescent="0.25">
      <c r="A16166" t="s">
        <v>2</v>
      </c>
      <c r="B16166" t="s">
        <v>3458</v>
      </c>
      <c r="C16166" t="s">
        <v>23490</v>
      </c>
      <c r="D16166" t="str">
        <f>HYPERLINK("https://rhld.insurance.arkansas.gov/NPILookup?Npi=1922074541","1922074541")</f>
        <v>1922074541</v>
      </c>
      <c r="E16166" t="s">
        <v>11377</v>
      </c>
    </row>
    <row r="16167" spans="1:5" x14ac:dyDescent="0.25">
      <c r="A16167" t="s">
        <v>2</v>
      </c>
      <c r="B16167" t="s">
        <v>3458</v>
      </c>
      <c r="C16167" t="s">
        <v>23490</v>
      </c>
      <c r="D16167" t="str">
        <f>HYPERLINK("https://rhld.insurance.arkansas.gov/NPILookup?Npi=1922075654","1922075654")</f>
        <v>1922075654</v>
      </c>
      <c r="E16167" t="s">
        <v>12935</v>
      </c>
    </row>
    <row r="16168" spans="1:5" x14ac:dyDescent="0.25">
      <c r="A16168" t="s">
        <v>2</v>
      </c>
      <c r="B16168" t="s">
        <v>3458</v>
      </c>
      <c r="C16168" t="s">
        <v>23490</v>
      </c>
      <c r="D16168" t="str">
        <f>HYPERLINK("https://rhld.insurance.arkansas.gov/NPILookup?Npi=1922088269","1922088269")</f>
        <v>1922088269</v>
      </c>
      <c r="E16168" t="s">
        <v>3199</v>
      </c>
    </row>
    <row r="16169" spans="1:5" x14ac:dyDescent="0.25">
      <c r="A16169" t="s">
        <v>2</v>
      </c>
      <c r="B16169" t="s">
        <v>3458</v>
      </c>
      <c r="C16169" t="s">
        <v>23490</v>
      </c>
      <c r="D16169" t="str">
        <f>HYPERLINK("https://rhld.insurance.arkansas.gov/NPILookup?Npi=1922089192","1922089192")</f>
        <v>1922089192</v>
      </c>
      <c r="E16169" t="s">
        <v>4016</v>
      </c>
    </row>
    <row r="16170" spans="1:5" x14ac:dyDescent="0.25">
      <c r="A16170" t="s">
        <v>2</v>
      </c>
      <c r="B16170" t="s">
        <v>3458</v>
      </c>
      <c r="C16170" t="s">
        <v>23490</v>
      </c>
      <c r="D16170" t="str">
        <f>HYPERLINK("https://rhld.insurance.arkansas.gov/NPILookup?Npi=1922090836","1922090836")</f>
        <v>1922090836</v>
      </c>
      <c r="E16170" t="s">
        <v>3200</v>
      </c>
    </row>
    <row r="16171" spans="1:5" x14ac:dyDescent="0.25">
      <c r="A16171" t="s">
        <v>2</v>
      </c>
      <c r="B16171" t="s">
        <v>3458</v>
      </c>
      <c r="C16171" t="s">
        <v>23490</v>
      </c>
      <c r="D16171" t="str">
        <f>HYPERLINK("https://rhld.insurance.arkansas.gov/NPILookup?Npi=1922092949","1922092949")</f>
        <v>1922092949</v>
      </c>
      <c r="E16171" t="s">
        <v>4017</v>
      </c>
    </row>
    <row r="16172" spans="1:5" x14ac:dyDescent="0.25">
      <c r="A16172" t="s">
        <v>2</v>
      </c>
      <c r="B16172" t="s">
        <v>3458</v>
      </c>
      <c r="C16172" t="s">
        <v>23490</v>
      </c>
      <c r="D16172" t="str">
        <f>HYPERLINK("https://rhld.insurance.arkansas.gov/NPILookup?Npi=1922096379","1922096379")</f>
        <v>1922096379</v>
      </c>
      <c r="E16172" t="s">
        <v>18176</v>
      </c>
    </row>
    <row r="16173" spans="1:5" x14ac:dyDescent="0.25">
      <c r="A16173" t="s">
        <v>2</v>
      </c>
      <c r="B16173" t="s">
        <v>3458</v>
      </c>
      <c r="C16173" t="s">
        <v>23490</v>
      </c>
      <c r="D16173" t="str">
        <f>HYPERLINK("https://rhld.insurance.arkansas.gov/NPILookup?Npi=1922101716","1922101716")</f>
        <v>1922101716</v>
      </c>
      <c r="E16173" t="s">
        <v>3201</v>
      </c>
    </row>
    <row r="16174" spans="1:5" x14ac:dyDescent="0.25">
      <c r="A16174" t="s">
        <v>2</v>
      </c>
      <c r="B16174" t="s">
        <v>3458</v>
      </c>
      <c r="C16174" t="s">
        <v>23490</v>
      </c>
      <c r="D16174" t="str">
        <f>HYPERLINK("https://rhld.insurance.arkansas.gov/NPILookup?Npi=1922102235","1922102235")</f>
        <v>1922102235</v>
      </c>
      <c r="E16174" t="s">
        <v>3202</v>
      </c>
    </row>
    <row r="16175" spans="1:5" x14ac:dyDescent="0.25">
      <c r="A16175" t="s">
        <v>2</v>
      </c>
      <c r="B16175" t="s">
        <v>3458</v>
      </c>
      <c r="C16175" t="s">
        <v>23490</v>
      </c>
      <c r="D16175" t="str">
        <f>HYPERLINK("https://rhld.insurance.arkansas.gov/NPILookup?Npi=1922133206","1922133206")</f>
        <v>1922133206</v>
      </c>
      <c r="E16175" t="s">
        <v>15715</v>
      </c>
    </row>
    <row r="16176" spans="1:5" x14ac:dyDescent="0.25">
      <c r="A16176" t="s">
        <v>2</v>
      </c>
      <c r="B16176" t="s">
        <v>3458</v>
      </c>
      <c r="C16176" t="s">
        <v>23490</v>
      </c>
      <c r="D16176" t="str">
        <f>HYPERLINK("https://rhld.insurance.arkansas.gov/NPILookup?Npi=1922157924","1922157924")</f>
        <v>1922157924</v>
      </c>
      <c r="E16176" t="s">
        <v>3207</v>
      </c>
    </row>
    <row r="16177" spans="1:5" x14ac:dyDescent="0.25">
      <c r="A16177" t="s">
        <v>2</v>
      </c>
      <c r="B16177" t="s">
        <v>3458</v>
      </c>
      <c r="C16177" t="s">
        <v>23490</v>
      </c>
      <c r="D16177" t="str">
        <f>HYPERLINK("https://rhld.insurance.arkansas.gov/NPILookup?Npi=1922176569","1922176569")</f>
        <v>1922176569</v>
      </c>
      <c r="E16177" t="s">
        <v>11378</v>
      </c>
    </row>
    <row r="16178" spans="1:5" x14ac:dyDescent="0.25">
      <c r="A16178" t="s">
        <v>2</v>
      </c>
      <c r="B16178" t="s">
        <v>3458</v>
      </c>
      <c r="C16178" t="s">
        <v>23490</v>
      </c>
      <c r="D16178" t="str">
        <f>HYPERLINK("https://rhld.insurance.arkansas.gov/NPILookup?Npi=1922191584","1922191584")</f>
        <v>1922191584</v>
      </c>
      <c r="E16178" t="s">
        <v>13042</v>
      </c>
    </row>
    <row r="16179" spans="1:5" x14ac:dyDescent="0.25">
      <c r="A16179" t="s">
        <v>2</v>
      </c>
      <c r="B16179" t="s">
        <v>3458</v>
      </c>
      <c r="C16179" t="s">
        <v>23490</v>
      </c>
      <c r="D16179" t="str">
        <f>HYPERLINK("https://rhld.insurance.arkansas.gov/NPILookup?Npi=1922198688","1922198688")</f>
        <v>1922198688</v>
      </c>
      <c r="E16179" t="s">
        <v>15716</v>
      </c>
    </row>
    <row r="16180" spans="1:5" x14ac:dyDescent="0.25">
      <c r="A16180" t="s">
        <v>2</v>
      </c>
      <c r="B16180" t="s">
        <v>3458</v>
      </c>
      <c r="C16180" t="s">
        <v>23490</v>
      </c>
      <c r="D16180" t="str">
        <f>HYPERLINK("https://rhld.insurance.arkansas.gov/NPILookup?Npi=1922230614","1922230614")</f>
        <v>1922230614</v>
      </c>
      <c r="E16180" t="s">
        <v>3209</v>
      </c>
    </row>
    <row r="16181" spans="1:5" x14ac:dyDescent="0.25">
      <c r="A16181" t="s">
        <v>2</v>
      </c>
      <c r="B16181" t="s">
        <v>3458</v>
      </c>
      <c r="C16181" t="s">
        <v>23490</v>
      </c>
      <c r="D16181" t="str">
        <f>HYPERLINK("https://rhld.insurance.arkansas.gov/NPILookup?Npi=1922261114","1922261114")</f>
        <v>1922261114</v>
      </c>
      <c r="E16181" t="s">
        <v>15717</v>
      </c>
    </row>
    <row r="16182" spans="1:5" x14ac:dyDescent="0.25">
      <c r="A16182" t="s">
        <v>2</v>
      </c>
      <c r="B16182" t="s">
        <v>3458</v>
      </c>
      <c r="C16182" t="s">
        <v>23490</v>
      </c>
      <c r="D16182" t="str">
        <f>HYPERLINK("https://rhld.insurance.arkansas.gov/NPILookup?Npi=1922265560","1922265560")</f>
        <v>1922265560</v>
      </c>
      <c r="E16182" t="s">
        <v>18900</v>
      </c>
    </row>
    <row r="16183" spans="1:5" x14ac:dyDescent="0.25">
      <c r="A16183" t="s">
        <v>2</v>
      </c>
      <c r="B16183" t="s">
        <v>3458</v>
      </c>
      <c r="C16183" t="s">
        <v>23490</v>
      </c>
      <c r="D16183" t="str">
        <f>HYPERLINK("https://rhld.insurance.arkansas.gov/NPILookup?Npi=1922268911","1922268911")</f>
        <v>1922268911</v>
      </c>
      <c r="E16183" t="s">
        <v>3212</v>
      </c>
    </row>
    <row r="16184" spans="1:5" x14ac:dyDescent="0.25">
      <c r="A16184" t="s">
        <v>2</v>
      </c>
      <c r="B16184" t="s">
        <v>3458</v>
      </c>
      <c r="C16184" t="s">
        <v>23490</v>
      </c>
      <c r="D16184" t="str">
        <f>HYPERLINK("https://rhld.insurance.arkansas.gov/NPILookup?Npi=1922272426","1922272426")</f>
        <v>1922272426</v>
      </c>
      <c r="E16184" t="s">
        <v>319</v>
      </c>
    </row>
    <row r="16185" spans="1:5" x14ac:dyDescent="0.25">
      <c r="A16185" t="s">
        <v>2</v>
      </c>
      <c r="B16185" t="s">
        <v>3458</v>
      </c>
      <c r="C16185" t="s">
        <v>23490</v>
      </c>
      <c r="D16185" t="str">
        <f>HYPERLINK("https://rhld.insurance.arkansas.gov/NPILookup?Npi=1922273580","1922273580")</f>
        <v>1922273580</v>
      </c>
      <c r="E16185" t="s">
        <v>13043</v>
      </c>
    </row>
    <row r="16186" spans="1:5" x14ac:dyDescent="0.25">
      <c r="A16186" t="s">
        <v>2</v>
      </c>
      <c r="B16186" t="s">
        <v>3458</v>
      </c>
      <c r="C16186" t="s">
        <v>23490</v>
      </c>
      <c r="D16186" t="str">
        <f>HYPERLINK("https://rhld.insurance.arkansas.gov/NPILookup?Npi=1922278878","1922278878")</f>
        <v>1922278878</v>
      </c>
      <c r="E16186" t="s">
        <v>8923</v>
      </c>
    </row>
    <row r="16187" spans="1:5" x14ac:dyDescent="0.25">
      <c r="A16187" t="s">
        <v>2</v>
      </c>
      <c r="B16187" t="s">
        <v>3458</v>
      </c>
      <c r="C16187" t="s">
        <v>23490</v>
      </c>
      <c r="D16187" t="str">
        <f>HYPERLINK("https://rhld.insurance.arkansas.gov/NPILookup?Npi=1922299072","1922299072")</f>
        <v>1922299072</v>
      </c>
      <c r="E16187" t="s">
        <v>15718</v>
      </c>
    </row>
    <row r="16188" spans="1:5" x14ac:dyDescent="0.25">
      <c r="A16188" t="s">
        <v>2</v>
      </c>
      <c r="B16188" t="s">
        <v>3458</v>
      </c>
      <c r="C16188" t="s">
        <v>23490</v>
      </c>
      <c r="D16188" t="str">
        <f>HYPERLINK("https://rhld.insurance.arkansas.gov/NPILookup?Npi=1922304369","1922304369")</f>
        <v>1922304369</v>
      </c>
      <c r="E16188" t="s">
        <v>3214</v>
      </c>
    </row>
    <row r="16189" spans="1:5" x14ac:dyDescent="0.25">
      <c r="A16189" t="s">
        <v>2</v>
      </c>
      <c r="B16189" t="s">
        <v>3458</v>
      </c>
      <c r="C16189" t="s">
        <v>23490</v>
      </c>
      <c r="D16189" t="str">
        <f>HYPERLINK("https://rhld.insurance.arkansas.gov/NPILookup?Npi=1922305051","1922305051")</f>
        <v>1922305051</v>
      </c>
      <c r="E16189" t="s">
        <v>3215</v>
      </c>
    </row>
    <row r="16190" spans="1:5" x14ac:dyDescent="0.25">
      <c r="A16190" t="s">
        <v>2</v>
      </c>
      <c r="B16190" t="s">
        <v>3458</v>
      </c>
      <c r="C16190" t="s">
        <v>23490</v>
      </c>
      <c r="D16190" t="str">
        <f>HYPERLINK("https://rhld.insurance.arkansas.gov/NPILookup?Npi=1922307784","1922307784")</f>
        <v>1922307784</v>
      </c>
      <c r="E16190" t="s">
        <v>3216</v>
      </c>
    </row>
    <row r="16191" spans="1:5" x14ac:dyDescent="0.25">
      <c r="A16191" t="s">
        <v>2</v>
      </c>
      <c r="B16191" t="s">
        <v>3458</v>
      </c>
      <c r="C16191" t="s">
        <v>23490</v>
      </c>
      <c r="D16191" t="str">
        <f>HYPERLINK("https://rhld.insurance.arkansas.gov/NPILookup?Npi=1922314863","1922314863")</f>
        <v>1922314863</v>
      </c>
      <c r="E16191" t="s">
        <v>21063</v>
      </c>
    </row>
    <row r="16192" spans="1:5" x14ac:dyDescent="0.25">
      <c r="A16192" t="s">
        <v>2</v>
      </c>
      <c r="B16192" t="s">
        <v>3458</v>
      </c>
      <c r="C16192" t="s">
        <v>23490</v>
      </c>
      <c r="D16192" t="str">
        <f>HYPERLINK("https://rhld.insurance.arkansas.gov/NPILookup?Npi=1922339142","1922339142")</f>
        <v>1922339142</v>
      </c>
      <c r="E16192" t="s">
        <v>17080</v>
      </c>
    </row>
    <row r="16193" spans="1:5" x14ac:dyDescent="0.25">
      <c r="A16193" t="s">
        <v>2</v>
      </c>
      <c r="B16193" t="s">
        <v>3458</v>
      </c>
      <c r="C16193" t="s">
        <v>23490</v>
      </c>
      <c r="D16193" t="str">
        <f>HYPERLINK("https://rhld.insurance.arkansas.gov/NPILookup?Npi=1922348374","1922348374")</f>
        <v>1922348374</v>
      </c>
      <c r="E16193" t="s">
        <v>3217</v>
      </c>
    </row>
    <row r="16194" spans="1:5" x14ac:dyDescent="0.25">
      <c r="A16194" t="s">
        <v>2</v>
      </c>
      <c r="B16194" t="s">
        <v>3458</v>
      </c>
      <c r="C16194" t="s">
        <v>23490</v>
      </c>
      <c r="D16194" t="str">
        <f>HYPERLINK("https://rhld.insurance.arkansas.gov/NPILookup?Npi=1922348689","1922348689")</f>
        <v>1922348689</v>
      </c>
      <c r="E16194" t="s">
        <v>13044</v>
      </c>
    </row>
    <row r="16195" spans="1:5" x14ac:dyDescent="0.25">
      <c r="A16195" t="s">
        <v>2</v>
      </c>
      <c r="B16195" t="s">
        <v>3458</v>
      </c>
      <c r="C16195" t="s">
        <v>23490</v>
      </c>
      <c r="D16195" t="str">
        <f>HYPERLINK("https://rhld.insurance.arkansas.gov/NPILookup?Npi=1922363175","1922363175")</f>
        <v>1922363175</v>
      </c>
      <c r="E16195" t="s">
        <v>8924</v>
      </c>
    </row>
    <row r="16196" spans="1:5" x14ac:dyDescent="0.25">
      <c r="A16196" t="s">
        <v>2</v>
      </c>
      <c r="B16196" t="s">
        <v>3458</v>
      </c>
      <c r="C16196" t="s">
        <v>23490</v>
      </c>
      <c r="D16196" t="str">
        <f>HYPERLINK("https://rhld.insurance.arkansas.gov/NPILookup?Npi=1922372952","1922372952")</f>
        <v>1922372952</v>
      </c>
      <c r="E16196" t="s">
        <v>20131</v>
      </c>
    </row>
    <row r="16197" spans="1:5" x14ac:dyDescent="0.25">
      <c r="A16197" t="s">
        <v>2</v>
      </c>
      <c r="B16197" t="s">
        <v>3458</v>
      </c>
      <c r="C16197" t="s">
        <v>23490</v>
      </c>
      <c r="D16197" t="str">
        <f>HYPERLINK("https://rhld.insurance.arkansas.gov/NPILookup?Npi=1922390418","1922390418")</f>
        <v>1922390418</v>
      </c>
      <c r="E16197" t="s">
        <v>3219</v>
      </c>
    </row>
    <row r="16198" spans="1:5" x14ac:dyDescent="0.25">
      <c r="A16198" t="s">
        <v>2</v>
      </c>
      <c r="B16198" t="s">
        <v>3458</v>
      </c>
      <c r="C16198" t="s">
        <v>23490</v>
      </c>
      <c r="D16198" t="str">
        <f>HYPERLINK("https://rhld.insurance.arkansas.gov/NPILookup?Npi=1922422013","1922422013")</f>
        <v>1922422013</v>
      </c>
      <c r="E16198" t="s">
        <v>12409</v>
      </c>
    </row>
    <row r="16199" spans="1:5" x14ac:dyDescent="0.25">
      <c r="A16199" t="s">
        <v>2</v>
      </c>
      <c r="B16199" t="s">
        <v>3458</v>
      </c>
      <c r="C16199" t="s">
        <v>23490</v>
      </c>
      <c r="D16199" t="str">
        <f>HYPERLINK("https://rhld.insurance.arkansas.gov/NPILookup?Npi=1922426683","1922426683")</f>
        <v>1922426683</v>
      </c>
      <c r="E16199" t="s">
        <v>11379</v>
      </c>
    </row>
    <row r="16200" spans="1:5" x14ac:dyDescent="0.25">
      <c r="A16200" t="s">
        <v>2</v>
      </c>
      <c r="B16200" t="s">
        <v>3458</v>
      </c>
      <c r="C16200" t="s">
        <v>23490</v>
      </c>
      <c r="D16200" t="str">
        <f>HYPERLINK("https://rhld.insurance.arkansas.gov/NPILookup?Npi=1922434885","1922434885")</f>
        <v>1922434885</v>
      </c>
      <c r="E16200" t="s">
        <v>3220</v>
      </c>
    </row>
    <row r="16201" spans="1:5" x14ac:dyDescent="0.25">
      <c r="A16201" t="s">
        <v>2</v>
      </c>
      <c r="B16201" t="s">
        <v>3458</v>
      </c>
      <c r="C16201" t="s">
        <v>23490</v>
      </c>
      <c r="D16201" t="str">
        <f>HYPERLINK("https://rhld.insurance.arkansas.gov/NPILookup?Npi=1922441120","1922441120")</f>
        <v>1922441120</v>
      </c>
      <c r="E16201" t="s">
        <v>15921</v>
      </c>
    </row>
    <row r="16202" spans="1:5" x14ac:dyDescent="0.25">
      <c r="A16202" t="s">
        <v>2</v>
      </c>
      <c r="B16202" t="s">
        <v>3458</v>
      </c>
      <c r="C16202" t="s">
        <v>23490</v>
      </c>
      <c r="D16202" t="str">
        <f>HYPERLINK("https://rhld.insurance.arkansas.gov/NPILookup?Npi=1922442656","1922442656")</f>
        <v>1922442656</v>
      </c>
      <c r="E16202" t="s">
        <v>8925</v>
      </c>
    </row>
    <row r="16203" spans="1:5" x14ac:dyDescent="0.25">
      <c r="A16203" t="s">
        <v>2</v>
      </c>
      <c r="B16203" t="s">
        <v>3458</v>
      </c>
      <c r="C16203" t="s">
        <v>23490</v>
      </c>
      <c r="D16203" t="str">
        <f>HYPERLINK("https://rhld.insurance.arkansas.gov/NPILookup?Npi=1922453935","1922453935")</f>
        <v>1922453935</v>
      </c>
      <c r="E16203" t="s">
        <v>18177</v>
      </c>
    </row>
    <row r="16204" spans="1:5" x14ac:dyDescent="0.25">
      <c r="A16204" t="s">
        <v>2</v>
      </c>
      <c r="B16204" t="s">
        <v>3458</v>
      </c>
      <c r="C16204" t="s">
        <v>23490</v>
      </c>
      <c r="D16204" t="str">
        <f>HYPERLINK("https://rhld.insurance.arkansas.gov/NPILookup?Npi=1922457753","1922457753")</f>
        <v>1922457753</v>
      </c>
      <c r="E16204" t="s">
        <v>11380</v>
      </c>
    </row>
    <row r="16205" spans="1:5" x14ac:dyDescent="0.25">
      <c r="A16205" t="s">
        <v>2</v>
      </c>
      <c r="B16205" t="s">
        <v>3458</v>
      </c>
      <c r="C16205" t="s">
        <v>23490</v>
      </c>
      <c r="D16205" t="str">
        <f>HYPERLINK("https://rhld.insurance.arkansas.gov/NPILookup?Npi=1922457886","1922457886")</f>
        <v>1922457886</v>
      </c>
      <c r="E16205" t="s">
        <v>15720</v>
      </c>
    </row>
    <row r="16206" spans="1:5" x14ac:dyDescent="0.25">
      <c r="A16206" t="s">
        <v>2</v>
      </c>
      <c r="B16206" t="s">
        <v>3458</v>
      </c>
      <c r="C16206" t="s">
        <v>23490</v>
      </c>
      <c r="D16206" t="str">
        <f>HYPERLINK("https://rhld.insurance.arkansas.gov/NPILookup?Npi=1922460658","1922460658")</f>
        <v>1922460658</v>
      </c>
      <c r="E16206" t="s">
        <v>17495</v>
      </c>
    </row>
    <row r="16207" spans="1:5" x14ac:dyDescent="0.25">
      <c r="A16207" t="s">
        <v>2</v>
      </c>
      <c r="B16207" t="s">
        <v>3458</v>
      </c>
      <c r="C16207" t="s">
        <v>23490</v>
      </c>
      <c r="D16207" t="str">
        <f>HYPERLINK("https://rhld.insurance.arkansas.gov/NPILookup?Npi=1922461565","1922461565")</f>
        <v>1922461565</v>
      </c>
      <c r="E16207" t="s">
        <v>21764</v>
      </c>
    </row>
    <row r="16208" spans="1:5" x14ac:dyDescent="0.25">
      <c r="A16208" t="s">
        <v>2</v>
      </c>
      <c r="B16208" t="s">
        <v>3458</v>
      </c>
      <c r="C16208" t="s">
        <v>23490</v>
      </c>
      <c r="D16208" t="str">
        <f>HYPERLINK("https://rhld.insurance.arkansas.gov/NPILookup?Npi=1922463256","1922463256")</f>
        <v>1922463256</v>
      </c>
      <c r="E16208" t="s">
        <v>13789</v>
      </c>
    </row>
    <row r="16209" spans="1:5" x14ac:dyDescent="0.25">
      <c r="A16209" t="s">
        <v>2</v>
      </c>
      <c r="B16209" t="s">
        <v>3458</v>
      </c>
      <c r="C16209" t="s">
        <v>23490</v>
      </c>
      <c r="D16209" t="str">
        <f>HYPERLINK("https://rhld.insurance.arkansas.gov/NPILookup?Npi=1922467869","1922467869")</f>
        <v>1922467869</v>
      </c>
      <c r="E16209" t="s">
        <v>8926</v>
      </c>
    </row>
    <row r="16210" spans="1:5" x14ac:dyDescent="0.25">
      <c r="A16210" t="s">
        <v>2</v>
      </c>
      <c r="B16210" t="s">
        <v>3458</v>
      </c>
      <c r="C16210" t="s">
        <v>23490</v>
      </c>
      <c r="D16210" t="str">
        <f>HYPERLINK("https://rhld.insurance.arkansas.gov/NPILookup?Npi=1922474014","1922474014")</f>
        <v>1922474014</v>
      </c>
      <c r="E16210" t="s">
        <v>2777</v>
      </c>
    </row>
    <row r="16211" spans="1:5" x14ac:dyDescent="0.25">
      <c r="A16211" t="s">
        <v>2</v>
      </c>
      <c r="B16211" t="s">
        <v>3458</v>
      </c>
      <c r="C16211" t="s">
        <v>23490</v>
      </c>
      <c r="D16211" t="str">
        <f>HYPERLINK("https://rhld.insurance.arkansas.gov/NPILookup?Npi=1922483387","1922483387")</f>
        <v>1922483387</v>
      </c>
      <c r="E16211" t="s">
        <v>15721</v>
      </c>
    </row>
    <row r="16212" spans="1:5" x14ac:dyDescent="0.25">
      <c r="A16212" t="s">
        <v>2</v>
      </c>
      <c r="B16212" t="s">
        <v>3458</v>
      </c>
      <c r="C16212" t="s">
        <v>23490</v>
      </c>
      <c r="D16212" t="str">
        <f>HYPERLINK("https://rhld.insurance.arkansas.gov/NPILookup?Npi=1922489483","1922489483")</f>
        <v>1922489483</v>
      </c>
      <c r="E16212" t="s">
        <v>13883</v>
      </c>
    </row>
    <row r="16213" spans="1:5" x14ac:dyDescent="0.25">
      <c r="A16213" t="s">
        <v>2</v>
      </c>
      <c r="B16213" t="s">
        <v>3458</v>
      </c>
      <c r="C16213" t="s">
        <v>23490</v>
      </c>
      <c r="D16213" t="str">
        <f>HYPERLINK("https://rhld.insurance.arkansas.gov/NPILookup?Npi=1922491307","1922491307")</f>
        <v>1922491307</v>
      </c>
      <c r="E16213" t="s">
        <v>3221</v>
      </c>
    </row>
    <row r="16214" spans="1:5" x14ac:dyDescent="0.25">
      <c r="A16214" t="s">
        <v>2</v>
      </c>
      <c r="B16214" t="s">
        <v>3458</v>
      </c>
      <c r="C16214" t="s">
        <v>23490</v>
      </c>
      <c r="D16214" t="str">
        <f>HYPERLINK("https://rhld.insurance.arkansas.gov/NPILookup?Npi=1922492859","1922492859")</f>
        <v>1922492859</v>
      </c>
      <c r="E16214" t="s">
        <v>13790</v>
      </c>
    </row>
    <row r="16215" spans="1:5" x14ac:dyDescent="0.25">
      <c r="A16215" t="s">
        <v>2</v>
      </c>
      <c r="B16215" t="s">
        <v>3458</v>
      </c>
      <c r="C16215" t="s">
        <v>23490</v>
      </c>
      <c r="D16215" t="str">
        <f>HYPERLINK("https://rhld.insurance.arkansas.gov/NPILookup?Npi=1922497049","1922497049")</f>
        <v>1922497049</v>
      </c>
      <c r="E16215" t="s">
        <v>8927</v>
      </c>
    </row>
    <row r="16216" spans="1:5" x14ac:dyDescent="0.25">
      <c r="A16216" t="s">
        <v>2</v>
      </c>
      <c r="B16216" t="s">
        <v>3458</v>
      </c>
      <c r="C16216" t="s">
        <v>23490</v>
      </c>
      <c r="D16216" t="str">
        <f>HYPERLINK("https://rhld.insurance.arkansas.gov/NPILookup?Npi=1922505080","1922505080")</f>
        <v>1922505080</v>
      </c>
      <c r="E16216" t="s">
        <v>21680</v>
      </c>
    </row>
    <row r="16217" spans="1:5" x14ac:dyDescent="0.25">
      <c r="A16217" t="s">
        <v>2</v>
      </c>
      <c r="B16217" t="s">
        <v>3458</v>
      </c>
      <c r="C16217" t="s">
        <v>23490</v>
      </c>
      <c r="D16217" t="str">
        <f>HYPERLINK("https://rhld.insurance.arkansas.gov/NPILookup?Npi=1922549906","1922549906")</f>
        <v>1922549906</v>
      </c>
      <c r="E16217" t="s">
        <v>15722</v>
      </c>
    </row>
    <row r="16218" spans="1:5" x14ac:dyDescent="0.25">
      <c r="A16218" t="s">
        <v>2</v>
      </c>
      <c r="B16218" t="s">
        <v>3458</v>
      </c>
      <c r="C16218" t="s">
        <v>23490</v>
      </c>
      <c r="D16218" t="str">
        <f>HYPERLINK("https://rhld.insurance.arkansas.gov/NPILookup?Npi=1922550888","1922550888")</f>
        <v>1922550888</v>
      </c>
      <c r="E16218" t="s">
        <v>11381</v>
      </c>
    </row>
    <row r="16219" spans="1:5" x14ac:dyDescent="0.25">
      <c r="A16219" t="s">
        <v>2</v>
      </c>
      <c r="B16219" t="s">
        <v>3458</v>
      </c>
      <c r="C16219" t="s">
        <v>23490</v>
      </c>
      <c r="D16219" t="str">
        <f>HYPERLINK("https://rhld.insurance.arkansas.gov/NPILookup?Npi=1922580638","1922580638")</f>
        <v>1922580638</v>
      </c>
      <c r="E16219" t="s">
        <v>18179</v>
      </c>
    </row>
    <row r="16220" spans="1:5" x14ac:dyDescent="0.25">
      <c r="A16220" t="s">
        <v>2</v>
      </c>
      <c r="B16220" t="s">
        <v>3458</v>
      </c>
      <c r="C16220" t="s">
        <v>23490</v>
      </c>
      <c r="D16220" t="str">
        <f>HYPERLINK("https://rhld.insurance.arkansas.gov/NPILookup?Npi=1922619444","1922619444")</f>
        <v>1922619444</v>
      </c>
      <c r="E16220" t="s">
        <v>21065</v>
      </c>
    </row>
    <row r="16221" spans="1:5" x14ac:dyDescent="0.25">
      <c r="A16221" t="s">
        <v>2</v>
      </c>
      <c r="B16221" t="s">
        <v>3458</v>
      </c>
      <c r="C16221" t="s">
        <v>23490</v>
      </c>
      <c r="D16221" t="str">
        <f>HYPERLINK("https://rhld.insurance.arkansas.gov/NPILookup?Npi=1922622505","1922622505")</f>
        <v>1922622505</v>
      </c>
      <c r="E16221" t="s">
        <v>20135</v>
      </c>
    </row>
    <row r="16222" spans="1:5" x14ac:dyDescent="0.25">
      <c r="A16222" t="s">
        <v>2</v>
      </c>
      <c r="B16222" t="s">
        <v>3458</v>
      </c>
      <c r="C16222" t="s">
        <v>8427</v>
      </c>
      <c r="D16222" t="str">
        <f>HYPERLINK("https://rhld.insurance.arkansas.gov/NPILookup?Npi=1922627249","1922627249")</f>
        <v>1922627249</v>
      </c>
      <c r="E16222" t="s">
        <v>23007</v>
      </c>
    </row>
    <row r="16223" spans="1:5" x14ac:dyDescent="0.25">
      <c r="A16223" t="s">
        <v>2</v>
      </c>
      <c r="B16223" t="s">
        <v>3458</v>
      </c>
      <c r="C16223" t="s">
        <v>8427</v>
      </c>
      <c r="D16223" t="str">
        <f>HYPERLINK("https://rhld.insurance.arkansas.gov/NPILookup?Npi=1922629666","1922629666")</f>
        <v>1922629666</v>
      </c>
      <c r="E16223" t="s">
        <v>23008</v>
      </c>
    </row>
    <row r="16224" spans="1:5" x14ac:dyDescent="0.25">
      <c r="A16224" t="s">
        <v>2</v>
      </c>
      <c r="B16224" t="s">
        <v>3458</v>
      </c>
      <c r="C16224" t="s">
        <v>23490</v>
      </c>
      <c r="D16224" t="str">
        <f>HYPERLINK("https://rhld.insurance.arkansas.gov/NPILookup?Npi=1922758259","1922758259")</f>
        <v>1922758259</v>
      </c>
      <c r="E16224" t="s">
        <v>20136</v>
      </c>
    </row>
    <row r="16225" spans="1:5" x14ac:dyDescent="0.25">
      <c r="A16225" t="s">
        <v>2</v>
      </c>
      <c r="B16225" t="s">
        <v>3458</v>
      </c>
      <c r="C16225" t="s">
        <v>23490</v>
      </c>
      <c r="D16225" t="str">
        <f>HYPERLINK("https://rhld.insurance.arkansas.gov/NPILookup?Npi=1932101953","1932101953")</f>
        <v>1932101953</v>
      </c>
      <c r="E16225" t="s">
        <v>8928</v>
      </c>
    </row>
    <row r="16226" spans="1:5" x14ac:dyDescent="0.25">
      <c r="A16226" t="s">
        <v>2</v>
      </c>
      <c r="B16226" t="s">
        <v>3458</v>
      </c>
      <c r="C16226" t="s">
        <v>23490</v>
      </c>
      <c r="D16226" t="str">
        <f>HYPERLINK("https://rhld.insurance.arkansas.gov/NPILookup?Npi=1932110129","1932110129")</f>
        <v>1932110129</v>
      </c>
      <c r="E16226" t="s">
        <v>4018</v>
      </c>
    </row>
    <row r="16227" spans="1:5" x14ac:dyDescent="0.25">
      <c r="A16227" t="s">
        <v>2</v>
      </c>
      <c r="B16227" t="s">
        <v>3458</v>
      </c>
      <c r="C16227" t="s">
        <v>23490</v>
      </c>
      <c r="D16227" t="str">
        <f>HYPERLINK("https://rhld.insurance.arkansas.gov/NPILookup?Npi=1932115136","1932115136")</f>
        <v>1932115136</v>
      </c>
      <c r="E16227" t="s">
        <v>3223</v>
      </c>
    </row>
    <row r="16228" spans="1:5" x14ac:dyDescent="0.25">
      <c r="A16228" t="s">
        <v>2</v>
      </c>
      <c r="B16228" t="s">
        <v>3458</v>
      </c>
      <c r="C16228" t="s">
        <v>23490</v>
      </c>
      <c r="D16228" t="str">
        <f>HYPERLINK("https://rhld.insurance.arkansas.gov/NPILookup?Npi=1932126083","1932126083")</f>
        <v>1932126083</v>
      </c>
      <c r="E16228" t="s">
        <v>15725</v>
      </c>
    </row>
    <row r="16229" spans="1:5" x14ac:dyDescent="0.25">
      <c r="A16229" t="s">
        <v>2</v>
      </c>
      <c r="B16229" t="s">
        <v>3458</v>
      </c>
      <c r="C16229" t="s">
        <v>23490</v>
      </c>
      <c r="D16229" t="str">
        <f>HYPERLINK("https://rhld.insurance.arkansas.gov/NPILookup?Npi=1932133055","1932133055")</f>
        <v>1932133055</v>
      </c>
      <c r="E16229" t="s">
        <v>4019</v>
      </c>
    </row>
    <row r="16230" spans="1:5" x14ac:dyDescent="0.25">
      <c r="A16230" t="s">
        <v>2</v>
      </c>
      <c r="B16230" t="s">
        <v>3458</v>
      </c>
      <c r="C16230" t="s">
        <v>23490</v>
      </c>
      <c r="D16230" t="str">
        <f>HYPERLINK("https://rhld.insurance.arkansas.gov/NPILookup?Npi=1932137148","1932137148")</f>
        <v>1932137148</v>
      </c>
      <c r="E16230" t="s">
        <v>3224</v>
      </c>
    </row>
    <row r="16231" spans="1:5" x14ac:dyDescent="0.25">
      <c r="A16231" t="s">
        <v>2</v>
      </c>
      <c r="B16231" t="s">
        <v>3458</v>
      </c>
      <c r="C16231" t="s">
        <v>23490</v>
      </c>
      <c r="D16231" t="str">
        <f>HYPERLINK("https://rhld.insurance.arkansas.gov/NPILookup?Npi=1932155538","1932155538")</f>
        <v>1932155538</v>
      </c>
      <c r="E16231" t="s">
        <v>15726</v>
      </c>
    </row>
    <row r="16232" spans="1:5" x14ac:dyDescent="0.25">
      <c r="A16232" t="s">
        <v>2</v>
      </c>
      <c r="B16232" t="s">
        <v>3458</v>
      </c>
      <c r="C16232" t="s">
        <v>23490</v>
      </c>
      <c r="D16232" t="str">
        <f>HYPERLINK("https://rhld.insurance.arkansas.gov/NPILookup?Npi=1932164035","1932164035")</f>
        <v>1932164035</v>
      </c>
      <c r="E16232" t="s">
        <v>3225</v>
      </c>
    </row>
    <row r="16233" spans="1:5" x14ac:dyDescent="0.25">
      <c r="A16233" t="s">
        <v>2</v>
      </c>
      <c r="B16233" t="s">
        <v>3458</v>
      </c>
      <c r="C16233" t="s">
        <v>23490</v>
      </c>
      <c r="D16233" t="str">
        <f>HYPERLINK("https://rhld.insurance.arkansas.gov/NPILookup?Npi=1932164084","1932164084")</f>
        <v>1932164084</v>
      </c>
      <c r="E16233" t="s">
        <v>3226</v>
      </c>
    </row>
    <row r="16234" spans="1:5" x14ac:dyDescent="0.25">
      <c r="A16234" t="s">
        <v>2</v>
      </c>
      <c r="B16234" t="s">
        <v>3458</v>
      </c>
      <c r="C16234" t="s">
        <v>23490</v>
      </c>
      <c r="D16234" t="str">
        <f>HYPERLINK("https://rhld.insurance.arkansas.gov/NPILookup?Npi=1932165024","1932165024")</f>
        <v>1932165024</v>
      </c>
      <c r="E16234" t="s">
        <v>3227</v>
      </c>
    </row>
    <row r="16235" spans="1:5" x14ac:dyDescent="0.25">
      <c r="A16235" t="s">
        <v>2</v>
      </c>
      <c r="B16235" t="s">
        <v>3458</v>
      </c>
      <c r="C16235" t="s">
        <v>23490</v>
      </c>
      <c r="D16235" t="str">
        <f>HYPERLINK("https://rhld.insurance.arkansas.gov/NPILookup?Npi=1932165883","1932165883")</f>
        <v>1932165883</v>
      </c>
      <c r="E16235" t="s">
        <v>4020</v>
      </c>
    </row>
    <row r="16236" spans="1:5" x14ac:dyDescent="0.25">
      <c r="A16236" t="s">
        <v>2</v>
      </c>
      <c r="B16236" t="s">
        <v>3458</v>
      </c>
      <c r="C16236" t="s">
        <v>23490</v>
      </c>
      <c r="D16236" t="str">
        <f>HYPERLINK("https://rhld.insurance.arkansas.gov/NPILookup?Npi=1932166501","1932166501")</f>
        <v>1932166501</v>
      </c>
      <c r="E16236" t="s">
        <v>8929</v>
      </c>
    </row>
    <row r="16237" spans="1:5" x14ac:dyDescent="0.25">
      <c r="A16237" t="s">
        <v>2</v>
      </c>
      <c r="B16237" t="s">
        <v>3458</v>
      </c>
      <c r="C16237" t="s">
        <v>23490</v>
      </c>
      <c r="D16237" t="str">
        <f>HYPERLINK("https://rhld.insurance.arkansas.gov/NPILookup?Npi=1932170404","1932170404")</f>
        <v>1932170404</v>
      </c>
      <c r="E16237" t="s">
        <v>3228</v>
      </c>
    </row>
    <row r="16238" spans="1:5" x14ac:dyDescent="0.25">
      <c r="A16238" t="s">
        <v>2</v>
      </c>
      <c r="B16238" t="s">
        <v>3458</v>
      </c>
      <c r="C16238" t="s">
        <v>23490</v>
      </c>
      <c r="D16238" t="str">
        <f>HYPERLINK("https://rhld.insurance.arkansas.gov/NPILookup?Npi=1932173259","1932173259")</f>
        <v>1932173259</v>
      </c>
      <c r="E16238" t="s">
        <v>8930</v>
      </c>
    </row>
    <row r="16239" spans="1:5" x14ac:dyDescent="0.25">
      <c r="A16239" t="s">
        <v>2</v>
      </c>
      <c r="B16239" t="s">
        <v>3458</v>
      </c>
      <c r="C16239" t="s">
        <v>23490</v>
      </c>
      <c r="D16239" t="str">
        <f>HYPERLINK("https://rhld.insurance.arkansas.gov/NPILookup?Npi=1932178332","1932178332")</f>
        <v>1932178332</v>
      </c>
      <c r="E16239" t="s">
        <v>3229</v>
      </c>
    </row>
    <row r="16240" spans="1:5" x14ac:dyDescent="0.25">
      <c r="A16240" t="s">
        <v>2</v>
      </c>
      <c r="B16240" t="s">
        <v>3458</v>
      </c>
      <c r="C16240" t="s">
        <v>23490</v>
      </c>
      <c r="D16240" t="str">
        <f>HYPERLINK("https://rhld.insurance.arkansas.gov/NPILookup?Npi=1932183142","1932183142")</f>
        <v>1932183142</v>
      </c>
      <c r="E16240" t="s">
        <v>3230</v>
      </c>
    </row>
    <row r="16241" spans="1:5" x14ac:dyDescent="0.25">
      <c r="A16241" t="s">
        <v>2</v>
      </c>
      <c r="B16241" t="s">
        <v>3458</v>
      </c>
      <c r="C16241" t="s">
        <v>23490</v>
      </c>
      <c r="D16241" t="str">
        <f>HYPERLINK("https://rhld.insurance.arkansas.gov/NPILookup?Npi=1932185188","1932185188")</f>
        <v>1932185188</v>
      </c>
      <c r="E16241" t="s">
        <v>15727</v>
      </c>
    </row>
    <row r="16242" spans="1:5" x14ac:dyDescent="0.25">
      <c r="A16242" t="s">
        <v>2</v>
      </c>
      <c r="B16242" t="s">
        <v>3458</v>
      </c>
      <c r="C16242" t="s">
        <v>23490</v>
      </c>
      <c r="D16242" t="str">
        <f>HYPERLINK("https://rhld.insurance.arkansas.gov/NPILookup?Npi=1932186616","1932186616")</f>
        <v>1932186616</v>
      </c>
      <c r="E16242" t="s">
        <v>4021</v>
      </c>
    </row>
    <row r="16243" spans="1:5" x14ac:dyDescent="0.25">
      <c r="A16243" t="s">
        <v>2</v>
      </c>
      <c r="B16243" t="s">
        <v>3458</v>
      </c>
      <c r="C16243" t="s">
        <v>23490</v>
      </c>
      <c r="D16243" t="str">
        <f>HYPERLINK("https://rhld.insurance.arkansas.gov/NPILookup?Npi=1932188216","1932188216")</f>
        <v>1932188216</v>
      </c>
      <c r="E16243" t="s">
        <v>3231</v>
      </c>
    </row>
    <row r="16244" spans="1:5" x14ac:dyDescent="0.25">
      <c r="A16244" t="s">
        <v>2</v>
      </c>
      <c r="B16244" t="s">
        <v>3458</v>
      </c>
      <c r="C16244" t="s">
        <v>23490</v>
      </c>
      <c r="D16244" t="str">
        <f>HYPERLINK("https://rhld.insurance.arkansas.gov/NPILookup?Npi=1932192556","1932192556")</f>
        <v>1932192556</v>
      </c>
      <c r="E16244" t="s">
        <v>3232</v>
      </c>
    </row>
    <row r="16245" spans="1:5" x14ac:dyDescent="0.25">
      <c r="A16245" t="s">
        <v>2</v>
      </c>
      <c r="B16245" t="s">
        <v>3458</v>
      </c>
      <c r="C16245" t="s">
        <v>23490</v>
      </c>
      <c r="D16245" t="str">
        <f>HYPERLINK("https://rhld.insurance.arkansas.gov/NPILookup?Npi=1932193547","1932193547")</f>
        <v>1932193547</v>
      </c>
      <c r="E16245" t="s">
        <v>3233</v>
      </c>
    </row>
    <row r="16246" spans="1:5" x14ac:dyDescent="0.25">
      <c r="A16246" t="s">
        <v>2</v>
      </c>
      <c r="B16246" t="s">
        <v>3458</v>
      </c>
      <c r="C16246" t="s">
        <v>23490</v>
      </c>
      <c r="D16246" t="str">
        <f>HYPERLINK("https://rhld.insurance.arkansas.gov/NPILookup?Npi=1932194321","1932194321")</f>
        <v>1932194321</v>
      </c>
      <c r="E16246" t="s">
        <v>3234</v>
      </c>
    </row>
    <row r="16247" spans="1:5" x14ac:dyDescent="0.25">
      <c r="A16247" t="s">
        <v>2</v>
      </c>
      <c r="B16247" t="s">
        <v>3458</v>
      </c>
      <c r="C16247" t="s">
        <v>23490</v>
      </c>
      <c r="D16247" t="str">
        <f>HYPERLINK("https://rhld.insurance.arkansas.gov/NPILookup?Npi=1932194974","1932194974")</f>
        <v>1932194974</v>
      </c>
      <c r="E16247" t="s">
        <v>3235</v>
      </c>
    </row>
    <row r="16248" spans="1:5" x14ac:dyDescent="0.25">
      <c r="A16248" t="s">
        <v>2</v>
      </c>
      <c r="B16248" t="s">
        <v>3458</v>
      </c>
      <c r="C16248" t="s">
        <v>23490</v>
      </c>
      <c r="D16248" t="str">
        <f>HYPERLINK("https://rhld.insurance.arkansas.gov/NPILookup?Npi=1932196748","1932196748")</f>
        <v>1932196748</v>
      </c>
      <c r="E16248" t="s">
        <v>3236</v>
      </c>
    </row>
    <row r="16249" spans="1:5" x14ac:dyDescent="0.25">
      <c r="A16249" t="s">
        <v>2</v>
      </c>
      <c r="B16249" t="s">
        <v>3458</v>
      </c>
      <c r="C16249" t="s">
        <v>23490</v>
      </c>
      <c r="D16249" t="str">
        <f>HYPERLINK("https://rhld.insurance.arkansas.gov/NPILookup?Npi=1932197241","1932197241")</f>
        <v>1932197241</v>
      </c>
      <c r="E16249" t="s">
        <v>1745</v>
      </c>
    </row>
    <row r="16250" spans="1:5" x14ac:dyDescent="0.25">
      <c r="A16250" t="s">
        <v>2</v>
      </c>
      <c r="B16250" t="s">
        <v>3458</v>
      </c>
      <c r="C16250" t="s">
        <v>23490</v>
      </c>
      <c r="D16250" t="str">
        <f>HYPERLINK("https://rhld.insurance.arkansas.gov/NPILookup?Npi=1932216090","1932216090")</f>
        <v>1932216090</v>
      </c>
      <c r="E16250" t="s">
        <v>20139</v>
      </c>
    </row>
    <row r="16251" spans="1:5" x14ac:dyDescent="0.25">
      <c r="A16251" t="s">
        <v>2</v>
      </c>
      <c r="B16251" t="s">
        <v>3458</v>
      </c>
      <c r="C16251" t="s">
        <v>23490</v>
      </c>
      <c r="D16251" t="str">
        <f>HYPERLINK("https://rhld.insurance.arkansas.gov/NPILookup?Npi=1932233749","1932233749")</f>
        <v>1932233749</v>
      </c>
      <c r="E16251" t="s">
        <v>3240</v>
      </c>
    </row>
    <row r="16252" spans="1:5" x14ac:dyDescent="0.25">
      <c r="A16252" t="s">
        <v>2</v>
      </c>
      <c r="B16252" t="s">
        <v>3458</v>
      </c>
      <c r="C16252" t="s">
        <v>23490</v>
      </c>
      <c r="D16252" t="str">
        <f>HYPERLINK("https://rhld.insurance.arkansas.gov/NPILookup?Npi=1932235785","1932235785")</f>
        <v>1932235785</v>
      </c>
      <c r="E16252" t="s">
        <v>3241</v>
      </c>
    </row>
    <row r="16253" spans="1:5" x14ac:dyDescent="0.25">
      <c r="A16253" t="s">
        <v>2</v>
      </c>
      <c r="B16253" t="s">
        <v>3458</v>
      </c>
      <c r="C16253" t="s">
        <v>23490</v>
      </c>
      <c r="D16253" t="str">
        <f>HYPERLINK("https://rhld.insurance.arkansas.gov/NPILookup?Npi=1932251006","1932251006")</f>
        <v>1932251006</v>
      </c>
      <c r="E16253" t="s">
        <v>11382</v>
      </c>
    </row>
    <row r="16254" spans="1:5" x14ac:dyDescent="0.25">
      <c r="A16254" t="s">
        <v>2</v>
      </c>
      <c r="B16254" t="s">
        <v>3458</v>
      </c>
      <c r="C16254" t="s">
        <v>23490</v>
      </c>
      <c r="D16254" t="str">
        <f>HYPERLINK("https://rhld.insurance.arkansas.gov/NPILookup?Npi=1932251097","1932251097")</f>
        <v>1932251097</v>
      </c>
      <c r="E16254" t="s">
        <v>3242</v>
      </c>
    </row>
    <row r="16255" spans="1:5" x14ac:dyDescent="0.25">
      <c r="A16255" t="s">
        <v>2</v>
      </c>
      <c r="B16255" t="s">
        <v>3458</v>
      </c>
      <c r="C16255" t="s">
        <v>23490</v>
      </c>
      <c r="D16255" t="str">
        <f>HYPERLINK("https://rhld.insurance.arkansas.gov/NPILookup?Npi=1932260130","1932260130")</f>
        <v>1932260130</v>
      </c>
      <c r="E16255" t="s">
        <v>15922</v>
      </c>
    </row>
    <row r="16256" spans="1:5" x14ac:dyDescent="0.25">
      <c r="A16256" t="s">
        <v>2</v>
      </c>
      <c r="B16256" t="s">
        <v>3458</v>
      </c>
      <c r="C16256" t="s">
        <v>23490</v>
      </c>
      <c r="D16256" t="str">
        <f>HYPERLINK("https://rhld.insurance.arkansas.gov/NPILookup?Npi=1932277720","1932277720")</f>
        <v>1932277720</v>
      </c>
      <c r="E16256" t="s">
        <v>3244</v>
      </c>
    </row>
    <row r="16257" spans="1:5" x14ac:dyDescent="0.25">
      <c r="A16257" t="s">
        <v>2</v>
      </c>
      <c r="B16257" t="s">
        <v>3458</v>
      </c>
      <c r="C16257" t="s">
        <v>23490</v>
      </c>
      <c r="D16257" t="str">
        <f>HYPERLINK("https://rhld.insurance.arkansas.gov/NPILookup?Npi=1932280799","1932280799")</f>
        <v>1932280799</v>
      </c>
      <c r="E16257" t="s">
        <v>8931</v>
      </c>
    </row>
    <row r="16258" spans="1:5" x14ac:dyDescent="0.25">
      <c r="A16258" t="s">
        <v>2</v>
      </c>
      <c r="B16258" t="s">
        <v>3458</v>
      </c>
      <c r="C16258" t="s">
        <v>23490</v>
      </c>
      <c r="D16258" t="str">
        <f>HYPERLINK("https://rhld.insurance.arkansas.gov/NPILookup?Npi=1932299419","1932299419")</f>
        <v>1932299419</v>
      </c>
      <c r="E16258" t="s">
        <v>3245</v>
      </c>
    </row>
    <row r="16259" spans="1:5" x14ac:dyDescent="0.25">
      <c r="A16259" t="s">
        <v>2</v>
      </c>
      <c r="B16259" t="s">
        <v>3458</v>
      </c>
      <c r="C16259" t="s">
        <v>23490</v>
      </c>
      <c r="D16259" t="str">
        <f>HYPERLINK("https://rhld.insurance.arkansas.gov/NPILookup?Npi=1932299435","1932299435")</f>
        <v>1932299435</v>
      </c>
      <c r="E16259" t="s">
        <v>4022</v>
      </c>
    </row>
    <row r="16260" spans="1:5" x14ac:dyDescent="0.25">
      <c r="A16260" t="s">
        <v>2</v>
      </c>
      <c r="B16260" t="s">
        <v>3458</v>
      </c>
      <c r="C16260" t="s">
        <v>23490</v>
      </c>
      <c r="D16260" t="str">
        <f>HYPERLINK("https://rhld.insurance.arkansas.gov/NPILookup?Npi=1932307618","1932307618")</f>
        <v>1932307618</v>
      </c>
      <c r="E16260" t="s">
        <v>3246</v>
      </c>
    </row>
    <row r="16261" spans="1:5" x14ac:dyDescent="0.25">
      <c r="A16261" t="s">
        <v>2</v>
      </c>
      <c r="B16261" t="s">
        <v>3458</v>
      </c>
      <c r="C16261" t="s">
        <v>23490</v>
      </c>
      <c r="D16261" t="str">
        <f>HYPERLINK("https://rhld.insurance.arkansas.gov/NPILookup?Npi=1932310687","1932310687")</f>
        <v>1932310687</v>
      </c>
      <c r="E16261" t="s">
        <v>4023</v>
      </c>
    </row>
    <row r="16262" spans="1:5" x14ac:dyDescent="0.25">
      <c r="A16262" t="s">
        <v>2</v>
      </c>
      <c r="B16262" t="s">
        <v>3458</v>
      </c>
      <c r="C16262" t="s">
        <v>23490</v>
      </c>
      <c r="D16262" t="str">
        <f>HYPERLINK("https://rhld.insurance.arkansas.gov/NPILookup?Npi=1932351582","1932351582")</f>
        <v>1932351582</v>
      </c>
      <c r="E16262" t="s">
        <v>3248</v>
      </c>
    </row>
    <row r="16263" spans="1:5" x14ac:dyDescent="0.25">
      <c r="A16263" t="s">
        <v>2</v>
      </c>
      <c r="B16263" t="s">
        <v>3458</v>
      </c>
      <c r="C16263" t="s">
        <v>23490</v>
      </c>
      <c r="D16263" t="str">
        <f>HYPERLINK("https://rhld.insurance.arkansas.gov/NPILookup?Npi=1932376316","1932376316")</f>
        <v>1932376316</v>
      </c>
      <c r="E16263" t="s">
        <v>15923</v>
      </c>
    </row>
    <row r="16264" spans="1:5" x14ac:dyDescent="0.25">
      <c r="A16264" t="s">
        <v>2</v>
      </c>
      <c r="B16264" t="s">
        <v>3458</v>
      </c>
      <c r="C16264" t="s">
        <v>23490</v>
      </c>
      <c r="D16264" t="str">
        <f>HYPERLINK("https://rhld.insurance.arkansas.gov/NPILookup?Npi=1932377256","1932377256")</f>
        <v>1932377256</v>
      </c>
      <c r="E16264" t="s">
        <v>12936</v>
      </c>
    </row>
    <row r="16265" spans="1:5" x14ac:dyDescent="0.25">
      <c r="A16265" t="s">
        <v>2</v>
      </c>
      <c r="B16265" t="s">
        <v>3458</v>
      </c>
      <c r="C16265" t="s">
        <v>23490</v>
      </c>
      <c r="D16265" t="str">
        <f>HYPERLINK("https://rhld.insurance.arkansas.gov/NPILookup?Npi=1932389111","1932389111")</f>
        <v>1932389111</v>
      </c>
      <c r="E16265" t="s">
        <v>4024</v>
      </c>
    </row>
    <row r="16266" spans="1:5" x14ac:dyDescent="0.25">
      <c r="A16266" t="s">
        <v>2</v>
      </c>
      <c r="B16266" t="s">
        <v>3458</v>
      </c>
      <c r="C16266" t="s">
        <v>23490</v>
      </c>
      <c r="D16266" t="str">
        <f>HYPERLINK("https://rhld.insurance.arkansas.gov/NPILookup?Npi=1932396777","1932396777")</f>
        <v>1932396777</v>
      </c>
      <c r="E16266" t="s">
        <v>15924</v>
      </c>
    </row>
    <row r="16267" spans="1:5" x14ac:dyDescent="0.25">
      <c r="A16267" t="s">
        <v>2</v>
      </c>
      <c r="B16267" t="s">
        <v>3458</v>
      </c>
      <c r="C16267" t="s">
        <v>23490</v>
      </c>
      <c r="D16267" t="str">
        <f>HYPERLINK("https://rhld.insurance.arkansas.gov/NPILookup?Npi=1932401080","1932401080")</f>
        <v>1932401080</v>
      </c>
      <c r="E16267" t="s">
        <v>3250</v>
      </c>
    </row>
    <row r="16268" spans="1:5" x14ac:dyDescent="0.25">
      <c r="A16268" t="s">
        <v>2</v>
      </c>
      <c r="B16268" t="s">
        <v>3458</v>
      </c>
      <c r="C16268" t="s">
        <v>23490</v>
      </c>
      <c r="D16268" t="str">
        <f>HYPERLINK("https://rhld.insurance.arkansas.gov/NPILookup?Npi=1932417003","1932417003")</f>
        <v>1932417003</v>
      </c>
      <c r="E16268" t="s">
        <v>20276</v>
      </c>
    </row>
    <row r="16269" spans="1:5" x14ac:dyDescent="0.25">
      <c r="A16269" t="s">
        <v>2</v>
      </c>
      <c r="B16269" t="s">
        <v>3458</v>
      </c>
      <c r="C16269" t="s">
        <v>23490</v>
      </c>
      <c r="D16269" t="str">
        <f>HYPERLINK("https://rhld.insurance.arkansas.gov/NPILookup?Npi=1932441987","1932441987")</f>
        <v>1932441987</v>
      </c>
      <c r="E16269" t="s">
        <v>15728</v>
      </c>
    </row>
    <row r="16270" spans="1:5" x14ac:dyDescent="0.25">
      <c r="A16270" t="s">
        <v>2</v>
      </c>
      <c r="B16270" t="s">
        <v>3458</v>
      </c>
      <c r="C16270" t="s">
        <v>23490</v>
      </c>
      <c r="D16270" t="str">
        <f>HYPERLINK("https://rhld.insurance.arkansas.gov/NPILookup?Npi=1932476132","1932476132")</f>
        <v>1932476132</v>
      </c>
      <c r="E16270" t="s">
        <v>4025</v>
      </c>
    </row>
    <row r="16271" spans="1:5" x14ac:dyDescent="0.25">
      <c r="A16271" t="s">
        <v>2</v>
      </c>
      <c r="B16271" t="s">
        <v>3458</v>
      </c>
      <c r="C16271" t="s">
        <v>23490</v>
      </c>
      <c r="D16271" t="str">
        <f>HYPERLINK("https://rhld.insurance.arkansas.gov/NPILookup?Npi=1932492816","1932492816")</f>
        <v>1932492816</v>
      </c>
      <c r="E16271" t="s">
        <v>4026</v>
      </c>
    </row>
    <row r="16272" spans="1:5" x14ac:dyDescent="0.25">
      <c r="A16272" t="s">
        <v>2</v>
      </c>
      <c r="B16272" t="s">
        <v>3458</v>
      </c>
      <c r="C16272" t="s">
        <v>23490</v>
      </c>
      <c r="D16272" t="str">
        <f>HYPERLINK("https://rhld.insurance.arkansas.gov/NPILookup?Npi=1932507258","1932507258")</f>
        <v>1932507258</v>
      </c>
      <c r="E16272" t="s">
        <v>15729</v>
      </c>
    </row>
    <row r="16273" spans="1:5" x14ac:dyDescent="0.25">
      <c r="A16273" t="s">
        <v>2</v>
      </c>
      <c r="B16273" t="s">
        <v>3458</v>
      </c>
      <c r="C16273" t="s">
        <v>23490</v>
      </c>
      <c r="D16273" t="str">
        <f>HYPERLINK("https://rhld.insurance.arkansas.gov/NPILookup?Npi=1932532116","1932532116")</f>
        <v>1932532116</v>
      </c>
      <c r="E16273" t="s">
        <v>4027</v>
      </c>
    </row>
    <row r="16274" spans="1:5" x14ac:dyDescent="0.25">
      <c r="A16274" t="s">
        <v>2</v>
      </c>
      <c r="B16274" t="s">
        <v>3458</v>
      </c>
      <c r="C16274" t="s">
        <v>23490</v>
      </c>
      <c r="D16274" t="str">
        <f>HYPERLINK("https://rhld.insurance.arkansas.gov/NPILookup?Npi=1932543550","1932543550")</f>
        <v>1932543550</v>
      </c>
      <c r="E16274" t="s">
        <v>13792</v>
      </c>
    </row>
    <row r="16275" spans="1:5" x14ac:dyDescent="0.25">
      <c r="A16275" t="s">
        <v>2</v>
      </c>
      <c r="B16275" t="s">
        <v>3458</v>
      </c>
      <c r="C16275" t="s">
        <v>23490</v>
      </c>
      <c r="D16275" t="str">
        <f>HYPERLINK("https://rhld.insurance.arkansas.gov/NPILookup?Npi=1932568672","1932568672")</f>
        <v>1932568672</v>
      </c>
      <c r="E16275" t="s">
        <v>8933</v>
      </c>
    </row>
    <row r="16276" spans="1:5" x14ac:dyDescent="0.25">
      <c r="A16276" t="s">
        <v>2</v>
      </c>
      <c r="B16276" t="s">
        <v>3458</v>
      </c>
      <c r="C16276" t="s">
        <v>23490</v>
      </c>
      <c r="D16276" t="str">
        <f>HYPERLINK("https://rhld.insurance.arkansas.gov/NPILookup?Npi=1932571577","1932571577")</f>
        <v>1932571577</v>
      </c>
      <c r="E16276" t="s">
        <v>11383</v>
      </c>
    </row>
    <row r="16277" spans="1:5" x14ac:dyDescent="0.25">
      <c r="A16277" t="s">
        <v>2</v>
      </c>
      <c r="B16277" t="s">
        <v>3458</v>
      </c>
      <c r="C16277" t="s">
        <v>23490</v>
      </c>
      <c r="D16277" t="str">
        <f>HYPERLINK("https://rhld.insurance.arkansas.gov/NPILookup?Npi=1932590452","1932590452")</f>
        <v>1932590452</v>
      </c>
      <c r="E16277" t="s">
        <v>15925</v>
      </c>
    </row>
    <row r="16278" spans="1:5" x14ac:dyDescent="0.25">
      <c r="A16278" t="s">
        <v>2</v>
      </c>
      <c r="B16278" t="s">
        <v>3458</v>
      </c>
      <c r="C16278" t="s">
        <v>23490</v>
      </c>
      <c r="D16278" t="str">
        <f>HYPERLINK("https://rhld.insurance.arkansas.gov/NPILookup?Npi=1932591179","1932591179")</f>
        <v>1932591179</v>
      </c>
      <c r="E16278" t="s">
        <v>21066</v>
      </c>
    </row>
    <row r="16279" spans="1:5" x14ac:dyDescent="0.25">
      <c r="A16279" t="s">
        <v>2</v>
      </c>
      <c r="B16279" t="s">
        <v>3458</v>
      </c>
      <c r="C16279" t="s">
        <v>23490</v>
      </c>
      <c r="D16279" t="str">
        <f>HYPERLINK("https://rhld.insurance.arkansas.gov/NPILookup?Npi=1932591617","1932591617")</f>
        <v>1932591617</v>
      </c>
      <c r="E16279" t="s">
        <v>3252</v>
      </c>
    </row>
    <row r="16280" spans="1:5" x14ac:dyDescent="0.25">
      <c r="A16280" t="s">
        <v>2</v>
      </c>
      <c r="B16280" t="s">
        <v>3458</v>
      </c>
      <c r="C16280" t="s">
        <v>23490</v>
      </c>
      <c r="D16280" t="str">
        <f>HYPERLINK("https://rhld.insurance.arkansas.gov/NPILookup?Npi=1932623360","1932623360")</f>
        <v>1932623360</v>
      </c>
      <c r="E16280" t="s">
        <v>11384</v>
      </c>
    </row>
    <row r="16281" spans="1:5" x14ac:dyDescent="0.25">
      <c r="A16281" t="s">
        <v>2</v>
      </c>
      <c r="B16281" t="s">
        <v>3458</v>
      </c>
      <c r="C16281" t="s">
        <v>23490</v>
      </c>
      <c r="D16281" t="str">
        <f>HYPERLINK("https://rhld.insurance.arkansas.gov/NPILookup?Npi=1932625266","1932625266")</f>
        <v>1932625266</v>
      </c>
      <c r="E16281" t="s">
        <v>12937</v>
      </c>
    </row>
    <row r="16282" spans="1:5" x14ac:dyDescent="0.25">
      <c r="A16282" t="s">
        <v>2</v>
      </c>
      <c r="B16282" t="s">
        <v>3458</v>
      </c>
      <c r="C16282" t="s">
        <v>8427</v>
      </c>
      <c r="D16282" t="str">
        <f>HYPERLINK("https://rhld.insurance.arkansas.gov/NPILookup?Npi=1932631439","1932631439")</f>
        <v>1932631439</v>
      </c>
      <c r="E16282" t="s">
        <v>23009</v>
      </c>
    </row>
    <row r="16283" spans="1:5" x14ac:dyDescent="0.25">
      <c r="A16283" t="s">
        <v>2</v>
      </c>
      <c r="B16283" t="s">
        <v>3458</v>
      </c>
      <c r="C16283" t="s">
        <v>23490</v>
      </c>
      <c r="D16283" t="str">
        <f>HYPERLINK("https://rhld.insurance.arkansas.gov/NPILookup?Npi=1932642907","1932642907")</f>
        <v>1932642907</v>
      </c>
      <c r="E16283" t="s">
        <v>20144</v>
      </c>
    </row>
    <row r="16284" spans="1:5" x14ac:dyDescent="0.25">
      <c r="A16284" t="s">
        <v>2</v>
      </c>
      <c r="B16284" t="s">
        <v>3458</v>
      </c>
      <c r="C16284" t="s">
        <v>23490</v>
      </c>
      <c r="D16284" t="str">
        <f>HYPERLINK("https://rhld.insurance.arkansas.gov/NPILookup?Npi=1932666252","1932666252")</f>
        <v>1932666252</v>
      </c>
      <c r="E16284" t="s">
        <v>18901</v>
      </c>
    </row>
    <row r="16285" spans="1:5" x14ac:dyDescent="0.25">
      <c r="A16285" t="s">
        <v>2</v>
      </c>
      <c r="B16285" t="s">
        <v>3458</v>
      </c>
      <c r="C16285" t="s">
        <v>23490</v>
      </c>
      <c r="D16285" t="str">
        <f>HYPERLINK("https://rhld.insurance.arkansas.gov/NPILookup?Npi=1932676194","1932676194")</f>
        <v>1932676194</v>
      </c>
      <c r="E16285" t="s">
        <v>15732</v>
      </c>
    </row>
    <row r="16286" spans="1:5" x14ac:dyDescent="0.25">
      <c r="A16286" t="s">
        <v>2</v>
      </c>
      <c r="B16286" t="s">
        <v>3458</v>
      </c>
      <c r="C16286" t="s">
        <v>23490</v>
      </c>
      <c r="D16286" t="str">
        <f>HYPERLINK("https://rhld.insurance.arkansas.gov/NPILookup?Npi=1932702354","1932702354")</f>
        <v>1932702354</v>
      </c>
      <c r="E16286" t="s">
        <v>18182</v>
      </c>
    </row>
    <row r="16287" spans="1:5" x14ac:dyDescent="0.25">
      <c r="A16287" t="s">
        <v>2</v>
      </c>
      <c r="B16287" t="s">
        <v>3458</v>
      </c>
      <c r="C16287" t="s">
        <v>23490</v>
      </c>
      <c r="D16287" t="str">
        <f>HYPERLINK("https://rhld.insurance.arkansas.gov/NPILookup?Npi=1932707346","1932707346")</f>
        <v>1932707346</v>
      </c>
      <c r="E16287" t="s">
        <v>17496</v>
      </c>
    </row>
    <row r="16288" spans="1:5" x14ac:dyDescent="0.25">
      <c r="A16288" t="s">
        <v>2</v>
      </c>
      <c r="B16288" t="s">
        <v>3458</v>
      </c>
      <c r="C16288" t="s">
        <v>23490</v>
      </c>
      <c r="D16288" t="str">
        <f>HYPERLINK("https://rhld.insurance.arkansas.gov/NPILookup?Npi=1932737228","1932737228")</f>
        <v>1932737228</v>
      </c>
      <c r="E16288" t="s">
        <v>17497</v>
      </c>
    </row>
    <row r="16289" spans="1:5" x14ac:dyDescent="0.25">
      <c r="A16289" t="s">
        <v>2</v>
      </c>
      <c r="B16289" t="s">
        <v>3458</v>
      </c>
      <c r="C16289" t="s">
        <v>8427</v>
      </c>
      <c r="D16289" t="str">
        <f>HYPERLINK("https://rhld.insurance.arkansas.gov/NPILookup?Npi=1932737244","1932737244")</f>
        <v>1932737244</v>
      </c>
      <c r="E16289" t="s">
        <v>23011</v>
      </c>
    </row>
    <row r="16290" spans="1:5" x14ac:dyDescent="0.25">
      <c r="A16290" t="s">
        <v>2</v>
      </c>
      <c r="B16290" t="s">
        <v>3458</v>
      </c>
      <c r="C16290" t="s">
        <v>23490</v>
      </c>
      <c r="D16290" t="str">
        <f>HYPERLINK("https://rhld.insurance.arkansas.gov/NPILookup?Npi=1932742400","1932742400")</f>
        <v>1932742400</v>
      </c>
      <c r="E16290" t="s">
        <v>20148</v>
      </c>
    </row>
    <row r="16291" spans="1:5" x14ac:dyDescent="0.25">
      <c r="A16291" t="s">
        <v>2</v>
      </c>
      <c r="B16291" t="s">
        <v>3458</v>
      </c>
      <c r="C16291" t="s">
        <v>23490</v>
      </c>
      <c r="D16291" t="str">
        <f>HYPERLINK("https://rhld.insurance.arkansas.gov/NPILookup?Npi=1932767910","1932767910")</f>
        <v>1932767910</v>
      </c>
      <c r="E16291" t="s">
        <v>20149</v>
      </c>
    </row>
    <row r="16292" spans="1:5" x14ac:dyDescent="0.25">
      <c r="A16292" t="s">
        <v>2</v>
      </c>
      <c r="B16292" t="s">
        <v>3458</v>
      </c>
      <c r="C16292" t="s">
        <v>23490</v>
      </c>
      <c r="D16292" t="str">
        <f>HYPERLINK("https://rhld.insurance.arkansas.gov/NPILookup?Npi=1932793445","1932793445")</f>
        <v>1932793445</v>
      </c>
      <c r="E16292" t="s">
        <v>20150</v>
      </c>
    </row>
    <row r="16293" spans="1:5" x14ac:dyDescent="0.25">
      <c r="A16293" t="s">
        <v>2</v>
      </c>
      <c r="B16293" t="s">
        <v>3458</v>
      </c>
      <c r="C16293" t="s">
        <v>23490</v>
      </c>
      <c r="D16293" t="str">
        <f>HYPERLINK("https://rhld.insurance.arkansas.gov/NPILookup?Npi=1932799244","1932799244")</f>
        <v>1932799244</v>
      </c>
      <c r="E16293" t="s">
        <v>18902</v>
      </c>
    </row>
    <row r="16294" spans="1:5" x14ac:dyDescent="0.25">
      <c r="A16294" t="s">
        <v>2</v>
      </c>
      <c r="B16294" t="s">
        <v>3458</v>
      </c>
      <c r="C16294" t="s">
        <v>23490</v>
      </c>
      <c r="D16294" t="str">
        <f>HYPERLINK("https://rhld.insurance.arkansas.gov/NPILookup?Npi=1932824950","1932824950")</f>
        <v>1932824950</v>
      </c>
      <c r="E16294" t="s">
        <v>21682</v>
      </c>
    </row>
    <row r="16295" spans="1:5" x14ac:dyDescent="0.25">
      <c r="A16295" t="s">
        <v>2</v>
      </c>
      <c r="B16295" t="s">
        <v>3458</v>
      </c>
      <c r="C16295" t="s">
        <v>23490</v>
      </c>
      <c r="D16295" t="str">
        <f>HYPERLINK("https://rhld.insurance.arkansas.gov/NPILookup?Npi=1932879350","1932879350")</f>
        <v>1932879350</v>
      </c>
      <c r="E16295" t="s">
        <v>18903</v>
      </c>
    </row>
    <row r="16296" spans="1:5" x14ac:dyDescent="0.25">
      <c r="A16296" t="s">
        <v>2</v>
      </c>
      <c r="B16296" t="s">
        <v>3458</v>
      </c>
      <c r="C16296" t="s">
        <v>23490</v>
      </c>
      <c r="D16296" t="str">
        <f>HYPERLINK("https://rhld.insurance.arkansas.gov/NPILookup?Npi=1942200357","1942200357")</f>
        <v>1942200357</v>
      </c>
      <c r="E16296" t="s">
        <v>3253</v>
      </c>
    </row>
    <row r="16297" spans="1:5" x14ac:dyDescent="0.25">
      <c r="A16297" t="s">
        <v>2</v>
      </c>
      <c r="B16297" t="s">
        <v>3458</v>
      </c>
      <c r="C16297" t="s">
        <v>23490</v>
      </c>
      <c r="D16297" t="str">
        <f>HYPERLINK("https://rhld.insurance.arkansas.gov/NPILookup?Npi=1942201710","1942201710")</f>
        <v>1942201710</v>
      </c>
      <c r="E16297" t="s">
        <v>3254</v>
      </c>
    </row>
    <row r="16298" spans="1:5" x14ac:dyDescent="0.25">
      <c r="A16298" t="s">
        <v>2</v>
      </c>
      <c r="B16298" t="s">
        <v>3458</v>
      </c>
      <c r="C16298" t="s">
        <v>23490</v>
      </c>
      <c r="D16298" t="str">
        <f>HYPERLINK("https://rhld.insurance.arkansas.gov/NPILookup?Npi=1942202080","1942202080")</f>
        <v>1942202080</v>
      </c>
      <c r="E16298" t="s">
        <v>15733</v>
      </c>
    </row>
    <row r="16299" spans="1:5" x14ac:dyDescent="0.25">
      <c r="A16299" t="s">
        <v>2</v>
      </c>
      <c r="B16299" t="s">
        <v>3458</v>
      </c>
      <c r="C16299" t="s">
        <v>23490</v>
      </c>
      <c r="D16299" t="str">
        <f>HYPERLINK("https://rhld.insurance.arkansas.gov/NPILookup?Npi=1942203286","1942203286")</f>
        <v>1942203286</v>
      </c>
      <c r="E16299" t="s">
        <v>15734</v>
      </c>
    </row>
    <row r="16300" spans="1:5" x14ac:dyDescent="0.25">
      <c r="A16300" t="s">
        <v>2</v>
      </c>
      <c r="B16300" t="s">
        <v>3458</v>
      </c>
      <c r="C16300" t="s">
        <v>23490</v>
      </c>
      <c r="D16300" t="str">
        <f>HYPERLINK("https://rhld.insurance.arkansas.gov/NPILookup?Npi=1942204227","1942204227")</f>
        <v>1942204227</v>
      </c>
      <c r="E16300" t="s">
        <v>3255</v>
      </c>
    </row>
    <row r="16301" spans="1:5" x14ac:dyDescent="0.25">
      <c r="A16301" t="s">
        <v>2</v>
      </c>
      <c r="B16301" t="s">
        <v>3458</v>
      </c>
      <c r="C16301" t="s">
        <v>23490</v>
      </c>
      <c r="D16301" t="str">
        <f>HYPERLINK("https://rhld.insurance.arkansas.gov/NPILookup?Npi=1942208277","1942208277")</f>
        <v>1942208277</v>
      </c>
      <c r="E16301" t="s">
        <v>23012</v>
      </c>
    </row>
    <row r="16302" spans="1:5" x14ac:dyDescent="0.25">
      <c r="A16302" t="s">
        <v>2</v>
      </c>
      <c r="B16302" t="s">
        <v>3458</v>
      </c>
      <c r="C16302" t="s">
        <v>23490</v>
      </c>
      <c r="D16302" t="str">
        <f>HYPERLINK("https://rhld.insurance.arkansas.gov/NPILookup?Npi=1942210612","1942210612")</f>
        <v>1942210612</v>
      </c>
      <c r="E16302" t="s">
        <v>15735</v>
      </c>
    </row>
    <row r="16303" spans="1:5" x14ac:dyDescent="0.25">
      <c r="A16303" t="s">
        <v>2</v>
      </c>
      <c r="B16303" t="s">
        <v>3458</v>
      </c>
      <c r="C16303" t="s">
        <v>23490</v>
      </c>
      <c r="D16303" t="str">
        <f>HYPERLINK("https://rhld.insurance.arkansas.gov/NPILookup?Npi=1942235155","1942235155")</f>
        <v>1942235155</v>
      </c>
      <c r="E16303" t="s">
        <v>15926</v>
      </c>
    </row>
    <row r="16304" spans="1:5" x14ac:dyDescent="0.25">
      <c r="A16304" t="s">
        <v>2</v>
      </c>
      <c r="B16304" t="s">
        <v>3458</v>
      </c>
      <c r="C16304" t="s">
        <v>23490</v>
      </c>
      <c r="D16304" t="str">
        <f>HYPERLINK("https://rhld.insurance.arkansas.gov/NPILookup?Npi=1942237771","1942237771")</f>
        <v>1942237771</v>
      </c>
      <c r="E16304" t="s">
        <v>17498</v>
      </c>
    </row>
    <row r="16305" spans="1:5" x14ac:dyDescent="0.25">
      <c r="A16305" t="s">
        <v>2</v>
      </c>
      <c r="B16305" t="s">
        <v>3458</v>
      </c>
      <c r="C16305" t="s">
        <v>23490</v>
      </c>
      <c r="D16305" t="str">
        <f>HYPERLINK("https://rhld.insurance.arkansas.gov/NPILookup?Npi=1942247317","1942247317")</f>
        <v>1942247317</v>
      </c>
      <c r="E16305" t="s">
        <v>3259</v>
      </c>
    </row>
    <row r="16306" spans="1:5" x14ac:dyDescent="0.25">
      <c r="A16306" t="s">
        <v>2</v>
      </c>
      <c r="B16306" t="s">
        <v>3458</v>
      </c>
      <c r="C16306" t="s">
        <v>23490</v>
      </c>
      <c r="D16306" t="str">
        <f>HYPERLINK("https://rhld.insurance.arkansas.gov/NPILookup?Npi=1942249677","1942249677")</f>
        <v>1942249677</v>
      </c>
      <c r="E16306" t="s">
        <v>15737</v>
      </c>
    </row>
    <row r="16307" spans="1:5" x14ac:dyDescent="0.25">
      <c r="A16307" t="s">
        <v>2</v>
      </c>
      <c r="B16307" t="s">
        <v>3458</v>
      </c>
      <c r="C16307" t="s">
        <v>23490</v>
      </c>
      <c r="D16307" t="str">
        <f>HYPERLINK("https://rhld.insurance.arkansas.gov/NPILookup?Npi=1942253992","1942253992")</f>
        <v>1942253992</v>
      </c>
      <c r="E16307" t="s">
        <v>3260</v>
      </c>
    </row>
    <row r="16308" spans="1:5" x14ac:dyDescent="0.25">
      <c r="A16308" t="s">
        <v>2</v>
      </c>
      <c r="B16308" t="s">
        <v>3458</v>
      </c>
      <c r="C16308" t="s">
        <v>23490</v>
      </c>
      <c r="D16308" t="str">
        <f>HYPERLINK("https://rhld.insurance.arkansas.gov/NPILookup?Npi=1942259023","1942259023")</f>
        <v>1942259023</v>
      </c>
      <c r="E16308" t="s">
        <v>4028</v>
      </c>
    </row>
    <row r="16309" spans="1:5" x14ac:dyDescent="0.25">
      <c r="A16309" t="s">
        <v>2</v>
      </c>
      <c r="B16309" t="s">
        <v>3458</v>
      </c>
      <c r="C16309" t="s">
        <v>23490</v>
      </c>
      <c r="D16309" t="str">
        <f>HYPERLINK("https://rhld.insurance.arkansas.gov/NPILookup?Npi=1942261052","1942261052")</f>
        <v>1942261052</v>
      </c>
      <c r="E16309" t="s">
        <v>15738</v>
      </c>
    </row>
    <row r="16310" spans="1:5" x14ac:dyDescent="0.25">
      <c r="A16310" t="s">
        <v>2</v>
      </c>
      <c r="B16310" t="s">
        <v>3458</v>
      </c>
      <c r="C16310" t="s">
        <v>23490</v>
      </c>
      <c r="D16310" t="str">
        <f>HYPERLINK("https://rhld.insurance.arkansas.gov/NPILookup?Npi=1942262829","1942262829")</f>
        <v>1942262829</v>
      </c>
      <c r="E16310" t="s">
        <v>3261</v>
      </c>
    </row>
    <row r="16311" spans="1:5" x14ac:dyDescent="0.25">
      <c r="A16311" t="s">
        <v>2</v>
      </c>
      <c r="B16311" t="s">
        <v>3458</v>
      </c>
      <c r="C16311" t="s">
        <v>23490</v>
      </c>
      <c r="D16311" t="str">
        <f>HYPERLINK("https://rhld.insurance.arkansas.gov/NPILookup?Npi=1942267513","1942267513")</f>
        <v>1942267513</v>
      </c>
      <c r="E16311" t="s">
        <v>3262</v>
      </c>
    </row>
    <row r="16312" spans="1:5" x14ac:dyDescent="0.25">
      <c r="A16312" t="s">
        <v>2</v>
      </c>
      <c r="B16312" t="s">
        <v>3458</v>
      </c>
      <c r="C16312" t="s">
        <v>23490</v>
      </c>
      <c r="D16312" t="str">
        <f>HYPERLINK("https://rhld.insurance.arkansas.gov/NPILookup?Npi=1942269188","1942269188")</f>
        <v>1942269188</v>
      </c>
      <c r="E16312" t="s">
        <v>3263</v>
      </c>
    </row>
    <row r="16313" spans="1:5" x14ac:dyDescent="0.25">
      <c r="A16313" t="s">
        <v>2</v>
      </c>
      <c r="B16313" t="s">
        <v>3458</v>
      </c>
      <c r="C16313" t="s">
        <v>23490</v>
      </c>
      <c r="D16313" t="str">
        <f>HYPERLINK("https://rhld.insurance.arkansas.gov/NPILookup?Npi=1942279377","1942279377")</f>
        <v>1942279377</v>
      </c>
      <c r="E16313" t="s">
        <v>3265</v>
      </c>
    </row>
    <row r="16314" spans="1:5" x14ac:dyDescent="0.25">
      <c r="A16314" t="s">
        <v>2</v>
      </c>
      <c r="B16314" t="s">
        <v>3458</v>
      </c>
      <c r="C16314" t="s">
        <v>23490</v>
      </c>
      <c r="D16314" t="str">
        <f>HYPERLINK("https://rhld.insurance.arkansas.gov/NPILookup?Npi=1942299482","1942299482")</f>
        <v>1942299482</v>
      </c>
      <c r="E16314" t="s">
        <v>3267</v>
      </c>
    </row>
    <row r="16315" spans="1:5" x14ac:dyDescent="0.25">
      <c r="A16315" t="s">
        <v>2</v>
      </c>
      <c r="B16315" t="s">
        <v>3458</v>
      </c>
      <c r="C16315" t="s">
        <v>23490</v>
      </c>
      <c r="D16315" t="str">
        <f>HYPERLINK("https://rhld.insurance.arkansas.gov/NPILookup?Npi=1942300892","1942300892")</f>
        <v>1942300892</v>
      </c>
      <c r="E16315" t="s">
        <v>4029</v>
      </c>
    </row>
    <row r="16316" spans="1:5" x14ac:dyDescent="0.25">
      <c r="A16316" t="s">
        <v>2</v>
      </c>
      <c r="B16316" t="s">
        <v>3458</v>
      </c>
      <c r="C16316" t="s">
        <v>23490</v>
      </c>
      <c r="D16316" t="str">
        <f>HYPERLINK("https://rhld.insurance.arkansas.gov/NPILookup?Npi=1942320593","1942320593")</f>
        <v>1942320593</v>
      </c>
      <c r="E16316" t="s">
        <v>13793</v>
      </c>
    </row>
    <row r="16317" spans="1:5" x14ac:dyDescent="0.25">
      <c r="A16317" t="s">
        <v>2</v>
      </c>
      <c r="B16317" t="s">
        <v>3458</v>
      </c>
      <c r="C16317" t="s">
        <v>23490</v>
      </c>
      <c r="D16317" t="str">
        <f>HYPERLINK("https://rhld.insurance.arkansas.gov/NPILookup?Npi=1942329636","1942329636")</f>
        <v>1942329636</v>
      </c>
      <c r="E16317" t="s">
        <v>20151</v>
      </c>
    </row>
    <row r="16318" spans="1:5" x14ac:dyDescent="0.25">
      <c r="A16318" t="s">
        <v>2</v>
      </c>
      <c r="B16318" t="s">
        <v>3458</v>
      </c>
      <c r="C16318" t="s">
        <v>23490</v>
      </c>
      <c r="D16318" t="str">
        <f>HYPERLINK("https://rhld.insurance.arkansas.gov/NPILookup?Npi=1942347190","1942347190")</f>
        <v>1942347190</v>
      </c>
      <c r="E16318" t="s">
        <v>15927</v>
      </c>
    </row>
    <row r="16319" spans="1:5" x14ac:dyDescent="0.25">
      <c r="A16319" t="s">
        <v>2</v>
      </c>
      <c r="B16319" t="s">
        <v>3458</v>
      </c>
      <c r="C16319" t="s">
        <v>23490</v>
      </c>
      <c r="D16319" t="str">
        <f>HYPERLINK("https://rhld.insurance.arkansas.gov/NPILookup?Npi=1942357298","1942357298")</f>
        <v>1942357298</v>
      </c>
      <c r="E16319" t="s">
        <v>3269</v>
      </c>
    </row>
    <row r="16320" spans="1:5" x14ac:dyDescent="0.25">
      <c r="A16320" t="s">
        <v>2</v>
      </c>
      <c r="B16320" t="s">
        <v>3458</v>
      </c>
      <c r="C16320" t="s">
        <v>23490</v>
      </c>
      <c r="D16320" t="str">
        <f>HYPERLINK("https://rhld.insurance.arkansas.gov/NPILookup?Npi=1942390505","1942390505")</f>
        <v>1942390505</v>
      </c>
      <c r="E16320" t="s">
        <v>4031</v>
      </c>
    </row>
    <row r="16321" spans="1:5" x14ac:dyDescent="0.25">
      <c r="A16321" t="s">
        <v>2</v>
      </c>
      <c r="B16321" t="s">
        <v>3458</v>
      </c>
      <c r="C16321" t="s">
        <v>23490</v>
      </c>
      <c r="D16321" t="str">
        <f>HYPERLINK("https://rhld.insurance.arkansas.gov/NPILookup?Npi=1942397310","1942397310")</f>
        <v>1942397310</v>
      </c>
      <c r="E16321" t="s">
        <v>18184</v>
      </c>
    </row>
    <row r="16322" spans="1:5" x14ac:dyDescent="0.25">
      <c r="A16322" t="s">
        <v>2</v>
      </c>
      <c r="B16322" t="s">
        <v>3458</v>
      </c>
      <c r="C16322" t="s">
        <v>23490</v>
      </c>
      <c r="D16322" t="str">
        <f>HYPERLINK("https://rhld.insurance.arkansas.gov/NPILookup?Npi=1942404884","1942404884")</f>
        <v>1942404884</v>
      </c>
      <c r="E16322" t="s">
        <v>11385</v>
      </c>
    </row>
    <row r="16323" spans="1:5" x14ac:dyDescent="0.25">
      <c r="A16323" t="s">
        <v>2</v>
      </c>
      <c r="B16323" t="s">
        <v>3458</v>
      </c>
      <c r="C16323" t="s">
        <v>23490</v>
      </c>
      <c r="D16323" t="str">
        <f>HYPERLINK("https://rhld.insurance.arkansas.gov/NPILookup?Npi=1942432661","1942432661")</f>
        <v>1942432661</v>
      </c>
      <c r="E16323" t="s">
        <v>3270</v>
      </c>
    </row>
    <row r="16324" spans="1:5" x14ac:dyDescent="0.25">
      <c r="A16324" t="s">
        <v>2</v>
      </c>
      <c r="B16324" t="s">
        <v>3458</v>
      </c>
      <c r="C16324" t="s">
        <v>23490</v>
      </c>
      <c r="D16324" t="str">
        <f>HYPERLINK("https://rhld.insurance.arkansas.gov/NPILookup?Npi=1942434394","1942434394")</f>
        <v>1942434394</v>
      </c>
      <c r="E16324" t="s">
        <v>3271</v>
      </c>
    </row>
    <row r="16325" spans="1:5" x14ac:dyDescent="0.25">
      <c r="A16325" t="s">
        <v>2</v>
      </c>
      <c r="B16325" t="s">
        <v>3458</v>
      </c>
      <c r="C16325" t="s">
        <v>23490</v>
      </c>
      <c r="D16325" t="str">
        <f>HYPERLINK("https://rhld.insurance.arkansas.gov/NPILookup?Npi=1942452883","1942452883")</f>
        <v>1942452883</v>
      </c>
      <c r="E16325" t="s">
        <v>3272</v>
      </c>
    </row>
    <row r="16326" spans="1:5" x14ac:dyDescent="0.25">
      <c r="A16326" t="s">
        <v>2</v>
      </c>
      <c r="B16326" t="s">
        <v>3458</v>
      </c>
      <c r="C16326" t="s">
        <v>23490</v>
      </c>
      <c r="D16326" t="str">
        <f>HYPERLINK("https://rhld.insurance.arkansas.gov/NPILookup?Npi=1942465919","1942465919")</f>
        <v>1942465919</v>
      </c>
      <c r="E16326" t="s">
        <v>3274</v>
      </c>
    </row>
    <row r="16327" spans="1:5" x14ac:dyDescent="0.25">
      <c r="A16327" t="s">
        <v>2</v>
      </c>
      <c r="B16327" t="s">
        <v>3458</v>
      </c>
      <c r="C16327" t="s">
        <v>23490</v>
      </c>
      <c r="D16327" t="str">
        <f>HYPERLINK("https://rhld.insurance.arkansas.gov/NPILookup?Npi=1942467337","1942467337")</f>
        <v>1942467337</v>
      </c>
      <c r="E16327" t="s">
        <v>3275</v>
      </c>
    </row>
    <row r="16328" spans="1:5" x14ac:dyDescent="0.25">
      <c r="A16328" t="s">
        <v>2</v>
      </c>
      <c r="B16328" t="s">
        <v>3458</v>
      </c>
      <c r="C16328" t="s">
        <v>23490</v>
      </c>
      <c r="D16328" t="str">
        <f>HYPERLINK("https://rhld.insurance.arkansas.gov/NPILookup?Npi=1942489364","1942489364")</f>
        <v>1942489364</v>
      </c>
      <c r="E16328" t="s">
        <v>3276</v>
      </c>
    </row>
    <row r="16329" spans="1:5" x14ac:dyDescent="0.25">
      <c r="A16329" t="s">
        <v>2</v>
      </c>
      <c r="B16329" t="s">
        <v>3458</v>
      </c>
      <c r="C16329" t="s">
        <v>23490</v>
      </c>
      <c r="D16329" t="str">
        <f>HYPERLINK("https://rhld.insurance.arkansas.gov/NPILookup?Npi=1942508999","1942508999")</f>
        <v>1942508999</v>
      </c>
      <c r="E16329" t="s">
        <v>3278</v>
      </c>
    </row>
    <row r="16330" spans="1:5" x14ac:dyDescent="0.25">
      <c r="A16330" t="s">
        <v>2</v>
      </c>
      <c r="B16330" t="s">
        <v>3458</v>
      </c>
      <c r="C16330" t="s">
        <v>23490</v>
      </c>
      <c r="D16330" t="str">
        <f>HYPERLINK("https://rhld.insurance.arkansas.gov/NPILookup?Npi=1942528518","1942528518")</f>
        <v>1942528518</v>
      </c>
      <c r="E16330" t="s">
        <v>20153</v>
      </c>
    </row>
    <row r="16331" spans="1:5" x14ac:dyDescent="0.25">
      <c r="A16331" t="s">
        <v>2</v>
      </c>
      <c r="B16331" t="s">
        <v>3458</v>
      </c>
      <c r="C16331" t="s">
        <v>23490</v>
      </c>
      <c r="D16331" t="str">
        <f>HYPERLINK("https://rhld.insurance.arkansas.gov/NPILookup?Npi=1942534995","1942534995")</f>
        <v>1942534995</v>
      </c>
      <c r="E16331" t="s">
        <v>3279</v>
      </c>
    </row>
    <row r="16332" spans="1:5" x14ac:dyDescent="0.25">
      <c r="A16332" t="s">
        <v>2</v>
      </c>
      <c r="B16332" t="s">
        <v>3458</v>
      </c>
      <c r="C16332" t="s">
        <v>23490</v>
      </c>
      <c r="D16332" t="str">
        <f>HYPERLINK("https://rhld.insurance.arkansas.gov/NPILookup?Npi=1942589510","1942589510")</f>
        <v>1942589510</v>
      </c>
      <c r="E16332" t="s">
        <v>3282</v>
      </c>
    </row>
    <row r="16333" spans="1:5" x14ac:dyDescent="0.25">
      <c r="A16333" t="s">
        <v>2</v>
      </c>
      <c r="B16333" t="s">
        <v>3458</v>
      </c>
      <c r="C16333" t="s">
        <v>23490</v>
      </c>
      <c r="D16333" t="str">
        <f>HYPERLINK("https://rhld.insurance.arkansas.gov/NPILookup?Npi=1942603170","1942603170")</f>
        <v>1942603170</v>
      </c>
      <c r="E16333" t="s">
        <v>15739</v>
      </c>
    </row>
    <row r="16334" spans="1:5" x14ac:dyDescent="0.25">
      <c r="A16334" t="s">
        <v>2</v>
      </c>
      <c r="B16334" t="s">
        <v>3458</v>
      </c>
      <c r="C16334" t="s">
        <v>23490</v>
      </c>
      <c r="D16334" t="str">
        <f>HYPERLINK("https://rhld.insurance.arkansas.gov/NPILookup?Npi=1942607130","1942607130")</f>
        <v>1942607130</v>
      </c>
      <c r="E16334" t="s">
        <v>15740</v>
      </c>
    </row>
    <row r="16335" spans="1:5" x14ac:dyDescent="0.25">
      <c r="A16335" t="s">
        <v>2</v>
      </c>
      <c r="B16335" t="s">
        <v>3458</v>
      </c>
      <c r="C16335" t="s">
        <v>23490</v>
      </c>
      <c r="D16335" t="str">
        <f>HYPERLINK("https://rhld.insurance.arkansas.gov/NPILookup?Npi=1942608336","1942608336")</f>
        <v>1942608336</v>
      </c>
      <c r="E16335" t="s">
        <v>3283</v>
      </c>
    </row>
    <row r="16336" spans="1:5" x14ac:dyDescent="0.25">
      <c r="A16336" t="s">
        <v>2</v>
      </c>
      <c r="B16336" t="s">
        <v>3458</v>
      </c>
      <c r="C16336" t="s">
        <v>23490</v>
      </c>
      <c r="D16336" t="str">
        <f>HYPERLINK("https://rhld.insurance.arkansas.gov/NPILookup?Npi=1942615422","1942615422")</f>
        <v>1942615422</v>
      </c>
      <c r="E16336" t="s">
        <v>8934</v>
      </c>
    </row>
    <row r="16337" spans="1:5" x14ac:dyDescent="0.25">
      <c r="A16337" t="s">
        <v>2</v>
      </c>
      <c r="B16337" t="s">
        <v>3458</v>
      </c>
      <c r="C16337" t="s">
        <v>23490</v>
      </c>
      <c r="D16337" t="str">
        <f>HYPERLINK("https://rhld.insurance.arkansas.gov/NPILookup?Npi=1942619598","1942619598")</f>
        <v>1942619598</v>
      </c>
      <c r="E16337" t="s">
        <v>3284</v>
      </c>
    </row>
    <row r="16338" spans="1:5" x14ac:dyDescent="0.25">
      <c r="A16338" t="s">
        <v>2</v>
      </c>
      <c r="B16338" t="s">
        <v>3458</v>
      </c>
      <c r="C16338" t="s">
        <v>23490</v>
      </c>
      <c r="D16338" t="str">
        <f>HYPERLINK("https://rhld.insurance.arkansas.gov/NPILookup?Npi=1942626049","1942626049")</f>
        <v>1942626049</v>
      </c>
      <c r="E16338" t="s">
        <v>3285</v>
      </c>
    </row>
    <row r="16339" spans="1:5" x14ac:dyDescent="0.25">
      <c r="A16339" t="s">
        <v>2</v>
      </c>
      <c r="B16339" t="s">
        <v>3458</v>
      </c>
      <c r="C16339" t="s">
        <v>23490</v>
      </c>
      <c r="D16339" t="str">
        <f>HYPERLINK("https://rhld.insurance.arkansas.gov/NPILookup?Npi=1942628805","1942628805")</f>
        <v>1942628805</v>
      </c>
      <c r="E16339" t="s">
        <v>11386</v>
      </c>
    </row>
    <row r="16340" spans="1:5" x14ac:dyDescent="0.25">
      <c r="A16340" t="s">
        <v>2</v>
      </c>
      <c r="B16340" t="s">
        <v>3458</v>
      </c>
      <c r="C16340" t="s">
        <v>23490</v>
      </c>
      <c r="D16340" t="str">
        <f>HYPERLINK("https://rhld.insurance.arkansas.gov/NPILookup?Npi=1942630959","1942630959")</f>
        <v>1942630959</v>
      </c>
      <c r="E16340" t="s">
        <v>18186</v>
      </c>
    </row>
    <row r="16341" spans="1:5" x14ac:dyDescent="0.25">
      <c r="A16341" t="s">
        <v>2</v>
      </c>
      <c r="B16341" t="s">
        <v>3458</v>
      </c>
      <c r="C16341" t="s">
        <v>23490</v>
      </c>
      <c r="D16341" t="str">
        <f>HYPERLINK("https://rhld.insurance.arkansas.gov/NPILookup?Npi=1942656863","1942656863")</f>
        <v>1942656863</v>
      </c>
      <c r="E16341" t="s">
        <v>15928</v>
      </c>
    </row>
    <row r="16342" spans="1:5" x14ac:dyDescent="0.25">
      <c r="A16342" t="s">
        <v>2</v>
      </c>
      <c r="B16342" t="s">
        <v>3458</v>
      </c>
      <c r="C16342" t="s">
        <v>23490</v>
      </c>
      <c r="D16342" t="str">
        <f>HYPERLINK("https://rhld.insurance.arkansas.gov/NPILookup?Npi=1942660709","1942660709")</f>
        <v>1942660709</v>
      </c>
      <c r="E16342" t="s">
        <v>1222</v>
      </c>
    </row>
    <row r="16343" spans="1:5" x14ac:dyDescent="0.25">
      <c r="A16343" t="s">
        <v>2</v>
      </c>
      <c r="B16343" t="s">
        <v>3458</v>
      </c>
      <c r="C16343" t="s">
        <v>23490</v>
      </c>
      <c r="D16343" t="str">
        <f>HYPERLINK("https://rhld.insurance.arkansas.gov/NPILookup?Npi=1942660980","1942660980")</f>
        <v>1942660980</v>
      </c>
      <c r="E16343" t="s">
        <v>8935</v>
      </c>
    </row>
    <row r="16344" spans="1:5" x14ac:dyDescent="0.25">
      <c r="A16344" t="s">
        <v>2</v>
      </c>
      <c r="B16344" t="s">
        <v>3458</v>
      </c>
      <c r="C16344" t="s">
        <v>23490</v>
      </c>
      <c r="D16344" t="str">
        <f>HYPERLINK("https://rhld.insurance.arkansas.gov/NPILookup?Npi=1942661434","1942661434")</f>
        <v>1942661434</v>
      </c>
      <c r="E16344" t="s">
        <v>11387</v>
      </c>
    </row>
    <row r="16345" spans="1:5" x14ac:dyDescent="0.25">
      <c r="A16345" t="s">
        <v>2</v>
      </c>
      <c r="B16345" t="s">
        <v>3458</v>
      </c>
      <c r="C16345" t="s">
        <v>23490</v>
      </c>
      <c r="D16345" t="str">
        <f>HYPERLINK("https://rhld.insurance.arkansas.gov/NPILookup?Npi=1942671730","1942671730")</f>
        <v>1942671730</v>
      </c>
      <c r="E16345" t="s">
        <v>13045</v>
      </c>
    </row>
    <row r="16346" spans="1:5" x14ac:dyDescent="0.25">
      <c r="A16346" t="s">
        <v>2</v>
      </c>
      <c r="B16346" t="s">
        <v>3458</v>
      </c>
      <c r="C16346" t="s">
        <v>23490</v>
      </c>
      <c r="D16346" t="str">
        <f>HYPERLINK("https://rhld.insurance.arkansas.gov/NPILookup?Npi=1942687512","1942687512")</f>
        <v>1942687512</v>
      </c>
      <c r="E16346" t="s">
        <v>13884</v>
      </c>
    </row>
    <row r="16347" spans="1:5" x14ac:dyDescent="0.25">
      <c r="A16347" t="s">
        <v>2</v>
      </c>
      <c r="B16347" t="s">
        <v>3458</v>
      </c>
      <c r="C16347" t="s">
        <v>23490</v>
      </c>
      <c r="D16347" t="str">
        <f>HYPERLINK("https://rhld.insurance.arkansas.gov/NPILookup?Npi=1942687801","1942687801")</f>
        <v>1942687801</v>
      </c>
      <c r="E16347" t="s">
        <v>21765</v>
      </c>
    </row>
    <row r="16348" spans="1:5" x14ac:dyDescent="0.25">
      <c r="A16348" t="s">
        <v>2</v>
      </c>
      <c r="B16348" t="s">
        <v>3458</v>
      </c>
      <c r="C16348" t="s">
        <v>23490</v>
      </c>
      <c r="D16348" t="str">
        <f>HYPERLINK("https://rhld.insurance.arkansas.gov/NPILookup?Npi=1942711544","1942711544")</f>
        <v>1942711544</v>
      </c>
      <c r="E16348" t="s">
        <v>12938</v>
      </c>
    </row>
    <row r="16349" spans="1:5" x14ac:dyDescent="0.25">
      <c r="A16349" t="s">
        <v>2</v>
      </c>
      <c r="B16349" t="s">
        <v>3458</v>
      </c>
      <c r="C16349" t="s">
        <v>23490</v>
      </c>
      <c r="D16349" t="str">
        <f>HYPERLINK("https://rhld.insurance.arkansas.gov/NPILookup?Npi=1942718978","1942718978")</f>
        <v>1942718978</v>
      </c>
      <c r="E16349" t="s">
        <v>18187</v>
      </c>
    </row>
    <row r="16350" spans="1:5" x14ac:dyDescent="0.25">
      <c r="A16350" t="s">
        <v>2</v>
      </c>
      <c r="B16350" t="s">
        <v>3458</v>
      </c>
      <c r="C16350" t="s">
        <v>23490</v>
      </c>
      <c r="D16350" t="str">
        <f>HYPERLINK("https://rhld.insurance.arkansas.gov/NPILookup?Npi=1942724638","1942724638")</f>
        <v>1942724638</v>
      </c>
      <c r="E16350" t="s">
        <v>11388</v>
      </c>
    </row>
    <row r="16351" spans="1:5" x14ac:dyDescent="0.25">
      <c r="A16351" t="s">
        <v>2</v>
      </c>
      <c r="B16351" t="s">
        <v>3458</v>
      </c>
      <c r="C16351" t="s">
        <v>23490</v>
      </c>
      <c r="D16351" t="str">
        <f>HYPERLINK("https://rhld.insurance.arkansas.gov/NPILookup?Npi=1942744636","1942744636")</f>
        <v>1942744636</v>
      </c>
      <c r="E16351" t="s">
        <v>11389</v>
      </c>
    </row>
    <row r="16352" spans="1:5" x14ac:dyDescent="0.25">
      <c r="A16352" t="s">
        <v>2</v>
      </c>
      <c r="B16352" t="s">
        <v>3458</v>
      </c>
      <c r="C16352" t="s">
        <v>23490</v>
      </c>
      <c r="D16352" t="str">
        <f>HYPERLINK("https://rhld.insurance.arkansas.gov/NPILookup?Npi=1942747381","1942747381")</f>
        <v>1942747381</v>
      </c>
      <c r="E16352" t="s">
        <v>11390</v>
      </c>
    </row>
    <row r="16353" spans="1:5" x14ac:dyDescent="0.25">
      <c r="A16353" t="s">
        <v>2</v>
      </c>
      <c r="B16353" t="s">
        <v>3458</v>
      </c>
      <c r="C16353" t="s">
        <v>23490</v>
      </c>
      <c r="D16353" t="str">
        <f>HYPERLINK("https://rhld.insurance.arkansas.gov/NPILookup?Npi=1942754635","1942754635")</f>
        <v>1942754635</v>
      </c>
      <c r="E16353" t="s">
        <v>20157</v>
      </c>
    </row>
    <row r="16354" spans="1:5" x14ac:dyDescent="0.25">
      <c r="A16354" t="s">
        <v>2</v>
      </c>
      <c r="B16354" t="s">
        <v>3458</v>
      </c>
      <c r="C16354" t="s">
        <v>23490</v>
      </c>
      <c r="D16354" t="str">
        <f>HYPERLINK("https://rhld.insurance.arkansas.gov/NPILookup?Npi=1942755467","1942755467")</f>
        <v>1942755467</v>
      </c>
      <c r="E16354" t="s">
        <v>21683</v>
      </c>
    </row>
    <row r="16355" spans="1:5" x14ac:dyDescent="0.25">
      <c r="A16355" t="s">
        <v>2</v>
      </c>
      <c r="B16355" t="s">
        <v>3458</v>
      </c>
      <c r="C16355" t="s">
        <v>23490</v>
      </c>
      <c r="D16355" t="str">
        <f>HYPERLINK("https://rhld.insurance.arkansas.gov/NPILookup?Npi=1942757158","1942757158")</f>
        <v>1942757158</v>
      </c>
      <c r="E16355" t="s">
        <v>11391</v>
      </c>
    </row>
    <row r="16356" spans="1:5" x14ac:dyDescent="0.25">
      <c r="A16356" t="s">
        <v>2</v>
      </c>
      <c r="B16356" t="s">
        <v>3458</v>
      </c>
      <c r="C16356" t="s">
        <v>23490</v>
      </c>
      <c r="D16356" t="str">
        <f>HYPERLINK("https://rhld.insurance.arkansas.gov/NPILookup?Npi=1942785381","1942785381")</f>
        <v>1942785381</v>
      </c>
      <c r="E16356" t="s">
        <v>13798</v>
      </c>
    </row>
    <row r="16357" spans="1:5" x14ac:dyDescent="0.25">
      <c r="A16357" t="s">
        <v>2</v>
      </c>
      <c r="B16357" t="s">
        <v>3458</v>
      </c>
      <c r="C16357" t="s">
        <v>23490</v>
      </c>
      <c r="D16357" t="str">
        <f>HYPERLINK("https://rhld.insurance.arkansas.gov/NPILookup?Npi=1942870316","1942870316")</f>
        <v>1942870316</v>
      </c>
      <c r="E16357" t="s">
        <v>18904</v>
      </c>
    </row>
    <row r="16358" spans="1:5" x14ac:dyDescent="0.25">
      <c r="A16358" t="s">
        <v>2</v>
      </c>
      <c r="B16358" t="s">
        <v>3458</v>
      </c>
      <c r="C16358" t="s">
        <v>23490</v>
      </c>
      <c r="D16358" t="str">
        <f>HYPERLINK("https://rhld.insurance.arkansas.gov/NPILookup?Npi=1942876511","1942876511")</f>
        <v>1942876511</v>
      </c>
      <c r="E16358" t="s">
        <v>20159</v>
      </c>
    </row>
    <row r="16359" spans="1:5" x14ac:dyDescent="0.25">
      <c r="A16359" t="s">
        <v>2</v>
      </c>
      <c r="B16359" t="s">
        <v>3458</v>
      </c>
      <c r="C16359" t="s">
        <v>23490</v>
      </c>
      <c r="D16359" t="str">
        <f>HYPERLINK("https://rhld.insurance.arkansas.gov/NPILookup?Npi=1942937206","1942937206")</f>
        <v>1942937206</v>
      </c>
      <c r="E16359" t="s">
        <v>21069</v>
      </c>
    </row>
    <row r="16360" spans="1:5" x14ac:dyDescent="0.25">
      <c r="A16360" t="s">
        <v>2</v>
      </c>
      <c r="B16360" t="s">
        <v>3458</v>
      </c>
      <c r="C16360" t="s">
        <v>23490</v>
      </c>
      <c r="D16360" t="str">
        <f>HYPERLINK("https://rhld.insurance.arkansas.gov/NPILookup?Npi=1942944368","1942944368")</f>
        <v>1942944368</v>
      </c>
      <c r="E16360" t="s">
        <v>21409</v>
      </c>
    </row>
    <row r="16361" spans="1:5" x14ac:dyDescent="0.25">
      <c r="A16361" t="s">
        <v>2</v>
      </c>
      <c r="B16361" t="s">
        <v>3458</v>
      </c>
      <c r="C16361" t="s">
        <v>23490</v>
      </c>
      <c r="D16361" t="str">
        <f>HYPERLINK("https://rhld.insurance.arkansas.gov/NPILookup?Npi=1942963327","1942963327")</f>
        <v>1942963327</v>
      </c>
      <c r="E16361" t="s">
        <v>20160</v>
      </c>
    </row>
    <row r="16362" spans="1:5" x14ac:dyDescent="0.25">
      <c r="A16362" t="s">
        <v>2</v>
      </c>
      <c r="B16362" t="s">
        <v>3458</v>
      </c>
      <c r="C16362" t="s">
        <v>23490</v>
      </c>
      <c r="D16362" t="str">
        <f>HYPERLINK("https://rhld.insurance.arkansas.gov/NPILookup?Npi=1942964432","1942964432")</f>
        <v>1942964432</v>
      </c>
      <c r="E16362" t="s">
        <v>20161</v>
      </c>
    </row>
    <row r="16363" spans="1:5" x14ac:dyDescent="0.25">
      <c r="A16363" t="s">
        <v>2</v>
      </c>
      <c r="B16363" t="s">
        <v>3458</v>
      </c>
      <c r="C16363" t="s">
        <v>23490</v>
      </c>
      <c r="D16363" t="str">
        <f>HYPERLINK("https://rhld.insurance.arkansas.gov/NPILookup?Npi=1942974829","1942974829")</f>
        <v>1942974829</v>
      </c>
      <c r="E16363" t="s">
        <v>20162</v>
      </c>
    </row>
    <row r="16364" spans="1:5" x14ac:dyDescent="0.25">
      <c r="A16364" t="s">
        <v>2</v>
      </c>
      <c r="B16364" t="s">
        <v>3458</v>
      </c>
      <c r="C16364" t="s">
        <v>23490</v>
      </c>
      <c r="D16364" t="str">
        <f>HYPERLINK("https://rhld.insurance.arkansas.gov/NPILookup?Npi=1942977301","1942977301")</f>
        <v>1942977301</v>
      </c>
      <c r="E16364" t="s">
        <v>20163</v>
      </c>
    </row>
    <row r="16365" spans="1:5" x14ac:dyDescent="0.25">
      <c r="A16365" t="s">
        <v>2</v>
      </c>
      <c r="B16365" t="s">
        <v>3458</v>
      </c>
      <c r="C16365" t="s">
        <v>23490</v>
      </c>
      <c r="D16365" t="str">
        <f>HYPERLINK("https://rhld.insurance.arkansas.gov/NPILookup?Npi=1942977756","1942977756")</f>
        <v>1942977756</v>
      </c>
      <c r="E16365" t="s">
        <v>20164</v>
      </c>
    </row>
    <row r="16366" spans="1:5" x14ac:dyDescent="0.25">
      <c r="A16366" t="s">
        <v>2</v>
      </c>
      <c r="B16366" t="s">
        <v>3458</v>
      </c>
      <c r="C16366" t="s">
        <v>23490</v>
      </c>
      <c r="D16366" t="str">
        <f>HYPERLINK("https://rhld.insurance.arkansas.gov/NPILookup?Npi=1952009052","1952009052")</f>
        <v>1952009052</v>
      </c>
      <c r="E16366" t="s">
        <v>21685</v>
      </c>
    </row>
    <row r="16367" spans="1:5" x14ac:dyDescent="0.25">
      <c r="A16367" t="s">
        <v>2</v>
      </c>
      <c r="B16367" t="s">
        <v>3458</v>
      </c>
      <c r="C16367" t="s">
        <v>23490</v>
      </c>
      <c r="D16367" t="str">
        <f>HYPERLINK("https://rhld.insurance.arkansas.gov/NPILookup?Npi=1952014243","1952014243")</f>
        <v>1952014243</v>
      </c>
      <c r="E16367" t="s">
        <v>21686</v>
      </c>
    </row>
    <row r="16368" spans="1:5" x14ac:dyDescent="0.25">
      <c r="A16368" t="s">
        <v>2</v>
      </c>
      <c r="B16368" t="s">
        <v>3458</v>
      </c>
      <c r="C16368" t="s">
        <v>23490</v>
      </c>
      <c r="D16368" t="str">
        <f>HYPERLINK("https://rhld.insurance.arkansas.gov/NPILookup?Npi=1952301343","1952301343")</f>
        <v>1952301343</v>
      </c>
      <c r="E16368" t="s">
        <v>3286</v>
      </c>
    </row>
    <row r="16369" spans="1:5" x14ac:dyDescent="0.25">
      <c r="A16369" t="s">
        <v>2</v>
      </c>
      <c r="B16369" t="s">
        <v>3458</v>
      </c>
      <c r="C16369" t="s">
        <v>23490</v>
      </c>
      <c r="D16369" t="str">
        <f>HYPERLINK("https://rhld.insurance.arkansas.gov/NPILookup?Npi=1952307860","1952307860")</f>
        <v>1952307860</v>
      </c>
      <c r="E16369" t="s">
        <v>3287</v>
      </c>
    </row>
    <row r="16370" spans="1:5" x14ac:dyDescent="0.25">
      <c r="A16370" t="s">
        <v>2</v>
      </c>
      <c r="B16370" t="s">
        <v>3458</v>
      </c>
      <c r="C16370" t="s">
        <v>23490</v>
      </c>
      <c r="D16370" t="str">
        <f>HYPERLINK("https://rhld.insurance.arkansas.gov/NPILookup?Npi=1952309312","1952309312")</f>
        <v>1952309312</v>
      </c>
      <c r="E16370" t="s">
        <v>4032</v>
      </c>
    </row>
    <row r="16371" spans="1:5" x14ac:dyDescent="0.25">
      <c r="A16371" t="s">
        <v>2</v>
      </c>
      <c r="B16371" t="s">
        <v>3458</v>
      </c>
      <c r="C16371" t="s">
        <v>23490</v>
      </c>
      <c r="D16371" t="str">
        <f>HYPERLINK("https://rhld.insurance.arkansas.gov/NPILookup?Npi=1952310252","1952310252")</f>
        <v>1952310252</v>
      </c>
      <c r="E16371" t="s">
        <v>3288</v>
      </c>
    </row>
    <row r="16372" spans="1:5" x14ac:dyDescent="0.25">
      <c r="A16372" t="s">
        <v>2</v>
      </c>
      <c r="B16372" t="s">
        <v>3458</v>
      </c>
      <c r="C16372" t="s">
        <v>23490</v>
      </c>
      <c r="D16372" t="str">
        <f>HYPERLINK("https://rhld.insurance.arkansas.gov/NPILookup?Npi=1952315152","1952315152")</f>
        <v>1952315152</v>
      </c>
      <c r="E16372" t="s">
        <v>3289</v>
      </c>
    </row>
    <row r="16373" spans="1:5" x14ac:dyDescent="0.25">
      <c r="A16373" t="s">
        <v>2</v>
      </c>
      <c r="B16373" t="s">
        <v>3458</v>
      </c>
      <c r="C16373" t="s">
        <v>23490</v>
      </c>
      <c r="D16373" t="str">
        <f>HYPERLINK("https://rhld.insurance.arkansas.gov/NPILookup?Npi=1952316366","1952316366")</f>
        <v>1952316366</v>
      </c>
      <c r="E16373" t="s">
        <v>3290</v>
      </c>
    </row>
    <row r="16374" spans="1:5" x14ac:dyDescent="0.25">
      <c r="A16374" t="s">
        <v>2</v>
      </c>
      <c r="B16374" t="s">
        <v>3458</v>
      </c>
      <c r="C16374" t="s">
        <v>23490</v>
      </c>
      <c r="D16374" t="str">
        <f>HYPERLINK("https://rhld.insurance.arkansas.gov/NPILookup?Npi=1952319477","1952319477")</f>
        <v>1952319477</v>
      </c>
      <c r="E16374" t="s">
        <v>3291</v>
      </c>
    </row>
    <row r="16375" spans="1:5" x14ac:dyDescent="0.25">
      <c r="A16375" t="s">
        <v>2</v>
      </c>
      <c r="B16375" t="s">
        <v>3458</v>
      </c>
      <c r="C16375" t="s">
        <v>23490</v>
      </c>
      <c r="D16375" t="str">
        <f>HYPERLINK("https://rhld.insurance.arkansas.gov/NPILookup?Npi=1952321820","1952321820")</f>
        <v>1952321820</v>
      </c>
      <c r="E16375" t="s">
        <v>4033</v>
      </c>
    </row>
    <row r="16376" spans="1:5" x14ac:dyDescent="0.25">
      <c r="A16376" t="s">
        <v>2</v>
      </c>
      <c r="B16376" t="s">
        <v>3458</v>
      </c>
      <c r="C16376" t="s">
        <v>23490</v>
      </c>
      <c r="D16376" t="str">
        <f>HYPERLINK("https://rhld.insurance.arkansas.gov/NPILookup?Npi=1952339335","1952339335")</f>
        <v>1952339335</v>
      </c>
      <c r="E16376" t="s">
        <v>20165</v>
      </c>
    </row>
    <row r="16377" spans="1:5" x14ac:dyDescent="0.25">
      <c r="A16377" t="s">
        <v>2</v>
      </c>
      <c r="B16377" t="s">
        <v>3458</v>
      </c>
      <c r="C16377" t="s">
        <v>23490</v>
      </c>
      <c r="D16377" t="str">
        <f>HYPERLINK("https://rhld.insurance.arkansas.gov/NPILookup?Npi=1952341562","1952341562")</f>
        <v>1952341562</v>
      </c>
      <c r="E16377" t="s">
        <v>3294</v>
      </c>
    </row>
    <row r="16378" spans="1:5" x14ac:dyDescent="0.25">
      <c r="A16378" t="s">
        <v>2</v>
      </c>
      <c r="B16378" t="s">
        <v>3458</v>
      </c>
      <c r="C16378" t="s">
        <v>23490</v>
      </c>
      <c r="D16378" t="str">
        <f>HYPERLINK("https://rhld.insurance.arkansas.gov/NPILookup?Npi=1952342586","1952342586")</f>
        <v>1952342586</v>
      </c>
      <c r="E16378" t="s">
        <v>8936</v>
      </c>
    </row>
    <row r="16379" spans="1:5" x14ac:dyDescent="0.25">
      <c r="A16379" t="s">
        <v>2</v>
      </c>
      <c r="B16379" t="s">
        <v>3458</v>
      </c>
      <c r="C16379" t="s">
        <v>23490</v>
      </c>
      <c r="D16379" t="str">
        <f>HYPERLINK("https://rhld.insurance.arkansas.gov/NPILookup?Npi=1952343907","1952343907")</f>
        <v>1952343907</v>
      </c>
      <c r="E16379" t="s">
        <v>3295</v>
      </c>
    </row>
    <row r="16380" spans="1:5" x14ac:dyDescent="0.25">
      <c r="A16380" t="s">
        <v>2</v>
      </c>
      <c r="B16380" t="s">
        <v>3458</v>
      </c>
      <c r="C16380" t="s">
        <v>23490</v>
      </c>
      <c r="D16380" t="str">
        <f>HYPERLINK("https://rhld.insurance.arkansas.gov/NPILookup?Npi=1952352510","1952352510")</f>
        <v>1952352510</v>
      </c>
      <c r="E16380" t="s">
        <v>3297</v>
      </c>
    </row>
    <row r="16381" spans="1:5" x14ac:dyDescent="0.25">
      <c r="A16381" t="s">
        <v>2</v>
      </c>
      <c r="B16381" t="s">
        <v>3458</v>
      </c>
      <c r="C16381" t="s">
        <v>23490</v>
      </c>
      <c r="D16381" t="str">
        <f>HYPERLINK("https://rhld.insurance.arkansas.gov/NPILookup?Npi=1952354367","1952354367")</f>
        <v>1952354367</v>
      </c>
      <c r="E16381" t="s">
        <v>4034</v>
      </c>
    </row>
    <row r="16382" spans="1:5" x14ac:dyDescent="0.25">
      <c r="A16382" t="s">
        <v>2</v>
      </c>
      <c r="B16382" t="s">
        <v>3458</v>
      </c>
      <c r="C16382" t="s">
        <v>23490</v>
      </c>
      <c r="D16382" t="str">
        <f>HYPERLINK("https://rhld.insurance.arkansas.gov/NPILookup?Npi=1952361479","1952361479")</f>
        <v>1952361479</v>
      </c>
      <c r="E16382" t="s">
        <v>3298</v>
      </c>
    </row>
    <row r="16383" spans="1:5" x14ac:dyDescent="0.25">
      <c r="A16383" t="s">
        <v>2</v>
      </c>
      <c r="B16383" t="s">
        <v>3458</v>
      </c>
      <c r="C16383" t="s">
        <v>23490</v>
      </c>
      <c r="D16383" t="str">
        <f>HYPERLINK("https://rhld.insurance.arkansas.gov/NPILookup?Npi=1952367286","1952367286")</f>
        <v>1952367286</v>
      </c>
      <c r="E16383" t="s">
        <v>3299</v>
      </c>
    </row>
    <row r="16384" spans="1:5" x14ac:dyDescent="0.25">
      <c r="A16384" t="s">
        <v>2</v>
      </c>
      <c r="B16384" t="s">
        <v>3458</v>
      </c>
      <c r="C16384" t="s">
        <v>23490</v>
      </c>
      <c r="D16384" t="str">
        <f>HYPERLINK("https://rhld.insurance.arkansas.gov/NPILookup?Npi=1952368300","1952368300")</f>
        <v>1952368300</v>
      </c>
      <c r="E16384" t="s">
        <v>4035</v>
      </c>
    </row>
    <row r="16385" spans="1:5" x14ac:dyDescent="0.25">
      <c r="A16385" t="s">
        <v>2</v>
      </c>
      <c r="B16385" t="s">
        <v>3458</v>
      </c>
      <c r="C16385" t="s">
        <v>23490</v>
      </c>
      <c r="D16385" t="str">
        <f>HYPERLINK("https://rhld.insurance.arkansas.gov/NPILookup?Npi=1952380651","1952380651")</f>
        <v>1952380651</v>
      </c>
      <c r="E16385" t="s">
        <v>11392</v>
      </c>
    </row>
    <row r="16386" spans="1:5" x14ac:dyDescent="0.25">
      <c r="A16386" t="s">
        <v>2</v>
      </c>
      <c r="B16386" t="s">
        <v>3458</v>
      </c>
      <c r="C16386" t="s">
        <v>23490</v>
      </c>
      <c r="D16386" t="str">
        <f>HYPERLINK("https://rhld.insurance.arkansas.gov/NPILookup?Npi=1952381501","1952381501")</f>
        <v>1952381501</v>
      </c>
      <c r="E16386" t="s">
        <v>4036</v>
      </c>
    </row>
    <row r="16387" spans="1:5" x14ac:dyDescent="0.25">
      <c r="A16387" t="s">
        <v>2</v>
      </c>
      <c r="B16387" t="s">
        <v>3458</v>
      </c>
      <c r="C16387" t="s">
        <v>23490</v>
      </c>
      <c r="D16387" t="str">
        <f>HYPERLINK("https://rhld.insurance.arkansas.gov/NPILookup?Npi=1952385064","1952385064")</f>
        <v>1952385064</v>
      </c>
      <c r="E16387" t="s">
        <v>3301</v>
      </c>
    </row>
    <row r="16388" spans="1:5" x14ac:dyDescent="0.25">
      <c r="A16388" t="s">
        <v>2</v>
      </c>
      <c r="B16388" t="s">
        <v>3458</v>
      </c>
      <c r="C16388" t="s">
        <v>23490</v>
      </c>
      <c r="D16388" t="str">
        <f>HYPERLINK("https://rhld.insurance.arkansas.gov/NPILookup?Npi=1952400665","1952400665")</f>
        <v>1952400665</v>
      </c>
      <c r="E16388" t="s">
        <v>12939</v>
      </c>
    </row>
    <row r="16389" spans="1:5" x14ac:dyDescent="0.25">
      <c r="A16389" t="s">
        <v>2</v>
      </c>
      <c r="B16389" t="s">
        <v>3458</v>
      </c>
      <c r="C16389" t="s">
        <v>23490</v>
      </c>
      <c r="D16389" t="str">
        <f>HYPERLINK("https://rhld.insurance.arkansas.gov/NPILookup?Npi=1952401044","1952401044")</f>
        <v>1952401044</v>
      </c>
      <c r="E16389" t="s">
        <v>3302</v>
      </c>
    </row>
    <row r="16390" spans="1:5" x14ac:dyDescent="0.25">
      <c r="A16390" t="s">
        <v>2</v>
      </c>
      <c r="B16390" t="s">
        <v>3458</v>
      </c>
      <c r="C16390" t="s">
        <v>23490</v>
      </c>
      <c r="D16390" t="str">
        <f>HYPERLINK("https://rhld.insurance.arkansas.gov/NPILookup?Npi=1952416653","1952416653")</f>
        <v>1952416653</v>
      </c>
      <c r="E16390" t="s">
        <v>3303</v>
      </c>
    </row>
    <row r="16391" spans="1:5" x14ac:dyDescent="0.25">
      <c r="A16391" t="s">
        <v>2</v>
      </c>
      <c r="B16391" t="s">
        <v>3458</v>
      </c>
      <c r="C16391" t="s">
        <v>23490</v>
      </c>
      <c r="D16391" t="str">
        <f>HYPERLINK("https://rhld.insurance.arkansas.gov/NPILookup?Npi=1952429680","1952429680")</f>
        <v>1952429680</v>
      </c>
      <c r="E16391" t="s">
        <v>11393</v>
      </c>
    </row>
    <row r="16392" spans="1:5" x14ac:dyDescent="0.25">
      <c r="A16392" t="s">
        <v>2</v>
      </c>
      <c r="B16392" t="s">
        <v>3458</v>
      </c>
      <c r="C16392" t="s">
        <v>23490</v>
      </c>
      <c r="D16392" t="str">
        <f>HYPERLINK("https://rhld.insurance.arkansas.gov/NPILookup?Npi=1952442923","1952442923")</f>
        <v>1952442923</v>
      </c>
      <c r="E16392" t="s">
        <v>4037</v>
      </c>
    </row>
    <row r="16393" spans="1:5" x14ac:dyDescent="0.25">
      <c r="A16393" t="s">
        <v>2</v>
      </c>
      <c r="B16393" t="s">
        <v>3458</v>
      </c>
      <c r="C16393" t="s">
        <v>23490</v>
      </c>
      <c r="D16393" t="str">
        <f>HYPERLINK("https://rhld.insurance.arkansas.gov/NPILookup?Npi=1952484339","1952484339")</f>
        <v>1952484339</v>
      </c>
      <c r="E16393" t="s">
        <v>15743</v>
      </c>
    </row>
    <row r="16394" spans="1:5" x14ac:dyDescent="0.25">
      <c r="A16394" t="s">
        <v>2</v>
      </c>
      <c r="B16394" t="s">
        <v>3458</v>
      </c>
      <c r="C16394" t="s">
        <v>23490</v>
      </c>
      <c r="D16394" t="str">
        <f>HYPERLINK("https://rhld.insurance.arkansas.gov/NPILookup?Npi=1952488660","1952488660")</f>
        <v>1952488660</v>
      </c>
      <c r="E16394" t="s">
        <v>3304</v>
      </c>
    </row>
    <row r="16395" spans="1:5" x14ac:dyDescent="0.25">
      <c r="A16395" t="s">
        <v>2</v>
      </c>
      <c r="B16395" t="s">
        <v>3458</v>
      </c>
      <c r="C16395" t="s">
        <v>23490</v>
      </c>
      <c r="D16395" t="str">
        <f>HYPERLINK("https://rhld.insurance.arkansas.gov/NPILookup?Npi=1952491441","1952491441")</f>
        <v>1952491441</v>
      </c>
      <c r="E16395" t="s">
        <v>8937</v>
      </c>
    </row>
    <row r="16396" spans="1:5" x14ac:dyDescent="0.25">
      <c r="A16396" t="s">
        <v>2</v>
      </c>
      <c r="B16396" t="s">
        <v>3458</v>
      </c>
      <c r="C16396" t="s">
        <v>23490</v>
      </c>
      <c r="D16396" t="str">
        <f>HYPERLINK("https://rhld.insurance.arkansas.gov/NPILookup?Npi=1952493546","1952493546")</f>
        <v>1952493546</v>
      </c>
      <c r="E16396" t="s">
        <v>13800</v>
      </c>
    </row>
    <row r="16397" spans="1:5" x14ac:dyDescent="0.25">
      <c r="A16397" t="s">
        <v>2</v>
      </c>
      <c r="B16397" t="s">
        <v>3458</v>
      </c>
      <c r="C16397" t="s">
        <v>23490</v>
      </c>
      <c r="D16397" t="str">
        <f>HYPERLINK("https://rhld.insurance.arkansas.gov/NPILookup?Npi=1952497240","1952497240")</f>
        <v>1952497240</v>
      </c>
      <c r="E16397" t="s">
        <v>3306</v>
      </c>
    </row>
    <row r="16398" spans="1:5" x14ac:dyDescent="0.25">
      <c r="A16398" t="s">
        <v>2</v>
      </c>
      <c r="B16398" t="s">
        <v>3458</v>
      </c>
      <c r="C16398" t="s">
        <v>23490</v>
      </c>
      <c r="D16398" t="str">
        <f>HYPERLINK("https://rhld.insurance.arkansas.gov/NPILookup?Npi=1952504193","1952504193")</f>
        <v>1952504193</v>
      </c>
      <c r="E16398" t="s">
        <v>3307</v>
      </c>
    </row>
    <row r="16399" spans="1:5" x14ac:dyDescent="0.25">
      <c r="A16399" t="s">
        <v>2</v>
      </c>
      <c r="B16399" t="s">
        <v>3458</v>
      </c>
      <c r="C16399" t="s">
        <v>23490</v>
      </c>
      <c r="D16399" t="str">
        <f>HYPERLINK("https://rhld.insurance.arkansas.gov/NPILookup?Npi=1952515777","1952515777")</f>
        <v>1952515777</v>
      </c>
      <c r="E16399" t="s">
        <v>8938</v>
      </c>
    </row>
    <row r="16400" spans="1:5" x14ac:dyDescent="0.25">
      <c r="A16400" t="s">
        <v>2</v>
      </c>
      <c r="B16400" t="s">
        <v>3458</v>
      </c>
      <c r="C16400" t="s">
        <v>23490</v>
      </c>
      <c r="D16400" t="str">
        <f>HYPERLINK("https://rhld.insurance.arkansas.gov/NPILookup?Npi=1952528077","1952528077")</f>
        <v>1952528077</v>
      </c>
      <c r="E16400" t="s">
        <v>15744</v>
      </c>
    </row>
    <row r="16401" spans="1:5" x14ac:dyDescent="0.25">
      <c r="A16401" t="s">
        <v>2</v>
      </c>
      <c r="B16401" t="s">
        <v>3458</v>
      </c>
      <c r="C16401" t="s">
        <v>23490</v>
      </c>
      <c r="D16401" t="str">
        <f>HYPERLINK("https://rhld.insurance.arkansas.gov/NPILookup?Npi=1952556235","1952556235")</f>
        <v>1952556235</v>
      </c>
      <c r="E16401" t="s">
        <v>18905</v>
      </c>
    </row>
    <row r="16402" spans="1:5" x14ac:dyDescent="0.25">
      <c r="A16402" t="s">
        <v>2</v>
      </c>
      <c r="B16402" t="s">
        <v>3458</v>
      </c>
      <c r="C16402" t="s">
        <v>23490</v>
      </c>
      <c r="D16402" t="str">
        <f>HYPERLINK("https://rhld.insurance.arkansas.gov/NPILookup?Npi=1952564080","1952564080")</f>
        <v>1952564080</v>
      </c>
      <c r="E16402" t="s">
        <v>4038</v>
      </c>
    </row>
    <row r="16403" spans="1:5" x14ac:dyDescent="0.25">
      <c r="A16403" t="s">
        <v>2</v>
      </c>
      <c r="B16403" t="s">
        <v>3458</v>
      </c>
      <c r="C16403" t="s">
        <v>23490</v>
      </c>
      <c r="D16403" t="str">
        <f>HYPERLINK("https://rhld.insurance.arkansas.gov/NPILookup?Npi=1952566440","1952566440")</f>
        <v>1952566440</v>
      </c>
      <c r="E16403" t="s">
        <v>3309</v>
      </c>
    </row>
    <row r="16404" spans="1:5" x14ac:dyDescent="0.25">
      <c r="A16404" t="s">
        <v>2</v>
      </c>
      <c r="B16404" t="s">
        <v>3458</v>
      </c>
      <c r="C16404" t="s">
        <v>23490</v>
      </c>
      <c r="D16404" t="str">
        <f>HYPERLINK("https://rhld.insurance.arkansas.gov/NPILookup?Npi=1952576837","1952576837")</f>
        <v>1952576837</v>
      </c>
      <c r="E16404" t="s">
        <v>15929</v>
      </c>
    </row>
    <row r="16405" spans="1:5" x14ac:dyDescent="0.25">
      <c r="A16405" t="s">
        <v>2</v>
      </c>
      <c r="B16405" t="s">
        <v>3458</v>
      </c>
      <c r="C16405" t="s">
        <v>23490</v>
      </c>
      <c r="D16405" t="str">
        <f>HYPERLINK("https://rhld.insurance.arkansas.gov/NPILookup?Npi=1952598211","1952598211")</f>
        <v>1952598211</v>
      </c>
      <c r="E16405" t="s">
        <v>20277</v>
      </c>
    </row>
    <row r="16406" spans="1:5" x14ac:dyDescent="0.25">
      <c r="A16406" t="s">
        <v>2</v>
      </c>
      <c r="B16406" t="s">
        <v>3458</v>
      </c>
      <c r="C16406" t="s">
        <v>23490</v>
      </c>
      <c r="D16406" t="str">
        <f>HYPERLINK("https://rhld.insurance.arkansas.gov/NPILookup?Npi=1952599615","1952599615")</f>
        <v>1952599615</v>
      </c>
      <c r="E16406" t="s">
        <v>8939</v>
      </c>
    </row>
    <row r="16407" spans="1:5" x14ac:dyDescent="0.25">
      <c r="A16407" t="s">
        <v>2</v>
      </c>
      <c r="B16407" t="s">
        <v>3458</v>
      </c>
      <c r="C16407" t="s">
        <v>23490</v>
      </c>
      <c r="D16407" t="str">
        <f>HYPERLINK("https://rhld.insurance.arkansas.gov/NPILookup?Npi=1952604167","1952604167")</f>
        <v>1952604167</v>
      </c>
      <c r="E16407" t="s">
        <v>4039</v>
      </c>
    </row>
    <row r="16408" spans="1:5" x14ac:dyDescent="0.25">
      <c r="A16408" t="s">
        <v>2</v>
      </c>
      <c r="B16408" t="s">
        <v>3458</v>
      </c>
      <c r="C16408" t="s">
        <v>23490</v>
      </c>
      <c r="D16408" t="str">
        <f>HYPERLINK("https://rhld.insurance.arkansas.gov/NPILookup?Npi=1952609224","1952609224")</f>
        <v>1952609224</v>
      </c>
      <c r="E16408" t="s">
        <v>3312</v>
      </c>
    </row>
    <row r="16409" spans="1:5" x14ac:dyDescent="0.25">
      <c r="A16409" t="s">
        <v>2</v>
      </c>
      <c r="B16409" t="s">
        <v>3458</v>
      </c>
      <c r="C16409" t="s">
        <v>23490</v>
      </c>
      <c r="D16409" t="str">
        <f>HYPERLINK("https://rhld.insurance.arkansas.gov/NPILookup?Npi=1952616328","1952616328")</f>
        <v>1952616328</v>
      </c>
      <c r="E16409" t="s">
        <v>15745</v>
      </c>
    </row>
    <row r="16410" spans="1:5" x14ac:dyDescent="0.25">
      <c r="A16410" t="s">
        <v>2</v>
      </c>
      <c r="B16410" t="s">
        <v>3458</v>
      </c>
      <c r="C16410" t="s">
        <v>23490</v>
      </c>
      <c r="D16410" t="str">
        <f>HYPERLINK("https://rhld.insurance.arkansas.gov/NPILookup?Npi=1952628802","1952628802")</f>
        <v>1952628802</v>
      </c>
      <c r="E16410" t="s">
        <v>11395</v>
      </c>
    </row>
    <row r="16411" spans="1:5" x14ac:dyDescent="0.25">
      <c r="A16411" t="s">
        <v>2</v>
      </c>
      <c r="B16411" t="s">
        <v>3458</v>
      </c>
      <c r="C16411" t="s">
        <v>23490</v>
      </c>
      <c r="D16411" t="str">
        <f>HYPERLINK("https://rhld.insurance.arkansas.gov/NPILookup?Npi=1952639312","1952639312")</f>
        <v>1952639312</v>
      </c>
      <c r="E16411" t="s">
        <v>20168</v>
      </c>
    </row>
    <row r="16412" spans="1:5" x14ac:dyDescent="0.25">
      <c r="A16412" t="s">
        <v>2</v>
      </c>
      <c r="B16412" t="s">
        <v>3458</v>
      </c>
      <c r="C16412" t="s">
        <v>23490</v>
      </c>
      <c r="D16412" t="str">
        <f>HYPERLINK("https://rhld.insurance.arkansas.gov/NPILookup?Npi=1952657868","1952657868")</f>
        <v>1952657868</v>
      </c>
      <c r="E16412" t="s">
        <v>3314</v>
      </c>
    </row>
    <row r="16413" spans="1:5" x14ac:dyDescent="0.25">
      <c r="A16413" t="s">
        <v>2</v>
      </c>
      <c r="B16413" t="s">
        <v>3458</v>
      </c>
      <c r="C16413" t="s">
        <v>23490</v>
      </c>
      <c r="D16413" t="str">
        <f>HYPERLINK("https://rhld.insurance.arkansas.gov/NPILookup?Npi=1952660045","1952660045")</f>
        <v>1952660045</v>
      </c>
      <c r="E16413" t="s">
        <v>17057</v>
      </c>
    </row>
    <row r="16414" spans="1:5" x14ac:dyDescent="0.25">
      <c r="A16414" t="s">
        <v>2</v>
      </c>
      <c r="B16414" t="s">
        <v>3458</v>
      </c>
      <c r="C16414" t="s">
        <v>23490</v>
      </c>
      <c r="D16414" t="str">
        <f>HYPERLINK("https://rhld.insurance.arkansas.gov/NPILookup?Npi=1952668311","1952668311")</f>
        <v>1952668311</v>
      </c>
      <c r="E16414" t="s">
        <v>8996</v>
      </c>
    </row>
    <row r="16415" spans="1:5" x14ac:dyDescent="0.25">
      <c r="A16415" t="s">
        <v>2</v>
      </c>
      <c r="B16415" t="s">
        <v>3458</v>
      </c>
      <c r="C16415" t="s">
        <v>23490</v>
      </c>
      <c r="D16415" t="str">
        <f>HYPERLINK("https://rhld.insurance.arkansas.gov/NPILookup?Npi=1952716581","1952716581")</f>
        <v>1952716581</v>
      </c>
      <c r="E16415" t="s">
        <v>4040</v>
      </c>
    </row>
    <row r="16416" spans="1:5" x14ac:dyDescent="0.25">
      <c r="A16416" t="s">
        <v>2</v>
      </c>
      <c r="B16416" t="s">
        <v>3458</v>
      </c>
      <c r="C16416" t="s">
        <v>23490</v>
      </c>
      <c r="D16416" t="str">
        <f>HYPERLINK("https://rhld.insurance.arkansas.gov/NPILookup?Npi=1952721615","1952721615")</f>
        <v>1952721615</v>
      </c>
      <c r="E16416" t="s">
        <v>8940</v>
      </c>
    </row>
    <row r="16417" spans="1:5" x14ac:dyDescent="0.25">
      <c r="A16417" t="s">
        <v>2</v>
      </c>
      <c r="B16417" t="s">
        <v>3458</v>
      </c>
      <c r="C16417" t="s">
        <v>23490</v>
      </c>
      <c r="D16417" t="str">
        <f>HYPERLINK("https://rhld.insurance.arkansas.gov/NPILookup?Npi=1952732141","1952732141")</f>
        <v>1952732141</v>
      </c>
      <c r="E16417" t="s">
        <v>3316</v>
      </c>
    </row>
    <row r="16418" spans="1:5" x14ac:dyDescent="0.25">
      <c r="A16418" t="s">
        <v>2</v>
      </c>
      <c r="B16418" t="s">
        <v>3458</v>
      </c>
      <c r="C16418" t="s">
        <v>23490</v>
      </c>
      <c r="D16418" t="str">
        <f>HYPERLINK("https://rhld.insurance.arkansas.gov/NPILookup?Npi=1952757254","1952757254")</f>
        <v>1952757254</v>
      </c>
      <c r="E16418" t="s">
        <v>11396</v>
      </c>
    </row>
    <row r="16419" spans="1:5" x14ac:dyDescent="0.25">
      <c r="A16419" t="s">
        <v>2</v>
      </c>
      <c r="B16419" t="s">
        <v>3458</v>
      </c>
      <c r="C16419" t="s">
        <v>23490</v>
      </c>
      <c r="D16419" t="str">
        <f>HYPERLINK("https://rhld.insurance.arkansas.gov/NPILookup?Npi=1952762411","1952762411")</f>
        <v>1952762411</v>
      </c>
      <c r="E16419" t="s">
        <v>15746</v>
      </c>
    </row>
    <row r="16420" spans="1:5" x14ac:dyDescent="0.25">
      <c r="A16420" t="s">
        <v>2</v>
      </c>
      <c r="B16420" t="s">
        <v>3458</v>
      </c>
      <c r="C16420" t="s">
        <v>23490</v>
      </c>
      <c r="D16420" t="str">
        <f>HYPERLINK("https://rhld.insurance.arkansas.gov/NPILookup?Npi=1952764847","1952764847")</f>
        <v>1952764847</v>
      </c>
      <c r="E16420" t="s">
        <v>15930</v>
      </c>
    </row>
    <row r="16421" spans="1:5" x14ac:dyDescent="0.25">
      <c r="A16421" t="s">
        <v>2</v>
      </c>
      <c r="B16421" t="s">
        <v>3458</v>
      </c>
      <c r="C16421" t="s">
        <v>23490</v>
      </c>
      <c r="D16421" t="str">
        <f>HYPERLINK("https://rhld.insurance.arkansas.gov/NPILookup?Npi=1952768780","1952768780")</f>
        <v>1952768780</v>
      </c>
      <c r="E16421" t="s">
        <v>8941</v>
      </c>
    </row>
    <row r="16422" spans="1:5" x14ac:dyDescent="0.25">
      <c r="A16422" t="s">
        <v>2</v>
      </c>
      <c r="B16422" t="s">
        <v>3458</v>
      </c>
      <c r="C16422" t="s">
        <v>23490</v>
      </c>
      <c r="D16422" t="str">
        <f>HYPERLINK("https://rhld.insurance.arkansas.gov/NPILookup?Npi=1952778276","1952778276")</f>
        <v>1952778276</v>
      </c>
      <c r="E16422" t="s">
        <v>8942</v>
      </c>
    </row>
    <row r="16423" spans="1:5" x14ac:dyDescent="0.25">
      <c r="A16423" t="s">
        <v>2</v>
      </c>
      <c r="B16423" t="s">
        <v>3458</v>
      </c>
      <c r="C16423" t="s">
        <v>23490</v>
      </c>
      <c r="D16423" t="str">
        <f>HYPERLINK("https://rhld.insurance.arkansas.gov/NPILookup?Npi=1952784829","1952784829")</f>
        <v>1952784829</v>
      </c>
      <c r="E16423" t="s">
        <v>3317</v>
      </c>
    </row>
    <row r="16424" spans="1:5" x14ac:dyDescent="0.25">
      <c r="A16424" t="s">
        <v>2</v>
      </c>
      <c r="B16424" t="s">
        <v>3458</v>
      </c>
      <c r="C16424" t="s">
        <v>23490</v>
      </c>
      <c r="D16424" t="str">
        <f>HYPERLINK("https://rhld.insurance.arkansas.gov/NPILookup?Npi=1952784910","1952784910")</f>
        <v>1952784910</v>
      </c>
      <c r="E16424" t="s">
        <v>8943</v>
      </c>
    </row>
    <row r="16425" spans="1:5" x14ac:dyDescent="0.25">
      <c r="A16425" t="s">
        <v>2</v>
      </c>
      <c r="B16425" t="s">
        <v>3458</v>
      </c>
      <c r="C16425" t="s">
        <v>23490</v>
      </c>
      <c r="D16425" t="str">
        <f>HYPERLINK("https://rhld.insurance.arkansas.gov/NPILookup?Npi=1952805368","1952805368")</f>
        <v>1952805368</v>
      </c>
      <c r="E16425" t="s">
        <v>17058</v>
      </c>
    </row>
    <row r="16426" spans="1:5" x14ac:dyDescent="0.25">
      <c r="A16426" t="s">
        <v>2</v>
      </c>
      <c r="B16426" t="s">
        <v>3458</v>
      </c>
      <c r="C16426" t="s">
        <v>23490</v>
      </c>
      <c r="D16426" t="str">
        <f>HYPERLINK("https://rhld.insurance.arkansas.gov/NPILookup?Npi=1952807174","1952807174")</f>
        <v>1952807174</v>
      </c>
      <c r="E16426" t="s">
        <v>12940</v>
      </c>
    </row>
    <row r="16427" spans="1:5" x14ac:dyDescent="0.25">
      <c r="A16427" t="s">
        <v>2</v>
      </c>
      <c r="B16427" t="s">
        <v>3458</v>
      </c>
      <c r="C16427" t="s">
        <v>23490</v>
      </c>
      <c r="D16427" t="str">
        <f>HYPERLINK("https://rhld.insurance.arkansas.gov/NPILookup?Npi=1952829475","1952829475")</f>
        <v>1952829475</v>
      </c>
      <c r="E16427" t="s">
        <v>11397</v>
      </c>
    </row>
    <row r="16428" spans="1:5" x14ac:dyDescent="0.25">
      <c r="A16428" t="s">
        <v>2</v>
      </c>
      <c r="B16428" t="s">
        <v>3458</v>
      </c>
      <c r="C16428" t="s">
        <v>23490</v>
      </c>
      <c r="D16428" t="str">
        <f>HYPERLINK("https://rhld.insurance.arkansas.gov/NPILookup?Npi=1952830150","1952830150")</f>
        <v>1952830150</v>
      </c>
      <c r="E16428" t="s">
        <v>18906</v>
      </c>
    </row>
    <row r="16429" spans="1:5" x14ac:dyDescent="0.25">
      <c r="A16429" t="s">
        <v>2</v>
      </c>
      <c r="B16429" t="s">
        <v>3458</v>
      </c>
      <c r="C16429" t="s">
        <v>23490</v>
      </c>
      <c r="D16429" t="str">
        <f>HYPERLINK("https://rhld.insurance.arkansas.gov/NPILookup?Npi=1952867574","1952867574")</f>
        <v>1952867574</v>
      </c>
      <c r="E16429" t="s">
        <v>18907</v>
      </c>
    </row>
    <row r="16430" spans="1:5" x14ac:dyDescent="0.25">
      <c r="A16430" t="s">
        <v>2</v>
      </c>
      <c r="B16430" t="s">
        <v>3458</v>
      </c>
      <c r="C16430" t="s">
        <v>23490</v>
      </c>
      <c r="D16430" t="str">
        <f>HYPERLINK("https://rhld.insurance.arkansas.gov/NPILookup?Npi=1952955668","1952955668")</f>
        <v>1952955668</v>
      </c>
      <c r="E16430" t="s">
        <v>18189</v>
      </c>
    </row>
    <row r="16431" spans="1:5" x14ac:dyDescent="0.25">
      <c r="A16431" t="s">
        <v>2</v>
      </c>
      <c r="B16431" t="s">
        <v>3458</v>
      </c>
      <c r="C16431" t="s">
        <v>23490</v>
      </c>
      <c r="D16431" t="str">
        <f>HYPERLINK("https://rhld.insurance.arkansas.gov/NPILookup?Npi=1952974750","1952974750")</f>
        <v>1952974750</v>
      </c>
      <c r="E16431" t="s">
        <v>20169</v>
      </c>
    </row>
    <row r="16432" spans="1:5" x14ac:dyDescent="0.25">
      <c r="A16432" t="s">
        <v>2</v>
      </c>
      <c r="B16432" t="s">
        <v>3458</v>
      </c>
      <c r="C16432" t="s">
        <v>23490</v>
      </c>
      <c r="D16432" t="str">
        <f>HYPERLINK("https://rhld.insurance.arkansas.gov/NPILookup?Npi=1952993925","1952993925")</f>
        <v>1952993925</v>
      </c>
      <c r="E16432" t="s">
        <v>18908</v>
      </c>
    </row>
    <row r="16433" spans="1:5" x14ac:dyDescent="0.25">
      <c r="A16433" t="s">
        <v>2</v>
      </c>
      <c r="B16433" t="s">
        <v>3458</v>
      </c>
      <c r="C16433" t="s">
        <v>23490</v>
      </c>
      <c r="D16433" t="str">
        <f>HYPERLINK("https://rhld.insurance.arkansas.gov/NPILookup?Npi=1962000471","1962000471")</f>
        <v>1962000471</v>
      </c>
      <c r="E16433" t="s">
        <v>18909</v>
      </c>
    </row>
    <row r="16434" spans="1:5" x14ac:dyDescent="0.25">
      <c r="A16434" t="s">
        <v>2</v>
      </c>
      <c r="B16434" t="s">
        <v>3458</v>
      </c>
      <c r="C16434" t="s">
        <v>23490</v>
      </c>
      <c r="D16434" t="str">
        <f>HYPERLINK("https://rhld.insurance.arkansas.gov/NPILookup?Npi=1962013359","1962013359")</f>
        <v>1962013359</v>
      </c>
      <c r="E16434" t="s">
        <v>20170</v>
      </c>
    </row>
    <row r="16435" spans="1:5" x14ac:dyDescent="0.25">
      <c r="A16435" t="s">
        <v>2</v>
      </c>
      <c r="B16435" t="s">
        <v>3458</v>
      </c>
      <c r="C16435" t="s">
        <v>23490</v>
      </c>
      <c r="D16435" t="str">
        <f>HYPERLINK("https://rhld.insurance.arkansas.gov/NPILookup?Npi=1962032888","1962032888")</f>
        <v>1962032888</v>
      </c>
      <c r="E16435" t="s">
        <v>18910</v>
      </c>
    </row>
    <row r="16436" spans="1:5" x14ac:dyDescent="0.25">
      <c r="A16436" t="s">
        <v>2</v>
      </c>
      <c r="B16436" t="s">
        <v>3458</v>
      </c>
      <c r="C16436" t="s">
        <v>23490</v>
      </c>
      <c r="D16436" t="str">
        <f>HYPERLINK("https://rhld.insurance.arkansas.gov/NPILookup?Npi=1962153452","1962153452")</f>
        <v>1962153452</v>
      </c>
      <c r="E16436" t="s">
        <v>20172</v>
      </c>
    </row>
    <row r="16437" spans="1:5" x14ac:dyDescent="0.25">
      <c r="A16437" t="s">
        <v>2</v>
      </c>
      <c r="B16437" t="s">
        <v>3458</v>
      </c>
      <c r="C16437" t="s">
        <v>23490</v>
      </c>
      <c r="D16437" t="str">
        <f>HYPERLINK("https://rhld.insurance.arkansas.gov/NPILookup?Npi=1962163105","1962163105")</f>
        <v>1962163105</v>
      </c>
      <c r="E16437" t="s">
        <v>20173</v>
      </c>
    </row>
    <row r="16438" spans="1:5" x14ac:dyDescent="0.25">
      <c r="A16438" t="s">
        <v>2</v>
      </c>
      <c r="B16438" t="s">
        <v>3458</v>
      </c>
      <c r="C16438" t="s">
        <v>23490</v>
      </c>
      <c r="D16438" t="str">
        <f>HYPERLINK("https://rhld.insurance.arkansas.gov/NPILookup?Npi=1962166785","1962166785")</f>
        <v>1962166785</v>
      </c>
      <c r="E16438" t="s">
        <v>20174</v>
      </c>
    </row>
    <row r="16439" spans="1:5" x14ac:dyDescent="0.25">
      <c r="A16439" t="s">
        <v>2</v>
      </c>
      <c r="B16439" t="s">
        <v>3458</v>
      </c>
      <c r="C16439" t="s">
        <v>23490</v>
      </c>
      <c r="D16439" t="str">
        <f>HYPERLINK("https://rhld.insurance.arkansas.gov/NPILookup?Npi=1962402867","1962402867")</f>
        <v>1962402867</v>
      </c>
      <c r="E16439" t="s">
        <v>3318</v>
      </c>
    </row>
    <row r="16440" spans="1:5" x14ac:dyDescent="0.25">
      <c r="A16440" t="s">
        <v>2</v>
      </c>
      <c r="B16440" t="s">
        <v>3458</v>
      </c>
      <c r="C16440" t="s">
        <v>23490</v>
      </c>
      <c r="D16440" t="str">
        <f>HYPERLINK("https://rhld.insurance.arkansas.gov/NPILookup?Npi=1962405373","1962405373")</f>
        <v>1962405373</v>
      </c>
      <c r="E16440" t="s">
        <v>15747</v>
      </c>
    </row>
    <row r="16441" spans="1:5" x14ac:dyDescent="0.25">
      <c r="A16441" t="s">
        <v>2</v>
      </c>
      <c r="B16441" t="s">
        <v>3458</v>
      </c>
      <c r="C16441" t="s">
        <v>23490</v>
      </c>
      <c r="D16441" t="str">
        <f>HYPERLINK("https://rhld.insurance.arkansas.gov/NPILookup?Npi=1962408435","1962408435")</f>
        <v>1962408435</v>
      </c>
      <c r="E16441" t="s">
        <v>3320</v>
      </c>
    </row>
    <row r="16442" spans="1:5" x14ac:dyDescent="0.25">
      <c r="A16442" t="s">
        <v>2</v>
      </c>
      <c r="B16442" t="s">
        <v>3458</v>
      </c>
      <c r="C16442" t="s">
        <v>23490</v>
      </c>
      <c r="D16442" t="str">
        <f>HYPERLINK("https://rhld.insurance.arkansas.gov/NPILookup?Npi=1962409334","1962409334")</f>
        <v>1962409334</v>
      </c>
      <c r="E16442" t="s">
        <v>3321</v>
      </c>
    </row>
    <row r="16443" spans="1:5" x14ac:dyDescent="0.25">
      <c r="A16443" t="s">
        <v>2</v>
      </c>
      <c r="B16443" t="s">
        <v>3458</v>
      </c>
      <c r="C16443" t="s">
        <v>23490</v>
      </c>
      <c r="D16443" t="str">
        <f>HYPERLINK("https://rhld.insurance.arkansas.gov/NPILookup?Npi=1962410100","1962410100")</f>
        <v>1962410100</v>
      </c>
      <c r="E16443" t="s">
        <v>15748</v>
      </c>
    </row>
    <row r="16444" spans="1:5" x14ac:dyDescent="0.25">
      <c r="A16444" t="s">
        <v>2</v>
      </c>
      <c r="B16444" t="s">
        <v>3458</v>
      </c>
      <c r="C16444" t="s">
        <v>23490</v>
      </c>
      <c r="D16444" t="str">
        <f>HYPERLINK("https://rhld.insurance.arkansas.gov/NPILookup?Npi=1962418160","1962418160")</f>
        <v>1962418160</v>
      </c>
      <c r="E16444" t="s">
        <v>3322</v>
      </c>
    </row>
    <row r="16445" spans="1:5" x14ac:dyDescent="0.25">
      <c r="A16445" t="s">
        <v>2</v>
      </c>
      <c r="B16445" t="s">
        <v>3458</v>
      </c>
      <c r="C16445" t="s">
        <v>23490</v>
      </c>
      <c r="D16445" t="str">
        <f>HYPERLINK("https://rhld.insurance.arkansas.gov/NPILookup?Npi=1962418285","1962418285")</f>
        <v>1962418285</v>
      </c>
      <c r="E16445" t="s">
        <v>3323</v>
      </c>
    </row>
    <row r="16446" spans="1:5" x14ac:dyDescent="0.25">
      <c r="A16446" t="s">
        <v>2</v>
      </c>
      <c r="B16446" t="s">
        <v>3458</v>
      </c>
      <c r="C16446" t="s">
        <v>23490</v>
      </c>
      <c r="D16446" t="str">
        <f>HYPERLINK("https://rhld.insurance.arkansas.gov/NPILookup?Npi=1962419143","1962419143")</f>
        <v>1962419143</v>
      </c>
      <c r="E16446" t="s">
        <v>3324</v>
      </c>
    </row>
    <row r="16447" spans="1:5" x14ac:dyDescent="0.25">
      <c r="A16447" t="s">
        <v>2</v>
      </c>
      <c r="B16447" t="s">
        <v>3458</v>
      </c>
      <c r="C16447" t="s">
        <v>23490</v>
      </c>
      <c r="D16447" t="str">
        <f>HYPERLINK("https://rhld.insurance.arkansas.gov/NPILookup?Npi=1962420547","1962420547")</f>
        <v>1962420547</v>
      </c>
      <c r="E16447" t="s">
        <v>3325</v>
      </c>
    </row>
    <row r="16448" spans="1:5" x14ac:dyDescent="0.25">
      <c r="A16448" t="s">
        <v>2</v>
      </c>
      <c r="B16448" t="s">
        <v>3458</v>
      </c>
      <c r="C16448" t="s">
        <v>23490</v>
      </c>
      <c r="D16448" t="str">
        <f>HYPERLINK("https://rhld.insurance.arkansas.gov/NPILookup?Npi=1962424465","1962424465")</f>
        <v>1962424465</v>
      </c>
      <c r="E16448" t="s">
        <v>4041</v>
      </c>
    </row>
    <row r="16449" spans="1:5" x14ac:dyDescent="0.25">
      <c r="A16449" t="s">
        <v>2</v>
      </c>
      <c r="B16449" t="s">
        <v>3458</v>
      </c>
      <c r="C16449" t="s">
        <v>23490</v>
      </c>
      <c r="D16449" t="str">
        <f>HYPERLINK("https://rhld.insurance.arkansas.gov/NPILookup?Npi=1962435768","1962435768")</f>
        <v>1962435768</v>
      </c>
      <c r="E16449" t="s">
        <v>8944</v>
      </c>
    </row>
    <row r="16450" spans="1:5" x14ac:dyDescent="0.25">
      <c r="A16450" t="s">
        <v>2</v>
      </c>
      <c r="B16450" t="s">
        <v>3458</v>
      </c>
      <c r="C16450" t="s">
        <v>23490</v>
      </c>
      <c r="D16450" t="str">
        <f>HYPERLINK("https://rhld.insurance.arkansas.gov/NPILookup?Npi=1962436840","1962436840")</f>
        <v>1962436840</v>
      </c>
      <c r="E16450" t="s">
        <v>11398</v>
      </c>
    </row>
    <row r="16451" spans="1:5" x14ac:dyDescent="0.25">
      <c r="A16451" t="s">
        <v>2</v>
      </c>
      <c r="B16451" t="s">
        <v>3458</v>
      </c>
      <c r="C16451" t="s">
        <v>23490</v>
      </c>
      <c r="D16451" t="str">
        <f>HYPERLINK("https://rhld.insurance.arkansas.gov/NPILookup?Npi=1962440594","1962440594")</f>
        <v>1962440594</v>
      </c>
      <c r="E16451" t="s">
        <v>15749</v>
      </c>
    </row>
    <row r="16452" spans="1:5" x14ac:dyDescent="0.25">
      <c r="A16452" t="s">
        <v>2</v>
      </c>
      <c r="B16452" t="s">
        <v>3458</v>
      </c>
      <c r="C16452" t="s">
        <v>23490</v>
      </c>
      <c r="D16452" t="str">
        <f>HYPERLINK("https://rhld.insurance.arkansas.gov/NPILookup?Npi=1962441436","1962441436")</f>
        <v>1962441436</v>
      </c>
      <c r="E16452" t="s">
        <v>3326</v>
      </c>
    </row>
    <row r="16453" spans="1:5" x14ac:dyDescent="0.25">
      <c r="A16453" t="s">
        <v>2</v>
      </c>
      <c r="B16453" t="s">
        <v>3458</v>
      </c>
      <c r="C16453" t="s">
        <v>23490</v>
      </c>
      <c r="D16453" t="str">
        <f>HYPERLINK("https://rhld.insurance.arkansas.gov/NPILookup?Npi=1962453225","1962453225")</f>
        <v>1962453225</v>
      </c>
      <c r="E16453" t="s">
        <v>3327</v>
      </c>
    </row>
    <row r="16454" spans="1:5" x14ac:dyDescent="0.25">
      <c r="A16454" t="s">
        <v>2</v>
      </c>
      <c r="B16454" t="s">
        <v>3458</v>
      </c>
      <c r="C16454" t="s">
        <v>23490</v>
      </c>
      <c r="D16454" t="str">
        <f>HYPERLINK("https://rhld.insurance.arkansas.gov/NPILookup?Npi=1962455212","1962455212")</f>
        <v>1962455212</v>
      </c>
      <c r="E16454" t="s">
        <v>3328</v>
      </c>
    </row>
    <row r="16455" spans="1:5" x14ac:dyDescent="0.25">
      <c r="A16455" t="s">
        <v>2</v>
      </c>
      <c r="B16455" t="s">
        <v>3458</v>
      </c>
      <c r="C16455" t="s">
        <v>23490</v>
      </c>
      <c r="D16455" t="str">
        <f>HYPERLINK("https://rhld.insurance.arkansas.gov/NPILookup?Npi=1962459792","1962459792")</f>
        <v>1962459792</v>
      </c>
      <c r="E16455" t="s">
        <v>21419</v>
      </c>
    </row>
    <row r="16456" spans="1:5" x14ac:dyDescent="0.25">
      <c r="A16456" t="s">
        <v>2</v>
      </c>
      <c r="B16456" t="s">
        <v>3458</v>
      </c>
      <c r="C16456" t="s">
        <v>23490</v>
      </c>
      <c r="D16456" t="str">
        <f>HYPERLINK("https://rhld.insurance.arkansas.gov/NPILookup?Npi=1962460212","1962460212")</f>
        <v>1962460212</v>
      </c>
      <c r="E16456" t="s">
        <v>3329</v>
      </c>
    </row>
    <row r="16457" spans="1:5" x14ac:dyDescent="0.25">
      <c r="A16457" t="s">
        <v>2</v>
      </c>
      <c r="B16457" t="s">
        <v>3458</v>
      </c>
      <c r="C16457" t="s">
        <v>23490</v>
      </c>
      <c r="D16457" t="str">
        <f>HYPERLINK("https://rhld.insurance.arkansas.gov/NPILookup?Npi=1962463091","1962463091")</f>
        <v>1962463091</v>
      </c>
      <c r="E16457" t="s">
        <v>3330</v>
      </c>
    </row>
    <row r="16458" spans="1:5" x14ac:dyDescent="0.25">
      <c r="A16458" t="s">
        <v>2</v>
      </c>
      <c r="B16458" t="s">
        <v>3458</v>
      </c>
      <c r="C16458" t="s">
        <v>23490</v>
      </c>
      <c r="D16458" t="str">
        <f>HYPERLINK("https://rhld.insurance.arkansas.gov/NPILookup?Npi=1962465740","1962465740")</f>
        <v>1962465740</v>
      </c>
      <c r="E16458" t="s">
        <v>4042</v>
      </c>
    </row>
    <row r="16459" spans="1:5" x14ac:dyDescent="0.25">
      <c r="A16459" t="s">
        <v>2</v>
      </c>
      <c r="B16459" t="s">
        <v>3458</v>
      </c>
      <c r="C16459" t="s">
        <v>23490</v>
      </c>
      <c r="D16459" t="str">
        <f>HYPERLINK("https://rhld.insurance.arkansas.gov/NPILookup?Npi=1962468629","1962468629")</f>
        <v>1962468629</v>
      </c>
      <c r="E16459" t="s">
        <v>13046</v>
      </c>
    </row>
    <row r="16460" spans="1:5" x14ac:dyDescent="0.25">
      <c r="A16460" t="s">
        <v>2</v>
      </c>
      <c r="B16460" t="s">
        <v>3458</v>
      </c>
      <c r="C16460" t="s">
        <v>23490</v>
      </c>
      <c r="D16460" t="str">
        <f>HYPERLINK("https://rhld.insurance.arkansas.gov/NPILookup?Npi=1962469254","1962469254")</f>
        <v>1962469254</v>
      </c>
      <c r="E16460" t="s">
        <v>4043</v>
      </c>
    </row>
    <row r="16461" spans="1:5" x14ac:dyDescent="0.25">
      <c r="A16461" t="s">
        <v>2</v>
      </c>
      <c r="B16461" t="s">
        <v>3458</v>
      </c>
      <c r="C16461" t="s">
        <v>23490</v>
      </c>
      <c r="D16461" t="str">
        <f>HYPERLINK("https://rhld.insurance.arkansas.gov/NPILookup?Npi=1962473462","1962473462")</f>
        <v>1962473462</v>
      </c>
      <c r="E16461" t="s">
        <v>3331</v>
      </c>
    </row>
    <row r="16462" spans="1:5" x14ac:dyDescent="0.25">
      <c r="A16462" t="s">
        <v>2</v>
      </c>
      <c r="B16462" t="s">
        <v>3458</v>
      </c>
      <c r="C16462" t="s">
        <v>23490</v>
      </c>
      <c r="D16462" t="str">
        <f>HYPERLINK("https://rhld.insurance.arkansas.gov/NPILookup?Npi=1962495655","1962495655")</f>
        <v>1962495655</v>
      </c>
      <c r="E16462" t="s">
        <v>8997</v>
      </c>
    </row>
    <row r="16463" spans="1:5" x14ac:dyDescent="0.25">
      <c r="A16463" t="s">
        <v>2</v>
      </c>
      <c r="B16463" t="s">
        <v>3458</v>
      </c>
      <c r="C16463" t="s">
        <v>23490</v>
      </c>
      <c r="D16463" t="str">
        <f>HYPERLINK("https://rhld.insurance.arkansas.gov/NPILookup?Npi=1962503391","1962503391")</f>
        <v>1962503391</v>
      </c>
      <c r="E16463" t="s">
        <v>4044</v>
      </c>
    </row>
    <row r="16464" spans="1:5" x14ac:dyDescent="0.25">
      <c r="A16464" t="s">
        <v>2</v>
      </c>
      <c r="B16464" t="s">
        <v>3458</v>
      </c>
      <c r="C16464" t="s">
        <v>23490</v>
      </c>
      <c r="D16464" t="str">
        <f>HYPERLINK("https://rhld.insurance.arkansas.gov/NPILookup?Npi=1962515668","1962515668")</f>
        <v>1962515668</v>
      </c>
      <c r="E16464" t="s">
        <v>3333</v>
      </c>
    </row>
    <row r="16465" spans="1:5" x14ac:dyDescent="0.25">
      <c r="A16465" t="s">
        <v>2</v>
      </c>
      <c r="B16465" t="s">
        <v>3458</v>
      </c>
      <c r="C16465" t="s">
        <v>23490</v>
      </c>
      <c r="D16465" t="str">
        <f>HYPERLINK("https://rhld.insurance.arkansas.gov/NPILookup?Npi=1962545376","1962545376")</f>
        <v>1962545376</v>
      </c>
      <c r="E16465" t="s">
        <v>3335</v>
      </c>
    </row>
    <row r="16466" spans="1:5" x14ac:dyDescent="0.25">
      <c r="A16466" t="s">
        <v>2</v>
      </c>
      <c r="B16466" t="s">
        <v>3458</v>
      </c>
      <c r="C16466" t="s">
        <v>23490</v>
      </c>
      <c r="D16466" t="str">
        <f>HYPERLINK("https://rhld.insurance.arkansas.gov/NPILookup?Npi=1962583013","1962583013")</f>
        <v>1962583013</v>
      </c>
      <c r="E16466" t="s">
        <v>4045</v>
      </c>
    </row>
    <row r="16467" spans="1:5" x14ac:dyDescent="0.25">
      <c r="A16467" t="s">
        <v>2</v>
      </c>
      <c r="B16467" t="s">
        <v>3458</v>
      </c>
      <c r="C16467" t="s">
        <v>23490</v>
      </c>
      <c r="D16467" t="str">
        <f>HYPERLINK("https://rhld.insurance.arkansas.gov/NPILookup?Npi=1962584896","1962584896")</f>
        <v>1962584896</v>
      </c>
      <c r="E16467" t="s">
        <v>11399</v>
      </c>
    </row>
    <row r="16468" spans="1:5" x14ac:dyDescent="0.25">
      <c r="A16468" t="s">
        <v>2</v>
      </c>
      <c r="B16468" t="s">
        <v>3458</v>
      </c>
      <c r="C16468" t="s">
        <v>23490</v>
      </c>
      <c r="D16468" t="str">
        <f>HYPERLINK("https://rhld.insurance.arkansas.gov/NPILookup?Npi=1962600312","1962600312")</f>
        <v>1962600312</v>
      </c>
      <c r="E16468" t="s">
        <v>3336</v>
      </c>
    </row>
    <row r="16469" spans="1:5" x14ac:dyDescent="0.25">
      <c r="A16469" t="s">
        <v>2</v>
      </c>
      <c r="B16469" t="s">
        <v>3458</v>
      </c>
      <c r="C16469" t="s">
        <v>23490</v>
      </c>
      <c r="D16469" t="str">
        <f>HYPERLINK("https://rhld.insurance.arkansas.gov/NPILookup?Npi=1962607457","1962607457")</f>
        <v>1962607457</v>
      </c>
      <c r="E16469" t="s">
        <v>3337</v>
      </c>
    </row>
    <row r="16470" spans="1:5" x14ac:dyDescent="0.25">
      <c r="A16470" t="s">
        <v>2</v>
      </c>
      <c r="B16470" t="s">
        <v>3458</v>
      </c>
      <c r="C16470" t="s">
        <v>23490</v>
      </c>
      <c r="D16470" t="str">
        <f>HYPERLINK("https://rhld.insurance.arkansas.gov/NPILookup?Npi=1962635359","1962635359")</f>
        <v>1962635359</v>
      </c>
      <c r="E16470" t="s">
        <v>8945</v>
      </c>
    </row>
    <row r="16471" spans="1:5" x14ac:dyDescent="0.25">
      <c r="A16471" t="s">
        <v>2</v>
      </c>
      <c r="B16471" t="s">
        <v>3458</v>
      </c>
      <c r="C16471" t="s">
        <v>23490</v>
      </c>
      <c r="D16471" t="str">
        <f>HYPERLINK("https://rhld.insurance.arkansas.gov/NPILookup?Npi=1962676379","1962676379")</f>
        <v>1962676379</v>
      </c>
      <c r="E16471" t="s">
        <v>4046</v>
      </c>
    </row>
    <row r="16472" spans="1:5" x14ac:dyDescent="0.25">
      <c r="A16472" t="s">
        <v>2</v>
      </c>
      <c r="B16472" t="s">
        <v>3458</v>
      </c>
      <c r="C16472" t="s">
        <v>23490</v>
      </c>
      <c r="D16472" t="str">
        <f>HYPERLINK("https://rhld.insurance.arkansas.gov/NPILookup?Npi=1962682765","1962682765")</f>
        <v>1962682765</v>
      </c>
      <c r="E16472" t="s">
        <v>15750</v>
      </c>
    </row>
    <row r="16473" spans="1:5" x14ac:dyDescent="0.25">
      <c r="A16473" t="s">
        <v>2</v>
      </c>
      <c r="B16473" t="s">
        <v>3458</v>
      </c>
      <c r="C16473" t="s">
        <v>23490</v>
      </c>
      <c r="D16473" t="str">
        <f>HYPERLINK("https://rhld.insurance.arkansas.gov/NPILookup?Npi=1962714097","1962714097")</f>
        <v>1962714097</v>
      </c>
      <c r="E16473" t="s">
        <v>3341</v>
      </c>
    </row>
    <row r="16474" spans="1:5" x14ac:dyDescent="0.25">
      <c r="A16474" t="s">
        <v>2</v>
      </c>
      <c r="B16474" t="s">
        <v>3458</v>
      </c>
      <c r="C16474" t="s">
        <v>23490</v>
      </c>
      <c r="D16474" t="str">
        <f>HYPERLINK("https://rhld.insurance.arkansas.gov/NPILookup?Npi=1962715854","1962715854")</f>
        <v>1962715854</v>
      </c>
      <c r="E16474" t="s">
        <v>11400</v>
      </c>
    </row>
    <row r="16475" spans="1:5" x14ac:dyDescent="0.25">
      <c r="A16475" t="s">
        <v>2</v>
      </c>
      <c r="B16475" t="s">
        <v>3458</v>
      </c>
      <c r="C16475" t="s">
        <v>23490</v>
      </c>
      <c r="D16475" t="str">
        <f>HYPERLINK("https://rhld.insurance.arkansas.gov/NPILookup?Npi=1962728824","1962728824")</f>
        <v>1962728824</v>
      </c>
      <c r="E16475" t="s">
        <v>13047</v>
      </c>
    </row>
    <row r="16476" spans="1:5" x14ac:dyDescent="0.25">
      <c r="A16476" t="s">
        <v>2</v>
      </c>
      <c r="B16476" t="s">
        <v>3458</v>
      </c>
      <c r="C16476" t="s">
        <v>23490</v>
      </c>
      <c r="D16476" t="str">
        <f>HYPERLINK("https://rhld.insurance.arkansas.gov/NPILookup?Npi=1962762005","1962762005")</f>
        <v>1962762005</v>
      </c>
      <c r="E16476" t="s">
        <v>20177</v>
      </c>
    </row>
    <row r="16477" spans="1:5" x14ac:dyDescent="0.25">
      <c r="A16477" t="s">
        <v>2</v>
      </c>
      <c r="B16477" t="s">
        <v>3458</v>
      </c>
      <c r="C16477" t="s">
        <v>23490</v>
      </c>
      <c r="D16477" t="str">
        <f>HYPERLINK("https://rhld.insurance.arkansas.gov/NPILookup?Npi=1962766840","1962766840")</f>
        <v>1962766840</v>
      </c>
      <c r="E16477" t="s">
        <v>3342</v>
      </c>
    </row>
    <row r="16478" spans="1:5" x14ac:dyDescent="0.25">
      <c r="A16478" t="s">
        <v>2</v>
      </c>
      <c r="B16478" t="s">
        <v>3458</v>
      </c>
      <c r="C16478" t="s">
        <v>23490</v>
      </c>
      <c r="D16478" t="str">
        <f>HYPERLINK("https://rhld.insurance.arkansas.gov/NPILookup?Npi=1962777680","1962777680")</f>
        <v>1962777680</v>
      </c>
      <c r="E16478" t="s">
        <v>3343</v>
      </c>
    </row>
    <row r="16479" spans="1:5" x14ac:dyDescent="0.25">
      <c r="A16479" t="s">
        <v>2</v>
      </c>
      <c r="B16479" t="s">
        <v>3458</v>
      </c>
      <c r="C16479" t="s">
        <v>23490</v>
      </c>
      <c r="D16479" t="str">
        <f>HYPERLINK("https://rhld.insurance.arkansas.gov/NPILookup?Npi=1962792309","1962792309")</f>
        <v>1962792309</v>
      </c>
      <c r="E16479" t="s">
        <v>11401</v>
      </c>
    </row>
    <row r="16480" spans="1:5" x14ac:dyDescent="0.25">
      <c r="A16480" t="s">
        <v>2</v>
      </c>
      <c r="B16480" t="s">
        <v>3458</v>
      </c>
      <c r="C16480" t="s">
        <v>23490</v>
      </c>
      <c r="D16480" t="str">
        <f>HYPERLINK("https://rhld.insurance.arkansas.gov/NPILookup?Npi=1962794016","1962794016")</f>
        <v>1962794016</v>
      </c>
      <c r="E16480" t="s">
        <v>15752</v>
      </c>
    </row>
    <row r="16481" spans="1:5" x14ac:dyDescent="0.25">
      <c r="A16481" t="s">
        <v>2</v>
      </c>
      <c r="B16481" t="s">
        <v>3458</v>
      </c>
      <c r="C16481" t="s">
        <v>23490</v>
      </c>
      <c r="D16481" t="str">
        <f>HYPERLINK("https://rhld.insurance.arkansas.gov/NPILookup?Npi=1962815456","1962815456")</f>
        <v>1962815456</v>
      </c>
      <c r="E16481" t="s">
        <v>11402</v>
      </c>
    </row>
    <row r="16482" spans="1:5" x14ac:dyDescent="0.25">
      <c r="A16482" t="s">
        <v>2</v>
      </c>
      <c r="B16482" t="s">
        <v>3458</v>
      </c>
      <c r="C16482" t="s">
        <v>23490</v>
      </c>
      <c r="D16482" t="str">
        <f>HYPERLINK("https://rhld.insurance.arkansas.gov/NPILookup?Npi=1962819664","1962819664")</f>
        <v>1962819664</v>
      </c>
      <c r="E16482" t="s">
        <v>15753</v>
      </c>
    </row>
    <row r="16483" spans="1:5" x14ac:dyDescent="0.25">
      <c r="A16483" t="s">
        <v>2</v>
      </c>
      <c r="B16483" t="s">
        <v>3458</v>
      </c>
      <c r="C16483" t="s">
        <v>23490</v>
      </c>
      <c r="D16483" t="str">
        <f>HYPERLINK("https://rhld.insurance.arkansas.gov/NPILookup?Npi=1962824359","1962824359")</f>
        <v>1962824359</v>
      </c>
      <c r="E16483" t="s">
        <v>15754</v>
      </c>
    </row>
    <row r="16484" spans="1:5" x14ac:dyDescent="0.25">
      <c r="A16484" t="s">
        <v>2</v>
      </c>
      <c r="B16484" t="s">
        <v>3458</v>
      </c>
      <c r="C16484" t="s">
        <v>23490</v>
      </c>
      <c r="D16484" t="str">
        <f>HYPERLINK("https://rhld.insurance.arkansas.gov/NPILookup?Npi=1962825562","1962825562")</f>
        <v>1962825562</v>
      </c>
      <c r="E16484" t="s">
        <v>3344</v>
      </c>
    </row>
    <row r="16485" spans="1:5" x14ac:dyDescent="0.25">
      <c r="A16485" t="s">
        <v>2</v>
      </c>
      <c r="B16485" t="s">
        <v>3458</v>
      </c>
      <c r="C16485" t="s">
        <v>23490</v>
      </c>
      <c r="D16485" t="str">
        <f>HYPERLINK("https://rhld.insurance.arkansas.gov/NPILookup?Npi=1962826503","1962826503")</f>
        <v>1962826503</v>
      </c>
      <c r="E16485" t="s">
        <v>3345</v>
      </c>
    </row>
    <row r="16486" spans="1:5" x14ac:dyDescent="0.25">
      <c r="A16486" t="s">
        <v>2</v>
      </c>
      <c r="B16486" t="s">
        <v>3458</v>
      </c>
      <c r="C16486" t="s">
        <v>23490</v>
      </c>
      <c r="D16486" t="str">
        <f>HYPERLINK("https://rhld.insurance.arkansas.gov/NPILookup?Npi=1962836213","1962836213")</f>
        <v>1962836213</v>
      </c>
      <c r="E16486" t="s">
        <v>3346</v>
      </c>
    </row>
    <row r="16487" spans="1:5" x14ac:dyDescent="0.25">
      <c r="A16487" t="s">
        <v>2</v>
      </c>
      <c r="B16487" t="s">
        <v>3458</v>
      </c>
      <c r="C16487" t="s">
        <v>23490</v>
      </c>
      <c r="D16487" t="str">
        <f>HYPERLINK("https://rhld.insurance.arkansas.gov/NPILookup?Npi=1962841155","1962841155")</f>
        <v>1962841155</v>
      </c>
      <c r="E16487" t="s">
        <v>12942</v>
      </c>
    </row>
    <row r="16488" spans="1:5" x14ac:dyDescent="0.25">
      <c r="A16488" t="s">
        <v>2</v>
      </c>
      <c r="B16488" t="s">
        <v>3458</v>
      </c>
      <c r="C16488" t="s">
        <v>23490</v>
      </c>
      <c r="D16488" t="str">
        <f>HYPERLINK("https://rhld.insurance.arkansas.gov/NPILookup?Npi=1962842104","1962842104")</f>
        <v>1962842104</v>
      </c>
      <c r="E16488" t="s">
        <v>18192</v>
      </c>
    </row>
    <row r="16489" spans="1:5" x14ac:dyDescent="0.25">
      <c r="A16489" t="s">
        <v>2</v>
      </c>
      <c r="B16489" t="s">
        <v>3458</v>
      </c>
      <c r="C16489" t="s">
        <v>23490</v>
      </c>
      <c r="D16489" t="str">
        <f>HYPERLINK("https://rhld.insurance.arkansas.gov/NPILookup?Npi=1962844522","1962844522")</f>
        <v>1962844522</v>
      </c>
      <c r="E16489" t="s">
        <v>3347</v>
      </c>
    </row>
    <row r="16490" spans="1:5" x14ac:dyDescent="0.25">
      <c r="A16490" t="s">
        <v>2</v>
      </c>
      <c r="B16490" t="s">
        <v>3458</v>
      </c>
      <c r="C16490" t="s">
        <v>23490</v>
      </c>
      <c r="D16490" t="str">
        <f>HYPERLINK("https://rhld.insurance.arkansas.gov/NPILookup?Npi=1962852749","1962852749")</f>
        <v>1962852749</v>
      </c>
      <c r="E16490" t="s">
        <v>11403</v>
      </c>
    </row>
    <row r="16491" spans="1:5" x14ac:dyDescent="0.25">
      <c r="A16491" t="s">
        <v>2</v>
      </c>
      <c r="B16491" t="s">
        <v>3458</v>
      </c>
      <c r="C16491" t="s">
        <v>23490</v>
      </c>
      <c r="D16491" t="str">
        <f>HYPERLINK("https://rhld.insurance.arkansas.gov/NPILookup?Npi=1962857391","1962857391")</f>
        <v>1962857391</v>
      </c>
      <c r="E16491" t="s">
        <v>11404</v>
      </c>
    </row>
    <row r="16492" spans="1:5" x14ac:dyDescent="0.25">
      <c r="A16492" t="s">
        <v>2</v>
      </c>
      <c r="B16492" t="s">
        <v>3458</v>
      </c>
      <c r="C16492" t="s">
        <v>23490</v>
      </c>
      <c r="D16492" t="str">
        <f>HYPERLINK("https://rhld.insurance.arkansas.gov/NPILookup?Npi=1962862557","1962862557")</f>
        <v>1962862557</v>
      </c>
      <c r="E16492" t="s">
        <v>11405</v>
      </c>
    </row>
    <row r="16493" spans="1:5" x14ac:dyDescent="0.25">
      <c r="A16493" t="s">
        <v>2</v>
      </c>
      <c r="B16493" t="s">
        <v>3458</v>
      </c>
      <c r="C16493" t="s">
        <v>23490</v>
      </c>
      <c r="D16493" t="str">
        <f>HYPERLINK("https://rhld.insurance.arkansas.gov/NPILookup?Npi=1962868752","1962868752")</f>
        <v>1962868752</v>
      </c>
      <c r="E16493" t="s">
        <v>8946</v>
      </c>
    </row>
    <row r="16494" spans="1:5" x14ac:dyDescent="0.25">
      <c r="A16494" t="s">
        <v>2</v>
      </c>
      <c r="B16494" t="s">
        <v>3458</v>
      </c>
      <c r="C16494" t="s">
        <v>23490</v>
      </c>
      <c r="D16494" t="str">
        <f>HYPERLINK("https://rhld.insurance.arkansas.gov/NPILookup?Npi=1962870253","1962870253")</f>
        <v>1962870253</v>
      </c>
      <c r="E16494" t="s">
        <v>15756</v>
      </c>
    </row>
    <row r="16495" spans="1:5" x14ac:dyDescent="0.25">
      <c r="A16495" t="s">
        <v>2</v>
      </c>
      <c r="B16495" t="s">
        <v>3458</v>
      </c>
      <c r="C16495" t="s">
        <v>23490</v>
      </c>
      <c r="D16495" t="str">
        <f>HYPERLINK("https://rhld.insurance.arkansas.gov/NPILookup?Npi=1962875054","1962875054")</f>
        <v>1962875054</v>
      </c>
      <c r="E16495" t="s">
        <v>13805</v>
      </c>
    </row>
    <row r="16496" spans="1:5" x14ac:dyDescent="0.25">
      <c r="A16496" t="s">
        <v>2</v>
      </c>
      <c r="B16496" t="s">
        <v>3458</v>
      </c>
      <c r="C16496" t="s">
        <v>23490</v>
      </c>
      <c r="D16496" t="str">
        <f>HYPERLINK("https://rhld.insurance.arkansas.gov/NPILookup?Npi=1962876037","1962876037")</f>
        <v>1962876037</v>
      </c>
      <c r="E16496" t="s">
        <v>13048</v>
      </c>
    </row>
    <row r="16497" spans="1:5" x14ac:dyDescent="0.25">
      <c r="A16497" t="s">
        <v>2</v>
      </c>
      <c r="B16497" t="s">
        <v>3458</v>
      </c>
      <c r="C16497" t="s">
        <v>23490</v>
      </c>
      <c r="D16497" t="str">
        <f>HYPERLINK("https://rhld.insurance.arkansas.gov/NPILookup?Npi=1962876524","1962876524")</f>
        <v>1962876524</v>
      </c>
      <c r="E16497" t="s">
        <v>3348</v>
      </c>
    </row>
    <row r="16498" spans="1:5" x14ac:dyDescent="0.25">
      <c r="A16498" t="s">
        <v>2</v>
      </c>
      <c r="B16498" t="s">
        <v>3458</v>
      </c>
      <c r="C16498" t="s">
        <v>23490</v>
      </c>
      <c r="D16498" t="str">
        <f>HYPERLINK("https://rhld.insurance.arkansas.gov/NPILookup?Npi=1962877852","1962877852")</f>
        <v>1962877852</v>
      </c>
      <c r="E16498" t="s">
        <v>11406</v>
      </c>
    </row>
    <row r="16499" spans="1:5" x14ac:dyDescent="0.25">
      <c r="A16499" t="s">
        <v>2</v>
      </c>
      <c r="B16499" t="s">
        <v>3458</v>
      </c>
      <c r="C16499" t="s">
        <v>23490</v>
      </c>
      <c r="D16499" t="str">
        <f>HYPERLINK("https://rhld.insurance.arkansas.gov/NPILookup?Npi=1962882902","1962882902")</f>
        <v>1962882902</v>
      </c>
      <c r="E16499" t="s">
        <v>20179</v>
      </c>
    </row>
    <row r="16500" spans="1:5" x14ac:dyDescent="0.25">
      <c r="A16500" t="s">
        <v>2</v>
      </c>
      <c r="B16500" t="s">
        <v>3458</v>
      </c>
      <c r="C16500" t="s">
        <v>23490</v>
      </c>
      <c r="D16500" t="str">
        <f>HYPERLINK("https://rhld.insurance.arkansas.gov/NPILookup?Npi=1962898015","1962898015")</f>
        <v>1962898015</v>
      </c>
      <c r="E16500" t="s">
        <v>15757</v>
      </c>
    </row>
    <row r="16501" spans="1:5" x14ac:dyDescent="0.25">
      <c r="A16501" t="s">
        <v>2</v>
      </c>
      <c r="B16501" t="s">
        <v>3458</v>
      </c>
      <c r="C16501" t="s">
        <v>23490</v>
      </c>
      <c r="D16501" t="str">
        <f>HYPERLINK("https://rhld.insurance.arkansas.gov/NPILookup?Npi=1962898460","1962898460")</f>
        <v>1962898460</v>
      </c>
      <c r="E16501" t="s">
        <v>3349</v>
      </c>
    </row>
    <row r="16502" spans="1:5" x14ac:dyDescent="0.25">
      <c r="A16502" t="s">
        <v>2</v>
      </c>
      <c r="B16502" t="s">
        <v>3458</v>
      </c>
      <c r="C16502" t="s">
        <v>23490</v>
      </c>
      <c r="D16502" t="str">
        <f>HYPERLINK("https://rhld.insurance.arkansas.gov/NPILookup?Npi=1962917922","1962917922")</f>
        <v>1962917922</v>
      </c>
      <c r="E16502" t="s">
        <v>12943</v>
      </c>
    </row>
    <row r="16503" spans="1:5" x14ac:dyDescent="0.25">
      <c r="A16503" t="s">
        <v>2</v>
      </c>
      <c r="B16503" t="s">
        <v>3458</v>
      </c>
      <c r="C16503" t="s">
        <v>23490</v>
      </c>
      <c r="D16503" t="str">
        <f>HYPERLINK("https://rhld.insurance.arkansas.gov/NPILookup?Npi=1962934448","1962934448")</f>
        <v>1962934448</v>
      </c>
      <c r="E16503" t="s">
        <v>11407</v>
      </c>
    </row>
    <row r="16504" spans="1:5" x14ac:dyDescent="0.25">
      <c r="A16504" t="s">
        <v>2</v>
      </c>
      <c r="B16504" t="s">
        <v>3458</v>
      </c>
      <c r="C16504" t="s">
        <v>23490</v>
      </c>
      <c r="D16504" t="str">
        <f>HYPERLINK("https://rhld.insurance.arkansas.gov/NPILookup?Npi=1962937102","1962937102")</f>
        <v>1962937102</v>
      </c>
      <c r="E16504" t="s">
        <v>11408</v>
      </c>
    </row>
    <row r="16505" spans="1:5" x14ac:dyDescent="0.25">
      <c r="A16505" t="s">
        <v>2</v>
      </c>
      <c r="B16505" t="s">
        <v>3458</v>
      </c>
      <c r="C16505" t="s">
        <v>23490</v>
      </c>
      <c r="D16505" t="str">
        <f>HYPERLINK("https://rhld.insurance.arkansas.gov/NPILookup?Npi=1962946160","1962946160")</f>
        <v>1962946160</v>
      </c>
      <c r="E16505" t="s">
        <v>20278</v>
      </c>
    </row>
    <row r="16506" spans="1:5" x14ac:dyDescent="0.25">
      <c r="A16506" t="s">
        <v>2</v>
      </c>
      <c r="B16506" t="s">
        <v>3458</v>
      </c>
      <c r="C16506" t="s">
        <v>23490</v>
      </c>
      <c r="D16506" t="str">
        <f>HYPERLINK("https://rhld.insurance.arkansas.gov/NPILookup?Npi=1962948075","1962948075")</f>
        <v>1962948075</v>
      </c>
      <c r="E16506" t="s">
        <v>11409</v>
      </c>
    </row>
    <row r="16507" spans="1:5" x14ac:dyDescent="0.25">
      <c r="A16507" t="s">
        <v>2</v>
      </c>
      <c r="B16507" t="s">
        <v>3458</v>
      </c>
      <c r="C16507" t="s">
        <v>23490</v>
      </c>
      <c r="D16507" t="str">
        <f>HYPERLINK("https://rhld.insurance.arkansas.gov/NPILookup?Npi=1962950923","1962950923")</f>
        <v>1962950923</v>
      </c>
      <c r="E16507" t="s">
        <v>11489</v>
      </c>
    </row>
    <row r="16508" spans="1:5" x14ac:dyDescent="0.25">
      <c r="A16508" t="s">
        <v>2</v>
      </c>
      <c r="B16508" t="s">
        <v>3458</v>
      </c>
      <c r="C16508" t="s">
        <v>23490</v>
      </c>
      <c r="D16508" t="str">
        <f>HYPERLINK("https://rhld.insurance.arkansas.gov/NPILookup?Npi=1962962241","1962962241")</f>
        <v>1962962241</v>
      </c>
      <c r="E16508" t="s">
        <v>20181</v>
      </c>
    </row>
    <row r="16509" spans="1:5" x14ac:dyDescent="0.25">
      <c r="A16509" t="s">
        <v>2</v>
      </c>
      <c r="B16509" t="s">
        <v>3458</v>
      </c>
      <c r="C16509" t="s">
        <v>23490</v>
      </c>
      <c r="D16509" t="str">
        <f>HYPERLINK("https://rhld.insurance.arkansas.gov/NPILookup?Npi=1962977389","1962977389")</f>
        <v>1962977389</v>
      </c>
      <c r="E16509" t="s">
        <v>19239</v>
      </c>
    </row>
    <row r="16510" spans="1:5" x14ac:dyDescent="0.25">
      <c r="A16510" t="s">
        <v>2</v>
      </c>
      <c r="B16510" t="s">
        <v>3458</v>
      </c>
      <c r="C16510" t="s">
        <v>23490</v>
      </c>
      <c r="D16510" t="str">
        <f>HYPERLINK("https://rhld.insurance.arkansas.gov/NPILookup?Npi=1962980268","1962980268")</f>
        <v>1962980268</v>
      </c>
      <c r="E16510" t="s">
        <v>20183</v>
      </c>
    </row>
    <row r="16511" spans="1:5" x14ac:dyDescent="0.25">
      <c r="A16511" t="s">
        <v>2</v>
      </c>
      <c r="B16511" t="s">
        <v>3458</v>
      </c>
      <c r="C16511" t="s">
        <v>23490</v>
      </c>
      <c r="D16511" t="str">
        <f>HYPERLINK("https://rhld.insurance.arkansas.gov/NPILookup?Npi=1962989871","1962989871")</f>
        <v>1962989871</v>
      </c>
      <c r="E16511" t="s">
        <v>13808</v>
      </c>
    </row>
    <row r="16512" spans="1:5" x14ac:dyDescent="0.25">
      <c r="A16512" t="s">
        <v>2</v>
      </c>
      <c r="B16512" t="s">
        <v>3458</v>
      </c>
      <c r="C16512" t="s">
        <v>23490</v>
      </c>
      <c r="D16512" t="str">
        <f>HYPERLINK("https://rhld.insurance.arkansas.gov/NPILookup?Npi=1972006542","1972006542")</f>
        <v>1972006542</v>
      </c>
      <c r="E16512" t="s">
        <v>13809</v>
      </c>
    </row>
    <row r="16513" spans="1:5" x14ac:dyDescent="0.25">
      <c r="A16513" t="s">
        <v>2</v>
      </c>
      <c r="B16513" t="s">
        <v>3458</v>
      </c>
      <c r="C16513" t="s">
        <v>23490</v>
      </c>
      <c r="D16513" t="str">
        <f>HYPERLINK("https://rhld.insurance.arkansas.gov/NPILookup?Npi=1972009991","1972009991")</f>
        <v>1972009991</v>
      </c>
      <c r="E16513" t="s">
        <v>18931</v>
      </c>
    </row>
    <row r="16514" spans="1:5" x14ac:dyDescent="0.25">
      <c r="A16514" t="s">
        <v>2</v>
      </c>
      <c r="B16514" t="s">
        <v>3458</v>
      </c>
      <c r="C16514" t="s">
        <v>23490</v>
      </c>
      <c r="D16514" t="str">
        <f>HYPERLINK("https://rhld.insurance.arkansas.gov/NPILookup?Npi=1972012854","1972012854")</f>
        <v>1972012854</v>
      </c>
      <c r="E16514" t="s">
        <v>17499</v>
      </c>
    </row>
    <row r="16515" spans="1:5" x14ac:dyDescent="0.25">
      <c r="A16515" t="s">
        <v>2</v>
      </c>
      <c r="B16515" t="s">
        <v>3458</v>
      </c>
      <c r="C16515" t="s">
        <v>23490</v>
      </c>
      <c r="D16515" t="str">
        <f>HYPERLINK("https://rhld.insurance.arkansas.gov/NPILookup?Npi=1972016558","1972016558")</f>
        <v>1972016558</v>
      </c>
      <c r="E16515" t="s">
        <v>12944</v>
      </c>
    </row>
    <row r="16516" spans="1:5" x14ac:dyDescent="0.25">
      <c r="A16516" t="s">
        <v>2</v>
      </c>
      <c r="B16516" t="s">
        <v>3458</v>
      </c>
      <c r="C16516" t="s">
        <v>23490</v>
      </c>
      <c r="D16516" t="str">
        <f>HYPERLINK("https://rhld.insurance.arkansas.gov/NPILookup?Npi=1972021608","1972021608")</f>
        <v>1972021608</v>
      </c>
      <c r="E16516" t="s">
        <v>15931</v>
      </c>
    </row>
    <row r="16517" spans="1:5" x14ac:dyDescent="0.25">
      <c r="A16517" t="s">
        <v>2</v>
      </c>
      <c r="B16517" t="s">
        <v>3458</v>
      </c>
      <c r="C16517" t="s">
        <v>23490</v>
      </c>
      <c r="D16517" t="str">
        <f>HYPERLINK("https://rhld.insurance.arkansas.gov/NPILookup?Npi=1972036457","1972036457")</f>
        <v>1972036457</v>
      </c>
      <c r="E16517" t="s">
        <v>15758</v>
      </c>
    </row>
    <row r="16518" spans="1:5" x14ac:dyDescent="0.25">
      <c r="A16518" t="s">
        <v>2</v>
      </c>
      <c r="B16518" t="s">
        <v>3458</v>
      </c>
      <c r="C16518" t="s">
        <v>23490</v>
      </c>
      <c r="D16518" t="str">
        <f>HYPERLINK("https://rhld.insurance.arkansas.gov/NPILookup?Npi=1972043644","1972043644")</f>
        <v>1972043644</v>
      </c>
      <c r="E16518" t="s">
        <v>15759</v>
      </c>
    </row>
    <row r="16519" spans="1:5" x14ac:dyDescent="0.25">
      <c r="A16519" t="s">
        <v>2</v>
      </c>
      <c r="B16519" t="s">
        <v>3458</v>
      </c>
      <c r="C16519" t="s">
        <v>23490</v>
      </c>
      <c r="D16519" t="str">
        <f>HYPERLINK("https://rhld.insurance.arkansas.gov/NPILookup?Npi=1972064277","1972064277")</f>
        <v>1972064277</v>
      </c>
      <c r="E16519" t="s">
        <v>20186</v>
      </c>
    </row>
    <row r="16520" spans="1:5" x14ac:dyDescent="0.25">
      <c r="A16520" t="s">
        <v>2</v>
      </c>
      <c r="B16520" t="s">
        <v>3458</v>
      </c>
      <c r="C16520" t="s">
        <v>23490</v>
      </c>
      <c r="D16520" t="str">
        <f>HYPERLINK("https://rhld.insurance.arkansas.gov/NPILookup?Npi=1972099059","1972099059")</f>
        <v>1972099059</v>
      </c>
      <c r="E16520" t="s">
        <v>13810</v>
      </c>
    </row>
    <row r="16521" spans="1:5" x14ac:dyDescent="0.25">
      <c r="A16521" t="s">
        <v>2</v>
      </c>
      <c r="B16521" t="s">
        <v>3458</v>
      </c>
      <c r="C16521" t="s">
        <v>23490</v>
      </c>
      <c r="D16521" t="str">
        <f>HYPERLINK("https://rhld.insurance.arkansas.gov/NPILookup?Npi=1972105054","1972105054")</f>
        <v>1972105054</v>
      </c>
      <c r="E16521" t="s">
        <v>18194</v>
      </c>
    </row>
    <row r="16522" spans="1:5" x14ac:dyDescent="0.25">
      <c r="A16522" t="s">
        <v>2</v>
      </c>
      <c r="B16522" t="s">
        <v>3458</v>
      </c>
      <c r="C16522" t="s">
        <v>23490</v>
      </c>
      <c r="D16522" t="str">
        <f>HYPERLINK("https://rhld.insurance.arkansas.gov/NPILookup?Npi=1972112720","1972112720")</f>
        <v>1972112720</v>
      </c>
      <c r="E16522" t="s">
        <v>20187</v>
      </c>
    </row>
    <row r="16523" spans="1:5" x14ac:dyDescent="0.25">
      <c r="A16523" t="s">
        <v>2</v>
      </c>
      <c r="B16523" t="s">
        <v>3458</v>
      </c>
      <c r="C16523" t="s">
        <v>23490</v>
      </c>
      <c r="D16523" t="str">
        <f>HYPERLINK("https://rhld.insurance.arkansas.gov/NPILookup?Npi=1972114981","1972114981")</f>
        <v>1972114981</v>
      </c>
      <c r="E16523" t="s">
        <v>18195</v>
      </c>
    </row>
    <row r="16524" spans="1:5" x14ac:dyDescent="0.25">
      <c r="A16524" t="s">
        <v>2</v>
      </c>
      <c r="B16524" t="s">
        <v>3458</v>
      </c>
      <c r="C16524" t="s">
        <v>23490</v>
      </c>
      <c r="D16524" t="str">
        <f>HYPERLINK("https://rhld.insurance.arkansas.gov/NPILookup?Npi=1972127793","1972127793")</f>
        <v>1972127793</v>
      </c>
      <c r="E16524" t="s">
        <v>17500</v>
      </c>
    </row>
    <row r="16525" spans="1:5" x14ac:dyDescent="0.25">
      <c r="A16525" t="s">
        <v>2</v>
      </c>
      <c r="B16525" t="s">
        <v>3458</v>
      </c>
      <c r="C16525" t="s">
        <v>23490</v>
      </c>
      <c r="D16525" t="str">
        <f>HYPERLINK("https://rhld.insurance.arkansas.gov/NPILookup?Npi=1972128940","1972128940")</f>
        <v>1972128940</v>
      </c>
      <c r="E16525" t="s">
        <v>8993</v>
      </c>
    </row>
    <row r="16526" spans="1:5" x14ac:dyDescent="0.25">
      <c r="A16526" t="s">
        <v>2</v>
      </c>
      <c r="B16526" t="s">
        <v>3458</v>
      </c>
      <c r="C16526" t="s">
        <v>23490</v>
      </c>
      <c r="D16526" t="str">
        <f>HYPERLINK("https://rhld.insurance.arkansas.gov/NPILookup?Npi=1972130078","1972130078")</f>
        <v>1972130078</v>
      </c>
      <c r="E16526" t="s">
        <v>17501</v>
      </c>
    </row>
    <row r="16527" spans="1:5" x14ac:dyDescent="0.25">
      <c r="A16527" t="s">
        <v>2</v>
      </c>
      <c r="B16527" t="s">
        <v>3458</v>
      </c>
      <c r="C16527" t="s">
        <v>23490</v>
      </c>
      <c r="D16527" t="str">
        <f>HYPERLINK("https://rhld.insurance.arkansas.gov/NPILookup?Npi=1972140630","1972140630")</f>
        <v>1972140630</v>
      </c>
      <c r="E16527" t="s">
        <v>20188</v>
      </c>
    </row>
    <row r="16528" spans="1:5" x14ac:dyDescent="0.25">
      <c r="A16528" t="s">
        <v>2</v>
      </c>
      <c r="B16528" t="s">
        <v>3458</v>
      </c>
      <c r="C16528" t="s">
        <v>23490</v>
      </c>
      <c r="D16528" t="str">
        <f>HYPERLINK("https://rhld.insurance.arkansas.gov/NPILookup?Npi=1972194678","1972194678")</f>
        <v>1972194678</v>
      </c>
      <c r="E16528" t="s">
        <v>23013</v>
      </c>
    </row>
    <row r="16529" spans="1:5" x14ac:dyDescent="0.25">
      <c r="A16529" t="s">
        <v>2</v>
      </c>
      <c r="B16529" t="s">
        <v>3458</v>
      </c>
      <c r="C16529" t="s">
        <v>23490</v>
      </c>
      <c r="D16529" t="str">
        <f>HYPERLINK("https://rhld.insurance.arkansas.gov/NPILookup?Npi=1972215622","1972215622")</f>
        <v>1972215622</v>
      </c>
      <c r="E16529" t="s">
        <v>21695</v>
      </c>
    </row>
    <row r="16530" spans="1:5" x14ac:dyDescent="0.25">
      <c r="A16530" t="s">
        <v>2</v>
      </c>
      <c r="B16530" t="s">
        <v>3458</v>
      </c>
      <c r="C16530" t="s">
        <v>8427</v>
      </c>
      <c r="D16530" t="str">
        <f>HYPERLINK("https://rhld.insurance.arkansas.gov/NPILookup?Npi=1972258721","1972258721")</f>
        <v>1972258721</v>
      </c>
      <c r="E16530" t="s">
        <v>8892</v>
      </c>
    </row>
    <row r="16531" spans="1:5" x14ac:dyDescent="0.25">
      <c r="A16531" t="s">
        <v>2</v>
      </c>
      <c r="B16531" t="s">
        <v>3458</v>
      </c>
      <c r="C16531" t="s">
        <v>23490</v>
      </c>
      <c r="D16531" t="str">
        <f>HYPERLINK("https://rhld.insurance.arkansas.gov/NPILookup?Npi=1972269785","1972269785")</f>
        <v>1972269785</v>
      </c>
      <c r="E16531" t="s">
        <v>20192</v>
      </c>
    </row>
    <row r="16532" spans="1:5" x14ac:dyDescent="0.25">
      <c r="A16532" t="s">
        <v>2</v>
      </c>
      <c r="B16532" t="s">
        <v>3458</v>
      </c>
      <c r="C16532" t="s">
        <v>23490</v>
      </c>
      <c r="D16532" t="str">
        <f>HYPERLINK("https://rhld.insurance.arkansas.gov/NPILookup?Npi=1972271369","1972271369")</f>
        <v>1972271369</v>
      </c>
      <c r="E16532" t="s">
        <v>18911</v>
      </c>
    </row>
    <row r="16533" spans="1:5" x14ac:dyDescent="0.25">
      <c r="A16533" t="s">
        <v>2</v>
      </c>
      <c r="B16533" t="s">
        <v>3458</v>
      </c>
      <c r="C16533" t="s">
        <v>23490</v>
      </c>
      <c r="D16533" t="str">
        <f>HYPERLINK("https://rhld.insurance.arkansas.gov/NPILookup?Npi=1972501815","1972501815")</f>
        <v>1972501815</v>
      </c>
      <c r="E16533" t="s">
        <v>15760</v>
      </c>
    </row>
    <row r="16534" spans="1:5" x14ac:dyDescent="0.25">
      <c r="A16534" t="s">
        <v>2</v>
      </c>
      <c r="B16534" t="s">
        <v>3458</v>
      </c>
      <c r="C16534" t="s">
        <v>23490</v>
      </c>
      <c r="D16534" t="str">
        <f>HYPERLINK("https://rhld.insurance.arkansas.gov/NPILookup?Npi=1972502953","1972502953")</f>
        <v>1972502953</v>
      </c>
      <c r="E16534" t="s">
        <v>4047</v>
      </c>
    </row>
    <row r="16535" spans="1:5" x14ac:dyDescent="0.25">
      <c r="A16535" t="s">
        <v>2</v>
      </c>
      <c r="B16535" t="s">
        <v>3458</v>
      </c>
      <c r="C16535" t="s">
        <v>23490</v>
      </c>
      <c r="D16535" t="str">
        <f>HYPERLINK("https://rhld.insurance.arkansas.gov/NPILookup?Npi=1972503399","1972503399")</f>
        <v>1972503399</v>
      </c>
      <c r="E16535" t="s">
        <v>3350</v>
      </c>
    </row>
    <row r="16536" spans="1:5" x14ac:dyDescent="0.25">
      <c r="A16536" t="s">
        <v>2</v>
      </c>
      <c r="B16536" t="s">
        <v>3458</v>
      </c>
      <c r="C16536" t="s">
        <v>23490</v>
      </c>
      <c r="D16536" t="str">
        <f>HYPERLINK("https://rhld.insurance.arkansas.gov/NPILookup?Npi=1972507796","1972507796")</f>
        <v>1972507796</v>
      </c>
      <c r="E16536" t="s">
        <v>4048</v>
      </c>
    </row>
    <row r="16537" spans="1:5" x14ac:dyDescent="0.25">
      <c r="A16537" t="s">
        <v>2</v>
      </c>
      <c r="B16537" t="s">
        <v>3458</v>
      </c>
      <c r="C16537" t="s">
        <v>23490</v>
      </c>
      <c r="D16537" t="str">
        <f>HYPERLINK("https://rhld.insurance.arkansas.gov/NPILookup?Npi=1972508513","1972508513")</f>
        <v>1972508513</v>
      </c>
      <c r="E16537" t="s">
        <v>4049</v>
      </c>
    </row>
    <row r="16538" spans="1:5" x14ac:dyDescent="0.25">
      <c r="A16538" t="s">
        <v>2</v>
      </c>
      <c r="B16538" t="s">
        <v>3458</v>
      </c>
      <c r="C16538" t="s">
        <v>23490</v>
      </c>
      <c r="D16538" t="str">
        <f>HYPERLINK("https://rhld.insurance.arkansas.gov/NPILookup?Npi=1972508984","1972508984")</f>
        <v>1972508984</v>
      </c>
      <c r="E16538" t="s">
        <v>3352</v>
      </c>
    </row>
    <row r="16539" spans="1:5" x14ac:dyDescent="0.25">
      <c r="A16539" t="s">
        <v>2</v>
      </c>
      <c r="B16539" t="s">
        <v>3458</v>
      </c>
      <c r="C16539" t="s">
        <v>23490</v>
      </c>
      <c r="D16539" t="str">
        <f>HYPERLINK("https://rhld.insurance.arkansas.gov/NPILookup?Npi=1972509040","1972509040")</f>
        <v>1972509040</v>
      </c>
      <c r="E16539" t="s">
        <v>3353</v>
      </c>
    </row>
    <row r="16540" spans="1:5" x14ac:dyDescent="0.25">
      <c r="A16540" t="s">
        <v>2</v>
      </c>
      <c r="B16540" t="s">
        <v>3458</v>
      </c>
      <c r="C16540" t="s">
        <v>23490</v>
      </c>
      <c r="D16540" t="str">
        <f>HYPERLINK("https://rhld.insurance.arkansas.gov/NPILookup?Npi=1972511020","1972511020")</f>
        <v>1972511020</v>
      </c>
      <c r="E16540" t="s">
        <v>15761</v>
      </c>
    </row>
    <row r="16541" spans="1:5" x14ac:dyDescent="0.25">
      <c r="A16541" t="s">
        <v>2</v>
      </c>
      <c r="B16541" t="s">
        <v>3458</v>
      </c>
      <c r="C16541" t="s">
        <v>23490</v>
      </c>
      <c r="D16541" t="str">
        <f>HYPERLINK("https://rhld.insurance.arkansas.gov/NPILookup?Npi=1972532570","1972532570")</f>
        <v>1972532570</v>
      </c>
      <c r="E16541" t="s">
        <v>3354</v>
      </c>
    </row>
    <row r="16542" spans="1:5" x14ac:dyDescent="0.25">
      <c r="A16542" t="s">
        <v>2</v>
      </c>
      <c r="B16542" t="s">
        <v>3458</v>
      </c>
      <c r="C16542" t="s">
        <v>23490</v>
      </c>
      <c r="D16542" t="str">
        <f>HYPERLINK("https://rhld.insurance.arkansas.gov/NPILookup?Npi=1972533487","1972533487")</f>
        <v>1972533487</v>
      </c>
      <c r="E16542" t="s">
        <v>15762</v>
      </c>
    </row>
    <row r="16543" spans="1:5" x14ac:dyDescent="0.25">
      <c r="A16543" t="s">
        <v>2</v>
      </c>
      <c r="B16543" t="s">
        <v>3458</v>
      </c>
      <c r="C16543" t="s">
        <v>23490</v>
      </c>
      <c r="D16543" t="str">
        <f>HYPERLINK("https://rhld.insurance.arkansas.gov/NPILookup?Npi=1972539229","1972539229")</f>
        <v>1972539229</v>
      </c>
      <c r="E16543" t="s">
        <v>15932</v>
      </c>
    </row>
    <row r="16544" spans="1:5" x14ac:dyDescent="0.25">
      <c r="A16544" t="s">
        <v>2</v>
      </c>
      <c r="B16544" t="s">
        <v>3458</v>
      </c>
      <c r="C16544" t="s">
        <v>23490</v>
      </c>
      <c r="D16544" t="str">
        <f>HYPERLINK("https://rhld.insurance.arkansas.gov/NPILookup?Npi=1972539914","1972539914")</f>
        <v>1972539914</v>
      </c>
      <c r="E16544" t="s">
        <v>4050</v>
      </c>
    </row>
    <row r="16545" spans="1:5" x14ac:dyDescent="0.25">
      <c r="A16545" t="s">
        <v>2</v>
      </c>
      <c r="B16545" t="s">
        <v>3458</v>
      </c>
      <c r="C16545" t="s">
        <v>23490</v>
      </c>
      <c r="D16545" t="str">
        <f>HYPERLINK("https://rhld.insurance.arkansas.gov/NPILookup?Npi=1972545028","1972545028")</f>
        <v>1972545028</v>
      </c>
      <c r="E16545" t="s">
        <v>3356</v>
      </c>
    </row>
    <row r="16546" spans="1:5" x14ac:dyDescent="0.25">
      <c r="A16546" t="s">
        <v>2</v>
      </c>
      <c r="B16546" t="s">
        <v>3458</v>
      </c>
      <c r="C16546" t="s">
        <v>23490</v>
      </c>
      <c r="D16546" t="str">
        <f>HYPERLINK("https://rhld.insurance.arkansas.gov/NPILookup?Npi=1972549020","1972549020")</f>
        <v>1972549020</v>
      </c>
      <c r="E16546" t="s">
        <v>3357</v>
      </c>
    </row>
    <row r="16547" spans="1:5" x14ac:dyDescent="0.25">
      <c r="A16547" t="s">
        <v>2</v>
      </c>
      <c r="B16547" t="s">
        <v>3458</v>
      </c>
      <c r="C16547" t="s">
        <v>23490</v>
      </c>
      <c r="D16547" t="str">
        <f>HYPERLINK("https://rhld.insurance.arkansas.gov/NPILookup?Npi=1972551364","1972551364")</f>
        <v>1972551364</v>
      </c>
      <c r="E16547" t="s">
        <v>3358</v>
      </c>
    </row>
    <row r="16548" spans="1:5" x14ac:dyDescent="0.25">
      <c r="A16548" t="s">
        <v>2</v>
      </c>
      <c r="B16548" t="s">
        <v>3458</v>
      </c>
      <c r="C16548" t="s">
        <v>23490</v>
      </c>
      <c r="D16548" t="str">
        <f>HYPERLINK("https://rhld.insurance.arkansas.gov/NPILookup?Npi=1972551901","1972551901")</f>
        <v>1972551901</v>
      </c>
      <c r="E16548" t="s">
        <v>3359</v>
      </c>
    </row>
    <row r="16549" spans="1:5" x14ac:dyDescent="0.25">
      <c r="A16549" t="s">
        <v>2</v>
      </c>
      <c r="B16549" t="s">
        <v>3458</v>
      </c>
      <c r="C16549" t="s">
        <v>23490</v>
      </c>
      <c r="D16549" t="str">
        <f>HYPERLINK("https://rhld.insurance.arkansas.gov/NPILookup?Npi=1972563773","1972563773")</f>
        <v>1972563773</v>
      </c>
      <c r="E16549" t="s">
        <v>3360</v>
      </c>
    </row>
    <row r="16550" spans="1:5" x14ac:dyDescent="0.25">
      <c r="A16550" t="s">
        <v>2</v>
      </c>
      <c r="B16550" t="s">
        <v>3458</v>
      </c>
      <c r="C16550" t="s">
        <v>23490</v>
      </c>
      <c r="D16550" t="str">
        <f>HYPERLINK("https://rhld.insurance.arkansas.gov/NPILookup?Npi=1972564003","1972564003")</f>
        <v>1972564003</v>
      </c>
      <c r="E16550" t="s">
        <v>3361</v>
      </c>
    </row>
    <row r="16551" spans="1:5" x14ac:dyDescent="0.25">
      <c r="A16551" t="s">
        <v>2</v>
      </c>
      <c r="B16551" t="s">
        <v>3458</v>
      </c>
      <c r="C16551" t="s">
        <v>23490</v>
      </c>
      <c r="D16551" t="str">
        <f>HYPERLINK("https://rhld.insurance.arkansas.gov/NPILookup?Npi=1972567758","1972567758")</f>
        <v>1972567758</v>
      </c>
      <c r="E16551" t="s">
        <v>3362</v>
      </c>
    </row>
    <row r="16552" spans="1:5" x14ac:dyDescent="0.25">
      <c r="A16552" t="s">
        <v>2</v>
      </c>
      <c r="B16552" t="s">
        <v>3458</v>
      </c>
      <c r="C16552" t="s">
        <v>23490</v>
      </c>
      <c r="D16552" t="str">
        <f>HYPERLINK("https://rhld.insurance.arkansas.gov/NPILookup?Npi=1972579316","1972579316")</f>
        <v>1972579316</v>
      </c>
      <c r="E16552" t="s">
        <v>4051</v>
      </c>
    </row>
    <row r="16553" spans="1:5" x14ac:dyDescent="0.25">
      <c r="A16553" t="s">
        <v>2</v>
      </c>
      <c r="B16553" t="s">
        <v>3458</v>
      </c>
      <c r="C16553" t="s">
        <v>23490</v>
      </c>
      <c r="D16553" t="str">
        <f>HYPERLINK("https://rhld.insurance.arkansas.gov/NPILookup?Npi=1972582534","1972582534")</f>
        <v>1972582534</v>
      </c>
      <c r="E16553" t="s">
        <v>3364</v>
      </c>
    </row>
    <row r="16554" spans="1:5" x14ac:dyDescent="0.25">
      <c r="A16554" t="s">
        <v>2</v>
      </c>
      <c r="B16554" t="s">
        <v>3458</v>
      </c>
      <c r="C16554" t="s">
        <v>23490</v>
      </c>
      <c r="D16554" t="str">
        <f>HYPERLINK("https://rhld.insurance.arkansas.gov/NPILookup?Npi=1972588457","1972588457")</f>
        <v>1972588457</v>
      </c>
      <c r="E16554" t="s">
        <v>3366</v>
      </c>
    </row>
    <row r="16555" spans="1:5" x14ac:dyDescent="0.25">
      <c r="A16555" t="s">
        <v>2</v>
      </c>
      <c r="B16555" t="s">
        <v>3458</v>
      </c>
      <c r="C16555" t="s">
        <v>23490</v>
      </c>
      <c r="D16555" t="str">
        <f>HYPERLINK("https://rhld.insurance.arkansas.gov/NPILookup?Npi=1972589968","1972589968")</f>
        <v>1972589968</v>
      </c>
      <c r="E16555" t="s">
        <v>4052</v>
      </c>
    </row>
    <row r="16556" spans="1:5" x14ac:dyDescent="0.25">
      <c r="A16556" t="s">
        <v>2</v>
      </c>
      <c r="B16556" t="s">
        <v>3458</v>
      </c>
      <c r="C16556" t="s">
        <v>23490</v>
      </c>
      <c r="D16556" t="str">
        <f>HYPERLINK("https://rhld.insurance.arkansas.gov/NPILookup?Npi=1972593465","1972593465")</f>
        <v>1972593465</v>
      </c>
      <c r="E16556" t="s">
        <v>11410</v>
      </c>
    </row>
    <row r="16557" spans="1:5" x14ac:dyDescent="0.25">
      <c r="A16557" t="s">
        <v>2</v>
      </c>
      <c r="B16557" t="s">
        <v>3458</v>
      </c>
      <c r="C16557" t="s">
        <v>23490</v>
      </c>
      <c r="D16557" t="str">
        <f>HYPERLINK("https://rhld.insurance.arkansas.gov/NPILookup?Npi=1972596542","1972596542")</f>
        <v>1972596542</v>
      </c>
      <c r="E16557" t="s">
        <v>3367</v>
      </c>
    </row>
    <row r="16558" spans="1:5" x14ac:dyDescent="0.25">
      <c r="A16558" t="s">
        <v>2</v>
      </c>
      <c r="B16558" t="s">
        <v>3458</v>
      </c>
      <c r="C16558" t="s">
        <v>23490</v>
      </c>
      <c r="D16558" t="str">
        <f>HYPERLINK("https://rhld.insurance.arkansas.gov/NPILookup?Npi=1972598837","1972598837")</f>
        <v>1972598837</v>
      </c>
      <c r="E16558" t="s">
        <v>3368</v>
      </c>
    </row>
    <row r="16559" spans="1:5" x14ac:dyDescent="0.25">
      <c r="A16559" t="s">
        <v>2</v>
      </c>
      <c r="B16559" t="s">
        <v>3458</v>
      </c>
      <c r="C16559" t="s">
        <v>23490</v>
      </c>
      <c r="D16559" t="str">
        <f>HYPERLINK("https://rhld.insurance.arkansas.gov/NPILookup?Npi=1972606358","1972606358")</f>
        <v>1972606358</v>
      </c>
      <c r="E16559" t="s">
        <v>15763</v>
      </c>
    </row>
    <row r="16560" spans="1:5" x14ac:dyDescent="0.25">
      <c r="A16560" t="s">
        <v>2</v>
      </c>
      <c r="B16560" t="s">
        <v>3458</v>
      </c>
      <c r="C16560" t="s">
        <v>23490</v>
      </c>
      <c r="D16560" t="str">
        <f>HYPERLINK("https://rhld.insurance.arkansas.gov/NPILookup?Npi=1972612117","1972612117")</f>
        <v>1972612117</v>
      </c>
      <c r="E16560" t="s">
        <v>15764</v>
      </c>
    </row>
    <row r="16561" spans="1:5" x14ac:dyDescent="0.25">
      <c r="A16561" t="s">
        <v>2</v>
      </c>
      <c r="B16561" t="s">
        <v>3458</v>
      </c>
      <c r="C16561" t="s">
        <v>23490</v>
      </c>
      <c r="D16561" t="str">
        <f>HYPERLINK("https://rhld.insurance.arkansas.gov/NPILookup?Npi=1972617280","1972617280")</f>
        <v>1972617280</v>
      </c>
      <c r="E16561" t="s">
        <v>442</v>
      </c>
    </row>
    <row r="16562" spans="1:5" x14ac:dyDescent="0.25">
      <c r="A16562" t="s">
        <v>2</v>
      </c>
      <c r="B16562" t="s">
        <v>3458</v>
      </c>
      <c r="C16562" t="s">
        <v>23490</v>
      </c>
      <c r="D16562" t="str">
        <f>HYPERLINK("https://rhld.insurance.arkansas.gov/NPILookup?Npi=1972617397","1972617397")</f>
        <v>1972617397</v>
      </c>
      <c r="E16562" t="s">
        <v>3370</v>
      </c>
    </row>
    <row r="16563" spans="1:5" x14ac:dyDescent="0.25">
      <c r="A16563" t="s">
        <v>2</v>
      </c>
      <c r="B16563" t="s">
        <v>3458</v>
      </c>
      <c r="C16563" t="s">
        <v>23490</v>
      </c>
      <c r="D16563" t="str">
        <f>HYPERLINK("https://rhld.insurance.arkansas.gov/NPILookup?Npi=1972645117","1972645117")</f>
        <v>1972645117</v>
      </c>
      <c r="E16563" t="s">
        <v>15765</v>
      </c>
    </row>
    <row r="16564" spans="1:5" x14ac:dyDescent="0.25">
      <c r="A16564" t="s">
        <v>2</v>
      </c>
      <c r="B16564" t="s">
        <v>3458</v>
      </c>
      <c r="C16564" t="s">
        <v>23490</v>
      </c>
      <c r="D16564" t="str">
        <f>HYPERLINK("https://rhld.insurance.arkansas.gov/NPILookup?Npi=1972658771","1972658771")</f>
        <v>1972658771</v>
      </c>
      <c r="E16564" t="s">
        <v>3372</v>
      </c>
    </row>
    <row r="16565" spans="1:5" x14ac:dyDescent="0.25">
      <c r="A16565" t="s">
        <v>2</v>
      </c>
      <c r="B16565" t="s">
        <v>3458</v>
      </c>
      <c r="C16565" t="s">
        <v>23490</v>
      </c>
      <c r="D16565" t="str">
        <f>HYPERLINK("https://rhld.insurance.arkansas.gov/NPILookup?Npi=1972659241","1972659241")</f>
        <v>1972659241</v>
      </c>
      <c r="E16565" t="s">
        <v>3373</v>
      </c>
    </row>
    <row r="16566" spans="1:5" x14ac:dyDescent="0.25">
      <c r="A16566" t="s">
        <v>2</v>
      </c>
      <c r="B16566" t="s">
        <v>3458</v>
      </c>
      <c r="C16566" t="s">
        <v>23490</v>
      </c>
      <c r="D16566" t="str">
        <f>HYPERLINK("https://rhld.insurance.arkansas.gov/NPILookup?Npi=1972666147","1972666147")</f>
        <v>1972666147</v>
      </c>
      <c r="E16566" t="s">
        <v>3374</v>
      </c>
    </row>
    <row r="16567" spans="1:5" x14ac:dyDescent="0.25">
      <c r="A16567" t="s">
        <v>2</v>
      </c>
      <c r="B16567" t="s">
        <v>3458</v>
      </c>
      <c r="C16567" t="s">
        <v>23490</v>
      </c>
      <c r="D16567" t="str">
        <f>HYPERLINK("https://rhld.insurance.arkansas.gov/NPILookup?Npi=1972672897","1972672897")</f>
        <v>1972672897</v>
      </c>
      <c r="E16567" t="s">
        <v>3375</v>
      </c>
    </row>
    <row r="16568" spans="1:5" x14ac:dyDescent="0.25">
      <c r="A16568" t="s">
        <v>2</v>
      </c>
      <c r="B16568" t="s">
        <v>3458</v>
      </c>
      <c r="C16568" t="s">
        <v>23490</v>
      </c>
      <c r="D16568" t="str">
        <f>HYPERLINK("https://rhld.insurance.arkansas.gov/NPILookup?Npi=1972677730","1972677730")</f>
        <v>1972677730</v>
      </c>
      <c r="E16568" t="s">
        <v>15766</v>
      </c>
    </row>
    <row r="16569" spans="1:5" x14ac:dyDescent="0.25">
      <c r="A16569" t="s">
        <v>2</v>
      </c>
      <c r="B16569" t="s">
        <v>3458</v>
      </c>
      <c r="C16569" t="s">
        <v>23490</v>
      </c>
      <c r="D16569" t="str">
        <f>HYPERLINK("https://rhld.insurance.arkansas.gov/NPILookup?Npi=1972693539","1972693539")</f>
        <v>1972693539</v>
      </c>
      <c r="E16569" t="s">
        <v>4053</v>
      </c>
    </row>
    <row r="16570" spans="1:5" x14ac:dyDescent="0.25">
      <c r="A16570" t="s">
        <v>2</v>
      </c>
      <c r="B16570" t="s">
        <v>3458</v>
      </c>
      <c r="C16570" t="s">
        <v>23490</v>
      </c>
      <c r="D16570" t="str">
        <f>HYPERLINK("https://rhld.insurance.arkansas.gov/NPILookup?Npi=1972702041","1972702041")</f>
        <v>1972702041</v>
      </c>
      <c r="E16570" t="s">
        <v>18221</v>
      </c>
    </row>
    <row r="16571" spans="1:5" x14ac:dyDescent="0.25">
      <c r="A16571" t="s">
        <v>2</v>
      </c>
      <c r="B16571" t="s">
        <v>3458</v>
      </c>
      <c r="C16571" t="s">
        <v>23490</v>
      </c>
      <c r="D16571" t="str">
        <f>HYPERLINK("https://rhld.insurance.arkansas.gov/NPILookup?Npi=1972708402","1972708402")</f>
        <v>1972708402</v>
      </c>
      <c r="E16571" t="s">
        <v>15767</v>
      </c>
    </row>
    <row r="16572" spans="1:5" x14ac:dyDescent="0.25">
      <c r="A16572" t="s">
        <v>2</v>
      </c>
      <c r="B16572" t="s">
        <v>3458</v>
      </c>
      <c r="C16572" t="s">
        <v>23490</v>
      </c>
      <c r="D16572" t="str">
        <f>HYPERLINK("https://rhld.insurance.arkansas.gov/NPILookup?Npi=1972770915","1972770915")</f>
        <v>1972770915</v>
      </c>
      <c r="E16572" t="s">
        <v>18222</v>
      </c>
    </row>
    <row r="16573" spans="1:5" x14ac:dyDescent="0.25">
      <c r="A16573" t="s">
        <v>2</v>
      </c>
      <c r="B16573" t="s">
        <v>3458</v>
      </c>
      <c r="C16573" t="s">
        <v>23490</v>
      </c>
      <c r="D16573" t="str">
        <f>HYPERLINK("https://rhld.insurance.arkansas.gov/NPILookup?Npi=1972771079","1972771079")</f>
        <v>1972771079</v>
      </c>
      <c r="E16573" t="s">
        <v>15768</v>
      </c>
    </row>
    <row r="16574" spans="1:5" x14ac:dyDescent="0.25">
      <c r="A16574" t="s">
        <v>2</v>
      </c>
      <c r="B16574" t="s">
        <v>3458</v>
      </c>
      <c r="C16574" t="s">
        <v>23490</v>
      </c>
      <c r="D16574" t="str">
        <f>HYPERLINK("https://rhld.insurance.arkansas.gov/NPILookup?Npi=1972778033","1972778033")</f>
        <v>1972778033</v>
      </c>
      <c r="E16574" t="s">
        <v>4054</v>
      </c>
    </row>
    <row r="16575" spans="1:5" x14ac:dyDescent="0.25">
      <c r="A16575" t="s">
        <v>2</v>
      </c>
      <c r="B16575" t="s">
        <v>3458</v>
      </c>
      <c r="C16575" t="s">
        <v>23490</v>
      </c>
      <c r="D16575" t="str">
        <f>HYPERLINK("https://rhld.insurance.arkansas.gov/NPILookup?Npi=1972841419","1972841419")</f>
        <v>1972841419</v>
      </c>
      <c r="E16575" t="s">
        <v>15769</v>
      </c>
    </row>
    <row r="16576" spans="1:5" x14ac:dyDescent="0.25">
      <c r="A16576" t="s">
        <v>2</v>
      </c>
      <c r="B16576" t="s">
        <v>3458</v>
      </c>
      <c r="C16576" t="s">
        <v>23490</v>
      </c>
      <c r="D16576" t="str">
        <f>HYPERLINK("https://rhld.insurance.arkansas.gov/NPILookup?Npi=1972853125","1972853125")</f>
        <v>1972853125</v>
      </c>
      <c r="E16576" t="s">
        <v>15770</v>
      </c>
    </row>
    <row r="16577" spans="1:5" x14ac:dyDescent="0.25">
      <c r="A16577" t="s">
        <v>2</v>
      </c>
      <c r="B16577" t="s">
        <v>3458</v>
      </c>
      <c r="C16577" t="s">
        <v>23490</v>
      </c>
      <c r="D16577" t="str">
        <f>HYPERLINK("https://rhld.insurance.arkansas.gov/NPILookup?Npi=1972855161","1972855161")</f>
        <v>1972855161</v>
      </c>
      <c r="E16577" t="s">
        <v>3380</v>
      </c>
    </row>
    <row r="16578" spans="1:5" x14ac:dyDescent="0.25">
      <c r="A16578" t="s">
        <v>2</v>
      </c>
      <c r="B16578" t="s">
        <v>3458</v>
      </c>
      <c r="C16578" t="s">
        <v>23490</v>
      </c>
      <c r="D16578" t="str">
        <f>HYPERLINK("https://rhld.insurance.arkansas.gov/NPILookup?Npi=1972861821","1972861821")</f>
        <v>1972861821</v>
      </c>
      <c r="E16578" t="s">
        <v>20195</v>
      </c>
    </row>
    <row r="16579" spans="1:5" x14ac:dyDescent="0.25">
      <c r="A16579" t="s">
        <v>2</v>
      </c>
      <c r="B16579" t="s">
        <v>3458</v>
      </c>
      <c r="C16579" t="s">
        <v>23490</v>
      </c>
      <c r="D16579" t="str">
        <f>HYPERLINK("https://rhld.insurance.arkansas.gov/NPILookup?Npi=1972869592","1972869592")</f>
        <v>1972869592</v>
      </c>
      <c r="E16579" t="s">
        <v>3381</v>
      </c>
    </row>
    <row r="16580" spans="1:5" x14ac:dyDescent="0.25">
      <c r="A16580" t="s">
        <v>2</v>
      </c>
      <c r="B16580" t="s">
        <v>3458</v>
      </c>
      <c r="C16580" t="s">
        <v>23490</v>
      </c>
      <c r="D16580" t="str">
        <f>HYPERLINK("https://rhld.insurance.arkansas.gov/NPILookup?Npi=1972888352","1972888352")</f>
        <v>1972888352</v>
      </c>
      <c r="E16580" t="s">
        <v>13049</v>
      </c>
    </row>
    <row r="16581" spans="1:5" x14ac:dyDescent="0.25">
      <c r="A16581" t="s">
        <v>2</v>
      </c>
      <c r="B16581" t="s">
        <v>3458</v>
      </c>
      <c r="C16581" t="s">
        <v>23490</v>
      </c>
      <c r="D16581" t="str">
        <f>HYPERLINK("https://rhld.insurance.arkansas.gov/NPILookup?Npi=1972890283","1972890283")</f>
        <v>1972890283</v>
      </c>
      <c r="E16581" t="s">
        <v>3382</v>
      </c>
    </row>
    <row r="16582" spans="1:5" x14ac:dyDescent="0.25">
      <c r="A16582" t="s">
        <v>2</v>
      </c>
      <c r="B16582" t="s">
        <v>3458</v>
      </c>
      <c r="C16582" t="s">
        <v>23490</v>
      </c>
      <c r="D16582" t="str">
        <f>HYPERLINK("https://rhld.insurance.arkansas.gov/NPILookup?Npi=1972921153","1972921153")</f>
        <v>1972921153</v>
      </c>
      <c r="E16582" t="s">
        <v>18223</v>
      </c>
    </row>
    <row r="16583" spans="1:5" x14ac:dyDescent="0.25">
      <c r="A16583" t="s">
        <v>2</v>
      </c>
      <c r="B16583" t="s">
        <v>3458</v>
      </c>
      <c r="C16583" t="s">
        <v>23490</v>
      </c>
      <c r="D16583" t="str">
        <f>HYPERLINK("https://rhld.insurance.arkansas.gov/NPILookup?Npi=1972928729","1972928729")</f>
        <v>1972928729</v>
      </c>
      <c r="E16583" t="s">
        <v>4055</v>
      </c>
    </row>
    <row r="16584" spans="1:5" x14ac:dyDescent="0.25">
      <c r="A16584" t="s">
        <v>2</v>
      </c>
      <c r="B16584" t="s">
        <v>3458</v>
      </c>
      <c r="C16584" t="s">
        <v>23490</v>
      </c>
      <c r="D16584" t="str">
        <f>HYPERLINK("https://rhld.insurance.arkansas.gov/NPILookup?Npi=1972937902","1972937902")</f>
        <v>1972937902</v>
      </c>
      <c r="E16584" t="s">
        <v>20279</v>
      </c>
    </row>
    <row r="16585" spans="1:5" x14ac:dyDescent="0.25">
      <c r="A16585" t="s">
        <v>2</v>
      </c>
      <c r="B16585" t="s">
        <v>3458</v>
      </c>
      <c r="C16585" t="s">
        <v>23490</v>
      </c>
      <c r="D16585" t="str">
        <f>HYPERLINK("https://rhld.insurance.arkansas.gov/NPILookup?Npi=1972954600","1972954600")</f>
        <v>1972954600</v>
      </c>
      <c r="E16585" t="s">
        <v>11412</v>
      </c>
    </row>
    <row r="16586" spans="1:5" x14ac:dyDescent="0.25">
      <c r="A16586" t="s">
        <v>2</v>
      </c>
      <c r="B16586" t="s">
        <v>3458</v>
      </c>
      <c r="C16586" t="s">
        <v>23490</v>
      </c>
      <c r="D16586" t="str">
        <f>HYPERLINK("https://rhld.insurance.arkansas.gov/NPILookup?Npi=1972976025","1972976025")</f>
        <v>1972976025</v>
      </c>
      <c r="E16586" t="s">
        <v>8948</v>
      </c>
    </row>
    <row r="16587" spans="1:5" x14ac:dyDescent="0.25">
      <c r="A16587" t="s">
        <v>2</v>
      </c>
      <c r="B16587" t="s">
        <v>3458</v>
      </c>
      <c r="C16587" t="s">
        <v>23490</v>
      </c>
      <c r="D16587" t="str">
        <f>HYPERLINK("https://rhld.insurance.arkansas.gov/NPILookup?Npi=1972978591","1972978591")</f>
        <v>1972978591</v>
      </c>
      <c r="E16587" t="s">
        <v>8949</v>
      </c>
    </row>
    <row r="16588" spans="1:5" x14ac:dyDescent="0.25">
      <c r="A16588" t="s">
        <v>2</v>
      </c>
      <c r="B16588" t="s">
        <v>3458</v>
      </c>
      <c r="C16588" t="s">
        <v>23490</v>
      </c>
      <c r="D16588" t="str">
        <f>HYPERLINK("https://rhld.insurance.arkansas.gov/NPILookup?Npi=1972987824","1972987824")</f>
        <v>1972987824</v>
      </c>
      <c r="E16588" t="s">
        <v>8950</v>
      </c>
    </row>
    <row r="16589" spans="1:5" x14ac:dyDescent="0.25">
      <c r="A16589" t="s">
        <v>2</v>
      </c>
      <c r="B16589" t="s">
        <v>3458</v>
      </c>
      <c r="C16589" t="s">
        <v>23490</v>
      </c>
      <c r="D16589" t="str">
        <f>HYPERLINK("https://rhld.insurance.arkansas.gov/NPILookup?Npi=1972988723","1972988723")</f>
        <v>1972988723</v>
      </c>
      <c r="E16589" t="s">
        <v>8951</v>
      </c>
    </row>
    <row r="16590" spans="1:5" x14ac:dyDescent="0.25">
      <c r="A16590" t="s">
        <v>2</v>
      </c>
      <c r="B16590" t="s">
        <v>3458</v>
      </c>
      <c r="C16590" t="s">
        <v>23490</v>
      </c>
      <c r="D16590" t="str">
        <f>HYPERLINK("https://rhld.insurance.arkansas.gov/NPILookup?Npi=1982009718","1982009718")</f>
        <v>1982009718</v>
      </c>
      <c r="E16590" t="s">
        <v>20280</v>
      </c>
    </row>
    <row r="16591" spans="1:5" x14ac:dyDescent="0.25">
      <c r="A16591" t="s">
        <v>2</v>
      </c>
      <c r="B16591" t="s">
        <v>3458</v>
      </c>
      <c r="C16591" t="s">
        <v>23490</v>
      </c>
      <c r="D16591" t="str">
        <f>HYPERLINK("https://rhld.insurance.arkansas.gov/NPILookup?Npi=1982026084","1982026084")</f>
        <v>1982026084</v>
      </c>
      <c r="E16591" t="s">
        <v>21074</v>
      </c>
    </row>
    <row r="16592" spans="1:5" x14ac:dyDescent="0.25">
      <c r="A16592" t="s">
        <v>2</v>
      </c>
      <c r="B16592" t="s">
        <v>3458</v>
      </c>
      <c r="C16592" t="s">
        <v>23490</v>
      </c>
      <c r="D16592" t="str">
        <f>HYPERLINK("https://rhld.insurance.arkansas.gov/NPILookup?Npi=1982026514","1982026514")</f>
        <v>1982026514</v>
      </c>
      <c r="E16592" t="s">
        <v>8952</v>
      </c>
    </row>
    <row r="16593" spans="1:5" x14ac:dyDescent="0.25">
      <c r="A16593" t="s">
        <v>2</v>
      </c>
      <c r="B16593" t="s">
        <v>3458</v>
      </c>
      <c r="C16593" t="s">
        <v>23490</v>
      </c>
      <c r="D16593" t="str">
        <f>HYPERLINK("https://rhld.insurance.arkansas.gov/NPILookup?Npi=1982036026","1982036026")</f>
        <v>1982036026</v>
      </c>
      <c r="E16593" t="s">
        <v>17063</v>
      </c>
    </row>
    <row r="16594" spans="1:5" x14ac:dyDescent="0.25">
      <c r="A16594" t="s">
        <v>2</v>
      </c>
      <c r="B16594" t="s">
        <v>3458</v>
      </c>
      <c r="C16594" t="s">
        <v>23490</v>
      </c>
      <c r="D16594" t="str">
        <f>HYPERLINK("https://rhld.insurance.arkansas.gov/NPILookup?Npi=1982039848","1982039848")</f>
        <v>1982039848</v>
      </c>
      <c r="E16594" t="s">
        <v>11414</v>
      </c>
    </row>
    <row r="16595" spans="1:5" x14ac:dyDescent="0.25">
      <c r="A16595" t="s">
        <v>2</v>
      </c>
      <c r="B16595" t="s">
        <v>3458</v>
      </c>
      <c r="C16595" t="s">
        <v>23490</v>
      </c>
      <c r="D16595" t="str">
        <f>HYPERLINK("https://rhld.insurance.arkansas.gov/NPILookup?Npi=1982047379","1982047379")</f>
        <v>1982047379</v>
      </c>
      <c r="E16595" t="s">
        <v>8953</v>
      </c>
    </row>
    <row r="16596" spans="1:5" x14ac:dyDescent="0.25">
      <c r="A16596" t="s">
        <v>2</v>
      </c>
      <c r="B16596" t="s">
        <v>3458</v>
      </c>
      <c r="C16596" t="s">
        <v>23490</v>
      </c>
      <c r="D16596" t="str">
        <f>HYPERLINK("https://rhld.insurance.arkansas.gov/NPILookup?Npi=1982048047","1982048047")</f>
        <v>1982048047</v>
      </c>
      <c r="E16596" t="s">
        <v>3385</v>
      </c>
    </row>
    <row r="16597" spans="1:5" x14ac:dyDescent="0.25">
      <c r="A16597" t="s">
        <v>2</v>
      </c>
      <c r="B16597" t="s">
        <v>3458</v>
      </c>
      <c r="C16597" t="s">
        <v>23490</v>
      </c>
      <c r="D16597" t="str">
        <f>HYPERLINK("https://rhld.insurance.arkansas.gov/NPILookup?Npi=1982053286","1982053286")</f>
        <v>1982053286</v>
      </c>
      <c r="E16597" t="s">
        <v>11415</v>
      </c>
    </row>
    <row r="16598" spans="1:5" x14ac:dyDescent="0.25">
      <c r="A16598" t="s">
        <v>2</v>
      </c>
      <c r="B16598" t="s">
        <v>3458</v>
      </c>
      <c r="C16598" t="s">
        <v>23490</v>
      </c>
      <c r="D16598" t="str">
        <f>HYPERLINK("https://rhld.insurance.arkansas.gov/NPILookup?Npi=1982056925","1982056925")</f>
        <v>1982056925</v>
      </c>
      <c r="E16598" t="s">
        <v>8954</v>
      </c>
    </row>
    <row r="16599" spans="1:5" x14ac:dyDescent="0.25">
      <c r="A16599" t="s">
        <v>2</v>
      </c>
      <c r="B16599" t="s">
        <v>3458</v>
      </c>
      <c r="C16599" t="s">
        <v>23490</v>
      </c>
      <c r="D16599" t="str">
        <f>HYPERLINK("https://rhld.insurance.arkansas.gov/NPILookup?Npi=1982062857","1982062857")</f>
        <v>1982062857</v>
      </c>
      <c r="E16599" t="s">
        <v>15771</v>
      </c>
    </row>
    <row r="16600" spans="1:5" x14ac:dyDescent="0.25">
      <c r="A16600" t="s">
        <v>2</v>
      </c>
      <c r="B16600" t="s">
        <v>3458</v>
      </c>
      <c r="C16600" t="s">
        <v>23490</v>
      </c>
      <c r="D16600" t="str">
        <f>HYPERLINK("https://rhld.insurance.arkansas.gov/NPILookup?Npi=1982068938","1982068938")</f>
        <v>1982068938</v>
      </c>
      <c r="E16600" t="s">
        <v>11416</v>
      </c>
    </row>
    <row r="16601" spans="1:5" x14ac:dyDescent="0.25">
      <c r="A16601" t="s">
        <v>2</v>
      </c>
      <c r="B16601" t="s">
        <v>3458</v>
      </c>
      <c r="C16601" t="s">
        <v>23490</v>
      </c>
      <c r="D16601" t="str">
        <f>HYPERLINK("https://rhld.insurance.arkansas.gov/NPILookup?Npi=1982069316","1982069316")</f>
        <v>1982069316</v>
      </c>
      <c r="E16601" t="s">
        <v>17065</v>
      </c>
    </row>
    <row r="16602" spans="1:5" x14ac:dyDescent="0.25">
      <c r="A16602" t="s">
        <v>2</v>
      </c>
      <c r="B16602" t="s">
        <v>3458</v>
      </c>
      <c r="C16602" t="s">
        <v>23490</v>
      </c>
      <c r="D16602" t="str">
        <f>HYPERLINK("https://rhld.insurance.arkansas.gov/NPILookup?Npi=1982080255","1982080255")</f>
        <v>1982080255</v>
      </c>
      <c r="E16602" t="s">
        <v>15772</v>
      </c>
    </row>
    <row r="16603" spans="1:5" x14ac:dyDescent="0.25">
      <c r="A16603" t="s">
        <v>2</v>
      </c>
      <c r="B16603" t="s">
        <v>3458</v>
      </c>
      <c r="C16603" t="s">
        <v>23490</v>
      </c>
      <c r="D16603" t="str">
        <f>HYPERLINK("https://rhld.insurance.arkansas.gov/NPILookup?Npi=1982081196","1982081196")</f>
        <v>1982081196</v>
      </c>
      <c r="E16603" t="s">
        <v>20281</v>
      </c>
    </row>
    <row r="16604" spans="1:5" x14ac:dyDescent="0.25">
      <c r="A16604" t="s">
        <v>2</v>
      </c>
      <c r="B16604" t="s">
        <v>3458</v>
      </c>
      <c r="C16604" t="s">
        <v>23490</v>
      </c>
      <c r="D16604" t="str">
        <f>HYPERLINK("https://rhld.insurance.arkansas.gov/NPILookup?Npi=1982083226","1982083226")</f>
        <v>1982083226</v>
      </c>
      <c r="E16604" t="s">
        <v>20282</v>
      </c>
    </row>
    <row r="16605" spans="1:5" x14ac:dyDescent="0.25">
      <c r="A16605" t="s">
        <v>2</v>
      </c>
      <c r="B16605" t="s">
        <v>3458</v>
      </c>
      <c r="C16605" t="s">
        <v>23490</v>
      </c>
      <c r="D16605" t="str">
        <f>HYPERLINK("https://rhld.insurance.arkansas.gov/NPILookup?Npi=1982101119","1982101119")</f>
        <v>1982101119</v>
      </c>
      <c r="E16605" t="s">
        <v>21699</v>
      </c>
    </row>
    <row r="16606" spans="1:5" x14ac:dyDescent="0.25">
      <c r="A16606" t="s">
        <v>2</v>
      </c>
      <c r="B16606" t="s">
        <v>3458</v>
      </c>
      <c r="C16606" t="s">
        <v>23490</v>
      </c>
      <c r="D16606" t="str">
        <f>HYPERLINK("https://rhld.insurance.arkansas.gov/NPILookup?Npi=1982101952","1982101952")</f>
        <v>1982101952</v>
      </c>
      <c r="E16606" t="s">
        <v>20283</v>
      </c>
    </row>
    <row r="16607" spans="1:5" x14ac:dyDescent="0.25">
      <c r="A16607" t="s">
        <v>2</v>
      </c>
      <c r="B16607" t="s">
        <v>3458</v>
      </c>
      <c r="C16607" t="s">
        <v>23490</v>
      </c>
      <c r="D16607" t="str">
        <f>HYPERLINK("https://rhld.insurance.arkansas.gov/NPILookup?Npi=1982115218","1982115218")</f>
        <v>1982115218</v>
      </c>
      <c r="E16607" t="s">
        <v>13050</v>
      </c>
    </row>
    <row r="16608" spans="1:5" x14ac:dyDescent="0.25">
      <c r="A16608" t="s">
        <v>2</v>
      </c>
      <c r="B16608" t="s">
        <v>3458</v>
      </c>
      <c r="C16608" t="s">
        <v>23490</v>
      </c>
      <c r="D16608" t="str">
        <f>HYPERLINK("https://rhld.insurance.arkansas.gov/NPILookup?Npi=1982128096","1982128096")</f>
        <v>1982128096</v>
      </c>
      <c r="E16608" t="s">
        <v>15773</v>
      </c>
    </row>
    <row r="16609" spans="1:5" x14ac:dyDescent="0.25">
      <c r="A16609" t="s">
        <v>2</v>
      </c>
      <c r="B16609" t="s">
        <v>3458</v>
      </c>
      <c r="C16609" t="s">
        <v>23490</v>
      </c>
      <c r="D16609" t="str">
        <f>HYPERLINK("https://rhld.insurance.arkansas.gov/NPILookup?Npi=1982133161","1982133161")</f>
        <v>1982133161</v>
      </c>
      <c r="E16609" t="s">
        <v>11417</v>
      </c>
    </row>
    <row r="16610" spans="1:5" x14ac:dyDescent="0.25">
      <c r="A16610" t="s">
        <v>2</v>
      </c>
      <c r="B16610" t="s">
        <v>3458</v>
      </c>
      <c r="C16610" t="s">
        <v>23490</v>
      </c>
      <c r="D16610" t="str">
        <f>HYPERLINK("https://rhld.insurance.arkansas.gov/NPILookup?Npi=1982139333","1982139333")</f>
        <v>1982139333</v>
      </c>
      <c r="E16610" t="s">
        <v>13812</v>
      </c>
    </row>
    <row r="16611" spans="1:5" x14ac:dyDescent="0.25">
      <c r="A16611" t="s">
        <v>2</v>
      </c>
      <c r="B16611" t="s">
        <v>3458</v>
      </c>
      <c r="C16611" t="s">
        <v>23490</v>
      </c>
      <c r="D16611" t="str">
        <f>HYPERLINK("https://rhld.insurance.arkansas.gov/NPILookup?Npi=1982147765","1982147765")</f>
        <v>1982147765</v>
      </c>
      <c r="E16611" t="s">
        <v>13813</v>
      </c>
    </row>
    <row r="16612" spans="1:5" x14ac:dyDescent="0.25">
      <c r="A16612" t="s">
        <v>2</v>
      </c>
      <c r="B16612" t="s">
        <v>3458</v>
      </c>
      <c r="C16612" t="s">
        <v>23490</v>
      </c>
      <c r="D16612" t="str">
        <f>HYPERLINK("https://rhld.insurance.arkansas.gov/NPILookup?Npi=1982152153","1982152153")</f>
        <v>1982152153</v>
      </c>
      <c r="E16612" t="s">
        <v>11418</v>
      </c>
    </row>
    <row r="16613" spans="1:5" x14ac:dyDescent="0.25">
      <c r="A16613" t="s">
        <v>2</v>
      </c>
      <c r="B16613" t="s">
        <v>3458</v>
      </c>
      <c r="C16613" t="s">
        <v>23490</v>
      </c>
      <c r="D16613" t="str">
        <f>HYPERLINK("https://rhld.insurance.arkansas.gov/NPILookup?Npi=1982152401","1982152401")</f>
        <v>1982152401</v>
      </c>
      <c r="E16613" t="s">
        <v>13814</v>
      </c>
    </row>
    <row r="16614" spans="1:5" x14ac:dyDescent="0.25">
      <c r="A16614" t="s">
        <v>2</v>
      </c>
      <c r="B16614" t="s">
        <v>3458</v>
      </c>
      <c r="C16614" t="s">
        <v>23490</v>
      </c>
      <c r="D16614" t="str">
        <f>HYPERLINK("https://rhld.insurance.arkansas.gov/NPILookup?Npi=1982154720","1982154720")</f>
        <v>1982154720</v>
      </c>
      <c r="E16614" t="s">
        <v>15774</v>
      </c>
    </row>
    <row r="16615" spans="1:5" x14ac:dyDescent="0.25">
      <c r="A16615" t="s">
        <v>2</v>
      </c>
      <c r="B16615" t="s">
        <v>3458</v>
      </c>
      <c r="C16615" t="s">
        <v>8427</v>
      </c>
      <c r="D16615" t="str">
        <f>HYPERLINK("https://rhld.insurance.arkansas.gov/NPILookup?Npi=1982165692","1982165692")</f>
        <v>1982165692</v>
      </c>
      <c r="E16615" t="s">
        <v>23014</v>
      </c>
    </row>
    <row r="16616" spans="1:5" x14ac:dyDescent="0.25">
      <c r="A16616" t="s">
        <v>2</v>
      </c>
      <c r="B16616" t="s">
        <v>3458</v>
      </c>
      <c r="C16616" t="s">
        <v>23490</v>
      </c>
      <c r="D16616" t="str">
        <f>HYPERLINK("https://rhld.insurance.arkansas.gov/NPILookup?Npi=1982171724","1982171724")</f>
        <v>1982171724</v>
      </c>
      <c r="E16616" t="s">
        <v>17502</v>
      </c>
    </row>
    <row r="16617" spans="1:5" x14ac:dyDescent="0.25">
      <c r="A16617" t="s">
        <v>2</v>
      </c>
      <c r="B16617" t="s">
        <v>3458</v>
      </c>
      <c r="C16617" t="s">
        <v>23490</v>
      </c>
      <c r="D16617" t="str">
        <f>HYPERLINK("https://rhld.insurance.arkansas.gov/NPILookup?Npi=1982183885","1982183885")</f>
        <v>1982183885</v>
      </c>
      <c r="E16617" t="s">
        <v>13816</v>
      </c>
    </row>
    <row r="16618" spans="1:5" x14ac:dyDescent="0.25">
      <c r="A16618" t="s">
        <v>2</v>
      </c>
      <c r="B16618" t="s">
        <v>3458</v>
      </c>
      <c r="C16618" t="s">
        <v>23490</v>
      </c>
      <c r="D16618" t="str">
        <f>HYPERLINK("https://rhld.insurance.arkansas.gov/NPILookup?Npi=1982203444","1982203444")</f>
        <v>1982203444</v>
      </c>
      <c r="E16618" t="s">
        <v>21700</v>
      </c>
    </row>
    <row r="16619" spans="1:5" x14ac:dyDescent="0.25">
      <c r="A16619" t="s">
        <v>2</v>
      </c>
      <c r="B16619" t="s">
        <v>3458</v>
      </c>
      <c r="C16619" t="s">
        <v>23490</v>
      </c>
      <c r="D16619" t="str">
        <f>HYPERLINK("https://rhld.insurance.arkansas.gov/NPILookup?Npi=1982219663","1982219663")</f>
        <v>1982219663</v>
      </c>
      <c r="E16619" t="s">
        <v>18198</v>
      </c>
    </row>
    <row r="16620" spans="1:5" x14ac:dyDescent="0.25">
      <c r="A16620" t="s">
        <v>2</v>
      </c>
      <c r="B16620" t="s">
        <v>3458</v>
      </c>
      <c r="C16620" t="s">
        <v>23490</v>
      </c>
      <c r="D16620" t="str">
        <f>HYPERLINK("https://rhld.insurance.arkansas.gov/NPILookup?Npi=1982228995","1982228995")</f>
        <v>1982228995</v>
      </c>
      <c r="E16620" t="s">
        <v>20199</v>
      </c>
    </row>
    <row r="16621" spans="1:5" x14ac:dyDescent="0.25">
      <c r="A16621" t="s">
        <v>2</v>
      </c>
      <c r="B16621" t="s">
        <v>3458</v>
      </c>
      <c r="C16621" t="s">
        <v>23490</v>
      </c>
      <c r="D16621" t="str">
        <f>HYPERLINK("https://rhld.insurance.arkansas.gov/NPILookup?Npi=1982230421","1982230421")</f>
        <v>1982230421</v>
      </c>
      <c r="E16621" t="s">
        <v>20200</v>
      </c>
    </row>
    <row r="16622" spans="1:5" x14ac:dyDescent="0.25">
      <c r="A16622" t="s">
        <v>2</v>
      </c>
      <c r="B16622" t="s">
        <v>3458</v>
      </c>
      <c r="C16622" t="s">
        <v>23490</v>
      </c>
      <c r="D16622" t="str">
        <f>HYPERLINK("https://rhld.insurance.arkansas.gov/NPILookup?Npi=1982288973","1982288973")</f>
        <v>1982288973</v>
      </c>
      <c r="E16622" t="s">
        <v>18199</v>
      </c>
    </row>
    <row r="16623" spans="1:5" x14ac:dyDescent="0.25">
      <c r="A16623" t="s">
        <v>2</v>
      </c>
      <c r="B16623" t="s">
        <v>3458</v>
      </c>
      <c r="C16623" t="s">
        <v>23490</v>
      </c>
      <c r="D16623" t="str">
        <f>HYPERLINK("https://rhld.insurance.arkansas.gov/NPILookup?Npi=1982293676","1982293676")</f>
        <v>1982293676</v>
      </c>
      <c r="E16623" t="s">
        <v>18912</v>
      </c>
    </row>
    <row r="16624" spans="1:5" x14ac:dyDescent="0.25">
      <c r="A16624" t="s">
        <v>2</v>
      </c>
      <c r="B16624" t="s">
        <v>3458</v>
      </c>
      <c r="C16624" t="s">
        <v>23490</v>
      </c>
      <c r="D16624" t="str">
        <f>HYPERLINK("https://rhld.insurance.arkansas.gov/NPILookup?Npi=1982319067","1982319067")</f>
        <v>1982319067</v>
      </c>
      <c r="E16624" t="s">
        <v>21702</v>
      </c>
    </row>
    <row r="16625" spans="1:5" x14ac:dyDescent="0.25">
      <c r="A16625" t="s">
        <v>2</v>
      </c>
      <c r="B16625" t="s">
        <v>3458</v>
      </c>
      <c r="C16625" t="s">
        <v>23490</v>
      </c>
      <c r="D16625" t="str">
        <f>HYPERLINK("https://rhld.insurance.arkansas.gov/NPILookup?Npi=1982604385","1982604385")</f>
        <v>1982604385</v>
      </c>
      <c r="E16625" t="s">
        <v>3386</v>
      </c>
    </row>
    <row r="16626" spans="1:5" x14ac:dyDescent="0.25">
      <c r="A16626" t="s">
        <v>2</v>
      </c>
      <c r="B16626" t="s">
        <v>3458</v>
      </c>
      <c r="C16626" t="s">
        <v>23490</v>
      </c>
      <c r="D16626" t="str">
        <f>HYPERLINK("https://rhld.insurance.arkansas.gov/NPILookup?Npi=1982606497","1982606497")</f>
        <v>1982606497</v>
      </c>
      <c r="E16626" t="s">
        <v>4056</v>
      </c>
    </row>
    <row r="16627" spans="1:5" x14ac:dyDescent="0.25">
      <c r="A16627" t="s">
        <v>2</v>
      </c>
      <c r="B16627" t="s">
        <v>3458</v>
      </c>
      <c r="C16627" t="s">
        <v>23490</v>
      </c>
      <c r="D16627" t="str">
        <f>HYPERLINK("https://rhld.insurance.arkansas.gov/NPILookup?Npi=1982609004","1982609004")</f>
        <v>1982609004</v>
      </c>
      <c r="E16627" t="s">
        <v>15775</v>
      </c>
    </row>
    <row r="16628" spans="1:5" x14ac:dyDescent="0.25">
      <c r="A16628" t="s">
        <v>2</v>
      </c>
      <c r="B16628" t="s">
        <v>3458</v>
      </c>
      <c r="C16628" t="s">
        <v>23490</v>
      </c>
      <c r="D16628" t="str">
        <f>HYPERLINK("https://rhld.insurance.arkansas.gov/NPILookup?Npi=1982613469","1982613469")</f>
        <v>1982613469</v>
      </c>
      <c r="E16628" t="s">
        <v>3387</v>
      </c>
    </row>
    <row r="16629" spans="1:5" x14ac:dyDescent="0.25">
      <c r="A16629" t="s">
        <v>2</v>
      </c>
      <c r="B16629" t="s">
        <v>3458</v>
      </c>
      <c r="C16629" t="s">
        <v>23490</v>
      </c>
      <c r="D16629" t="str">
        <f>HYPERLINK("https://rhld.insurance.arkansas.gov/NPILookup?Npi=1982616231","1982616231")</f>
        <v>1982616231</v>
      </c>
      <c r="E16629" t="s">
        <v>3388</v>
      </c>
    </row>
    <row r="16630" spans="1:5" x14ac:dyDescent="0.25">
      <c r="A16630" t="s">
        <v>2</v>
      </c>
      <c r="B16630" t="s">
        <v>3458</v>
      </c>
      <c r="C16630" t="s">
        <v>23490</v>
      </c>
      <c r="D16630" t="str">
        <f>HYPERLINK("https://rhld.insurance.arkansas.gov/NPILookup?Npi=1982624748","1982624748")</f>
        <v>1982624748</v>
      </c>
      <c r="E16630" t="s">
        <v>3389</v>
      </c>
    </row>
    <row r="16631" spans="1:5" x14ac:dyDescent="0.25">
      <c r="A16631" t="s">
        <v>2</v>
      </c>
      <c r="B16631" t="s">
        <v>3458</v>
      </c>
      <c r="C16631" t="s">
        <v>23490</v>
      </c>
      <c r="D16631" t="str">
        <f>HYPERLINK("https://rhld.insurance.arkansas.gov/NPILookup?Npi=1982631313","1982631313")</f>
        <v>1982631313</v>
      </c>
      <c r="E16631" t="s">
        <v>3391</v>
      </c>
    </row>
    <row r="16632" spans="1:5" x14ac:dyDescent="0.25">
      <c r="A16632" t="s">
        <v>2</v>
      </c>
      <c r="B16632" t="s">
        <v>3458</v>
      </c>
      <c r="C16632" t="s">
        <v>23490</v>
      </c>
      <c r="D16632" t="str">
        <f>HYPERLINK("https://rhld.insurance.arkansas.gov/NPILookup?Npi=1982643672","1982643672")</f>
        <v>1982643672</v>
      </c>
      <c r="E16632" t="s">
        <v>13051</v>
      </c>
    </row>
    <row r="16633" spans="1:5" x14ac:dyDescent="0.25">
      <c r="A16633" t="s">
        <v>2</v>
      </c>
      <c r="B16633" t="s">
        <v>3458</v>
      </c>
      <c r="C16633" t="s">
        <v>23490</v>
      </c>
      <c r="D16633" t="str">
        <f>HYPERLINK("https://rhld.insurance.arkansas.gov/NPILookup?Npi=1982650925","1982650925")</f>
        <v>1982650925</v>
      </c>
      <c r="E16633" t="s">
        <v>3392</v>
      </c>
    </row>
    <row r="16634" spans="1:5" x14ac:dyDescent="0.25">
      <c r="A16634" t="s">
        <v>2</v>
      </c>
      <c r="B16634" t="s">
        <v>3458</v>
      </c>
      <c r="C16634" t="s">
        <v>23490</v>
      </c>
      <c r="D16634" t="str">
        <f>HYPERLINK("https://rhld.insurance.arkansas.gov/NPILookup?Npi=1982653614","1982653614")</f>
        <v>1982653614</v>
      </c>
      <c r="E16634" t="s">
        <v>15776</v>
      </c>
    </row>
    <row r="16635" spans="1:5" x14ac:dyDescent="0.25">
      <c r="A16635" t="s">
        <v>2</v>
      </c>
      <c r="B16635" t="s">
        <v>3458</v>
      </c>
      <c r="C16635" t="s">
        <v>23490</v>
      </c>
      <c r="D16635" t="str">
        <f>HYPERLINK("https://rhld.insurance.arkansas.gov/NPILookup?Npi=1982658506","1982658506")</f>
        <v>1982658506</v>
      </c>
      <c r="E16635" t="s">
        <v>3394</v>
      </c>
    </row>
    <row r="16636" spans="1:5" x14ac:dyDescent="0.25">
      <c r="A16636" t="s">
        <v>2</v>
      </c>
      <c r="B16636" t="s">
        <v>3458</v>
      </c>
      <c r="C16636" t="s">
        <v>23490</v>
      </c>
      <c r="D16636" t="str">
        <f>HYPERLINK("https://rhld.insurance.arkansas.gov/NPILookup?Npi=1982660627","1982660627")</f>
        <v>1982660627</v>
      </c>
      <c r="E16636" t="s">
        <v>18913</v>
      </c>
    </row>
    <row r="16637" spans="1:5" x14ac:dyDescent="0.25">
      <c r="A16637" t="s">
        <v>2</v>
      </c>
      <c r="B16637" t="s">
        <v>3458</v>
      </c>
      <c r="C16637" t="s">
        <v>23490</v>
      </c>
      <c r="D16637" t="str">
        <f>HYPERLINK("https://rhld.insurance.arkansas.gov/NPILookup?Npi=1982660742","1982660742")</f>
        <v>1982660742</v>
      </c>
      <c r="E16637" t="s">
        <v>3395</v>
      </c>
    </row>
    <row r="16638" spans="1:5" x14ac:dyDescent="0.25">
      <c r="A16638" t="s">
        <v>2</v>
      </c>
      <c r="B16638" t="s">
        <v>3458</v>
      </c>
      <c r="C16638" t="s">
        <v>23490</v>
      </c>
      <c r="D16638" t="str">
        <f>HYPERLINK("https://rhld.insurance.arkansas.gov/NPILookup?Npi=1982661757","1982661757")</f>
        <v>1982661757</v>
      </c>
      <c r="E16638" t="s">
        <v>20201</v>
      </c>
    </row>
    <row r="16639" spans="1:5" x14ac:dyDescent="0.25">
      <c r="A16639" t="s">
        <v>2</v>
      </c>
      <c r="B16639" t="s">
        <v>3458</v>
      </c>
      <c r="C16639" t="s">
        <v>23490</v>
      </c>
      <c r="D16639" t="str">
        <f>HYPERLINK("https://rhld.insurance.arkansas.gov/NPILookup?Npi=1982662185","1982662185")</f>
        <v>1982662185</v>
      </c>
      <c r="E16639" t="s">
        <v>3396</v>
      </c>
    </row>
    <row r="16640" spans="1:5" x14ac:dyDescent="0.25">
      <c r="A16640" t="s">
        <v>2</v>
      </c>
      <c r="B16640" t="s">
        <v>3458</v>
      </c>
      <c r="C16640" t="s">
        <v>23490</v>
      </c>
      <c r="D16640" t="str">
        <f>HYPERLINK("https://rhld.insurance.arkansas.gov/NPILookup?Npi=1982662961","1982662961")</f>
        <v>1982662961</v>
      </c>
      <c r="E16640" t="s">
        <v>8955</v>
      </c>
    </row>
    <row r="16641" spans="1:5" x14ac:dyDescent="0.25">
      <c r="A16641" t="s">
        <v>2</v>
      </c>
      <c r="B16641" t="s">
        <v>3458</v>
      </c>
      <c r="C16641" t="s">
        <v>23490</v>
      </c>
      <c r="D16641" t="str">
        <f>HYPERLINK("https://rhld.insurance.arkansas.gov/NPILookup?Npi=1982672010","1982672010")</f>
        <v>1982672010</v>
      </c>
      <c r="E16641" t="s">
        <v>11419</v>
      </c>
    </row>
    <row r="16642" spans="1:5" x14ac:dyDescent="0.25">
      <c r="A16642" t="s">
        <v>2</v>
      </c>
      <c r="B16642" t="s">
        <v>3458</v>
      </c>
      <c r="C16642" t="s">
        <v>23490</v>
      </c>
      <c r="D16642" t="str">
        <f>HYPERLINK("https://rhld.insurance.arkansas.gov/NPILookup?Npi=1982691085","1982691085")</f>
        <v>1982691085</v>
      </c>
      <c r="E16642" t="s">
        <v>3397</v>
      </c>
    </row>
    <row r="16643" spans="1:5" x14ac:dyDescent="0.25">
      <c r="A16643" t="s">
        <v>2</v>
      </c>
      <c r="B16643" t="s">
        <v>3458</v>
      </c>
      <c r="C16643" t="s">
        <v>23490</v>
      </c>
      <c r="D16643" t="str">
        <f>HYPERLINK("https://rhld.insurance.arkansas.gov/NPILookup?Npi=1982691465","1982691465")</f>
        <v>1982691465</v>
      </c>
      <c r="E16643" t="s">
        <v>4057</v>
      </c>
    </row>
    <row r="16644" spans="1:5" x14ac:dyDescent="0.25">
      <c r="A16644" t="s">
        <v>2</v>
      </c>
      <c r="B16644" t="s">
        <v>3458</v>
      </c>
      <c r="C16644" t="s">
        <v>23490</v>
      </c>
      <c r="D16644" t="str">
        <f>HYPERLINK("https://rhld.insurance.arkansas.gov/NPILookup?Npi=1982698965","1982698965")</f>
        <v>1982698965</v>
      </c>
      <c r="E16644" t="s">
        <v>3398</v>
      </c>
    </row>
    <row r="16645" spans="1:5" x14ac:dyDescent="0.25">
      <c r="A16645" t="s">
        <v>2</v>
      </c>
      <c r="B16645" t="s">
        <v>3458</v>
      </c>
      <c r="C16645" t="s">
        <v>23490</v>
      </c>
      <c r="D16645" t="str">
        <f>HYPERLINK("https://rhld.insurance.arkansas.gov/NPILookup?Npi=1982704532","1982704532")</f>
        <v>1982704532</v>
      </c>
      <c r="E16645" t="s">
        <v>4058</v>
      </c>
    </row>
    <row r="16646" spans="1:5" x14ac:dyDescent="0.25">
      <c r="A16646" t="s">
        <v>2</v>
      </c>
      <c r="B16646" t="s">
        <v>3458</v>
      </c>
      <c r="C16646" t="s">
        <v>23490</v>
      </c>
      <c r="D16646" t="str">
        <f>HYPERLINK("https://rhld.insurance.arkansas.gov/NPILookup?Npi=1982706263","1982706263")</f>
        <v>1982706263</v>
      </c>
      <c r="E16646" t="s">
        <v>15777</v>
      </c>
    </row>
    <row r="16647" spans="1:5" x14ac:dyDescent="0.25">
      <c r="A16647" t="s">
        <v>2</v>
      </c>
      <c r="B16647" t="s">
        <v>3458</v>
      </c>
      <c r="C16647" t="s">
        <v>23490</v>
      </c>
      <c r="D16647" t="str">
        <f>HYPERLINK("https://rhld.insurance.arkansas.gov/NPILookup?Npi=1982726444","1982726444")</f>
        <v>1982726444</v>
      </c>
      <c r="E16647" t="s">
        <v>3402</v>
      </c>
    </row>
    <row r="16648" spans="1:5" x14ac:dyDescent="0.25">
      <c r="A16648" t="s">
        <v>2</v>
      </c>
      <c r="B16648" t="s">
        <v>3458</v>
      </c>
      <c r="C16648" t="s">
        <v>23490</v>
      </c>
      <c r="D16648" t="str">
        <f>HYPERLINK("https://rhld.insurance.arkansas.gov/NPILookup?Npi=1982727665","1982727665")</f>
        <v>1982727665</v>
      </c>
      <c r="E16648" t="s">
        <v>15778</v>
      </c>
    </row>
    <row r="16649" spans="1:5" x14ac:dyDescent="0.25">
      <c r="A16649" t="s">
        <v>2</v>
      </c>
      <c r="B16649" t="s">
        <v>3458</v>
      </c>
      <c r="C16649" t="s">
        <v>23490</v>
      </c>
      <c r="D16649" t="str">
        <f>HYPERLINK("https://rhld.insurance.arkansas.gov/NPILookup?Npi=1982760989","1982760989")</f>
        <v>1982760989</v>
      </c>
      <c r="E16649" t="s">
        <v>4059</v>
      </c>
    </row>
    <row r="16650" spans="1:5" x14ac:dyDescent="0.25">
      <c r="A16650" t="s">
        <v>2</v>
      </c>
      <c r="B16650" t="s">
        <v>3458</v>
      </c>
      <c r="C16650" t="s">
        <v>23490</v>
      </c>
      <c r="D16650" t="str">
        <f>HYPERLINK("https://rhld.insurance.arkansas.gov/NPILookup?Npi=1982766721","1982766721")</f>
        <v>1982766721</v>
      </c>
      <c r="E16650" t="s">
        <v>15779</v>
      </c>
    </row>
    <row r="16651" spans="1:5" x14ac:dyDescent="0.25">
      <c r="A16651" t="s">
        <v>2</v>
      </c>
      <c r="B16651" t="s">
        <v>3458</v>
      </c>
      <c r="C16651" t="s">
        <v>23490</v>
      </c>
      <c r="D16651" t="str">
        <f>HYPERLINK("https://rhld.insurance.arkansas.gov/NPILookup?Npi=1982799763","1982799763")</f>
        <v>1982799763</v>
      </c>
      <c r="E16651" t="s">
        <v>257</v>
      </c>
    </row>
    <row r="16652" spans="1:5" x14ac:dyDescent="0.25">
      <c r="A16652" t="s">
        <v>2</v>
      </c>
      <c r="B16652" t="s">
        <v>3458</v>
      </c>
      <c r="C16652" t="s">
        <v>23490</v>
      </c>
      <c r="D16652" t="str">
        <f>HYPERLINK("https://rhld.insurance.arkansas.gov/NPILookup?Npi=1982833489","1982833489")</f>
        <v>1982833489</v>
      </c>
      <c r="E16652" t="s">
        <v>3404</v>
      </c>
    </row>
    <row r="16653" spans="1:5" x14ac:dyDescent="0.25">
      <c r="A16653" t="s">
        <v>2</v>
      </c>
      <c r="B16653" t="s">
        <v>3458</v>
      </c>
      <c r="C16653" t="s">
        <v>23490</v>
      </c>
      <c r="D16653" t="str">
        <f>HYPERLINK("https://rhld.insurance.arkansas.gov/NPILookup?Npi=1982845939","1982845939")</f>
        <v>1982845939</v>
      </c>
      <c r="E16653" t="s">
        <v>3405</v>
      </c>
    </row>
    <row r="16654" spans="1:5" x14ac:dyDescent="0.25">
      <c r="A16654" t="s">
        <v>2</v>
      </c>
      <c r="B16654" t="s">
        <v>3458</v>
      </c>
      <c r="C16654" t="s">
        <v>23490</v>
      </c>
      <c r="D16654" t="str">
        <f>HYPERLINK("https://rhld.insurance.arkansas.gov/NPILookup?Npi=1982859351","1982859351")</f>
        <v>1982859351</v>
      </c>
      <c r="E16654" t="s">
        <v>3406</v>
      </c>
    </row>
    <row r="16655" spans="1:5" x14ac:dyDescent="0.25">
      <c r="A16655" t="s">
        <v>2</v>
      </c>
      <c r="B16655" t="s">
        <v>3458</v>
      </c>
      <c r="C16655" t="s">
        <v>23490</v>
      </c>
      <c r="D16655" t="str">
        <f>HYPERLINK("https://rhld.insurance.arkansas.gov/NPILookup?Npi=1982861621","1982861621")</f>
        <v>1982861621</v>
      </c>
      <c r="E16655" t="s">
        <v>18914</v>
      </c>
    </row>
    <row r="16656" spans="1:5" x14ac:dyDescent="0.25">
      <c r="A16656" t="s">
        <v>2</v>
      </c>
      <c r="B16656" t="s">
        <v>3458</v>
      </c>
      <c r="C16656" t="s">
        <v>23490</v>
      </c>
      <c r="D16656" t="str">
        <f>HYPERLINK("https://rhld.insurance.arkansas.gov/NPILookup?Npi=1982871976","1982871976")</f>
        <v>1982871976</v>
      </c>
      <c r="E16656" t="s">
        <v>4060</v>
      </c>
    </row>
    <row r="16657" spans="1:5" x14ac:dyDescent="0.25">
      <c r="A16657" t="s">
        <v>2</v>
      </c>
      <c r="B16657" t="s">
        <v>3458</v>
      </c>
      <c r="C16657" t="s">
        <v>23490</v>
      </c>
      <c r="D16657" t="str">
        <f>HYPERLINK("https://rhld.insurance.arkansas.gov/NPILookup?Npi=1982894986","1982894986")</f>
        <v>1982894986</v>
      </c>
      <c r="E16657" t="s">
        <v>11490</v>
      </c>
    </row>
    <row r="16658" spans="1:5" x14ac:dyDescent="0.25">
      <c r="A16658" t="s">
        <v>2</v>
      </c>
      <c r="B16658" t="s">
        <v>3458</v>
      </c>
      <c r="C16658" t="s">
        <v>23490</v>
      </c>
      <c r="D16658" t="str">
        <f>HYPERLINK("https://rhld.insurance.arkansas.gov/NPILookup?Npi=1982898573","1982898573")</f>
        <v>1982898573</v>
      </c>
      <c r="E16658" t="s">
        <v>8957</v>
      </c>
    </row>
    <row r="16659" spans="1:5" x14ac:dyDescent="0.25">
      <c r="A16659" t="s">
        <v>2</v>
      </c>
      <c r="B16659" t="s">
        <v>3458</v>
      </c>
      <c r="C16659" t="s">
        <v>23490</v>
      </c>
      <c r="D16659" t="str">
        <f>HYPERLINK("https://rhld.insurance.arkansas.gov/NPILookup?Npi=1982902383","1982902383")</f>
        <v>1982902383</v>
      </c>
      <c r="E16659" t="s">
        <v>20203</v>
      </c>
    </row>
    <row r="16660" spans="1:5" x14ac:dyDescent="0.25">
      <c r="A16660" t="s">
        <v>2</v>
      </c>
      <c r="B16660" t="s">
        <v>3458</v>
      </c>
      <c r="C16660" t="s">
        <v>23490</v>
      </c>
      <c r="D16660" t="str">
        <f>HYPERLINK("https://rhld.insurance.arkansas.gov/NPILookup?Npi=1982905444","1982905444")</f>
        <v>1982905444</v>
      </c>
      <c r="E16660" t="s">
        <v>3408</v>
      </c>
    </row>
    <row r="16661" spans="1:5" x14ac:dyDescent="0.25">
      <c r="A16661" t="s">
        <v>2</v>
      </c>
      <c r="B16661" t="s">
        <v>3458</v>
      </c>
      <c r="C16661" t="s">
        <v>23490</v>
      </c>
      <c r="D16661" t="str">
        <f>HYPERLINK("https://rhld.insurance.arkansas.gov/NPILookup?Npi=1982915138","1982915138")</f>
        <v>1982915138</v>
      </c>
      <c r="E16661" t="s">
        <v>11420</v>
      </c>
    </row>
    <row r="16662" spans="1:5" x14ac:dyDescent="0.25">
      <c r="A16662" t="s">
        <v>2</v>
      </c>
      <c r="B16662" t="s">
        <v>3458</v>
      </c>
      <c r="C16662" t="s">
        <v>23490</v>
      </c>
      <c r="D16662" t="str">
        <f>HYPERLINK("https://rhld.insurance.arkansas.gov/NPILookup?Npi=1982916896","1982916896")</f>
        <v>1982916896</v>
      </c>
      <c r="E16662" t="s">
        <v>3410</v>
      </c>
    </row>
    <row r="16663" spans="1:5" x14ac:dyDescent="0.25">
      <c r="A16663" t="s">
        <v>2</v>
      </c>
      <c r="B16663" t="s">
        <v>3458</v>
      </c>
      <c r="C16663" t="s">
        <v>23490</v>
      </c>
      <c r="D16663" t="str">
        <f>HYPERLINK("https://rhld.insurance.arkansas.gov/NPILookup?Npi=1982920799","1982920799")</f>
        <v>1982920799</v>
      </c>
      <c r="E16663" t="s">
        <v>3411</v>
      </c>
    </row>
    <row r="16664" spans="1:5" x14ac:dyDescent="0.25">
      <c r="A16664" t="s">
        <v>2</v>
      </c>
      <c r="B16664" t="s">
        <v>3458</v>
      </c>
      <c r="C16664" t="s">
        <v>23490</v>
      </c>
      <c r="D16664" t="str">
        <f>HYPERLINK("https://rhld.insurance.arkansas.gov/NPILookup?Npi=1982940516","1982940516")</f>
        <v>1982940516</v>
      </c>
      <c r="E16664" t="s">
        <v>3413</v>
      </c>
    </row>
    <row r="16665" spans="1:5" x14ac:dyDescent="0.25">
      <c r="A16665" t="s">
        <v>2</v>
      </c>
      <c r="B16665" t="s">
        <v>3458</v>
      </c>
      <c r="C16665" t="s">
        <v>23490</v>
      </c>
      <c r="D16665" t="str">
        <f>HYPERLINK("https://rhld.insurance.arkansas.gov/NPILookup?Npi=1982943502","1982943502")</f>
        <v>1982943502</v>
      </c>
      <c r="E16665" t="s">
        <v>15780</v>
      </c>
    </row>
    <row r="16666" spans="1:5" x14ac:dyDescent="0.25">
      <c r="A16666" t="s">
        <v>2</v>
      </c>
      <c r="B16666" t="s">
        <v>3458</v>
      </c>
      <c r="C16666" t="s">
        <v>23490</v>
      </c>
      <c r="D16666" t="str">
        <f>HYPERLINK("https://rhld.insurance.arkansas.gov/NPILookup?Npi=1982948287","1982948287")</f>
        <v>1982948287</v>
      </c>
      <c r="E16666" t="s">
        <v>3414</v>
      </c>
    </row>
    <row r="16667" spans="1:5" x14ac:dyDescent="0.25">
      <c r="A16667" t="s">
        <v>2</v>
      </c>
      <c r="B16667" t="s">
        <v>3458</v>
      </c>
      <c r="C16667" t="s">
        <v>23490</v>
      </c>
      <c r="D16667" t="str">
        <f>HYPERLINK("https://rhld.insurance.arkansas.gov/NPILookup?Npi=1982953097","1982953097")</f>
        <v>1982953097</v>
      </c>
      <c r="E16667" t="s">
        <v>3415</v>
      </c>
    </row>
    <row r="16668" spans="1:5" x14ac:dyDescent="0.25">
      <c r="A16668" t="s">
        <v>2</v>
      </c>
      <c r="B16668" t="s">
        <v>3458</v>
      </c>
      <c r="C16668" t="s">
        <v>23490</v>
      </c>
      <c r="D16668" t="str">
        <f>HYPERLINK("https://rhld.insurance.arkansas.gov/NPILookup?Npi=1982979720","1982979720")</f>
        <v>1982979720</v>
      </c>
      <c r="E16668" t="s">
        <v>3419</v>
      </c>
    </row>
    <row r="16669" spans="1:5" x14ac:dyDescent="0.25">
      <c r="A16669" t="s">
        <v>2</v>
      </c>
      <c r="B16669" t="s">
        <v>3458</v>
      </c>
      <c r="C16669" t="s">
        <v>23490</v>
      </c>
      <c r="D16669" t="str">
        <f>HYPERLINK("https://rhld.insurance.arkansas.gov/NPILookup?Npi=1982990214","1982990214")</f>
        <v>1982990214</v>
      </c>
      <c r="E16669" t="s">
        <v>15782</v>
      </c>
    </row>
    <row r="16670" spans="1:5" x14ac:dyDescent="0.25">
      <c r="A16670" t="s">
        <v>2</v>
      </c>
      <c r="B16670" t="s">
        <v>3458</v>
      </c>
      <c r="C16670" t="s">
        <v>23490</v>
      </c>
      <c r="D16670" t="str">
        <f>HYPERLINK("https://rhld.insurance.arkansas.gov/NPILookup?Npi=1982990396","1982990396")</f>
        <v>1982990396</v>
      </c>
      <c r="E16670" t="s">
        <v>12945</v>
      </c>
    </row>
    <row r="16671" spans="1:5" x14ac:dyDescent="0.25">
      <c r="A16671" t="s">
        <v>2</v>
      </c>
      <c r="B16671" t="s">
        <v>3458</v>
      </c>
      <c r="C16671" t="s">
        <v>23490</v>
      </c>
      <c r="D16671" t="str">
        <f>HYPERLINK("https://rhld.insurance.arkansas.gov/NPILookup?Npi=1982992830","1982992830")</f>
        <v>1982992830</v>
      </c>
      <c r="E16671" t="s">
        <v>3420</v>
      </c>
    </row>
    <row r="16672" spans="1:5" x14ac:dyDescent="0.25">
      <c r="A16672" t="s">
        <v>2</v>
      </c>
      <c r="B16672" t="s">
        <v>3458</v>
      </c>
      <c r="C16672" t="s">
        <v>23490</v>
      </c>
      <c r="D16672" t="str">
        <f>HYPERLINK("https://rhld.insurance.arkansas.gov/NPILookup?Npi=1982998357","1982998357")</f>
        <v>1982998357</v>
      </c>
      <c r="E16672" t="s">
        <v>4061</v>
      </c>
    </row>
    <row r="16673" spans="1:5" x14ac:dyDescent="0.25">
      <c r="A16673" t="s">
        <v>2</v>
      </c>
      <c r="B16673" t="s">
        <v>3458</v>
      </c>
      <c r="C16673" t="s">
        <v>23490</v>
      </c>
      <c r="D16673" t="str">
        <f>HYPERLINK("https://rhld.insurance.arkansas.gov/NPILookup?Npi=1982999314","1982999314")</f>
        <v>1982999314</v>
      </c>
      <c r="E16673" t="s">
        <v>15783</v>
      </c>
    </row>
    <row r="16674" spans="1:5" x14ac:dyDescent="0.25">
      <c r="A16674" t="s">
        <v>2</v>
      </c>
      <c r="B16674" t="s">
        <v>3458</v>
      </c>
      <c r="C16674" t="s">
        <v>23490</v>
      </c>
      <c r="D16674" t="str">
        <f>HYPERLINK("https://rhld.insurance.arkansas.gov/NPILookup?Npi=1992016638","1992016638")</f>
        <v>1992016638</v>
      </c>
      <c r="E16674" t="s">
        <v>3422</v>
      </c>
    </row>
    <row r="16675" spans="1:5" x14ac:dyDescent="0.25">
      <c r="A16675" t="s">
        <v>2</v>
      </c>
      <c r="B16675" t="s">
        <v>3458</v>
      </c>
      <c r="C16675" t="s">
        <v>23490</v>
      </c>
      <c r="D16675" t="str">
        <f>HYPERLINK("https://rhld.insurance.arkansas.gov/NPILookup?Npi=1992049241","1992049241")</f>
        <v>1992049241</v>
      </c>
      <c r="E16675" t="s">
        <v>3423</v>
      </c>
    </row>
    <row r="16676" spans="1:5" x14ac:dyDescent="0.25">
      <c r="A16676" t="s">
        <v>2</v>
      </c>
      <c r="B16676" t="s">
        <v>3458</v>
      </c>
      <c r="C16676" t="s">
        <v>23490</v>
      </c>
      <c r="D16676" t="str">
        <f>HYPERLINK("https://rhld.insurance.arkansas.gov/NPILookup?Npi=1992062517","1992062517")</f>
        <v>1992062517</v>
      </c>
      <c r="E16676" t="s">
        <v>11421</v>
      </c>
    </row>
    <row r="16677" spans="1:5" x14ac:dyDescent="0.25">
      <c r="A16677" t="s">
        <v>2</v>
      </c>
      <c r="B16677" t="s">
        <v>3458</v>
      </c>
      <c r="C16677" t="s">
        <v>23490</v>
      </c>
      <c r="D16677" t="str">
        <f>HYPERLINK("https://rhld.insurance.arkansas.gov/NPILookup?Npi=1992068563","1992068563")</f>
        <v>1992068563</v>
      </c>
      <c r="E16677" t="s">
        <v>3425</v>
      </c>
    </row>
    <row r="16678" spans="1:5" x14ac:dyDescent="0.25">
      <c r="A16678" t="s">
        <v>2</v>
      </c>
      <c r="B16678" t="s">
        <v>3458</v>
      </c>
      <c r="C16678" t="s">
        <v>23490</v>
      </c>
      <c r="D16678" t="str">
        <f>HYPERLINK("https://rhld.insurance.arkansas.gov/NPILookup?Npi=1992110860","1992110860")</f>
        <v>1992110860</v>
      </c>
      <c r="E16678" t="s">
        <v>3426</v>
      </c>
    </row>
    <row r="16679" spans="1:5" x14ac:dyDescent="0.25">
      <c r="A16679" t="s">
        <v>2</v>
      </c>
      <c r="B16679" t="s">
        <v>3458</v>
      </c>
      <c r="C16679" t="s">
        <v>23490</v>
      </c>
      <c r="D16679" t="str">
        <f>HYPERLINK("https://rhld.insurance.arkansas.gov/NPILookup?Npi=1992111546","1992111546")</f>
        <v>1992111546</v>
      </c>
      <c r="E16679" t="s">
        <v>3427</v>
      </c>
    </row>
    <row r="16680" spans="1:5" x14ac:dyDescent="0.25">
      <c r="A16680" t="s">
        <v>2</v>
      </c>
      <c r="B16680" t="s">
        <v>3458</v>
      </c>
      <c r="C16680" t="s">
        <v>23490</v>
      </c>
      <c r="D16680" t="str">
        <f>HYPERLINK("https://rhld.insurance.arkansas.gov/NPILookup?Npi=1992113294","1992113294")</f>
        <v>1992113294</v>
      </c>
      <c r="E16680" t="s">
        <v>3428</v>
      </c>
    </row>
    <row r="16681" spans="1:5" x14ac:dyDescent="0.25">
      <c r="A16681" t="s">
        <v>2</v>
      </c>
      <c r="B16681" t="s">
        <v>3458</v>
      </c>
      <c r="C16681" t="s">
        <v>23490</v>
      </c>
      <c r="D16681" t="str">
        <f>HYPERLINK("https://rhld.insurance.arkansas.gov/NPILookup?Npi=1992115646","1992115646")</f>
        <v>1992115646</v>
      </c>
      <c r="E16681" t="s">
        <v>8958</v>
      </c>
    </row>
    <row r="16682" spans="1:5" x14ac:dyDescent="0.25">
      <c r="A16682" t="s">
        <v>2</v>
      </c>
      <c r="B16682" t="s">
        <v>3458</v>
      </c>
      <c r="C16682" t="s">
        <v>23490</v>
      </c>
      <c r="D16682" t="str">
        <f>HYPERLINK("https://rhld.insurance.arkansas.gov/NPILookup?Npi=1992116396","1992116396")</f>
        <v>1992116396</v>
      </c>
      <c r="E16682" t="s">
        <v>11422</v>
      </c>
    </row>
    <row r="16683" spans="1:5" x14ac:dyDescent="0.25">
      <c r="A16683" t="s">
        <v>2</v>
      </c>
      <c r="B16683" t="s">
        <v>3458</v>
      </c>
      <c r="C16683" t="s">
        <v>23490</v>
      </c>
      <c r="D16683" t="str">
        <f>HYPERLINK("https://rhld.insurance.arkansas.gov/NPILookup?Npi=1992120158","1992120158")</f>
        <v>1992120158</v>
      </c>
      <c r="E16683" t="s">
        <v>15784</v>
      </c>
    </row>
    <row r="16684" spans="1:5" x14ac:dyDescent="0.25">
      <c r="A16684" t="s">
        <v>2</v>
      </c>
      <c r="B16684" t="s">
        <v>3458</v>
      </c>
      <c r="C16684" t="s">
        <v>23490</v>
      </c>
      <c r="D16684" t="str">
        <f>HYPERLINK("https://rhld.insurance.arkansas.gov/NPILookup?Npi=1992130777","1992130777")</f>
        <v>1992130777</v>
      </c>
      <c r="E16684" t="s">
        <v>18916</v>
      </c>
    </row>
    <row r="16685" spans="1:5" x14ac:dyDescent="0.25">
      <c r="A16685" t="s">
        <v>2</v>
      </c>
      <c r="B16685" t="s">
        <v>3458</v>
      </c>
      <c r="C16685" t="s">
        <v>23490</v>
      </c>
      <c r="D16685" t="str">
        <f>HYPERLINK("https://rhld.insurance.arkansas.gov/NPILookup?Npi=1992134597","1992134597")</f>
        <v>1992134597</v>
      </c>
      <c r="E16685" t="s">
        <v>15785</v>
      </c>
    </row>
    <row r="16686" spans="1:5" x14ac:dyDescent="0.25">
      <c r="A16686" t="s">
        <v>2</v>
      </c>
      <c r="B16686" t="s">
        <v>3458</v>
      </c>
      <c r="C16686" t="s">
        <v>23490</v>
      </c>
      <c r="D16686" t="str">
        <f>HYPERLINK("https://rhld.insurance.arkansas.gov/NPILookup?Npi=1992139976","1992139976")</f>
        <v>1992139976</v>
      </c>
      <c r="E16686" t="s">
        <v>15786</v>
      </c>
    </row>
    <row r="16687" spans="1:5" x14ac:dyDescent="0.25">
      <c r="A16687" t="s">
        <v>2</v>
      </c>
      <c r="B16687" t="s">
        <v>3458</v>
      </c>
      <c r="C16687" t="s">
        <v>23490</v>
      </c>
      <c r="D16687" t="str">
        <f>HYPERLINK("https://rhld.insurance.arkansas.gov/NPILookup?Npi=1992146088","1992146088")</f>
        <v>1992146088</v>
      </c>
      <c r="E16687" t="s">
        <v>20206</v>
      </c>
    </row>
    <row r="16688" spans="1:5" x14ac:dyDescent="0.25">
      <c r="A16688" t="s">
        <v>2</v>
      </c>
      <c r="B16688" t="s">
        <v>3458</v>
      </c>
      <c r="C16688" t="s">
        <v>23490</v>
      </c>
      <c r="D16688" t="str">
        <f>HYPERLINK("https://rhld.insurance.arkansas.gov/NPILookup?Npi=1992152284","1992152284")</f>
        <v>1992152284</v>
      </c>
      <c r="E16688" t="s">
        <v>15788</v>
      </c>
    </row>
    <row r="16689" spans="1:5" x14ac:dyDescent="0.25">
      <c r="A16689" t="s">
        <v>2</v>
      </c>
      <c r="B16689" t="s">
        <v>3458</v>
      </c>
      <c r="C16689" t="s">
        <v>23490</v>
      </c>
      <c r="D16689" t="str">
        <f>HYPERLINK("https://rhld.insurance.arkansas.gov/NPILookup?Npi=1992162523","1992162523")</f>
        <v>1992162523</v>
      </c>
      <c r="E16689" t="s">
        <v>3251</v>
      </c>
    </row>
    <row r="16690" spans="1:5" x14ac:dyDescent="0.25">
      <c r="A16690" t="s">
        <v>2</v>
      </c>
      <c r="B16690" t="s">
        <v>3458</v>
      </c>
      <c r="C16690" t="s">
        <v>23490</v>
      </c>
      <c r="D16690" t="str">
        <f>HYPERLINK("https://rhld.insurance.arkansas.gov/NPILookup?Npi=1992181051","1992181051")</f>
        <v>1992181051</v>
      </c>
      <c r="E16690" t="s">
        <v>18200</v>
      </c>
    </row>
    <row r="16691" spans="1:5" x14ac:dyDescent="0.25">
      <c r="A16691" t="s">
        <v>2</v>
      </c>
      <c r="B16691" t="s">
        <v>3458</v>
      </c>
      <c r="C16691" t="s">
        <v>23490</v>
      </c>
      <c r="D16691" t="str">
        <f>HYPERLINK("https://rhld.insurance.arkansas.gov/NPILookup?Npi=1992196778","1992196778")</f>
        <v>1992196778</v>
      </c>
      <c r="E16691" t="s">
        <v>15790</v>
      </c>
    </row>
    <row r="16692" spans="1:5" x14ac:dyDescent="0.25">
      <c r="A16692" t="s">
        <v>2</v>
      </c>
      <c r="B16692" t="s">
        <v>3458</v>
      </c>
      <c r="C16692" t="s">
        <v>23490</v>
      </c>
      <c r="D16692" t="str">
        <f>HYPERLINK("https://rhld.insurance.arkansas.gov/NPILookup?Npi=1992211510","1992211510")</f>
        <v>1992211510</v>
      </c>
      <c r="E16692" t="s">
        <v>8519</v>
      </c>
    </row>
    <row r="16693" spans="1:5" x14ac:dyDescent="0.25">
      <c r="A16693" t="s">
        <v>2</v>
      </c>
      <c r="B16693" t="s">
        <v>3458</v>
      </c>
      <c r="C16693" t="s">
        <v>23490</v>
      </c>
      <c r="D16693" t="str">
        <f>HYPERLINK("https://rhld.insurance.arkansas.gov/NPILookup?Npi=1992215354","1992215354")</f>
        <v>1992215354</v>
      </c>
      <c r="E16693" t="s">
        <v>12946</v>
      </c>
    </row>
    <row r="16694" spans="1:5" x14ac:dyDescent="0.25">
      <c r="A16694" t="s">
        <v>2</v>
      </c>
      <c r="B16694" t="s">
        <v>3458</v>
      </c>
      <c r="C16694" t="s">
        <v>23490</v>
      </c>
      <c r="D16694" t="str">
        <f>HYPERLINK("https://rhld.insurance.arkansas.gov/NPILookup?Npi=1992223473","1992223473")</f>
        <v>1992223473</v>
      </c>
      <c r="E16694" t="s">
        <v>15791</v>
      </c>
    </row>
    <row r="16695" spans="1:5" x14ac:dyDescent="0.25">
      <c r="A16695" t="s">
        <v>2</v>
      </c>
      <c r="B16695" t="s">
        <v>3458</v>
      </c>
      <c r="C16695" t="s">
        <v>23490</v>
      </c>
      <c r="D16695" t="str">
        <f>HYPERLINK("https://rhld.insurance.arkansas.gov/NPILookup?Npi=1992224950","1992224950")</f>
        <v>1992224950</v>
      </c>
      <c r="E16695" t="s">
        <v>17503</v>
      </c>
    </row>
    <row r="16696" spans="1:5" x14ac:dyDescent="0.25">
      <c r="A16696" t="s">
        <v>2</v>
      </c>
      <c r="B16696" t="s">
        <v>3458</v>
      </c>
      <c r="C16696" t="s">
        <v>23490</v>
      </c>
      <c r="D16696" t="str">
        <f>HYPERLINK("https://rhld.insurance.arkansas.gov/NPILookup?Npi=1992226153","1992226153")</f>
        <v>1992226153</v>
      </c>
      <c r="E16696" t="s">
        <v>13818</v>
      </c>
    </row>
    <row r="16697" spans="1:5" x14ac:dyDescent="0.25">
      <c r="A16697" t="s">
        <v>2</v>
      </c>
      <c r="B16697" t="s">
        <v>3458</v>
      </c>
      <c r="C16697" t="s">
        <v>23490</v>
      </c>
      <c r="D16697" t="str">
        <f>HYPERLINK("https://rhld.insurance.arkansas.gov/NPILookup?Npi=1992243166","1992243166")</f>
        <v>1992243166</v>
      </c>
      <c r="E16697" t="s">
        <v>17067</v>
      </c>
    </row>
    <row r="16698" spans="1:5" x14ac:dyDescent="0.25">
      <c r="A16698" t="s">
        <v>2</v>
      </c>
      <c r="B16698" t="s">
        <v>3458</v>
      </c>
      <c r="C16698" t="s">
        <v>23490</v>
      </c>
      <c r="D16698" t="str">
        <f>HYPERLINK("https://rhld.insurance.arkansas.gov/NPILookup?Npi=1992246938","1992246938")</f>
        <v>1992246938</v>
      </c>
      <c r="E16698" t="s">
        <v>11423</v>
      </c>
    </row>
    <row r="16699" spans="1:5" x14ac:dyDescent="0.25">
      <c r="A16699" t="s">
        <v>2</v>
      </c>
      <c r="B16699" t="s">
        <v>3458</v>
      </c>
      <c r="C16699" t="s">
        <v>23490</v>
      </c>
      <c r="D16699" t="str">
        <f>HYPERLINK("https://rhld.insurance.arkansas.gov/NPILookup?Npi=1992254239","1992254239")</f>
        <v>1992254239</v>
      </c>
      <c r="E16699" t="s">
        <v>15792</v>
      </c>
    </row>
    <row r="16700" spans="1:5" x14ac:dyDescent="0.25">
      <c r="A16700" t="s">
        <v>2</v>
      </c>
      <c r="B16700" t="s">
        <v>3458</v>
      </c>
      <c r="C16700" t="s">
        <v>23490</v>
      </c>
      <c r="D16700" t="str">
        <f>HYPERLINK("https://rhld.insurance.arkansas.gov/NPILookup?Npi=1992262802","1992262802")</f>
        <v>1992262802</v>
      </c>
      <c r="E16700" t="s">
        <v>20208</v>
      </c>
    </row>
    <row r="16701" spans="1:5" x14ac:dyDescent="0.25">
      <c r="A16701" t="s">
        <v>2</v>
      </c>
      <c r="B16701" t="s">
        <v>3458</v>
      </c>
      <c r="C16701" t="s">
        <v>23490</v>
      </c>
      <c r="D16701" t="str">
        <f>HYPERLINK("https://rhld.insurance.arkansas.gov/NPILookup?Npi=1992281935","1992281935")</f>
        <v>1992281935</v>
      </c>
      <c r="E16701" t="s">
        <v>18201</v>
      </c>
    </row>
    <row r="16702" spans="1:5" x14ac:dyDescent="0.25">
      <c r="A16702" t="s">
        <v>2</v>
      </c>
      <c r="B16702" t="s">
        <v>3458</v>
      </c>
      <c r="C16702" t="s">
        <v>23490</v>
      </c>
      <c r="D16702" t="str">
        <f>HYPERLINK("https://rhld.insurance.arkansas.gov/NPILookup?Npi=1992291520","1992291520")</f>
        <v>1992291520</v>
      </c>
      <c r="E16702" t="s">
        <v>17504</v>
      </c>
    </row>
    <row r="16703" spans="1:5" x14ac:dyDescent="0.25">
      <c r="A16703" t="s">
        <v>2</v>
      </c>
      <c r="B16703" t="s">
        <v>3458</v>
      </c>
      <c r="C16703" t="s">
        <v>23490</v>
      </c>
      <c r="D16703" t="str">
        <f>HYPERLINK("https://rhld.insurance.arkansas.gov/NPILookup?Npi=1992313225","1992313225")</f>
        <v>1992313225</v>
      </c>
      <c r="E16703" t="s">
        <v>18202</v>
      </c>
    </row>
    <row r="16704" spans="1:5" x14ac:dyDescent="0.25">
      <c r="A16704" t="s">
        <v>2</v>
      </c>
      <c r="B16704" t="s">
        <v>3458</v>
      </c>
      <c r="C16704" t="s">
        <v>23490</v>
      </c>
      <c r="D16704" t="str">
        <f>HYPERLINK("https://rhld.insurance.arkansas.gov/NPILookup?Npi=1992334700","1992334700")</f>
        <v>1992334700</v>
      </c>
      <c r="E16704" t="s">
        <v>21705</v>
      </c>
    </row>
    <row r="16705" spans="1:5" x14ac:dyDescent="0.25">
      <c r="A16705" t="s">
        <v>2</v>
      </c>
      <c r="B16705" t="s">
        <v>3458</v>
      </c>
      <c r="C16705" t="s">
        <v>23490</v>
      </c>
      <c r="D16705" t="str">
        <f>HYPERLINK("https://rhld.insurance.arkansas.gov/NPILookup?Npi=1992350193","1992350193")</f>
        <v>1992350193</v>
      </c>
      <c r="E16705" t="s">
        <v>18917</v>
      </c>
    </row>
    <row r="16706" spans="1:5" x14ac:dyDescent="0.25">
      <c r="A16706" t="s">
        <v>2</v>
      </c>
      <c r="B16706" t="s">
        <v>3458</v>
      </c>
      <c r="C16706" t="s">
        <v>23490</v>
      </c>
      <c r="D16706" t="str">
        <f>HYPERLINK("https://rhld.insurance.arkansas.gov/NPILookup?Npi=1992395966","1992395966")</f>
        <v>1992395966</v>
      </c>
      <c r="E16706" t="s">
        <v>20212</v>
      </c>
    </row>
    <row r="16707" spans="1:5" x14ac:dyDescent="0.25">
      <c r="A16707" t="s">
        <v>2</v>
      </c>
      <c r="B16707" t="s">
        <v>3458</v>
      </c>
      <c r="C16707" t="s">
        <v>23490</v>
      </c>
      <c r="D16707" t="str">
        <f>HYPERLINK("https://rhld.insurance.arkansas.gov/NPILookup?Npi=1992396915","1992396915")</f>
        <v>1992396915</v>
      </c>
      <c r="E16707" t="s">
        <v>18204</v>
      </c>
    </row>
    <row r="16708" spans="1:5" x14ac:dyDescent="0.25">
      <c r="A16708" t="s">
        <v>2</v>
      </c>
      <c r="B16708" t="s">
        <v>3458</v>
      </c>
      <c r="C16708" t="s">
        <v>23490</v>
      </c>
      <c r="D16708" t="str">
        <f>HYPERLINK("https://rhld.insurance.arkansas.gov/NPILookup?Npi=1992468201","1992468201")</f>
        <v>1992468201</v>
      </c>
      <c r="E16708" t="s">
        <v>20213</v>
      </c>
    </row>
    <row r="16709" spans="1:5" x14ac:dyDescent="0.25">
      <c r="A16709" t="s">
        <v>2</v>
      </c>
      <c r="B16709" t="s">
        <v>3458</v>
      </c>
      <c r="C16709" t="s">
        <v>8427</v>
      </c>
      <c r="D16709" t="str">
        <f>HYPERLINK("https://rhld.insurance.arkansas.gov/NPILookup?Npi=1992585459","1992585459")</f>
        <v>1992585459</v>
      </c>
      <c r="E16709" t="s">
        <v>18577</v>
      </c>
    </row>
    <row r="16710" spans="1:5" x14ac:dyDescent="0.25">
      <c r="A16710" t="s">
        <v>2</v>
      </c>
      <c r="B16710" t="s">
        <v>3458</v>
      </c>
      <c r="C16710" t="s">
        <v>23490</v>
      </c>
      <c r="D16710" t="str">
        <f>HYPERLINK("https://rhld.insurance.arkansas.gov/NPILookup?Npi=1992700587","1992700587")</f>
        <v>1992700587</v>
      </c>
      <c r="E16710" t="s">
        <v>8959</v>
      </c>
    </row>
    <row r="16711" spans="1:5" x14ac:dyDescent="0.25">
      <c r="A16711" t="s">
        <v>2</v>
      </c>
      <c r="B16711" t="s">
        <v>3458</v>
      </c>
      <c r="C16711" t="s">
        <v>23490</v>
      </c>
      <c r="D16711" t="str">
        <f>HYPERLINK("https://rhld.insurance.arkansas.gov/NPILookup?Npi=1992701965","1992701965")</f>
        <v>1992701965</v>
      </c>
      <c r="E16711" t="s">
        <v>4062</v>
      </c>
    </row>
    <row r="16712" spans="1:5" x14ac:dyDescent="0.25">
      <c r="A16712" t="s">
        <v>2</v>
      </c>
      <c r="B16712" t="s">
        <v>3458</v>
      </c>
      <c r="C16712" t="s">
        <v>23490</v>
      </c>
      <c r="D16712" t="str">
        <f>HYPERLINK("https://rhld.insurance.arkansas.gov/NPILookup?Npi=1992714505","1992714505")</f>
        <v>1992714505</v>
      </c>
      <c r="E16712" t="s">
        <v>3432</v>
      </c>
    </row>
    <row r="16713" spans="1:5" x14ac:dyDescent="0.25">
      <c r="A16713" t="s">
        <v>2</v>
      </c>
      <c r="B16713" t="s">
        <v>3458</v>
      </c>
      <c r="C16713" t="s">
        <v>23490</v>
      </c>
      <c r="D16713" t="str">
        <f>HYPERLINK("https://rhld.insurance.arkansas.gov/NPILookup?Npi=1992716948","1992716948")</f>
        <v>1992716948</v>
      </c>
      <c r="E16713" t="s">
        <v>20284</v>
      </c>
    </row>
    <row r="16714" spans="1:5" x14ac:dyDescent="0.25">
      <c r="A16714" t="s">
        <v>2</v>
      </c>
      <c r="B16714" t="s">
        <v>3458</v>
      </c>
      <c r="C16714" t="s">
        <v>23490</v>
      </c>
      <c r="D16714" t="str">
        <f>HYPERLINK("https://rhld.insurance.arkansas.gov/NPILookup?Npi=1992727374","1992727374")</f>
        <v>1992727374</v>
      </c>
      <c r="E16714" t="s">
        <v>15795</v>
      </c>
    </row>
    <row r="16715" spans="1:5" x14ac:dyDescent="0.25">
      <c r="A16715" t="s">
        <v>2</v>
      </c>
      <c r="B16715" t="s">
        <v>3458</v>
      </c>
      <c r="C16715" t="s">
        <v>23490</v>
      </c>
      <c r="D16715" t="str">
        <f>HYPERLINK("https://rhld.insurance.arkansas.gov/NPILookup?Npi=1992730873","1992730873")</f>
        <v>1992730873</v>
      </c>
      <c r="E16715" t="s">
        <v>11426</v>
      </c>
    </row>
    <row r="16716" spans="1:5" x14ac:dyDescent="0.25">
      <c r="A16716" t="s">
        <v>2</v>
      </c>
      <c r="B16716" t="s">
        <v>3458</v>
      </c>
      <c r="C16716" t="s">
        <v>23490</v>
      </c>
      <c r="D16716" t="str">
        <f>HYPERLINK("https://rhld.insurance.arkansas.gov/NPILookup?Npi=1992732580","1992732580")</f>
        <v>1992732580</v>
      </c>
      <c r="E16716" t="s">
        <v>4063</v>
      </c>
    </row>
    <row r="16717" spans="1:5" x14ac:dyDescent="0.25">
      <c r="A16717" t="s">
        <v>2</v>
      </c>
      <c r="B16717" t="s">
        <v>3458</v>
      </c>
      <c r="C16717" t="s">
        <v>23490</v>
      </c>
      <c r="D16717" t="str">
        <f>HYPERLINK("https://rhld.insurance.arkansas.gov/NPILookup?Npi=1992733422","1992733422")</f>
        <v>1992733422</v>
      </c>
      <c r="E16717" t="s">
        <v>3434</v>
      </c>
    </row>
    <row r="16718" spans="1:5" x14ac:dyDescent="0.25">
      <c r="A16718" t="s">
        <v>2</v>
      </c>
      <c r="B16718" t="s">
        <v>3458</v>
      </c>
      <c r="C16718" t="s">
        <v>23490</v>
      </c>
      <c r="D16718" t="str">
        <f>HYPERLINK("https://rhld.insurance.arkansas.gov/NPILookup?Npi=1992740260","1992740260")</f>
        <v>1992740260</v>
      </c>
      <c r="E16718" t="s">
        <v>15796</v>
      </c>
    </row>
    <row r="16719" spans="1:5" x14ac:dyDescent="0.25">
      <c r="A16719" t="s">
        <v>2</v>
      </c>
      <c r="B16719" t="s">
        <v>3458</v>
      </c>
      <c r="C16719" t="s">
        <v>23490</v>
      </c>
      <c r="D16719" t="str">
        <f>HYPERLINK("https://rhld.insurance.arkansas.gov/NPILookup?Npi=1992742522","1992742522")</f>
        <v>1992742522</v>
      </c>
      <c r="E16719" t="s">
        <v>3435</v>
      </c>
    </row>
    <row r="16720" spans="1:5" x14ac:dyDescent="0.25">
      <c r="A16720" t="s">
        <v>2</v>
      </c>
      <c r="B16720" t="s">
        <v>3458</v>
      </c>
      <c r="C16720" t="s">
        <v>23490</v>
      </c>
      <c r="D16720" t="str">
        <f>HYPERLINK("https://rhld.insurance.arkansas.gov/NPILookup?Npi=1992755367","1992755367")</f>
        <v>1992755367</v>
      </c>
      <c r="E16720" t="s">
        <v>3436</v>
      </c>
    </row>
    <row r="16721" spans="1:5" x14ac:dyDescent="0.25">
      <c r="A16721" t="s">
        <v>2</v>
      </c>
      <c r="B16721" t="s">
        <v>3458</v>
      </c>
      <c r="C16721" t="s">
        <v>23490</v>
      </c>
      <c r="D16721" t="str">
        <f>HYPERLINK("https://rhld.insurance.arkansas.gov/NPILookup?Npi=1992757884","1992757884")</f>
        <v>1992757884</v>
      </c>
      <c r="E16721" t="s">
        <v>4064</v>
      </c>
    </row>
    <row r="16722" spans="1:5" x14ac:dyDescent="0.25">
      <c r="A16722" t="s">
        <v>2</v>
      </c>
      <c r="B16722" t="s">
        <v>3458</v>
      </c>
      <c r="C16722" t="s">
        <v>23490</v>
      </c>
      <c r="D16722" t="str">
        <f>HYPERLINK("https://rhld.insurance.arkansas.gov/NPILookup?Npi=1992758387","1992758387")</f>
        <v>1992758387</v>
      </c>
      <c r="E16722" t="s">
        <v>3437</v>
      </c>
    </row>
    <row r="16723" spans="1:5" x14ac:dyDescent="0.25">
      <c r="A16723" t="s">
        <v>2</v>
      </c>
      <c r="B16723" t="s">
        <v>3458</v>
      </c>
      <c r="C16723" t="s">
        <v>23490</v>
      </c>
      <c r="D16723" t="str">
        <f>HYPERLINK("https://rhld.insurance.arkansas.gov/NPILookup?Npi=1992758775","1992758775")</f>
        <v>1992758775</v>
      </c>
      <c r="E16723" t="s">
        <v>15797</v>
      </c>
    </row>
    <row r="16724" spans="1:5" x14ac:dyDescent="0.25">
      <c r="A16724" t="s">
        <v>2</v>
      </c>
      <c r="B16724" t="s">
        <v>3458</v>
      </c>
      <c r="C16724" t="s">
        <v>23490</v>
      </c>
      <c r="D16724" t="str">
        <f>HYPERLINK("https://rhld.insurance.arkansas.gov/NPILookup?Npi=1992761555","1992761555")</f>
        <v>1992761555</v>
      </c>
      <c r="E16724" t="s">
        <v>3438</v>
      </c>
    </row>
    <row r="16725" spans="1:5" x14ac:dyDescent="0.25">
      <c r="A16725" t="s">
        <v>2</v>
      </c>
      <c r="B16725" t="s">
        <v>3458</v>
      </c>
      <c r="C16725" t="s">
        <v>23490</v>
      </c>
      <c r="D16725" t="str">
        <f>HYPERLINK("https://rhld.insurance.arkansas.gov/NPILookup?Npi=1992761860","1992761860")</f>
        <v>1992761860</v>
      </c>
      <c r="E16725" t="s">
        <v>3439</v>
      </c>
    </row>
    <row r="16726" spans="1:5" x14ac:dyDescent="0.25">
      <c r="A16726" t="s">
        <v>2</v>
      </c>
      <c r="B16726" t="s">
        <v>3458</v>
      </c>
      <c r="C16726" t="s">
        <v>23490</v>
      </c>
      <c r="D16726" t="str">
        <f>HYPERLINK("https://rhld.insurance.arkansas.gov/NPILookup?Npi=1992762504","1992762504")</f>
        <v>1992762504</v>
      </c>
      <c r="E16726" t="s">
        <v>13819</v>
      </c>
    </row>
    <row r="16727" spans="1:5" x14ac:dyDescent="0.25">
      <c r="A16727" t="s">
        <v>2</v>
      </c>
      <c r="B16727" t="s">
        <v>3458</v>
      </c>
      <c r="C16727" t="s">
        <v>23490</v>
      </c>
      <c r="D16727" t="str">
        <f>HYPERLINK("https://rhld.insurance.arkansas.gov/NPILookup?Npi=1992763734","1992763734")</f>
        <v>1992763734</v>
      </c>
      <c r="E16727" t="s">
        <v>3440</v>
      </c>
    </row>
    <row r="16728" spans="1:5" x14ac:dyDescent="0.25">
      <c r="A16728" t="s">
        <v>2</v>
      </c>
      <c r="B16728" t="s">
        <v>3458</v>
      </c>
      <c r="C16728" t="s">
        <v>23490</v>
      </c>
      <c r="D16728" t="str">
        <f>HYPERLINK("https://rhld.insurance.arkansas.gov/NPILookup?Npi=1992764518","1992764518")</f>
        <v>1992764518</v>
      </c>
      <c r="E16728" t="s">
        <v>3442</v>
      </c>
    </row>
    <row r="16729" spans="1:5" x14ac:dyDescent="0.25">
      <c r="A16729" t="s">
        <v>2</v>
      </c>
      <c r="B16729" t="s">
        <v>3458</v>
      </c>
      <c r="C16729" t="s">
        <v>23490</v>
      </c>
      <c r="D16729" t="str">
        <f>HYPERLINK("https://rhld.insurance.arkansas.gov/NPILookup?Npi=1992765010","1992765010")</f>
        <v>1992765010</v>
      </c>
      <c r="E16729" t="s">
        <v>3443</v>
      </c>
    </row>
    <row r="16730" spans="1:5" x14ac:dyDescent="0.25">
      <c r="A16730" t="s">
        <v>2</v>
      </c>
      <c r="B16730" t="s">
        <v>3458</v>
      </c>
      <c r="C16730" t="s">
        <v>23490</v>
      </c>
      <c r="D16730" t="str">
        <f>HYPERLINK("https://rhld.insurance.arkansas.gov/NPILookup?Npi=1992767792","1992767792")</f>
        <v>1992767792</v>
      </c>
      <c r="E16730" t="s">
        <v>3444</v>
      </c>
    </row>
    <row r="16731" spans="1:5" x14ac:dyDescent="0.25">
      <c r="A16731" t="s">
        <v>2</v>
      </c>
      <c r="B16731" t="s">
        <v>3458</v>
      </c>
      <c r="C16731" t="s">
        <v>23490</v>
      </c>
      <c r="D16731" t="str">
        <f>HYPERLINK("https://rhld.insurance.arkansas.gov/NPILookup?Npi=1992768105","1992768105")</f>
        <v>1992768105</v>
      </c>
      <c r="E16731" t="s">
        <v>3445</v>
      </c>
    </row>
    <row r="16732" spans="1:5" x14ac:dyDescent="0.25">
      <c r="A16732" t="s">
        <v>2</v>
      </c>
      <c r="B16732" t="s">
        <v>3458</v>
      </c>
      <c r="C16732" t="s">
        <v>23490</v>
      </c>
      <c r="D16732" t="str">
        <f>HYPERLINK("https://rhld.insurance.arkansas.gov/NPILookup?Npi=1992769426","1992769426")</f>
        <v>1992769426</v>
      </c>
      <c r="E16732" t="s">
        <v>3446</v>
      </c>
    </row>
    <row r="16733" spans="1:5" x14ac:dyDescent="0.25">
      <c r="A16733" t="s">
        <v>2</v>
      </c>
      <c r="B16733" t="s">
        <v>3458</v>
      </c>
      <c r="C16733" t="s">
        <v>23490</v>
      </c>
      <c r="D16733" t="str">
        <f>HYPERLINK("https://rhld.insurance.arkansas.gov/NPILookup?Npi=1992775100","1992775100")</f>
        <v>1992775100</v>
      </c>
      <c r="E16733" t="s">
        <v>3447</v>
      </c>
    </row>
    <row r="16734" spans="1:5" x14ac:dyDescent="0.25">
      <c r="A16734" t="s">
        <v>2</v>
      </c>
      <c r="B16734" t="s">
        <v>3458</v>
      </c>
      <c r="C16734" t="s">
        <v>23490</v>
      </c>
      <c r="D16734" t="str">
        <f>HYPERLINK("https://rhld.insurance.arkansas.gov/NPILookup?Npi=1992775878","1992775878")</f>
        <v>1992775878</v>
      </c>
      <c r="E16734" t="s">
        <v>3448</v>
      </c>
    </row>
    <row r="16735" spans="1:5" x14ac:dyDescent="0.25">
      <c r="A16735" t="s">
        <v>2</v>
      </c>
      <c r="B16735" t="s">
        <v>3458</v>
      </c>
      <c r="C16735" t="s">
        <v>23490</v>
      </c>
      <c r="D16735" t="str">
        <f>HYPERLINK("https://rhld.insurance.arkansas.gov/NPILookup?Npi=1992781264","1992781264")</f>
        <v>1992781264</v>
      </c>
      <c r="E16735" t="s">
        <v>3449</v>
      </c>
    </row>
    <row r="16736" spans="1:5" x14ac:dyDescent="0.25">
      <c r="A16736" t="s">
        <v>2</v>
      </c>
      <c r="B16736" t="s">
        <v>3458</v>
      </c>
      <c r="C16736" t="s">
        <v>23490</v>
      </c>
      <c r="D16736" t="str">
        <f>HYPERLINK("https://rhld.insurance.arkansas.gov/NPILookup?Npi=1992785802","1992785802")</f>
        <v>1992785802</v>
      </c>
      <c r="E16736" t="s">
        <v>3450</v>
      </c>
    </row>
    <row r="16737" spans="1:5" x14ac:dyDescent="0.25">
      <c r="A16737" t="s">
        <v>2</v>
      </c>
      <c r="B16737" t="s">
        <v>3458</v>
      </c>
      <c r="C16737" t="s">
        <v>23490</v>
      </c>
      <c r="D16737" t="str">
        <f>HYPERLINK("https://rhld.insurance.arkansas.gov/NPILookup?Npi=1992793293","1992793293")</f>
        <v>1992793293</v>
      </c>
      <c r="E16737" t="s">
        <v>1193</v>
      </c>
    </row>
    <row r="16738" spans="1:5" x14ac:dyDescent="0.25">
      <c r="A16738" t="s">
        <v>2</v>
      </c>
      <c r="B16738" t="s">
        <v>3458</v>
      </c>
      <c r="C16738" t="s">
        <v>23490</v>
      </c>
      <c r="D16738" t="str">
        <f>HYPERLINK("https://rhld.insurance.arkansas.gov/NPILookup?Npi=1992842595","1992842595")</f>
        <v>1992842595</v>
      </c>
      <c r="E16738" t="s">
        <v>3452</v>
      </c>
    </row>
    <row r="16739" spans="1:5" x14ac:dyDescent="0.25">
      <c r="A16739" t="s">
        <v>2</v>
      </c>
      <c r="B16739" t="s">
        <v>3458</v>
      </c>
      <c r="C16739" t="s">
        <v>23490</v>
      </c>
      <c r="D16739" t="str">
        <f>HYPERLINK("https://rhld.insurance.arkansas.gov/NPILookup?Npi=1992842785","1992842785")</f>
        <v>1992842785</v>
      </c>
      <c r="E16739" t="s">
        <v>3453</v>
      </c>
    </row>
    <row r="16740" spans="1:5" x14ac:dyDescent="0.25">
      <c r="A16740" t="s">
        <v>2</v>
      </c>
      <c r="B16740" t="s">
        <v>3458</v>
      </c>
      <c r="C16740" t="s">
        <v>23490</v>
      </c>
      <c r="D16740" t="str">
        <f>HYPERLINK("https://rhld.insurance.arkansas.gov/NPILookup?Npi=1992843809","1992843809")</f>
        <v>1992843809</v>
      </c>
      <c r="E16740" t="s">
        <v>3454</v>
      </c>
    </row>
    <row r="16741" spans="1:5" x14ac:dyDescent="0.25">
      <c r="A16741" t="s">
        <v>2</v>
      </c>
      <c r="B16741" t="s">
        <v>3458</v>
      </c>
      <c r="C16741" t="s">
        <v>23490</v>
      </c>
      <c r="D16741" t="str">
        <f>HYPERLINK("https://rhld.insurance.arkansas.gov/NPILookup?Npi=1992848816","1992848816")</f>
        <v>1992848816</v>
      </c>
      <c r="E16741" t="s">
        <v>11427</v>
      </c>
    </row>
    <row r="16742" spans="1:5" x14ac:dyDescent="0.25">
      <c r="A16742" t="s">
        <v>2</v>
      </c>
      <c r="B16742" t="s">
        <v>3458</v>
      </c>
      <c r="C16742" t="s">
        <v>23490</v>
      </c>
      <c r="D16742" t="str">
        <f>HYPERLINK("https://rhld.insurance.arkansas.gov/NPILookup?Npi=1992909196","1992909196")</f>
        <v>1992909196</v>
      </c>
      <c r="E16742" t="s">
        <v>4065</v>
      </c>
    </row>
    <row r="16743" spans="1:5" x14ac:dyDescent="0.25">
      <c r="A16743" t="s">
        <v>2</v>
      </c>
      <c r="B16743" t="s">
        <v>3458</v>
      </c>
      <c r="C16743" t="s">
        <v>23490</v>
      </c>
      <c r="D16743" t="str">
        <f>HYPERLINK("https://rhld.insurance.arkansas.gov/NPILookup?Npi=1992919054","1992919054")</f>
        <v>1992919054</v>
      </c>
      <c r="E16743" t="s">
        <v>3456</v>
      </c>
    </row>
    <row r="16744" spans="1:5" x14ac:dyDescent="0.25">
      <c r="A16744" t="s">
        <v>2</v>
      </c>
      <c r="B16744" t="s">
        <v>3458</v>
      </c>
      <c r="C16744" t="s">
        <v>23490</v>
      </c>
      <c r="D16744" t="str">
        <f>HYPERLINK("https://rhld.insurance.arkansas.gov/NPILookup?Npi=1992962401","1992962401")</f>
        <v>1992962401</v>
      </c>
      <c r="E16744" t="s">
        <v>13052</v>
      </c>
    </row>
    <row r="16745" spans="1:5" x14ac:dyDescent="0.25">
      <c r="A16745" t="s">
        <v>2</v>
      </c>
      <c r="B16745" t="s">
        <v>3458</v>
      </c>
      <c r="C16745" t="s">
        <v>23490</v>
      </c>
      <c r="D16745" t="str">
        <f>HYPERLINK("https://rhld.insurance.arkansas.gov/NPILookup?Npi=1992964399","1992964399")</f>
        <v>1992964399</v>
      </c>
      <c r="E16745" t="s">
        <v>3457</v>
      </c>
    </row>
    <row r="16746" spans="1:5" x14ac:dyDescent="0.25">
      <c r="A16746" t="s">
        <v>2</v>
      </c>
      <c r="B16746" t="s">
        <v>3458</v>
      </c>
      <c r="C16746" t="s">
        <v>23490</v>
      </c>
      <c r="D16746" t="str">
        <f>HYPERLINK("https://rhld.insurance.arkansas.gov/NPILookup?Npi=1992973739","1992973739")</f>
        <v>1992973739</v>
      </c>
      <c r="E16746" t="s">
        <v>11428</v>
      </c>
    </row>
    <row r="16747" spans="1:5" x14ac:dyDescent="0.25">
      <c r="A16747" t="s">
        <v>3</v>
      </c>
      <c r="B16747" t="s">
        <v>4066</v>
      </c>
      <c r="C16747" t="s">
        <v>23490</v>
      </c>
      <c r="D16747" t="str">
        <f>HYPERLINK("https://rhld.insurance.arkansas.gov/NPILookup?Npi=1003401340","1003401340")</f>
        <v>1003401340</v>
      </c>
      <c r="E16747" t="s">
        <v>19240</v>
      </c>
    </row>
    <row r="16748" spans="1:5" x14ac:dyDescent="0.25">
      <c r="A16748" t="s">
        <v>3</v>
      </c>
      <c r="B16748" t="s">
        <v>4066</v>
      </c>
      <c r="C16748" t="s">
        <v>23490</v>
      </c>
      <c r="D16748" t="str">
        <f>HYPERLINK("https://rhld.insurance.arkansas.gov/NPILookup?Npi=1003461955","1003461955")</f>
        <v>1003461955</v>
      </c>
      <c r="E16748" t="s">
        <v>17520</v>
      </c>
    </row>
    <row r="16749" spans="1:5" x14ac:dyDescent="0.25">
      <c r="A16749" t="s">
        <v>3</v>
      </c>
      <c r="B16749" t="s">
        <v>4066</v>
      </c>
      <c r="C16749" t="s">
        <v>23490</v>
      </c>
      <c r="D16749" t="str">
        <f>HYPERLINK("https://rhld.insurance.arkansas.gov/NPILookup?Npi=1023363348","1023363348")</f>
        <v>1023363348</v>
      </c>
      <c r="E16749" t="s">
        <v>7512</v>
      </c>
    </row>
    <row r="16750" spans="1:5" x14ac:dyDescent="0.25">
      <c r="A16750" t="s">
        <v>3</v>
      </c>
      <c r="B16750" t="s">
        <v>4066</v>
      </c>
      <c r="C16750" t="s">
        <v>23490</v>
      </c>
      <c r="D16750" t="str">
        <f>HYPERLINK("https://rhld.insurance.arkansas.gov/NPILookup?Npi=1043240682","1043240682")</f>
        <v>1043240682</v>
      </c>
      <c r="E16750" t="s">
        <v>4080</v>
      </c>
    </row>
    <row r="16751" spans="1:5" x14ac:dyDescent="0.25">
      <c r="A16751" t="s">
        <v>3</v>
      </c>
      <c r="B16751" t="s">
        <v>4066</v>
      </c>
      <c r="C16751" t="s">
        <v>23490</v>
      </c>
      <c r="D16751" t="str">
        <f>HYPERLINK("https://rhld.insurance.arkansas.gov/NPILookup?Npi=1063407138","1063407138")</f>
        <v>1063407138</v>
      </c>
      <c r="E16751" t="s">
        <v>7517</v>
      </c>
    </row>
    <row r="16752" spans="1:5" x14ac:dyDescent="0.25">
      <c r="A16752" t="s">
        <v>3</v>
      </c>
      <c r="B16752" t="s">
        <v>4066</v>
      </c>
      <c r="C16752" t="s">
        <v>23490</v>
      </c>
      <c r="D16752" t="str">
        <f>HYPERLINK("https://rhld.insurance.arkansas.gov/NPILookup?Npi=1063415800","1063415800")</f>
        <v>1063415800</v>
      </c>
      <c r="E16752" t="s">
        <v>4067</v>
      </c>
    </row>
    <row r="16753" spans="1:5" x14ac:dyDescent="0.25">
      <c r="A16753" t="s">
        <v>3</v>
      </c>
      <c r="B16753" t="s">
        <v>4066</v>
      </c>
      <c r="C16753" t="s">
        <v>23490</v>
      </c>
      <c r="D16753" t="str">
        <f>HYPERLINK("https://rhld.insurance.arkansas.gov/NPILookup?Npi=1063431294","1063431294")</f>
        <v>1063431294</v>
      </c>
      <c r="E16753" t="s">
        <v>4068</v>
      </c>
    </row>
    <row r="16754" spans="1:5" x14ac:dyDescent="0.25">
      <c r="A16754" t="s">
        <v>3</v>
      </c>
      <c r="B16754" t="s">
        <v>4066</v>
      </c>
      <c r="C16754" t="s">
        <v>23490</v>
      </c>
      <c r="D16754" t="str">
        <f>HYPERLINK("https://rhld.insurance.arkansas.gov/NPILookup?Npi=1063482735","1063482735")</f>
        <v>1063482735</v>
      </c>
      <c r="E16754" t="s">
        <v>4069</v>
      </c>
    </row>
    <row r="16755" spans="1:5" x14ac:dyDescent="0.25">
      <c r="A16755" t="s">
        <v>3</v>
      </c>
      <c r="B16755" t="s">
        <v>4066</v>
      </c>
      <c r="C16755" t="s">
        <v>23490</v>
      </c>
      <c r="D16755" t="str">
        <f>HYPERLINK("https://rhld.insurance.arkansas.gov/NPILookup?Npi=1063551265","1063551265")</f>
        <v>1063551265</v>
      </c>
      <c r="E16755" t="s">
        <v>4070</v>
      </c>
    </row>
    <row r="16756" spans="1:5" x14ac:dyDescent="0.25">
      <c r="A16756" t="s">
        <v>3</v>
      </c>
      <c r="B16756" t="s">
        <v>4066</v>
      </c>
      <c r="C16756" t="s">
        <v>23490</v>
      </c>
      <c r="D16756" t="str">
        <f>HYPERLINK("https://rhld.insurance.arkansas.gov/NPILookup?Npi=1063700243","1063700243")</f>
        <v>1063700243</v>
      </c>
      <c r="E16756" t="s">
        <v>6444</v>
      </c>
    </row>
    <row r="16757" spans="1:5" x14ac:dyDescent="0.25">
      <c r="A16757" t="s">
        <v>3</v>
      </c>
      <c r="B16757" t="s">
        <v>4066</v>
      </c>
      <c r="C16757" t="s">
        <v>23490</v>
      </c>
      <c r="D16757" t="str">
        <f>HYPERLINK("https://rhld.insurance.arkansas.gov/NPILookup?Npi=1073518593","1073518593")</f>
        <v>1073518593</v>
      </c>
      <c r="E16757" t="s">
        <v>4071</v>
      </c>
    </row>
    <row r="16758" spans="1:5" x14ac:dyDescent="0.25">
      <c r="A16758" t="s">
        <v>3</v>
      </c>
      <c r="B16758" t="s">
        <v>4066</v>
      </c>
      <c r="C16758" t="s">
        <v>23490</v>
      </c>
      <c r="D16758" t="str">
        <f>HYPERLINK("https://rhld.insurance.arkansas.gov/NPILookup?Npi=1083609150","1083609150")</f>
        <v>1083609150</v>
      </c>
      <c r="E16758" t="s">
        <v>7517</v>
      </c>
    </row>
    <row r="16759" spans="1:5" x14ac:dyDescent="0.25">
      <c r="A16759" t="s">
        <v>3</v>
      </c>
      <c r="B16759" t="s">
        <v>4066</v>
      </c>
      <c r="C16759" t="s">
        <v>23490</v>
      </c>
      <c r="D16759" t="str">
        <f>HYPERLINK("https://rhld.insurance.arkansas.gov/NPILookup?Npi=1083634596","1083634596")</f>
        <v>1083634596</v>
      </c>
      <c r="E16759" t="s">
        <v>17081</v>
      </c>
    </row>
    <row r="16760" spans="1:5" x14ac:dyDescent="0.25">
      <c r="A16760" t="s">
        <v>3</v>
      </c>
      <c r="B16760" t="s">
        <v>4066</v>
      </c>
      <c r="C16760" t="s">
        <v>23490</v>
      </c>
      <c r="D16760" t="str">
        <f>HYPERLINK("https://rhld.insurance.arkansas.gov/NPILookup?Npi=1083655757","1083655757")</f>
        <v>1083655757</v>
      </c>
      <c r="E16760" t="s">
        <v>4072</v>
      </c>
    </row>
    <row r="16761" spans="1:5" x14ac:dyDescent="0.25">
      <c r="A16761" t="s">
        <v>3</v>
      </c>
      <c r="B16761" t="s">
        <v>4066</v>
      </c>
      <c r="C16761" t="s">
        <v>23490</v>
      </c>
      <c r="D16761" t="str">
        <f>HYPERLINK("https://rhld.insurance.arkansas.gov/NPILookup?Npi=1083687651","1083687651")</f>
        <v>1083687651</v>
      </c>
      <c r="E16761" t="s">
        <v>4073</v>
      </c>
    </row>
    <row r="16762" spans="1:5" x14ac:dyDescent="0.25">
      <c r="A16762" t="s">
        <v>3</v>
      </c>
      <c r="B16762" t="s">
        <v>4066</v>
      </c>
      <c r="C16762" t="s">
        <v>23490</v>
      </c>
      <c r="D16762" t="str">
        <f>HYPERLINK("https://rhld.insurance.arkansas.gov/NPILookup?Npi=1083718241","1083718241")</f>
        <v>1083718241</v>
      </c>
      <c r="E16762" t="s">
        <v>7588</v>
      </c>
    </row>
    <row r="16763" spans="1:5" x14ac:dyDescent="0.25">
      <c r="A16763" t="s">
        <v>3</v>
      </c>
      <c r="B16763" t="s">
        <v>4066</v>
      </c>
      <c r="C16763" t="s">
        <v>23490</v>
      </c>
      <c r="D16763" t="str">
        <f>HYPERLINK("https://rhld.insurance.arkansas.gov/NPILookup?Npi=1083778302","1083778302")</f>
        <v>1083778302</v>
      </c>
      <c r="E16763" t="s">
        <v>4074</v>
      </c>
    </row>
    <row r="16764" spans="1:5" x14ac:dyDescent="0.25">
      <c r="A16764" t="s">
        <v>3</v>
      </c>
      <c r="B16764" t="s">
        <v>4066</v>
      </c>
      <c r="C16764" t="s">
        <v>23490</v>
      </c>
      <c r="D16764" t="str">
        <f>HYPERLINK("https://rhld.insurance.arkansas.gov/NPILookup?Npi=1093785859","1093785859")</f>
        <v>1093785859</v>
      </c>
      <c r="E16764" t="s">
        <v>4075</v>
      </c>
    </row>
    <row r="16765" spans="1:5" x14ac:dyDescent="0.25">
      <c r="A16765" t="s">
        <v>3</v>
      </c>
      <c r="B16765" t="s">
        <v>4066</v>
      </c>
      <c r="C16765" t="s">
        <v>23490</v>
      </c>
      <c r="D16765" t="str">
        <f>HYPERLINK("https://rhld.insurance.arkansas.gov/NPILookup?Npi=1104884006","1104884006")</f>
        <v>1104884006</v>
      </c>
      <c r="E16765" t="s">
        <v>4076</v>
      </c>
    </row>
    <row r="16766" spans="1:5" x14ac:dyDescent="0.25">
      <c r="A16766" t="s">
        <v>3</v>
      </c>
      <c r="B16766" t="s">
        <v>4066</v>
      </c>
      <c r="C16766" t="s">
        <v>23490</v>
      </c>
      <c r="D16766" t="str">
        <f>HYPERLINK("https://rhld.insurance.arkansas.gov/NPILookup?Npi=1114365988","1114365988")</f>
        <v>1114365988</v>
      </c>
      <c r="E16766" t="s">
        <v>11491</v>
      </c>
    </row>
    <row r="16767" spans="1:5" x14ac:dyDescent="0.25">
      <c r="A16767" t="s">
        <v>3</v>
      </c>
      <c r="B16767" t="s">
        <v>4066</v>
      </c>
      <c r="C16767" t="s">
        <v>23490</v>
      </c>
      <c r="D16767" t="str">
        <f>HYPERLINK("https://rhld.insurance.arkansas.gov/NPILookup?Npi=1114903523","1114903523")</f>
        <v>1114903523</v>
      </c>
      <c r="E16767" t="s">
        <v>7518</v>
      </c>
    </row>
    <row r="16768" spans="1:5" x14ac:dyDescent="0.25">
      <c r="A16768" t="s">
        <v>3</v>
      </c>
      <c r="B16768" t="s">
        <v>4066</v>
      </c>
      <c r="C16768" t="s">
        <v>23490</v>
      </c>
      <c r="D16768" t="str">
        <f>HYPERLINK("https://rhld.insurance.arkansas.gov/NPILookup?Npi=1124021811","1124021811")</f>
        <v>1124021811</v>
      </c>
      <c r="E16768" t="s">
        <v>7519</v>
      </c>
    </row>
    <row r="16769" spans="1:5" x14ac:dyDescent="0.25">
      <c r="A16769" t="s">
        <v>3</v>
      </c>
      <c r="B16769" t="s">
        <v>4066</v>
      </c>
      <c r="C16769" t="s">
        <v>23490</v>
      </c>
      <c r="D16769" t="str">
        <f>HYPERLINK("https://rhld.insurance.arkansas.gov/NPILookup?Npi=1124144563","1124144563")</f>
        <v>1124144563</v>
      </c>
      <c r="E16769" t="s">
        <v>4077</v>
      </c>
    </row>
    <row r="16770" spans="1:5" x14ac:dyDescent="0.25">
      <c r="A16770" t="s">
        <v>3</v>
      </c>
      <c r="B16770" t="s">
        <v>4066</v>
      </c>
      <c r="C16770" t="s">
        <v>23490</v>
      </c>
      <c r="D16770" t="str">
        <f>HYPERLINK("https://rhld.insurance.arkansas.gov/NPILookup?Npi=1134116049","1134116049")</f>
        <v>1134116049</v>
      </c>
      <c r="E16770" t="s">
        <v>4081</v>
      </c>
    </row>
    <row r="16771" spans="1:5" x14ac:dyDescent="0.25">
      <c r="A16771" t="s">
        <v>3</v>
      </c>
      <c r="B16771" t="s">
        <v>4066</v>
      </c>
      <c r="C16771" t="s">
        <v>23490</v>
      </c>
      <c r="D16771" t="str">
        <f>HYPERLINK("https://rhld.insurance.arkansas.gov/NPILookup?Npi=1134305436","1134305436")</f>
        <v>1134305436</v>
      </c>
      <c r="E16771" t="s">
        <v>13885</v>
      </c>
    </row>
    <row r="16772" spans="1:5" x14ac:dyDescent="0.25">
      <c r="A16772" t="s">
        <v>3</v>
      </c>
      <c r="B16772" t="s">
        <v>4066</v>
      </c>
      <c r="C16772" t="s">
        <v>23490</v>
      </c>
      <c r="D16772" t="str">
        <f>HYPERLINK("https://rhld.insurance.arkansas.gov/NPILookup?Npi=1134521685","1134521685")</f>
        <v>1134521685</v>
      </c>
      <c r="E16772" t="s">
        <v>11492</v>
      </c>
    </row>
    <row r="16773" spans="1:5" x14ac:dyDescent="0.25">
      <c r="A16773" t="s">
        <v>3</v>
      </c>
      <c r="B16773" t="s">
        <v>4066</v>
      </c>
      <c r="C16773" t="s">
        <v>23490</v>
      </c>
      <c r="D16773" t="str">
        <f>HYPERLINK("https://rhld.insurance.arkansas.gov/NPILookup?Npi=1134879208","1134879208")</f>
        <v>1134879208</v>
      </c>
      <c r="E16773" t="s">
        <v>6270</v>
      </c>
    </row>
    <row r="16774" spans="1:5" x14ac:dyDescent="0.25">
      <c r="A16774" t="s">
        <v>3</v>
      </c>
      <c r="B16774" t="s">
        <v>4066</v>
      </c>
      <c r="C16774" t="s">
        <v>23490</v>
      </c>
      <c r="D16774" t="str">
        <f>HYPERLINK("https://rhld.insurance.arkansas.gov/NPILookup?Npi=1154894954","1154894954")</f>
        <v>1154894954</v>
      </c>
      <c r="E16774" t="s">
        <v>21090</v>
      </c>
    </row>
    <row r="16775" spans="1:5" x14ac:dyDescent="0.25">
      <c r="A16775" t="s">
        <v>3</v>
      </c>
      <c r="B16775" t="s">
        <v>4066</v>
      </c>
      <c r="C16775" t="s">
        <v>23490</v>
      </c>
      <c r="D16775" t="str">
        <f>HYPERLINK("https://rhld.insurance.arkansas.gov/NPILookup?Npi=1164779989","1164779989")</f>
        <v>1164779989</v>
      </c>
      <c r="E16775" t="s">
        <v>7603</v>
      </c>
    </row>
    <row r="16776" spans="1:5" x14ac:dyDescent="0.25">
      <c r="A16776" t="s">
        <v>3</v>
      </c>
      <c r="B16776" t="s">
        <v>4066</v>
      </c>
      <c r="C16776" t="s">
        <v>23490</v>
      </c>
      <c r="D16776" t="str">
        <f>HYPERLINK("https://rhld.insurance.arkansas.gov/NPILookup?Npi=1174252985","1174252985")</f>
        <v>1174252985</v>
      </c>
      <c r="E16776" t="s">
        <v>17520</v>
      </c>
    </row>
    <row r="16777" spans="1:5" x14ac:dyDescent="0.25">
      <c r="A16777" t="s">
        <v>3</v>
      </c>
      <c r="B16777" t="s">
        <v>4066</v>
      </c>
      <c r="C16777" t="s">
        <v>23490</v>
      </c>
      <c r="D16777" t="str">
        <f>HYPERLINK("https://rhld.insurance.arkansas.gov/NPILookup?Npi=1184629594","1184629594")</f>
        <v>1184629594</v>
      </c>
      <c r="E16777" t="s">
        <v>20285</v>
      </c>
    </row>
    <row r="16778" spans="1:5" x14ac:dyDescent="0.25">
      <c r="A16778" t="s">
        <v>3</v>
      </c>
      <c r="B16778" t="s">
        <v>4066</v>
      </c>
      <c r="C16778" t="s">
        <v>23490</v>
      </c>
      <c r="D16778" t="str">
        <f>HYPERLINK("https://rhld.insurance.arkansas.gov/NPILookup?Npi=1184997447","1184997447")</f>
        <v>1184997447</v>
      </c>
      <c r="E16778" t="s">
        <v>4078</v>
      </c>
    </row>
    <row r="16779" spans="1:5" x14ac:dyDescent="0.25">
      <c r="A16779" t="s">
        <v>3</v>
      </c>
      <c r="B16779" t="s">
        <v>4066</v>
      </c>
      <c r="C16779" t="s">
        <v>23490</v>
      </c>
      <c r="D16779" t="str">
        <f>HYPERLINK("https://rhld.insurance.arkansas.gov/NPILookup?Npi=1194482034","1194482034")</f>
        <v>1194482034</v>
      </c>
      <c r="E16779" t="s">
        <v>21766</v>
      </c>
    </row>
    <row r="16780" spans="1:5" x14ac:dyDescent="0.25">
      <c r="A16780" t="s">
        <v>3</v>
      </c>
      <c r="B16780" t="s">
        <v>4066</v>
      </c>
      <c r="C16780" t="s">
        <v>23490</v>
      </c>
      <c r="D16780" t="str">
        <f>HYPERLINK("https://rhld.insurance.arkansas.gov/NPILookup?Npi=1194741611","1194741611")</f>
        <v>1194741611</v>
      </c>
      <c r="E16780" t="s">
        <v>4079</v>
      </c>
    </row>
    <row r="16781" spans="1:5" x14ac:dyDescent="0.25">
      <c r="A16781" t="s">
        <v>3</v>
      </c>
      <c r="B16781" t="s">
        <v>4066</v>
      </c>
      <c r="C16781" t="s">
        <v>23490</v>
      </c>
      <c r="D16781" t="str">
        <f>HYPERLINK("https://rhld.insurance.arkansas.gov/NPILookup?Npi=1194758953","1194758953")</f>
        <v>1194758953</v>
      </c>
      <c r="E16781" t="s">
        <v>4077</v>
      </c>
    </row>
    <row r="16782" spans="1:5" x14ac:dyDescent="0.25">
      <c r="A16782" t="s">
        <v>3</v>
      </c>
      <c r="B16782" t="s">
        <v>4066</v>
      </c>
      <c r="C16782" t="s">
        <v>23490</v>
      </c>
      <c r="D16782" t="str">
        <f>HYPERLINK("https://rhld.insurance.arkansas.gov/NPILookup?Npi=1205454808","1205454808")</f>
        <v>1205454808</v>
      </c>
      <c r="E16782" t="s">
        <v>17519</v>
      </c>
    </row>
    <row r="16783" spans="1:5" x14ac:dyDescent="0.25">
      <c r="A16783" t="s">
        <v>3</v>
      </c>
      <c r="B16783" t="s">
        <v>4066</v>
      </c>
      <c r="C16783" t="s">
        <v>23490</v>
      </c>
      <c r="D16783" t="str">
        <f>HYPERLINK("https://rhld.insurance.arkansas.gov/NPILookup?Npi=1205940236","1205940236")</f>
        <v>1205940236</v>
      </c>
      <c r="E16783" t="s">
        <v>20285</v>
      </c>
    </row>
    <row r="16784" spans="1:5" x14ac:dyDescent="0.25">
      <c r="A16784" t="s">
        <v>3</v>
      </c>
      <c r="B16784" t="s">
        <v>4066</v>
      </c>
      <c r="C16784" t="s">
        <v>23490</v>
      </c>
      <c r="D16784" t="str">
        <f>HYPERLINK("https://rhld.insurance.arkansas.gov/NPILookup?Npi=1225211741","1225211741")</f>
        <v>1225211741</v>
      </c>
      <c r="E16784" t="s">
        <v>13053</v>
      </c>
    </row>
    <row r="16785" spans="1:5" x14ac:dyDescent="0.25">
      <c r="A16785" t="s">
        <v>3</v>
      </c>
      <c r="B16785" t="s">
        <v>4066</v>
      </c>
      <c r="C16785" t="s">
        <v>23490</v>
      </c>
      <c r="D16785" t="str">
        <f>HYPERLINK("https://rhld.insurance.arkansas.gov/NPILookup?Npi=1245284769","1245284769")</f>
        <v>1245284769</v>
      </c>
      <c r="E16785" t="s">
        <v>4094</v>
      </c>
    </row>
    <row r="16786" spans="1:5" x14ac:dyDescent="0.25">
      <c r="A16786" t="s">
        <v>3</v>
      </c>
      <c r="B16786" t="s">
        <v>4066</v>
      </c>
      <c r="C16786" t="s">
        <v>23490</v>
      </c>
      <c r="D16786" t="str">
        <f>HYPERLINK("https://rhld.insurance.arkansas.gov/NPILookup?Npi=1245357912","1245357912")</f>
        <v>1245357912</v>
      </c>
      <c r="E16786" t="s">
        <v>4079</v>
      </c>
    </row>
    <row r="16787" spans="1:5" x14ac:dyDescent="0.25">
      <c r="A16787" t="s">
        <v>3</v>
      </c>
      <c r="B16787" t="s">
        <v>4066</v>
      </c>
      <c r="C16787" t="s">
        <v>23490</v>
      </c>
      <c r="D16787" t="str">
        <f>HYPERLINK("https://rhld.insurance.arkansas.gov/NPILookup?Npi=1245568567","1245568567")</f>
        <v>1245568567</v>
      </c>
      <c r="E16787" t="s">
        <v>7540</v>
      </c>
    </row>
    <row r="16788" spans="1:5" x14ac:dyDescent="0.25">
      <c r="A16788" t="s">
        <v>3</v>
      </c>
      <c r="B16788" t="s">
        <v>4066</v>
      </c>
      <c r="C16788" t="s">
        <v>8427</v>
      </c>
      <c r="D16788" t="str">
        <f>HYPERLINK("https://rhld.insurance.arkansas.gov/NPILookup?Npi=1245952514","1245952514")</f>
        <v>1245952514</v>
      </c>
      <c r="E16788" t="s">
        <v>23020</v>
      </c>
    </row>
    <row r="16789" spans="1:5" x14ac:dyDescent="0.25">
      <c r="A16789" t="s">
        <v>3</v>
      </c>
      <c r="B16789" t="s">
        <v>4066</v>
      </c>
      <c r="C16789" t="s">
        <v>23490</v>
      </c>
      <c r="D16789" t="str">
        <f>HYPERLINK("https://rhld.insurance.arkansas.gov/NPILookup?Npi=1255377420","1255377420")</f>
        <v>1255377420</v>
      </c>
      <c r="E16789" t="s">
        <v>4080</v>
      </c>
    </row>
    <row r="16790" spans="1:5" x14ac:dyDescent="0.25">
      <c r="A16790" t="s">
        <v>3</v>
      </c>
      <c r="B16790" t="s">
        <v>4066</v>
      </c>
      <c r="C16790" t="s">
        <v>23490</v>
      </c>
      <c r="D16790" t="str">
        <f>HYPERLINK("https://rhld.insurance.arkansas.gov/NPILookup?Npi=1255971610","1255971610")</f>
        <v>1255971610</v>
      </c>
      <c r="E16790" t="s">
        <v>18224</v>
      </c>
    </row>
    <row r="16791" spans="1:5" x14ac:dyDescent="0.25">
      <c r="A16791" t="s">
        <v>3</v>
      </c>
      <c r="B16791" t="s">
        <v>4066</v>
      </c>
      <c r="C16791" t="s">
        <v>23490</v>
      </c>
      <c r="D16791" t="str">
        <f>HYPERLINK("https://rhld.insurance.arkansas.gov/NPILookup?Npi=1265090518","1265090518")</f>
        <v>1265090518</v>
      </c>
      <c r="E16791" t="s">
        <v>15933</v>
      </c>
    </row>
    <row r="16792" spans="1:5" x14ac:dyDescent="0.25">
      <c r="A16792" t="s">
        <v>3</v>
      </c>
      <c r="B16792" t="s">
        <v>4066</v>
      </c>
      <c r="C16792" t="s">
        <v>23490</v>
      </c>
      <c r="D16792" t="str">
        <f>HYPERLINK("https://rhld.insurance.arkansas.gov/NPILookup?Npi=1265481337","1265481337")</f>
        <v>1265481337</v>
      </c>
      <c r="E16792" t="s">
        <v>4081</v>
      </c>
    </row>
    <row r="16793" spans="1:5" x14ac:dyDescent="0.25">
      <c r="A16793" t="s">
        <v>3</v>
      </c>
      <c r="B16793" t="s">
        <v>4066</v>
      </c>
      <c r="C16793" t="s">
        <v>23490</v>
      </c>
      <c r="D16793" t="str">
        <f>HYPERLINK("https://rhld.insurance.arkansas.gov/NPILookup?Npi=1265824643","1265824643")</f>
        <v>1265824643</v>
      </c>
      <c r="E16793" t="s">
        <v>4074</v>
      </c>
    </row>
    <row r="16794" spans="1:5" x14ac:dyDescent="0.25">
      <c r="A16794" t="s">
        <v>3</v>
      </c>
      <c r="B16794" t="s">
        <v>4066</v>
      </c>
      <c r="C16794" t="s">
        <v>23490</v>
      </c>
      <c r="D16794" t="str">
        <f>HYPERLINK("https://rhld.insurance.arkansas.gov/NPILookup?Npi=1265908263","1265908263")</f>
        <v>1265908263</v>
      </c>
      <c r="E16794" t="s">
        <v>15934</v>
      </c>
    </row>
    <row r="16795" spans="1:5" x14ac:dyDescent="0.25">
      <c r="A16795" t="s">
        <v>3</v>
      </c>
      <c r="B16795" t="s">
        <v>4066</v>
      </c>
      <c r="C16795" t="s">
        <v>23490</v>
      </c>
      <c r="D16795" t="str">
        <f>HYPERLINK("https://rhld.insurance.arkansas.gov/NPILookup?Npi=1275739062","1275739062")</f>
        <v>1275739062</v>
      </c>
      <c r="E16795" t="s">
        <v>21091</v>
      </c>
    </row>
    <row r="16796" spans="1:5" x14ac:dyDescent="0.25">
      <c r="A16796" t="s">
        <v>3</v>
      </c>
      <c r="B16796" t="s">
        <v>4066</v>
      </c>
      <c r="C16796" t="s">
        <v>23490</v>
      </c>
      <c r="D16796" t="str">
        <f>HYPERLINK("https://rhld.insurance.arkansas.gov/NPILookup?Npi=1285273219","1285273219")</f>
        <v>1285273219</v>
      </c>
      <c r="E16796" t="s">
        <v>21767</v>
      </c>
    </row>
    <row r="16797" spans="1:5" x14ac:dyDescent="0.25">
      <c r="A16797" t="s">
        <v>3</v>
      </c>
      <c r="B16797" t="s">
        <v>4066</v>
      </c>
      <c r="C16797" t="s">
        <v>23490</v>
      </c>
      <c r="D16797" t="str">
        <f>HYPERLINK("https://rhld.insurance.arkansas.gov/NPILookup?Npi=1295726156","1295726156")</f>
        <v>1295726156</v>
      </c>
      <c r="E16797" t="s">
        <v>4082</v>
      </c>
    </row>
    <row r="16798" spans="1:5" x14ac:dyDescent="0.25">
      <c r="A16798" t="s">
        <v>3</v>
      </c>
      <c r="B16798" t="s">
        <v>4066</v>
      </c>
      <c r="C16798" t="s">
        <v>23490</v>
      </c>
      <c r="D16798" t="str">
        <f>HYPERLINK("https://rhld.insurance.arkansas.gov/NPILookup?Npi=1295767689","1295767689")</f>
        <v>1295767689</v>
      </c>
      <c r="E16798" t="s">
        <v>7540</v>
      </c>
    </row>
    <row r="16799" spans="1:5" x14ac:dyDescent="0.25">
      <c r="A16799" t="s">
        <v>3</v>
      </c>
      <c r="B16799" t="s">
        <v>4066</v>
      </c>
      <c r="C16799" t="s">
        <v>23490</v>
      </c>
      <c r="D16799" t="str">
        <f>HYPERLINK("https://rhld.insurance.arkansas.gov/NPILookup?Npi=1295792125","1295792125")</f>
        <v>1295792125</v>
      </c>
      <c r="E16799" t="s">
        <v>11493</v>
      </c>
    </row>
    <row r="16800" spans="1:5" x14ac:dyDescent="0.25">
      <c r="A16800" t="s">
        <v>3</v>
      </c>
      <c r="B16800" t="s">
        <v>4066</v>
      </c>
      <c r="C16800" t="s">
        <v>23490</v>
      </c>
      <c r="D16800" t="str">
        <f>HYPERLINK("https://rhld.insurance.arkansas.gov/NPILookup?Npi=1295817260","1295817260")</f>
        <v>1295817260</v>
      </c>
      <c r="E16800" t="s">
        <v>4083</v>
      </c>
    </row>
    <row r="16801" spans="1:5" x14ac:dyDescent="0.25">
      <c r="A16801" t="s">
        <v>3</v>
      </c>
      <c r="B16801" t="s">
        <v>4066</v>
      </c>
      <c r="C16801" t="s">
        <v>23490</v>
      </c>
      <c r="D16801" t="str">
        <f>HYPERLINK("https://rhld.insurance.arkansas.gov/NPILookup?Npi=1295839991","1295839991")</f>
        <v>1295839991</v>
      </c>
      <c r="E16801" t="s">
        <v>7518</v>
      </c>
    </row>
    <row r="16802" spans="1:5" x14ac:dyDescent="0.25">
      <c r="A16802" t="s">
        <v>3</v>
      </c>
      <c r="B16802" t="s">
        <v>4066</v>
      </c>
      <c r="C16802" t="s">
        <v>23490</v>
      </c>
      <c r="D16802" t="str">
        <f>HYPERLINK("https://rhld.insurance.arkansas.gov/NPILookup?Npi=1306032339","1306032339")</f>
        <v>1306032339</v>
      </c>
      <c r="E16802" t="s">
        <v>4084</v>
      </c>
    </row>
    <row r="16803" spans="1:5" x14ac:dyDescent="0.25">
      <c r="A16803" t="s">
        <v>3</v>
      </c>
      <c r="B16803" t="s">
        <v>4066</v>
      </c>
      <c r="C16803" t="s">
        <v>23490</v>
      </c>
      <c r="D16803" t="str">
        <f>HYPERLINK("https://rhld.insurance.arkansas.gov/NPILookup?Npi=1306484860","1306484860")</f>
        <v>1306484860</v>
      </c>
      <c r="E16803" t="s">
        <v>17520</v>
      </c>
    </row>
    <row r="16804" spans="1:5" x14ac:dyDescent="0.25">
      <c r="A16804" t="s">
        <v>3</v>
      </c>
      <c r="B16804" t="s">
        <v>4066</v>
      </c>
      <c r="C16804" t="s">
        <v>23490</v>
      </c>
      <c r="D16804" t="str">
        <f>HYPERLINK("https://rhld.insurance.arkansas.gov/NPILookup?Npi=1306998794","1306998794")</f>
        <v>1306998794</v>
      </c>
      <c r="E16804" t="s">
        <v>9208</v>
      </c>
    </row>
    <row r="16805" spans="1:5" x14ac:dyDescent="0.25">
      <c r="A16805" t="s">
        <v>3</v>
      </c>
      <c r="B16805" t="s">
        <v>4066</v>
      </c>
      <c r="C16805" t="s">
        <v>23490</v>
      </c>
      <c r="D16805" t="str">
        <f>HYPERLINK("https://rhld.insurance.arkansas.gov/NPILookup?Npi=1316023591","1316023591")</f>
        <v>1316023591</v>
      </c>
      <c r="E16805" t="s">
        <v>15935</v>
      </c>
    </row>
    <row r="16806" spans="1:5" x14ac:dyDescent="0.25">
      <c r="A16806" t="s">
        <v>3</v>
      </c>
      <c r="B16806" t="s">
        <v>4066</v>
      </c>
      <c r="C16806" t="s">
        <v>23490</v>
      </c>
      <c r="D16806" t="str">
        <f>HYPERLINK("https://rhld.insurance.arkansas.gov/NPILookup?Npi=1316180748","1316180748")</f>
        <v>1316180748</v>
      </c>
      <c r="E16806" t="s">
        <v>7545</v>
      </c>
    </row>
    <row r="16807" spans="1:5" x14ac:dyDescent="0.25">
      <c r="A16807" t="s">
        <v>3</v>
      </c>
      <c r="B16807" t="s">
        <v>4066</v>
      </c>
      <c r="C16807" t="s">
        <v>23490</v>
      </c>
      <c r="D16807" t="str">
        <f>HYPERLINK("https://rhld.insurance.arkansas.gov/NPILookup?Npi=1316902414","1316902414")</f>
        <v>1316902414</v>
      </c>
      <c r="E16807" t="s">
        <v>7547</v>
      </c>
    </row>
    <row r="16808" spans="1:5" x14ac:dyDescent="0.25">
      <c r="A16808" t="s">
        <v>3</v>
      </c>
      <c r="B16808" t="s">
        <v>4066</v>
      </c>
      <c r="C16808" t="s">
        <v>23490</v>
      </c>
      <c r="D16808" t="str">
        <f>HYPERLINK("https://rhld.insurance.arkansas.gov/NPILookup?Npi=1326116518","1326116518")</f>
        <v>1326116518</v>
      </c>
      <c r="E16808" t="s">
        <v>8998</v>
      </c>
    </row>
    <row r="16809" spans="1:5" x14ac:dyDescent="0.25">
      <c r="A16809" t="s">
        <v>3</v>
      </c>
      <c r="B16809" t="s">
        <v>4066</v>
      </c>
      <c r="C16809" t="s">
        <v>23490</v>
      </c>
      <c r="D16809" t="str">
        <f>HYPERLINK("https://rhld.insurance.arkansas.gov/NPILookup?Npi=1326384462","1326384462")</f>
        <v>1326384462</v>
      </c>
      <c r="E16809" t="s">
        <v>7537</v>
      </c>
    </row>
    <row r="16810" spans="1:5" x14ac:dyDescent="0.25">
      <c r="A16810" t="s">
        <v>3</v>
      </c>
      <c r="B16810" t="s">
        <v>4066</v>
      </c>
      <c r="C16810" t="s">
        <v>23490</v>
      </c>
      <c r="D16810" t="str">
        <f>HYPERLINK("https://rhld.insurance.arkansas.gov/NPILookup?Npi=1326438904","1326438904")</f>
        <v>1326438904</v>
      </c>
      <c r="E16810" t="s">
        <v>11494</v>
      </c>
    </row>
    <row r="16811" spans="1:5" x14ac:dyDescent="0.25">
      <c r="A16811" t="s">
        <v>3</v>
      </c>
      <c r="B16811" t="s">
        <v>4066</v>
      </c>
      <c r="C16811" t="s">
        <v>23490</v>
      </c>
      <c r="D16811" t="str">
        <f>HYPERLINK("https://rhld.insurance.arkansas.gov/NPILookup?Npi=1326713215","1326713215")</f>
        <v>1326713215</v>
      </c>
      <c r="E16811" t="s">
        <v>21768</v>
      </c>
    </row>
    <row r="16812" spans="1:5" x14ac:dyDescent="0.25">
      <c r="A16812" t="s">
        <v>3</v>
      </c>
      <c r="B16812" t="s">
        <v>4066</v>
      </c>
      <c r="C16812" t="s">
        <v>23490</v>
      </c>
      <c r="D16812" t="str">
        <f>HYPERLINK("https://rhld.insurance.arkansas.gov/NPILookup?Npi=1346642634","1346642634")</f>
        <v>1346642634</v>
      </c>
      <c r="E16812" t="s">
        <v>13054</v>
      </c>
    </row>
    <row r="16813" spans="1:5" x14ac:dyDescent="0.25">
      <c r="A16813" t="s">
        <v>3</v>
      </c>
      <c r="B16813" t="s">
        <v>4066</v>
      </c>
      <c r="C16813" t="s">
        <v>23490</v>
      </c>
      <c r="D16813" t="str">
        <f>HYPERLINK("https://rhld.insurance.arkansas.gov/NPILookup?Npi=1356552806","1356552806")</f>
        <v>1356552806</v>
      </c>
      <c r="E16813" t="s">
        <v>4085</v>
      </c>
    </row>
    <row r="16814" spans="1:5" x14ac:dyDescent="0.25">
      <c r="A16814" t="s">
        <v>3</v>
      </c>
      <c r="B16814" t="s">
        <v>4066</v>
      </c>
      <c r="C16814" t="s">
        <v>23490</v>
      </c>
      <c r="D16814" t="str">
        <f>HYPERLINK("https://rhld.insurance.arkansas.gov/NPILookup?Npi=1366654915","1366654915")</f>
        <v>1366654915</v>
      </c>
      <c r="E16814" t="s">
        <v>4086</v>
      </c>
    </row>
    <row r="16815" spans="1:5" x14ac:dyDescent="0.25">
      <c r="A16815" t="s">
        <v>3</v>
      </c>
      <c r="B16815" t="s">
        <v>4066</v>
      </c>
      <c r="C16815" t="s">
        <v>23490</v>
      </c>
      <c r="D16815" t="str">
        <f>HYPERLINK("https://rhld.insurance.arkansas.gov/NPILookup?Npi=1366855223","1366855223")</f>
        <v>1366855223</v>
      </c>
      <c r="E16815" t="s">
        <v>4087</v>
      </c>
    </row>
    <row r="16816" spans="1:5" x14ac:dyDescent="0.25">
      <c r="A16816" t="s">
        <v>3</v>
      </c>
      <c r="B16816" t="s">
        <v>4066</v>
      </c>
      <c r="C16816" t="s">
        <v>23490</v>
      </c>
      <c r="D16816" t="str">
        <f>HYPERLINK("https://rhld.insurance.arkansas.gov/NPILookup?Npi=1376562678","1376562678")</f>
        <v>1376562678</v>
      </c>
      <c r="E16816" t="s">
        <v>4088</v>
      </c>
    </row>
    <row r="16817" spans="1:5" x14ac:dyDescent="0.25">
      <c r="A16817" t="s">
        <v>3</v>
      </c>
      <c r="B16817" t="s">
        <v>4066</v>
      </c>
      <c r="C16817" t="s">
        <v>23490</v>
      </c>
      <c r="D16817" t="str">
        <f>HYPERLINK("https://rhld.insurance.arkansas.gov/NPILookup?Npi=1376805515","1376805515")</f>
        <v>1376805515</v>
      </c>
      <c r="E16817" t="s">
        <v>18225</v>
      </c>
    </row>
    <row r="16818" spans="1:5" x14ac:dyDescent="0.25">
      <c r="A16818" t="s">
        <v>3</v>
      </c>
      <c r="B16818" t="s">
        <v>4066</v>
      </c>
      <c r="C16818" t="s">
        <v>23490</v>
      </c>
      <c r="D16818" t="str">
        <f>HYPERLINK("https://rhld.insurance.arkansas.gov/NPILookup?Npi=1386617934","1386617934")</f>
        <v>1386617934</v>
      </c>
      <c r="E16818" t="s">
        <v>6370</v>
      </c>
    </row>
    <row r="16819" spans="1:5" x14ac:dyDescent="0.25">
      <c r="A16819" t="s">
        <v>3</v>
      </c>
      <c r="B16819" t="s">
        <v>4066</v>
      </c>
      <c r="C16819" t="s">
        <v>23490</v>
      </c>
      <c r="D16819" t="str">
        <f>HYPERLINK("https://rhld.insurance.arkansas.gov/NPILookup?Npi=1396767158","1396767158")</f>
        <v>1396767158</v>
      </c>
      <c r="E16819" t="s">
        <v>4078</v>
      </c>
    </row>
    <row r="16820" spans="1:5" x14ac:dyDescent="0.25">
      <c r="A16820" t="s">
        <v>3</v>
      </c>
      <c r="B16820" t="s">
        <v>4066</v>
      </c>
      <c r="C16820" t="s">
        <v>23490</v>
      </c>
      <c r="D16820" t="str">
        <f>HYPERLINK("https://rhld.insurance.arkansas.gov/NPILookup?Npi=1417143447","1417143447")</f>
        <v>1417143447</v>
      </c>
      <c r="E16820" t="s">
        <v>11495</v>
      </c>
    </row>
    <row r="16821" spans="1:5" x14ac:dyDescent="0.25">
      <c r="A16821" t="s">
        <v>3</v>
      </c>
      <c r="B16821" t="s">
        <v>4066</v>
      </c>
      <c r="C16821" t="s">
        <v>23490</v>
      </c>
      <c r="D16821" t="str">
        <f>HYPERLINK("https://rhld.insurance.arkansas.gov/NPILookup?Npi=1417199225","1417199225")</f>
        <v>1417199225</v>
      </c>
      <c r="E16821" t="s">
        <v>4089</v>
      </c>
    </row>
    <row r="16822" spans="1:5" x14ac:dyDescent="0.25">
      <c r="A16822" t="s">
        <v>3</v>
      </c>
      <c r="B16822" t="s">
        <v>4066</v>
      </c>
      <c r="C16822" t="s">
        <v>23490</v>
      </c>
      <c r="D16822" t="str">
        <f>HYPERLINK("https://rhld.insurance.arkansas.gov/NPILookup?Npi=1417979204","1417979204")</f>
        <v>1417979204</v>
      </c>
      <c r="E16822" t="s">
        <v>4090</v>
      </c>
    </row>
    <row r="16823" spans="1:5" x14ac:dyDescent="0.25">
      <c r="A16823" t="s">
        <v>3</v>
      </c>
      <c r="B16823" t="s">
        <v>4066</v>
      </c>
      <c r="C16823" t="s">
        <v>23490</v>
      </c>
      <c r="D16823" t="str">
        <f>HYPERLINK("https://rhld.insurance.arkansas.gov/NPILookup?Npi=1427531169","1427531169")</f>
        <v>1427531169</v>
      </c>
      <c r="E16823" t="s">
        <v>13886</v>
      </c>
    </row>
    <row r="16824" spans="1:5" x14ac:dyDescent="0.25">
      <c r="A16824" t="s">
        <v>3</v>
      </c>
      <c r="B16824" t="s">
        <v>4066</v>
      </c>
      <c r="C16824" t="s">
        <v>23490</v>
      </c>
      <c r="D16824" t="str">
        <f>HYPERLINK("https://rhld.insurance.arkansas.gov/NPILookup?Npi=1437111713","1437111713")</f>
        <v>1437111713</v>
      </c>
      <c r="E16824" t="s">
        <v>8999</v>
      </c>
    </row>
    <row r="16825" spans="1:5" x14ac:dyDescent="0.25">
      <c r="A16825" t="s">
        <v>3</v>
      </c>
      <c r="B16825" t="s">
        <v>4066</v>
      </c>
      <c r="C16825" t="s">
        <v>23490</v>
      </c>
      <c r="D16825" t="str">
        <f>HYPERLINK("https://rhld.insurance.arkansas.gov/NPILookup?Npi=1437179710","1437179710")</f>
        <v>1437179710</v>
      </c>
      <c r="E16825" t="s">
        <v>4091</v>
      </c>
    </row>
    <row r="16826" spans="1:5" x14ac:dyDescent="0.25">
      <c r="A16826" t="s">
        <v>3</v>
      </c>
      <c r="B16826" t="s">
        <v>4066</v>
      </c>
      <c r="C16826" t="s">
        <v>23490</v>
      </c>
      <c r="D16826" t="str">
        <f>HYPERLINK("https://rhld.insurance.arkansas.gov/NPILookup?Npi=1447380423","1447380423")</f>
        <v>1447380423</v>
      </c>
      <c r="E16826" t="s">
        <v>21092</v>
      </c>
    </row>
    <row r="16827" spans="1:5" x14ac:dyDescent="0.25">
      <c r="A16827" t="s">
        <v>3</v>
      </c>
      <c r="B16827" t="s">
        <v>4066</v>
      </c>
      <c r="C16827" t="s">
        <v>23490</v>
      </c>
      <c r="D16827" t="str">
        <f>HYPERLINK("https://rhld.insurance.arkansas.gov/NPILookup?Npi=1447723143","1447723143")</f>
        <v>1447723143</v>
      </c>
      <c r="E16827" t="s">
        <v>18226</v>
      </c>
    </row>
    <row r="16828" spans="1:5" x14ac:dyDescent="0.25">
      <c r="A16828" t="s">
        <v>3</v>
      </c>
      <c r="B16828" t="s">
        <v>4066</v>
      </c>
      <c r="C16828" t="s">
        <v>23490</v>
      </c>
      <c r="D16828" t="str">
        <f>HYPERLINK("https://rhld.insurance.arkansas.gov/NPILookup?Npi=1457413551","1457413551")</f>
        <v>1457413551</v>
      </c>
      <c r="E16828" t="s">
        <v>4092</v>
      </c>
    </row>
    <row r="16829" spans="1:5" x14ac:dyDescent="0.25">
      <c r="A16829" t="s">
        <v>3</v>
      </c>
      <c r="B16829" t="s">
        <v>4066</v>
      </c>
      <c r="C16829" t="s">
        <v>8427</v>
      </c>
      <c r="D16829" t="str">
        <f>HYPERLINK("https://rhld.insurance.arkansas.gov/NPILookup?Npi=1457984320","1457984320")</f>
        <v>1457984320</v>
      </c>
      <c r="E16829" t="s">
        <v>23021</v>
      </c>
    </row>
    <row r="16830" spans="1:5" x14ac:dyDescent="0.25">
      <c r="A16830" t="s">
        <v>3</v>
      </c>
      <c r="B16830" t="s">
        <v>4066</v>
      </c>
      <c r="C16830" t="s">
        <v>23490</v>
      </c>
      <c r="D16830" t="str">
        <f>HYPERLINK("https://rhld.insurance.arkansas.gov/NPILookup?Npi=1467196386","1467196386")</f>
        <v>1467196386</v>
      </c>
      <c r="E16830" t="s">
        <v>21093</v>
      </c>
    </row>
    <row r="16831" spans="1:5" x14ac:dyDescent="0.25">
      <c r="A16831" t="s">
        <v>3</v>
      </c>
      <c r="B16831" t="s">
        <v>4066</v>
      </c>
      <c r="C16831" t="s">
        <v>23490</v>
      </c>
      <c r="D16831" t="str">
        <f>HYPERLINK("https://rhld.insurance.arkansas.gov/NPILookup?Npi=1467896613","1467896613")</f>
        <v>1467896613</v>
      </c>
      <c r="E16831" t="s">
        <v>4093</v>
      </c>
    </row>
    <row r="16832" spans="1:5" x14ac:dyDescent="0.25">
      <c r="A16832" t="s">
        <v>3</v>
      </c>
      <c r="B16832" t="s">
        <v>4066</v>
      </c>
      <c r="C16832" t="s">
        <v>23490</v>
      </c>
      <c r="D16832" t="str">
        <f>HYPERLINK("https://rhld.insurance.arkansas.gov/NPILookup?Npi=1477039782","1477039782")</f>
        <v>1477039782</v>
      </c>
      <c r="E16832" t="s">
        <v>13887</v>
      </c>
    </row>
    <row r="16833" spans="1:5" x14ac:dyDescent="0.25">
      <c r="A16833" t="s">
        <v>3</v>
      </c>
      <c r="B16833" t="s">
        <v>4066</v>
      </c>
      <c r="C16833" t="s">
        <v>23490</v>
      </c>
      <c r="D16833" t="str">
        <f>HYPERLINK("https://rhld.insurance.arkansas.gov/NPILookup?Npi=1477953271","1477953271")</f>
        <v>1477953271</v>
      </c>
      <c r="E16833" t="s">
        <v>4086</v>
      </c>
    </row>
    <row r="16834" spans="1:5" x14ac:dyDescent="0.25">
      <c r="A16834" t="s">
        <v>3</v>
      </c>
      <c r="B16834" t="s">
        <v>4066</v>
      </c>
      <c r="C16834" t="s">
        <v>23490</v>
      </c>
      <c r="D16834" t="str">
        <f>HYPERLINK("https://rhld.insurance.arkansas.gov/NPILookup?Npi=1497770424","1497770424")</f>
        <v>1497770424</v>
      </c>
      <c r="E16834" t="s">
        <v>4088</v>
      </c>
    </row>
    <row r="16835" spans="1:5" x14ac:dyDescent="0.25">
      <c r="A16835" t="s">
        <v>3</v>
      </c>
      <c r="B16835" t="s">
        <v>4066</v>
      </c>
      <c r="C16835" t="s">
        <v>23490</v>
      </c>
      <c r="D16835" t="str">
        <f>HYPERLINK("https://rhld.insurance.arkansas.gov/NPILookup?Npi=1528360989","1528360989")</f>
        <v>1528360989</v>
      </c>
      <c r="E16835" t="s">
        <v>7569</v>
      </c>
    </row>
    <row r="16836" spans="1:5" x14ac:dyDescent="0.25">
      <c r="A16836" t="s">
        <v>3</v>
      </c>
      <c r="B16836" t="s">
        <v>4066</v>
      </c>
      <c r="C16836" t="s">
        <v>23490</v>
      </c>
      <c r="D16836" t="str">
        <f>HYPERLINK("https://rhld.insurance.arkansas.gov/NPILookup?Npi=1528508108","1528508108")</f>
        <v>1528508108</v>
      </c>
      <c r="E16836" t="s">
        <v>13055</v>
      </c>
    </row>
    <row r="16837" spans="1:5" x14ac:dyDescent="0.25">
      <c r="A16837" t="s">
        <v>3</v>
      </c>
      <c r="B16837" t="s">
        <v>4066</v>
      </c>
      <c r="C16837" t="s">
        <v>23490</v>
      </c>
      <c r="D16837" t="str">
        <f>HYPERLINK("https://rhld.insurance.arkansas.gov/NPILookup?Npi=1538107776","1538107776")</f>
        <v>1538107776</v>
      </c>
      <c r="E16837" t="s">
        <v>4094</v>
      </c>
    </row>
    <row r="16838" spans="1:5" x14ac:dyDescent="0.25">
      <c r="A16838" t="s">
        <v>3</v>
      </c>
      <c r="B16838" t="s">
        <v>4066</v>
      </c>
      <c r="C16838" t="s">
        <v>23490</v>
      </c>
      <c r="D16838" t="str">
        <f>HYPERLINK("https://rhld.insurance.arkansas.gov/NPILookup?Npi=1548325251","1548325251")</f>
        <v>1548325251</v>
      </c>
      <c r="E16838" t="s">
        <v>4095</v>
      </c>
    </row>
    <row r="16839" spans="1:5" x14ac:dyDescent="0.25">
      <c r="A16839" t="s">
        <v>3</v>
      </c>
      <c r="B16839" t="s">
        <v>4066</v>
      </c>
      <c r="C16839" t="s">
        <v>23490</v>
      </c>
      <c r="D16839" t="str">
        <f>HYPERLINK("https://rhld.insurance.arkansas.gov/NPILookup?Npi=1548374499","1548374499")</f>
        <v>1548374499</v>
      </c>
      <c r="E16839" t="s">
        <v>20286</v>
      </c>
    </row>
    <row r="16840" spans="1:5" x14ac:dyDescent="0.25">
      <c r="A16840" t="s">
        <v>3</v>
      </c>
      <c r="B16840" t="s">
        <v>4066</v>
      </c>
      <c r="C16840" t="s">
        <v>23490</v>
      </c>
      <c r="D16840" t="str">
        <f>HYPERLINK("https://rhld.insurance.arkansas.gov/NPILookup?Npi=1558015800","1558015800")</f>
        <v>1558015800</v>
      </c>
      <c r="E16840" t="s">
        <v>20287</v>
      </c>
    </row>
    <row r="16841" spans="1:5" x14ac:dyDescent="0.25">
      <c r="A16841" t="s">
        <v>3</v>
      </c>
      <c r="B16841" t="s">
        <v>4066</v>
      </c>
      <c r="C16841" t="s">
        <v>23490</v>
      </c>
      <c r="D16841" t="str">
        <f>HYPERLINK("https://rhld.insurance.arkansas.gov/NPILookup?Npi=1558443085","1558443085")</f>
        <v>1558443085</v>
      </c>
      <c r="E16841" t="s">
        <v>9211</v>
      </c>
    </row>
    <row r="16842" spans="1:5" x14ac:dyDescent="0.25">
      <c r="A16842" t="s">
        <v>3</v>
      </c>
      <c r="B16842" t="s">
        <v>4066</v>
      </c>
      <c r="C16842" t="s">
        <v>23490</v>
      </c>
      <c r="D16842" t="str">
        <f>HYPERLINK("https://rhld.insurance.arkansas.gov/NPILookup?Npi=1568406536","1568406536")</f>
        <v>1568406536</v>
      </c>
      <c r="E16842" t="s">
        <v>4074</v>
      </c>
    </row>
    <row r="16843" spans="1:5" x14ac:dyDescent="0.25">
      <c r="A16843" t="s">
        <v>3</v>
      </c>
      <c r="B16843" t="s">
        <v>4066</v>
      </c>
      <c r="C16843" t="s">
        <v>23490</v>
      </c>
      <c r="D16843" t="str">
        <f>HYPERLINK("https://rhld.insurance.arkansas.gov/NPILookup?Npi=1568548253","1568548253")</f>
        <v>1568548253</v>
      </c>
      <c r="E16843" t="s">
        <v>7519</v>
      </c>
    </row>
    <row r="16844" spans="1:5" x14ac:dyDescent="0.25">
      <c r="A16844" t="s">
        <v>3</v>
      </c>
      <c r="B16844" t="s">
        <v>4066</v>
      </c>
      <c r="C16844" t="s">
        <v>23490</v>
      </c>
      <c r="D16844" t="str">
        <f>HYPERLINK("https://rhld.insurance.arkansas.gov/NPILookup?Npi=1578574471","1578574471")</f>
        <v>1578574471</v>
      </c>
      <c r="E16844" t="s">
        <v>13056</v>
      </c>
    </row>
    <row r="16845" spans="1:5" x14ac:dyDescent="0.25">
      <c r="A16845" t="s">
        <v>3</v>
      </c>
      <c r="B16845" t="s">
        <v>4066</v>
      </c>
      <c r="C16845" t="s">
        <v>23490</v>
      </c>
      <c r="D16845" t="str">
        <f>HYPERLINK("https://rhld.insurance.arkansas.gov/NPILookup?Npi=1609429778","1609429778")</f>
        <v>1609429778</v>
      </c>
      <c r="E16845" t="s">
        <v>15936</v>
      </c>
    </row>
    <row r="16846" spans="1:5" x14ac:dyDescent="0.25">
      <c r="A16846" t="s">
        <v>3</v>
      </c>
      <c r="B16846" t="s">
        <v>4066</v>
      </c>
      <c r="C16846" t="s">
        <v>23490</v>
      </c>
      <c r="D16846" t="str">
        <f>HYPERLINK("https://rhld.insurance.arkansas.gov/NPILookup?Npi=1619365079","1619365079")</f>
        <v>1619365079</v>
      </c>
      <c r="E16846" t="s">
        <v>4074</v>
      </c>
    </row>
    <row r="16847" spans="1:5" x14ac:dyDescent="0.25">
      <c r="A16847" t="s">
        <v>3</v>
      </c>
      <c r="B16847" t="s">
        <v>4066</v>
      </c>
      <c r="C16847" t="s">
        <v>23490</v>
      </c>
      <c r="D16847" t="str">
        <f>HYPERLINK("https://rhld.insurance.arkansas.gov/NPILookup?Npi=1619915949","1619915949")</f>
        <v>1619915949</v>
      </c>
      <c r="E16847" t="s">
        <v>4096</v>
      </c>
    </row>
    <row r="16848" spans="1:5" x14ac:dyDescent="0.25">
      <c r="A16848" t="s">
        <v>3</v>
      </c>
      <c r="B16848" t="s">
        <v>4066</v>
      </c>
      <c r="C16848" t="s">
        <v>23490</v>
      </c>
      <c r="D16848" t="str">
        <f>HYPERLINK("https://rhld.insurance.arkansas.gov/NPILookup?Npi=1639137565","1639137565")</f>
        <v>1639137565</v>
      </c>
      <c r="E16848" t="s">
        <v>4077</v>
      </c>
    </row>
    <row r="16849" spans="1:5" x14ac:dyDescent="0.25">
      <c r="A16849" t="s">
        <v>3</v>
      </c>
      <c r="B16849" t="s">
        <v>4066</v>
      </c>
      <c r="C16849" t="s">
        <v>23490</v>
      </c>
      <c r="D16849" t="str">
        <f>HYPERLINK("https://rhld.insurance.arkansas.gov/NPILookup?Npi=1639345697","1639345697")</f>
        <v>1639345697</v>
      </c>
      <c r="E16849" t="s">
        <v>4075</v>
      </c>
    </row>
    <row r="16850" spans="1:5" x14ac:dyDescent="0.25">
      <c r="A16850" t="s">
        <v>3</v>
      </c>
      <c r="B16850" t="s">
        <v>4066</v>
      </c>
      <c r="C16850" t="s">
        <v>23490</v>
      </c>
      <c r="D16850" t="str">
        <f>HYPERLINK("https://rhld.insurance.arkansas.gov/NPILookup?Npi=1639346687","1639346687")</f>
        <v>1639346687</v>
      </c>
      <c r="E16850" t="s">
        <v>7519</v>
      </c>
    </row>
    <row r="16851" spans="1:5" x14ac:dyDescent="0.25">
      <c r="A16851" t="s">
        <v>3</v>
      </c>
      <c r="B16851" t="s">
        <v>4066</v>
      </c>
      <c r="C16851" t="s">
        <v>23490</v>
      </c>
      <c r="D16851" t="str">
        <f>HYPERLINK("https://rhld.insurance.arkansas.gov/NPILookup?Npi=1639500309","1639500309")</f>
        <v>1639500309</v>
      </c>
      <c r="E16851" t="s">
        <v>13888</v>
      </c>
    </row>
    <row r="16852" spans="1:5" x14ac:dyDescent="0.25">
      <c r="A16852" t="s">
        <v>3</v>
      </c>
      <c r="B16852" t="s">
        <v>4066</v>
      </c>
      <c r="C16852" t="s">
        <v>23490</v>
      </c>
      <c r="D16852" t="str">
        <f>HYPERLINK("https://rhld.insurance.arkansas.gov/NPILookup?Npi=1649726639","1649726639")</f>
        <v>1649726639</v>
      </c>
      <c r="E16852" t="s">
        <v>11496</v>
      </c>
    </row>
    <row r="16853" spans="1:5" x14ac:dyDescent="0.25">
      <c r="A16853" t="s">
        <v>3</v>
      </c>
      <c r="B16853" t="s">
        <v>4066</v>
      </c>
      <c r="C16853" t="s">
        <v>23490</v>
      </c>
      <c r="D16853" t="str">
        <f>HYPERLINK("https://rhld.insurance.arkansas.gov/NPILookup?Npi=1689020844","1689020844")</f>
        <v>1689020844</v>
      </c>
      <c r="E16853" t="s">
        <v>13057</v>
      </c>
    </row>
    <row r="16854" spans="1:5" x14ac:dyDescent="0.25">
      <c r="A16854" t="s">
        <v>3</v>
      </c>
      <c r="B16854" t="s">
        <v>4066</v>
      </c>
      <c r="C16854" t="s">
        <v>23490</v>
      </c>
      <c r="D16854" t="str">
        <f>HYPERLINK("https://rhld.insurance.arkansas.gov/NPILookup?Npi=1689130338","1689130338")</f>
        <v>1689130338</v>
      </c>
      <c r="E16854" t="s">
        <v>17521</v>
      </c>
    </row>
    <row r="16855" spans="1:5" x14ac:dyDescent="0.25">
      <c r="A16855" t="s">
        <v>3</v>
      </c>
      <c r="B16855" t="s">
        <v>4066</v>
      </c>
      <c r="C16855" t="s">
        <v>23490</v>
      </c>
      <c r="D16855" t="str">
        <f>HYPERLINK("https://rhld.insurance.arkansas.gov/NPILookup?Npi=1689628232","1689628232")</f>
        <v>1689628232</v>
      </c>
      <c r="E16855" t="s">
        <v>4096</v>
      </c>
    </row>
    <row r="16856" spans="1:5" x14ac:dyDescent="0.25">
      <c r="A16856" t="s">
        <v>3</v>
      </c>
      <c r="B16856" t="s">
        <v>4066</v>
      </c>
      <c r="C16856" t="s">
        <v>23490</v>
      </c>
      <c r="D16856" t="str">
        <f>HYPERLINK("https://rhld.insurance.arkansas.gov/NPILookup?Npi=1689877862","1689877862")</f>
        <v>1689877862</v>
      </c>
      <c r="E16856" t="s">
        <v>11497</v>
      </c>
    </row>
    <row r="16857" spans="1:5" x14ac:dyDescent="0.25">
      <c r="A16857" t="s">
        <v>3</v>
      </c>
      <c r="B16857" t="s">
        <v>4066</v>
      </c>
      <c r="C16857" t="s">
        <v>23490</v>
      </c>
      <c r="D16857" t="str">
        <f>HYPERLINK("https://rhld.insurance.arkansas.gov/NPILookup?Npi=1699365254","1699365254")</f>
        <v>1699365254</v>
      </c>
      <c r="E16857" t="s">
        <v>19265</v>
      </c>
    </row>
    <row r="16858" spans="1:5" x14ac:dyDescent="0.25">
      <c r="A16858" t="s">
        <v>3</v>
      </c>
      <c r="B16858" t="s">
        <v>4066</v>
      </c>
      <c r="C16858" t="s">
        <v>23490</v>
      </c>
      <c r="D16858" t="str">
        <f>HYPERLINK("https://rhld.insurance.arkansas.gov/NPILookup?Npi=1700831724","1700831724")</f>
        <v>1700831724</v>
      </c>
      <c r="E16858" t="s">
        <v>4097</v>
      </c>
    </row>
    <row r="16859" spans="1:5" x14ac:dyDescent="0.25">
      <c r="A16859" t="s">
        <v>3</v>
      </c>
      <c r="B16859" t="s">
        <v>4066</v>
      </c>
      <c r="C16859" t="s">
        <v>23490</v>
      </c>
      <c r="D16859" t="str">
        <f>HYPERLINK("https://rhld.insurance.arkansas.gov/NPILookup?Npi=1710159314","1710159314")</f>
        <v>1710159314</v>
      </c>
      <c r="E16859" t="s">
        <v>4091</v>
      </c>
    </row>
    <row r="16860" spans="1:5" x14ac:dyDescent="0.25">
      <c r="A16860" t="s">
        <v>3</v>
      </c>
      <c r="B16860" t="s">
        <v>4066</v>
      </c>
      <c r="C16860" t="s">
        <v>23490</v>
      </c>
      <c r="D16860" t="str">
        <f>HYPERLINK("https://rhld.insurance.arkansas.gov/NPILookup?Npi=1710463146","1710463146")</f>
        <v>1710463146</v>
      </c>
      <c r="E16860" t="s">
        <v>13887</v>
      </c>
    </row>
    <row r="16861" spans="1:5" x14ac:dyDescent="0.25">
      <c r="A16861" t="s">
        <v>3</v>
      </c>
      <c r="B16861" t="s">
        <v>4066</v>
      </c>
      <c r="C16861" t="s">
        <v>23490</v>
      </c>
      <c r="D16861" t="str">
        <f>HYPERLINK("https://rhld.insurance.arkansas.gov/NPILookup?Npi=1710931985","1710931985")</f>
        <v>1710931985</v>
      </c>
      <c r="E16861" t="s">
        <v>6459</v>
      </c>
    </row>
    <row r="16862" spans="1:5" x14ac:dyDescent="0.25">
      <c r="A16862" t="s">
        <v>3</v>
      </c>
      <c r="B16862" t="s">
        <v>4066</v>
      </c>
      <c r="C16862" t="s">
        <v>23490</v>
      </c>
      <c r="D16862" t="str">
        <f>HYPERLINK("https://rhld.insurance.arkansas.gov/NPILookup?Npi=1710943881","1710943881")</f>
        <v>1710943881</v>
      </c>
      <c r="E16862" t="s">
        <v>6399</v>
      </c>
    </row>
    <row r="16863" spans="1:5" x14ac:dyDescent="0.25">
      <c r="A16863" t="s">
        <v>3</v>
      </c>
      <c r="B16863" t="s">
        <v>4066</v>
      </c>
      <c r="C16863" t="s">
        <v>23490</v>
      </c>
      <c r="D16863" t="str">
        <f>HYPERLINK("https://rhld.insurance.arkansas.gov/NPILookup?Npi=1730238049","1730238049")</f>
        <v>1730238049</v>
      </c>
      <c r="E16863" t="s">
        <v>17522</v>
      </c>
    </row>
    <row r="16864" spans="1:5" x14ac:dyDescent="0.25">
      <c r="A16864" t="s">
        <v>3</v>
      </c>
      <c r="B16864" t="s">
        <v>4066</v>
      </c>
      <c r="C16864" t="s">
        <v>23490</v>
      </c>
      <c r="D16864" t="str">
        <f>HYPERLINK("https://rhld.insurance.arkansas.gov/NPILookup?Npi=1740350560","1740350560")</f>
        <v>1740350560</v>
      </c>
      <c r="E16864" t="s">
        <v>13889</v>
      </c>
    </row>
    <row r="16865" spans="1:5" x14ac:dyDescent="0.25">
      <c r="A16865" t="s">
        <v>3</v>
      </c>
      <c r="B16865" t="s">
        <v>4066</v>
      </c>
      <c r="C16865" t="s">
        <v>23490</v>
      </c>
      <c r="D16865" t="str">
        <f>HYPERLINK("https://rhld.insurance.arkansas.gov/NPILookup?Npi=1750335741","1750335741")</f>
        <v>1750335741</v>
      </c>
      <c r="E16865" t="s">
        <v>4098</v>
      </c>
    </row>
    <row r="16866" spans="1:5" x14ac:dyDescent="0.25">
      <c r="A16866" t="s">
        <v>3</v>
      </c>
      <c r="B16866" t="s">
        <v>4066</v>
      </c>
      <c r="C16866" t="s">
        <v>23490</v>
      </c>
      <c r="D16866" t="str">
        <f>HYPERLINK("https://rhld.insurance.arkansas.gov/NPILookup?Npi=1750656468","1750656468")</f>
        <v>1750656468</v>
      </c>
      <c r="E16866" t="s">
        <v>4099</v>
      </c>
    </row>
    <row r="16867" spans="1:5" x14ac:dyDescent="0.25">
      <c r="A16867" t="s">
        <v>3</v>
      </c>
      <c r="B16867" t="s">
        <v>4066</v>
      </c>
      <c r="C16867" t="s">
        <v>23490</v>
      </c>
      <c r="D16867" t="str">
        <f>HYPERLINK("https://rhld.insurance.arkansas.gov/NPILookup?Npi=1750670303","1750670303")</f>
        <v>1750670303</v>
      </c>
      <c r="E16867" t="s">
        <v>11498</v>
      </c>
    </row>
    <row r="16868" spans="1:5" x14ac:dyDescent="0.25">
      <c r="A16868" t="s">
        <v>3</v>
      </c>
      <c r="B16868" t="s">
        <v>4066</v>
      </c>
      <c r="C16868" t="s">
        <v>23490</v>
      </c>
      <c r="D16868" t="str">
        <f>HYPERLINK("https://rhld.insurance.arkansas.gov/NPILookup?Npi=1780684431","1780684431")</f>
        <v>1780684431</v>
      </c>
      <c r="E16868" t="s">
        <v>7585</v>
      </c>
    </row>
    <row r="16869" spans="1:5" x14ac:dyDescent="0.25">
      <c r="A16869" t="s">
        <v>3</v>
      </c>
      <c r="B16869" t="s">
        <v>4066</v>
      </c>
      <c r="C16869" t="s">
        <v>23490</v>
      </c>
      <c r="D16869" t="str">
        <f>HYPERLINK("https://rhld.insurance.arkansas.gov/NPILookup?Npi=1780712448","1780712448")</f>
        <v>1780712448</v>
      </c>
      <c r="E16869" t="s">
        <v>4082</v>
      </c>
    </row>
    <row r="16870" spans="1:5" x14ac:dyDescent="0.25">
      <c r="A16870" t="s">
        <v>3</v>
      </c>
      <c r="B16870" t="s">
        <v>4066</v>
      </c>
      <c r="C16870" t="s">
        <v>23490</v>
      </c>
      <c r="D16870" t="str">
        <f>HYPERLINK("https://rhld.insurance.arkansas.gov/NPILookup?Npi=1790925972","1790925972")</f>
        <v>1790925972</v>
      </c>
      <c r="E16870" t="s">
        <v>4100</v>
      </c>
    </row>
    <row r="16871" spans="1:5" x14ac:dyDescent="0.25">
      <c r="A16871" t="s">
        <v>3</v>
      </c>
      <c r="B16871" t="s">
        <v>4066</v>
      </c>
      <c r="C16871" t="s">
        <v>23490</v>
      </c>
      <c r="D16871" t="str">
        <f>HYPERLINK("https://rhld.insurance.arkansas.gov/NPILookup?Npi=1790990240","1790990240")</f>
        <v>1790990240</v>
      </c>
      <c r="E16871" t="s">
        <v>4101</v>
      </c>
    </row>
    <row r="16872" spans="1:5" x14ac:dyDescent="0.25">
      <c r="A16872" t="s">
        <v>3</v>
      </c>
      <c r="B16872" t="s">
        <v>4066</v>
      </c>
      <c r="C16872" t="s">
        <v>23490</v>
      </c>
      <c r="D16872" t="str">
        <f>HYPERLINK("https://rhld.insurance.arkansas.gov/NPILookup?Npi=1801007216","1801007216")</f>
        <v>1801007216</v>
      </c>
      <c r="E16872" t="s">
        <v>4102</v>
      </c>
    </row>
    <row r="16873" spans="1:5" x14ac:dyDescent="0.25">
      <c r="A16873" t="s">
        <v>3</v>
      </c>
      <c r="B16873" t="s">
        <v>4066</v>
      </c>
      <c r="C16873" t="s">
        <v>23490</v>
      </c>
      <c r="D16873" t="str">
        <f>HYPERLINK("https://rhld.insurance.arkansas.gov/NPILookup?Npi=1811092117","1811092117")</f>
        <v>1811092117</v>
      </c>
      <c r="E16873" t="s">
        <v>7594</v>
      </c>
    </row>
    <row r="16874" spans="1:5" x14ac:dyDescent="0.25">
      <c r="A16874" t="s">
        <v>3</v>
      </c>
      <c r="B16874" t="s">
        <v>4066</v>
      </c>
      <c r="C16874" t="s">
        <v>23490</v>
      </c>
      <c r="D16874" t="str">
        <f>HYPERLINK("https://rhld.insurance.arkansas.gov/NPILookup?Npi=1841241833","1841241833")</f>
        <v>1841241833</v>
      </c>
      <c r="E16874" t="s">
        <v>6444</v>
      </c>
    </row>
    <row r="16875" spans="1:5" x14ac:dyDescent="0.25">
      <c r="A16875" t="s">
        <v>3</v>
      </c>
      <c r="B16875" t="s">
        <v>4066</v>
      </c>
      <c r="C16875" t="s">
        <v>23490</v>
      </c>
      <c r="D16875" t="str">
        <f>HYPERLINK("https://rhld.insurance.arkansas.gov/NPILookup?Npi=1841379161","1841379161")</f>
        <v>1841379161</v>
      </c>
      <c r="E16875" t="s">
        <v>18227</v>
      </c>
    </row>
    <row r="16876" spans="1:5" x14ac:dyDescent="0.25">
      <c r="A16876" t="s">
        <v>3</v>
      </c>
      <c r="B16876" t="s">
        <v>4066</v>
      </c>
      <c r="C16876" t="s">
        <v>23490</v>
      </c>
      <c r="D16876" t="str">
        <f>HYPERLINK("https://rhld.insurance.arkansas.gov/NPILookup?Npi=1851546725","1851546725")</f>
        <v>1851546725</v>
      </c>
      <c r="E16876" t="s">
        <v>4103</v>
      </c>
    </row>
    <row r="16877" spans="1:5" x14ac:dyDescent="0.25">
      <c r="A16877" t="s">
        <v>3</v>
      </c>
      <c r="B16877" t="s">
        <v>4066</v>
      </c>
      <c r="C16877" t="s">
        <v>23490</v>
      </c>
      <c r="D16877" t="str">
        <f>HYPERLINK("https://rhld.insurance.arkansas.gov/NPILookup?Npi=1851770564","1851770564")</f>
        <v>1851770564</v>
      </c>
      <c r="E16877" t="s">
        <v>11499</v>
      </c>
    </row>
    <row r="16878" spans="1:5" x14ac:dyDescent="0.25">
      <c r="A16878" t="s">
        <v>3</v>
      </c>
      <c r="B16878" t="s">
        <v>4066</v>
      </c>
      <c r="C16878" t="s">
        <v>23490</v>
      </c>
      <c r="D16878" t="str">
        <f>HYPERLINK("https://rhld.insurance.arkansas.gov/NPILookup?Npi=1861449639","1861449639")</f>
        <v>1861449639</v>
      </c>
      <c r="E16878" t="s">
        <v>7594</v>
      </c>
    </row>
    <row r="16879" spans="1:5" x14ac:dyDescent="0.25">
      <c r="A16879" t="s">
        <v>3</v>
      </c>
      <c r="B16879" t="s">
        <v>4066</v>
      </c>
      <c r="C16879" t="s">
        <v>23490</v>
      </c>
      <c r="D16879" t="str">
        <f>HYPERLINK("https://rhld.insurance.arkansas.gov/NPILookup?Npi=1871091355","1871091355")</f>
        <v>1871091355</v>
      </c>
      <c r="E16879" t="s">
        <v>6270</v>
      </c>
    </row>
    <row r="16880" spans="1:5" x14ac:dyDescent="0.25">
      <c r="A16880" t="s">
        <v>3</v>
      </c>
      <c r="B16880" t="s">
        <v>4066</v>
      </c>
      <c r="C16880" t="s">
        <v>23490</v>
      </c>
      <c r="D16880" t="str">
        <f>HYPERLINK("https://rhld.insurance.arkansas.gov/NPILookup?Npi=1881251510","1881251510")</f>
        <v>1881251510</v>
      </c>
      <c r="E16880" t="s">
        <v>19241</v>
      </c>
    </row>
    <row r="16881" spans="1:5" x14ac:dyDescent="0.25">
      <c r="A16881" t="s">
        <v>3</v>
      </c>
      <c r="B16881" t="s">
        <v>4066</v>
      </c>
      <c r="C16881" t="s">
        <v>23490</v>
      </c>
      <c r="D16881" t="str">
        <f>HYPERLINK("https://rhld.insurance.arkansas.gov/NPILookup?Npi=1881635993","1881635993")</f>
        <v>1881635993</v>
      </c>
      <c r="E16881" t="s">
        <v>12020</v>
      </c>
    </row>
    <row r="16882" spans="1:5" x14ac:dyDescent="0.25">
      <c r="A16882" t="s">
        <v>3</v>
      </c>
      <c r="B16882" t="s">
        <v>4066</v>
      </c>
      <c r="C16882" t="s">
        <v>23490</v>
      </c>
      <c r="D16882" t="str">
        <f>HYPERLINK("https://rhld.insurance.arkansas.gov/NPILookup?Npi=1881638880","1881638880")</f>
        <v>1881638880</v>
      </c>
      <c r="E16882" t="s">
        <v>4104</v>
      </c>
    </row>
    <row r="16883" spans="1:5" x14ac:dyDescent="0.25">
      <c r="A16883" t="s">
        <v>3</v>
      </c>
      <c r="B16883" t="s">
        <v>4066</v>
      </c>
      <c r="C16883" t="s">
        <v>23490</v>
      </c>
      <c r="D16883" t="str">
        <f>HYPERLINK("https://rhld.insurance.arkansas.gov/NPILookup?Npi=1881788933","1881788933")</f>
        <v>1881788933</v>
      </c>
      <c r="E16883" t="s">
        <v>4087</v>
      </c>
    </row>
    <row r="16884" spans="1:5" x14ac:dyDescent="0.25">
      <c r="A16884" t="s">
        <v>3</v>
      </c>
      <c r="B16884" t="s">
        <v>4066</v>
      </c>
      <c r="C16884" t="s">
        <v>23490</v>
      </c>
      <c r="D16884" t="str">
        <f>HYPERLINK("https://rhld.insurance.arkansas.gov/NPILookup?Npi=1891778049","1891778049")</f>
        <v>1891778049</v>
      </c>
      <c r="E16884" t="s">
        <v>7598</v>
      </c>
    </row>
    <row r="16885" spans="1:5" x14ac:dyDescent="0.25">
      <c r="A16885" t="s">
        <v>3</v>
      </c>
      <c r="B16885" t="s">
        <v>4066</v>
      </c>
      <c r="C16885" t="s">
        <v>23490</v>
      </c>
      <c r="D16885" t="str">
        <f>HYPERLINK("https://rhld.insurance.arkansas.gov/NPILookup?Npi=1902842255","1902842255")</f>
        <v>1902842255</v>
      </c>
      <c r="E16885" t="s">
        <v>7552</v>
      </c>
    </row>
    <row r="16886" spans="1:5" x14ac:dyDescent="0.25">
      <c r="A16886" t="s">
        <v>3</v>
      </c>
      <c r="B16886" t="s">
        <v>4066</v>
      </c>
      <c r="C16886" t="s">
        <v>23490</v>
      </c>
      <c r="D16886" t="str">
        <f>HYPERLINK("https://rhld.insurance.arkansas.gov/NPILookup?Npi=1902868391","1902868391")</f>
        <v>1902868391</v>
      </c>
      <c r="E16886" t="s">
        <v>4080</v>
      </c>
    </row>
    <row r="16887" spans="1:5" x14ac:dyDescent="0.25">
      <c r="A16887" t="s">
        <v>3</v>
      </c>
      <c r="B16887" t="s">
        <v>4066</v>
      </c>
      <c r="C16887" t="s">
        <v>23490</v>
      </c>
      <c r="D16887" t="str">
        <f>HYPERLINK("https://rhld.insurance.arkansas.gov/NPILookup?Npi=1912017815","1912017815")</f>
        <v>1912017815</v>
      </c>
      <c r="E16887" t="s">
        <v>7566</v>
      </c>
    </row>
    <row r="16888" spans="1:5" x14ac:dyDescent="0.25">
      <c r="A16888" t="s">
        <v>3</v>
      </c>
      <c r="B16888" t="s">
        <v>4066</v>
      </c>
      <c r="C16888" t="s">
        <v>23490</v>
      </c>
      <c r="D16888" t="str">
        <f>HYPERLINK("https://rhld.insurance.arkansas.gov/NPILookup?Npi=1912059932","1912059932")</f>
        <v>1912059932</v>
      </c>
      <c r="E16888" t="s">
        <v>4105</v>
      </c>
    </row>
    <row r="16889" spans="1:5" x14ac:dyDescent="0.25">
      <c r="A16889" t="s">
        <v>3</v>
      </c>
      <c r="B16889" t="s">
        <v>4066</v>
      </c>
      <c r="C16889" t="s">
        <v>23490</v>
      </c>
      <c r="D16889" t="str">
        <f>HYPERLINK("https://rhld.insurance.arkansas.gov/NPILookup?Npi=1912170416","1912170416")</f>
        <v>1912170416</v>
      </c>
      <c r="E16889" t="s">
        <v>4106</v>
      </c>
    </row>
    <row r="16890" spans="1:5" x14ac:dyDescent="0.25">
      <c r="A16890" t="s">
        <v>3</v>
      </c>
      <c r="B16890" t="s">
        <v>4066</v>
      </c>
      <c r="C16890" t="s">
        <v>23490</v>
      </c>
      <c r="D16890" t="str">
        <f>HYPERLINK("https://rhld.insurance.arkansas.gov/NPILookup?Npi=1912465295","1912465295")</f>
        <v>1912465295</v>
      </c>
      <c r="E16890" t="s">
        <v>15937</v>
      </c>
    </row>
    <row r="16891" spans="1:5" x14ac:dyDescent="0.25">
      <c r="A16891" t="s">
        <v>3</v>
      </c>
      <c r="B16891" t="s">
        <v>4066</v>
      </c>
      <c r="C16891" t="s">
        <v>23490</v>
      </c>
      <c r="D16891" t="str">
        <f>HYPERLINK("https://rhld.insurance.arkansas.gov/NPILookup?Npi=1912962341","1912962341")</f>
        <v>1912962341</v>
      </c>
      <c r="E16891" t="s">
        <v>13058</v>
      </c>
    </row>
    <row r="16892" spans="1:5" x14ac:dyDescent="0.25">
      <c r="A16892" t="s">
        <v>3</v>
      </c>
      <c r="B16892" t="s">
        <v>4066</v>
      </c>
      <c r="C16892" t="s">
        <v>23490</v>
      </c>
      <c r="D16892" t="str">
        <f>HYPERLINK("https://rhld.insurance.arkansas.gov/NPILookup?Npi=1922034503","1922034503")</f>
        <v>1922034503</v>
      </c>
      <c r="E16892" t="s">
        <v>4107</v>
      </c>
    </row>
    <row r="16893" spans="1:5" x14ac:dyDescent="0.25">
      <c r="A16893" t="s">
        <v>3</v>
      </c>
      <c r="B16893" t="s">
        <v>4066</v>
      </c>
      <c r="C16893" t="s">
        <v>23490</v>
      </c>
      <c r="D16893" t="str">
        <f>HYPERLINK("https://rhld.insurance.arkansas.gov/NPILookup?Npi=1922041490","1922041490")</f>
        <v>1922041490</v>
      </c>
      <c r="E16893" t="s">
        <v>7520</v>
      </c>
    </row>
    <row r="16894" spans="1:5" x14ac:dyDescent="0.25">
      <c r="A16894" t="s">
        <v>3</v>
      </c>
      <c r="B16894" t="s">
        <v>4066</v>
      </c>
      <c r="C16894" t="s">
        <v>23490</v>
      </c>
      <c r="D16894" t="str">
        <f>HYPERLINK("https://rhld.insurance.arkansas.gov/NPILookup?Npi=1922043686","1922043686")</f>
        <v>1922043686</v>
      </c>
      <c r="E16894" t="s">
        <v>7549</v>
      </c>
    </row>
    <row r="16895" spans="1:5" x14ac:dyDescent="0.25">
      <c r="A16895" t="s">
        <v>3</v>
      </c>
      <c r="B16895" t="s">
        <v>4066</v>
      </c>
      <c r="C16895" t="s">
        <v>23490</v>
      </c>
      <c r="D16895" t="str">
        <f>HYPERLINK("https://rhld.insurance.arkansas.gov/NPILookup?Npi=1922166123","1922166123")</f>
        <v>1922166123</v>
      </c>
      <c r="E16895" t="s">
        <v>20288</v>
      </c>
    </row>
    <row r="16896" spans="1:5" x14ac:dyDescent="0.25">
      <c r="A16896" t="s">
        <v>3</v>
      </c>
      <c r="B16896" t="s">
        <v>4066</v>
      </c>
      <c r="C16896" t="s">
        <v>23490</v>
      </c>
      <c r="D16896" t="str">
        <f>HYPERLINK("https://rhld.insurance.arkansas.gov/NPILookup?Npi=1922182831","1922182831")</f>
        <v>1922182831</v>
      </c>
      <c r="E16896" t="s">
        <v>11500</v>
      </c>
    </row>
    <row r="16897" spans="1:5" x14ac:dyDescent="0.25">
      <c r="A16897" t="s">
        <v>3</v>
      </c>
      <c r="B16897" t="s">
        <v>4066</v>
      </c>
      <c r="C16897" t="s">
        <v>23490</v>
      </c>
      <c r="D16897" t="str">
        <f>HYPERLINK("https://rhld.insurance.arkansas.gov/NPILookup?Npi=1922353754","1922353754")</f>
        <v>1922353754</v>
      </c>
      <c r="E16897" t="s">
        <v>7603</v>
      </c>
    </row>
    <row r="16898" spans="1:5" x14ac:dyDescent="0.25">
      <c r="A16898" t="s">
        <v>3</v>
      </c>
      <c r="B16898" t="s">
        <v>4066</v>
      </c>
      <c r="C16898" t="s">
        <v>23490</v>
      </c>
      <c r="D16898" t="str">
        <f>HYPERLINK("https://rhld.insurance.arkansas.gov/NPILookup?Npi=1932204344","1932204344")</f>
        <v>1932204344</v>
      </c>
      <c r="E16898" t="s">
        <v>7549</v>
      </c>
    </row>
    <row r="16899" spans="1:5" x14ac:dyDescent="0.25">
      <c r="A16899" t="s">
        <v>3</v>
      </c>
      <c r="B16899" t="s">
        <v>4066</v>
      </c>
      <c r="C16899" t="s">
        <v>23490</v>
      </c>
      <c r="D16899" t="str">
        <f>HYPERLINK("https://rhld.insurance.arkansas.gov/NPILookup?Npi=1932401650","1932401650")</f>
        <v>1932401650</v>
      </c>
      <c r="E16899" t="s">
        <v>7569</v>
      </c>
    </row>
    <row r="16900" spans="1:5" x14ac:dyDescent="0.25">
      <c r="A16900" t="s">
        <v>3</v>
      </c>
      <c r="B16900" t="s">
        <v>4066</v>
      </c>
      <c r="C16900" t="s">
        <v>23490</v>
      </c>
      <c r="D16900" t="str">
        <f>HYPERLINK("https://rhld.insurance.arkansas.gov/NPILookup?Npi=1942266879","1942266879")</f>
        <v>1942266879</v>
      </c>
      <c r="E16900" t="s">
        <v>21094</v>
      </c>
    </row>
    <row r="16901" spans="1:5" x14ac:dyDescent="0.25">
      <c r="A16901" t="s">
        <v>3</v>
      </c>
      <c r="B16901" t="s">
        <v>4066</v>
      </c>
      <c r="C16901" t="s">
        <v>23490</v>
      </c>
      <c r="D16901" t="str">
        <f>HYPERLINK("https://rhld.insurance.arkansas.gov/NPILookup?Npi=1952308215","1952308215")</f>
        <v>1952308215</v>
      </c>
      <c r="E16901" t="s">
        <v>4106</v>
      </c>
    </row>
    <row r="16902" spans="1:5" x14ac:dyDescent="0.25">
      <c r="A16902" t="s">
        <v>3</v>
      </c>
      <c r="B16902" t="s">
        <v>4066</v>
      </c>
      <c r="C16902" t="s">
        <v>23490</v>
      </c>
      <c r="D16902" t="str">
        <f>HYPERLINK("https://rhld.insurance.arkansas.gov/NPILookup?Npi=1952482036","1952482036")</f>
        <v>1952482036</v>
      </c>
      <c r="E16902" t="s">
        <v>15938</v>
      </c>
    </row>
    <row r="16903" spans="1:5" x14ac:dyDescent="0.25">
      <c r="A16903" t="s">
        <v>3</v>
      </c>
      <c r="B16903" t="s">
        <v>4066</v>
      </c>
      <c r="C16903" t="s">
        <v>23490</v>
      </c>
      <c r="D16903" t="str">
        <f>HYPERLINK("https://rhld.insurance.arkansas.gov/NPILookup?Npi=1962473306","1962473306")</f>
        <v>1962473306</v>
      </c>
      <c r="E16903" t="s">
        <v>4109</v>
      </c>
    </row>
    <row r="16904" spans="1:5" x14ac:dyDescent="0.25">
      <c r="A16904" t="s">
        <v>3</v>
      </c>
      <c r="B16904" t="s">
        <v>4066</v>
      </c>
      <c r="C16904" t="s">
        <v>23490</v>
      </c>
      <c r="D16904" t="str">
        <f>HYPERLINK("https://rhld.insurance.arkansas.gov/NPILookup?Npi=1962999359","1962999359")</f>
        <v>1962999359</v>
      </c>
      <c r="E16904" t="s">
        <v>13890</v>
      </c>
    </row>
    <row r="16905" spans="1:5" x14ac:dyDescent="0.25">
      <c r="A16905" t="s">
        <v>3</v>
      </c>
      <c r="B16905" t="s">
        <v>4066</v>
      </c>
      <c r="C16905" t="s">
        <v>23490</v>
      </c>
      <c r="D16905" t="str">
        <f>HYPERLINK("https://rhld.insurance.arkansas.gov/NPILookup?Npi=1972083806","1972083806")</f>
        <v>1972083806</v>
      </c>
      <c r="E16905" t="s">
        <v>15934</v>
      </c>
    </row>
    <row r="16906" spans="1:5" x14ac:dyDescent="0.25">
      <c r="A16906" t="s">
        <v>3</v>
      </c>
      <c r="B16906" t="s">
        <v>4066</v>
      </c>
      <c r="C16906" t="s">
        <v>23490</v>
      </c>
      <c r="D16906" t="str">
        <f>HYPERLINK("https://rhld.insurance.arkansas.gov/NPILookup?Npi=1972549038","1972549038")</f>
        <v>1972549038</v>
      </c>
      <c r="E16906" t="s">
        <v>4087</v>
      </c>
    </row>
    <row r="16907" spans="1:5" x14ac:dyDescent="0.25">
      <c r="A16907" t="s">
        <v>3</v>
      </c>
      <c r="B16907" t="s">
        <v>4066</v>
      </c>
      <c r="C16907" t="s">
        <v>23490</v>
      </c>
      <c r="D16907" t="str">
        <f>HYPERLINK("https://rhld.insurance.arkansas.gov/NPILookup?Npi=1972673069","1972673069")</f>
        <v>1972673069</v>
      </c>
      <c r="E16907" t="s">
        <v>4069</v>
      </c>
    </row>
    <row r="16908" spans="1:5" x14ac:dyDescent="0.25">
      <c r="A16908" t="s">
        <v>3</v>
      </c>
      <c r="B16908" t="s">
        <v>4066</v>
      </c>
      <c r="C16908" t="s">
        <v>23490</v>
      </c>
      <c r="D16908" t="str">
        <f>HYPERLINK("https://rhld.insurance.arkansas.gov/NPILookup?Npi=1982961439","1982961439")</f>
        <v>1982961439</v>
      </c>
      <c r="E16908" t="s">
        <v>4110</v>
      </c>
    </row>
    <row r="16909" spans="1:5" x14ac:dyDescent="0.25">
      <c r="A16909" t="s">
        <v>4</v>
      </c>
      <c r="B16909" t="s">
        <v>4111</v>
      </c>
      <c r="C16909" t="s">
        <v>23490</v>
      </c>
      <c r="D16909" t="str">
        <f>HYPERLINK("https://rhld.insurance.arkansas.gov/NPILookup?Npi=1003005687","1003005687")</f>
        <v>1003005687</v>
      </c>
      <c r="E16909" t="s">
        <v>20289</v>
      </c>
    </row>
    <row r="16910" spans="1:5" x14ac:dyDescent="0.25">
      <c r="A16910" t="s">
        <v>4</v>
      </c>
      <c r="B16910" t="s">
        <v>4111</v>
      </c>
      <c r="C16910" t="s">
        <v>23490</v>
      </c>
      <c r="D16910" t="str">
        <f>HYPERLINK("https://rhld.insurance.arkansas.gov/NPILookup?Npi=1003017302","1003017302")</f>
        <v>1003017302</v>
      </c>
      <c r="E16910" t="s">
        <v>4112</v>
      </c>
    </row>
    <row r="16911" spans="1:5" x14ac:dyDescent="0.25">
      <c r="A16911" t="s">
        <v>4</v>
      </c>
      <c r="B16911" t="s">
        <v>4111</v>
      </c>
      <c r="C16911" t="s">
        <v>23490</v>
      </c>
      <c r="D16911" t="str">
        <f>HYPERLINK("https://rhld.insurance.arkansas.gov/NPILookup?Npi=1003026261","1003026261")</f>
        <v>1003026261</v>
      </c>
      <c r="E16911" t="s">
        <v>15939</v>
      </c>
    </row>
    <row r="16912" spans="1:5" x14ac:dyDescent="0.25">
      <c r="A16912" t="s">
        <v>4</v>
      </c>
      <c r="B16912" t="s">
        <v>4111</v>
      </c>
      <c r="C16912" t="s">
        <v>23490</v>
      </c>
      <c r="D16912" t="str">
        <f>HYPERLINK("https://rhld.insurance.arkansas.gov/NPILookup?Npi=1003027061","1003027061")</f>
        <v>1003027061</v>
      </c>
      <c r="E16912" t="s">
        <v>4113</v>
      </c>
    </row>
    <row r="16913" spans="1:5" x14ac:dyDescent="0.25">
      <c r="A16913" t="s">
        <v>4</v>
      </c>
      <c r="B16913" t="s">
        <v>4111</v>
      </c>
      <c r="C16913" t="s">
        <v>23490</v>
      </c>
      <c r="D16913" t="str">
        <f>HYPERLINK("https://rhld.insurance.arkansas.gov/NPILookup?Npi=1003036302","1003036302")</f>
        <v>1003036302</v>
      </c>
      <c r="E16913" t="s">
        <v>4114</v>
      </c>
    </row>
    <row r="16914" spans="1:5" x14ac:dyDescent="0.25">
      <c r="A16914" t="s">
        <v>4</v>
      </c>
      <c r="B16914" t="s">
        <v>4111</v>
      </c>
      <c r="C16914" t="s">
        <v>23490</v>
      </c>
      <c r="D16914" t="str">
        <f>HYPERLINK("https://rhld.insurance.arkansas.gov/NPILookup?Npi=1003042540","1003042540")</f>
        <v>1003042540</v>
      </c>
      <c r="E16914" t="s">
        <v>4115</v>
      </c>
    </row>
    <row r="16915" spans="1:5" x14ac:dyDescent="0.25">
      <c r="A16915" t="s">
        <v>4</v>
      </c>
      <c r="B16915" t="s">
        <v>4111</v>
      </c>
      <c r="C16915" t="s">
        <v>23490</v>
      </c>
      <c r="D16915" t="str">
        <f>HYPERLINK("https://rhld.insurance.arkansas.gov/NPILookup?Npi=1003056938","1003056938")</f>
        <v>1003056938</v>
      </c>
      <c r="E16915" t="s">
        <v>4116</v>
      </c>
    </row>
    <row r="16916" spans="1:5" x14ac:dyDescent="0.25">
      <c r="A16916" t="s">
        <v>4</v>
      </c>
      <c r="B16916" t="s">
        <v>4111</v>
      </c>
      <c r="C16916" t="s">
        <v>23490</v>
      </c>
      <c r="D16916" t="str">
        <f>HYPERLINK("https://rhld.insurance.arkansas.gov/NPILookup?Npi=1003058850","1003058850")</f>
        <v>1003058850</v>
      </c>
      <c r="E16916" t="s">
        <v>4117</v>
      </c>
    </row>
    <row r="16917" spans="1:5" x14ac:dyDescent="0.25">
      <c r="A16917" t="s">
        <v>4</v>
      </c>
      <c r="B16917" t="s">
        <v>4111</v>
      </c>
      <c r="C16917" t="s">
        <v>23490</v>
      </c>
      <c r="D16917" t="str">
        <f>HYPERLINK("https://rhld.insurance.arkansas.gov/NPILookup?Npi=1003064460","1003064460")</f>
        <v>1003064460</v>
      </c>
      <c r="E16917" t="s">
        <v>20290</v>
      </c>
    </row>
    <row r="16918" spans="1:5" x14ac:dyDescent="0.25">
      <c r="A16918" t="s">
        <v>4</v>
      </c>
      <c r="B16918" t="s">
        <v>4111</v>
      </c>
      <c r="C16918" t="s">
        <v>23490</v>
      </c>
      <c r="D16918" t="str">
        <f>HYPERLINK("https://rhld.insurance.arkansas.gov/NPILookup?Npi=1003095415","1003095415")</f>
        <v>1003095415</v>
      </c>
      <c r="E16918" t="s">
        <v>4118</v>
      </c>
    </row>
    <row r="16919" spans="1:5" x14ac:dyDescent="0.25">
      <c r="A16919" t="s">
        <v>4</v>
      </c>
      <c r="B16919" t="s">
        <v>4111</v>
      </c>
      <c r="C16919" t="s">
        <v>23490</v>
      </c>
      <c r="D16919" t="str">
        <f>HYPERLINK("https://rhld.insurance.arkansas.gov/NPILookup?Npi=1003097841","1003097841")</f>
        <v>1003097841</v>
      </c>
      <c r="E16919" t="s">
        <v>17082</v>
      </c>
    </row>
    <row r="16920" spans="1:5" x14ac:dyDescent="0.25">
      <c r="A16920" t="s">
        <v>4</v>
      </c>
      <c r="B16920" t="s">
        <v>4111</v>
      </c>
      <c r="C16920" t="s">
        <v>23490</v>
      </c>
      <c r="D16920" t="str">
        <f>HYPERLINK("https://rhld.insurance.arkansas.gov/NPILookup?Npi=1003109745","1003109745")</f>
        <v>1003109745</v>
      </c>
      <c r="E16920" t="s">
        <v>21769</v>
      </c>
    </row>
    <row r="16921" spans="1:5" x14ac:dyDescent="0.25">
      <c r="A16921" t="s">
        <v>4</v>
      </c>
      <c r="B16921" t="s">
        <v>4111</v>
      </c>
      <c r="C16921" t="s">
        <v>23490</v>
      </c>
      <c r="D16921" t="str">
        <f>HYPERLINK("https://rhld.insurance.arkansas.gov/NPILookup?Npi=1003110420","1003110420")</f>
        <v>1003110420</v>
      </c>
      <c r="E16921" t="s">
        <v>4119</v>
      </c>
    </row>
    <row r="16922" spans="1:5" x14ac:dyDescent="0.25">
      <c r="A16922" t="s">
        <v>4</v>
      </c>
      <c r="B16922" t="s">
        <v>4111</v>
      </c>
      <c r="C16922" t="s">
        <v>23490</v>
      </c>
      <c r="D16922" t="str">
        <f>HYPERLINK("https://rhld.insurance.arkansas.gov/NPILookup?Npi=1003114943","1003114943")</f>
        <v>1003114943</v>
      </c>
      <c r="E16922" t="s">
        <v>4120</v>
      </c>
    </row>
    <row r="16923" spans="1:5" x14ac:dyDescent="0.25">
      <c r="A16923" t="s">
        <v>4</v>
      </c>
      <c r="B16923" t="s">
        <v>4111</v>
      </c>
      <c r="C16923" t="s">
        <v>23490</v>
      </c>
      <c r="D16923" t="str">
        <f>HYPERLINK("https://rhld.insurance.arkansas.gov/NPILookup?Npi=1003117227","1003117227")</f>
        <v>1003117227</v>
      </c>
      <c r="E16923" t="s">
        <v>4121</v>
      </c>
    </row>
    <row r="16924" spans="1:5" x14ac:dyDescent="0.25">
      <c r="A16924" t="s">
        <v>4</v>
      </c>
      <c r="B16924" t="s">
        <v>4111</v>
      </c>
      <c r="C16924" t="s">
        <v>23490</v>
      </c>
      <c r="D16924" t="str">
        <f>HYPERLINK("https://rhld.insurance.arkansas.gov/NPILookup?Npi=1003131285","1003131285")</f>
        <v>1003131285</v>
      </c>
      <c r="E16924" t="s">
        <v>21770</v>
      </c>
    </row>
    <row r="16925" spans="1:5" x14ac:dyDescent="0.25">
      <c r="A16925" t="s">
        <v>4</v>
      </c>
      <c r="B16925" t="s">
        <v>4111</v>
      </c>
      <c r="C16925" t="s">
        <v>23490</v>
      </c>
      <c r="D16925" t="str">
        <f>HYPERLINK("https://rhld.insurance.arkansas.gov/NPILookup?Npi=1003138710","1003138710")</f>
        <v>1003138710</v>
      </c>
      <c r="E16925" t="s">
        <v>18228</v>
      </c>
    </row>
    <row r="16926" spans="1:5" x14ac:dyDescent="0.25">
      <c r="A16926" t="s">
        <v>4</v>
      </c>
      <c r="B16926" t="s">
        <v>4111</v>
      </c>
      <c r="C16926" t="s">
        <v>23490</v>
      </c>
      <c r="D16926" t="str">
        <f>HYPERLINK("https://rhld.insurance.arkansas.gov/NPILookup?Npi=1003163080","1003163080")</f>
        <v>1003163080</v>
      </c>
      <c r="E16926" t="s">
        <v>4122</v>
      </c>
    </row>
    <row r="16927" spans="1:5" x14ac:dyDescent="0.25">
      <c r="A16927" t="s">
        <v>4</v>
      </c>
      <c r="B16927" t="s">
        <v>4111</v>
      </c>
      <c r="C16927" t="s">
        <v>23490</v>
      </c>
      <c r="D16927" t="str">
        <f>HYPERLINK("https://rhld.insurance.arkansas.gov/NPILookup?Npi=1003173774","1003173774")</f>
        <v>1003173774</v>
      </c>
      <c r="E16927" t="s">
        <v>4123</v>
      </c>
    </row>
    <row r="16928" spans="1:5" x14ac:dyDescent="0.25">
      <c r="A16928" t="s">
        <v>4</v>
      </c>
      <c r="B16928" t="s">
        <v>4111</v>
      </c>
      <c r="C16928" t="s">
        <v>23490</v>
      </c>
      <c r="D16928" t="str">
        <f>HYPERLINK("https://rhld.insurance.arkansas.gov/NPILookup?Npi=1003192196","1003192196")</f>
        <v>1003192196</v>
      </c>
      <c r="E16928" t="s">
        <v>9000</v>
      </c>
    </row>
    <row r="16929" spans="1:5" x14ac:dyDescent="0.25">
      <c r="A16929" t="s">
        <v>4</v>
      </c>
      <c r="B16929" t="s">
        <v>4111</v>
      </c>
      <c r="C16929" t="s">
        <v>23490</v>
      </c>
      <c r="D16929" t="str">
        <f>HYPERLINK("https://rhld.insurance.arkansas.gov/NPILookup?Npi=1003192972","1003192972")</f>
        <v>1003192972</v>
      </c>
      <c r="E16929" t="s">
        <v>4124</v>
      </c>
    </row>
    <row r="16930" spans="1:5" x14ac:dyDescent="0.25">
      <c r="A16930" t="s">
        <v>4</v>
      </c>
      <c r="B16930" t="s">
        <v>4111</v>
      </c>
      <c r="C16930" t="s">
        <v>23490</v>
      </c>
      <c r="D16930" t="str">
        <f>HYPERLINK("https://rhld.insurance.arkansas.gov/NPILookup?Npi=1003193822","1003193822")</f>
        <v>1003193822</v>
      </c>
      <c r="E16930" t="s">
        <v>4125</v>
      </c>
    </row>
    <row r="16931" spans="1:5" x14ac:dyDescent="0.25">
      <c r="A16931" t="s">
        <v>4</v>
      </c>
      <c r="B16931" t="s">
        <v>4111</v>
      </c>
      <c r="C16931" t="s">
        <v>23490</v>
      </c>
      <c r="D16931" t="str">
        <f>HYPERLINK("https://rhld.insurance.arkansas.gov/NPILookup?Npi=1003220906","1003220906")</f>
        <v>1003220906</v>
      </c>
      <c r="E16931" t="s">
        <v>13891</v>
      </c>
    </row>
    <row r="16932" spans="1:5" x14ac:dyDescent="0.25">
      <c r="A16932" t="s">
        <v>4</v>
      </c>
      <c r="B16932" t="s">
        <v>4111</v>
      </c>
      <c r="C16932" t="s">
        <v>23490</v>
      </c>
      <c r="D16932" t="str">
        <f>HYPERLINK("https://rhld.insurance.arkansas.gov/NPILookup?Npi=1003232141","1003232141")</f>
        <v>1003232141</v>
      </c>
      <c r="E16932" t="s">
        <v>17083</v>
      </c>
    </row>
    <row r="16933" spans="1:5" x14ac:dyDescent="0.25">
      <c r="A16933" t="s">
        <v>4</v>
      </c>
      <c r="B16933" t="s">
        <v>4111</v>
      </c>
      <c r="C16933" t="s">
        <v>23490</v>
      </c>
      <c r="D16933" t="str">
        <f>HYPERLINK("https://rhld.insurance.arkansas.gov/NPILookup?Npi=1003233693","1003233693")</f>
        <v>1003233693</v>
      </c>
      <c r="E16933" t="s">
        <v>11501</v>
      </c>
    </row>
    <row r="16934" spans="1:5" x14ac:dyDescent="0.25">
      <c r="A16934" t="s">
        <v>4</v>
      </c>
      <c r="B16934" t="s">
        <v>4111</v>
      </c>
      <c r="C16934" t="s">
        <v>23490</v>
      </c>
      <c r="D16934" t="str">
        <f>HYPERLINK("https://rhld.insurance.arkansas.gov/NPILookup?Npi=1003236340","1003236340")</f>
        <v>1003236340</v>
      </c>
      <c r="E16934" t="s">
        <v>20291</v>
      </c>
    </row>
    <row r="16935" spans="1:5" x14ac:dyDescent="0.25">
      <c r="A16935" t="s">
        <v>4</v>
      </c>
      <c r="B16935" t="s">
        <v>4111</v>
      </c>
      <c r="C16935" t="s">
        <v>23490</v>
      </c>
      <c r="D16935" t="str">
        <f>HYPERLINK("https://rhld.insurance.arkansas.gov/NPILookup?Npi=1003237900","1003237900")</f>
        <v>1003237900</v>
      </c>
      <c r="E16935" t="s">
        <v>13892</v>
      </c>
    </row>
    <row r="16936" spans="1:5" x14ac:dyDescent="0.25">
      <c r="A16936" t="s">
        <v>4</v>
      </c>
      <c r="B16936" t="s">
        <v>4111</v>
      </c>
      <c r="C16936" t="s">
        <v>23490</v>
      </c>
      <c r="D16936" t="str">
        <f>HYPERLINK("https://rhld.insurance.arkansas.gov/NPILookup?Npi=1003255357","1003255357")</f>
        <v>1003255357</v>
      </c>
      <c r="E16936" t="s">
        <v>21771</v>
      </c>
    </row>
    <row r="16937" spans="1:5" x14ac:dyDescent="0.25">
      <c r="A16937" t="s">
        <v>4</v>
      </c>
      <c r="B16937" t="s">
        <v>4111</v>
      </c>
      <c r="C16937" t="s">
        <v>23490</v>
      </c>
      <c r="D16937" t="str">
        <f>HYPERLINK("https://rhld.insurance.arkansas.gov/NPILookup?Npi=1003259391","1003259391")</f>
        <v>1003259391</v>
      </c>
      <c r="E16937" t="s">
        <v>13059</v>
      </c>
    </row>
    <row r="16938" spans="1:5" x14ac:dyDescent="0.25">
      <c r="A16938" t="s">
        <v>4</v>
      </c>
      <c r="B16938" t="s">
        <v>4111</v>
      </c>
      <c r="C16938" t="s">
        <v>23490</v>
      </c>
      <c r="D16938" t="str">
        <f>HYPERLINK("https://rhld.insurance.arkansas.gov/NPILookup?Npi=1003293556","1003293556")</f>
        <v>1003293556</v>
      </c>
      <c r="E16938" t="s">
        <v>21772</v>
      </c>
    </row>
    <row r="16939" spans="1:5" x14ac:dyDescent="0.25">
      <c r="A16939" t="s">
        <v>4</v>
      </c>
      <c r="B16939" t="s">
        <v>4111</v>
      </c>
      <c r="C16939" t="s">
        <v>23490</v>
      </c>
      <c r="D16939" t="str">
        <f>HYPERLINK("https://rhld.insurance.arkansas.gov/NPILookup?Npi=1003306853","1003306853")</f>
        <v>1003306853</v>
      </c>
      <c r="E16939" t="s">
        <v>21773</v>
      </c>
    </row>
    <row r="16940" spans="1:5" x14ac:dyDescent="0.25">
      <c r="A16940" t="s">
        <v>4</v>
      </c>
      <c r="B16940" t="s">
        <v>4111</v>
      </c>
      <c r="C16940" t="s">
        <v>8427</v>
      </c>
      <c r="D16940" t="str">
        <f>HYPERLINK("https://rhld.insurance.arkansas.gov/NPILookup?Npi=1003323056","1003323056")</f>
        <v>1003323056</v>
      </c>
      <c r="E16940" t="s">
        <v>23022</v>
      </c>
    </row>
    <row r="16941" spans="1:5" x14ac:dyDescent="0.25">
      <c r="A16941" t="s">
        <v>4</v>
      </c>
      <c r="B16941" t="s">
        <v>4111</v>
      </c>
      <c r="C16941" t="s">
        <v>23490</v>
      </c>
      <c r="D16941" t="str">
        <f>HYPERLINK("https://rhld.insurance.arkansas.gov/NPILookup?Npi=1003331208","1003331208")</f>
        <v>1003331208</v>
      </c>
      <c r="E16941" t="s">
        <v>15940</v>
      </c>
    </row>
    <row r="16942" spans="1:5" x14ac:dyDescent="0.25">
      <c r="A16942" t="s">
        <v>4</v>
      </c>
      <c r="B16942" t="s">
        <v>4111</v>
      </c>
      <c r="C16942" t="s">
        <v>23490</v>
      </c>
      <c r="D16942" t="str">
        <f>HYPERLINK("https://rhld.insurance.arkansas.gov/NPILookup?Npi=1003341504","1003341504")</f>
        <v>1003341504</v>
      </c>
      <c r="E16942" t="s">
        <v>15941</v>
      </c>
    </row>
    <row r="16943" spans="1:5" x14ac:dyDescent="0.25">
      <c r="A16943" t="s">
        <v>4</v>
      </c>
      <c r="B16943" t="s">
        <v>4111</v>
      </c>
      <c r="C16943" t="s">
        <v>23490</v>
      </c>
      <c r="D16943" t="str">
        <f>HYPERLINK("https://rhld.insurance.arkansas.gov/NPILookup?Npi=1003369950","1003369950")</f>
        <v>1003369950</v>
      </c>
      <c r="E16943" t="s">
        <v>11502</v>
      </c>
    </row>
    <row r="16944" spans="1:5" x14ac:dyDescent="0.25">
      <c r="A16944" t="s">
        <v>4</v>
      </c>
      <c r="B16944" t="s">
        <v>4111</v>
      </c>
      <c r="C16944" t="s">
        <v>23490</v>
      </c>
      <c r="D16944" t="str">
        <f>HYPERLINK("https://rhld.insurance.arkansas.gov/NPILookup?Npi=1003394602","1003394602")</f>
        <v>1003394602</v>
      </c>
      <c r="E16944" t="s">
        <v>8088</v>
      </c>
    </row>
    <row r="16945" spans="1:5" x14ac:dyDescent="0.25">
      <c r="A16945" t="s">
        <v>4</v>
      </c>
      <c r="B16945" t="s">
        <v>4111</v>
      </c>
      <c r="C16945" t="s">
        <v>23490</v>
      </c>
      <c r="D16945" t="str">
        <f>HYPERLINK("https://rhld.insurance.arkansas.gov/NPILookup?Npi=1003455833","1003455833")</f>
        <v>1003455833</v>
      </c>
      <c r="E16945" t="s">
        <v>18229</v>
      </c>
    </row>
    <row r="16946" spans="1:5" x14ac:dyDescent="0.25">
      <c r="A16946" t="s">
        <v>4</v>
      </c>
      <c r="B16946" t="s">
        <v>4111</v>
      </c>
      <c r="C16946" t="s">
        <v>23490</v>
      </c>
      <c r="D16946" t="str">
        <f>HYPERLINK("https://rhld.insurance.arkansas.gov/NPILookup?Npi=1003531518","1003531518")</f>
        <v>1003531518</v>
      </c>
      <c r="E16946" t="s">
        <v>21362</v>
      </c>
    </row>
    <row r="16947" spans="1:5" x14ac:dyDescent="0.25">
      <c r="A16947" t="s">
        <v>4</v>
      </c>
      <c r="B16947" t="s">
        <v>4111</v>
      </c>
      <c r="C16947" t="s">
        <v>23490</v>
      </c>
      <c r="D16947" t="str">
        <f>HYPERLINK("https://rhld.insurance.arkansas.gov/NPILookup?Npi=1003540014","1003540014")</f>
        <v>1003540014</v>
      </c>
      <c r="E16947" t="s">
        <v>21095</v>
      </c>
    </row>
    <row r="16948" spans="1:5" x14ac:dyDescent="0.25">
      <c r="A16948" t="s">
        <v>4</v>
      </c>
      <c r="B16948" t="s">
        <v>4111</v>
      </c>
      <c r="C16948" t="s">
        <v>23490</v>
      </c>
      <c r="D16948" t="str">
        <f>HYPERLINK("https://rhld.insurance.arkansas.gov/NPILookup?Npi=1003563032","1003563032")</f>
        <v>1003563032</v>
      </c>
      <c r="E16948" t="s">
        <v>21774</v>
      </c>
    </row>
    <row r="16949" spans="1:5" x14ac:dyDescent="0.25">
      <c r="A16949" t="s">
        <v>4</v>
      </c>
      <c r="B16949" t="s">
        <v>4111</v>
      </c>
      <c r="C16949" t="s">
        <v>23490</v>
      </c>
      <c r="D16949" t="str">
        <f>HYPERLINK("https://rhld.insurance.arkansas.gov/NPILookup?Npi=1003564154","1003564154")</f>
        <v>1003564154</v>
      </c>
      <c r="E16949" t="s">
        <v>19317</v>
      </c>
    </row>
    <row r="16950" spans="1:5" x14ac:dyDescent="0.25">
      <c r="A16950" t="s">
        <v>4</v>
      </c>
      <c r="B16950" t="s">
        <v>4111</v>
      </c>
      <c r="C16950" t="s">
        <v>23490</v>
      </c>
      <c r="D16950" t="str">
        <f>HYPERLINK("https://rhld.insurance.arkansas.gov/NPILookup?Npi=1003821802","1003821802")</f>
        <v>1003821802</v>
      </c>
      <c r="E16950" t="s">
        <v>4126</v>
      </c>
    </row>
    <row r="16951" spans="1:5" x14ac:dyDescent="0.25">
      <c r="A16951" t="s">
        <v>4</v>
      </c>
      <c r="B16951" t="s">
        <v>4111</v>
      </c>
      <c r="C16951" t="s">
        <v>23490</v>
      </c>
      <c r="D16951" t="str">
        <f>HYPERLINK("https://rhld.insurance.arkansas.gov/NPILookup?Npi=1003839887","1003839887")</f>
        <v>1003839887</v>
      </c>
      <c r="E16951" t="s">
        <v>4127</v>
      </c>
    </row>
    <row r="16952" spans="1:5" x14ac:dyDescent="0.25">
      <c r="A16952" t="s">
        <v>4</v>
      </c>
      <c r="B16952" t="s">
        <v>4111</v>
      </c>
      <c r="C16952" t="s">
        <v>23490</v>
      </c>
      <c r="D16952" t="str">
        <f>HYPERLINK("https://rhld.insurance.arkansas.gov/NPILookup?Npi=1003841115","1003841115")</f>
        <v>1003841115</v>
      </c>
      <c r="E16952" t="s">
        <v>13894</v>
      </c>
    </row>
    <row r="16953" spans="1:5" x14ac:dyDescent="0.25">
      <c r="A16953" t="s">
        <v>4</v>
      </c>
      <c r="B16953" t="s">
        <v>4111</v>
      </c>
      <c r="C16953" t="s">
        <v>23490</v>
      </c>
      <c r="D16953" t="str">
        <f>HYPERLINK("https://rhld.insurance.arkansas.gov/NPILookup?Npi=1003843277","1003843277")</f>
        <v>1003843277</v>
      </c>
      <c r="E16953" t="s">
        <v>4128</v>
      </c>
    </row>
    <row r="16954" spans="1:5" x14ac:dyDescent="0.25">
      <c r="A16954" t="s">
        <v>4</v>
      </c>
      <c r="B16954" t="s">
        <v>4111</v>
      </c>
      <c r="C16954" t="s">
        <v>23490</v>
      </c>
      <c r="D16954" t="str">
        <f>HYPERLINK("https://rhld.insurance.arkansas.gov/NPILookup?Npi=1003860362","1003860362")</f>
        <v>1003860362</v>
      </c>
      <c r="E16954" t="s">
        <v>4129</v>
      </c>
    </row>
    <row r="16955" spans="1:5" x14ac:dyDescent="0.25">
      <c r="A16955" t="s">
        <v>4</v>
      </c>
      <c r="B16955" t="s">
        <v>4111</v>
      </c>
      <c r="C16955" t="s">
        <v>23490</v>
      </c>
      <c r="D16955" t="str">
        <f>HYPERLINK("https://rhld.insurance.arkansas.gov/NPILookup?Npi=1003873985","1003873985")</f>
        <v>1003873985</v>
      </c>
      <c r="E16955" t="s">
        <v>4130</v>
      </c>
    </row>
    <row r="16956" spans="1:5" x14ac:dyDescent="0.25">
      <c r="A16956" t="s">
        <v>4</v>
      </c>
      <c r="B16956" t="s">
        <v>4111</v>
      </c>
      <c r="C16956" t="s">
        <v>23490</v>
      </c>
      <c r="D16956" t="str">
        <f>HYPERLINK("https://rhld.insurance.arkansas.gov/NPILookup?Npi=1003901604","1003901604")</f>
        <v>1003901604</v>
      </c>
      <c r="E16956" t="s">
        <v>4131</v>
      </c>
    </row>
    <row r="16957" spans="1:5" x14ac:dyDescent="0.25">
      <c r="A16957" t="s">
        <v>4</v>
      </c>
      <c r="B16957" t="s">
        <v>4111</v>
      </c>
      <c r="C16957" t="s">
        <v>23490</v>
      </c>
      <c r="D16957" t="str">
        <f>HYPERLINK("https://rhld.insurance.arkansas.gov/NPILookup?Npi=1003951682","1003951682")</f>
        <v>1003951682</v>
      </c>
      <c r="E16957" t="s">
        <v>4132</v>
      </c>
    </row>
    <row r="16958" spans="1:5" x14ac:dyDescent="0.25">
      <c r="A16958" t="s">
        <v>4</v>
      </c>
      <c r="B16958" t="s">
        <v>4111</v>
      </c>
      <c r="C16958" t="s">
        <v>23490</v>
      </c>
      <c r="D16958" t="str">
        <f>HYPERLINK("https://rhld.insurance.arkansas.gov/NPILookup?Npi=1003953357","1003953357")</f>
        <v>1003953357</v>
      </c>
      <c r="E16958" t="s">
        <v>9001</v>
      </c>
    </row>
    <row r="16959" spans="1:5" x14ac:dyDescent="0.25">
      <c r="A16959" t="s">
        <v>4</v>
      </c>
      <c r="B16959" t="s">
        <v>4111</v>
      </c>
      <c r="C16959" t="s">
        <v>23490</v>
      </c>
      <c r="D16959" t="str">
        <f>HYPERLINK("https://rhld.insurance.arkansas.gov/NPILookup?Npi=1003980236","1003980236")</f>
        <v>1003980236</v>
      </c>
      <c r="E16959" t="s">
        <v>4133</v>
      </c>
    </row>
    <row r="16960" spans="1:5" x14ac:dyDescent="0.25">
      <c r="A16960" t="s">
        <v>4</v>
      </c>
      <c r="B16960" t="s">
        <v>4111</v>
      </c>
      <c r="C16960" t="s">
        <v>23490</v>
      </c>
      <c r="D16960" t="str">
        <f>HYPERLINK("https://rhld.insurance.arkansas.gov/NPILookup?Npi=1003987165","1003987165")</f>
        <v>1003987165</v>
      </c>
      <c r="E16960" t="s">
        <v>4134</v>
      </c>
    </row>
    <row r="16961" spans="1:5" x14ac:dyDescent="0.25">
      <c r="A16961" t="s">
        <v>4</v>
      </c>
      <c r="B16961" t="s">
        <v>4111</v>
      </c>
      <c r="C16961" t="s">
        <v>23490</v>
      </c>
      <c r="D16961" t="str">
        <f>HYPERLINK("https://rhld.insurance.arkansas.gov/NPILookup?Npi=1013003409","1013003409")</f>
        <v>1013003409</v>
      </c>
      <c r="E16961" t="s">
        <v>4135</v>
      </c>
    </row>
    <row r="16962" spans="1:5" x14ac:dyDescent="0.25">
      <c r="A16962" t="s">
        <v>4</v>
      </c>
      <c r="B16962" t="s">
        <v>4111</v>
      </c>
      <c r="C16962" t="s">
        <v>23490</v>
      </c>
      <c r="D16962" t="str">
        <f>HYPERLINK("https://rhld.insurance.arkansas.gov/NPILookup?Npi=1013007673","1013007673")</f>
        <v>1013007673</v>
      </c>
      <c r="E16962" t="s">
        <v>656</v>
      </c>
    </row>
    <row r="16963" spans="1:5" x14ac:dyDescent="0.25">
      <c r="A16963" t="s">
        <v>4</v>
      </c>
      <c r="B16963" t="s">
        <v>4111</v>
      </c>
      <c r="C16963" t="s">
        <v>23490</v>
      </c>
      <c r="D16963" t="str">
        <f>HYPERLINK("https://rhld.insurance.arkansas.gov/NPILookup?Npi=1013020494","1013020494")</f>
        <v>1013020494</v>
      </c>
      <c r="E16963" t="s">
        <v>4136</v>
      </c>
    </row>
    <row r="16964" spans="1:5" x14ac:dyDescent="0.25">
      <c r="A16964" t="s">
        <v>4</v>
      </c>
      <c r="B16964" t="s">
        <v>4111</v>
      </c>
      <c r="C16964" t="s">
        <v>23490</v>
      </c>
      <c r="D16964" t="str">
        <f>HYPERLINK("https://rhld.insurance.arkansas.gov/NPILookup?Npi=1013032754","1013032754")</f>
        <v>1013032754</v>
      </c>
      <c r="E16964" t="s">
        <v>15942</v>
      </c>
    </row>
    <row r="16965" spans="1:5" x14ac:dyDescent="0.25">
      <c r="A16965" t="s">
        <v>4</v>
      </c>
      <c r="B16965" t="s">
        <v>4111</v>
      </c>
      <c r="C16965" t="s">
        <v>23490</v>
      </c>
      <c r="D16965" t="str">
        <f>HYPERLINK("https://rhld.insurance.arkansas.gov/NPILookup?Npi=1013033984","1013033984")</f>
        <v>1013033984</v>
      </c>
      <c r="E16965" t="s">
        <v>13895</v>
      </c>
    </row>
    <row r="16966" spans="1:5" x14ac:dyDescent="0.25">
      <c r="A16966" t="s">
        <v>4</v>
      </c>
      <c r="B16966" t="s">
        <v>4111</v>
      </c>
      <c r="C16966" t="s">
        <v>23490</v>
      </c>
      <c r="D16966" t="str">
        <f>HYPERLINK("https://rhld.insurance.arkansas.gov/NPILookup?Npi=1013038082","1013038082")</f>
        <v>1013038082</v>
      </c>
      <c r="E16966" t="s">
        <v>13896</v>
      </c>
    </row>
    <row r="16967" spans="1:5" x14ac:dyDescent="0.25">
      <c r="A16967" t="s">
        <v>4</v>
      </c>
      <c r="B16967" t="s">
        <v>4111</v>
      </c>
      <c r="C16967" t="s">
        <v>23490</v>
      </c>
      <c r="D16967" t="str">
        <f>HYPERLINK("https://rhld.insurance.arkansas.gov/NPILookup?Npi=1013041847","1013041847")</f>
        <v>1013041847</v>
      </c>
      <c r="E16967" t="s">
        <v>11503</v>
      </c>
    </row>
    <row r="16968" spans="1:5" x14ac:dyDescent="0.25">
      <c r="A16968" t="s">
        <v>4</v>
      </c>
      <c r="B16968" t="s">
        <v>4111</v>
      </c>
      <c r="C16968" t="s">
        <v>23490</v>
      </c>
      <c r="D16968" t="str">
        <f>HYPERLINK("https://rhld.insurance.arkansas.gov/NPILookup?Npi=1013043793","1013043793")</f>
        <v>1013043793</v>
      </c>
      <c r="E16968" t="s">
        <v>20292</v>
      </c>
    </row>
    <row r="16969" spans="1:5" x14ac:dyDescent="0.25">
      <c r="A16969" t="s">
        <v>4</v>
      </c>
      <c r="B16969" t="s">
        <v>4111</v>
      </c>
      <c r="C16969" t="s">
        <v>23490</v>
      </c>
      <c r="D16969" t="str">
        <f>HYPERLINK("https://rhld.insurance.arkansas.gov/NPILookup?Npi=1013047406","1013047406")</f>
        <v>1013047406</v>
      </c>
      <c r="E16969" t="s">
        <v>4137</v>
      </c>
    </row>
    <row r="16970" spans="1:5" x14ac:dyDescent="0.25">
      <c r="A16970" t="s">
        <v>4</v>
      </c>
      <c r="B16970" t="s">
        <v>4111</v>
      </c>
      <c r="C16970" t="s">
        <v>23490</v>
      </c>
      <c r="D16970" t="str">
        <f>HYPERLINK("https://rhld.insurance.arkansas.gov/NPILookup?Npi=1013051473","1013051473")</f>
        <v>1013051473</v>
      </c>
      <c r="E16970" t="s">
        <v>4138</v>
      </c>
    </row>
    <row r="16971" spans="1:5" x14ac:dyDescent="0.25">
      <c r="A16971" t="s">
        <v>4</v>
      </c>
      <c r="B16971" t="s">
        <v>4111</v>
      </c>
      <c r="C16971" t="s">
        <v>23490</v>
      </c>
      <c r="D16971" t="str">
        <f>HYPERLINK("https://rhld.insurance.arkansas.gov/NPILookup?Npi=1013055490","1013055490")</f>
        <v>1013055490</v>
      </c>
      <c r="E16971" t="s">
        <v>9002</v>
      </c>
    </row>
    <row r="16972" spans="1:5" x14ac:dyDescent="0.25">
      <c r="A16972" t="s">
        <v>4</v>
      </c>
      <c r="B16972" t="s">
        <v>4111</v>
      </c>
      <c r="C16972" t="s">
        <v>23490</v>
      </c>
      <c r="D16972" t="str">
        <f>HYPERLINK("https://rhld.insurance.arkansas.gov/NPILookup?Npi=1013101039","1013101039")</f>
        <v>1013101039</v>
      </c>
      <c r="E16972" t="s">
        <v>13897</v>
      </c>
    </row>
    <row r="16973" spans="1:5" x14ac:dyDescent="0.25">
      <c r="A16973" t="s">
        <v>4</v>
      </c>
      <c r="B16973" t="s">
        <v>4111</v>
      </c>
      <c r="C16973" t="s">
        <v>23490</v>
      </c>
      <c r="D16973" t="str">
        <f>HYPERLINK("https://rhld.insurance.arkansas.gov/NPILookup?Npi=1013110857","1013110857")</f>
        <v>1013110857</v>
      </c>
      <c r="E16973" t="s">
        <v>15943</v>
      </c>
    </row>
    <row r="16974" spans="1:5" x14ac:dyDescent="0.25">
      <c r="A16974" t="s">
        <v>4</v>
      </c>
      <c r="B16974" t="s">
        <v>4111</v>
      </c>
      <c r="C16974" t="s">
        <v>23490</v>
      </c>
      <c r="D16974" t="str">
        <f>HYPERLINK("https://rhld.insurance.arkansas.gov/NPILookup?Npi=1013138361","1013138361")</f>
        <v>1013138361</v>
      </c>
      <c r="E16974" t="s">
        <v>4139</v>
      </c>
    </row>
    <row r="16975" spans="1:5" x14ac:dyDescent="0.25">
      <c r="A16975" t="s">
        <v>4</v>
      </c>
      <c r="B16975" t="s">
        <v>4111</v>
      </c>
      <c r="C16975" t="s">
        <v>23490</v>
      </c>
      <c r="D16975" t="str">
        <f>HYPERLINK("https://rhld.insurance.arkansas.gov/NPILookup?Npi=1013151372","1013151372")</f>
        <v>1013151372</v>
      </c>
      <c r="E16975" t="s">
        <v>4140</v>
      </c>
    </row>
    <row r="16976" spans="1:5" x14ac:dyDescent="0.25">
      <c r="A16976" t="s">
        <v>4</v>
      </c>
      <c r="B16976" t="s">
        <v>4111</v>
      </c>
      <c r="C16976" t="s">
        <v>23490</v>
      </c>
      <c r="D16976" t="str">
        <f>HYPERLINK("https://rhld.insurance.arkansas.gov/NPILookup?Npi=1013161892","1013161892")</f>
        <v>1013161892</v>
      </c>
      <c r="E16976" t="s">
        <v>21096</v>
      </c>
    </row>
    <row r="16977" spans="1:5" x14ac:dyDescent="0.25">
      <c r="A16977" t="s">
        <v>4</v>
      </c>
      <c r="B16977" t="s">
        <v>4111</v>
      </c>
      <c r="C16977" t="s">
        <v>23490</v>
      </c>
      <c r="D16977" t="str">
        <f>HYPERLINK("https://rhld.insurance.arkansas.gov/NPILookup?Npi=1013168442","1013168442")</f>
        <v>1013168442</v>
      </c>
      <c r="E16977" t="s">
        <v>23023</v>
      </c>
    </row>
    <row r="16978" spans="1:5" x14ac:dyDescent="0.25">
      <c r="A16978" t="s">
        <v>4</v>
      </c>
      <c r="B16978" t="s">
        <v>4111</v>
      </c>
      <c r="C16978" t="s">
        <v>23490</v>
      </c>
      <c r="D16978" t="str">
        <f>HYPERLINK("https://rhld.insurance.arkansas.gov/NPILookup?Npi=1013169176","1013169176")</f>
        <v>1013169176</v>
      </c>
      <c r="E16978" t="s">
        <v>4141</v>
      </c>
    </row>
    <row r="16979" spans="1:5" x14ac:dyDescent="0.25">
      <c r="A16979" t="s">
        <v>4</v>
      </c>
      <c r="B16979" t="s">
        <v>4111</v>
      </c>
      <c r="C16979" t="s">
        <v>23490</v>
      </c>
      <c r="D16979" t="str">
        <f>HYPERLINK("https://rhld.insurance.arkansas.gov/NPILookup?Npi=1013183482","1013183482")</f>
        <v>1013183482</v>
      </c>
      <c r="E16979" t="s">
        <v>4142</v>
      </c>
    </row>
    <row r="16980" spans="1:5" x14ac:dyDescent="0.25">
      <c r="A16980" t="s">
        <v>4</v>
      </c>
      <c r="B16980" t="s">
        <v>4111</v>
      </c>
      <c r="C16980" t="s">
        <v>23490</v>
      </c>
      <c r="D16980" t="str">
        <f>HYPERLINK("https://rhld.insurance.arkansas.gov/NPILookup?Npi=1013186980","1013186980")</f>
        <v>1013186980</v>
      </c>
      <c r="E16980" t="s">
        <v>21775</v>
      </c>
    </row>
    <row r="16981" spans="1:5" x14ac:dyDescent="0.25">
      <c r="A16981" t="s">
        <v>4</v>
      </c>
      <c r="B16981" t="s">
        <v>4111</v>
      </c>
      <c r="C16981" t="s">
        <v>23490</v>
      </c>
      <c r="D16981" t="str">
        <f>HYPERLINK("https://rhld.insurance.arkansas.gov/NPILookup?Npi=1013187202","1013187202")</f>
        <v>1013187202</v>
      </c>
      <c r="E16981" t="s">
        <v>13898</v>
      </c>
    </row>
    <row r="16982" spans="1:5" x14ac:dyDescent="0.25">
      <c r="A16982" t="s">
        <v>4</v>
      </c>
      <c r="B16982" t="s">
        <v>4111</v>
      </c>
      <c r="C16982" t="s">
        <v>23490</v>
      </c>
      <c r="D16982" t="str">
        <f>HYPERLINK("https://rhld.insurance.arkansas.gov/NPILookup?Npi=1013211424","1013211424")</f>
        <v>1013211424</v>
      </c>
      <c r="E16982" t="s">
        <v>20293</v>
      </c>
    </row>
    <row r="16983" spans="1:5" x14ac:dyDescent="0.25">
      <c r="A16983" t="s">
        <v>4</v>
      </c>
      <c r="B16983" t="s">
        <v>4111</v>
      </c>
      <c r="C16983" t="s">
        <v>23490</v>
      </c>
      <c r="D16983" t="str">
        <f>HYPERLINK("https://rhld.insurance.arkansas.gov/NPILookup?Npi=1013220011","1013220011")</f>
        <v>1013220011</v>
      </c>
      <c r="E16983" t="s">
        <v>9003</v>
      </c>
    </row>
    <row r="16984" spans="1:5" x14ac:dyDescent="0.25">
      <c r="A16984" t="s">
        <v>4</v>
      </c>
      <c r="B16984" t="s">
        <v>4111</v>
      </c>
      <c r="C16984" t="s">
        <v>23490</v>
      </c>
      <c r="D16984" t="str">
        <f>HYPERLINK("https://rhld.insurance.arkansas.gov/NPILookup?Npi=1013221258","1013221258")</f>
        <v>1013221258</v>
      </c>
      <c r="E16984" t="s">
        <v>4143</v>
      </c>
    </row>
    <row r="16985" spans="1:5" x14ac:dyDescent="0.25">
      <c r="A16985" t="s">
        <v>4</v>
      </c>
      <c r="B16985" t="s">
        <v>4111</v>
      </c>
      <c r="C16985" t="s">
        <v>23490</v>
      </c>
      <c r="D16985" t="str">
        <f>HYPERLINK("https://rhld.insurance.arkansas.gov/NPILookup?Npi=1013236033","1013236033")</f>
        <v>1013236033</v>
      </c>
      <c r="E16985" t="s">
        <v>13899</v>
      </c>
    </row>
    <row r="16986" spans="1:5" x14ac:dyDescent="0.25">
      <c r="A16986" t="s">
        <v>4</v>
      </c>
      <c r="B16986" t="s">
        <v>4111</v>
      </c>
      <c r="C16986" t="s">
        <v>23490</v>
      </c>
      <c r="D16986" t="str">
        <f>HYPERLINK("https://rhld.insurance.arkansas.gov/NPILookup?Npi=1013268531","1013268531")</f>
        <v>1013268531</v>
      </c>
      <c r="E16986" t="s">
        <v>11504</v>
      </c>
    </row>
    <row r="16987" spans="1:5" x14ac:dyDescent="0.25">
      <c r="A16987" t="s">
        <v>4</v>
      </c>
      <c r="B16987" t="s">
        <v>4111</v>
      </c>
      <c r="C16987" t="s">
        <v>23490</v>
      </c>
      <c r="D16987" t="str">
        <f>HYPERLINK("https://rhld.insurance.arkansas.gov/NPILookup?Npi=1013274018","1013274018")</f>
        <v>1013274018</v>
      </c>
      <c r="E16987" t="s">
        <v>21776</v>
      </c>
    </row>
    <row r="16988" spans="1:5" x14ac:dyDescent="0.25">
      <c r="A16988" t="s">
        <v>4</v>
      </c>
      <c r="B16988" t="s">
        <v>4111</v>
      </c>
      <c r="C16988" t="s">
        <v>23490</v>
      </c>
      <c r="D16988" t="str">
        <f>HYPERLINK("https://rhld.insurance.arkansas.gov/NPILookup?Npi=1013277003","1013277003")</f>
        <v>1013277003</v>
      </c>
      <c r="E16988" t="s">
        <v>4144</v>
      </c>
    </row>
    <row r="16989" spans="1:5" x14ac:dyDescent="0.25">
      <c r="A16989" t="s">
        <v>4</v>
      </c>
      <c r="B16989" t="s">
        <v>4111</v>
      </c>
      <c r="C16989" t="s">
        <v>23490</v>
      </c>
      <c r="D16989" t="str">
        <f>HYPERLINK("https://rhld.insurance.arkansas.gov/NPILookup?Npi=1013288034","1013288034")</f>
        <v>1013288034</v>
      </c>
      <c r="E16989" t="s">
        <v>21777</v>
      </c>
    </row>
    <row r="16990" spans="1:5" x14ac:dyDescent="0.25">
      <c r="A16990" t="s">
        <v>4</v>
      </c>
      <c r="B16990" t="s">
        <v>4111</v>
      </c>
      <c r="C16990" t="s">
        <v>23490</v>
      </c>
      <c r="D16990" t="str">
        <f>HYPERLINK("https://rhld.insurance.arkansas.gov/NPILookup?Npi=1013296300","1013296300")</f>
        <v>1013296300</v>
      </c>
      <c r="E16990" t="s">
        <v>11505</v>
      </c>
    </row>
    <row r="16991" spans="1:5" x14ac:dyDescent="0.25">
      <c r="A16991" t="s">
        <v>4</v>
      </c>
      <c r="B16991" t="s">
        <v>4111</v>
      </c>
      <c r="C16991" t="s">
        <v>23490</v>
      </c>
      <c r="D16991" t="str">
        <f>HYPERLINK("https://rhld.insurance.arkansas.gov/NPILookup?Npi=1013316645","1013316645")</f>
        <v>1013316645</v>
      </c>
      <c r="E16991" t="s">
        <v>20294</v>
      </c>
    </row>
    <row r="16992" spans="1:5" x14ac:dyDescent="0.25">
      <c r="A16992" t="s">
        <v>4</v>
      </c>
      <c r="B16992" t="s">
        <v>4111</v>
      </c>
      <c r="C16992" t="s">
        <v>23490</v>
      </c>
      <c r="D16992" t="str">
        <f>HYPERLINK("https://rhld.insurance.arkansas.gov/NPILookup?Npi=1013349208","1013349208")</f>
        <v>1013349208</v>
      </c>
      <c r="E16992" t="s">
        <v>13060</v>
      </c>
    </row>
    <row r="16993" spans="1:5" x14ac:dyDescent="0.25">
      <c r="A16993" t="s">
        <v>4</v>
      </c>
      <c r="B16993" t="s">
        <v>4111</v>
      </c>
      <c r="C16993" t="s">
        <v>23490</v>
      </c>
      <c r="D16993" t="str">
        <f>HYPERLINK("https://rhld.insurance.arkansas.gov/NPILookup?Npi=1013358522","1013358522")</f>
        <v>1013358522</v>
      </c>
      <c r="E16993" t="s">
        <v>21708</v>
      </c>
    </row>
    <row r="16994" spans="1:5" x14ac:dyDescent="0.25">
      <c r="A16994" t="s">
        <v>4</v>
      </c>
      <c r="B16994" t="s">
        <v>4111</v>
      </c>
      <c r="C16994" t="s">
        <v>23490</v>
      </c>
      <c r="D16994" t="str">
        <f>HYPERLINK("https://rhld.insurance.arkansas.gov/NPILookup?Npi=1013367754","1013367754")</f>
        <v>1013367754</v>
      </c>
      <c r="E16994" t="s">
        <v>18932</v>
      </c>
    </row>
    <row r="16995" spans="1:5" x14ac:dyDescent="0.25">
      <c r="A16995" t="s">
        <v>4</v>
      </c>
      <c r="B16995" t="s">
        <v>4111</v>
      </c>
      <c r="C16995" t="s">
        <v>23490</v>
      </c>
      <c r="D16995" t="str">
        <f>HYPERLINK("https://rhld.insurance.arkansas.gov/NPILookup?Npi=1013369404","1013369404")</f>
        <v>1013369404</v>
      </c>
      <c r="E16995" t="s">
        <v>8962</v>
      </c>
    </row>
    <row r="16996" spans="1:5" x14ac:dyDescent="0.25">
      <c r="A16996" t="s">
        <v>4</v>
      </c>
      <c r="B16996" t="s">
        <v>4111</v>
      </c>
      <c r="C16996" t="s">
        <v>23490</v>
      </c>
      <c r="D16996" t="str">
        <f>HYPERLINK("https://rhld.insurance.arkansas.gov/NPILookup?Npi=1013380930","1013380930")</f>
        <v>1013380930</v>
      </c>
      <c r="E16996" t="s">
        <v>18230</v>
      </c>
    </row>
    <row r="16997" spans="1:5" x14ac:dyDescent="0.25">
      <c r="A16997" t="s">
        <v>4</v>
      </c>
      <c r="B16997" t="s">
        <v>4111</v>
      </c>
      <c r="C16997" t="s">
        <v>23490</v>
      </c>
      <c r="D16997" t="str">
        <f>HYPERLINK("https://rhld.insurance.arkansas.gov/NPILookup?Npi=1013408137","1013408137")</f>
        <v>1013408137</v>
      </c>
      <c r="E16997" t="s">
        <v>23024</v>
      </c>
    </row>
    <row r="16998" spans="1:5" x14ac:dyDescent="0.25">
      <c r="A16998" t="s">
        <v>4</v>
      </c>
      <c r="B16998" t="s">
        <v>4111</v>
      </c>
      <c r="C16998" t="s">
        <v>23490</v>
      </c>
      <c r="D16998" t="str">
        <f>HYPERLINK("https://rhld.insurance.arkansas.gov/NPILookup?Npi=1013416601","1013416601")</f>
        <v>1013416601</v>
      </c>
      <c r="E16998" t="s">
        <v>13061</v>
      </c>
    </row>
    <row r="16999" spans="1:5" x14ac:dyDescent="0.25">
      <c r="A16999" t="s">
        <v>4</v>
      </c>
      <c r="B16999" t="s">
        <v>4111</v>
      </c>
      <c r="C16999" t="s">
        <v>23490</v>
      </c>
      <c r="D16999" t="str">
        <f>HYPERLINK("https://rhld.insurance.arkansas.gov/NPILookup?Npi=1013446616","1013446616")</f>
        <v>1013446616</v>
      </c>
      <c r="E16999" t="s">
        <v>11506</v>
      </c>
    </row>
    <row r="17000" spans="1:5" x14ac:dyDescent="0.25">
      <c r="A17000" t="s">
        <v>4</v>
      </c>
      <c r="B17000" t="s">
        <v>4111</v>
      </c>
      <c r="C17000" t="s">
        <v>23490</v>
      </c>
      <c r="D17000" t="str">
        <f>HYPERLINK("https://rhld.insurance.arkansas.gov/NPILookup?Npi=1013461607","1013461607")</f>
        <v>1013461607</v>
      </c>
      <c r="E17000" t="s">
        <v>15944</v>
      </c>
    </row>
    <row r="17001" spans="1:5" x14ac:dyDescent="0.25">
      <c r="A17001" t="s">
        <v>4</v>
      </c>
      <c r="B17001" t="s">
        <v>4111</v>
      </c>
      <c r="C17001" t="s">
        <v>23490</v>
      </c>
      <c r="D17001" t="str">
        <f>HYPERLINK("https://rhld.insurance.arkansas.gov/NPILookup?Npi=1013465301","1013465301")</f>
        <v>1013465301</v>
      </c>
      <c r="E17001" t="s">
        <v>21778</v>
      </c>
    </row>
    <row r="17002" spans="1:5" x14ac:dyDescent="0.25">
      <c r="A17002" t="s">
        <v>4</v>
      </c>
      <c r="B17002" t="s">
        <v>4111</v>
      </c>
      <c r="C17002" t="s">
        <v>23490</v>
      </c>
      <c r="D17002" t="str">
        <f>HYPERLINK("https://rhld.insurance.arkansas.gov/NPILookup?Npi=1013492511","1013492511")</f>
        <v>1013492511</v>
      </c>
      <c r="E17002" t="s">
        <v>13900</v>
      </c>
    </row>
    <row r="17003" spans="1:5" x14ac:dyDescent="0.25">
      <c r="A17003" t="s">
        <v>4</v>
      </c>
      <c r="B17003" t="s">
        <v>4111</v>
      </c>
      <c r="C17003" t="s">
        <v>23490</v>
      </c>
      <c r="D17003" t="str">
        <f>HYPERLINK("https://rhld.insurance.arkansas.gov/NPILookup?Npi=1013513423","1013513423")</f>
        <v>1013513423</v>
      </c>
      <c r="E17003" t="s">
        <v>17523</v>
      </c>
    </row>
    <row r="17004" spans="1:5" x14ac:dyDescent="0.25">
      <c r="A17004" t="s">
        <v>4</v>
      </c>
      <c r="B17004" t="s">
        <v>4111</v>
      </c>
      <c r="C17004" t="s">
        <v>23490</v>
      </c>
      <c r="D17004" t="str">
        <f>HYPERLINK("https://rhld.insurance.arkansas.gov/NPILookup?Npi=1013532563","1013532563")</f>
        <v>1013532563</v>
      </c>
      <c r="E17004" t="s">
        <v>20295</v>
      </c>
    </row>
    <row r="17005" spans="1:5" x14ac:dyDescent="0.25">
      <c r="A17005" t="s">
        <v>4</v>
      </c>
      <c r="B17005" t="s">
        <v>4111</v>
      </c>
      <c r="C17005" t="s">
        <v>23490</v>
      </c>
      <c r="D17005" t="str">
        <f>HYPERLINK("https://rhld.insurance.arkansas.gov/NPILookup?Npi=1013540616","1013540616")</f>
        <v>1013540616</v>
      </c>
      <c r="E17005" t="s">
        <v>21097</v>
      </c>
    </row>
    <row r="17006" spans="1:5" x14ac:dyDescent="0.25">
      <c r="A17006" t="s">
        <v>4</v>
      </c>
      <c r="B17006" t="s">
        <v>4111</v>
      </c>
      <c r="C17006" t="s">
        <v>23490</v>
      </c>
      <c r="D17006" t="str">
        <f>HYPERLINK("https://rhld.insurance.arkansas.gov/NPILookup?Npi=1013546290","1013546290")</f>
        <v>1013546290</v>
      </c>
      <c r="E17006" t="s">
        <v>21779</v>
      </c>
    </row>
    <row r="17007" spans="1:5" x14ac:dyDescent="0.25">
      <c r="A17007" t="s">
        <v>4</v>
      </c>
      <c r="B17007" t="s">
        <v>4111</v>
      </c>
      <c r="C17007" t="s">
        <v>23490</v>
      </c>
      <c r="D17007" t="str">
        <f>HYPERLINK("https://rhld.insurance.arkansas.gov/NPILookup?Npi=1013546654","1013546654")</f>
        <v>1013546654</v>
      </c>
      <c r="E17007" t="s">
        <v>20296</v>
      </c>
    </row>
    <row r="17008" spans="1:5" x14ac:dyDescent="0.25">
      <c r="A17008" t="s">
        <v>4</v>
      </c>
      <c r="B17008" t="s">
        <v>4111</v>
      </c>
      <c r="C17008" t="s">
        <v>23490</v>
      </c>
      <c r="D17008" t="str">
        <f>HYPERLINK("https://rhld.insurance.arkansas.gov/NPILookup?Npi=1013548783","1013548783")</f>
        <v>1013548783</v>
      </c>
      <c r="E17008" t="s">
        <v>16850</v>
      </c>
    </row>
    <row r="17009" spans="1:5" x14ac:dyDescent="0.25">
      <c r="A17009" t="s">
        <v>4</v>
      </c>
      <c r="B17009" t="s">
        <v>4111</v>
      </c>
      <c r="C17009" t="s">
        <v>23490</v>
      </c>
      <c r="D17009" t="str">
        <f>HYPERLINK("https://rhld.insurance.arkansas.gov/NPILookup?Npi=1013595420","1013595420")</f>
        <v>1013595420</v>
      </c>
      <c r="E17009" t="s">
        <v>21364</v>
      </c>
    </row>
    <row r="17010" spans="1:5" x14ac:dyDescent="0.25">
      <c r="A17010" t="s">
        <v>4</v>
      </c>
      <c r="B17010" t="s">
        <v>4111</v>
      </c>
      <c r="C17010" t="s">
        <v>8427</v>
      </c>
      <c r="D17010" t="str">
        <f>HYPERLINK("https://rhld.insurance.arkansas.gov/NPILookup?Npi=1013636166","1013636166")</f>
        <v>1013636166</v>
      </c>
      <c r="E17010" t="s">
        <v>23025</v>
      </c>
    </row>
    <row r="17011" spans="1:5" x14ac:dyDescent="0.25">
      <c r="A17011" t="s">
        <v>4</v>
      </c>
      <c r="B17011" t="s">
        <v>4111</v>
      </c>
      <c r="C17011" t="s">
        <v>23490</v>
      </c>
      <c r="D17011" t="str">
        <f>HYPERLINK("https://rhld.insurance.arkansas.gov/NPILookup?Npi=1013677681","1013677681")</f>
        <v>1013677681</v>
      </c>
      <c r="E17011" t="s">
        <v>21780</v>
      </c>
    </row>
    <row r="17012" spans="1:5" x14ac:dyDescent="0.25">
      <c r="A17012" t="s">
        <v>4</v>
      </c>
      <c r="B17012" t="s">
        <v>4111</v>
      </c>
      <c r="C17012" t="s">
        <v>23490</v>
      </c>
      <c r="D17012" t="str">
        <f>HYPERLINK("https://rhld.insurance.arkansas.gov/NPILookup?Npi=1013960707","1013960707")</f>
        <v>1013960707</v>
      </c>
      <c r="E17012" t="s">
        <v>20297</v>
      </c>
    </row>
    <row r="17013" spans="1:5" x14ac:dyDescent="0.25">
      <c r="A17013" t="s">
        <v>4</v>
      </c>
      <c r="B17013" t="s">
        <v>4111</v>
      </c>
      <c r="C17013" t="s">
        <v>23490</v>
      </c>
      <c r="D17013" t="str">
        <f>HYPERLINK("https://rhld.insurance.arkansas.gov/NPILookup?Npi=1013972314","1013972314")</f>
        <v>1013972314</v>
      </c>
      <c r="E17013" t="s">
        <v>4146</v>
      </c>
    </row>
    <row r="17014" spans="1:5" x14ac:dyDescent="0.25">
      <c r="A17014" t="s">
        <v>4</v>
      </c>
      <c r="B17014" t="s">
        <v>4111</v>
      </c>
      <c r="C17014" t="s">
        <v>23490</v>
      </c>
      <c r="D17014" t="str">
        <f>HYPERLINK("https://rhld.insurance.arkansas.gov/NPILookup?Npi=1013981422","1013981422")</f>
        <v>1013981422</v>
      </c>
      <c r="E17014" t="s">
        <v>4147</v>
      </c>
    </row>
    <row r="17015" spans="1:5" x14ac:dyDescent="0.25">
      <c r="A17015" t="s">
        <v>4</v>
      </c>
      <c r="B17015" t="s">
        <v>4111</v>
      </c>
      <c r="C17015" t="s">
        <v>23490</v>
      </c>
      <c r="D17015" t="str">
        <f>HYPERLINK("https://rhld.insurance.arkansas.gov/NPILookup?Npi=1013983071","1013983071")</f>
        <v>1013983071</v>
      </c>
      <c r="E17015" t="s">
        <v>4148</v>
      </c>
    </row>
    <row r="17016" spans="1:5" x14ac:dyDescent="0.25">
      <c r="A17016" t="s">
        <v>4</v>
      </c>
      <c r="B17016" t="s">
        <v>4111</v>
      </c>
      <c r="C17016" t="s">
        <v>23490</v>
      </c>
      <c r="D17016" t="str">
        <f>HYPERLINK("https://rhld.insurance.arkansas.gov/NPILookup?Npi=1013987510","1013987510")</f>
        <v>1013987510</v>
      </c>
      <c r="E17016" t="s">
        <v>4149</v>
      </c>
    </row>
    <row r="17017" spans="1:5" x14ac:dyDescent="0.25">
      <c r="A17017" t="s">
        <v>4</v>
      </c>
      <c r="B17017" t="s">
        <v>4111</v>
      </c>
      <c r="C17017" t="s">
        <v>23490</v>
      </c>
      <c r="D17017" t="str">
        <f>HYPERLINK("https://rhld.insurance.arkansas.gov/NPILookup?Npi=1013995489","1013995489")</f>
        <v>1013995489</v>
      </c>
      <c r="E17017" t="s">
        <v>20298</v>
      </c>
    </row>
    <row r="17018" spans="1:5" x14ac:dyDescent="0.25">
      <c r="A17018" t="s">
        <v>4</v>
      </c>
      <c r="B17018" t="s">
        <v>4111</v>
      </c>
      <c r="C17018" t="s">
        <v>23490</v>
      </c>
      <c r="D17018" t="str">
        <f>HYPERLINK("https://rhld.insurance.arkansas.gov/NPILookup?Npi=1023003548","1023003548")</f>
        <v>1023003548</v>
      </c>
      <c r="E17018" t="s">
        <v>4150</v>
      </c>
    </row>
    <row r="17019" spans="1:5" x14ac:dyDescent="0.25">
      <c r="A17019" t="s">
        <v>4</v>
      </c>
      <c r="B17019" t="s">
        <v>4111</v>
      </c>
      <c r="C17019" t="s">
        <v>23490</v>
      </c>
      <c r="D17019" t="str">
        <f>HYPERLINK("https://rhld.insurance.arkansas.gov/NPILookup?Npi=1023022837","1023022837")</f>
        <v>1023022837</v>
      </c>
      <c r="E17019" t="s">
        <v>20299</v>
      </c>
    </row>
    <row r="17020" spans="1:5" x14ac:dyDescent="0.25">
      <c r="A17020" t="s">
        <v>4</v>
      </c>
      <c r="B17020" t="s">
        <v>4111</v>
      </c>
      <c r="C17020" t="s">
        <v>23490</v>
      </c>
      <c r="D17020" t="str">
        <f>HYPERLINK("https://rhld.insurance.arkansas.gov/NPILookup?Npi=1023026606","1023026606")</f>
        <v>1023026606</v>
      </c>
      <c r="E17020" t="s">
        <v>20300</v>
      </c>
    </row>
    <row r="17021" spans="1:5" x14ac:dyDescent="0.25">
      <c r="A17021" t="s">
        <v>4</v>
      </c>
      <c r="B17021" t="s">
        <v>4111</v>
      </c>
      <c r="C17021" t="s">
        <v>23490</v>
      </c>
      <c r="D17021" t="str">
        <f>HYPERLINK("https://rhld.insurance.arkansas.gov/NPILookup?Npi=1023061777","1023061777")</f>
        <v>1023061777</v>
      </c>
      <c r="E17021" t="s">
        <v>4151</v>
      </c>
    </row>
    <row r="17022" spans="1:5" x14ac:dyDescent="0.25">
      <c r="A17022" t="s">
        <v>4</v>
      </c>
      <c r="B17022" t="s">
        <v>4111</v>
      </c>
      <c r="C17022" t="s">
        <v>23490</v>
      </c>
      <c r="D17022" t="str">
        <f>HYPERLINK("https://rhld.insurance.arkansas.gov/NPILookup?Npi=1023064201","1023064201")</f>
        <v>1023064201</v>
      </c>
      <c r="E17022" t="s">
        <v>4152</v>
      </c>
    </row>
    <row r="17023" spans="1:5" x14ac:dyDescent="0.25">
      <c r="A17023" t="s">
        <v>4</v>
      </c>
      <c r="B17023" t="s">
        <v>4111</v>
      </c>
      <c r="C17023" t="s">
        <v>23490</v>
      </c>
      <c r="D17023" t="str">
        <f>HYPERLINK("https://rhld.insurance.arkansas.gov/NPILookup?Npi=1023087129","1023087129")</f>
        <v>1023087129</v>
      </c>
      <c r="E17023" t="s">
        <v>20301</v>
      </c>
    </row>
    <row r="17024" spans="1:5" x14ac:dyDescent="0.25">
      <c r="A17024" t="s">
        <v>4</v>
      </c>
      <c r="B17024" t="s">
        <v>4111</v>
      </c>
      <c r="C17024" t="s">
        <v>23490</v>
      </c>
      <c r="D17024" t="str">
        <f>HYPERLINK("https://rhld.insurance.arkansas.gov/NPILookup?Npi=1023087350","1023087350")</f>
        <v>1023087350</v>
      </c>
      <c r="E17024" t="s">
        <v>4153</v>
      </c>
    </row>
    <row r="17025" spans="1:5" x14ac:dyDescent="0.25">
      <c r="A17025" t="s">
        <v>4</v>
      </c>
      <c r="B17025" t="s">
        <v>4111</v>
      </c>
      <c r="C17025" t="s">
        <v>23490</v>
      </c>
      <c r="D17025" t="str">
        <f>HYPERLINK("https://rhld.insurance.arkansas.gov/NPILookup?Npi=1023124559","1023124559")</f>
        <v>1023124559</v>
      </c>
      <c r="E17025" t="s">
        <v>4155</v>
      </c>
    </row>
    <row r="17026" spans="1:5" x14ac:dyDescent="0.25">
      <c r="A17026" t="s">
        <v>4</v>
      </c>
      <c r="B17026" t="s">
        <v>4111</v>
      </c>
      <c r="C17026" t="s">
        <v>23490</v>
      </c>
      <c r="D17026" t="str">
        <f>HYPERLINK("https://rhld.insurance.arkansas.gov/NPILookup?Npi=1023143898","1023143898")</f>
        <v>1023143898</v>
      </c>
      <c r="E17026" t="s">
        <v>4156</v>
      </c>
    </row>
    <row r="17027" spans="1:5" x14ac:dyDescent="0.25">
      <c r="A17027" t="s">
        <v>4</v>
      </c>
      <c r="B17027" t="s">
        <v>4111</v>
      </c>
      <c r="C17027" t="s">
        <v>23490</v>
      </c>
      <c r="D17027" t="str">
        <f>HYPERLINK("https://rhld.insurance.arkansas.gov/NPILookup?Npi=1023178043","1023178043")</f>
        <v>1023178043</v>
      </c>
      <c r="E17027" t="s">
        <v>4157</v>
      </c>
    </row>
    <row r="17028" spans="1:5" x14ac:dyDescent="0.25">
      <c r="A17028" t="s">
        <v>4</v>
      </c>
      <c r="B17028" t="s">
        <v>4111</v>
      </c>
      <c r="C17028" t="s">
        <v>23490</v>
      </c>
      <c r="D17028" t="str">
        <f>HYPERLINK("https://rhld.insurance.arkansas.gov/NPILookup?Npi=1023198702","1023198702")</f>
        <v>1023198702</v>
      </c>
      <c r="E17028" t="s">
        <v>18231</v>
      </c>
    </row>
    <row r="17029" spans="1:5" x14ac:dyDescent="0.25">
      <c r="A17029" t="s">
        <v>4</v>
      </c>
      <c r="B17029" t="s">
        <v>4111</v>
      </c>
      <c r="C17029" t="s">
        <v>23490</v>
      </c>
      <c r="D17029" t="str">
        <f>HYPERLINK("https://rhld.insurance.arkansas.gov/NPILookup?Npi=1023202330","1023202330")</f>
        <v>1023202330</v>
      </c>
      <c r="E17029" t="s">
        <v>21781</v>
      </c>
    </row>
    <row r="17030" spans="1:5" x14ac:dyDescent="0.25">
      <c r="A17030" t="s">
        <v>4</v>
      </c>
      <c r="B17030" t="s">
        <v>4111</v>
      </c>
      <c r="C17030" t="s">
        <v>23490</v>
      </c>
      <c r="D17030" t="str">
        <f>HYPERLINK("https://rhld.insurance.arkansas.gov/NPILookup?Npi=1023206604","1023206604")</f>
        <v>1023206604</v>
      </c>
      <c r="E17030" t="s">
        <v>20302</v>
      </c>
    </row>
    <row r="17031" spans="1:5" x14ac:dyDescent="0.25">
      <c r="A17031" t="s">
        <v>4</v>
      </c>
      <c r="B17031" t="s">
        <v>4111</v>
      </c>
      <c r="C17031" t="s">
        <v>23490</v>
      </c>
      <c r="D17031" t="str">
        <f>HYPERLINK("https://rhld.insurance.arkansas.gov/NPILookup?Npi=1023210911","1023210911")</f>
        <v>1023210911</v>
      </c>
      <c r="E17031" t="s">
        <v>11507</v>
      </c>
    </row>
    <row r="17032" spans="1:5" x14ac:dyDescent="0.25">
      <c r="A17032" t="s">
        <v>4</v>
      </c>
      <c r="B17032" t="s">
        <v>4111</v>
      </c>
      <c r="C17032" t="s">
        <v>23490</v>
      </c>
      <c r="D17032" t="str">
        <f>HYPERLINK("https://rhld.insurance.arkansas.gov/NPILookup?Npi=1023222700","1023222700")</f>
        <v>1023222700</v>
      </c>
      <c r="E17032" t="s">
        <v>4158</v>
      </c>
    </row>
    <row r="17033" spans="1:5" x14ac:dyDescent="0.25">
      <c r="A17033" t="s">
        <v>4</v>
      </c>
      <c r="B17033" t="s">
        <v>4111</v>
      </c>
      <c r="C17033" t="s">
        <v>23490</v>
      </c>
      <c r="D17033" t="str">
        <f>HYPERLINK("https://rhld.insurance.arkansas.gov/NPILookup?Npi=1023238227","1023238227")</f>
        <v>1023238227</v>
      </c>
      <c r="E17033" t="s">
        <v>4159</v>
      </c>
    </row>
    <row r="17034" spans="1:5" x14ac:dyDescent="0.25">
      <c r="A17034" t="s">
        <v>4</v>
      </c>
      <c r="B17034" t="s">
        <v>4111</v>
      </c>
      <c r="C17034" t="s">
        <v>23490</v>
      </c>
      <c r="D17034" t="str">
        <f>HYPERLINK("https://rhld.insurance.arkansas.gov/NPILookup?Npi=1023245156","1023245156")</f>
        <v>1023245156</v>
      </c>
      <c r="E17034" t="s">
        <v>13062</v>
      </c>
    </row>
    <row r="17035" spans="1:5" x14ac:dyDescent="0.25">
      <c r="A17035" t="s">
        <v>4</v>
      </c>
      <c r="B17035" t="s">
        <v>4111</v>
      </c>
      <c r="C17035" t="s">
        <v>23490</v>
      </c>
      <c r="D17035" t="str">
        <f>HYPERLINK("https://rhld.insurance.arkansas.gov/NPILookup?Npi=1023248317","1023248317")</f>
        <v>1023248317</v>
      </c>
      <c r="E17035" t="s">
        <v>21782</v>
      </c>
    </row>
    <row r="17036" spans="1:5" x14ac:dyDescent="0.25">
      <c r="A17036" t="s">
        <v>4</v>
      </c>
      <c r="B17036" t="s">
        <v>4111</v>
      </c>
      <c r="C17036" t="s">
        <v>23490</v>
      </c>
      <c r="D17036" t="str">
        <f>HYPERLINK("https://rhld.insurance.arkansas.gov/NPILookup?Npi=1023252269","1023252269")</f>
        <v>1023252269</v>
      </c>
      <c r="E17036" t="s">
        <v>4160</v>
      </c>
    </row>
    <row r="17037" spans="1:5" x14ac:dyDescent="0.25">
      <c r="A17037" t="s">
        <v>4</v>
      </c>
      <c r="B17037" t="s">
        <v>4111</v>
      </c>
      <c r="C17037" t="s">
        <v>23490</v>
      </c>
      <c r="D17037" t="str">
        <f>HYPERLINK("https://rhld.insurance.arkansas.gov/NPILookup?Npi=1023270543","1023270543")</f>
        <v>1023270543</v>
      </c>
      <c r="E17037" t="s">
        <v>546</v>
      </c>
    </row>
    <row r="17038" spans="1:5" x14ac:dyDescent="0.25">
      <c r="A17038" t="s">
        <v>4</v>
      </c>
      <c r="B17038" t="s">
        <v>4111</v>
      </c>
      <c r="C17038" t="s">
        <v>23490</v>
      </c>
      <c r="D17038" t="str">
        <f>HYPERLINK("https://rhld.insurance.arkansas.gov/NPILookup?Npi=1023272259","1023272259")</f>
        <v>1023272259</v>
      </c>
      <c r="E17038" t="s">
        <v>4161</v>
      </c>
    </row>
    <row r="17039" spans="1:5" x14ac:dyDescent="0.25">
      <c r="A17039" t="s">
        <v>4</v>
      </c>
      <c r="B17039" t="s">
        <v>4111</v>
      </c>
      <c r="C17039" t="s">
        <v>23490</v>
      </c>
      <c r="D17039" t="str">
        <f>HYPERLINK("https://rhld.insurance.arkansas.gov/NPILookup?Npi=1023274347","1023274347")</f>
        <v>1023274347</v>
      </c>
      <c r="E17039" t="s">
        <v>4162</v>
      </c>
    </row>
    <row r="17040" spans="1:5" x14ac:dyDescent="0.25">
      <c r="A17040" t="s">
        <v>4</v>
      </c>
      <c r="B17040" t="s">
        <v>4111</v>
      </c>
      <c r="C17040" t="s">
        <v>23490</v>
      </c>
      <c r="D17040" t="str">
        <f>HYPERLINK("https://rhld.insurance.arkansas.gov/NPILookup?Npi=1023285392","1023285392")</f>
        <v>1023285392</v>
      </c>
      <c r="E17040" t="s">
        <v>11508</v>
      </c>
    </row>
    <row r="17041" spans="1:5" x14ac:dyDescent="0.25">
      <c r="A17041" t="s">
        <v>4</v>
      </c>
      <c r="B17041" t="s">
        <v>4111</v>
      </c>
      <c r="C17041" t="s">
        <v>23490</v>
      </c>
      <c r="D17041" t="str">
        <f>HYPERLINK("https://rhld.insurance.arkansas.gov/NPILookup?Npi=1023285731","1023285731")</f>
        <v>1023285731</v>
      </c>
      <c r="E17041" t="s">
        <v>4163</v>
      </c>
    </row>
    <row r="17042" spans="1:5" x14ac:dyDescent="0.25">
      <c r="A17042" t="s">
        <v>4</v>
      </c>
      <c r="B17042" t="s">
        <v>4111</v>
      </c>
      <c r="C17042" t="s">
        <v>23490</v>
      </c>
      <c r="D17042" t="str">
        <f>HYPERLINK("https://rhld.insurance.arkansas.gov/NPILookup?Npi=1023286481","1023286481")</f>
        <v>1023286481</v>
      </c>
      <c r="E17042" t="s">
        <v>11509</v>
      </c>
    </row>
    <row r="17043" spans="1:5" x14ac:dyDescent="0.25">
      <c r="A17043" t="s">
        <v>4</v>
      </c>
      <c r="B17043" t="s">
        <v>4111</v>
      </c>
      <c r="C17043" t="s">
        <v>23490</v>
      </c>
      <c r="D17043" t="str">
        <f>HYPERLINK("https://rhld.insurance.arkansas.gov/NPILookup?Npi=1023288826","1023288826")</f>
        <v>1023288826</v>
      </c>
      <c r="E17043" t="s">
        <v>4164</v>
      </c>
    </row>
    <row r="17044" spans="1:5" x14ac:dyDescent="0.25">
      <c r="A17044" t="s">
        <v>4</v>
      </c>
      <c r="B17044" t="s">
        <v>4111</v>
      </c>
      <c r="C17044" t="s">
        <v>23490</v>
      </c>
      <c r="D17044" t="str">
        <f>HYPERLINK("https://rhld.insurance.arkansas.gov/NPILookup?Npi=1023296886","1023296886")</f>
        <v>1023296886</v>
      </c>
      <c r="E17044" t="s">
        <v>2101</v>
      </c>
    </row>
    <row r="17045" spans="1:5" x14ac:dyDescent="0.25">
      <c r="A17045" t="s">
        <v>4</v>
      </c>
      <c r="B17045" t="s">
        <v>4111</v>
      </c>
      <c r="C17045" t="s">
        <v>23490</v>
      </c>
      <c r="D17045" t="str">
        <f>HYPERLINK("https://rhld.insurance.arkansas.gov/NPILookup?Npi=1023300035","1023300035")</f>
        <v>1023300035</v>
      </c>
      <c r="E17045" t="s">
        <v>1008</v>
      </c>
    </row>
    <row r="17046" spans="1:5" x14ac:dyDescent="0.25">
      <c r="A17046" t="s">
        <v>4</v>
      </c>
      <c r="B17046" t="s">
        <v>4111</v>
      </c>
      <c r="C17046" t="s">
        <v>23490</v>
      </c>
      <c r="D17046" t="str">
        <f>HYPERLINK("https://rhld.insurance.arkansas.gov/NPILookup?Npi=1023301611","1023301611")</f>
        <v>1023301611</v>
      </c>
      <c r="E17046" t="s">
        <v>20303</v>
      </c>
    </row>
    <row r="17047" spans="1:5" x14ac:dyDescent="0.25">
      <c r="A17047" t="s">
        <v>4</v>
      </c>
      <c r="B17047" t="s">
        <v>4111</v>
      </c>
      <c r="C17047" t="s">
        <v>23490</v>
      </c>
      <c r="D17047" t="str">
        <f>HYPERLINK("https://rhld.insurance.arkansas.gov/NPILookup?Npi=1023317914","1023317914")</f>
        <v>1023317914</v>
      </c>
      <c r="E17047" t="s">
        <v>4165</v>
      </c>
    </row>
    <row r="17048" spans="1:5" x14ac:dyDescent="0.25">
      <c r="A17048" t="s">
        <v>4</v>
      </c>
      <c r="B17048" t="s">
        <v>4111</v>
      </c>
      <c r="C17048" t="s">
        <v>23490</v>
      </c>
      <c r="D17048" t="str">
        <f>HYPERLINK("https://rhld.insurance.arkansas.gov/NPILookup?Npi=1023322567","1023322567")</f>
        <v>1023322567</v>
      </c>
      <c r="E17048" t="s">
        <v>21783</v>
      </c>
    </row>
    <row r="17049" spans="1:5" x14ac:dyDescent="0.25">
      <c r="A17049" t="s">
        <v>4</v>
      </c>
      <c r="B17049" t="s">
        <v>4111</v>
      </c>
      <c r="C17049" t="s">
        <v>23490</v>
      </c>
      <c r="D17049" t="str">
        <f>HYPERLINK("https://rhld.insurance.arkansas.gov/NPILookup?Npi=1023337730","1023337730")</f>
        <v>1023337730</v>
      </c>
      <c r="E17049" t="s">
        <v>21098</v>
      </c>
    </row>
    <row r="17050" spans="1:5" x14ac:dyDescent="0.25">
      <c r="A17050" t="s">
        <v>4</v>
      </c>
      <c r="B17050" t="s">
        <v>4111</v>
      </c>
      <c r="C17050" t="s">
        <v>23490</v>
      </c>
      <c r="D17050" t="str">
        <f>HYPERLINK("https://rhld.insurance.arkansas.gov/NPILookup?Npi=1023340544","1023340544")</f>
        <v>1023340544</v>
      </c>
      <c r="E17050" t="s">
        <v>4166</v>
      </c>
    </row>
    <row r="17051" spans="1:5" x14ac:dyDescent="0.25">
      <c r="A17051" t="s">
        <v>4</v>
      </c>
      <c r="B17051" t="s">
        <v>4111</v>
      </c>
      <c r="C17051" t="s">
        <v>23490</v>
      </c>
      <c r="D17051" t="str">
        <f>HYPERLINK("https://rhld.insurance.arkansas.gov/NPILookup?Npi=1023342136","1023342136")</f>
        <v>1023342136</v>
      </c>
      <c r="E17051" t="s">
        <v>21784</v>
      </c>
    </row>
    <row r="17052" spans="1:5" x14ac:dyDescent="0.25">
      <c r="A17052" t="s">
        <v>4</v>
      </c>
      <c r="B17052" t="s">
        <v>4111</v>
      </c>
      <c r="C17052" t="s">
        <v>23490</v>
      </c>
      <c r="D17052" t="str">
        <f>HYPERLINK("https://rhld.insurance.arkansas.gov/NPILookup?Npi=1023347390","1023347390")</f>
        <v>1023347390</v>
      </c>
      <c r="E17052" t="s">
        <v>4167</v>
      </c>
    </row>
    <row r="17053" spans="1:5" x14ac:dyDescent="0.25">
      <c r="A17053" t="s">
        <v>4</v>
      </c>
      <c r="B17053" t="s">
        <v>4111</v>
      </c>
      <c r="C17053" t="s">
        <v>23490</v>
      </c>
      <c r="D17053" t="str">
        <f>HYPERLINK("https://rhld.insurance.arkansas.gov/NPILookup?Npi=1023366218","1023366218")</f>
        <v>1023366218</v>
      </c>
      <c r="E17053" t="s">
        <v>18232</v>
      </c>
    </row>
    <row r="17054" spans="1:5" x14ac:dyDescent="0.25">
      <c r="A17054" t="s">
        <v>4</v>
      </c>
      <c r="B17054" t="s">
        <v>4111</v>
      </c>
      <c r="C17054" t="s">
        <v>23490</v>
      </c>
      <c r="D17054" t="str">
        <f>HYPERLINK("https://rhld.insurance.arkansas.gov/NPILookup?Npi=1023370814","1023370814")</f>
        <v>1023370814</v>
      </c>
      <c r="E17054" t="s">
        <v>11510</v>
      </c>
    </row>
    <row r="17055" spans="1:5" x14ac:dyDescent="0.25">
      <c r="A17055" t="s">
        <v>4</v>
      </c>
      <c r="B17055" t="s">
        <v>4111</v>
      </c>
      <c r="C17055" t="s">
        <v>23490</v>
      </c>
      <c r="D17055" t="str">
        <f>HYPERLINK("https://rhld.insurance.arkansas.gov/NPILookup?Npi=1023370970","1023370970")</f>
        <v>1023370970</v>
      </c>
      <c r="E17055" t="s">
        <v>4168</v>
      </c>
    </row>
    <row r="17056" spans="1:5" x14ac:dyDescent="0.25">
      <c r="A17056" t="s">
        <v>4</v>
      </c>
      <c r="B17056" t="s">
        <v>4111</v>
      </c>
      <c r="C17056" t="s">
        <v>23490</v>
      </c>
      <c r="D17056" t="str">
        <f>HYPERLINK("https://rhld.insurance.arkansas.gov/NPILookup?Npi=1023388410","1023388410")</f>
        <v>1023388410</v>
      </c>
      <c r="E17056" t="s">
        <v>11511</v>
      </c>
    </row>
    <row r="17057" spans="1:5" x14ac:dyDescent="0.25">
      <c r="A17057" t="s">
        <v>4</v>
      </c>
      <c r="B17057" t="s">
        <v>4111</v>
      </c>
      <c r="C17057" t="s">
        <v>23490</v>
      </c>
      <c r="D17057" t="str">
        <f>HYPERLINK("https://rhld.insurance.arkansas.gov/NPILookup?Npi=1023391505","1023391505")</f>
        <v>1023391505</v>
      </c>
      <c r="E17057" t="s">
        <v>17084</v>
      </c>
    </row>
    <row r="17058" spans="1:5" x14ac:dyDescent="0.25">
      <c r="A17058" t="s">
        <v>4</v>
      </c>
      <c r="B17058" t="s">
        <v>4111</v>
      </c>
      <c r="C17058" t="s">
        <v>23490</v>
      </c>
      <c r="D17058" t="str">
        <f>HYPERLINK("https://rhld.insurance.arkansas.gov/NPILookup?Npi=1023396504","1023396504")</f>
        <v>1023396504</v>
      </c>
      <c r="E17058" t="s">
        <v>13063</v>
      </c>
    </row>
    <row r="17059" spans="1:5" x14ac:dyDescent="0.25">
      <c r="A17059" t="s">
        <v>4</v>
      </c>
      <c r="B17059" t="s">
        <v>4111</v>
      </c>
      <c r="C17059" t="s">
        <v>23490</v>
      </c>
      <c r="D17059" t="str">
        <f>HYPERLINK("https://rhld.insurance.arkansas.gov/NPILookup?Npi=1023404183","1023404183")</f>
        <v>1023404183</v>
      </c>
      <c r="E17059" t="s">
        <v>11512</v>
      </c>
    </row>
    <row r="17060" spans="1:5" x14ac:dyDescent="0.25">
      <c r="A17060" t="s">
        <v>4</v>
      </c>
      <c r="B17060" t="s">
        <v>4111</v>
      </c>
      <c r="C17060" t="s">
        <v>23490</v>
      </c>
      <c r="D17060" t="str">
        <f>HYPERLINK("https://rhld.insurance.arkansas.gov/NPILookup?Npi=1023413325","1023413325")</f>
        <v>1023413325</v>
      </c>
      <c r="E17060" t="s">
        <v>13064</v>
      </c>
    </row>
    <row r="17061" spans="1:5" x14ac:dyDescent="0.25">
      <c r="A17061" t="s">
        <v>4</v>
      </c>
      <c r="B17061" t="s">
        <v>4111</v>
      </c>
      <c r="C17061" t="s">
        <v>23490</v>
      </c>
      <c r="D17061" t="str">
        <f>HYPERLINK("https://rhld.insurance.arkansas.gov/NPILookup?Npi=1023423837","1023423837")</f>
        <v>1023423837</v>
      </c>
      <c r="E17061" t="s">
        <v>11513</v>
      </c>
    </row>
    <row r="17062" spans="1:5" x14ac:dyDescent="0.25">
      <c r="A17062" t="s">
        <v>4</v>
      </c>
      <c r="B17062" t="s">
        <v>4111</v>
      </c>
      <c r="C17062" t="s">
        <v>8427</v>
      </c>
      <c r="D17062" t="str">
        <f>HYPERLINK("https://rhld.insurance.arkansas.gov/NPILookup?Npi=1023437084","1023437084")</f>
        <v>1023437084</v>
      </c>
      <c r="E17062" t="s">
        <v>22869</v>
      </c>
    </row>
    <row r="17063" spans="1:5" x14ac:dyDescent="0.25">
      <c r="A17063" t="s">
        <v>4</v>
      </c>
      <c r="B17063" t="s">
        <v>4111</v>
      </c>
      <c r="C17063" t="s">
        <v>23490</v>
      </c>
      <c r="D17063" t="str">
        <f>HYPERLINK("https://rhld.insurance.arkansas.gov/NPILookup?Npi=1023454188","1023454188")</f>
        <v>1023454188</v>
      </c>
      <c r="E17063" t="s">
        <v>21785</v>
      </c>
    </row>
    <row r="17064" spans="1:5" x14ac:dyDescent="0.25">
      <c r="A17064" t="s">
        <v>4</v>
      </c>
      <c r="B17064" t="s">
        <v>4111</v>
      </c>
      <c r="C17064" t="s">
        <v>23490</v>
      </c>
      <c r="D17064" t="str">
        <f>HYPERLINK("https://rhld.insurance.arkansas.gov/NPILookup?Npi=1023490604","1023490604")</f>
        <v>1023490604</v>
      </c>
      <c r="E17064" t="s">
        <v>20304</v>
      </c>
    </row>
    <row r="17065" spans="1:5" x14ac:dyDescent="0.25">
      <c r="A17065" t="s">
        <v>4</v>
      </c>
      <c r="B17065" t="s">
        <v>4111</v>
      </c>
      <c r="C17065" t="s">
        <v>23490</v>
      </c>
      <c r="D17065" t="str">
        <f>HYPERLINK("https://rhld.insurance.arkansas.gov/NPILookup?Npi=1023490976","1023490976")</f>
        <v>1023490976</v>
      </c>
      <c r="E17065" t="s">
        <v>17524</v>
      </c>
    </row>
    <row r="17066" spans="1:5" x14ac:dyDescent="0.25">
      <c r="A17066" t="s">
        <v>4</v>
      </c>
      <c r="B17066" t="s">
        <v>4111</v>
      </c>
      <c r="C17066" t="s">
        <v>23490</v>
      </c>
      <c r="D17066" t="str">
        <f>HYPERLINK("https://rhld.insurance.arkansas.gov/NPILookup?Npi=1023519717","1023519717")</f>
        <v>1023519717</v>
      </c>
      <c r="E17066" t="s">
        <v>18233</v>
      </c>
    </row>
    <row r="17067" spans="1:5" x14ac:dyDescent="0.25">
      <c r="A17067" t="s">
        <v>4</v>
      </c>
      <c r="B17067" t="s">
        <v>4111</v>
      </c>
      <c r="C17067" t="s">
        <v>23490</v>
      </c>
      <c r="D17067" t="str">
        <f>HYPERLINK("https://rhld.insurance.arkansas.gov/NPILookup?Npi=1023525060","1023525060")</f>
        <v>1023525060</v>
      </c>
      <c r="E17067" t="s">
        <v>18234</v>
      </c>
    </row>
    <row r="17068" spans="1:5" x14ac:dyDescent="0.25">
      <c r="A17068" t="s">
        <v>4</v>
      </c>
      <c r="B17068" t="s">
        <v>4111</v>
      </c>
      <c r="C17068" t="s">
        <v>23490</v>
      </c>
      <c r="D17068" t="str">
        <f>HYPERLINK("https://rhld.insurance.arkansas.gov/NPILookup?Npi=1023543329","1023543329")</f>
        <v>1023543329</v>
      </c>
      <c r="E17068" t="s">
        <v>15945</v>
      </c>
    </row>
    <row r="17069" spans="1:5" x14ac:dyDescent="0.25">
      <c r="A17069" t="s">
        <v>4</v>
      </c>
      <c r="B17069" t="s">
        <v>4111</v>
      </c>
      <c r="C17069" t="s">
        <v>23490</v>
      </c>
      <c r="D17069" t="str">
        <f>HYPERLINK("https://rhld.insurance.arkansas.gov/NPILookup?Npi=1023548377","1023548377")</f>
        <v>1023548377</v>
      </c>
      <c r="E17069" t="s">
        <v>18235</v>
      </c>
    </row>
    <row r="17070" spans="1:5" x14ac:dyDescent="0.25">
      <c r="A17070" t="s">
        <v>4</v>
      </c>
      <c r="B17070" t="s">
        <v>4111</v>
      </c>
      <c r="C17070" t="s">
        <v>23490</v>
      </c>
      <c r="D17070" t="str">
        <f>HYPERLINK("https://rhld.insurance.arkansas.gov/NPILookup?Npi=1023555364","1023555364")</f>
        <v>1023555364</v>
      </c>
      <c r="E17070" t="s">
        <v>21099</v>
      </c>
    </row>
    <row r="17071" spans="1:5" x14ac:dyDescent="0.25">
      <c r="A17071" t="s">
        <v>4</v>
      </c>
      <c r="B17071" t="s">
        <v>4111</v>
      </c>
      <c r="C17071" t="s">
        <v>23490</v>
      </c>
      <c r="D17071" t="str">
        <f>HYPERLINK("https://rhld.insurance.arkansas.gov/NPILookup?Npi=1023568151","1023568151")</f>
        <v>1023568151</v>
      </c>
      <c r="E17071" t="s">
        <v>13901</v>
      </c>
    </row>
    <row r="17072" spans="1:5" x14ac:dyDescent="0.25">
      <c r="A17072" t="s">
        <v>4</v>
      </c>
      <c r="B17072" t="s">
        <v>4111</v>
      </c>
      <c r="C17072" t="s">
        <v>23490</v>
      </c>
      <c r="D17072" t="str">
        <f>HYPERLINK("https://rhld.insurance.arkansas.gov/NPILookup?Npi=1023587524","1023587524")</f>
        <v>1023587524</v>
      </c>
      <c r="E17072" t="s">
        <v>15946</v>
      </c>
    </row>
    <row r="17073" spans="1:5" x14ac:dyDescent="0.25">
      <c r="A17073" t="s">
        <v>4</v>
      </c>
      <c r="B17073" t="s">
        <v>4111</v>
      </c>
      <c r="C17073" t="s">
        <v>23490</v>
      </c>
      <c r="D17073" t="str">
        <f>HYPERLINK("https://rhld.insurance.arkansas.gov/NPILookup?Npi=1023629342","1023629342")</f>
        <v>1023629342</v>
      </c>
      <c r="E17073" t="s">
        <v>21786</v>
      </c>
    </row>
    <row r="17074" spans="1:5" x14ac:dyDescent="0.25">
      <c r="A17074" t="s">
        <v>4</v>
      </c>
      <c r="B17074" t="s">
        <v>4111</v>
      </c>
      <c r="C17074" t="s">
        <v>23490</v>
      </c>
      <c r="D17074" t="str">
        <f>HYPERLINK("https://rhld.insurance.arkansas.gov/NPILookup?Npi=1023655248","1023655248")</f>
        <v>1023655248</v>
      </c>
      <c r="E17074" t="s">
        <v>21787</v>
      </c>
    </row>
    <row r="17075" spans="1:5" x14ac:dyDescent="0.25">
      <c r="A17075" t="s">
        <v>4</v>
      </c>
      <c r="B17075" t="s">
        <v>4111</v>
      </c>
      <c r="C17075" t="s">
        <v>23490</v>
      </c>
      <c r="D17075" t="str">
        <f>HYPERLINK("https://rhld.insurance.arkansas.gov/NPILookup?Npi=1023666351","1023666351")</f>
        <v>1023666351</v>
      </c>
      <c r="E17075" t="s">
        <v>20305</v>
      </c>
    </row>
    <row r="17076" spans="1:5" x14ac:dyDescent="0.25">
      <c r="A17076" t="s">
        <v>4</v>
      </c>
      <c r="B17076" t="s">
        <v>4111</v>
      </c>
      <c r="C17076" t="s">
        <v>23490</v>
      </c>
      <c r="D17076" t="str">
        <f>HYPERLINK("https://rhld.insurance.arkansas.gov/NPILookup?Npi=1023693249","1023693249")</f>
        <v>1023693249</v>
      </c>
      <c r="E17076" t="s">
        <v>21788</v>
      </c>
    </row>
    <row r="17077" spans="1:5" x14ac:dyDescent="0.25">
      <c r="A17077" t="s">
        <v>4</v>
      </c>
      <c r="B17077" t="s">
        <v>4111</v>
      </c>
      <c r="C17077" t="s">
        <v>23490</v>
      </c>
      <c r="D17077" t="str">
        <f>HYPERLINK("https://rhld.insurance.arkansas.gov/NPILookup?Npi=1023757135","1023757135")</f>
        <v>1023757135</v>
      </c>
      <c r="E17077" t="s">
        <v>21789</v>
      </c>
    </row>
    <row r="17078" spans="1:5" x14ac:dyDescent="0.25">
      <c r="A17078" t="s">
        <v>4</v>
      </c>
      <c r="B17078" t="s">
        <v>4111</v>
      </c>
      <c r="C17078" t="s">
        <v>8427</v>
      </c>
      <c r="D17078" t="str">
        <f>HYPERLINK("https://rhld.insurance.arkansas.gov/NPILookup?Npi=1023792157","1023792157")</f>
        <v>1023792157</v>
      </c>
      <c r="E17078" t="s">
        <v>23026</v>
      </c>
    </row>
    <row r="17079" spans="1:5" x14ac:dyDescent="0.25">
      <c r="A17079" t="s">
        <v>4</v>
      </c>
      <c r="B17079" t="s">
        <v>4111</v>
      </c>
      <c r="C17079" t="s">
        <v>23490</v>
      </c>
      <c r="D17079" t="str">
        <f>HYPERLINK("https://rhld.insurance.arkansas.gov/NPILookup?Npi=1033102603","1033102603")</f>
        <v>1033102603</v>
      </c>
      <c r="E17079" t="s">
        <v>9004</v>
      </c>
    </row>
    <row r="17080" spans="1:5" x14ac:dyDescent="0.25">
      <c r="A17080" t="s">
        <v>4</v>
      </c>
      <c r="B17080" t="s">
        <v>4111</v>
      </c>
      <c r="C17080" t="s">
        <v>23490</v>
      </c>
      <c r="D17080" t="str">
        <f>HYPERLINK("https://rhld.insurance.arkansas.gov/NPILookup?Npi=1033109640","1033109640")</f>
        <v>1033109640</v>
      </c>
      <c r="E17080" t="s">
        <v>17085</v>
      </c>
    </row>
    <row r="17081" spans="1:5" x14ac:dyDescent="0.25">
      <c r="A17081" t="s">
        <v>4</v>
      </c>
      <c r="B17081" t="s">
        <v>4111</v>
      </c>
      <c r="C17081" t="s">
        <v>23490</v>
      </c>
      <c r="D17081" t="str">
        <f>HYPERLINK("https://rhld.insurance.arkansas.gov/NPILookup?Npi=1033115001","1033115001")</f>
        <v>1033115001</v>
      </c>
      <c r="E17081" t="s">
        <v>4169</v>
      </c>
    </row>
    <row r="17082" spans="1:5" x14ac:dyDescent="0.25">
      <c r="A17082" t="s">
        <v>4</v>
      </c>
      <c r="B17082" t="s">
        <v>4111</v>
      </c>
      <c r="C17082" t="s">
        <v>23490</v>
      </c>
      <c r="D17082" t="str">
        <f>HYPERLINK("https://rhld.insurance.arkansas.gov/NPILookup?Npi=1033123294","1033123294")</f>
        <v>1033123294</v>
      </c>
      <c r="E17082" t="s">
        <v>4170</v>
      </c>
    </row>
    <row r="17083" spans="1:5" x14ac:dyDescent="0.25">
      <c r="A17083" t="s">
        <v>4</v>
      </c>
      <c r="B17083" t="s">
        <v>4111</v>
      </c>
      <c r="C17083" t="s">
        <v>23490</v>
      </c>
      <c r="D17083" t="str">
        <f>HYPERLINK("https://rhld.insurance.arkansas.gov/NPILookup?Npi=1033147111","1033147111")</f>
        <v>1033147111</v>
      </c>
      <c r="E17083" t="s">
        <v>4171</v>
      </c>
    </row>
    <row r="17084" spans="1:5" x14ac:dyDescent="0.25">
      <c r="A17084" t="s">
        <v>4</v>
      </c>
      <c r="B17084" t="s">
        <v>4111</v>
      </c>
      <c r="C17084" t="s">
        <v>23490</v>
      </c>
      <c r="D17084" t="str">
        <f>HYPERLINK("https://rhld.insurance.arkansas.gov/NPILookup?Npi=1033161146","1033161146")</f>
        <v>1033161146</v>
      </c>
      <c r="E17084" t="s">
        <v>20306</v>
      </c>
    </row>
    <row r="17085" spans="1:5" x14ac:dyDescent="0.25">
      <c r="A17085" t="s">
        <v>4</v>
      </c>
      <c r="B17085" t="s">
        <v>4111</v>
      </c>
      <c r="C17085" t="s">
        <v>23490</v>
      </c>
      <c r="D17085" t="str">
        <f>HYPERLINK("https://rhld.insurance.arkansas.gov/NPILookup?Npi=1033176847","1033176847")</f>
        <v>1033176847</v>
      </c>
      <c r="E17085" t="s">
        <v>4172</v>
      </c>
    </row>
    <row r="17086" spans="1:5" x14ac:dyDescent="0.25">
      <c r="A17086" t="s">
        <v>4</v>
      </c>
      <c r="B17086" t="s">
        <v>4111</v>
      </c>
      <c r="C17086" t="s">
        <v>23490</v>
      </c>
      <c r="D17086" t="str">
        <f>HYPERLINK("https://rhld.insurance.arkansas.gov/NPILookup?Npi=1033196324","1033196324")</f>
        <v>1033196324</v>
      </c>
      <c r="E17086" t="s">
        <v>4173</v>
      </c>
    </row>
    <row r="17087" spans="1:5" x14ac:dyDescent="0.25">
      <c r="A17087" t="s">
        <v>4</v>
      </c>
      <c r="B17087" t="s">
        <v>4111</v>
      </c>
      <c r="C17087" t="s">
        <v>23490</v>
      </c>
      <c r="D17087" t="str">
        <f>HYPERLINK("https://rhld.insurance.arkansas.gov/NPILookup?Npi=1033218789","1033218789")</f>
        <v>1033218789</v>
      </c>
      <c r="E17087" t="s">
        <v>20307</v>
      </c>
    </row>
    <row r="17088" spans="1:5" x14ac:dyDescent="0.25">
      <c r="A17088" t="s">
        <v>4</v>
      </c>
      <c r="B17088" t="s">
        <v>4111</v>
      </c>
      <c r="C17088" t="s">
        <v>23490</v>
      </c>
      <c r="D17088" t="str">
        <f>HYPERLINK("https://rhld.insurance.arkansas.gov/NPILookup?Npi=1033222682","1033222682")</f>
        <v>1033222682</v>
      </c>
      <c r="E17088" t="s">
        <v>4174</v>
      </c>
    </row>
    <row r="17089" spans="1:5" x14ac:dyDescent="0.25">
      <c r="A17089" t="s">
        <v>4</v>
      </c>
      <c r="B17089" t="s">
        <v>4111</v>
      </c>
      <c r="C17089" t="s">
        <v>23490</v>
      </c>
      <c r="D17089" t="str">
        <f>HYPERLINK("https://rhld.insurance.arkansas.gov/NPILookup?Npi=1033224506","1033224506")</f>
        <v>1033224506</v>
      </c>
      <c r="E17089" t="s">
        <v>4175</v>
      </c>
    </row>
    <row r="17090" spans="1:5" x14ac:dyDescent="0.25">
      <c r="A17090" t="s">
        <v>4</v>
      </c>
      <c r="B17090" t="s">
        <v>4111</v>
      </c>
      <c r="C17090" t="s">
        <v>23490</v>
      </c>
      <c r="D17090" t="str">
        <f>HYPERLINK("https://rhld.insurance.arkansas.gov/NPILookup?Npi=1033230008","1033230008")</f>
        <v>1033230008</v>
      </c>
      <c r="E17090" t="s">
        <v>4176</v>
      </c>
    </row>
    <row r="17091" spans="1:5" x14ac:dyDescent="0.25">
      <c r="A17091" t="s">
        <v>4</v>
      </c>
      <c r="B17091" t="s">
        <v>4111</v>
      </c>
      <c r="C17091" t="s">
        <v>23490</v>
      </c>
      <c r="D17091" t="str">
        <f>HYPERLINK("https://rhld.insurance.arkansas.gov/NPILookup?Npi=1033235205","1033235205")</f>
        <v>1033235205</v>
      </c>
      <c r="E17091" t="s">
        <v>4177</v>
      </c>
    </row>
    <row r="17092" spans="1:5" x14ac:dyDescent="0.25">
      <c r="A17092" t="s">
        <v>4</v>
      </c>
      <c r="B17092" t="s">
        <v>4111</v>
      </c>
      <c r="C17092" t="s">
        <v>23490</v>
      </c>
      <c r="D17092" t="str">
        <f>HYPERLINK("https://rhld.insurance.arkansas.gov/NPILookup?Npi=1033266267","1033266267")</f>
        <v>1033266267</v>
      </c>
      <c r="E17092" t="s">
        <v>4178</v>
      </c>
    </row>
    <row r="17093" spans="1:5" x14ac:dyDescent="0.25">
      <c r="A17093" t="s">
        <v>4</v>
      </c>
      <c r="B17093" t="s">
        <v>4111</v>
      </c>
      <c r="C17093" t="s">
        <v>23490</v>
      </c>
      <c r="D17093" t="str">
        <f>HYPERLINK("https://rhld.insurance.arkansas.gov/NPILookup?Npi=1033273107","1033273107")</f>
        <v>1033273107</v>
      </c>
      <c r="E17093" t="s">
        <v>4179</v>
      </c>
    </row>
    <row r="17094" spans="1:5" x14ac:dyDescent="0.25">
      <c r="A17094" t="s">
        <v>4</v>
      </c>
      <c r="B17094" t="s">
        <v>4111</v>
      </c>
      <c r="C17094" t="s">
        <v>8427</v>
      </c>
      <c r="D17094" t="str">
        <f>HYPERLINK("https://rhld.insurance.arkansas.gov/NPILookup?Npi=1033280391","1033280391")</f>
        <v>1033280391</v>
      </c>
      <c r="E17094" t="s">
        <v>21421</v>
      </c>
    </row>
    <row r="17095" spans="1:5" x14ac:dyDescent="0.25">
      <c r="A17095" t="s">
        <v>4</v>
      </c>
      <c r="B17095" t="s">
        <v>4111</v>
      </c>
      <c r="C17095" t="s">
        <v>23490</v>
      </c>
      <c r="D17095" t="str">
        <f>HYPERLINK("https://rhld.insurance.arkansas.gov/NPILookup?Npi=1033289665","1033289665")</f>
        <v>1033289665</v>
      </c>
      <c r="E17095" t="s">
        <v>13902</v>
      </c>
    </row>
    <row r="17096" spans="1:5" x14ac:dyDescent="0.25">
      <c r="A17096" t="s">
        <v>4</v>
      </c>
      <c r="B17096" t="s">
        <v>4111</v>
      </c>
      <c r="C17096" t="s">
        <v>8427</v>
      </c>
      <c r="D17096" t="str">
        <f>HYPERLINK("https://rhld.insurance.arkansas.gov/NPILookup?Npi=1033316807","1033316807")</f>
        <v>1033316807</v>
      </c>
      <c r="E17096" t="s">
        <v>23027</v>
      </c>
    </row>
    <row r="17097" spans="1:5" x14ac:dyDescent="0.25">
      <c r="A17097" t="s">
        <v>4</v>
      </c>
      <c r="B17097" t="s">
        <v>4111</v>
      </c>
      <c r="C17097" t="s">
        <v>23490</v>
      </c>
      <c r="D17097" t="str">
        <f>HYPERLINK("https://rhld.insurance.arkansas.gov/NPILookup?Npi=1033320577","1033320577")</f>
        <v>1033320577</v>
      </c>
      <c r="E17097" t="s">
        <v>4180</v>
      </c>
    </row>
    <row r="17098" spans="1:5" x14ac:dyDescent="0.25">
      <c r="A17098" t="s">
        <v>4</v>
      </c>
      <c r="B17098" t="s">
        <v>4111</v>
      </c>
      <c r="C17098" t="s">
        <v>23490</v>
      </c>
      <c r="D17098" t="str">
        <f>HYPERLINK("https://rhld.insurance.arkansas.gov/NPILookup?Npi=1033325022","1033325022")</f>
        <v>1033325022</v>
      </c>
      <c r="E17098" t="s">
        <v>21790</v>
      </c>
    </row>
    <row r="17099" spans="1:5" x14ac:dyDescent="0.25">
      <c r="A17099" t="s">
        <v>4</v>
      </c>
      <c r="B17099" t="s">
        <v>4111</v>
      </c>
      <c r="C17099" t="s">
        <v>23490</v>
      </c>
      <c r="D17099" t="str">
        <f>HYPERLINK("https://rhld.insurance.arkansas.gov/NPILookup?Npi=1033341888","1033341888")</f>
        <v>1033341888</v>
      </c>
      <c r="E17099" t="s">
        <v>15947</v>
      </c>
    </row>
    <row r="17100" spans="1:5" x14ac:dyDescent="0.25">
      <c r="A17100" t="s">
        <v>4</v>
      </c>
      <c r="B17100" t="s">
        <v>4111</v>
      </c>
      <c r="C17100" t="s">
        <v>23490</v>
      </c>
      <c r="D17100" t="str">
        <f>HYPERLINK("https://rhld.insurance.arkansas.gov/NPILookup?Npi=1033355870","1033355870")</f>
        <v>1033355870</v>
      </c>
      <c r="E17100" t="s">
        <v>4181</v>
      </c>
    </row>
    <row r="17101" spans="1:5" x14ac:dyDescent="0.25">
      <c r="A17101" t="s">
        <v>4</v>
      </c>
      <c r="B17101" t="s">
        <v>4111</v>
      </c>
      <c r="C17101" t="s">
        <v>23490</v>
      </c>
      <c r="D17101" t="str">
        <f>HYPERLINK("https://rhld.insurance.arkansas.gov/NPILookup?Npi=1033359088","1033359088")</f>
        <v>1033359088</v>
      </c>
      <c r="E17101" t="s">
        <v>4182</v>
      </c>
    </row>
    <row r="17102" spans="1:5" x14ac:dyDescent="0.25">
      <c r="A17102" t="s">
        <v>4</v>
      </c>
      <c r="B17102" t="s">
        <v>4111</v>
      </c>
      <c r="C17102" t="s">
        <v>23490</v>
      </c>
      <c r="D17102" t="str">
        <f>HYPERLINK("https://rhld.insurance.arkansas.gov/NPILookup?Npi=1033366158","1033366158")</f>
        <v>1033366158</v>
      </c>
      <c r="E17102" t="s">
        <v>4183</v>
      </c>
    </row>
    <row r="17103" spans="1:5" x14ac:dyDescent="0.25">
      <c r="A17103" t="s">
        <v>4</v>
      </c>
      <c r="B17103" t="s">
        <v>4111</v>
      </c>
      <c r="C17103" t="s">
        <v>23490</v>
      </c>
      <c r="D17103" t="str">
        <f>HYPERLINK("https://rhld.insurance.arkansas.gov/NPILookup?Npi=1033367412","1033367412")</f>
        <v>1033367412</v>
      </c>
      <c r="E17103" t="s">
        <v>21791</v>
      </c>
    </row>
    <row r="17104" spans="1:5" x14ac:dyDescent="0.25">
      <c r="A17104" t="s">
        <v>4</v>
      </c>
      <c r="B17104" t="s">
        <v>4111</v>
      </c>
      <c r="C17104" t="s">
        <v>23490</v>
      </c>
      <c r="D17104" t="str">
        <f>HYPERLINK("https://rhld.insurance.arkansas.gov/NPILookup?Npi=1033382379","1033382379")</f>
        <v>1033382379</v>
      </c>
      <c r="E17104" t="s">
        <v>11514</v>
      </c>
    </row>
    <row r="17105" spans="1:5" x14ac:dyDescent="0.25">
      <c r="A17105" t="s">
        <v>4</v>
      </c>
      <c r="B17105" t="s">
        <v>4111</v>
      </c>
      <c r="C17105" t="s">
        <v>23490</v>
      </c>
      <c r="D17105" t="str">
        <f>HYPERLINK("https://rhld.insurance.arkansas.gov/NPILookup?Npi=1033382734","1033382734")</f>
        <v>1033382734</v>
      </c>
      <c r="E17105" t="s">
        <v>21792</v>
      </c>
    </row>
    <row r="17106" spans="1:5" x14ac:dyDescent="0.25">
      <c r="A17106" t="s">
        <v>4</v>
      </c>
      <c r="B17106" t="s">
        <v>4111</v>
      </c>
      <c r="C17106" t="s">
        <v>23490</v>
      </c>
      <c r="D17106" t="str">
        <f>HYPERLINK("https://rhld.insurance.arkansas.gov/NPILookup?Npi=1033390042","1033390042")</f>
        <v>1033390042</v>
      </c>
      <c r="E17106" t="s">
        <v>4184</v>
      </c>
    </row>
    <row r="17107" spans="1:5" x14ac:dyDescent="0.25">
      <c r="A17107" t="s">
        <v>4</v>
      </c>
      <c r="B17107" t="s">
        <v>4111</v>
      </c>
      <c r="C17107" t="s">
        <v>23490</v>
      </c>
      <c r="D17107" t="str">
        <f>HYPERLINK("https://rhld.insurance.arkansas.gov/NPILookup?Npi=1033392410","1033392410")</f>
        <v>1033392410</v>
      </c>
      <c r="E17107" t="s">
        <v>4185</v>
      </c>
    </row>
    <row r="17108" spans="1:5" x14ac:dyDescent="0.25">
      <c r="A17108" t="s">
        <v>4</v>
      </c>
      <c r="B17108" t="s">
        <v>4111</v>
      </c>
      <c r="C17108" t="s">
        <v>23490</v>
      </c>
      <c r="D17108" t="str">
        <f>HYPERLINK("https://rhld.insurance.arkansas.gov/NPILookup?Npi=1033407218","1033407218")</f>
        <v>1033407218</v>
      </c>
      <c r="E17108" t="s">
        <v>21793</v>
      </c>
    </row>
    <row r="17109" spans="1:5" x14ac:dyDescent="0.25">
      <c r="A17109" t="s">
        <v>4</v>
      </c>
      <c r="B17109" t="s">
        <v>4111</v>
      </c>
      <c r="C17109" t="s">
        <v>23490</v>
      </c>
      <c r="D17109" t="str">
        <f>HYPERLINK("https://rhld.insurance.arkansas.gov/NPILookup?Npi=1033425483","1033425483")</f>
        <v>1033425483</v>
      </c>
      <c r="E17109" t="s">
        <v>9005</v>
      </c>
    </row>
    <row r="17110" spans="1:5" x14ac:dyDescent="0.25">
      <c r="A17110" t="s">
        <v>4</v>
      </c>
      <c r="B17110" t="s">
        <v>4111</v>
      </c>
      <c r="C17110" t="s">
        <v>23490</v>
      </c>
      <c r="D17110" t="str">
        <f>HYPERLINK("https://rhld.insurance.arkansas.gov/NPILookup?Npi=1033436472","1033436472")</f>
        <v>1033436472</v>
      </c>
      <c r="E17110" t="s">
        <v>4186</v>
      </c>
    </row>
    <row r="17111" spans="1:5" x14ac:dyDescent="0.25">
      <c r="A17111" t="s">
        <v>4</v>
      </c>
      <c r="B17111" t="s">
        <v>4111</v>
      </c>
      <c r="C17111" t="s">
        <v>23490</v>
      </c>
      <c r="D17111" t="str">
        <f>HYPERLINK("https://rhld.insurance.arkansas.gov/NPILookup?Npi=1033458716","1033458716")</f>
        <v>1033458716</v>
      </c>
      <c r="E17111" t="s">
        <v>13903</v>
      </c>
    </row>
    <row r="17112" spans="1:5" x14ac:dyDescent="0.25">
      <c r="A17112" t="s">
        <v>4</v>
      </c>
      <c r="B17112" t="s">
        <v>4111</v>
      </c>
      <c r="C17112" t="s">
        <v>23490</v>
      </c>
      <c r="D17112" t="str">
        <f>HYPERLINK("https://rhld.insurance.arkansas.gov/NPILookup?Npi=1033464870","1033464870")</f>
        <v>1033464870</v>
      </c>
      <c r="E17112" t="s">
        <v>4187</v>
      </c>
    </row>
    <row r="17113" spans="1:5" x14ac:dyDescent="0.25">
      <c r="A17113" t="s">
        <v>4</v>
      </c>
      <c r="B17113" t="s">
        <v>4111</v>
      </c>
      <c r="C17113" t="s">
        <v>23490</v>
      </c>
      <c r="D17113" t="str">
        <f>HYPERLINK("https://rhld.insurance.arkansas.gov/NPILookup?Npi=1033472964","1033472964")</f>
        <v>1033472964</v>
      </c>
      <c r="E17113" t="s">
        <v>20308</v>
      </c>
    </row>
    <row r="17114" spans="1:5" x14ac:dyDescent="0.25">
      <c r="A17114" t="s">
        <v>4</v>
      </c>
      <c r="B17114" t="s">
        <v>4111</v>
      </c>
      <c r="C17114" t="s">
        <v>23490</v>
      </c>
      <c r="D17114" t="str">
        <f>HYPERLINK("https://rhld.insurance.arkansas.gov/NPILookup?Npi=1033474101","1033474101")</f>
        <v>1033474101</v>
      </c>
      <c r="E17114" t="s">
        <v>18236</v>
      </c>
    </row>
    <row r="17115" spans="1:5" x14ac:dyDescent="0.25">
      <c r="A17115" t="s">
        <v>4</v>
      </c>
      <c r="B17115" t="s">
        <v>4111</v>
      </c>
      <c r="C17115" t="s">
        <v>23490</v>
      </c>
      <c r="D17115" t="str">
        <f>HYPERLINK("https://rhld.insurance.arkansas.gov/NPILookup?Npi=1033483706","1033483706")</f>
        <v>1033483706</v>
      </c>
      <c r="E17115" t="s">
        <v>4188</v>
      </c>
    </row>
    <row r="17116" spans="1:5" x14ac:dyDescent="0.25">
      <c r="A17116" t="s">
        <v>4</v>
      </c>
      <c r="B17116" t="s">
        <v>4111</v>
      </c>
      <c r="C17116" t="s">
        <v>23490</v>
      </c>
      <c r="D17116" t="str">
        <f>HYPERLINK("https://rhld.insurance.arkansas.gov/NPILookup?Npi=1033484605","1033484605")</f>
        <v>1033484605</v>
      </c>
      <c r="E17116" t="s">
        <v>15948</v>
      </c>
    </row>
    <row r="17117" spans="1:5" x14ac:dyDescent="0.25">
      <c r="A17117" t="s">
        <v>4</v>
      </c>
      <c r="B17117" t="s">
        <v>4111</v>
      </c>
      <c r="C17117" t="s">
        <v>23490</v>
      </c>
      <c r="D17117" t="str">
        <f>HYPERLINK("https://rhld.insurance.arkansas.gov/NPILookup?Npi=1033505136","1033505136")</f>
        <v>1033505136</v>
      </c>
      <c r="E17117" t="s">
        <v>20309</v>
      </c>
    </row>
    <row r="17118" spans="1:5" x14ac:dyDescent="0.25">
      <c r="A17118" t="s">
        <v>4</v>
      </c>
      <c r="B17118" t="s">
        <v>4111</v>
      </c>
      <c r="C17118" t="s">
        <v>23490</v>
      </c>
      <c r="D17118" t="str">
        <f>HYPERLINK("https://rhld.insurance.arkansas.gov/NPILookup?Npi=1033510037","1033510037")</f>
        <v>1033510037</v>
      </c>
      <c r="E17118" t="s">
        <v>13904</v>
      </c>
    </row>
    <row r="17119" spans="1:5" x14ac:dyDescent="0.25">
      <c r="A17119" t="s">
        <v>4</v>
      </c>
      <c r="B17119" t="s">
        <v>4111</v>
      </c>
      <c r="C17119" t="s">
        <v>23490</v>
      </c>
      <c r="D17119" t="str">
        <f>HYPERLINK("https://rhld.insurance.arkansas.gov/NPILookup?Npi=1033513809","1033513809")</f>
        <v>1033513809</v>
      </c>
      <c r="E17119" t="s">
        <v>13065</v>
      </c>
    </row>
    <row r="17120" spans="1:5" x14ac:dyDescent="0.25">
      <c r="A17120" t="s">
        <v>4</v>
      </c>
      <c r="B17120" t="s">
        <v>4111</v>
      </c>
      <c r="C17120" t="s">
        <v>23490</v>
      </c>
      <c r="D17120" t="str">
        <f>HYPERLINK("https://rhld.insurance.arkansas.gov/NPILookup?Npi=1033515341","1033515341")</f>
        <v>1033515341</v>
      </c>
      <c r="E17120" t="s">
        <v>4189</v>
      </c>
    </row>
    <row r="17121" spans="1:5" x14ac:dyDescent="0.25">
      <c r="A17121" t="s">
        <v>4</v>
      </c>
      <c r="B17121" t="s">
        <v>4111</v>
      </c>
      <c r="C17121" t="s">
        <v>23490</v>
      </c>
      <c r="D17121" t="str">
        <f>HYPERLINK("https://rhld.insurance.arkansas.gov/NPILookup?Npi=1033549415","1033549415")</f>
        <v>1033549415</v>
      </c>
      <c r="E17121" t="s">
        <v>13905</v>
      </c>
    </row>
    <row r="17122" spans="1:5" x14ac:dyDescent="0.25">
      <c r="A17122" t="s">
        <v>4</v>
      </c>
      <c r="B17122" t="s">
        <v>4111</v>
      </c>
      <c r="C17122" t="s">
        <v>23490</v>
      </c>
      <c r="D17122" t="str">
        <f>HYPERLINK("https://rhld.insurance.arkansas.gov/NPILookup?Npi=1033556303","1033556303")</f>
        <v>1033556303</v>
      </c>
      <c r="E17122" t="s">
        <v>21100</v>
      </c>
    </row>
    <row r="17123" spans="1:5" x14ac:dyDescent="0.25">
      <c r="A17123" t="s">
        <v>4</v>
      </c>
      <c r="B17123" t="s">
        <v>4111</v>
      </c>
      <c r="C17123" t="s">
        <v>23490</v>
      </c>
      <c r="D17123" t="str">
        <f>HYPERLINK("https://rhld.insurance.arkansas.gov/NPILookup?Npi=1033557475","1033557475")</f>
        <v>1033557475</v>
      </c>
      <c r="E17123" t="s">
        <v>23028</v>
      </c>
    </row>
    <row r="17124" spans="1:5" x14ac:dyDescent="0.25">
      <c r="A17124" t="s">
        <v>4</v>
      </c>
      <c r="B17124" t="s">
        <v>4111</v>
      </c>
      <c r="C17124" t="s">
        <v>23490</v>
      </c>
      <c r="D17124" t="str">
        <f>HYPERLINK("https://rhld.insurance.arkansas.gov/NPILookup?Npi=1033560560","1033560560")</f>
        <v>1033560560</v>
      </c>
      <c r="E17124" t="s">
        <v>15949</v>
      </c>
    </row>
    <row r="17125" spans="1:5" x14ac:dyDescent="0.25">
      <c r="A17125" t="s">
        <v>4</v>
      </c>
      <c r="B17125" t="s">
        <v>4111</v>
      </c>
      <c r="C17125" t="s">
        <v>23490</v>
      </c>
      <c r="D17125" t="str">
        <f>HYPERLINK("https://rhld.insurance.arkansas.gov/NPILookup?Npi=1033578323","1033578323")</f>
        <v>1033578323</v>
      </c>
      <c r="E17125" t="s">
        <v>21794</v>
      </c>
    </row>
    <row r="17126" spans="1:5" x14ac:dyDescent="0.25">
      <c r="A17126" t="s">
        <v>4</v>
      </c>
      <c r="B17126" t="s">
        <v>4111</v>
      </c>
      <c r="C17126" t="s">
        <v>23490</v>
      </c>
      <c r="D17126" t="str">
        <f>HYPERLINK("https://rhld.insurance.arkansas.gov/NPILookup?Npi=1033601703","1033601703")</f>
        <v>1033601703</v>
      </c>
      <c r="E17126" t="s">
        <v>13906</v>
      </c>
    </row>
    <row r="17127" spans="1:5" x14ac:dyDescent="0.25">
      <c r="A17127" t="s">
        <v>4</v>
      </c>
      <c r="B17127" t="s">
        <v>4111</v>
      </c>
      <c r="C17127" t="s">
        <v>23490</v>
      </c>
      <c r="D17127" t="str">
        <f>HYPERLINK("https://rhld.insurance.arkansas.gov/NPILookup?Npi=1033611835","1033611835")</f>
        <v>1033611835</v>
      </c>
      <c r="E17127" t="s">
        <v>13066</v>
      </c>
    </row>
    <row r="17128" spans="1:5" x14ac:dyDescent="0.25">
      <c r="A17128" t="s">
        <v>4</v>
      </c>
      <c r="B17128" t="s">
        <v>4111</v>
      </c>
      <c r="C17128" t="s">
        <v>23490</v>
      </c>
      <c r="D17128" t="str">
        <f>HYPERLINK("https://rhld.insurance.arkansas.gov/NPILookup?Npi=1033619077","1033619077")</f>
        <v>1033619077</v>
      </c>
      <c r="E17128" t="s">
        <v>20310</v>
      </c>
    </row>
    <row r="17129" spans="1:5" x14ac:dyDescent="0.25">
      <c r="A17129" t="s">
        <v>4</v>
      </c>
      <c r="B17129" t="s">
        <v>4111</v>
      </c>
      <c r="C17129" t="s">
        <v>8427</v>
      </c>
      <c r="D17129" t="str">
        <f>HYPERLINK("https://rhld.insurance.arkansas.gov/NPILookup?Npi=1033619622","1033619622")</f>
        <v>1033619622</v>
      </c>
      <c r="E17129" t="s">
        <v>23029</v>
      </c>
    </row>
    <row r="17130" spans="1:5" x14ac:dyDescent="0.25">
      <c r="A17130" t="s">
        <v>4</v>
      </c>
      <c r="B17130" t="s">
        <v>4111</v>
      </c>
      <c r="C17130" t="s">
        <v>23490</v>
      </c>
      <c r="D17130" t="str">
        <f>HYPERLINK("https://rhld.insurance.arkansas.gov/NPILookup?Npi=1033631510","1033631510")</f>
        <v>1033631510</v>
      </c>
      <c r="E17130" t="s">
        <v>18237</v>
      </c>
    </row>
    <row r="17131" spans="1:5" x14ac:dyDescent="0.25">
      <c r="A17131" t="s">
        <v>4</v>
      </c>
      <c r="B17131" t="s">
        <v>4111</v>
      </c>
      <c r="C17131" t="s">
        <v>23490</v>
      </c>
      <c r="D17131" t="str">
        <f>HYPERLINK("https://rhld.insurance.arkansas.gov/NPILookup?Npi=1033633581","1033633581")</f>
        <v>1033633581</v>
      </c>
      <c r="E17131" t="s">
        <v>18933</v>
      </c>
    </row>
    <row r="17132" spans="1:5" x14ac:dyDescent="0.25">
      <c r="A17132" t="s">
        <v>4</v>
      </c>
      <c r="B17132" t="s">
        <v>4111</v>
      </c>
      <c r="C17132" t="s">
        <v>23490</v>
      </c>
      <c r="D17132" t="str">
        <f>HYPERLINK("https://rhld.insurance.arkansas.gov/NPILookup?Npi=1033635974","1033635974")</f>
        <v>1033635974</v>
      </c>
      <c r="E17132" t="s">
        <v>13907</v>
      </c>
    </row>
    <row r="17133" spans="1:5" x14ac:dyDescent="0.25">
      <c r="A17133" t="s">
        <v>4</v>
      </c>
      <c r="B17133" t="s">
        <v>4111</v>
      </c>
      <c r="C17133" t="s">
        <v>23490</v>
      </c>
      <c r="D17133" t="str">
        <f>HYPERLINK("https://rhld.insurance.arkansas.gov/NPILookup?Npi=1033660071","1033660071")</f>
        <v>1033660071</v>
      </c>
      <c r="E17133" t="s">
        <v>17525</v>
      </c>
    </row>
    <row r="17134" spans="1:5" x14ac:dyDescent="0.25">
      <c r="A17134" t="s">
        <v>4</v>
      </c>
      <c r="B17134" t="s">
        <v>4111</v>
      </c>
      <c r="C17134" t="s">
        <v>23490</v>
      </c>
      <c r="D17134" t="str">
        <f>HYPERLINK("https://rhld.insurance.arkansas.gov/NPILookup?Npi=1033663331","1033663331")</f>
        <v>1033663331</v>
      </c>
      <c r="E17134" t="s">
        <v>21795</v>
      </c>
    </row>
    <row r="17135" spans="1:5" x14ac:dyDescent="0.25">
      <c r="A17135" t="s">
        <v>4</v>
      </c>
      <c r="B17135" t="s">
        <v>4111</v>
      </c>
      <c r="C17135" t="s">
        <v>23490</v>
      </c>
      <c r="D17135" t="str">
        <f>HYPERLINK("https://rhld.insurance.arkansas.gov/NPILookup?Npi=1033698444","1033698444")</f>
        <v>1033698444</v>
      </c>
      <c r="E17135" t="s">
        <v>18238</v>
      </c>
    </row>
    <row r="17136" spans="1:5" x14ac:dyDescent="0.25">
      <c r="A17136" t="s">
        <v>4</v>
      </c>
      <c r="B17136" t="s">
        <v>4111</v>
      </c>
      <c r="C17136" t="s">
        <v>23490</v>
      </c>
      <c r="D17136" t="str">
        <f>HYPERLINK("https://rhld.insurance.arkansas.gov/NPILookup?Npi=1033721816","1033721816")</f>
        <v>1033721816</v>
      </c>
      <c r="E17136" t="s">
        <v>20311</v>
      </c>
    </row>
    <row r="17137" spans="1:5" x14ac:dyDescent="0.25">
      <c r="A17137" t="s">
        <v>4</v>
      </c>
      <c r="B17137" t="s">
        <v>4111</v>
      </c>
      <c r="C17137" t="s">
        <v>23490</v>
      </c>
      <c r="D17137" t="str">
        <f>HYPERLINK("https://rhld.insurance.arkansas.gov/NPILookup?Npi=1033757968","1033757968")</f>
        <v>1033757968</v>
      </c>
      <c r="E17137" t="s">
        <v>20312</v>
      </c>
    </row>
    <row r="17138" spans="1:5" x14ac:dyDescent="0.25">
      <c r="A17138" t="s">
        <v>4</v>
      </c>
      <c r="B17138" t="s">
        <v>4111</v>
      </c>
      <c r="C17138" t="s">
        <v>23490</v>
      </c>
      <c r="D17138" t="str">
        <f>HYPERLINK("https://rhld.insurance.arkansas.gov/NPILookup?Npi=1033765458","1033765458")</f>
        <v>1033765458</v>
      </c>
      <c r="E17138" t="s">
        <v>21796</v>
      </c>
    </row>
    <row r="17139" spans="1:5" x14ac:dyDescent="0.25">
      <c r="A17139" t="s">
        <v>4</v>
      </c>
      <c r="B17139" t="s">
        <v>4111</v>
      </c>
      <c r="C17139" t="s">
        <v>23490</v>
      </c>
      <c r="D17139" t="str">
        <f>HYPERLINK("https://rhld.insurance.arkansas.gov/NPILookup?Npi=1033804687","1033804687")</f>
        <v>1033804687</v>
      </c>
      <c r="E17139" t="s">
        <v>21797</v>
      </c>
    </row>
    <row r="17140" spans="1:5" x14ac:dyDescent="0.25">
      <c r="A17140" t="s">
        <v>4</v>
      </c>
      <c r="B17140" t="s">
        <v>4111</v>
      </c>
      <c r="C17140" t="s">
        <v>23490</v>
      </c>
      <c r="D17140" t="str">
        <f>HYPERLINK("https://rhld.insurance.arkansas.gov/NPILookup?Npi=1033879465","1033879465")</f>
        <v>1033879465</v>
      </c>
      <c r="E17140" t="s">
        <v>21798</v>
      </c>
    </row>
    <row r="17141" spans="1:5" x14ac:dyDescent="0.25">
      <c r="A17141" t="s">
        <v>4</v>
      </c>
      <c r="B17141" t="s">
        <v>4111</v>
      </c>
      <c r="C17141" t="s">
        <v>23490</v>
      </c>
      <c r="D17141" t="str">
        <f>HYPERLINK("https://rhld.insurance.arkansas.gov/NPILookup?Npi=1043201254","1043201254")</f>
        <v>1043201254</v>
      </c>
      <c r="E17141" t="s">
        <v>4190</v>
      </c>
    </row>
    <row r="17142" spans="1:5" x14ac:dyDescent="0.25">
      <c r="A17142" t="s">
        <v>4</v>
      </c>
      <c r="B17142" t="s">
        <v>4111</v>
      </c>
      <c r="C17142" t="s">
        <v>23490</v>
      </c>
      <c r="D17142" t="str">
        <f>HYPERLINK("https://rhld.insurance.arkansas.gov/NPILookup?Npi=1043227606","1043227606")</f>
        <v>1043227606</v>
      </c>
      <c r="E17142" t="s">
        <v>18934</v>
      </c>
    </row>
    <row r="17143" spans="1:5" x14ac:dyDescent="0.25">
      <c r="A17143" t="s">
        <v>4</v>
      </c>
      <c r="B17143" t="s">
        <v>4111</v>
      </c>
      <c r="C17143" t="s">
        <v>23490</v>
      </c>
      <c r="D17143" t="str">
        <f>HYPERLINK("https://rhld.insurance.arkansas.gov/NPILookup?Npi=1043229487","1043229487")</f>
        <v>1043229487</v>
      </c>
      <c r="E17143" t="s">
        <v>4191</v>
      </c>
    </row>
    <row r="17144" spans="1:5" x14ac:dyDescent="0.25">
      <c r="A17144" t="s">
        <v>4</v>
      </c>
      <c r="B17144" t="s">
        <v>4111</v>
      </c>
      <c r="C17144" t="s">
        <v>23490</v>
      </c>
      <c r="D17144" t="str">
        <f>HYPERLINK("https://rhld.insurance.arkansas.gov/NPILookup?Npi=1043239585","1043239585")</f>
        <v>1043239585</v>
      </c>
      <c r="E17144" t="s">
        <v>3699</v>
      </c>
    </row>
    <row r="17145" spans="1:5" x14ac:dyDescent="0.25">
      <c r="A17145" t="s">
        <v>4</v>
      </c>
      <c r="B17145" t="s">
        <v>4111</v>
      </c>
      <c r="C17145" t="s">
        <v>23490</v>
      </c>
      <c r="D17145" t="str">
        <f>HYPERLINK("https://rhld.insurance.arkansas.gov/NPILookup?Npi=1043241334","1043241334")</f>
        <v>1043241334</v>
      </c>
      <c r="E17145" t="s">
        <v>4192</v>
      </c>
    </row>
    <row r="17146" spans="1:5" x14ac:dyDescent="0.25">
      <c r="A17146" t="s">
        <v>4</v>
      </c>
      <c r="B17146" t="s">
        <v>4111</v>
      </c>
      <c r="C17146" t="s">
        <v>23490</v>
      </c>
      <c r="D17146" t="str">
        <f>HYPERLINK("https://rhld.insurance.arkansas.gov/NPILookup?Npi=1043268527","1043268527")</f>
        <v>1043268527</v>
      </c>
      <c r="E17146" t="s">
        <v>4193</v>
      </c>
    </row>
    <row r="17147" spans="1:5" x14ac:dyDescent="0.25">
      <c r="A17147" t="s">
        <v>4</v>
      </c>
      <c r="B17147" t="s">
        <v>4111</v>
      </c>
      <c r="C17147" t="s">
        <v>23490</v>
      </c>
      <c r="D17147" t="str">
        <f>HYPERLINK("https://rhld.insurance.arkansas.gov/NPILookup?Npi=1043270895","1043270895")</f>
        <v>1043270895</v>
      </c>
      <c r="E17147" t="s">
        <v>4194</v>
      </c>
    </row>
    <row r="17148" spans="1:5" x14ac:dyDescent="0.25">
      <c r="A17148" t="s">
        <v>4</v>
      </c>
      <c r="B17148" t="s">
        <v>4111</v>
      </c>
      <c r="C17148" t="s">
        <v>23490</v>
      </c>
      <c r="D17148" t="str">
        <f>HYPERLINK("https://rhld.insurance.arkansas.gov/NPILookup?Npi=1043272990","1043272990")</f>
        <v>1043272990</v>
      </c>
      <c r="E17148" t="s">
        <v>4195</v>
      </c>
    </row>
    <row r="17149" spans="1:5" x14ac:dyDescent="0.25">
      <c r="A17149" t="s">
        <v>4</v>
      </c>
      <c r="B17149" t="s">
        <v>4111</v>
      </c>
      <c r="C17149" t="s">
        <v>23490</v>
      </c>
      <c r="D17149" t="str">
        <f>HYPERLINK("https://rhld.insurance.arkansas.gov/NPILookup?Npi=1043282056","1043282056")</f>
        <v>1043282056</v>
      </c>
      <c r="E17149" t="s">
        <v>4196</v>
      </c>
    </row>
    <row r="17150" spans="1:5" x14ac:dyDescent="0.25">
      <c r="A17150" t="s">
        <v>4</v>
      </c>
      <c r="B17150" t="s">
        <v>4111</v>
      </c>
      <c r="C17150" t="s">
        <v>23490</v>
      </c>
      <c r="D17150" t="str">
        <f>HYPERLINK("https://rhld.insurance.arkansas.gov/NPILookup?Npi=1043289291","1043289291")</f>
        <v>1043289291</v>
      </c>
      <c r="E17150" t="s">
        <v>4197</v>
      </c>
    </row>
    <row r="17151" spans="1:5" x14ac:dyDescent="0.25">
      <c r="A17151" t="s">
        <v>4</v>
      </c>
      <c r="B17151" t="s">
        <v>4111</v>
      </c>
      <c r="C17151" t="s">
        <v>23490</v>
      </c>
      <c r="D17151" t="str">
        <f>HYPERLINK("https://rhld.insurance.arkansas.gov/NPILookup?Npi=1043297302","1043297302")</f>
        <v>1043297302</v>
      </c>
      <c r="E17151" t="s">
        <v>17086</v>
      </c>
    </row>
    <row r="17152" spans="1:5" x14ac:dyDescent="0.25">
      <c r="A17152" t="s">
        <v>4</v>
      </c>
      <c r="B17152" t="s">
        <v>4111</v>
      </c>
      <c r="C17152" t="s">
        <v>23490</v>
      </c>
      <c r="D17152" t="str">
        <f>HYPERLINK("https://rhld.insurance.arkansas.gov/NPILookup?Npi=1043299332","1043299332")</f>
        <v>1043299332</v>
      </c>
      <c r="E17152" t="s">
        <v>4198</v>
      </c>
    </row>
    <row r="17153" spans="1:5" x14ac:dyDescent="0.25">
      <c r="A17153" t="s">
        <v>4</v>
      </c>
      <c r="B17153" t="s">
        <v>4111</v>
      </c>
      <c r="C17153" t="s">
        <v>23490</v>
      </c>
      <c r="D17153" t="str">
        <f>HYPERLINK("https://rhld.insurance.arkansas.gov/NPILookup?Npi=1043302185","1043302185")</f>
        <v>1043302185</v>
      </c>
      <c r="E17153" t="s">
        <v>4200</v>
      </c>
    </row>
    <row r="17154" spans="1:5" x14ac:dyDescent="0.25">
      <c r="A17154" t="s">
        <v>4</v>
      </c>
      <c r="B17154" t="s">
        <v>4111</v>
      </c>
      <c r="C17154" t="s">
        <v>23490</v>
      </c>
      <c r="D17154" t="str">
        <f>HYPERLINK("https://rhld.insurance.arkansas.gov/NPILookup?Npi=1043309131","1043309131")</f>
        <v>1043309131</v>
      </c>
      <c r="E17154" t="s">
        <v>4201</v>
      </c>
    </row>
    <row r="17155" spans="1:5" x14ac:dyDescent="0.25">
      <c r="A17155" t="s">
        <v>4</v>
      </c>
      <c r="B17155" t="s">
        <v>4111</v>
      </c>
      <c r="C17155" t="s">
        <v>23490</v>
      </c>
      <c r="D17155" t="str">
        <f>HYPERLINK("https://rhld.insurance.arkansas.gov/NPILookup?Npi=1043309800","1043309800")</f>
        <v>1043309800</v>
      </c>
      <c r="E17155" t="s">
        <v>4202</v>
      </c>
    </row>
    <row r="17156" spans="1:5" x14ac:dyDescent="0.25">
      <c r="A17156" t="s">
        <v>4</v>
      </c>
      <c r="B17156" t="s">
        <v>4111</v>
      </c>
      <c r="C17156" t="s">
        <v>23490</v>
      </c>
      <c r="D17156" t="str">
        <f>HYPERLINK("https://rhld.insurance.arkansas.gov/NPILookup?Npi=1043331010","1043331010")</f>
        <v>1043331010</v>
      </c>
      <c r="E17156" t="s">
        <v>17087</v>
      </c>
    </row>
    <row r="17157" spans="1:5" x14ac:dyDescent="0.25">
      <c r="A17157" t="s">
        <v>4</v>
      </c>
      <c r="B17157" t="s">
        <v>4111</v>
      </c>
      <c r="C17157" t="s">
        <v>23490</v>
      </c>
      <c r="D17157" t="str">
        <f>HYPERLINK("https://rhld.insurance.arkansas.gov/NPILookup?Npi=1043337553","1043337553")</f>
        <v>1043337553</v>
      </c>
      <c r="E17157" t="s">
        <v>20313</v>
      </c>
    </row>
    <row r="17158" spans="1:5" x14ac:dyDescent="0.25">
      <c r="A17158" t="s">
        <v>4</v>
      </c>
      <c r="B17158" t="s">
        <v>4111</v>
      </c>
      <c r="C17158" t="s">
        <v>23490</v>
      </c>
      <c r="D17158" t="str">
        <f>HYPERLINK("https://rhld.insurance.arkansas.gov/NPILookup?Npi=1043341142","1043341142")</f>
        <v>1043341142</v>
      </c>
      <c r="E17158" t="s">
        <v>21799</v>
      </c>
    </row>
    <row r="17159" spans="1:5" x14ac:dyDescent="0.25">
      <c r="A17159" t="s">
        <v>4</v>
      </c>
      <c r="B17159" t="s">
        <v>4111</v>
      </c>
      <c r="C17159" t="s">
        <v>23490</v>
      </c>
      <c r="D17159" t="str">
        <f>HYPERLINK("https://rhld.insurance.arkansas.gov/NPILookup?Npi=1043348972","1043348972")</f>
        <v>1043348972</v>
      </c>
      <c r="E17159" t="s">
        <v>4203</v>
      </c>
    </row>
    <row r="17160" spans="1:5" x14ac:dyDescent="0.25">
      <c r="A17160" t="s">
        <v>4</v>
      </c>
      <c r="B17160" t="s">
        <v>4111</v>
      </c>
      <c r="C17160" t="s">
        <v>23490</v>
      </c>
      <c r="D17160" t="str">
        <f>HYPERLINK("https://rhld.insurance.arkansas.gov/NPILookup?Npi=1043359227","1043359227")</f>
        <v>1043359227</v>
      </c>
      <c r="E17160" t="s">
        <v>9006</v>
      </c>
    </row>
    <row r="17161" spans="1:5" x14ac:dyDescent="0.25">
      <c r="A17161" t="s">
        <v>4</v>
      </c>
      <c r="B17161" t="s">
        <v>4111</v>
      </c>
      <c r="C17161" t="s">
        <v>23490</v>
      </c>
      <c r="D17161" t="str">
        <f>HYPERLINK("https://rhld.insurance.arkansas.gov/NPILookup?Npi=1043365620","1043365620")</f>
        <v>1043365620</v>
      </c>
      <c r="E17161" t="s">
        <v>4204</v>
      </c>
    </row>
    <row r="17162" spans="1:5" x14ac:dyDescent="0.25">
      <c r="A17162" t="s">
        <v>4</v>
      </c>
      <c r="B17162" t="s">
        <v>4111</v>
      </c>
      <c r="C17162" t="s">
        <v>23490</v>
      </c>
      <c r="D17162" t="str">
        <f>HYPERLINK("https://rhld.insurance.arkansas.gov/NPILookup?Npi=1043371271","1043371271")</f>
        <v>1043371271</v>
      </c>
      <c r="E17162" t="s">
        <v>4205</v>
      </c>
    </row>
    <row r="17163" spans="1:5" x14ac:dyDescent="0.25">
      <c r="A17163" t="s">
        <v>4</v>
      </c>
      <c r="B17163" t="s">
        <v>4111</v>
      </c>
      <c r="C17163" t="s">
        <v>23490</v>
      </c>
      <c r="D17163" t="str">
        <f>HYPERLINK("https://rhld.insurance.arkansas.gov/NPILookup?Npi=1043373616","1043373616")</f>
        <v>1043373616</v>
      </c>
      <c r="E17163" t="s">
        <v>4206</v>
      </c>
    </row>
    <row r="17164" spans="1:5" x14ac:dyDescent="0.25">
      <c r="A17164" t="s">
        <v>4</v>
      </c>
      <c r="B17164" t="s">
        <v>4111</v>
      </c>
      <c r="C17164" t="s">
        <v>23490</v>
      </c>
      <c r="D17164" t="str">
        <f>HYPERLINK("https://rhld.insurance.arkansas.gov/NPILookup?Npi=1043405392","1043405392")</f>
        <v>1043405392</v>
      </c>
      <c r="E17164" t="s">
        <v>4207</v>
      </c>
    </row>
    <row r="17165" spans="1:5" x14ac:dyDescent="0.25">
      <c r="A17165" t="s">
        <v>4</v>
      </c>
      <c r="B17165" t="s">
        <v>4111</v>
      </c>
      <c r="C17165" t="s">
        <v>23490</v>
      </c>
      <c r="D17165" t="str">
        <f>HYPERLINK("https://rhld.insurance.arkansas.gov/NPILookup?Npi=1043410608","1043410608")</f>
        <v>1043410608</v>
      </c>
      <c r="E17165" t="s">
        <v>23030</v>
      </c>
    </row>
    <row r="17166" spans="1:5" x14ac:dyDescent="0.25">
      <c r="A17166" t="s">
        <v>4</v>
      </c>
      <c r="B17166" t="s">
        <v>4111</v>
      </c>
      <c r="C17166" t="s">
        <v>23490</v>
      </c>
      <c r="D17166" t="str">
        <f>HYPERLINK("https://rhld.insurance.arkansas.gov/NPILookup?Npi=1043416522","1043416522")</f>
        <v>1043416522</v>
      </c>
      <c r="E17166" t="s">
        <v>4208</v>
      </c>
    </row>
    <row r="17167" spans="1:5" x14ac:dyDescent="0.25">
      <c r="A17167" t="s">
        <v>4</v>
      </c>
      <c r="B17167" t="s">
        <v>4111</v>
      </c>
      <c r="C17167" t="s">
        <v>23490</v>
      </c>
      <c r="D17167" t="str">
        <f>HYPERLINK("https://rhld.insurance.arkansas.gov/NPILookup?Npi=1043441173","1043441173")</f>
        <v>1043441173</v>
      </c>
      <c r="E17167" t="s">
        <v>19219</v>
      </c>
    </row>
    <row r="17168" spans="1:5" x14ac:dyDescent="0.25">
      <c r="A17168" t="s">
        <v>4</v>
      </c>
      <c r="B17168" t="s">
        <v>4111</v>
      </c>
      <c r="C17168" t="s">
        <v>23490</v>
      </c>
      <c r="D17168" t="str">
        <f>HYPERLINK("https://rhld.insurance.arkansas.gov/NPILookup?Npi=1043443401","1043443401")</f>
        <v>1043443401</v>
      </c>
      <c r="E17168" t="s">
        <v>15950</v>
      </c>
    </row>
    <row r="17169" spans="1:5" x14ac:dyDescent="0.25">
      <c r="A17169" t="s">
        <v>4</v>
      </c>
      <c r="B17169" t="s">
        <v>4111</v>
      </c>
      <c r="C17169" t="s">
        <v>23490</v>
      </c>
      <c r="D17169" t="str">
        <f>HYPERLINK("https://rhld.insurance.arkansas.gov/NPILookup?Npi=1043468291","1043468291")</f>
        <v>1043468291</v>
      </c>
      <c r="E17169" t="s">
        <v>4209</v>
      </c>
    </row>
    <row r="17170" spans="1:5" x14ac:dyDescent="0.25">
      <c r="A17170" t="s">
        <v>4</v>
      </c>
      <c r="B17170" t="s">
        <v>4111</v>
      </c>
      <c r="C17170" t="s">
        <v>23490</v>
      </c>
      <c r="D17170" t="str">
        <f>HYPERLINK("https://rhld.insurance.arkansas.gov/NPILookup?Npi=1043487721","1043487721")</f>
        <v>1043487721</v>
      </c>
      <c r="E17170" t="s">
        <v>4210</v>
      </c>
    </row>
    <row r="17171" spans="1:5" x14ac:dyDescent="0.25">
      <c r="A17171" t="s">
        <v>4</v>
      </c>
      <c r="B17171" t="s">
        <v>4111</v>
      </c>
      <c r="C17171" t="s">
        <v>23490</v>
      </c>
      <c r="D17171" t="str">
        <f>HYPERLINK("https://rhld.insurance.arkansas.gov/NPILookup?Npi=1043514847","1043514847")</f>
        <v>1043514847</v>
      </c>
      <c r="E17171" t="s">
        <v>21800</v>
      </c>
    </row>
    <row r="17172" spans="1:5" x14ac:dyDescent="0.25">
      <c r="A17172" t="s">
        <v>4</v>
      </c>
      <c r="B17172" t="s">
        <v>4111</v>
      </c>
      <c r="C17172" t="s">
        <v>23490</v>
      </c>
      <c r="D17172" t="str">
        <f>HYPERLINK("https://rhld.insurance.arkansas.gov/NPILookup?Npi=1043517923","1043517923")</f>
        <v>1043517923</v>
      </c>
      <c r="E17172" t="s">
        <v>9007</v>
      </c>
    </row>
    <row r="17173" spans="1:5" x14ac:dyDescent="0.25">
      <c r="A17173" t="s">
        <v>4</v>
      </c>
      <c r="B17173" t="s">
        <v>4111</v>
      </c>
      <c r="C17173" t="s">
        <v>23490</v>
      </c>
      <c r="D17173" t="str">
        <f>HYPERLINK("https://rhld.insurance.arkansas.gov/NPILookup?Npi=1043521370","1043521370")</f>
        <v>1043521370</v>
      </c>
      <c r="E17173" t="s">
        <v>13908</v>
      </c>
    </row>
    <row r="17174" spans="1:5" x14ac:dyDescent="0.25">
      <c r="A17174" t="s">
        <v>4</v>
      </c>
      <c r="B17174" t="s">
        <v>4111</v>
      </c>
      <c r="C17174" t="s">
        <v>23490</v>
      </c>
      <c r="D17174" t="str">
        <f>HYPERLINK("https://rhld.insurance.arkansas.gov/NPILookup?Npi=1043529571","1043529571")</f>
        <v>1043529571</v>
      </c>
      <c r="E17174" t="s">
        <v>17088</v>
      </c>
    </row>
    <row r="17175" spans="1:5" x14ac:dyDescent="0.25">
      <c r="A17175" t="s">
        <v>4</v>
      </c>
      <c r="B17175" t="s">
        <v>4111</v>
      </c>
      <c r="C17175" t="s">
        <v>23490</v>
      </c>
      <c r="D17175" t="str">
        <f>HYPERLINK("https://rhld.insurance.arkansas.gov/NPILookup?Npi=1043532740","1043532740")</f>
        <v>1043532740</v>
      </c>
      <c r="E17175" t="s">
        <v>17089</v>
      </c>
    </row>
    <row r="17176" spans="1:5" x14ac:dyDescent="0.25">
      <c r="A17176" t="s">
        <v>4</v>
      </c>
      <c r="B17176" t="s">
        <v>4111</v>
      </c>
      <c r="C17176" t="s">
        <v>23490</v>
      </c>
      <c r="D17176" t="str">
        <f>HYPERLINK("https://rhld.insurance.arkansas.gov/NPILookup?Npi=1043533326","1043533326")</f>
        <v>1043533326</v>
      </c>
      <c r="E17176" t="s">
        <v>4211</v>
      </c>
    </row>
    <row r="17177" spans="1:5" x14ac:dyDescent="0.25">
      <c r="A17177" t="s">
        <v>4</v>
      </c>
      <c r="B17177" t="s">
        <v>4111</v>
      </c>
      <c r="C17177" t="s">
        <v>23490</v>
      </c>
      <c r="D17177" t="str">
        <f>HYPERLINK("https://rhld.insurance.arkansas.gov/NPILookup?Npi=1043539075","1043539075")</f>
        <v>1043539075</v>
      </c>
      <c r="E17177" t="s">
        <v>11515</v>
      </c>
    </row>
    <row r="17178" spans="1:5" x14ac:dyDescent="0.25">
      <c r="A17178" t="s">
        <v>4</v>
      </c>
      <c r="B17178" t="s">
        <v>4111</v>
      </c>
      <c r="C17178" t="s">
        <v>23490</v>
      </c>
      <c r="D17178" t="str">
        <f>HYPERLINK("https://rhld.insurance.arkansas.gov/NPILookup?Npi=1043545700","1043545700")</f>
        <v>1043545700</v>
      </c>
      <c r="E17178" t="s">
        <v>13909</v>
      </c>
    </row>
    <row r="17179" spans="1:5" x14ac:dyDescent="0.25">
      <c r="A17179" t="s">
        <v>4</v>
      </c>
      <c r="B17179" t="s">
        <v>4111</v>
      </c>
      <c r="C17179" t="s">
        <v>23490</v>
      </c>
      <c r="D17179" t="str">
        <f>HYPERLINK("https://rhld.insurance.arkansas.gov/NPILookup?Npi=1043547623","1043547623")</f>
        <v>1043547623</v>
      </c>
      <c r="E17179" t="s">
        <v>13910</v>
      </c>
    </row>
    <row r="17180" spans="1:5" x14ac:dyDescent="0.25">
      <c r="A17180" t="s">
        <v>4</v>
      </c>
      <c r="B17180" t="s">
        <v>4111</v>
      </c>
      <c r="C17180" t="s">
        <v>23490</v>
      </c>
      <c r="D17180" t="str">
        <f>HYPERLINK("https://rhld.insurance.arkansas.gov/NPILookup?Npi=1043592082","1043592082")</f>
        <v>1043592082</v>
      </c>
      <c r="E17180" t="s">
        <v>13911</v>
      </c>
    </row>
    <row r="17181" spans="1:5" x14ac:dyDescent="0.25">
      <c r="A17181" t="s">
        <v>4</v>
      </c>
      <c r="B17181" t="s">
        <v>4111</v>
      </c>
      <c r="C17181" t="s">
        <v>23490</v>
      </c>
      <c r="D17181" t="str">
        <f>HYPERLINK("https://rhld.insurance.arkansas.gov/NPILookup?Npi=1043632268","1043632268")</f>
        <v>1043632268</v>
      </c>
      <c r="E17181" t="s">
        <v>15951</v>
      </c>
    </row>
    <row r="17182" spans="1:5" x14ac:dyDescent="0.25">
      <c r="A17182" t="s">
        <v>4</v>
      </c>
      <c r="B17182" t="s">
        <v>4111</v>
      </c>
      <c r="C17182" t="s">
        <v>23490</v>
      </c>
      <c r="D17182" t="str">
        <f>HYPERLINK("https://rhld.insurance.arkansas.gov/NPILookup?Npi=1043641863","1043641863")</f>
        <v>1043641863</v>
      </c>
      <c r="E17182" t="s">
        <v>11516</v>
      </c>
    </row>
    <row r="17183" spans="1:5" x14ac:dyDescent="0.25">
      <c r="A17183" t="s">
        <v>4</v>
      </c>
      <c r="B17183" t="s">
        <v>4111</v>
      </c>
      <c r="C17183" t="s">
        <v>23490</v>
      </c>
      <c r="D17183" t="str">
        <f>HYPERLINK("https://rhld.insurance.arkansas.gov/NPILookup?Npi=1043648843","1043648843")</f>
        <v>1043648843</v>
      </c>
      <c r="E17183" t="s">
        <v>4212</v>
      </c>
    </row>
    <row r="17184" spans="1:5" x14ac:dyDescent="0.25">
      <c r="A17184" t="s">
        <v>4</v>
      </c>
      <c r="B17184" t="s">
        <v>4111</v>
      </c>
      <c r="C17184" t="s">
        <v>23490</v>
      </c>
      <c r="D17184" t="str">
        <f>HYPERLINK("https://rhld.insurance.arkansas.gov/NPILookup?Npi=1043661135","1043661135")</f>
        <v>1043661135</v>
      </c>
      <c r="E17184" t="s">
        <v>15952</v>
      </c>
    </row>
    <row r="17185" spans="1:5" x14ac:dyDescent="0.25">
      <c r="A17185" t="s">
        <v>4</v>
      </c>
      <c r="B17185" t="s">
        <v>4111</v>
      </c>
      <c r="C17185" t="s">
        <v>23490</v>
      </c>
      <c r="D17185" t="str">
        <f>HYPERLINK("https://rhld.insurance.arkansas.gov/NPILookup?Npi=1043661739","1043661739")</f>
        <v>1043661739</v>
      </c>
      <c r="E17185" t="s">
        <v>17090</v>
      </c>
    </row>
    <row r="17186" spans="1:5" x14ac:dyDescent="0.25">
      <c r="A17186" t="s">
        <v>4</v>
      </c>
      <c r="B17186" t="s">
        <v>4111</v>
      </c>
      <c r="C17186" t="s">
        <v>23490</v>
      </c>
      <c r="D17186" t="str">
        <f>HYPERLINK("https://rhld.insurance.arkansas.gov/NPILookup?Npi=1043667033","1043667033")</f>
        <v>1043667033</v>
      </c>
      <c r="E17186" t="s">
        <v>18239</v>
      </c>
    </row>
    <row r="17187" spans="1:5" x14ac:dyDescent="0.25">
      <c r="A17187" t="s">
        <v>4</v>
      </c>
      <c r="B17187" t="s">
        <v>4111</v>
      </c>
      <c r="C17187" t="s">
        <v>23490</v>
      </c>
      <c r="D17187" t="str">
        <f>HYPERLINK("https://rhld.insurance.arkansas.gov/NPILookup?Npi=1043681398","1043681398")</f>
        <v>1043681398</v>
      </c>
      <c r="E17187" t="s">
        <v>18240</v>
      </c>
    </row>
    <row r="17188" spans="1:5" x14ac:dyDescent="0.25">
      <c r="A17188" t="s">
        <v>4</v>
      </c>
      <c r="B17188" t="s">
        <v>4111</v>
      </c>
      <c r="C17188" t="s">
        <v>23490</v>
      </c>
      <c r="D17188" t="str">
        <f>HYPERLINK("https://rhld.insurance.arkansas.gov/NPILookup?Npi=1043699929","1043699929")</f>
        <v>1043699929</v>
      </c>
      <c r="E17188" t="s">
        <v>13067</v>
      </c>
    </row>
    <row r="17189" spans="1:5" x14ac:dyDescent="0.25">
      <c r="A17189" t="s">
        <v>4</v>
      </c>
      <c r="B17189" t="s">
        <v>4111</v>
      </c>
      <c r="C17189" t="s">
        <v>23490</v>
      </c>
      <c r="D17189" t="str">
        <f>HYPERLINK("https://rhld.insurance.arkansas.gov/NPILookup?Npi=1043705254","1043705254")</f>
        <v>1043705254</v>
      </c>
      <c r="E17189" t="s">
        <v>18935</v>
      </c>
    </row>
    <row r="17190" spans="1:5" x14ac:dyDescent="0.25">
      <c r="A17190" t="s">
        <v>4</v>
      </c>
      <c r="B17190" t="s">
        <v>4111</v>
      </c>
      <c r="C17190" t="s">
        <v>23490</v>
      </c>
      <c r="D17190" t="str">
        <f>HYPERLINK("https://rhld.insurance.arkansas.gov/NPILookup?Npi=1043705726","1043705726")</f>
        <v>1043705726</v>
      </c>
      <c r="E17190" t="s">
        <v>19242</v>
      </c>
    </row>
    <row r="17191" spans="1:5" x14ac:dyDescent="0.25">
      <c r="A17191" t="s">
        <v>4</v>
      </c>
      <c r="B17191" t="s">
        <v>4111</v>
      </c>
      <c r="C17191" t="s">
        <v>23490</v>
      </c>
      <c r="D17191" t="str">
        <f>HYPERLINK("https://rhld.insurance.arkansas.gov/NPILookup?Npi=1043721863","1043721863")</f>
        <v>1043721863</v>
      </c>
      <c r="E17191" t="s">
        <v>23031</v>
      </c>
    </row>
    <row r="17192" spans="1:5" x14ac:dyDescent="0.25">
      <c r="A17192" t="s">
        <v>4</v>
      </c>
      <c r="B17192" t="s">
        <v>4111</v>
      </c>
      <c r="C17192" t="s">
        <v>23490</v>
      </c>
      <c r="D17192" t="str">
        <f>HYPERLINK("https://rhld.insurance.arkansas.gov/NPILookup?Npi=1043752793","1043752793")</f>
        <v>1043752793</v>
      </c>
      <c r="E17192" t="s">
        <v>21801</v>
      </c>
    </row>
    <row r="17193" spans="1:5" x14ac:dyDescent="0.25">
      <c r="A17193" t="s">
        <v>4</v>
      </c>
      <c r="B17193" t="s">
        <v>4111</v>
      </c>
      <c r="C17193" t="s">
        <v>23490</v>
      </c>
      <c r="D17193" t="str">
        <f>HYPERLINK("https://rhld.insurance.arkansas.gov/NPILookup?Npi=1043755150","1043755150")</f>
        <v>1043755150</v>
      </c>
      <c r="E17193" t="s">
        <v>17526</v>
      </c>
    </row>
    <row r="17194" spans="1:5" x14ac:dyDescent="0.25">
      <c r="A17194" t="s">
        <v>4</v>
      </c>
      <c r="B17194" t="s">
        <v>4111</v>
      </c>
      <c r="C17194" t="s">
        <v>23490</v>
      </c>
      <c r="D17194" t="str">
        <f>HYPERLINK("https://rhld.insurance.arkansas.gov/NPILookup?Npi=1043783343","1043783343")</f>
        <v>1043783343</v>
      </c>
      <c r="E17194" t="s">
        <v>15953</v>
      </c>
    </row>
    <row r="17195" spans="1:5" x14ac:dyDescent="0.25">
      <c r="A17195" t="s">
        <v>4</v>
      </c>
      <c r="B17195" t="s">
        <v>4111</v>
      </c>
      <c r="C17195" t="s">
        <v>23490</v>
      </c>
      <c r="D17195" t="str">
        <f>HYPERLINK("https://rhld.insurance.arkansas.gov/NPILookup?Npi=1043790611","1043790611")</f>
        <v>1043790611</v>
      </c>
      <c r="E17195" t="s">
        <v>13912</v>
      </c>
    </row>
    <row r="17196" spans="1:5" x14ac:dyDescent="0.25">
      <c r="A17196" t="s">
        <v>4</v>
      </c>
      <c r="B17196" t="s">
        <v>4111</v>
      </c>
      <c r="C17196" t="s">
        <v>23490</v>
      </c>
      <c r="D17196" t="str">
        <f>HYPERLINK("https://rhld.insurance.arkansas.gov/NPILookup?Npi=1043795958","1043795958")</f>
        <v>1043795958</v>
      </c>
      <c r="E17196" t="s">
        <v>20314</v>
      </c>
    </row>
    <row r="17197" spans="1:5" x14ac:dyDescent="0.25">
      <c r="A17197" t="s">
        <v>4</v>
      </c>
      <c r="B17197" t="s">
        <v>4111</v>
      </c>
      <c r="C17197" t="s">
        <v>23490</v>
      </c>
      <c r="D17197" t="str">
        <f>HYPERLINK("https://rhld.insurance.arkansas.gov/NPILookup?Npi=1043797681","1043797681")</f>
        <v>1043797681</v>
      </c>
      <c r="E17197" t="s">
        <v>20315</v>
      </c>
    </row>
    <row r="17198" spans="1:5" x14ac:dyDescent="0.25">
      <c r="A17198" t="s">
        <v>4</v>
      </c>
      <c r="B17198" t="s">
        <v>4111</v>
      </c>
      <c r="C17198" t="s">
        <v>23490</v>
      </c>
      <c r="D17198" t="str">
        <f>HYPERLINK("https://rhld.insurance.arkansas.gov/NPILookup?Npi=1043804446","1043804446")</f>
        <v>1043804446</v>
      </c>
      <c r="E17198" t="s">
        <v>21802</v>
      </c>
    </row>
    <row r="17199" spans="1:5" x14ac:dyDescent="0.25">
      <c r="A17199" t="s">
        <v>4</v>
      </c>
      <c r="B17199" t="s">
        <v>4111</v>
      </c>
      <c r="C17199" t="s">
        <v>23490</v>
      </c>
      <c r="D17199" t="str">
        <f>HYPERLINK("https://rhld.insurance.arkansas.gov/NPILookup?Npi=1043809791","1043809791")</f>
        <v>1043809791</v>
      </c>
      <c r="E17199" t="s">
        <v>20316</v>
      </c>
    </row>
    <row r="17200" spans="1:5" x14ac:dyDescent="0.25">
      <c r="A17200" t="s">
        <v>4</v>
      </c>
      <c r="B17200" t="s">
        <v>4111</v>
      </c>
      <c r="C17200" t="s">
        <v>23490</v>
      </c>
      <c r="D17200" t="str">
        <f>HYPERLINK("https://rhld.insurance.arkansas.gov/NPILookup?Npi=1043811136","1043811136")</f>
        <v>1043811136</v>
      </c>
      <c r="E17200" t="s">
        <v>21803</v>
      </c>
    </row>
    <row r="17201" spans="1:5" x14ac:dyDescent="0.25">
      <c r="A17201" t="s">
        <v>4</v>
      </c>
      <c r="B17201" t="s">
        <v>4111</v>
      </c>
      <c r="C17201" t="s">
        <v>23490</v>
      </c>
      <c r="D17201" t="str">
        <f>HYPERLINK("https://rhld.insurance.arkansas.gov/NPILookup?Npi=1043841091","1043841091")</f>
        <v>1043841091</v>
      </c>
      <c r="E17201" t="s">
        <v>17091</v>
      </c>
    </row>
    <row r="17202" spans="1:5" x14ac:dyDescent="0.25">
      <c r="A17202" t="s">
        <v>4</v>
      </c>
      <c r="B17202" t="s">
        <v>4111</v>
      </c>
      <c r="C17202" t="s">
        <v>23490</v>
      </c>
      <c r="D17202" t="str">
        <f>HYPERLINK("https://rhld.insurance.arkansas.gov/NPILookup?Npi=1043860323","1043860323")</f>
        <v>1043860323</v>
      </c>
      <c r="E17202" t="s">
        <v>18241</v>
      </c>
    </row>
    <row r="17203" spans="1:5" x14ac:dyDescent="0.25">
      <c r="A17203" t="s">
        <v>4</v>
      </c>
      <c r="B17203" t="s">
        <v>4111</v>
      </c>
      <c r="C17203" t="s">
        <v>23490</v>
      </c>
      <c r="D17203" t="str">
        <f>HYPERLINK("https://rhld.insurance.arkansas.gov/NPILookup?Npi=1043867914","1043867914")</f>
        <v>1043867914</v>
      </c>
      <c r="E17203" t="s">
        <v>18242</v>
      </c>
    </row>
    <row r="17204" spans="1:5" x14ac:dyDescent="0.25">
      <c r="A17204" t="s">
        <v>4</v>
      </c>
      <c r="B17204" t="s">
        <v>4111</v>
      </c>
      <c r="C17204" t="s">
        <v>23490</v>
      </c>
      <c r="D17204" t="str">
        <f>HYPERLINK("https://rhld.insurance.arkansas.gov/NPILookup?Npi=1043960297","1043960297")</f>
        <v>1043960297</v>
      </c>
      <c r="E17204" t="s">
        <v>21101</v>
      </c>
    </row>
    <row r="17205" spans="1:5" x14ac:dyDescent="0.25">
      <c r="A17205" t="s">
        <v>4</v>
      </c>
      <c r="B17205" t="s">
        <v>4111</v>
      </c>
      <c r="C17205" t="s">
        <v>23490</v>
      </c>
      <c r="D17205" t="str">
        <f>HYPERLINK("https://rhld.insurance.arkansas.gov/NPILookup?Npi=1043978422","1043978422")</f>
        <v>1043978422</v>
      </c>
      <c r="E17205" t="s">
        <v>21804</v>
      </c>
    </row>
    <row r="17206" spans="1:5" x14ac:dyDescent="0.25">
      <c r="A17206" t="s">
        <v>4</v>
      </c>
      <c r="B17206" t="s">
        <v>4111</v>
      </c>
      <c r="C17206" t="s">
        <v>23490</v>
      </c>
      <c r="D17206" t="str">
        <f>HYPERLINK("https://rhld.insurance.arkansas.gov/NPILookup?Npi=1053046219","1053046219")</f>
        <v>1053046219</v>
      </c>
      <c r="E17206" t="s">
        <v>21805</v>
      </c>
    </row>
    <row r="17207" spans="1:5" x14ac:dyDescent="0.25">
      <c r="A17207" t="s">
        <v>4</v>
      </c>
      <c r="B17207" t="s">
        <v>4111</v>
      </c>
      <c r="C17207" t="s">
        <v>23490</v>
      </c>
      <c r="D17207" t="str">
        <f>HYPERLINK("https://rhld.insurance.arkansas.gov/NPILookup?Npi=1053069898","1053069898")</f>
        <v>1053069898</v>
      </c>
      <c r="E17207" t="s">
        <v>21806</v>
      </c>
    </row>
    <row r="17208" spans="1:5" x14ac:dyDescent="0.25">
      <c r="A17208" t="s">
        <v>4</v>
      </c>
      <c r="B17208" t="s">
        <v>4111</v>
      </c>
      <c r="C17208" t="s">
        <v>23490</v>
      </c>
      <c r="D17208" t="str">
        <f>HYPERLINK("https://rhld.insurance.arkansas.gov/NPILookup?Npi=1053306159","1053306159")</f>
        <v>1053306159</v>
      </c>
      <c r="E17208" t="s">
        <v>4213</v>
      </c>
    </row>
    <row r="17209" spans="1:5" x14ac:dyDescent="0.25">
      <c r="A17209" t="s">
        <v>4</v>
      </c>
      <c r="B17209" t="s">
        <v>4111</v>
      </c>
      <c r="C17209" t="s">
        <v>23490</v>
      </c>
      <c r="D17209" t="str">
        <f>HYPERLINK("https://rhld.insurance.arkansas.gov/NPILookup?Npi=1053321596","1053321596")</f>
        <v>1053321596</v>
      </c>
      <c r="E17209" t="s">
        <v>15954</v>
      </c>
    </row>
    <row r="17210" spans="1:5" x14ac:dyDescent="0.25">
      <c r="A17210" t="s">
        <v>4</v>
      </c>
      <c r="B17210" t="s">
        <v>4111</v>
      </c>
      <c r="C17210" t="s">
        <v>23490</v>
      </c>
      <c r="D17210" t="str">
        <f>HYPERLINK("https://rhld.insurance.arkansas.gov/NPILookup?Npi=1053345066","1053345066")</f>
        <v>1053345066</v>
      </c>
      <c r="E17210" t="s">
        <v>13913</v>
      </c>
    </row>
    <row r="17211" spans="1:5" x14ac:dyDescent="0.25">
      <c r="A17211" t="s">
        <v>4</v>
      </c>
      <c r="B17211" t="s">
        <v>4111</v>
      </c>
      <c r="C17211" t="s">
        <v>23490</v>
      </c>
      <c r="D17211" t="str">
        <f>HYPERLINK("https://rhld.insurance.arkansas.gov/NPILookup?Npi=1053348474","1053348474")</f>
        <v>1053348474</v>
      </c>
      <c r="E17211" t="s">
        <v>4214</v>
      </c>
    </row>
    <row r="17212" spans="1:5" x14ac:dyDescent="0.25">
      <c r="A17212" t="s">
        <v>4</v>
      </c>
      <c r="B17212" t="s">
        <v>4111</v>
      </c>
      <c r="C17212" t="s">
        <v>23490</v>
      </c>
      <c r="D17212" t="str">
        <f>HYPERLINK("https://rhld.insurance.arkansas.gov/NPILookup?Npi=1053353003","1053353003")</f>
        <v>1053353003</v>
      </c>
      <c r="E17212" t="s">
        <v>4215</v>
      </c>
    </row>
    <row r="17213" spans="1:5" x14ac:dyDescent="0.25">
      <c r="A17213" t="s">
        <v>4</v>
      </c>
      <c r="B17213" t="s">
        <v>4111</v>
      </c>
      <c r="C17213" t="s">
        <v>23490</v>
      </c>
      <c r="D17213" t="str">
        <f>HYPERLINK("https://rhld.insurance.arkansas.gov/NPILookup?Npi=1053359851","1053359851")</f>
        <v>1053359851</v>
      </c>
      <c r="E17213" t="s">
        <v>21807</v>
      </c>
    </row>
    <row r="17214" spans="1:5" x14ac:dyDescent="0.25">
      <c r="A17214" t="s">
        <v>4</v>
      </c>
      <c r="B17214" t="s">
        <v>4111</v>
      </c>
      <c r="C17214" t="s">
        <v>23490</v>
      </c>
      <c r="D17214" t="str">
        <f>HYPERLINK("https://rhld.insurance.arkansas.gov/NPILookup?Npi=1053375683","1053375683")</f>
        <v>1053375683</v>
      </c>
      <c r="E17214" t="s">
        <v>4216</v>
      </c>
    </row>
    <row r="17215" spans="1:5" x14ac:dyDescent="0.25">
      <c r="A17215" t="s">
        <v>4</v>
      </c>
      <c r="B17215" t="s">
        <v>4111</v>
      </c>
      <c r="C17215" t="s">
        <v>23490</v>
      </c>
      <c r="D17215" t="str">
        <f>HYPERLINK("https://rhld.insurance.arkansas.gov/NPILookup?Npi=1053401497","1053401497")</f>
        <v>1053401497</v>
      </c>
      <c r="E17215" t="s">
        <v>13914</v>
      </c>
    </row>
    <row r="17216" spans="1:5" x14ac:dyDescent="0.25">
      <c r="A17216" t="s">
        <v>4</v>
      </c>
      <c r="B17216" t="s">
        <v>4111</v>
      </c>
      <c r="C17216" t="s">
        <v>23490</v>
      </c>
      <c r="D17216" t="str">
        <f>HYPERLINK("https://rhld.insurance.arkansas.gov/NPILookup?Npi=1053435552","1053435552")</f>
        <v>1053435552</v>
      </c>
      <c r="E17216" t="s">
        <v>21808</v>
      </c>
    </row>
    <row r="17217" spans="1:5" x14ac:dyDescent="0.25">
      <c r="A17217" t="s">
        <v>4</v>
      </c>
      <c r="B17217" t="s">
        <v>4111</v>
      </c>
      <c r="C17217" t="s">
        <v>23490</v>
      </c>
      <c r="D17217" t="str">
        <f>HYPERLINK("https://rhld.insurance.arkansas.gov/NPILookup?Npi=1053436048","1053436048")</f>
        <v>1053436048</v>
      </c>
      <c r="E17217" t="s">
        <v>4217</v>
      </c>
    </row>
    <row r="17218" spans="1:5" x14ac:dyDescent="0.25">
      <c r="A17218" t="s">
        <v>4</v>
      </c>
      <c r="B17218" t="s">
        <v>4111</v>
      </c>
      <c r="C17218" t="s">
        <v>23490</v>
      </c>
      <c r="D17218" t="str">
        <f>HYPERLINK("https://rhld.insurance.arkansas.gov/NPILookup?Npi=1053439836","1053439836")</f>
        <v>1053439836</v>
      </c>
      <c r="E17218" t="s">
        <v>4218</v>
      </c>
    </row>
    <row r="17219" spans="1:5" x14ac:dyDescent="0.25">
      <c r="A17219" t="s">
        <v>4</v>
      </c>
      <c r="B17219" t="s">
        <v>4111</v>
      </c>
      <c r="C17219" t="s">
        <v>23490</v>
      </c>
      <c r="D17219" t="str">
        <f>HYPERLINK("https://rhld.insurance.arkansas.gov/NPILookup?Npi=1053445759","1053445759")</f>
        <v>1053445759</v>
      </c>
      <c r="E17219" t="s">
        <v>4219</v>
      </c>
    </row>
    <row r="17220" spans="1:5" x14ac:dyDescent="0.25">
      <c r="A17220" t="s">
        <v>4</v>
      </c>
      <c r="B17220" t="s">
        <v>4111</v>
      </c>
      <c r="C17220" t="s">
        <v>23490</v>
      </c>
      <c r="D17220" t="str">
        <f>HYPERLINK("https://rhld.insurance.arkansas.gov/NPILookup?Npi=1053447789","1053447789")</f>
        <v>1053447789</v>
      </c>
      <c r="E17220" t="s">
        <v>4220</v>
      </c>
    </row>
    <row r="17221" spans="1:5" x14ac:dyDescent="0.25">
      <c r="A17221" t="s">
        <v>4</v>
      </c>
      <c r="B17221" t="s">
        <v>4111</v>
      </c>
      <c r="C17221" t="s">
        <v>23490</v>
      </c>
      <c r="D17221" t="str">
        <f>HYPERLINK("https://rhld.insurance.arkansas.gov/NPILookup?Npi=1053459834","1053459834")</f>
        <v>1053459834</v>
      </c>
      <c r="E17221" t="s">
        <v>15955</v>
      </c>
    </row>
    <row r="17222" spans="1:5" x14ac:dyDescent="0.25">
      <c r="A17222" t="s">
        <v>4</v>
      </c>
      <c r="B17222" t="s">
        <v>4111</v>
      </c>
      <c r="C17222" t="s">
        <v>23490</v>
      </c>
      <c r="D17222" t="str">
        <f>HYPERLINK("https://rhld.insurance.arkansas.gov/NPILookup?Npi=1053489666","1053489666")</f>
        <v>1053489666</v>
      </c>
      <c r="E17222" t="s">
        <v>4221</v>
      </c>
    </row>
    <row r="17223" spans="1:5" x14ac:dyDescent="0.25">
      <c r="A17223" t="s">
        <v>4</v>
      </c>
      <c r="B17223" t="s">
        <v>4111</v>
      </c>
      <c r="C17223" t="s">
        <v>23490</v>
      </c>
      <c r="D17223" t="str">
        <f>HYPERLINK("https://rhld.insurance.arkansas.gov/NPILookup?Npi=1053490649","1053490649")</f>
        <v>1053490649</v>
      </c>
      <c r="E17223" t="s">
        <v>4222</v>
      </c>
    </row>
    <row r="17224" spans="1:5" x14ac:dyDescent="0.25">
      <c r="A17224" t="s">
        <v>4</v>
      </c>
      <c r="B17224" t="s">
        <v>4111</v>
      </c>
      <c r="C17224" t="s">
        <v>23490</v>
      </c>
      <c r="D17224" t="str">
        <f>HYPERLINK("https://rhld.insurance.arkansas.gov/NPILookup?Npi=1053503656","1053503656")</f>
        <v>1053503656</v>
      </c>
      <c r="E17224" t="s">
        <v>23032</v>
      </c>
    </row>
    <row r="17225" spans="1:5" x14ac:dyDescent="0.25">
      <c r="A17225" t="s">
        <v>4</v>
      </c>
      <c r="B17225" t="s">
        <v>4111</v>
      </c>
      <c r="C17225" t="s">
        <v>23490</v>
      </c>
      <c r="D17225" t="str">
        <f>HYPERLINK("https://rhld.insurance.arkansas.gov/NPILookup?Npi=1053540732","1053540732")</f>
        <v>1053540732</v>
      </c>
      <c r="E17225" t="s">
        <v>18936</v>
      </c>
    </row>
    <row r="17226" spans="1:5" x14ac:dyDescent="0.25">
      <c r="A17226" t="s">
        <v>4</v>
      </c>
      <c r="B17226" t="s">
        <v>4111</v>
      </c>
      <c r="C17226" t="s">
        <v>23490</v>
      </c>
      <c r="D17226" t="str">
        <f>HYPERLINK("https://rhld.insurance.arkansas.gov/NPILookup?Npi=1053541987","1053541987")</f>
        <v>1053541987</v>
      </c>
      <c r="E17226" t="s">
        <v>15956</v>
      </c>
    </row>
    <row r="17227" spans="1:5" x14ac:dyDescent="0.25">
      <c r="A17227" t="s">
        <v>4</v>
      </c>
      <c r="B17227" t="s">
        <v>4111</v>
      </c>
      <c r="C17227" t="s">
        <v>23490</v>
      </c>
      <c r="D17227" t="str">
        <f>HYPERLINK("https://rhld.insurance.arkansas.gov/NPILookup?Npi=1053546291","1053546291")</f>
        <v>1053546291</v>
      </c>
      <c r="E17227" t="s">
        <v>23033</v>
      </c>
    </row>
    <row r="17228" spans="1:5" x14ac:dyDescent="0.25">
      <c r="A17228" t="s">
        <v>4</v>
      </c>
      <c r="B17228" t="s">
        <v>4111</v>
      </c>
      <c r="C17228" t="s">
        <v>23490</v>
      </c>
      <c r="D17228" t="str">
        <f>HYPERLINK("https://rhld.insurance.arkansas.gov/NPILookup?Npi=1053547513","1053547513")</f>
        <v>1053547513</v>
      </c>
      <c r="E17228" t="s">
        <v>4223</v>
      </c>
    </row>
    <row r="17229" spans="1:5" x14ac:dyDescent="0.25">
      <c r="A17229" t="s">
        <v>4</v>
      </c>
      <c r="B17229" t="s">
        <v>4111</v>
      </c>
      <c r="C17229" t="s">
        <v>23490</v>
      </c>
      <c r="D17229" t="str">
        <f>HYPERLINK("https://rhld.insurance.arkansas.gov/NPILookup?Npi=1053548529","1053548529")</f>
        <v>1053548529</v>
      </c>
      <c r="E17229" t="s">
        <v>15957</v>
      </c>
    </row>
    <row r="17230" spans="1:5" x14ac:dyDescent="0.25">
      <c r="A17230" t="s">
        <v>4</v>
      </c>
      <c r="B17230" t="s">
        <v>4111</v>
      </c>
      <c r="C17230" t="s">
        <v>23490</v>
      </c>
      <c r="D17230" t="str">
        <f>HYPERLINK("https://rhld.insurance.arkansas.gov/NPILookup?Npi=1053548628","1053548628")</f>
        <v>1053548628</v>
      </c>
      <c r="E17230" t="s">
        <v>4224</v>
      </c>
    </row>
    <row r="17231" spans="1:5" x14ac:dyDescent="0.25">
      <c r="A17231" t="s">
        <v>4</v>
      </c>
      <c r="B17231" t="s">
        <v>4111</v>
      </c>
      <c r="C17231" t="s">
        <v>23490</v>
      </c>
      <c r="D17231" t="str">
        <f>HYPERLINK("https://rhld.insurance.arkansas.gov/NPILookup?Npi=1053557140","1053557140")</f>
        <v>1053557140</v>
      </c>
      <c r="E17231" t="s">
        <v>20317</v>
      </c>
    </row>
    <row r="17232" spans="1:5" x14ac:dyDescent="0.25">
      <c r="A17232" t="s">
        <v>4</v>
      </c>
      <c r="B17232" t="s">
        <v>4111</v>
      </c>
      <c r="C17232" t="s">
        <v>23490</v>
      </c>
      <c r="D17232" t="str">
        <f>HYPERLINK("https://rhld.insurance.arkansas.gov/NPILookup?Npi=1053562389","1053562389")</f>
        <v>1053562389</v>
      </c>
      <c r="E17232" t="s">
        <v>4225</v>
      </c>
    </row>
    <row r="17233" spans="1:5" x14ac:dyDescent="0.25">
      <c r="A17233" t="s">
        <v>4</v>
      </c>
      <c r="B17233" t="s">
        <v>4111</v>
      </c>
      <c r="C17233" t="s">
        <v>23490</v>
      </c>
      <c r="D17233" t="str">
        <f>HYPERLINK("https://rhld.insurance.arkansas.gov/NPILookup?Npi=1053566877","1053566877")</f>
        <v>1053566877</v>
      </c>
      <c r="E17233" t="s">
        <v>4226</v>
      </c>
    </row>
    <row r="17234" spans="1:5" x14ac:dyDescent="0.25">
      <c r="A17234" t="s">
        <v>4</v>
      </c>
      <c r="B17234" t="s">
        <v>4111</v>
      </c>
      <c r="C17234" t="s">
        <v>23490</v>
      </c>
      <c r="D17234" t="str">
        <f>HYPERLINK("https://rhld.insurance.arkansas.gov/NPILookup?Npi=1053577486","1053577486")</f>
        <v>1053577486</v>
      </c>
      <c r="E17234" t="s">
        <v>4227</v>
      </c>
    </row>
    <row r="17235" spans="1:5" x14ac:dyDescent="0.25">
      <c r="A17235" t="s">
        <v>4</v>
      </c>
      <c r="B17235" t="s">
        <v>4111</v>
      </c>
      <c r="C17235" t="s">
        <v>23490</v>
      </c>
      <c r="D17235" t="str">
        <f>HYPERLINK("https://rhld.insurance.arkansas.gov/NPILookup?Npi=1053590158","1053590158")</f>
        <v>1053590158</v>
      </c>
      <c r="E17235" t="s">
        <v>20318</v>
      </c>
    </row>
    <row r="17236" spans="1:5" x14ac:dyDescent="0.25">
      <c r="A17236" t="s">
        <v>4</v>
      </c>
      <c r="B17236" t="s">
        <v>4111</v>
      </c>
      <c r="C17236" t="s">
        <v>23490</v>
      </c>
      <c r="D17236" t="str">
        <f>HYPERLINK("https://rhld.insurance.arkansas.gov/NPILookup?Npi=1053596403","1053596403")</f>
        <v>1053596403</v>
      </c>
      <c r="E17236" t="s">
        <v>18243</v>
      </c>
    </row>
    <row r="17237" spans="1:5" x14ac:dyDescent="0.25">
      <c r="A17237" t="s">
        <v>4</v>
      </c>
      <c r="B17237" t="s">
        <v>4111</v>
      </c>
      <c r="C17237" t="s">
        <v>23490</v>
      </c>
      <c r="D17237" t="str">
        <f>HYPERLINK("https://rhld.insurance.arkansas.gov/NPILookup?Npi=1053607366","1053607366")</f>
        <v>1053607366</v>
      </c>
      <c r="E17237" t="s">
        <v>21809</v>
      </c>
    </row>
    <row r="17238" spans="1:5" x14ac:dyDescent="0.25">
      <c r="A17238" t="s">
        <v>4</v>
      </c>
      <c r="B17238" t="s">
        <v>4111</v>
      </c>
      <c r="C17238" t="s">
        <v>23490</v>
      </c>
      <c r="D17238" t="str">
        <f>HYPERLINK("https://rhld.insurance.arkansas.gov/NPILookup?Npi=1053628891","1053628891")</f>
        <v>1053628891</v>
      </c>
      <c r="E17238" t="s">
        <v>4228</v>
      </c>
    </row>
    <row r="17239" spans="1:5" x14ac:dyDescent="0.25">
      <c r="A17239" t="s">
        <v>4</v>
      </c>
      <c r="B17239" t="s">
        <v>4111</v>
      </c>
      <c r="C17239" t="s">
        <v>23490</v>
      </c>
      <c r="D17239" t="str">
        <f>HYPERLINK("https://rhld.insurance.arkansas.gov/NPILookup?Npi=1053644146","1053644146")</f>
        <v>1053644146</v>
      </c>
      <c r="E17239" t="s">
        <v>4229</v>
      </c>
    </row>
    <row r="17240" spans="1:5" x14ac:dyDescent="0.25">
      <c r="A17240" t="s">
        <v>4</v>
      </c>
      <c r="B17240" t="s">
        <v>4111</v>
      </c>
      <c r="C17240" t="s">
        <v>23490</v>
      </c>
      <c r="D17240" t="str">
        <f>HYPERLINK("https://rhld.insurance.arkansas.gov/NPILookup?Npi=1053660266","1053660266")</f>
        <v>1053660266</v>
      </c>
      <c r="E17240" t="s">
        <v>17092</v>
      </c>
    </row>
    <row r="17241" spans="1:5" x14ac:dyDescent="0.25">
      <c r="A17241" t="s">
        <v>4</v>
      </c>
      <c r="B17241" t="s">
        <v>4111</v>
      </c>
      <c r="C17241" t="s">
        <v>23490</v>
      </c>
      <c r="D17241" t="str">
        <f>HYPERLINK("https://rhld.insurance.arkansas.gov/NPILookup?Npi=1053675686","1053675686")</f>
        <v>1053675686</v>
      </c>
      <c r="E17241" t="s">
        <v>4230</v>
      </c>
    </row>
    <row r="17242" spans="1:5" x14ac:dyDescent="0.25">
      <c r="A17242" t="s">
        <v>4</v>
      </c>
      <c r="B17242" t="s">
        <v>4111</v>
      </c>
      <c r="C17242" t="s">
        <v>23490</v>
      </c>
      <c r="D17242" t="str">
        <f>HYPERLINK("https://rhld.insurance.arkansas.gov/NPILookup?Npi=1053677179","1053677179")</f>
        <v>1053677179</v>
      </c>
      <c r="E17242" t="s">
        <v>13068</v>
      </c>
    </row>
    <row r="17243" spans="1:5" x14ac:dyDescent="0.25">
      <c r="A17243" t="s">
        <v>4</v>
      </c>
      <c r="B17243" t="s">
        <v>4111</v>
      </c>
      <c r="C17243" t="s">
        <v>23490</v>
      </c>
      <c r="D17243" t="str">
        <f>HYPERLINK("https://rhld.insurance.arkansas.gov/NPILookup?Npi=1053690206","1053690206")</f>
        <v>1053690206</v>
      </c>
      <c r="E17243" t="s">
        <v>4231</v>
      </c>
    </row>
    <row r="17244" spans="1:5" x14ac:dyDescent="0.25">
      <c r="A17244" t="s">
        <v>4</v>
      </c>
      <c r="B17244" t="s">
        <v>4111</v>
      </c>
      <c r="C17244" t="s">
        <v>23490</v>
      </c>
      <c r="D17244" t="str">
        <f>HYPERLINK("https://rhld.insurance.arkansas.gov/NPILookup?Npi=1053690933","1053690933")</f>
        <v>1053690933</v>
      </c>
      <c r="E17244" t="s">
        <v>9008</v>
      </c>
    </row>
    <row r="17245" spans="1:5" x14ac:dyDescent="0.25">
      <c r="A17245" t="s">
        <v>4</v>
      </c>
      <c r="B17245" t="s">
        <v>4111</v>
      </c>
      <c r="C17245" t="s">
        <v>23490</v>
      </c>
      <c r="D17245" t="str">
        <f>HYPERLINK("https://rhld.insurance.arkansas.gov/NPILookup?Npi=1053697607","1053697607")</f>
        <v>1053697607</v>
      </c>
      <c r="E17245" t="s">
        <v>4232</v>
      </c>
    </row>
    <row r="17246" spans="1:5" x14ac:dyDescent="0.25">
      <c r="A17246" t="s">
        <v>4</v>
      </c>
      <c r="B17246" t="s">
        <v>4111</v>
      </c>
      <c r="C17246" t="s">
        <v>23490</v>
      </c>
      <c r="D17246" t="str">
        <f>HYPERLINK("https://rhld.insurance.arkansas.gov/NPILookup?Npi=1053720144","1053720144")</f>
        <v>1053720144</v>
      </c>
      <c r="E17246" t="s">
        <v>11517</v>
      </c>
    </row>
    <row r="17247" spans="1:5" x14ac:dyDescent="0.25">
      <c r="A17247" t="s">
        <v>4</v>
      </c>
      <c r="B17247" t="s">
        <v>4111</v>
      </c>
      <c r="C17247" t="s">
        <v>23490</v>
      </c>
      <c r="D17247" t="str">
        <f>HYPERLINK("https://rhld.insurance.arkansas.gov/NPILookup?Npi=1053733840","1053733840")</f>
        <v>1053733840</v>
      </c>
      <c r="E17247" t="s">
        <v>15958</v>
      </c>
    </row>
    <row r="17248" spans="1:5" x14ac:dyDescent="0.25">
      <c r="A17248" t="s">
        <v>4</v>
      </c>
      <c r="B17248" t="s">
        <v>4111</v>
      </c>
      <c r="C17248" t="s">
        <v>23490</v>
      </c>
      <c r="D17248" t="str">
        <f>HYPERLINK("https://rhld.insurance.arkansas.gov/NPILookup?Npi=1053734079","1053734079")</f>
        <v>1053734079</v>
      </c>
      <c r="E17248" t="s">
        <v>9009</v>
      </c>
    </row>
    <row r="17249" spans="1:5" x14ac:dyDescent="0.25">
      <c r="A17249" t="s">
        <v>4</v>
      </c>
      <c r="B17249" t="s">
        <v>4111</v>
      </c>
      <c r="C17249" t="s">
        <v>23490</v>
      </c>
      <c r="D17249" t="str">
        <f>HYPERLINK("https://rhld.insurance.arkansas.gov/NPILookup?Npi=1053738690","1053738690")</f>
        <v>1053738690</v>
      </c>
      <c r="E17249" t="s">
        <v>4233</v>
      </c>
    </row>
    <row r="17250" spans="1:5" x14ac:dyDescent="0.25">
      <c r="A17250" t="s">
        <v>4</v>
      </c>
      <c r="B17250" t="s">
        <v>4111</v>
      </c>
      <c r="C17250" t="s">
        <v>23490</v>
      </c>
      <c r="D17250" t="str">
        <f>HYPERLINK("https://rhld.insurance.arkansas.gov/NPILookup?Npi=1053743096","1053743096")</f>
        <v>1053743096</v>
      </c>
      <c r="E17250" t="s">
        <v>4234</v>
      </c>
    </row>
    <row r="17251" spans="1:5" x14ac:dyDescent="0.25">
      <c r="A17251" t="s">
        <v>4</v>
      </c>
      <c r="B17251" t="s">
        <v>4111</v>
      </c>
      <c r="C17251" t="s">
        <v>8427</v>
      </c>
      <c r="D17251" t="str">
        <f>HYPERLINK("https://rhld.insurance.arkansas.gov/NPILookup?Npi=1053760843","1053760843")</f>
        <v>1053760843</v>
      </c>
      <c r="E17251" t="s">
        <v>23034</v>
      </c>
    </row>
    <row r="17252" spans="1:5" x14ac:dyDescent="0.25">
      <c r="A17252" t="s">
        <v>4</v>
      </c>
      <c r="B17252" t="s">
        <v>4111</v>
      </c>
      <c r="C17252" t="s">
        <v>23490</v>
      </c>
      <c r="D17252" t="str">
        <f>HYPERLINK("https://rhld.insurance.arkansas.gov/NPILookup?Npi=1053768911","1053768911")</f>
        <v>1053768911</v>
      </c>
      <c r="E17252" t="s">
        <v>18937</v>
      </c>
    </row>
    <row r="17253" spans="1:5" x14ac:dyDescent="0.25">
      <c r="A17253" t="s">
        <v>4</v>
      </c>
      <c r="B17253" t="s">
        <v>4111</v>
      </c>
      <c r="C17253" t="s">
        <v>23490</v>
      </c>
      <c r="D17253" t="str">
        <f>HYPERLINK("https://rhld.insurance.arkansas.gov/NPILookup?Npi=1053782383","1053782383")</f>
        <v>1053782383</v>
      </c>
      <c r="E17253" t="s">
        <v>4235</v>
      </c>
    </row>
    <row r="17254" spans="1:5" x14ac:dyDescent="0.25">
      <c r="A17254" t="s">
        <v>4</v>
      </c>
      <c r="B17254" t="s">
        <v>4111</v>
      </c>
      <c r="C17254" t="s">
        <v>23490</v>
      </c>
      <c r="D17254" t="str">
        <f>HYPERLINK("https://rhld.insurance.arkansas.gov/NPILookup?Npi=1053786004","1053786004")</f>
        <v>1053786004</v>
      </c>
      <c r="E17254" t="s">
        <v>17527</v>
      </c>
    </row>
    <row r="17255" spans="1:5" x14ac:dyDescent="0.25">
      <c r="A17255" t="s">
        <v>4</v>
      </c>
      <c r="B17255" t="s">
        <v>4111</v>
      </c>
      <c r="C17255" t="s">
        <v>23490</v>
      </c>
      <c r="D17255" t="str">
        <f>HYPERLINK("https://rhld.insurance.arkansas.gov/NPILookup?Npi=1053788877","1053788877")</f>
        <v>1053788877</v>
      </c>
      <c r="E17255" t="s">
        <v>15959</v>
      </c>
    </row>
    <row r="17256" spans="1:5" x14ac:dyDescent="0.25">
      <c r="A17256" t="s">
        <v>4</v>
      </c>
      <c r="B17256" t="s">
        <v>4111</v>
      </c>
      <c r="C17256" t="s">
        <v>23490</v>
      </c>
      <c r="D17256" t="str">
        <f>HYPERLINK("https://rhld.insurance.arkansas.gov/NPILookup?Npi=1053789263","1053789263")</f>
        <v>1053789263</v>
      </c>
      <c r="E17256" t="s">
        <v>11469</v>
      </c>
    </row>
    <row r="17257" spans="1:5" x14ac:dyDescent="0.25">
      <c r="A17257" t="s">
        <v>4</v>
      </c>
      <c r="B17257" t="s">
        <v>4111</v>
      </c>
      <c r="C17257" t="s">
        <v>23490</v>
      </c>
      <c r="D17257" t="str">
        <f>HYPERLINK("https://rhld.insurance.arkansas.gov/NPILookup?Npi=1053808691","1053808691")</f>
        <v>1053808691</v>
      </c>
      <c r="E17257" t="s">
        <v>21810</v>
      </c>
    </row>
    <row r="17258" spans="1:5" x14ac:dyDescent="0.25">
      <c r="A17258" t="s">
        <v>4</v>
      </c>
      <c r="B17258" t="s">
        <v>4111</v>
      </c>
      <c r="C17258" t="s">
        <v>23490</v>
      </c>
      <c r="D17258" t="str">
        <f>HYPERLINK("https://rhld.insurance.arkansas.gov/NPILookup?Npi=1053824250","1053824250")</f>
        <v>1053824250</v>
      </c>
      <c r="E17258" t="s">
        <v>21102</v>
      </c>
    </row>
    <row r="17259" spans="1:5" x14ac:dyDescent="0.25">
      <c r="A17259" t="s">
        <v>4</v>
      </c>
      <c r="B17259" t="s">
        <v>4111</v>
      </c>
      <c r="C17259" t="s">
        <v>23490</v>
      </c>
      <c r="D17259" t="str">
        <f>HYPERLINK("https://rhld.insurance.arkansas.gov/NPILookup?Npi=1053833061","1053833061")</f>
        <v>1053833061</v>
      </c>
      <c r="E17259" t="s">
        <v>17528</v>
      </c>
    </row>
    <row r="17260" spans="1:5" x14ac:dyDescent="0.25">
      <c r="A17260" t="s">
        <v>4</v>
      </c>
      <c r="B17260" t="s">
        <v>4111</v>
      </c>
      <c r="C17260" t="s">
        <v>23490</v>
      </c>
      <c r="D17260" t="str">
        <f>HYPERLINK("https://rhld.insurance.arkansas.gov/NPILookup?Npi=1053888768","1053888768")</f>
        <v>1053888768</v>
      </c>
      <c r="E17260" t="s">
        <v>15960</v>
      </c>
    </row>
    <row r="17261" spans="1:5" x14ac:dyDescent="0.25">
      <c r="A17261" t="s">
        <v>4</v>
      </c>
      <c r="B17261" t="s">
        <v>4111</v>
      </c>
      <c r="C17261" t="s">
        <v>23490</v>
      </c>
      <c r="D17261" t="str">
        <f>HYPERLINK("https://rhld.insurance.arkansas.gov/NPILookup?Npi=1053891937","1053891937")</f>
        <v>1053891937</v>
      </c>
      <c r="E17261" t="s">
        <v>17529</v>
      </c>
    </row>
    <row r="17262" spans="1:5" x14ac:dyDescent="0.25">
      <c r="A17262" t="s">
        <v>4</v>
      </c>
      <c r="B17262" t="s">
        <v>4111</v>
      </c>
      <c r="C17262" t="s">
        <v>23490</v>
      </c>
      <c r="D17262" t="str">
        <f>HYPERLINK("https://rhld.insurance.arkansas.gov/NPILookup?Npi=1053895292","1053895292")</f>
        <v>1053895292</v>
      </c>
      <c r="E17262" t="s">
        <v>17530</v>
      </c>
    </row>
    <row r="17263" spans="1:5" x14ac:dyDescent="0.25">
      <c r="A17263" t="s">
        <v>4</v>
      </c>
      <c r="B17263" t="s">
        <v>4111</v>
      </c>
      <c r="C17263" t="s">
        <v>23490</v>
      </c>
      <c r="D17263" t="str">
        <f>HYPERLINK("https://rhld.insurance.arkansas.gov/NPILookup?Npi=1053912360","1053912360")</f>
        <v>1053912360</v>
      </c>
      <c r="E17263" t="s">
        <v>21811</v>
      </c>
    </row>
    <row r="17264" spans="1:5" x14ac:dyDescent="0.25">
      <c r="A17264" t="s">
        <v>4</v>
      </c>
      <c r="B17264" t="s">
        <v>4111</v>
      </c>
      <c r="C17264" t="s">
        <v>23490</v>
      </c>
      <c r="D17264" t="str">
        <f>HYPERLINK("https://rhld.insurance.arkansas.gov/NPILookup?Npi=1053974030","1053974030")</f>
        <v>1053974030</v>
      </c>
      <c r="E17264" t="s">
        <v>15961</v>
      </c>
    </row>
    <row r="17265" spans="1:5" x14ac:dyDescent="0.25">
      <c r="A17265" t="s">
        <v>4</v>
      </c>
      <c r="B17265" t="s">
        <v>4111</v>
      </c>
      <c r="C17265" t="s">
        <v>23490</v>
      </c>
      <c r="D17265" t="str">
        <f>HYPERLINK("https://rhld.insurance.arkansas.gov/NPILookup?Npi=1053982512","1053982512")</f>
        <v>1053982512</v>
      </c>
      <c r="E17265" t="s">
        <v>21812</v>
      </c>
    </row>
    <row r="17266" spans="1:5" x14ac:dyDescent="0.25">
      <c r="A17266" t="s">
        <v>4</v>
      </c>
      <c r="B17266" t="s">
        <v>4111</v>
      </c>
      <c r="C17266" t="s">
        <v>23490</v>
      </c>
      <c r="D17266" t="str">
        <f>HYPERLINK("https://rhld.insurance.arkansas.gov/NPILookup?Npi=1063024131","1063024131")</f>
        <v>1063024131</v>
      </c>
      <c r="E17266" t="s">
        <v>21813</v>
      </c>
    </row>
    <row r="17267" spans="1:5" x14ac:dyDescent="0.25">
      <c r="A17267" t="s">
        <v>4</v>
      </c>
      <c r="B17267" t="s">
        <v>4111</v>
      </c>
      <c r="C17267" t="s">
        <v>23490</v>
      </c>
      <c r="D17267" t="str">
        <f>HYPERLINK("https://rhld.insurance.arkansas.gov/NPILookup?Npi=1063045458","1063045458")</f>
        <v>1063045458</v>
      </c>
      <c r="E17267" t="s">
        <v>21814</v>
      </c>
    </row>
    <row r="17268" spans="1:5" x14ac:dyDescent="0.25">
      <c r="A17268" t="s">
        <v>4</v>
      </c>
      <c r="B17268" t="s">
        <v>4111</v>
      </c>
      <c r="C17268" t="s">
        <v>23490</v>
      </c>
      <c r="D17268" t="str">
        <f>HYPERLINK("https://rhld.insurance.arkansas.gov/NPILookup?Npi=1063054955","1063054955")</f>
        <v>1063054955</v>
      </c>
      <c r="E17268" t="s">
        <v>18938</v>
      </c>
    </row>
    <row r="17269" spans="1:5" x14ac:dyDescent="0.25">
      <c r="A17269" t="s">
        <v>4</v>
      </c>
      <c r="B17269" t="s">
        <v>4111</v>
      </c>
      <c r="C17269" t="s">
        <v>23490</v>
      </c>
      <c r="D17269" t="str">
        <f>HYPERLINK("https://rhld.insurance.arkansas.gov/NPILookup?Npi=1063074664","1063074664")</f>
        <v>1063074664</v>
      </c>
      <c r="E17269" t="s">
        <v>18244</v>
      </c>
    </row>
    <row r="17270" spans="1:5" x14ac:dyDescent="0.25">
      <c r="A17270" t="s">
        <v>4</v>
      </c>
      <c r="B17270" t="s">
        <v>4111</v>
      </c>
      <c r="C17270" t="s">
        <v>8427</v>
      </c>
      <c r="D17270" t="str">
        <f>HYPERLINK("https://rhld.insurance.arkansas.gov/NPILookup?Npi=1063118404","1063118404")</f>
        <v>1063118404</v>
      </c>
      <c r="E17270" t="s">
        <v>23035</v>
      </c>
    </row>
    <row r="17271" spans="1:5" x14ac:dyDescent="0.25">
      <c r="A17271" t="s">
        <v>4</v>
      </c>
      <c r="B17271" t="s">
        <v>4111</v>
      </c>
      <c r="C17271" t="s">
        <v>23490</v>
      </c>
      <c r="D17271" t="str">
        <f>HYPERLINK("https://rhld.insurance.arkansas.gov/NPILookup?Npi=1063185452","1063185452")</f>
        <v>1063185452</v>
      </c>
      <c r="E17271" t="s">
        <v>21815</v>
      </c>
    </row>
    <row r="17272" spans="1:5" x14ac:dyDescent="0.25">
      <c r="A17272" t="s">
        <v>4</v>
      </c>
      <c r="B17272" t="s">
        <v>4111</v>
      </c>
      <c r="C17272" t="s">
        <v>23490</v>
      </c>
      <c r="D17272" t="str">
        <f>HYPERLINK("https://rhld.insurance.arkansas.gov/NPILookup?Npi=1063428365","1063428365")</f>
        <v>1063428365</v>
      </c>
      <c r="E17272" t="s">
        <v>4236</v>
      </c>
    </row>
    <row r="17273" spans="1:5" x14ac:dyDescent="0.25">
      <c r="A17273" t="s">
        <v>4</v>
      </c>
      <c r="B17273" t="s">
        <v>4111</v>
      </c>
      <c r="C17273" t="s">
        <v>23490</v>
      </c>
      <c r="D17273" t="str">
        <f>HYPERLINK("https://rhld.insurance.arkansas.gov/NPILookup?Npi=1063429595","1063429595")</f>
        <v>1063429595</v>
      </c>
      <c r="E17273" t="s">
        <v>4237</v>
      </c>
    </row>
    <row r="17274" spans="1:5" x14ac:dyDescent="0.25">
      <c r="A17274" t="s">
        <v>4</v>
      </c>
      <c r="B17274" t="s">
        <v>4111</v>
      </c>
      <c r="C17274" t="s">
        <v>23490</v>
      </c>
      <c r="D17274" t="str">
        <f>HYPERLINK("https://rhld.insurance.arkansas.gov/NPILookup?Npi=1063485662","1063485662")</f>
        <v>1063485662</v>
      </c>
      <c r="E17274" t="s">
        <v>15962</v>
      </c>
    </row>
    <row r="17275" spans="1:5" x14ac:dyDescent="0.25">
      <c r="A17275" t="s">
        <v>4</v>
      </c>
      <c r="B17275" t="s">
        <v>4111</v>
      </c>
      <c r="C17275" t="s">
        <v>23490</v>
      </c>
      <c r="D17275" t="str">
        <f>HYPERLINK("https://rhld.insurance.arkansas.gov/NPILookup?Npi=1063501146","1063501146")</f>
        <v>1063501146</v>
      </c>
      <c r="E17275" t="s">
        <v>4238</v>
      </c>
    </row>
    <row r="17276" spans="1:5" x14ac:dyDescent="0.25">
      <c r="A17276" t="s">
        <v>4</v>
      </c>
      <c r="B17276" t="s">
        <v>4111</v>
      </c>
      <c r="C17276" t="s">
        <v>23490</v>
      </c>
      <c r="D17276" t="str">
        <f>HYPERLINK("https://rhld.insurance.arkansas.gov/NPILookup?Npi=1063502532","1063502532")</f>
        <v>1063502532</v>
      </c>
      <c r="E17276" t="s">
        <v>4239</v>
      </c>
    </row>
    <row r="17277" spans="1:5" x14ac:dyDescent="0.25">
      <c r="A17277" t="s">
        <v>4</v>
      </c>
      <c r="B17277" t="s">
        <v>4111</v>
      </c>
      <c r="C17277" t="s">
        <v>23490</v>
      </c>
      <c r="D17277" t="str">
        <f>HYPERLINK("https://rhld.insurance.arkansas.gov/NPILookup?Npi=1063507697","1063507697")</f>
        <v>1063507697</v>
      </c>
      <c r="E17277" t="s">
        <v>4240</v>
      </c>
    </row>
    <row r="17278" spans="1:5" x14ac:dyDescent="0.25">
      <c r="A17278" t="s">
        <v>4</v>
      </c>
      <c r="B17278" t="s">
        <v>4111</v>
      </c>
      <c r="C17278" t="s">
        <v>23490</v>
      </c>
      <c r="D17278" t="str">
        <f>HYPERLINK("https://rhld.insurance.arkansas.gov/NPILookup?Npi=1063508471","1063508471")</f>
        <v>1063508471</v>
      </c>
      <c r="E17278" t="s">
        <v>4241</v>
      </c>
    </row>
    <row r="17279" spans="1:5" x14ac:dyDescent="0.25">
      <c r="A17279" t="s">
        <v>4</v>
      </c>
      <c r="B17279" t="s">
        <v>4111</v>
      </c>
      <c r="C17279" t="s">
        <v>23490</v>
      </c>
      <c r="D17279" t="str">
        <f>HYPERLINK("https://rhld.insurance.arkansas.gov/NPILookup?Npi=1063514040","1063514040")</f>
        <v>1063514040</v>
      </c>
      <c r="E17279" t="s">
        <v>21816</v>
      </c>
    </row>
    <row r="17280" spans="1:5" x14ac:dyDescent="0.25">
      <c r="A17280" t="s">
        <v>4</v>
      </c>
      <c r="B17280" t="s">
        <v>4111</v>
      </c>
      <c r="C17280" t="s">
        <v>23490</v>
      </c>
      <c r="D17280" t="str">
        <f>HYPERLINK("https://rhld.insurance.arkansas.gov/NPILookup?Npi=1063515948","1063515948")</f>
        <v>1063515948</v>
      </c>
      <c r="E17280" t="s">
        <v>4242</v>
      </c>
    </row>
    <row r="17281" spans="1:5" x14ac:dyDescent="0.25">
      <c r="A17281" t="s">
        <v>4</v>
      </c>
      <c r="B17281" t="s">
        <v>4111</v>
      </c>
      <c r="C17281" t="s">
        <v>23490</v>
      </c>
      <c r="D17281" t="str">
        <f>HYPERLINK("https://rhld.insurance.arkansas.gov/NPILookup?Npi=1063526325","1063526325")</f>
        <v>1063526325</v>
      </c>
      <c r="E17281" t="s">
        <v>4244</v>
      </c>
    </row>
    <row r="17282" spans="1:5" x14ac:dyDescent="0.25">
      <c r="A17282" t="s">
        <v>4</v>
      </c>
      <c r="B17282" t="s">
        <v>4111</v>
      </c>
      <c r="C17282" t="s">
        <v>23490</v>
      </c>
      <c r="D17282" t="str">
        <f>HYPERLINK("https://rhld.insurance.arkansas.gov/NPILookup?Npi=1063536837","1063536837")</f>
        <v>1063536837</v>
      </c>
      <c r="E17282" t="s">
        <v>11518</v>
      </c>
    </row>
    <row r="17283" spans="1:5" x14ac:dyDescent="0.25">
      <c r="A17283" t="s">
        <v>4</v>
      </c>
      <c r="B17283" t="s">
        <v>4111</v>
      </c>
      <c r="C17283" t="s">
        <v>23490</v>
      </c>
      <c r="D17283" t="str">
        <f>HYPERLINK("https://rhld.insurance.arkansas.gov/NPILookup?Npi=1063564623","1063564623")</f>
        <v>1063564623</v>
      </c>
      <c r="E17283" t="s">
        <v>20319</v>
      </c>
    </row>
    <row r="17284" spans="1:5" x14ac:dyDescent="0.25">
      <c r="A17284" t="s">
        <v>4</v>
      </c>
      <c r="B17284" t="s">
        <v>4111</v>
      </c>
      <c r="C17284" t="s">
        <v>23490</v>
      </c>
      <c r="D17284" t="str">
        <f>HYPERLINK("https://rhld.insurance.arkansas.gov/NPILookup?Npi=1063571289","1063571289")</f>
        <v>1063571289</v>
      </c>
      <c r="E17284" t="s">
        <v>20320</v>
      </c>
    </row>
    <row r="17285" spans="1:5" x14ac:dyDescent="0.25">
      <c r="A17285" t="s">
        <v>4</v>
      </c>
      <c r="B17285" t="s">
        <v>4111</v>
      </c>
      <c r="C17285" t="s">
        <v>23490</v>
      </c>
      <c r="D17285" t="str">
        <f>HYPERLINK("https://rhld.insurance.arkansas.gov/NPILookup?Npi=1063582013","1063582013")</f>
        <v>1063582013</v>
      </c>
      <c r="E17285" t="s">
        <v>4245</v>
      </c>
    </row>
    <row r="17286" spans="1:5" x14ac:dyDescent="0.25">
      <c r="A17286" t="s">
        <v>4</v>
      </c>
      <c r="B17286" t="s">
        <v>4111</v>
      </c>
      <c r="C17286" t="s">
        <v>23490</v>
      </c>
      <c r="D17286" t="str">
        <f>HYPERLINK("https://rhld.insurance.arkansas.gov/NPILookup?Npi=1063600997","1063600997")</f>
        <v>1063600997</v>
      </c>
      <c r="E17286" t="s">
        <v>12767</v>
      </c>
    </row>
    <row r="17287" spans="1:5" x14ac:dyDescent="0.25">
      <c r="A17287" t="s">
        <v>4</v>
      </c>
      <c r="B17287" t="s">
        <v>4111</v>
      </c>
      <c r="C17287" t="s">
        <v>23490</v>
      </c>
      <c r="D17287" t="str">
        <f>HYPERLINK("https://rhld.insurance.arkansas.gov/NPILookup?Npi=1063617033","1063617033")</f>
        <v>1063617033</v>
      </c>
      <c r="E17287" t="s">
        <v>21422</v>
      </c>
    </row>
    <row r="17288" spans="1:5" x14ac:dyDescent="0.25">
      <c r="A17288" t="s">
        <v>4</v>
      </c>
      <c r="B17288" t="s">
        <v>4111</v>
      </c>
      <c r="C17288" t="s">
        <v>23490</v>
      </c>
      <c r="D17288" t="str">
        <f>HYPERLINK("https://rhld.insurance.arkansas.gov/NPILookup?Npi=1063619070","1063619070")</f>
        <v>1063619070</v>
      </c>
      <c r="E17288" t="s">
        <v>9010</v>
      </c>
    </row>
    <row r="17289" spans="1:5" x14ac:dyDescent="0.25">
      <c r="A17289" t="s">
        <v>4</v>
      </c>
      <c r="B17289" t="s">
        <v>4111</v>
      </c>
      <c r="C17289" t="s">
        <v>23490</v>
      </c>
      <c r="D17289" t="str">
        <f>HYPERLINK("https://rhld.insurance.arkansas.gov/NPILookup?Npi=1063621761","1063621761")</f>
        <v>1063621761</v>
      </c>
      <c r="E17289" t="s">
        <v>20321</v>
      </c>
    </row>
    <row r="17290" spans="1:5" x14ac:dyDescent="0.25">
      <c r="A17290" t="s">
        <v>4</v>
      </c>
      <c r="B17290" t="s">
        <v>4111</v>
      </c>
      <c r="C17290" t="s">
        <v>23490</v>
      </c>
      <c r="D17290" t="str">
        <f>HYPERLINK("https://rhld.insurance.arkansas.gov/NPILookup?Npi=1063631661","1063631661")</f>
        <v>1063631661</v>
      </c>
      <c r="E17290" t="s">
        <v>4246</v>
      </c>
    </row>
    <row r="17291" spans="1:5" x14ac:dyDescent="0.25">
      <c r="A17291" t="s">
        <v>4</v>
      </c>
      <c r="B17291" t="s">
        <v>4111</v>
      </c>
      <c r="C17291" t="s">
        <v>23490</v>
      </c>
      <c r="D17291" t="str">
        <f>HYPERLINK("https://rhld.insurance.arkansas.gov/NPILookup?Npi=1063652907","1063652907")</f>
        <v>1063652907</v>
      </c>
      <c r="E17291" t="s">
        <v>4247</v>
      </c>
    </row>
    <row r="17292" spans="1:5" x14ac:dyDescent="0.25">
      <c r="A17292" t="s">
        <v>4</v>
      </c>
      <c r="B17292" t="s">
        <v>4111</v>
      </c>
      <c r="C17292" t="s">
        <v>23490</v>
      </c>
      <c r="D17292" t="str">
        <f>HYPERLINK("https://rhld.insurance.arkansas.gov/NPILookup?Npi=1063663300","1063663300")</f>
        <v>1063663300</v>
      </c>
      <c r="E17292" t="s">
        <v>4248</v>
      </c>
    </row>
    <row r="17293" spans="1:5" x14ac:dyDescent="0.25">
      <c r="A17293" t="s">
        <v>4</v>
      </c>
      <c r="B17293" t="s">
        <v>4111</v>
      </c>
      <c r="C17293" t="s">
        <v>23490</v>
      </c>
      <c r="D17293" t="str">
        <f>HYPERLINK("https://rhld.insurance.arkansas.gov/NPILookup?Npi=1063685840","1063685840")</f>
        <v>1063685840</v>
      </c>
      <c r="E17293" t="s">
        <v>20322</v>
      </c>
    </row>
    <row r="17294" spans="1:5" x14ac:dyDescent="0.25">
      <c r="A17294" t="s">
        <v>4</v>
      </c>
      <c r="B17294" t="s">
        <v>4111</v>
      </c>
      <c r="C17294" t="s">
        <v>23490</v>
      </c>
      <c r="D17294" t="str">
        <f>HYPERLINK("https://rhld.insurance.arkansas.gov/NPILookup?Npi=1063689560","1063689560")</f>
        <v>1063689560</v>
      </c>
      <c r="E17294" t="s">
        <v>4249</v>
      </c>
    </row>
    <row r="17295" spans="1:5" x14ac:dyDescent="0.25">
      <c r="A17295" t="s">
        <v>4</v>
      </c>
      <c r="B17295" t="s">
        <v>4111</v>
      </c>
      <c r="C17295" t="s">
        <v>23490</v>
      </c>
      <c r="D17295" t="str">
        <f>HYPERLINK("https://rhld.insurance.arkansas.gov/NPILookup?Npi=1063727246","1063727246")</f>
        <v>1063727246</v>
      </c>
      <c r="E17295" t="s">
        <v>13069</v>
      </c>
    </row>
    <row r="17296" spans="1:5" x14ac:dyDescent="0.25">
      <c r="A17296" t="s">
        <v>4</v>
      </c>
      <c r="B17296" t="s">
        <v>4111</v>
      </c>
      <c r="C17296" t="s">
        <v>23490</v>
      </c>
      <c r="D17296" t="str">
        <f>HYPERLINK("https://rhld.insurance.arkansas.gov/NPILookup?Npi=1063750404","1063750404")</f>
        <v>1063750404</v>
      </c>
      <c r="E17296" t="s">
        <v>11519</v>
      </c>
    </row>
    <row r="17297" spans="1:5" x14ac:dyDescent="0.25">
      <c r="A17297" t="s">
        <v>4</v>
      </c>
      <c r="B17297" t="s">
        <v>4111</v>
      </c>
      <c r="C17297" t="s">
        <v>23490</v>
      </c>
      <c r="D17297" t="str">
        <f>HYPERLINK("https://rhld.insurance.arkansas.gov/NPILookup?Npi=1063757052","1063757052")</f>
        <v>1063757052</v>
      </c>
      <c r="E17297" t="s">
        <v>15963</v>
      </c>
    </row>
    <row r="17298" spans="1:5" x14ac:dyDescent="0.25">
      <c r="A17298" t="s">
        <v>4</v>
      </c>
      <c r="B17298" t="s">
        <v>4111</v>
      </c>
      <c r="C17298" t="s">
        <v>23490</v>
      </c>
      <c r="D17298" t="str">
        <f>HYPERLINK("https://rhld.insurance.arkansas.gov/NPILookup?Npi=1063762441","1063762441")</f>
        <v>1063762441</v>
      </c>
      <c r="E17298" t="s">
        <v>21817</v>
      </c>
    </row>
    <row r="17299" spans="1:5" x14ac:dyDescent="0.25">
      <c r="A17299" t="s">
        <v>4</v>
      </c>
      <c r="B17299" t="s">
        <v>4111</v>
      </c>
      <c r="C17299" t="s">
        <v>23490</v>
      </c>
      <c r="D17299" t="str">
        <f>HYPERLINK("https://rhld.insurance.arkansas.gov/NPILookup?Npi=1063778967","1063778967")</f>
        <v>1063778967</v>
      </c>
      <c r="E17299" t="s">
        <v>668</v>
      </c>
    </row>
    <row r="17300" spans="1:5" x14ac:dyDescent="0.25">
      <c r="A17300" t="s">
        <v>4</v>
      </c>
      <c r="B17300" t="s">
        <v>4111</v>
      </c>
      <c r="C17300" t="s">
        <v>23490</v>
      </c>
      <c r="D17300" t="str">
        <f>HYPERLINK("https://rhld.insurance.arkansas.gov/NPILookup?Npi=1063784411","1063784411")</f>
        <v>1063784411</v>
      </c>
      <c r="E17300" t="s">
        <v>15964</v>
      </c>
    </row>
    <row r="17301" spans="1:5" x14ac:dyDescent="0.25">
      <c r="A17301" t="s">
        <v>4</v>
      </c>
      <c r="B17301" t="s">
        <v>4111</v>
      </c>
      <c r="C17301" t="s">
        <v>23490</v>
      </c>
      <c r="D17301" t="str">
        <f>HYPERLINK("https://rhld.insurance.arkansas.gov/NPILookup?Npi=1063791598","1063791598")</f>
        <v>1063791598</v>
      </c>
      <c r="E17301" t="s">
        <v>13070</v>
      </c>
    </row>
    <row r="17302" spans="1:5" x14ac:dyDescent="0.25">
      <c r="A17302" t="s">
        <v>4</v>
      </c>
      <c r="B17302" t="s">
        <v>4111</v>
      </c>
      <c r="C17302" t="s">
        <v>23490</v>
      </c>
      <c r="D17302" t="str">
        <f>HYPERLINK("https://rhld.insurance.arkansas.gov/NPILookup?Npi=1063799856","1063799856")</f>
        <v>1063799856</v>
      </c>
      <c r="E17302" t="s">
        <v>21818</v>
      </c>
    </row>
    <row r="17303" spans="1:5" x14ac:dyDescent="0.25">
      <c r="A17303" t="s">
        <v>4</v>
      </c>
      <c r="B17303" t="s">
        <v>4111</v>
      </c>
      <c r="C17303" t="s">
        <v>23490</v>
      </c>
      <c r="D17303" t="str">
        <f>HYPERLINK("https://rhld.insurance.arkansas.gov/NPILookup?Npi=1063829745","1063829745")</f>
        <v>1063829745</v>
      </c>
      <c r="E17303" t="s">
        <v>21103</v>
      </c>
    </row>
    <row r="17304" spans="1:5" x14ac:dyDescent="0.25">
      <c r="A17304" t="s">
        <v>4</v>
      </c>
      <c r="B17304" t="s">
        <v>4111</v>
      </c>
      <c r="C17304" t="s">
        <v>23490</v>
      </c>
      <c r="D17304" t="str">
        <f>HYPERLINK("https://rhld.insurance.arkansas.gov/NPILookup?Npi=1063833812","1063833812")</f>
        <v>1063833812</v>
      </c>
      <c r="E17304" t="s">
        <v>9011</v>
      </c>
    </row>
    <row r="17305" spans="1:5" x14ac:dyDescent="0.25">
      <c r="A17305" t="s">
        <v>4</v>
      </c>
      <c r="B17305" t="s">
        <v>4111</v>
      </c>
      <c r="C17305" t="s">
        <v>23490</v>
      </c>
      <c r="D17305" t="str">
        <f>HYPERLINK("https://rhld.insurance.arkansas.gov/NPILookup?Npi=1063838506","1063838506")</f>
        <v>1063838506</v>
      </c>
      <c r="E17305" t="s">
        <v>21819</v>
      </c>
    </row>
    <row r="17306" spans="1:5" x14ac:dyDescent="0.25">
      <c r="A17306" t="s">
        <v>4</v>
      </c>
      <c r="B17306" t="s">
        <v>4111</v>
      </c>
      <c r="C17306" t="s">
        <v>23490</v>
      </c>
      <c r="D17306" t="str">
        <f>HYPERLINK("https://rhld.insurance.arkansas.gov/NPILookup?Npi=1063851715","1063851715")</f>
        <v>1063851715</v>
      </c>
      <c r="E17306" t="s">
        <v>13915</v>
      </c>
    </row>
    <row r="17307" spans="1:5" x14ac:dyDescent="0.25">
      <c r="A17307" t="s">
        <v>4</v>
      </c>
      <c r="B17307" t="s">
        <v>4111</v>
      </c>
      <c r="C17307" t="s">
        <v>23490</v>
      </c>
      <c r="D17307" t="str">
        <f>HYPERLINK("https://rhld.insurance.arkansas.gov/NPILookup?Npi=1063875912","1063875912")</f>
        <v>1063875912</v>
      </c>
      <c r="E17307" t="s">
        <v>13916</v>
      </c>
    </row>
    <row r="17308" spans="1:5" x14ac:dyDescent="0.25">
      <c r="A17308" t="s">
        <v>4</v>
      </c>
      <c r="B17308" t="s">
        <v>4111</v>
      </c>
      <c r="C17308" t="s">
        <v>23490</v>
      </c>
      <c r="D17308" t="str">
        <f>HYPERLINK("https://rhld.insurance.arkansas.gov/NPILookup?Npi=1063932994","1063932994")</f>
        <v>1063932994</v>
      </c>
      <c r="E17308" t="s">
        <v>11520</v>
      </c>
    </row>
    <row r="17309" spans="1:5" x14ac:dyDescent="0.25">
      <c r="A17309" t="s">
        <v>4</v>
      </c>
      <c r="B17309" t="s">
        <v>4111</v>
      </c>
      <c r="C17309" t="s">
        <v>23490</v>
      </c>
      <c r="D17309" t="str">
        <f>HYPERLINK("https://rhld.insurance.arkansas.gov/NPILookup?Npi=1063960458","1063960458")</f>
        <v>1063960458</v>
      </c>
      <c r="E17309" t="s">
        <v>13071</v>
      </c>
    </row>
    <row r="17310" spans="1:5" x14ac:dyDescent="0.25">
      <c r="A17310" t="s">
        <v>4</v>
      </c>
      <c r="B17310" t="s">
        <v>4111</v>
      </c>
      <c r="C17310" t="s">
        <v>23490</v>
      </c>
      <c r="D17310" t="str">
        <f>HYPERLINK("https://rhld.insurance.arkansas.gov/NPILookup?Npi=1063965192","1063965192")</f>
        <v>1063965192</v>
      </c>
      <c r="E17310" t="s">
        <v>20222</v>
      </c>
    </row>
    <row r="17311" spans="1:5" x14ac:dyDescent="0.25">
      <c r="A17311" t="s">
        <v>4</v>
      </c>
      <c r="B17311" t="s">
        <v>4111</v>
      </c>
      <c r="C17311" t="s">
        <v>23490</v>
      </c>
      <c r="D17311" t="str">
        <f>HYPERLINK("https://rhld.insurance.arkansas.gov/NPILookup?Npi=1073012621","1073012621")</f>
        <v>1073012621</v>
      </c>
      <c r="E17311" t="s">
        <v>17093</v>
      </c>
    </row>
    <row r="17312" spans="1:5" x14ac:dyDescent="0.25">
      <c r="A17312" t="s">
        <v>4</v>
      </c>
      <c r="B17312" t="s">
        <v>4111</v>
      </c>
      <c r="C17312" t="s">
        <v>8427</v>
      </c>
      <c r="D17312" t="str">
        <f>HYPERLINK("https://rhld.insurance.arkansas.gov/NPILookup?Npi=1073019873","1073019873")</f>
        <v>1073019873</v>
      </c>
      <c r="E17312" t="s">
        <v>5692</v>
      </c>
    </row>
    <row r="17313" spans="1:5" x14ac:dyDescent="0.25">
      <c r="A17313" t="s">
        <v>4</v>
      </c>
      <c r="B17313" t="s">
        <v>4111</v>
      </c>
      <c r="C17313" t="s">
        <v>23490</v>
      </c>
      <c r="D17313" t="str">
        <f>HYPERLINK("https://rhld.insurance.arkansas.gov/NPILookup?Npi=1073020392","1073020392")</f>
        <v>1073020392</v>
      </c>
      <c r="E17313" t="s">
        <v>15965</v>
      </c>
    </row>
    <row r="17314" spans="1:5" x14ac:dyDescent="0.25">
      <c r="A17314" t="s">
        <v>4</v>
      </c>
      <c r="B17314" t="s">
        <v>4111</v>
      </c>
      <c r="C17314" t="s">
        <v>23490</v>
      </c>
      <c r="D17314" t="str">
        <f>HYPERLINK("https://rhld.insurance.arkansas.gov/NPILookup?Npi=1073022166","1073022166")</f>
        <v>1073022166</v>
      </c>
      <c r="E17314" t="s">
        <v>21820</v>
      </c>
    </row>
    <row r="17315" spans="1:5" x14ac:dyDescent="0.25">
      <c r="A17315" t="s">
        <v>4</v>
      </c>
      <c r="B17315" t="s">
        <v>4111</v>
      </c>
      <c r="C17315" t="s">
        <v>23490</v>
      </c>
      <c r="D17315" t="str">
        <f>HYPERLINK("https://rhld.insurance.arkansas.gov/NPILookup?Npi=1073022810","1073022810")</f>
        <v>1073022810</v>
      </c>
      <c r="E17315" t="s">
        <v>21104</v>
      </c>
    </row>
    <row r="17316" spans="1:5" x14ac:dyDescent="0.25">
      <c r="A17316" t="s">
        <v>4</v>
      </c>
      <c r="B17316" t="s">
        <v>4111</v>
      </c>
      <c r="C17316" t="s">
        <v>23490</v>
      </c>
      <c r="D17316" t="str">
        <f>HYPERLINK("https://rhld.insurance.arkansas.gov/NPILookup?Npi=1073041976","1073041976")</f>
        <v>1073041976</v>
      </c>
      <c r="E17316" t="s">
        <v>13072</v>
      </c>
    </row>
    <row r="17317" spans="1:5" x14ac:dyDescent="0.25">
      <c r="A17317" t="s">
        <v>4</v>
      </c>
      <c r="B17317" t="s">
        <v>4111</v>
      </c>
      <c r="C17317" t="s">
        <v>23490</v>
      </c>
      <c r="D17317" t="str">
        <f>HYPERLINK("https://rhld.insurance.arkansas.gov/NPILookup?Npi=1073099198","1073099198")</f>
        <v>1073099198</v>
      </c>
      <c r="E17317" t="s">
        <v>20323</v>
      </c>
    </row>
    <row r="17318" spans="1:5" x14ac:dyDescent="0.25">
      <c r="A17318" t="s">
        <v>4</v>
      </c>
      <c r="B17318" t="s">
        <v>4111</v>
      </c>
      <c r="C17318" t="s">
        <v>23490</v>
      </c>
      <c r="D17318" t="str">
        <f>HYPERLINK("https://rhld.insurance.arkansas.gov/NPILookup?Npi=1073102604","1073102604")</f>
        <v>1073102604</v>
      </c>
      <c r="E17318" t="s">
        <v>18245</v>
      </c>
    </row>
    <row r="17319" spans="1:5" x14ac:dyDescent="0.25">
      <c r="A17319" t="s">
        <v>4</v>
      </c>
      <c r="B17319" t="s">
        <v>4111</v>
      </c>
      <c r="C17319" t="s">
        <v>23490</v>
      </c>
      <c r="D17319" t="str">
        <f>HYPERLINK("https://rhld.insurance.arkansas.gov/NPILookup?Npi=1073110524","1073110524")</f>
        <v>1073110524</v>
      </c>
      <c r="E17319" t="s">
        <v>21821</v>
      </c>
    </row>
    <row r="17320" spans="1:5" x14ac:dyDescent="0.25">
      <c r="A17320" t="s">
        <v>4</v>
      </c>
      <c r="B17320" t="s">
        <v>4111</v>
      </c>
      <c r="C17320" t="s">
        <v>23490</v>
      </c>
      <c r="D17320" t="str">
        <f>HYPERLINK("https://rhld.insurance.arkansas.gov/NPILookup?Npi=1073137253","1073137253")</f>
        <v>1073137253</v>
      </c>
      <c r="E17320" t="s">
        <v>20324</v>
      </c>
    </row>
    <row r="17321" spans="1:5" x14ac:dyDescent="0.25">
      <c r="A17321" t="s">
        <v>4</v>
      </c>
      <c r="B17321" t="s">
        <v>4111</v>
      </c>
      <c r="C17321" t="s">
        <v>23490</v>
      </c>
      <c r="D17321" t="str">
        <f>HYPERLINK("https://rhld.insurance.arkansas.gov/NPILookup?Npi=1073146510","1073146510")</f>
        <v>1073146510</v>
      </c>
      <c r="E17321" t="s">
        <v>17531</v>
      </c>
    </row>
    <row r="17322" spans="1:5" x14ac:dyDescent="0.25">
      <c r="A17322" t="s">
        <v>4</v>
      </c>
      <c r="B17322" t="s">
        <v>4111</v>
      </c>
      <c r="C17322" t="s">
        <v>23490</v>
      </c>
      <c r="D17322" t="str">
        <f>HYPERLINK("https://rhld.insurance.arkansas.gov/NPILookup?Npi=1073148318","1073148318")</f>
        <v>1073148318</v>
      </c>
      <c r="E17322" t="s">
        <v>21822</v>
      </c>
    </row>
    <row r="17323" spans="1:5" x14ac:dyDescent="0.25">
      <c r="A17323" t="s">
        <v>4</v>
      </c>
      <c r="B17323" t="s">
        <v>4111</v>
      </c>
      <c r="C17323" t="s">
        <v>23490</v>
      </c>
      <c r="D17323" t="str">
        <f>HYPERLINK("https://rhld.insurance.arkansas.gov/NPILookup?Npi=1073168837","1073168837")</f>
        <v>1073168837</v>
      </c>
      <c r="E17323" t="s">
        <v>15966</v>
      </c>
    </row>
    <row r="17324" spans="1:5" x14ac:dyDescent="0.25">
      <c r="A17324" t="s">
        <v>4</v>
      </c>
      <c r="B17324" t="s">
        <v>4111</v>
      </c>
      <c r="C17324" t="s">
        <v>8427</v>
      </c>
      <c r="D17324" t="str">
        <f>HYPERLINK("https://rhld.insurance.arkansas.gov/NPILookup?Npi=1073253225","1073253225")</f>
        <v>1073253225</v>
      </c>
      <c r="E17324" t="s">
        <v>22583</v>
      </c>
    </row>
    <row r="17325" spans="1:5" x14ac:dyDescent="0.25">
      <c r="A17325" t="s">
        <v>4</v>
      </c>
      <c r="B17325" t="s">
        <v>4111</v>
      </c>
      <c r="C17325" t="s">
        <v>23490</v>
      </c>
      <c r="D17325" t="str">
        <f>HYPERLINK("https://rhld.insurance.arkansas.gov/NPILookup?Npi=1073260972","1073260972")</f>
        <v>1073260972</v>
      </c>
      <c r="E17325" t="s">
        <v>21823</v>
      </c>
    </row>
    <row r="17326" spans="1:5" x14ac:dyDescent="0.25">
      <c r="A17326" t="s">
        <v>4</v>
      </c>
      <c r="B17326" t="s">
        <v>4111</v>
      </c>
      <c r="C17326" t="s">
        <v>23490</v>
      </c>
      <c r="D17326" t="str">
        <f>HYPERLINK("https://rhld.insurance.arkansas.gov/NPILookup?Npi=1073510582","1073510582")</f>
        <v>1073510582</v>
      </c>
      <c r="E17326" t="s">
        <v>4250</v>
      </c>
    </row>
    <row r="17327" spans="1:5" x14ac:dyDescent="0.25">
      <c r="A17327" t="s">
        <v>4</v>
      </c>
      <c r="B17327" t="s">
        <v>4111</v>
      </c>
      <c r="C17327" t="s">
        <v>23490</v>
      </c>
      <c r="D17327" t="str">
        <f>HYPERLINK("https://rhld.insurance.arkansas.gov/NPILookup?Npi=1073529046","1073529046")</f>
        <v>1073529046</v>
      </c>
      <c r="E17327" t="s">
        <v>4251</v>
      </c>
    </row>
    <row r="17328" spans="1:5" x14ac:dyDescent="0.25">
      <c r="A17328" t="s">
        <v>4</v>
      </c>
      <c r="B17328" t="s">
        <v>4111</v>
      </c>
      <c r="C17328" t="s">
        <v>23490</v>
      </c>
      <c r="D17328" t="str">
        <f>HYPERLINK("https://rhld.insurance.arkansas.gov/NPILookup?Npi=1073529491","1073529491")</f>
        <v>1073529491</v>
      </c>
      <c r="E17328" t="s">
        <v>4252</v>
      </c>
    </row>
    <row r="17329" spans="1:5" x14ac:dyDescent="0.25">
      <c r="A17329" t="s">
        <v>4</v>
      </c>
      <c r="B17329" t="s">
        <v>4111</v>
      </c>
      <c r="C17329" t="s">
        <v>23490</v>
      </c>
      <c r="D17329" t="str">
        <f>HYPERLINK("https://rhld.insurance.arkansas.gov/NPILookup?Npi=1073540555","1073540555")</f>
        <v>1073540555</v>
      </c>
      <c r="E17329" t="s">
        <v>4253</v>
      </c>
    </row>
    <row r="17330" spans="1:5" x14ac:dyDescent="0.25">
      <c r="A17330" t="s">
        <v>4</v>
      </c>
      <c r="B17330" t="s">
        <v>4111</v>
      </c>
      <c r="C17330" t="s">
        <v>23490</v>
      </c>
      <c r="D17330" t="str">
        <f>HYPERLINK("https://rhld.insurance.arkansas.gov/NPILookup?Npi=1073550836","1073550836")</f>
        <v>1073550836</v>
      </c>
      <c r="E17330" t="s">
        <v>15967</v>
      </c>
    </row>
    <row r="17331" spans="1:5" x14ac:dyDescent="0.25">
      <c r="A17331" t="s">
        <v>4</v>
      </c>
      <c r="B17331" t="s">
        <v>4111</v>
      </c>
      <c r="C17331" t="s">
        <v>23490</v>
      </c>
      <c r="D17331" t="str">
        <f>HYPERLINK("https://rhld.insurance.arkansas.gov/NPILookup?Npi=1073562997","1073562997")</f>
        <v>1073562997</v>
      </c>
      <c r="E17331" t="s">
        <v>4254</v>
      </c>
    </row>
    <row r="17332" spans="1:5" x14ac:dyDescent="0.25">
      <c r="A17332" t="s">
        <v>4</v>
      </c>
      <c r="B17332" t="s">
        <v>4111</v>
      </c>
      <c r="C17332" t="s">
        <v>23490</v>
      </c>
      <c r="D17332" t="str">
        <f>HYPERLINK("https://rhld.insurance.arkansas.gov/NPILookup?Npi=1073603643","1073603643")</f>
        <v>1073603643</v>
      </c>
      <c r="E17332" t="s">
        <v>4255</v>
      </c>
    </row>
    <row r="17333" spans="1:5" x14ac:dyDescent="0.25">
      <c r="A17333" t="s">
        <v>4</v>
      </c>
      <c r="B17333" t="s">
        <v>4111</v>
      </c>
      <c r="C17333" t="s">
        <v>23490</v>
      </c>
      <c r="D17333" t="str">
        <f>HYPERLINK("https://rhld.insurance.arkansas.gov/NPILookup?Npi=1073638755","1073638755")</f>
        <v>1073638755</v>
      </c>
      <c r="E17333" t="s">
        <v>4256</v>
      </c>
    </row>
    <row r="17334" spans="1:5" x14ac:dyDescent="0.25">
      <c r="A17334" t="s">
        <v>4</v>
      </c>
      <c r="B17334" t="s">
        <v>4111</v>
      </c>
      <c r="C17334" t="s">
        <v>23490</v>
      </c>
      <c r="D17334" t="str">
        <f>HYPERLINK("https://rhld.insurance.arkansas.gov/NPILookup?Npi=1073646253","1073646253")</f>
        <v>1073646253</v>
      </c>
      <c r="E17334" t="s">
        <v>21824</v>
      </c>
    </row>
    <row r="17335" spans="1:5" x14ac:dyDescent="0.25">
      <c r="A17335" t="s">
        <v>4</v>
      </c>
      <c r="B17335" t="s">
        <v>4111</v>
      </c>
      <c r="C17335" t="s">
        <v>23490</v>
      </c>
      <c r="D17335" t="str">
        <f>HYPERLINK("https://rhld.insurance.arkansas.gov/NPILookup?Npi=1073647236","1073647236")</f>
        <v>1073647236</v>
      </c>
      <c r="E17335" t="s">
        <v>4257</v>
      </c>
    </row>
    <row r="17336" spans="1:5" x14ac:dyDescent="0.25">
      <c r="A17336" t="s">
        <v>4</v>
      </c>
      <c r="B17336" t="s">
        <v>4111</v>
      </c>
      <c r="C17336" t="s">
        <v>23490</v>
      </c>
      <c r="D17336" t="str">
        <f>HYPERLINK("https://rhld.insurance.arkansas.gov/NPILookup?Npi=1073701652","1073701652")</f>
        <v>1073701652</v>
      </c>
      <c r="E17336" t="s">
        <v>4258</v>
      </c>
    </row>
    <row r="17337" spans="1:5" x14ac:dyDescent="0.25">
      <c r="A17337" t="s">
        <v>4</v>
      </c>
      <c r="B17337" t="s">
        <v>4111</v>
      </c>
      <c r="C17337" t="s">
        <v>23490</v>
      </c>
      <c r="D17337" t="str">
        <f>HYPERLINK("https://rhld.insurance.arkansas.gov/NPILookup?Npi=1073722864","1073722864")</f>
        <v>1073722864</v>
      </c>
      <c r="E17337" t="s">
        <v>20325</v>
      </c>
    </row>
    <row r="17338" spans="1:5" x14ac:dyDescent="0.25">
      <c r="A17338" t="s">
        <v>4</v>
      </c>
      <c r="B17338" t="s">
        <v>4111</v>
      </c>
      <c r="C17338" t="s">
        <v>23490</v>
      </c>
      <c r="D17338" t="str">
        <f>HYPERLINK("https://rhld.insurance.arkansas.gov/NPILookup?Npi=1073734919","1073734919")</f>
        <v>1073734919</v>
      </c>
      <c r="E17338" t="s">
        <v>4259</v>
      </c>
    </row>
    <row r="17339" spans="1:5" x14ac:dyDescent="0.25">
      <c r="A17339" t="s">
        <v>4</v>
      </c>
      <c r="B17339" t="s">
        <v>4111</v>
      </c>
      <c r="C17339" t="s">
        <v>23490</v>
      </c>
      <c r="D17339" t="str">
        <f>HYPERLINK("https://rhld.insurance.arkansas.gov/NPILookup?Npi=1073745212","1073745212")</f>
        <v>1073745212</v>
      </c>
      <c r="E17339" t="s">
        <v>11521</v>
      </c>
    </row>
    <row r="17340" spans="1:5" x14ac:dyDescent="0.25">
      <c r="A17340" t="s">
        <v>4</v>
      </c>
      <c r="B17340" t="s">
        <v>4111</v>
      </c>
      <c r="C17340" t="s">
        <v>23490</v>
      </c>
      <c r="D17340" t="str">
        <f>HYPERLINK("https://rhld.insurance.arkansas.gov/NPILookup?Npi=1073748604","1073748604")</f>
        <v>1073748604</v>
      </c>
      <c r="E17340" t="s">
        <v>4260</v>
      </c>
    </row>
    <row r="17341" spans="1:5" x14ac:dyDescent="0.25">
      <c r="A17341" t="s">
        <v>4</v>
      </c>
      <c r="B17341" t="s">
        <v>4111</v>
      </c>
      <c r="C17341" t="s">
        <v>23490</v>
      </c>
      <c r="D17341" t="str">
        <f>HYPERLINK("https://rhld.insurance.arkansas.gov/NPILookup?Npi=1073764304","1073764304")</f>
        <v>1073764304</v>
      </c>
      <c r="E17341" t="s">
        <v>17094</v>
      </c>
    </row>
    <row r="17342" spans="1:5" x14ac:dyDescent="0.25">
      <c r="A17342" t="s">
        <v>4</v>
      </c>
      <c r="B17342" t="s">
        <v>4111</v>
      </c>
      <c r="C17342" t="s">
        <v>23490</v>
      </c>
      <c r="D17342" t="str">
        <f>HYPERLINK("https://rhld.insurance.arkansas.gov/NPILookup?Npi=1073764320","1073764320")</f>
        <v>1073764320</v>
      </c>
      <c r="E17342" t="s">
        <v>11522</v>
      </c>
    </row>
    <row r="17343" spans="1:5" x14ac:dyDescent="0.25">
      <c r="A17343" t="s">
        <v>4</v>
      </c>
      <c r="B17343" t="s">
        <v>4111</v>
      </c>
      <c r="C17343" t="s">
        <v>23490</v>
      </c>
      <c r="D17343" t="str">
        <f>HYPERLINK("https://rhld.insurance.arkansas.gov/NPILookup?Npi=1073765657","1073765657")</f>
        <v>1073765657</v>
      </c>
      <c r="E17343" t="s">
        <v>4261</v>
      </c>
    </row>
    <row r="17344" spans="1:5" x14ac:dyDescent="0.25">
      <c r="A17344" t="s">
        <v>4</v>
      </c>
      <c r="B17344" t="s">
        <v>4111</v>
      </c>
      <c r="C17344" t="s">
        <v>23490</v>
      </c>
      <c r="D17344" t="str">
        <f>HYPERLINK("https://rhld.insurance.arkansas.gov/NPILookup?Npi=1073795589","1073795589")</f>
        <v>1073795589</v>
      </c>
      <c r="E17344" t="s">
        <v>4262</v>
      </c>
    </row>
    <row r="17345" spans="1:5" x14ac:dyDescent="0.25">
      <c r="A17345" t="s">
        <v>4</v>
      </c>
      <c r="B17345" t="s">
        <v>4111</v>
      </c>
      <c r="C17345" t="s">
        <v>23490</v>
      </c>
      <c r="D17345" t="str">
        <f>HYPERLINK("https://rhld.insurance.arkansas.gov/NPILookup?Npi=1073801338","1073801338")</f>
        <v>1073801338</v>
      </c>
      <c r="E17345" t="s">
        <v>4263</v>
      </c>
    </row>
    <row r="17346" spans="1:5" x14ac:dyDescent="0.25">
      <c r="A17346" t="s">
        <v>4</v>
      </c>
      <c r="B17346" t="s">
        <v>4111</v>
      </c>
      <c r="C17346" t="s">
        <v>23490</v>
      </c>
      <c r="D17346" t="str">
        <f>HYPERLINK("https://rhld.insurance.arkansas.gov/NPILookup?Npi=1073806790","1073806790")</f>
        <v>1073806790</v>
      </c>
      <c r="E17346" t="s">
        <v>20326</v>
      </c>
    </row>
    <row r="17347" spans="1:5" x14ac:dyDescent="0.25">
      <c r="A17347" t="s">
        <v>4</v>
      </c>
      <c r="B17347" t="s">
        <v>4111</v>
      </c>
      <c r="C17347" t="s">
        <v>23490</v>
      </c>
      <c r="D17347" t="str">
        <f>HYPERLINK("https://rhld.insurance.arkansas.gov/NPILookup?Npi=1073809976","1073809976")</f>
        <v>1073809976</v>
      </c>
      <c r="E17347" t="s">
        <v>13917</v>
      </c>
    </row>
    <row r="17348" spans="1:5" x14ac:dyDescent="0.25">
      <c r="A17348" t="s">
        <v>4</v>
      </c>
      <c r="B17348" t="s">
        <v>4111</v>
      </c>
      <c r="C17348" t="s">
        <v>23490</v>
      </c>
      <c r="D17348" t="str">
        <f>HYPERLINK("https://rhld.insurance.arkansas.gov/NPILookup?Npi=1073811329","1073811329")</f>
        <v>1073811329</v>
      </c>
      <c r="E17348" t="s">
        <v>11523</v>
      </c>
    </row>
    <row r="17349" spans="1:5" x14ac:dyDescent="0.25">
      <c r="A17349" t="s">
        <v>4</v>
      </c>
      <c r="B17349" t="s">
        <v>4111</v>
      </c>
      <c r="C17349" t="s">
        <v>23490</v>
      </c>
      <c r="D17349" t="str">
        <f>HYPERLINK("https://rhld.insurance.arkansas.gov/NPILookup?Npi=1073841219","1073841219")</f>
        <v>1073841219</v>
      </c>
      <c r="E17349" t="s">
        <v>9012</v>
      </c>
    </row>
    <row r="17350" spans="1:5" x14ac:dyDescent="0.25">
      <c r="A17350" t="s">
        <v>4</v>
      </c>
      <c r="B17350" t="s">
        <v>4111</v>
      </c>
      <c r="C17350" t="s">
        <v>23490</v>
      </c>
      <c r="D17350" t="str">
        <f>HYPERLINK("https://rhld.insurance.arkansas.gov/NPILookup?Npi=1073846457","1073846457")</f>
        <v>1073846457</v>
      </c>
      <c r="E17350" t="s">
        <v>13918</v>
      </c>
    </row>
    <row r="17351" spans="1:5" x14ac:dyDescent="0.25">
      <c r="A17351" t="s">
        <v>4</v>
      </c>
      <c r="B17351" t="s">
        <v>4111</v>
      </c>
      <c r="C17351" t="s">
        <v>23490</v>
      </c>
      <c r="D17351" t="str">
        <f>HYPERLINK("https://rhld.insurance.arkansas.gov/NPILookup?Npi=1073847570","1073847570")</f>
        <v>1073847570</v>
      </c>
      <c r="E17351" t="s">
        <v>13073</v>
      </c>
    </row>
    <row r="17352" spans="1:5" x14ac:dyDescent="0.25">
      <c r="A17352" t="s">
        <v>4</v>
      </c>
      <c r="B17352" t="s">
        <v>4111</v>
      </c>
      <c r="C17352" t="s">
        <v>23490</v>
      </c>
      <c r="D17352" t="str">
        <f>HYPERLINK("https://rhld.insurance.arkansas.gov/NPILookup?Npi=1073851952","1073851952")</f>
        <v>1073851952</v>
      </c>
      <c r="E17352" t="s">
        <v>20327</v>
      </c>
    </row>
    <row r="17353" spans="1:5" x14ac:dyDescent="0.25">
      <c r="A17353" t="s">
        <v>4</v>
      </c>
      <c r="B17353" t="s">
        <v>4111</v>
      </c>
      <c r="C17353" t="s">
        <v>23490</v>
      </c>
      <c r="D17353" t="str">
        <f>HYPERLINK("https://rhld.insurance.arkansas.gov/NPILookup?Npi=1073871331","1073871331")</f>
        <v>1073871331</v>
      </c>
      <c r="E17353" t="s">
        <v>15968</v>
      </c>
    </row>
    <row r="17354" spans="1:5" x14ac:dyDescent="0.25">
      <c r="A17354" t="s">
        <v>4</v>
      </c>
      <c r="B17354" t="s">
        <v>4111</v>
      </c>
      <c r="C17354" t="s">
        <v>23490</v>
      </c>
      <c r="D17354" t="str">
        <f>HYPERLINK("https://rhld.insurance.arkansas.gov/NPILookup?Npi=1073874541","1073874541")</f>
        <v>1073874541</v>
      </c>
      <c r="E17354" t="s">
        <v>4264</v>
      </c>
    </row>
    <row r="17355" spans="1:5" x14ac:dyDescent="0.25">
      <c r="A17355" t="s">
        <v>4</v>
      </c>
      <c r="B17355" t="s">
        <v>4111</v>
      </c>
      <c r="C17355" t="s">
        <v>23490</v>
      </c>
      <c r="D17355" t="str">
        <f>HYPERLINK("https://rhld.insurance.arkansas.gov/NPILookup?Npi=1073887238","1073887238")</f>
        <v>1073887238</v>
      </c>
      <c r="E17355" t="s">
        <v>13919</v>
      </c>
    </row>
    <row r="17356" spans="1:5" x14ac:dyDescent="0.25">
      <c r="A17356" t="s">
        <v>4</v>
      </c>
      <c r="B17356" t="s">
        <v>4111</v>
      </c>
      <c r="C17356" t="s">
        <v>23490</v>
      </c>
      <c r="D17356" t="str">
        <f>HYPERLINK("https://rhld.insurance.arkansas.gov/NPILookup?Npi=1073888756","1073888756")</f>
        <v>1073888756</v>
      </c>
      <c r="E17356" t="s">
        <v>11524</v>
      </c>
    </row>
    <row r="17357" spans="1:5" x14ac:dyDescent="0.25">
      <c r="A17357" t="s">
        <v>4</v>
      </c>
      <c r="B17357" t="s">
        <v>4111</v>
      </c>
      <c r="C17357" t="s">
        <v>23490</v>
      </c>
      <c r="D17357" t="str">
        <f>HYPERLINK("https://rhld.insurance.arkansas.gov/NPILookup?Npi=1073891453","1073891453")</f>
        <v>1073891453</v>
      </c>
      <c r="E17357" t="s">
        <v>17095</v>
      </c>
    </row>
    <row r="17358" spans="1:5" x14ac:dyDescent="0.25">
      <c r="A17358" t="s">
        <v>4</v>
      </c>
      <c r="B17358" t="s">
        <v>4111</v>
      </c>
      <c r="C17358" t="s">
        <v>23490</v>
      </c>
      <c r="D17358" t="str">
        <f>HYPERLINK("https://rhld.insurance.arkansas.gov/NPILookup?Npi=1073892634","1073892634")</f>
        <v>1073892634</v>
      </c>
      <c r="E17358" t="s">
        <v>4265</v>
      </c>
    </row>
    <row r="17359" spans="1:5" x14ac:dyDescent="0.25">
      <c r="A17359" t="s">
        <v>4</v>
      </c>
      <c r="B17359" t="s">
        <v>4111</v>
      </c>
      <c r="C17359" t="s">
        <v>23490</v>
      </c>
      <c r="D17359" t="str">
        <f>HYPERLINK("https://rhld.insurance.arkansas.gov/NPILookup?Npi=1073893673","1073893673")</f>
        <v>1073893673</v>
      </c>
      <c r="E17359" t="s">
        <v>275</v>
      </c>
    </row>
    <row r="17360" spans="1:5" x14ac:dyDescent="0.25">
      <c r="A17360" t="s">
        <v>4</v>
      </c>
      <c r="B17360" t="s">
        <v>4111</v>
      </c>
      <c r="C17360" t="s">
        <v>23490</v>
      </c>
      <c r="D17360" t="str">
        <f>HYPERLINK("https://rhld.insurance.arkansas.gov/NPILookup?Npi=1073896213","1073896213")</f>
        <v>1073896213</v>
      </c>
      <c r="E17360" t="s">
        <v>9013</v>
      </c>
    </row>
    <row r="17361" spans="1:5" x14ac:dyDescent="0.25">
      <c r="A17361" t="s">
        <v>4</v>
      </c>
      <c r="B17361" t="s">
        <v>4111</v>
      </c>
      <c r="C17361" t="s">
        <v>23490</v>
      </c>
      <c r="D17361" t="str">
        <f>HYPERLINK("https://rhld.insurance.arkansas.gov/NPILookup?Npi=1073909719","1073909719")</f>
        <v>1073909719</v>
      </c>
      <c r="E17361" t="s">
        <v>4266</v>
      </c>
    </row>
    <row r="17362" spans="1:5" x14ac:dyDescent="0.25">
      <c r="A17362" t="s">
        <v>4</v>
      </c>
      <c r="B17362" t="s">
        <v>4111</v>
      </c>
      <c r="C17362" t="s">
        <v>23490</v>
      </c>
      <c r="D17362" t="str">
        <f>HYPERLINK("https://rhld.insurance.arkansas.gov/NPILookup?Npi=1073915849","1073915849")</f>
        <v>1073915849</v>
      </c>
      <c r="E17362" t="s">
        <v>21825</v>
      </c>
    </row>
    <row r="17363" spans="1:5" x14ac:dyDescent="0.25">
      <c r="A17363" t="s">
        <v>4</v>
      </c>
      <c r="B17363" t="s">
        <v>4111</v>
      </c>
      <c r="C17363" t="s">
        <v>23490</v>
      </c>
      <c r="D17363" t="str">
        <f>HYPERLINK("https://rhld.insurance.arkansas.gov/NPILookup?Npi=1073929683","1073929683")</f>
        <v>1073929683</v>
      </c>
      <c r="E17363" t="s">
        <v>21826</v>
      </c>
    </row>
    <row r="17364" spans="1:5" x14ac:dyDescent="0.25">
      <c r="A17364" t="s">
        <v>4</v>
      </c>
      <c r="B17364" t="s">
        <v>4111</v>
      </c>
      <c r="C17364" t="s">
        <v>23490</v>
      </c>
      <c r="D17364" t="str">
        <f>HYPERLINK("https://rhld.insurance.arkansas.gov/NPILookup?Npi=1073941514","1073941514")</f>
        <v>1073941514</v>
      </c>
      <c r="E17364" t="s">
        <v>11525</v>
      </c>
    </row>
    <row r="17365" spans="1:5" x14ac:dyDescent="0.25">
      <c r="A17365" t="s">
        <v>4</v>
      </c>
      <c r="B17365" t="s">
        <v>4111</v>
      </c>
      <c r="C17365" t="s">
        <v>23490</v>
      </c>
      <c r="D17365" t="str">
        <f>HYPERLINK("https://rhld.insurance.arkansas.gov/NPILookup?Npi=1073957254","1073957254")</f>
        <v>1073957254</v>
      </c>
      <c r="E17365" t="s">
        <v>13920</v>
      </c>
    </row>
    <row r="17366" spans="1:5" x14ac:dyDescent="0.25">
      <c r="A17366" t="s">
        <v>4</v>
      </c>
      <c r="B17366" t="s">
        <v>4111</v>
      </c>
      <c r="C17366" t="s">
        <v>23490</v>
      </c>
      <c r="D17366" t="str">
        <f>HYPERLINK("https://rhld.insurance.arkansas.gov/NPILookup?Npi=1073971255","1073971255")</f>
        <v>1073971255</v>
      </c>
      <c r="E17366" t="s">
        <v>13921</v>
      </c>
    </row>
    <row r="17367" spans="1:5" x14ac:dyDescent="0.25">
      <c r="A17367" t="s">
        <v>4</v>
      </c>
      <c r="B17367" t="s">
        <v>4111</v>
      </c>
      <c r="C17367" t="s">
        <v>23490</v>
      </c>
      <c r="D17367" t="str">
        <f>HYPERLINK("https://rhld.insurance.arkansas.gov/NPILookup?Npi=1073971966","1073971966")</f>
        <v>1073971966</v>
      </c>
      <c r="E17367" t="s">
        <v>17096</v>
      </c>
    </row>
    <row r="17368" spans="1:5" x14ac:dyDescent="0.25">
      <c r="A17368" t="s">
        <v>4</v>
      </c>
      <c r="B17368" t="s">
        <v>4111</v>
      </c>
      <c r="C17368" t="s">
        <v>23490</v>
      </c>
      <c r="D17368" t="str">
        <f>HYPERLINK("https://rhld.insurance.arkansas.gov/NPILookup?Npi=1073977203","1073977203")</f>
        <v>1073977203</v>
      </c>
      <c r="E17368" t="s">
        <v>20328</v>
      </c>
    </row>
    <row r="17369" spans="1:5" x14ac:dyDescent="0.25">
      <c r="A17369" t="s">
        <v>4</v>
      </c>
      <c r="B17369" t="s">
        <v>4111</v>
      </c>
      <c r="C17369" t="s">
        <v>23490</v>
      </c>
      <c r="D17369" t="str">
        <f>HYPERLINK("https://rhld.insurance.arkansas.gov/NPILookup?Npi=1073977476","1073977476")</f>
        <v>1073977476</v>
      </c>
      <c r="E17369" t="s">
        <v>13922</v>
      </c>
    </row>
    <row r="17370" spans="1:5" x14ac:dyDescent="0.25">
      <c r="A17370" t="s">
        <v>4</v>
      </c>
      <c r="B17370" t="s">
        <v>4111</v>
      </c>
      <c r="C17370" t="s">
        <v>23490</v>
      </c>
      <c r="D17370" t="str">
        <f>HYPERLINK("https://rhld.insurance.arkansas.gov/NPILookup?Npi=1073982203","1073982203")</f>
        <v>1073982203</v>
      </c>
      <c r="E17370" t="s">
        <v>13923</v>
      </c>
    </row>
    <row r="17371" spans="1:5" x14ac:dyDescent="0.25">
      <c r="A17371" t="s">
        <v>4</v>
      </c>
      <c r="B17371" t="s">
        <v>4111</v>
      </c>
      <c r="C17371" t="s">
        <v>23490</v>
      </c>
      <c r="D17371" t="str">
        <f>HYPERLINK("https://rhld.insurance.arkansas.gov/NPILookup?Npi=1073986576","1073986576")</f>
        <v>1073986576</v>
      </c>
      <c r="E17371" t="s">
        <v>15969</v>
      </c>
    </row>
    <row r="17372" spans="1:5" x14ac:dyDescent="0.25">
      <c r="A17372" t="s">
        <v>4</v>
      </c>
      <c r="B17372" t="s">
        <v>4111</v>
      </c>
      <c r="C17372" t="s">
        <v>23490</v>
      </c>
      <c r="D17372" t="str">
        <f>HYPERLINK("https://rhld.insurance.arkansas.gov/NPILookup?Npi=1073993382","1073993382")</f>
        <v>1073993382</v>
      </c>
      <c r="E17372" t="s">
        <v>21827</v>
      </c>
    </row>
    <row r="17373" spans="1:5" x14ac:dyDescent="0.25">
      <c r="A17373" t="s">
        <v>4</v>
      </c>
      <c r="B17373" t="s">
        <v>4111</v>
      </c>
      <c r="C17373" t="s">
        <v>23490</v>
      </c>
      <c r="D17373" t="str">
        <f>HYPERLINK("https://rhld.insurance.arkansas.gov/NPILookup?Npi=1083013643","1083013643")</f>
        <v>1083013643</v>
      </c>
      <c r="E17373" t="s">
        <v>13074</v>
      </c>
    </row>
    <row r="17374" spans="1:5" x14ac:dyDescent="0.25">
      <c r="A17374" t="s">
        <v>4</v>
      </c>
      <c r="B17374" t="s">
        <v>4111</v>
      </c>
      <c r="C17374" t="s">
        <v>23490</v>
      </c>
      <c r="D17374" t="str">
        <f>HYPERLINK("https://rhld.insurance.arkansas.gov/NPILookup?Npi=1083031603","1083031603")</f>
        <v>1083031603</v>
      </c>
      <c r="E17374" t="s">
        <v>13924</v>
      </c>
    </row>
    <row r="17375" spans="1:5" x14ac:dyDescent="0.25">
      <c r="A17375" t="s">
        <v>4</v>
      </c>
      <c r="B17375" t="s">
        <v>4111</v>
      </c>
      <c r="C17375" t="s">
        <v>23490</v>
      </c>
      <c r="D17375" t="str">
        <f>HYPERLINK("https://rhld.insurance.arkansas.gov/NPILookup?Npi=1083049324","1083049324")</f>
        <v>1083049324</v>
      </c>
      <c r="E17375" t="s">
        <v>13925</v>
      </c>
    </row>
    <row r="17376" spans="1:5" x14ac:dyDescent="0.25">
      <c r="A17376" t="s">
        <v>4</v>
      </c>
      <c r="B17376" t="s">
        <v>4111</v>
      </c>
      <c r="C17376" t="s">
        <v>23490</v>
      </c>
      <c r="D17376" t="str">
        <f>HYPERLINK("https://rhld.insurance.arkansas.gov/NPILookup?Npi=1083051296","1083051296")</f>
        <v>1083051296</v>
      </c>
      <c r="E17376" t="s">
        <v>18246</v>
      </c>
    </row>
    <row r="17377" spans="1:5" x14ac:dyDescent="0.25">
      <c r="A17377" t="s">
        <v>4</v>
      </c>
      <c r="B17377" t="s">
        <v>4111</v>
      </c>
      <c r="C17377" t="s">
        <v>23490</v>
      </c>
      <c r="D17377" t="str">
        <f>HYPERLINK("https://rhld.insurance.arkansas.gov/NPILookup?Npi=1083065999","1083065999")</f>
        <v>1083065999</v>
      </c>
      <c r="E17377" t="s">
        <v>17097</v>
      </c>
    </row>
    <row r="17378" spans="1:5" x14ac:dyDescent="0.25">
      <c r="A17378" t="s">
        <v>4</v>
      </c>
      <c r="B17378" t="s">
        <v>4111</v>
      </c>
      <c r="C17378" t="s">
        <v>23490</v>
      </c>
      <c r="D17378" t="str">
        <f>HYPERLINK("https://rhld.insurance.arkansas.gov/NPILookup?Npi=1083082739","1083082739")</f>
        <v>1083082739</v>
      </c>
      <c r="E17378" t="s">
        <v>13926</v>
      </c>
    </row>
    <row r="17379" spans="1:5" x14ac:dyDescent="0.25">
      <c r="A17379" t="s">
        <v>4</v>
      </c>
      <c r="B17379" t="s">
        <v>4111</v>
      </c>
      <c r="C17379" t="s">
        <v>23490</v>
      </c>
      <c r="D17379" t="str">
        <f>HYPERLINK("https://rhld.insurance.arkansas.gov/NPILookup?Npi=1083095541","1083095541")</f>
        <v>1083095541</v>
      </c>
      <c r="E17379" t="s">
        <v>13927</v>
      </c>
    </row>
    <row r="17380" spans="1:5" x14ac:dyDescent="0.25">
      <c r="A17380" t="s">
        <v>4</v>
      </c>
      <c r="B17380" t="s">
        <v>4111</v>
      </c>
      <c r="C17380" t="s">
        <v>23490</v>
      </c>
      <c r="D17380" t="str">
        <f>HYPERLINK("https://rhld.insurance.arkansas.gov/NPILookup?Npi=1083112718","1083112718")</f>
        <v>1083112718</v>
      </c>
      <c r="E17380" t="s">
        <v>17532</v>
      </c>
    </row>
    <row r="17381" spans="1:5" x14ac:dyDescent="0.25">
      <c r="A17381" t="s">
        <v>4</v>
      </c>
      <c r="B17381" t="s">
        <v>4111</v>
      </c>
      <c r="C17381" t="s">
        <v>23490</v>
      </c>
      <c r="D17381" t="str">
        <f>HYPERLINK("https://rhld.insurance.arkansas.gov/NPILookup?Npi=1083132757","1083132757")</f>
        <v>1083132757</v>
      </c>
      <c r="E17381" t="s">
        <v>18247</v>
      </c>
    </row>
    <row r="17382" spans="1:5" x14ac:dyDescent="0.25">
      <c r="A17382" t="s">
        <v>4</v>
      </c>
      <c r="B17382" t="s">
        <v>4111</v>
      </c>
      <c r="C17382" t="s">
        <v>23490</v>
      </c>
      <c r="D17382" t="str">
        <f>HYPERLINK("https://rhld.insurance.arkansas.gov/NPILookup?Npi=1083132823","1083132823")</f>
        <v>1083132823</v>
      </c>
      <c r="E17382" t="s">
        <v>17533</v>
      </c>
    </row>
    <row r="17383" spans="1:5" x14ac:dyDescent="0.25">
      <c r="A17383" t="s">
        <v>4</v>
      </c>
      <c r="B17383" t="s">
        <v>4111</v>
      </c>
      <c r="C17383" t="s">
        <v>23490</v>
      </c>
      <c r="D17383" t="str">
        <f>HYPERLINK("https://rhld.insurance.arkansas.gov/NPILookup?Npi=1083141253","1083141253")</f>
        <v>1083141253</v>
      </c>
      <c r="E17383" t="s">
        <v>17534</v>
      </c>
    </row>
    <row r="17384" spans="1:5" x14ac:dyDescent="0.25">
      <c r="A17384" t="s">
        <v>4</v>
      </c>
      <c r="B17384" t="s">
        <v>4111</v>
      </c>
      <c r="C17384" t="s">
        <v>23490</v>
      </c>
      <c r="D17384" t="str">
        <f>HYPERLINK("https://rhld.insurance.arkansas.gov/NPILookup?Npi=1083183263","1083183263")</f>
        <v>1083183263</v>
      </c>
      <c r="E17384" t="s">
        <v>15970</v>
      </c>
    </row>
    <row r="17385" spans="1:5" x14ac:dyDescent="0.25">
      <c r="A17385" t="s">
        <v>4</v>
      </c>
      <c r="B17385" t="s">
        <v>4111</v>
      </c>
      <c r="C17385" t="s">
        <v>23490</v>
      </c>
      <c r="D17385" t="str">
        <f>HYPERLINK("https://rhld.insurance.arkansas.gov/NPILookup?Npi=1083186274","1083186274")</f>
        <v>1083186274</v>
      </c>
      <c r="E17385" t="s">
        <v>13928</v>
      </c>
    </row>
    <row r="17386" spans="1:5" x14ac:dyDescent="0.25">
      <c r="A17386" t="s">
        <v>4</v>
      </c>
      <c r="B17386" t="s">
        <v>4111</v>
      </c>
      <c r="C17386" t="s">
        <v>23490</v>
      </c>
      <c r="D17386" t="str">
        <f>HYPERLINK("https://rhld.insurance.arkansas.gov/NPILookup?Npi=1083186431","1083186431")</f>
        <v>1083186431</v>
      </c>
      <c r="E17386" t="s">
        <v>23036</v>
      </c>
    </row>
    <row r="17387" spans="1:5" x14ac:dyDescent="0.25">
      <c r="A17387" t="s">
        <v>4</v>
      </c>
      <c r="B17387" t="s">
        <v>4111</v>
      </c>
      <c r="C17387" t="s">
        <v>23490</v>
      </c>
      <c r="D17387" t="str">
        <f>HYPERLINK("https://rhld.insurance.arkansas.gov/NPILookup?Npi=1083204689","1083204689")</f>
        <v>1083204689</v>
      </c>
      <c r="E17387" t="s">
        <v>21828</v>
      </c>
    </row>
    <row r="17388" spans="1:5" x14ac:dyDescent="0.25">
      <c r="A17388" t="s">
        <v>4</v>
      </c>
      <c r="B17388" t="s">
        <v>4111</v>
      </c>
      <c r="C17388" t="s">
        <v>23490</v>
      </c>
      <c r="D17388" t="str">
        <f>HYPERLINK("https://rhld.insurance.arkansas.gov/NPILookup?Npi=1083206585","1083206585")</f>
        <v>1083206585</v>
      </c>
      <c r="E17388" t="s">
        <v>21105</v>
      </c>
    </row>
    <row r="17389" spans="1:5" x14ac:dyDescent="0.25">
      <c r="A17389" t="s">
        <v>4</v>
      </c>
      <c r="B17389" t="s">
        <v>4111</v>
      </c>
      <c r="C17389" t="s">
        <v>23490</v>
      </c>
      <c r="D17389" t="str">
        <f>HYPERLINK("https://rhld.insurance.arkansas.gov/NPILookup?Npi=1083223010","1083223010")</f>
        <v>1083223010</v>
      </c>
      <c r="E17389" t="s">
        <v>20329</v>
      </c>
    </row>
    <row r="17390" spans="1:5" x14ac:dyDescent="0.25">
      <c r="A17390" t="s">
        <v>4</v>
      </c>
      <c r="B17390" t="s">
        <v>4111</v>
      </c>
      <c r="C17390" t="s">
        <v>8427</v>
      </c>
      <c r="D17390" t="str">
        <f>HYPERLINK("https://rhld.insurance.arkansas.gov/NPILookup?Npi=1083224364","1083224364")</f>
        <v>1083224364</v>
      </c>
      <c r="E17390" t="s">
        <v>23037</v>
      </c>
    </row>
    <row r="17391" spans="1:5" x14ac:dyDescent="0.25">
      <c r="A17391" t="s">
        <v>4</v>
      </c>
      <c r="B17391" t="s">
        <v>4111</v>
      </c>
      <c r="C17391" t="s">
        <v>23490</v>
      </c>
      <c r="D17391" t="str">
        <f>HYPERLINK("https://rhld.insurance.arkansas.gov/NPILookup?Npi=1083269401","1083269401")</f>
        <v>1083269401</v>
      </c>
      <c r="E17391" t="s">
        <v>21829</v>
      </c>
    </row>
    <row r="17392" spans="1:5" x14ac:dyDescent="0.25">
      <c r="A17392" t="s">
        <v>4</v>
      </c>
      <c r="B17392" t="s">
        <v>4111</v>
      </c>
      <c r="C17392" t="s">
        <v>23490</v>
      </c>
      <c r="D17392" t="str">
        <f>HYPERLINK("https://rhld.insurance.arkansas.gov/NPILookup?Npi=1083281562","1083281562")</f>
        <v>1083281562</v>
      </c>
      <c r="E17392" t="s">
        <v>18663</v>
      </c>
    </row>
    <row r="17393" spans="1:5" x14ac:dyDescent="0.25">
      <c r="A17393" t="s">
        <v>4</v>
      </c>
      <c r="B17393" t="s">
        <v>4111</v>
      </c>
      <c r="C17393" t="s">
        <v>23490</v>
      </c>
      <c r="D17393" t="str">
        <f>HYPERLINK("https://rhld.insurance.arkansas.gov/NPILookup?Npi=1083296800","1083296800")</f>
        <v>1083296800</v>
      </c>
      <c r="E17393" t="s">
        <v>21830</v>
      </c>
    </row>
    <row r="17394" spans="1:5" x14ac:dyDescent="0.25">
      <c r="A17394" t="s">
        <v>4</v>
      </c>
      <c r="B17394" t="s">
        <v>4111</v>
      </c>
      <c r="C17394" t="s">
        <v>8427</v>
      </c>
      <c r="D17394" t="str">
        <f>HYPERLINK("https://rhld.insurance.arkansas.gov/NPILookup?Npi=1083319750","1083319750")</f>
        <v>1083319750</v>
      </c>
      <c r="E17394" t="s">
        <v>23038</v>
      </c>
    </row>
    <row r="17395" spans="1:5" x14ac:dyDescent="0.25">
      <c r="A17395" t="s">
        <v>4</v>
      </c>
      <c r="B17395" t="s">
        <v>4111</v>
      </c>
      <c r="C17395" t="s">
        <v>23490</v>
      </c>
      <c r="D17395" t="str">
        <f>HYPERLINK("https://rhld.insurance.arkansas.gov/NPILookup?Npi=1083320238","1083320238")</f>
        <v>1083320238</v>
      </c>
      <c r="E17395" t="s">
        <v>21831</v>
      </c>
    </row>
    <row r="17396" spans="1:5" x14ac:dyDescent="0.25">
      <c r="A17396" t="s">
        <v>4</v>
      </c>
      <c r="B17396" t="s">
        <v>4111</v>
      </c>
      <c r="C17396" t="s">
        <v>8427</v>
      </c>
      <c r="D17396" t="str">
        <f>HYPERLINK("https://rhld.insurance.arkansas.gov/NPILookup?Npi=1083480297","1083480297")</f>
        <v>1083480297</v>
      </c>
      <c r="E17396" t="s">
        <v>23039</v>
      </c>
    </row>
    <row r="17397" spans="1:5" x14ac:dyDescent="0.25">
      <c r="A17397" t="s">
        <v>4</v>
      </c>
      <c r="B17397" t="s">
        <v>4111</v>
      </c>
      <c r="C17397" t="s">
        <v>23490</v>
      </c>
      <c r="D17397" t="str">
        <f>HYPERLINK("https://rhld.insurance.arkansas.gov/NPILookup?Npi=1083611495","1083611495")</f>
        <v>1083611495</v>
      </c>
      <c r="E17397" t="s">
        <v>4267</v>
      </c>
    </row>
    <row r="17398" spans="1:5" x14ac:dyDescent="0.25">
      <c r="A17398" t="s">
        <v>4</v>
      </c>
      <c r="B17398" t="s">
        <v>4111</v>
      </c>
      <c r="C17398" t="s">
        <v>23490</v>
      </c>
      <c r="D17398" t="str">
        <f>HYPERLINK("https://rhld.insurance.arkansas.gov/NPILookup?Npi=1083614176","1083614176")</f>
        <v>1083614176</v>
      </c>
      <c r="E17398" t="s">
        <v>21832</v>
      </c>
    </row>
    <row r="17399" spans="1:5" x14ac:dyDescent="0.25">
      <c r="A17399" t="s">
        <v>4</v>
      </c>
      <c r="B17399" t="s">
        <v>4111</v>
      </c>
      <c r="C17399" t="s">
        <v>23490</v>
      </c>
      <c r="D17399" t="str">
        <f>HYPERLINK("https://rhld.insurance.arkansas.gov/NPILookup?Npi=1083619951","1083619951")</f>
        <v>1083619951</v>
      </c>
      <c r="E17399" t="s">
        <v>18939</v>
      </c>
    </row>
    <row r="17400" spans="1:5" x14ac:dyDescent="0.25">
      <c r="A17400" t="s">
        <v>4</v>
      </c>
      <c r="B17400" t="s">
        <v>4111</v>
      </c>
      <c r="C17400" t="s">
        <v>23490</v>
      </c>
      <c r="D17400" t="str">
        <f>HYPERLINK("https://rhld.insurance.arkansas.gov/NPILookup?Npi=1083644645","1083644645")</f>
        <v>1083644645</v>
      </c>
      <c r="E17400" t="s">
        <v>4268</v>
      </c>
    </row>
    <row r="17401" spans="1:5" x14ac:dyDescent="0.25">
      <c r="A17401" t="s">
        <v>4</v>
      </c>
      <c r="B17401" t="s">
        <v>4111</v>
      </c>
      <c r="C17401" t="s">
        <v>23490</v>
      </c>
      <c r="D17401" t="str">
        <f>HYPERLINK("https://rhld.insurance.arkansas.gov/NPILookup?Npi=1083652432","1083652432")</f>
        <v>1083652432</v>
      </c>
      <c r="E17401" t="s">
        <v>13929</v>
      </c>
    </row>
    <row r="17402" spans="1:5" x14ac:dyDescent="0.25">
      <c r="A17402" t="s">
        <v>4</v>
      </c>
      <c r="B17402" t="s">
        <v>4111</v>
      </c>
      <c r="C17402" t="s">
        <v>23490</v>
      </c>
      <c r="D17402" t="str">
        <f>HYPERLINK("https://rhld.insurance.arkansas.gov/NPILookup?Npi=1083662373","1083662373")</f>
        <v>1083662373</v>
      </c>
      <c r="E17402" t="s">
        <v>4269</v>
      </c>
    </row>
    <row r="17403" spans="1:5" x14ac:dyDescent="0.25">
      <c r="A17403" t="s">
        <v>4</v>
      </c>
      <c r="B17403" t="s">
        <v>4111</v>
      </c>
      <c r="C17403" t="s">
        <v>23490</v>
      </c>
      <c r="D17403" t="str">
        <f>HYPERLINK("https://rhld.insurance.arkansas.gov/NPILookup?Npi=1083663041","1083663041")</f>
        <v>1083663041</v>
      </c>
      <c r="E17403" t="s">
        <v>4270</v>
      </c>
    </row>
    <row r="17404" spans="1:5" x14ac:dyDescent="0.25">
      <c r="A17404" t="s">
        <v>4</v>
      </c>
      <c r="B17404" t="s">
        <v>4111</v>
      </c>
      <c r="C17404" t="s">
        <v>23490</v>
      </c>
      <c r="D17404" t="str">
        <f>HYPERLINK("https://rhld.insurance.arkansas.gov/NPILookup?Npi=1083672299","1083672299")</f>
        <v>1083672299</v>
      </c>
      <c r="E17404" t="s">
        <v>4271</v>
      </c>
    </row>
    <row r="17405" spans="1:5" x14ac:dyDescent="0.25">
      <c r="A17405" t="s">
        <v>4</v>
      </c>
      <c r="B17405" t="s">
        <v>4111</v>
      </c>
      <c r="C17405" t="s">
        <v>23490</v>
      </c>
      <c r="D17405" t="str">
        <f>HYPERLINK("https://rhld.insurance.arkansas.gov/NPILookup?Npi=1083675441","1083675441")</f>
        <v>1083675441</v>
      </c>
      <c r="E17405" t="s">
        <v>4272</v>
      </c>
    </row>
    <row r="17406" spans="1:5" x14ac:dyDescent="0.25">
      <c r="A17406" t="s">
        <v>4</v>
      </c>
      <c r="B17406" t="s">
        <v>4111</v>
      </c>
      <c r="C17406" t="s">
        <v>23490</v>
      </c>
      <c r="D17406" t="str">
        <f>HYPERLINK("https://rhld.insurance.arkansas.gov/NPILookup?Npi=1083676092","1083676092")</f>
        <v>1083676092</v>
      </c>
      <c r="E17406" t="s">
        <v>4273</v>
      </c>
    </row>
    <row r="17407" spans="1:5" x14ac:dyDescent="0.25">
      <c r="A17407" t="s">
        <v>4</v>
      </c>
      <c r="B17407" t="s">
        <v>4111</v>
      </c>
      <c r="C17407" t="s">
        <v>23490</v>
      </c>
      <c r="D17407" t="str">
        <f>HYPERLINK("https://rhld.insurance.arkansas.gov/NPILookup?Npi=1083704837","1083704837")</f>
        <v>1083704837</v>
      </c>
      <c r="E17407" t="s">
        <v>20330</v>
      </c>
    </row>
    <row r="17408" spans="1:5" x14ac:dyDescent="0.25">
      <c r="A17408" t="s">
        <v>4</v>
      </c>
      <c r="B17408" t="s">
        <v>4111</v>
      </c>
      <c r="C17408" t="s">
        <v>23490</v>
      </c>
      <c r="D17408" t="str">
        <f>HYPERLINK("https://rhld.insurance.arkansas.gov/NPILookup?Npi=1083706196","1083706196")</f>
        <v>1083706196</v>
      </c>
      <c r="E17408" t="s">
        <v>15971</v>
      </c>
    </row>
    <row r="17409" spans="1:5" x14ac:dyDescent="0.25">
      <c r="A17409" t="s">
        <v>4</v>
      </c>
      <c r="B17409" t="s">
        <v>4111</v>
      </c>
      <c r="C17409" t="s">
        <v>23490</v>
      </c>
      <c r="D17409" t="str">
        <f>HYPERLINK("https://rhld.insurance.arkansas.gov/NPILookup?Npi=1083725394","1083725394")</f>
        <v>1083725394</v>
      </c>
      <c r="E17409" t="s">
        <v>20331</v>
      </c>
    </row>
    <row r="17410" spans="1:5" x14ac:dyDescent="0.25">
      <c r="A17410" t="s">
        <v>4</v>
      </c>
      <c r="B17410" t="s">
        <v>4111</v>
      </c>
      <c r="C17410" t="s">
        <v>23490</v>
      </c>
      <c r="D17410" t="str">
        <f>HYPERLINK("https://rhld.insurance.arkansas.gov/NPILookup?Npi=1083725519","1083725519")</f>
        <v>1083725519</v>
      </c>
      <c r="E17410" t="s">
        <v>20332</v>
      </c>
    </row>
    <row r="17411" spans="1:5" x14ac:dyDescent="0.25">
      <c r="A17411" t="s">
        <v>4</v>
      </c>
      <c r="B17411" t="s">
        <v>4111</v>
      </c>
      <c r="C17411" t="s">
        <v>23490</v>
      </c>
      <c r="D17411" t="str">
        <f>HYPERLINK("https://rhld.insurance.arkansas.gov/NPILookup?Npi=1083735054","1083735054")</f>
        <v>1083735054</v>
      </c>
      <c r="E17411" t="s">
        <v>20333</v>
      </c>
    </row>
    <row r="17412" spans="1:5" x14ac:dyDescent="0.25">
      <c r="A17412" t="s">
        <v>4</v>
      </c>
      <c r="B17412" t="s">
        <v>4111</v>
      </c>
      <c r="C17412" t="s">
        <v>23490</v>
      </c>
      <c r="D17412" t="str">
        <f>HYPERLINK("https://rhld.insurance.arkansas.gov/NPILookup?Npi=1083735062","1083735062")</f>
        <v>1083735062</v>
      </c>
      <c r="E17412" t="s">
        <v>4274</v>
      </c>
    </row>
    <row r="17413" spans="1:5" x14ac:dyDescent="0.25">
      <c r="A17413" t="s">
        <v>4</v>
      </c>
      <c r="B17413" t="s">
        <v>4111</v>
      </c>
      <c r="C17413" t="s">
        <v>23490</v>
      </c>
      <c r="D17413" t="str">
        <f>HYPERLINK("https://rhld.insurance.arkansas.gov/NPILookup?Npi=1083750640","1083750640")</f>
        <v>1083750640</v>
      </c>
      <c r="E17413" t="s">
        <v>17098</v>
      </c>
    </row>
    <row r="17414" spans="1:5" x14ac:dyDescent="0.25">
      <c r="A17414" t="s">
        <v>4</v>
      </c>
      <c r="B17414" t="s">
        <v>4111</v>
      </c>
      <c r="C17414" t="s">
        <v>23490</v>
      </c>
      <c r="D17414" t="str">
        <f>HYPERLINK("https://rhld.insurance.arkansas.gov/NPILookup?Npi=1083761464","1083761464")</f>
        <v>1083761464</v>
      </c>
      <c r="E17414" t="s">
        <v>4275</v>
      </c>
    </row>
    <row r="17415" spans="1:5" x14ac:dyDescent="0.25">
      <c r="A17415" t="s">
        <v>4</v>
      </c>
      <c r="B17415" t="s">
        <v>4111</v>
      </c>
      <c r="C17415" t="s">
        <v>23490</v>
      </c>
      <c r="D17415" t="str">
        <f>HYPERLINK("https://rhld.insurance.arkansas.gov/NPILookup?Npi=1083797211","1083797211")</f>
        <v>1083797211</v>
      </c>
      <c r="E17415" t="s">
        <v>21833</v>
      </c>
    </row>
    <row r="17416" spans="1:5" x14ac:dyDescent="0.25">
      <c r="A17416" t="s">
        <v>4</v>
      </c>
      <c r="B17416" t="s">
        <v>4111</v>
      </c>
      <c r="C17416" t="s">
        <v>23490</v>
      </c>
      <c r="D17416" t="str">
        <f>HYPERLINK("https://rhld.insurance.arkansas.gov/NPILookup?Npi=1083803936","1083803936")</f>
        <v>1083803936</v>
      </c>
      <c r="E17416" t="s">
        <v>4276</v>
      </c>
    </row>
    <row r="17417" spans="1:5" x14ac:dyDescent="0.25">
      <c r="A17417" t="s">
        <v>4</v>
      </c>
      <c r="B17417" t="s">
        <v>4111</v>
      </c>
      <c r="C17417" t="s">
        <v>23490</v>
      </c>
      <c r="D17417" t="str">
        <f>HYPERLINK("https://rhld.insurance.arkansas.gov/NPILookup?Npi=1083813471","1083813471")</f>
        <v>1083813471</v>
      </c>
      <c r="E17417" t="s">
        <v>17099</v>
      </c>
    </row>
    <row r="17418" spans="1:5" x14ac:dyDescent="0.25">
      <c r="A17418" t="s">
        <v>4</v>
      </c>
      <c r="B17418" t="s">
        <v>4111</v>
      </c>
      <c r="C17418" t="s">
        <v>23490</v>
      </c>
      <c r="D17418" t="str">
        <f>HYPERLINK("https://rhld.insurance.arkansas.gov/NPILookup?Npi=1083820773","1083820773")</f>
        <v>1083820773</v>
      </c>
      <c r="E17418" t="s">
        <v>4277</v>
      </c>
    </row>
    <row r="17419" spans="1:5" x14ac:dyDescent="0.25">
      <c r="A17419" t="s">
        <v>4</v>
      </c>
      <c r="B17419" t="s">
        <v>4111</v>
      </c>
      <c r="C17419" t="s">
        <v>23490</v>
      </c>
      <c r="D17419" t="str">
        <f>HYPERLINK("https://rhld.insurance.arkansas.gov/NPILookup?Npi=1083822605","1083822605")</f>
        <v>1083822605</v>
      </c>
      <c r="E17419" t="s">
        <v>18248</v>
      </c>
    </row>
    <row r="17420" spans="1:5" x14ac:dyDescent="0.25">
      <c r="A17420" t="s">
        <v>4</v>
      </c>
      <c r="B17420" t="s">
        <v>4111</v>
      </c>
      <c r="C17420" t="s">
        <v>23490</v>
      </c>
      <c r="D17420" t="str">
        <f>HYPERLINK("https://rhld.insurance.arkansas.gov/NPILookup?Npi=1083824452","1083824452")</f>
        <v>1083824452</v>
      </c>
      <c r="E17420" t="s">
        <v>781</v>
      </c>
    </row>
    <row r="17421" spans="1:5" x14ac:dyDescent="0.25">
      <c r="A17421" t="s">
        <v>4</v>
      </c>
      <c r="B17421" t="s">
        <v>4111</v>
      </c>
      <c r="C17421" t="s">
        <v>23490</v>
      </c>
      <c r="D17421" t="str">
        <f>HYPERLINK("https://rhld.insurance.arkansas.gov/NPILookup?Npi=1083850739","1083850739")</f>
        <v>1083850739</v>
      </c>
      <c r="E17421" t="s">
        <v>4278</v>
      </c>
    </row>
    <row r="17422" spans="1:5" x14ac:dyDescent="0.25">
      <c r="A17422" t="s">
        <v>4</v>
      </c>
      <c r="B17422" t="s">
        <v>4111</v>
      </c>
      <c r="C17422" t="s">
        <v>23490</v>
      </c>
      <c r="D17422" t="str">
        <f>HYPERLINK("https://rhld.insurance.arkansas.gov/NPILookup?Npi=1083850887","1083850887")</f>
        <v>1083850887</v>
      </c>
      <c r="E17422" t="s">
        <v>11526</v>
      </c>
    </row>
    <row r="17423" spans="1:5" x14ac:dyDescent="0.25">
      <c r="A17423" t="s">
        <v>4</v>
      </c>
      <c r="B17423" t="s">
        <v>4111</v>
      </c>
      <c r="C17423" t="s">
        <v>23490</v>
      </c>
      <c r="D17423" t="str">
        <f>HYPERLINK("https://rhld.insurance.arkansas.gov/NPILookup?Npi=1083858427","1083858427")</f>
        <v>1083858427</v>
      </c>
      <c r="E17423" t="s">
        <v>4279</v>
      </c>
    </row>
    <row r="17424" spans="1:5" x14ac:dyDescent="0.25">
      <c r="A17424" t="s">
        <v>4</v>
      </c>
      <c r="B17424" t="s">
        <v>4111</v>
      </c>
      <c r="C17424" t="s">
        <v>23490</v>
      </c>
      <c r="D17424" t="str">
        <f>HYPERLINK("https://rhld.insurance.arkansas.gov/NPILookup?Npi=1083858815","1083858815")</f>
        <v>1083858815</v>
      </c>
      <c r="E17424" t="s">
        <v>20334</v>
      </c>
    </row>
    <row r="17425" spans="1:5" x14ac:dyDescent="0.25">
      <c r="A17425" t="s">
        <v>4</v>
      </c>
      <c r="B17425" t="s">
        <v>4111</v>
      </c>
      <c r="C17425" t="s">
        <v>23490</v>
      </c>
      <c r="D17425" t="str">
        <f>HYPERLINK("https://rhld.insurance.arkansas.gov/NPILookup?Npi=1083864896","1083864896")</f>
        <v>1083864896</v>
      </c>
      <c r="E17425" t="s">
        <v>13930</v>
      </c>
    </row>
    <row r="17426" spans="1:5" x14ac:dyDescent="0.25">
      <c r="A17426" t="s">
        <v>4</v>
      </c>
      <c r="B17426" t="s">
        <v>4111</v>
      </c>
      <c r="C17426" t="s">
        <v>23490</v>
      </c>
      <c r="D17426" t="str">
        <f>HYPERLINK("https://rhld.insurance.arkansas.gov/NPILookup?Npi=1083865307","1083865307")</f>
        <v>1083865307</v>
      </c>
      <c r="E17426" t="s">
        <v>4280</v>
      </c>
    </row>
    <row r="17427" spans="1:5" x14ac:dyDescent="0.25">
      <c r="A17427" t="s">
        <v>4</v>
      </c>
      <c r="B17427" t="s">
        <v>4111</v>
      </c>
      <c r="C17427" t="s">
        <v>23490</v>
      </c>
      <c r="D17427" t="str">
        <f>HYPERLINK("https://rhld.insurance.arkansas.gov/NPILookup?Npi=1083873012","1083873012")</f>
        <v>1083873012</v>
      </c>
      <c r="E17427" t="s">
        <v>17100</v>
      </c>
    </row>
    <row r="17428" spans="1:5" x14ac:dyDescent="0.25">
      <c r="A17428" t="s">
        <v>4</v>
      </c>
      <c r="B17428" t="s">
        <v>4111</v>
      </c>
      <c r="C17428" t="s">
        <v>23490</v>
      </c>
      <c r="D17428" t="str">
        <f>HYPERLINK("https://rhld.insurance.arkansas.gov/NPILookup?Npi=1083879167","1083879167")</f>
        <v>1083879167</v>
      </c>
      <c r="E17428" t="s">
        <v>4281</v>
      </c>
    </row>
    <row r="17429" spans="1:5" x14ac:dyDescent="0.25">
      <c r="A17429" t="s">
        <v>4</v>
      </c>
      <c r="B17429" t="s">
        <v>4111</v>
      </c>
      <c r="C17429" t="s">
        <v>23490</v>
      </c>
      <c r="D17429" t="str">
        <f>HYPERLINK("https://rhld.insurance.arkansas.gov/NPILookup?Npi=1083882906","1083882906")</f>
        <v>1083882906</v>
      </c>
      <c r="E17429" t="s">
        <v>13931</v>
      </c>
    </row>
    <row r="17430" spans="1:5" x14ac:dyDescent="0.25">
      <c r="A17430" t="s">
        <v>4</v>
      </c>
      <c r="B17430" t="s">
        <v>4111</v>
      </c>
      <c r="C17430" t="s">
        <v>23490</v>
      </c>
      <c r="D17430" t="str">
        <f>HYPERLINK("https://rhld.insurance.arkansas.gov/NPILookup?Npi=1083887483","1083887483")</f>
        <v>1083887483</v>
      </c>
      <c r="E17430" t="s">
        <v>4282</v>
      </c>
    </row>
    <row r="17431" spans="1:5" x14ac:dyDescent="0.25">
      <c r="A17431" t="s">
        <v>4</v>
      </c>
      <c r="B17431" t="s">
        <v>4111</v>
      </c>
      <c r="C17431" t="s">
        <v>23490</v>
      </c>
      <c r="D17431" t="str">
        <f>HYPERLINK("https://rhld.insurance.arkansas.gov/NPILookup?Npi=1083893887","1083893887")</f>
        <v>1083893887</v>
      </c>
      <c r="E17431" t="s">
        <v>4283</v>
      </c>
    </row>
    <row r="17432" spans="1:5" x14ac:dyDescent="0.25">
      <c r="A17432" t="s">
        <v>4</v>
      </c>
      <c r="B17432" t="s">
        <v>4111</v>
      </c>
      <c r="C17432" t="s">
        <v>23490</v>
      </c>
      <c r="D17432" t="str">
        <f>HYPERLINK("https://rhld.insurance.arkansas.gov/NPILookup?Npi=1083909675","1083909675")</f>
        <v>1083909675</v>
      </c>
      <c r="E17432" t="s">
        <v>11527</v>
      </c>
    </row>
    <row r="17433" spans="1:5" x14ac:dyDescent="0.25">
      <c r="A17433" t="s">
        <v>4</v>
      </c>
      <c r="B17433" t="s">
        <v>4111</v>
      </c>
      <c r="C17433" t="s">
        <v>23490</v>
      </c>
      <c r="D17433" t="str">
        <f>HYPERLINK("https://rhld.insurance.arkansas.gov/NPILookup?Npi=1083929624","1083929624")</f>
        <v>1083929624</v>
      </c>
      <c r="E17433" t="s">
        <v>13932</v>
      </c>
    </row>
    <row r="17434" spans="1:5" x14ac:dyDescent="0.25">
      <c r="A17434" t="s">
        <v>4</v>
      </c>
      <c r="B17434" t="s">
        <v>4111</v>
      </c>
      <c r="C17434" t="s">
        <v>23490</v>
      </c>
      <c r="D17434" t="str">
        <f>HYPERLINK("https://rhld.insurance.arkansas.gov/NPILookup?Npi=1083937858","1083937858")</f>
        <v>1083937858</v>
      </c>
      <c r="E17434" t="s">
        <v>4284</v>
      </c>
    </row>
    <row r="17435" spans="1:5" x14ac:dyDescent="0.25">
      <c r="A17435" t="s">
        <v>4</v>
      </c>
      <c r="B17435" t="s">
        <v>4111</v>
      </c>
      <c r="C17435" t="s">
        <v>23490</v>
      </c>
      <c r="D17435" t="str">
        <f>HYPERLINK("https://rhld.insurance.arkansas.gov/NPILookup?Npi=1083967152","1083967152")</f>
        <v>1083967152</v>
      </c>
      <c r="E17435" t="s">
        <v>21834</v>
      </c>
    </row>
    <row r="17436" spans="1:5" x14ac:dyDescent="0.25">
      <c r="A17436" t="s">
        <v>4</v>
      </c>
      <c r="B17436" t="s">
        <v>4111</v>
      </c>
      <c r="C17436" t="s">
        <v>23490</v>
      </c>
      <c r="D17436" t="str">
        <f>HYPERLINK("https://rhld.insurance.arkansas.gov/NPILookup?Npi=1093005761","1093005761")</f>
        <v>1093005761</v>
      </c>
      <c r="E17436" t="s">
        <v>9014</v>
      </c>
    </row>
    <row r="17437" spans="1:5" x14ac:dyDescent="0.25">
      <c r="A17437" t="s">
        <v>4</v>
      </c>
      <c r="B17437" t="s">
        <v>4111</v>
      </c>
      <c r="C17437" t="s">
        <v>23490</v>
      </c>
      <c r="D17437" t="str">
        <f>HYPERLINK("https://rhld.insurance.arkansas.gov/NPILookup?Npi=1093022832","1093022832")</f>
        <v>1093022832</v>
      </c>
      <c r="E17437" t="s">
        <v>15972</v>
      </c>
    </row>
    <row r="17438" spans="1:5" x14ac:dyDescent="0.25">
      <c r="A17438" t="s">
        <v>4</v>
      </c>
      <c r="B17438" t="s">
        <v>4111</v>
      </c>
      <c r="C17438" t="s">
        <v>23490</v>
      </c>
      <c r="D17438" t="str">
        <f>HYPERLINK("https://rhld.insurance.arkansas.gov/NPILookup?Npi=1093049447","1093049447")</f>
        <v>1093049447</v>
      </c>
      <c r="E17438" t="s">
        <v>20335</v>
      </c>
    </row>
    <row r="17439" spans="1:5" x14ac:dyDescent="0.25">
      <c r="A17439" t="s">
        <v>4</v>
      </c>
      <c r="B17439" t="s">
        <v>4111</v>
      </c>
      <c r="C17439" t="s">
        <v>23490</v>
      </c>
      <c r="D17439" t="str">
        <f>HYPERLINK("https://rhld.insurance.arkansas.gov/NPILookup?Npi=1093054454","1093054454")</f>
        <v>1093054454</v>
      </c>
      <c r="E17439" t="s">
        <v>9015</v>
      </c>
    </row>
    <row r="17440" spans="1:5" x14ac:dyDescent="0.25">
      <c r="A17440" t="s">
        <v>4</v>
      </c>
      <c r="B17440" t="s">
        <v>4111</v>
      </c>
      <c r="C17440" t="s">
        <v>23490</v>
      </c>
      <c r="D17440" t="str">
        <f>HYPERLINK("https://rhld.insurance.arkansas.gov/NPILookup?Npi=1093075079","1093075079")</f>
        <v>1093075079</v>
      </c>
      <c r="E17440" t="s">
        <v>20336</v>
      </c>
    </row>
    <row r="17441" spans="1:5" x14ac:dyDescent="0.25">
      <c r="A17441" t="s">
        <v>4</v>
      </c>
      <c r="B17441" t="s">
        <v>4111</v>
      </c>
      <c r="C17441" t="s">
        <v>23490</v>
      </c>
      <c r="D17441" t="str">
        <f>HYPERLINK("https://rhld.insurance.arkansas.gov/NPILookup?Npi=1093077620","1093077620")</f>
        <v>1093077620</v>
      </c>
      <c r="E17441" t="s">
        <v>20337</v>
      </c>
    </row>
    <row r="17442" spans="1:5" x14ac:dyDescent="0.25">
      <c r="A17442" t="s">
        <v>4</v>
      </c>
      <c r="B17442" t="s">
        <v>4111</v>
      </c>
      <c r="C17442" t="s">
        <v>23490</v>
      </c>
      <c r="D17442" t="str">
        <f>HYPERLINK("https://rhld.insurance.arkansas.gov/NPILookup?Npi=1093088031","1093088031")</f>
        <v>1093088031</v>
      </c>
      <c r="E17442" t="s">
        <v>18249</v>
      </c>
    </row>
    <row r="17443" spans="1:5" x14ac:dyDescent="0.25">
      <c r="A17443" t="s">
        <v>4</v>
      </c>
      <c r="B17443" t="s">
        <v>4111</v>
      </c>
      <c r="C17443" t="s">
        <v>23490</v>
      </c>
      <c r="D17443" t="str">
        <f>HYPERLINK("https://rhld.insurance.arkansas.gov/NPILookup?Npi=1093089708","1093089708")</f>
        <v>1093089708</v>
      </c>
      <c r="E17443" t="s">
        <v>20338</v>
      </c>
    </row>
    <row r="17444" spans="1:5" x14ac:dyDescent="0.25">
      <c r="A17444" t="s">
        <v>4</v>
      </c>
      <c r="B17444" t="s">
        <v>4111</v>
      </c>
      <c r="C17444" t="s">
        <v>23490</v>
      </c>
      <c r="D17444" t="str">
        <f>HYPERLINK("https://rhld.insurance.arkansas.gov/NPILookup?Npi=1093091167","1093091167")</f>
        <v>1093091167</v>
      </c>
      <c r="E17444" t="s">
        <v>11528</v>
      </c>
    </row>
    <row r="17445" spans="1:5" x14ac:dyDescent="0.25">
      <c r="A17445" t="s">
        <v>4</v>
      </c>
      <c r="B17445" t="s">
        <v>4111</v>
      </c>
      <c r="C17445" t="s">
        <v>23490</v>
      </c>
      <c r="D17445" t="str">
        <f>HYPERLINK("https://rhld.insurance.arkansas.gov/NPILookup?Npi=1093105397","1093105397")</f>
        <v>1093105397</v>
      </c>
      <c r="E17445" t="s">
        <v>13933</v>
      </c>
    </row>
    <row r="17446" spans="1:5" x14ac:dyDescent="0.25">
      <c r="A17446" t="s">
        <v>4</v>
      </c>
      <c r="B17446" t="s">
        <v>4111</v>
      </c>
      <c r="C17446" t="s">
        <v>23490</v>
      </c>
      <c r="D17446" t="str">
        <f>HYPERLINK("https://rhld.insurance.arkansas.gov/NPILookup?Npi=1093118754","1093118754")</f>
        <v>1093118754</v>
      </c>
      <c r="E17446" t="s">
        <v>4285</v>
      </c>
    </row>
    <row r="17447" spans="1:5" x14ac:dyDescent="0.25">
      <c r="A17447" t="s">
        <v>4</v>
      </c>
      <c r="B17447" t="s">
        <v>4111</v>
      </c>
      <c r="C17447" t="s">
        <v>23490</v>
      </c>
      <c r="D17447" t="str">
        <f>HYPERLINK("https://rhld.insurance.arkansas.gov/NPILookup?Npi=1093137119","1093137119")</f>
        <v>1093137119</v>
      </c>
      <c r="E17447" t="s">
        <v>13934</v>
      </c>
    </row>
    <row r="17448" spans="1:5" x14ac:dyDescent="0.25">
      <c r="A17448" t="s">
        <v>4</v>
      </c>
      <c r="B17448" t="s">
        <v>4111</v>
      </c>
      <c r="C17448" t="s">
        <v>23490</v>
      </c>
      <c r="D17448" t="str">
        <f>HYPERLINK("https://rhld.insurance.arkansas.gov/NPILookup?Npi=1093139180","1093139180")</f>
        <v>1093139180</v>
      </c>
      <c r="E17448" t="s">
        <v>18940</v>
      </c>
    </row>
    <row r="17449" spans="1:5" x14ac:dyDescent="0.25">
      <c r="A17449" t="s">
        <v>4</v>
      </c>
      <c r="B17449" t="s">
        <v>4111</v>
      </c>
      <c r="C17449" t="s">
        <v>23490</v>
      </c>
      <c r="D17449" t="str">
        <f>HYPERLINK("https://rhld.insurance.arkansas.gov/NPILookup?Npi=1093148249","1093148249")</f>
        <v>1093148249</v>
      </c>
      <c r="E17449" t="s">
        <v>20339</v>
      </c>
    </row>
    <row r="17450" spans="1:5" x14ac:dyDescent="0.25">
      <c r="A17450" t="s">
        <v>4</v>
      </c>
      <c r="B17450" t="s">
        <v>4111</v>
      </c>
      <c r="C17450" t="s">
        <v>23490</v>
      </c>
      <c r="D17450" t="str">
        <f>HYPERLINK("https://rhld.insurance.arkansas.gov/NPILookup?Npi=1093148629","1093148629")</f>
        <v>1093148629</v>
      </c>
      <c r="E17450" t="s">
        <v>21835</v>
      </c>
    </row>
    <row r="17451" spans="1:5" x14ac:dyDescent="0.25">
      <c r="A17451" t="s">
        <v>4</v>
      </c>
      <c r="B17451" t="s">
        <v>4111</v>
      </c>
      <c r="C17451" t="s">
        <v>23490</v>
      </c>
      <c r="D17451" t="str">
        <f>HYPERLINK("https://rhld.insurance.arkansas.gov/NPILookup?Npi=1093153223","1093153223")</f>
        <v>1093153223</v>
      </c>
      <c r="E17451" t="s">
        <v>11529</v>
      </c>
    </row>
    <row r="17452" spans="1:5" x14ac:dyDescent="0.25">
      <c r="A17452" t="s">
        <v>4</v>
      </c>
      <c r="B17452" t="s">
        <v>4111</v>
      </c>
      <c r="C17452" t="s">
        <v>23490</v>
      </c>
      <c r="D17452" t="str">
        <f>HYPERLINK("https://rhld.insurance.arkansas.gov/NPILookup?Npi=1093156861","1093156861")</f>
        <v>1093156861</v>
      </c>
      <c r="E17452" t="s">
        <v>20340</v>
      </c>
    </row>
    <row r="17453" spans="1:5" x14ac:dyDescent="0.25">
      <c r="A17453" t="s">
        <v>4</v>
      </c>
      <c r="B17453" t="s">
        <v>4111</v>
      </c>
      <c r="C17453" t="s">
        <v>23490</v>
      </c>
      <c r="D17453" t="str">
        <f>HYPERLINK("https://rhld.insurance.arkansas.gov/NPILookup?Npi=1093180580","1093180580")</f>
        <v>1093180580</v>
      </c>
      <c r="E17453" t="s">
        <v>20341</v>
      </c>
    </row>
    <row r="17454" spans="1:5" x14ac:dyDescent="0.25">
      <c r="A17454" t="s">
        <v>4</v>
      </c>
      <c r="B17454" t="s">
        <v>4111</v>
      </c>
      <c r="C17454" t="s">
        <v>23490</v>
      </c>
      <c r="D17454" t="str">
        <f>HYPERLINK("https://rhld.insurance.arkansas.gov/NPILookup?Npi=1093181588","1093181588")</f>
        <v>1093181588</v>
      </c>
      <c r="E17454" t="s">
        <v>21836</v>
      </c>
    </row>
    <row r="17455" spans="1:5" x14ac:dyDescent="0.25">
      <c r="A17455" t="s">
        <v>4</v>
      </c>
      <c r="B17455" t="s">
        <v>4111</v>
      </c>
      <c r="C17455" t="s">
        <v>23490</v>
      </c>
      <c r="D17455" t="str">
        <f>HYPERLINK("https://rhld.insurance.arkansas.gov/NPILookup?Npi=1093192338","1093192338")</f>
        <v>1093192338</v>
      </c>
      <c r="E17455" t="s">
        <v>18250</v>
      </c>
    </row>
    <row r="17456" spans="1:5" x14ac:dyDescent="0.25">
      <c r="A17456" t="s">
        <v>4</v>
      </c>
      <c r="B17456" t="s">
        <v>4111</v>
      </c>
      <c r="C17456" t="s">
        <v>23490</v>
      </c>
      <c r="D17456" t="str">
        <f>HYPERLINK("https://rhld.insurance.arkansas.gov/NPILookup?Npi=1093196313","1093196313")</f>
        <v>1093196313</v>
      </c>
      <c r="E17456" t="s">
        <v>15973</v>
      </c>
    </row>
    <row r="17457" spans="1:5" x14ac:dyDescent="0.25">
      <c r="A17457" t="s">
        <v>4</v>
      </c>
      <c r="B17457" t="s">
        <v>4111</v>
      </c>
      <c r="C17457" t="s">
        <v>23490</v>
      </c>
      <c r="D17457" t="str">
        <f>HYPERLINK("https://rhld.insurance.arkansas.gov/NPILookup?Npi=1093205270","1093205270")</f>
        <v>1093205270</v>
      </c>
      <c r="E17457" t="s">
        <v>18941</v>
      </c>
    </row>
    <row r="17458" spans="1:5" x14ac:dyDescent="0.25">
      <c r="A17458" t="s">
        <v>4</v>
      </c>
      <c r="B17458" t="s">
        <v>4111</v>
      </c>
      <c r="C17458" t="s">
        <v>23490</v>
      </c>
      <c r="D17458" t="str">
        <f>HYPERLINK("https://rhld.insurance.arkansas.gov/NPILookup?Npi=1093207615","1093207615")</f>
        <v>1093207615</v>
      </c>
      <c r="E17458" t="s">
        <v>13935</v>
      </c>
    </row>
    <row r="17459" spans="1:5" x14ac:dyDescent="0.25">
      <c r="A17459" t="s">
        <v>4</v>
      </c>
      <c r="B17459" t="s">
        <v>4111</v>
      </c>
      <c r="C17459" t="s">
        <v>23490</v>
      </c>
      <c r="D17459" t="str">
        <f>HYPERLINK("https://rhld.insurance.arkansas.gov/NPILookup?Npi=1093225849","1093225849")</f>
        <v>1093225849</v>
      </c>
      <c r="E17459" t="s">
        <v>18251</v>
      </c>
    </row>
    <row r="17460" spans="1:5" x14ac:dyDescent="0.25">
      <c r="A17460" t="s">
        <v>4</v>
      </c>
      <c r="B17460" t="s">
        <v>4111</v>
      </c>
      <c r="C17460" t="s">
        <v>23490</v>
      </c>
      <c r="D17460" t="str">
        <f>HYPERLINK("https://rhld.insurance.arkansas.gov/NPILookup?Npi=1093240368","1093240368")</f>
        <v>1093240368</v>
      </c>
      <c r="E17460" t="s">
        <v>21837</v>
      </c>
    </row>
    <row r="17461" spans="1:5" x14ac:dyDescent="0.25">
      <c r="A17461" t="s">
        <v>4</v>
      </c>
      <c r="B17461" t="s">
        <v>4111</v>
      </c>
      <c r="C17461" t="s">
        <v>23490</v>
      </c>
      <c r="D17461" t="str">
        <f>HYPERLINK("https://rhld.insurance.arkansas.gov/NPILookup?Npi=1093246977","1093246977")</f>
        <v>1093246977</v>
      </c>
      <c r="E17461" t="s">
        <v>15974</v>
      </c>
    </row>
    <row r="17462" spans="1:5" x14ac:dyDescent="0.25">
      <c r="A17462" t="s">
        <v>4</v>
      </c>
      <c r="B17462" t="s">
        <v>4111</v>
      </c>
      <c r="C17462" t="s">
        <v>23490</v>
      </c>
      <c r="D17462" t="str">
        <f>HYPERLINK("https://rhld.insurance.arkansas.gov/NPILookup?Npi=1093278319","1093278319")</f>
        <v>1093278319</v>
      </c>
      <c r="E17462" t="s">
        <v>21838</v>
      </c>
    </row>
    <row r="17463" spans="1:5" x14ac:dyDescent="0.25">
      <c r="A17463" t="s">
        <v>4</v>
      </c>
      <c r="B17463" t="s">
        <v>4111</v>
      </c>
      <c r="C17463" t="s">
        <v>23490</v>
      </c>
      <c r="D17463" t="str">
        <f>HYPERLINK("https://rhld.insurance.arkansas.gov/NPILookup?Npi=1093280067","1093280067")</f>
        <v>1093280067</v>
      </c>
      <c r="E17463" t="s">
        <v>18942</v>
      </c>
    </row>
    <row r="17464" spans="1:5" x14ac:dyDescent="0.25">
      <c r="A17464" t="s">
        <v>4</v>
      </c>
      <c r="B17464" t="s">
        <v>4111</v>
      </c>
      <c r="C17464" t="s">
        <v>23490</v>
      </c>
      <c r="D17464" t="str">
        <f>HYPERLINK("https://rhld.insurance.arkansas.gov/NPILookup?Npi=1093283293","1093283293")</f>
        <v>1093283293</v>
      </c>
      <c r="E17464" t="s">
        <v>18252</v>
      </c>
    </row>
    <row r="17465" spans="1:5" x14ac:dyDescent="0.25">
      <c r="A17465" t="s">
        <v>4</v>
      </c>
      <c r="B17465" t="s">
        <v>4111</v>
      </c>
      <c r="C17465" t="s">
        <v>23490</v>
      </c>
      <c r="D17465" t="str">
        <f>HYPERLINK("https://rhld.insurance.arkansas.gov/NPILookup?Npi=1093283657","1093283657")</f>
        <v>1093283657</v>
      </c>
      <c r="E17465" t="s">
        <v>13936</v>
      </c>
    </row>
    <row r="17466" spans="1:5" x14ac:dyDescent="0.25">
      <c r="A17466" t="s">
        <v>4</v>
      </c>
      <c r="B17466" t="s">
        <v>4111</v>
      </c>
      <c r="C17466" t="s">
        <v>23490</v>
      </c>
      <c r="D17466" t="str">
        <f>HYPERLINK("https://rhld.insurance.arkansas.gov/NPILookup?Npi=1093293193","1093293193")</f>
        <v>1093293193</v>
      </c>
      <c r="E17466" t="s">
        <v>18943</v>
      </c>
    </row>
    <row r="17467" spans="1:5" x14ac:dyDescent="0.25">
      <c r="A17467" t="s">
        <v>4</v>
      </c>
      <c r="B17467" t="s">
        <v>4111</v>
      </c>
      <c r="C17467" t="s">
        <v>8427</v>
      </c>
      <c r="D17467" t="str">
        <f>HYPERLINK("https://rhld.insurance.arkansas.gov/NPILookup?Npi=1093322927","1093322927")</f>
        <v>1093322927</v>
      </c>
      <c r="E17467" t="s">
        <v>23040</v>
      </c>
    </row>
    <row r="17468" spans="1:5" x14ac:dyDescent="0.25">
      <c r="A17468" t="s">
        <v>4</v>
      </c>
      <c r="B17468" t="s">
        <v>4111</v>
      </c>
      <c r="C17468" t="s">
        <v>23490</v>
      </c>
      <c r="D17468" t="str">
        <f>HYPERLINK("https://rhld.insurance.arkansas.gov/NPILookup?Npi=1093347791","1093347791")</f>
        <v>1093347791</v>
      </c>
      <c r="E17468" t="s">
        <v>18253</v>
      </c>
    </row>
    <row r="17469" spans="1:5" x14ac:dyDescent="0.25">
      <c r="A17469" t="s">
        <v>4</v>
      </c>
      <c r="B17469" t="s">
        <v>4111</v>
      </c>
      <c r="C17469" t="s">
        <v>23490</v>
      </c>
      <c r="D17469" t="str">
        <f>HYPERLINK("https://rhld.insurance.arkansas.gov/NPILookup?Npi=1093352635","1093352635")</f>
        <v>1093352635</v>
      </c>
      <c r="E17469" t="s">
        <v>17101</v>
      </c>
    </row>
    <row r="17470" spans="1:5" x14ac:dyDescent="0.25">
      <c r="A17470" t="s">
        <v>4</v>
      </c>
      <c r="B17470" t="s">
        <v>4111</v>
      </c>
      <c r="C17470" t="s">
        <v>8427</v>
      </c>
      <c r="D17470" t="str">
        <f>HYPERLINK("https://rhld.insurance.arkansas.gov/NPILookup?Npi=1093367138","1093367138")</f>
        <v>1093367138</v>
      </c>
      <c r="E17470" t="s">
        <v>23041</v>
      </c>
    </row>
    <row r="17471" spans="1:5" x14ac:dyDescent="0.25">
      <c r="A17471" t="s">
        <v>4</v>
      </c>
      <c r="B17471" t="s">
        <v>4111</v>
      </c>
      <c r="C17471" t="s">
        <v>23490</v>
      </c>
      <c r="D17471" t="str">
        <f>HYPERLINK("https://rhld.insurance.arkansas.gov/NPILookup?Npi=1093372625","1093372625")</f>
        <v>1093372625</v>
      </c>
      <c r="E17471" t="s">
        <v>21839</v>
      </c>
    </row>
    <row r="17472" spans="1:5" x14ac:dyDescent="0.25">
      <c r="A17472" t="s">
        <v>4</v>
      </c>
      <c r="B17472" t="s">
        <v>4111</v>
      </c>
      <c r="C17472" t="s">
        <v>23490</v>
      </c>
      <c r="D17472" t="str">
        <f>HYPERLINK("https://rhld.insurance.arkansas.gov/NPILookup?Npi=1093376881","1093376881")</f>
        <v>1093376881</v>
      </c>
      <c r="E17472" t="s">
        <v>18254</v>
      </c>
    </row>
    <row r="17473" spans="1:5" x14ac:dyDescent="0.25">
      <c r="A17473" t="s">
        <v>4</v>
      </c>
      <c r="B17473" t="s">
        <v>4111</v>
      </c>
      <c r="C17473" t="s">
        <v>23490</v>
      </c>
      <c r="D17473" t="str">
        <f>HYPERLINK("https://rhld.insurance.arkansas.gov/NPILookup?Npi=1093395220","1093395220")</f>
        <v>1093395220</v>
      </c>
      <c r="E17473" t="s">
        <v>18255</v>
      </c>
    </row>
    <row r="17474" spans="1:5" x14ac:dyDescent="0.25">
      <c r="A17474" t="s">
        <v>4</v>
      </c>
      <c r="B17474" t="s">
        <v>4111</v>
      </c>
      <c r="C17474" t="s">
        <v>23490</v>
      </c>
      <c r="D17474" t="str">
        <f>HYPERLINK("https://rhld.insurance.arkansas.gov/NPILookup?Npi=1093413395","1093413395")</f>
        <v>1093413395</v>
      </c>
      <c r="E17474" t="s">
        <v>21840</v>
      </c>
    </row>
    <row r="17475" spans="1:5" x14ac:dyDescent="0.25">
      <c r="A17475" t="s">
        <v>4</v>
      </c>
      <c r="B17475" t="s">
        <v>4111</v>
      </c>
      <c r="C17475" t="s">
        <v>23490</v>
      </c>
      <c r="D17475" t="str">
        <f>HYPERLINK("https://rhld.insurance.arkansas.gov/NPILookup?Npi=1093700601","1093700601")</f>
        <v>1093700601</v>
      </c>
      <c r="E17475" t="s">
        <v>4286</v>
      </c>
    </row>
    <row r="17476" spans="1:5" x14ac:dyDescent="0.25">
      <c r="A17476" t="s">
        <v>4</v>
      </c>
      <c r="B17476" t="s">
        <v>4111</v>
      </c>
      <c r="C17476" t="s">
        <v>23490</v>
      </c>
      <c r="D17476" t="str">
        <f>HYPERLINK("https://rhld.insurance.arkansas.gov/NPILookup?Npi=1093722415","1093722415")</f>
        <v>1093722415</v>
      </c>
      <c r="E17476" t="s">
        <v>4287</v>
      </c>
    </row>
    <row r="17477" spans="1:5" x14ac:dyDescent="0.25">
      <c r="A17477" t="s">
        <v>4</v>
      </c>
      <c r="B17477" t="s">
        <v>4111</v>
      </c>
      <c r="C17477" t="s">
        <v>23490</v>
      </c>
      <c r="D17477" t="str">
        <f>HYPERLINK("https://rhld.insurance.arkansas.gov/NPILookup?Npi=1093741902","1093741902")</f>
        <v>1093741902</v>
      </c>
      <c r="E17477" t="s">
        <v>4288</v>
      </c>
    </row>
    <row r="17478" spans="1:5" x14ac:dyDescent="0.25">
      <c r="A17478" t="s">
        <v>4</v>
      </c>
      <c r="B17478" t="s">
        <v>4111</v>
      </c>
      <c r="C17478" t="s">
        <v>23490</v>
      </c>
      <c r="D17478" t="str">
        <f>HYPERLINK("https://rhld.insurance.arkansas.gov/NPILookup?Npi=1093742710","1093742710")</f>
        <v>1093742710</v>
      </c>
      <c r="E17478" t="s">
        <v>15975</v>
      </c>
    </row>
    <row r="17479" spans="1:5" x14ac:dyDescent="0.25">
      <c r="A17479" t="s">
        <v>4</v>
      </c>
      <c r="B17479" t="s">
        <v>4111</v>
      </c>
      <c r="C17479" t="s">
        <v>23490</v>
      </c>
      <c r="D17479" t="str">
        <f>HYPERLINK("https://rhld.insurance.arkansas.gov/NPILookup?Npi=1093743429","1093743429")</f>
        <v>1093743429</v>
      </c>
      <c r="E17479" t="s">
        <v>4289</v>
      </c>
    </row>
    <row r="17480" spans="1:5" x14ac:dyDescent="0.25">
      <c r="A17480" t="s">
        <v>4</v>
      </c>
      <c r="B17480" t="s">
        <v>4111</v>
      </c>
      <c r="C17480" t="s">
        <v>23490</v>
      </c>
      <c r="D17480" t="str">
        <f>HYPERLINK("https://rhld.insurance.arkansas.gov/NPILookup?Npi=1093748139","1093748139")</f>
        <v>1093748139</v>
      </c>
      <c r="E17480" t="s">
        <v>4290</v>
      </c>
    </row>
    <row r="17481" spans="1:5" x14ac:dyDescent="0.25">
      <c r="A17481" t="s">
        <v>4</v>
      </c>
      <c r="B17481" t="s">
        <v>4111</v>
      </c>
      <c r="C17481" t="s">
        <v>23490</v>
      </c>
      <c r="D17481" t="str">
        <f>HYPERLINK("https://rhld.insurance.arkansas.gov/NPILookup?Npi=1093773830","1093773830")</f>
        <v>1093773830</v>
      </c>
      <c r="E17481" t="s">
        <v>21841</v>
      </c>
    </row>
    <row r="17482" spans="1:5" x14ac:dyDescent="0.25">
      <c r="A17482" t="s">
        <v>4</v>
      </c>
      <c r="B17482" t="s">
        <v>4111</v>
      </c>
      <c r="C17482" t="s">
        <v>23490</v>
      </c>
      <c r="D17482" t="str">
        <f>HYPERLINK("https://rhld.insurance.arkansas.gov/NPILookup?Npi=1093804106","1093804106")</f>
        <v>1093804106</v>
      </c>
      <c r="E17482" t="s">
        <v>3920</v>
      </c>
    </row>
    <row r="17483" spans="1:5" x14ac:dyDescent="0.25">
      <c r="A17483" t="s">
        <v>4</v>
      </c>
      <c r="B17483" t="s">
        <v>4111</v>
      </c>
      <c r="C17483" t="s">
        <v>23490</v>
      </c>
      <c r="D17483" t="str">
        <f>HYPERLINK("https://rhld.insurance.arkansas.gov/NPILookup?Npi=1093807760","1093807760")</f>
        <v>1093807760</v>
      </c>
      <c r="E17483" t="s">
        <v>4291</v>
      </c>
    </row>
    <row r="17484" spans="1:5" x14ac:dyDescent="0.25">
      <c r="A17484" t="s">
        <v>4</v>
      </c>
      <c r="B17484" t="s">
        <v>4111</v>
      </c>
      <c r="C17484" t="s">
        <v>23490</v>
      </c>
      <c r="D17484" t="str">
        <f>HYPERLINK("https://rhld.insurance.arkansas.gov/NPILookup?Npi=1093810947","1093810947")</f>
        <v>1093810947</v>
      </c>
      <c r="E17484" t="s">
        <v>4292</v>
      </c>
    </row>
    <row r="17485" spans="1:5" x14ac:dyDescent="0.25">
      <c r="A17485" t="s">
        <v>4</v>
      </c>
      <c r="B17485" t="s">
        <v>4111</v>
      </c>
      <c r="C17485" t="s">
        <v>23490</v>
      </c>
      <c r="D17485" t="str">
        <f>HYPERLINK("https://rhld.insurance.arkansas.gov/NPILookup?Npi=1093822108","1093822108")</f>
        <v>1093822108</v>
      </c>
      <c r="E17485" t="s">
        <v>13937</v>
      </c>
    </row>
    <row r="17486" spans="1:5" x14ac:dyDescent="0.25">
      <c r="A17486" t="s">
        <v>4</v>
      </c>
      <c r="B17486" t="s">
        <v>4111</v>
      </c>
      <c r="C17486" t="s">
        <v>23490</v>
      </c>
      <c r="D17486" t="str">
        <f>HYPERLINK("https://rhld.insurance.arkansas.gov/NPILookup?Npi=1093826067","1093826067")</f>
        <v>1093826067</v>
      </c>
      <c r="E17486" t="s">
        <v>4293</v>
      </c>
    </row>
    <row r="17487" spans="1:5" x14ac:dyDescent="0.25">
      <c r="A17487" t="s">
        <v>4</v>
      </c>
      <c r="B17487" t="s">
        <v>4111</v>
      </c>
      <c r="C17487" t="s">
        <v>23490</v>
      </c>
      <c r="D17487" t="str">
        <f>HYPERLINK("https://rhld.insurance.arkansas.gov/NPILookup?Npi=1093828063","1093828063")</f>
        <v>1093828063</v>
      </c>
      <c r="E17487" t="s">
        <v>9016</v>
      </c>
    </row>
    <row r="17488" spans="1:5" x14ac:dyDescent="0.25">
      <c r="A17488" t="s">
        <v>4</v>
      </c>
      <c r="B17488" t="s">
        <v>4111</v>
      </c>
      <c r="C17488" t="s">
        <v>23490</v>
      </c>
      <c r="D17488" t="str">
        <f>HYPERLINK("https://rhld.insurance.arkansas.gov/NPILookup?Npi=1093835688","1093835688")</f>
        <v>1093835688</v>
      </c>
      <c r="E17488" t="s">
        <v>23042</v>
      </c>
    </row>
    <row r="17489" spans="1:5" x14ac:dyDescent="0.25">
      <c r="A17489" t="s">
        <v>4</v>
      </c>
      <c r="B17489" t="s">
        <v>4111</v>
      </c>
      <c r="C17489" t="s">
        <v>23490</v>
      </c>
      <c r="D17489" t="str">
        <f>HYPERLINK("https://rhld.insurance.arkansas.gov/NPILookup?Npi=1093842882","1093842882")</f>
        <v>1093842882</v>
      </c>
      <c r="E17489" t="s">
        <v>4294</v>
      </c>
    </row>
    <row r="17490" spans="1:5" x14ac:dyDescent="0.25">
      <c r="A17490" t="s">
        <v>4</v>
      </c>
      <c r="B17490" t="s">
        <v>4111</v>
      </c>
      <c r="C17490" t="s">
        <v>23490</v>
      </c>
      <c r="D17490" t="str">
        <f>HYPERLINK("https://rhld.insurance.arkansas.gov/NPILookup?Npi=1093844045","1093844045")</f>
        <v>1093844045</v>
      </c>
      <c r="E17490" t="s">
        <v>22898</v>
      </c>
    </row>
    <row r="17491" spans="1:5" x14ac:dyDescent="0.25">
      <c r="A17491" t="s">
        <v>4</v>
      </c>
      <c r="B17491" t="s">
        <v>4111</v>
      </c>
      <c r="C17491" t="s">
        <v>23490</v>
      </c>
      <c r="D17491" t="str">
        <f>HYPERLINK("https://rhld.insurance.arkansas.gov/NPILookup?Npi=1093857245","1093857245")</f>
        <v>1093857245</v>
      </c>
      <c r="E17491" t="s">
        <v>9017</v>
      </c>
    </row>
    <row r="17492" spans="1:5" x14ac:dyDescent="0.25">
      <c r="A17492" t="s">
        <v>4</v>
      </c>
      <c r="B17492" t="s">
        <v>4111</v>
      </c>
      <c r="C17492" t="s">
        <v>23490</v>
      </c>
      <c r="D17492" t="str">
        <f>HYPERLINK("https://rhld.insurance.arkansas.gov/NPILookup?Npi=1093901928","1093901928")</f>
        <v>1093901928</v>
      </c>
      <c r="E17492" t="s">
        <v>13938</v>
      </c>
    </row>
    <row r="17493" spans="1:5" x14ac:dyDescent="0.25">
      <c r="A17493" t="s">
        <v>4</v>
      </c>
      <c r="B17493" t="s">
        <v>4111</v>
      </c>
      <c r="C17493" t="s">
        <v>23490</v>
      </c>
      <c r="D17493" t="str">
        <f>HYPERLINK("https://rhld.insurance.arkansas.gov/NPILookup?Npi=1093904716","1093904716")</f>
        <v>1093904716</v>
      </c>
      <c r="E17493" t="s">
        <v>4295</v>
      </c>
    </row>
    <row r="17494" spans="1:5" x14ac:dyDescent="0.25">
      <c r="A17494" t="s">
        <v>4</v>
      </c>
      <c r="B17494" t="s">
        <v>4111</v>
      </c>
      <c r="C17494" t="s">
        <v>23490</v>
      </c>
      <c r="D17494" t="str">
        <f>HYPERLINK("https://rhld.insurance.arkansas.gov/NPILookup?Npi=1093943458","1093943458")</f>
        <v>1093943458</v>
      </c>
      <c r="E17494" t="s">
        <v>21842</v>
      </c>
    </row>
    <row r="17495" spans="1:5" x14ac:dyDescent="0.25">
      <c r="A17495" t="s">
        <v>4</v>
      </c>
      <c r="B17495" t="s">
        <v>4111</v>
      </c>
      <c r="C17495" t="s">
        <v>23490</v>
      </c>
      <c r="D17495" t="str">
        <f>HYPERLINK("https://rhld.insurance.arkansas.gov/NPILookup?Npi=1093944977","1093944977")</f>
        <v>1093944977</v>
      </c>
      <c r="E17495" t="s">
        <v>15976</v>
      </c>
    </row>
    <row r="17496" spans="1:5" x14ac:dyDescent="0.25">
      <c r="A17496" t="s">
        <v>4</v>
      </c>
      <c r="B17496" t="s">
        <v>4111</v>
      </c>
      <c r="C17496" t="s">
        <v>23490</v>
      </c>
      <c r="D17496" t="str">
        <f>HYPERLINK("https://rhld.insurance.arkansas.gov/NPILookup?Npi=1093960411","1093960411")</f>
        <v>1093960411</v>
      </c>
      <c r="E17496" t="s">
        <v>11530</v>
      </c>
    </row>
    <row r="17497" spans="1:5" x14ac:dyDescent="0.25">
      <c r="A17497" t="s">
        <v>4</v>
      </c>
      <c r="B17497" t="s">
        <v>4111</v>
      </c>
      <c r="C17497" t="s">
        <v>23490</v>
      </c>
      <c r="D17497" t="str">
        <f>HYPERLINK("https://rhld.insurance.arkansas.gov/NPILookup?Npi=1093963860","1093963860")</f>
        <v>1093963860</v>
      </c>
      <c r="E17497" t="s">
        <v>4296</v>
      </c>
    </row>
    <row r="17498" spans="1:5" x14ac:dyDescent="0.25">
      <c r="A17498" t="s">
        <v>4</v>
      </c>
      <c r="B17498" t="s">
        <v>4111</v>
      </c>
      <c r="C17498" t="s">
        <v>23490</v>
      </c>
      <c r="D17498" t="str">
        <f>HYPERLINK("https://rhld.insurance.arkansas.gov/NPILookup?Npi=1104015668","1104015668")</f>
        <v>1104015668</v>
      </c>
      <c r="E17498" t="s">
        <v>13939</v>
      </c>
    </row>
    <row r="17499" spans="1:5" x14ac:dyDescent="0.25">
      <c r="A17499" t="s">
        <v>4</v>
      </c>
      <c r="B17499" t="s">
        <v>4111</v>
      </c>
      <c r="C17499" t="s">
        <v>23490</v>
      </c>
      <c r="D17499" t="str">
        <f>HYPERLINK("https://rhld.insurance.arkansas.gov/NPILookup?Npi=1104032127","1104032127")</f>
        <v>1104032127</v>
      </c>
      <c r="E17499" t="s">
        <v>13075</v>
      </c>
    </row>
    <row r="17500" spans="1:5" x14ac:dyDescent="0.25">
      <c r="A17500" t="s">
        <v>4</v>
      </c>
      <c r="B17500" t="s">
        <v>4111</v>
      </c>
      <c r="C17500" t="s">
        <v>23490</v>
      </c>
      <c r="D17500" t="str">
        <f>HYPERLINK("https://rhld.insurance.arkansas.gov/NPILookup?Npi=1104036250","1104036250")</f>
        <v>1104036250</v>
      </c>
      <c r="E17500" t="s">
        <v>4297</v>
      </c>
    </row>
    <row r="17501" spans="1:5" x14ac:dyDescent="0.25">
      <c r="A17501" t="s">
        <v>4</v>
      </c>
      <c r="B17501" t="s">
        <v>4111</v>
      </c>
      <c r="C17501" t="s">
        <v>23490</v>
      </c>
      <c r="D17501" t="str">
        <f>HYPERLINK("https://rhld.insurance.arkansas.gov/NPILookup?Npi=1104062868","1104062868")</f>
        <v>1104062868</v>
      </c>
      <c r="E17501" t="s">
        <v>4298</v>
      </c>
    </row>
    <row r="17502" spans="1:5" x14ac:dyDescent="0.25">
      <c r="A17502" t="s">
        <v>4</v>
      </c>
      <c r="B17502" t="s">
        <v>4111</v>
      </c>
      <c r="C17502" t="s">
        <v>23490</v>
      </c>
      <c r="D17502" t="str">
        <f>HYPERLINK("https://rhld.insurance.arkansas.gov/NPILookup?Npi=1104066299","1104066299")</f>
        <v>1104066299</v>
      </c>
      <c r="E17502" t="s">
        <v>13940</v>
      </c>
    </row>
    <row r="17503" spans="1:5" x14ac:dyDescent="0.25">
      <c r="A17503" t="s">
        <v>4</v>
      </c>
      <c r="B17503" t="s">
        <v>4111</v>
      </c>
      <c r="C17503" t="s">
        <v>23490</v>
      </c>
      <c r="D17503" t="str">
        <f>HYPERLINK("https://rhld.insurance.arkansas.gov/NPILookup?Npi=1104077437","1104077437")</f>
        <v>1104077437</v>
      </c>
      <c r="E17503" t="s">
        <v>17102</v>
      </c>
    </row>
    <row r="17504" spans="1:5" x14ac:dyDescent="0.25">
      <c r="A17504" t="s">
        <v>4</v>
      </c>
      <c r="B17504" t="s">
        <v>4111</v>
      </c>
      <c r="C17504" t="s">
        <v>23490</v>
      </c>
      <c r="D17504" t="str">
        <f>HYPERLINK("https://rhld.insurance.arkansas.gov/NPILookup?Npi=1104100072","1104100072")</f>
        <v>1104100072</v>
      </c>
      <c r="E17504" t="s">
        <v>4299</v>
      </c>
    </row>
    <row r="17505" spans="1:5" x14ac:dyDescent="0.25">
      <c r="A17505" t="s">
        <v>4</v>
      </c>
      <c r="B17505" t="s">
        <v>4111</v>
      </c>
      <c r="C17505" t="s">
        <v>23490</v>
      </c>
      <c r="D17505" t="str">
        <f>HYPERLINK("https://rhld.insurance.arkansas.gov/NPILookup?Npi=1104121896","1104121896")</f>
        <v>1104121896</v>
      </c>
      <c r="E17505" t="s">
        <v>4300</v>
      </c>
    </row>
    <row r="17506" spans="1:5" x14ac:dyDescent="0.25">
      <c r="A17506" t="s">
        <v>4</v>
      </c>
      <c r="B17506" t="s">
        <v>4111</v>
      </c>
      <c r="C17506" t="s">
        <v>23490</v>
      </c>
      <c r="D17506" t="str">
        <f>HYPERLINK("https://rhld.insurance.arkansas.gov/NPILookup?Npi=1104138015","1104138015")</f>
        <v>1104138015</v>
      </c>
      <c r="E17506" t="s">
        <v>4301</v>
      </c>
    </row>
    <row r="17507" spans="1:5" x14ac:dyDescent="0.25">
      <c r="A17507" t="s">
        <v>4</v>
      </c>
      <c r="B17507" t="s">
        <v>4111</v>
      </c>
      <c r="C17507" t="s">
        <v>23490</v>
      </c>
      <c r="D17507" t="str">
        <f>HYPERLINK("https://rhld.insurance.arkansas.gov/NPILookup?Npi=1104150978","1104150978")</f>
        <v>1104150978</v>
      </c>
      <c r="E17507" t="s">
        <v>4302</v>
      </c>
    </row>
    <row r="17508" spans="1:5" x14ac:dyDescent="0.25">
      <c r="A17508" t="s">
        <v>4</v>
      </c>
      <c r="B17508" t="s">
        <v>4111</v>
      </c>
      <c r="C17508" t="s">
        <v>23490</v>
      </c>
      <c r="D17508" t="str">
        <f>HYPERLINK("https://rhld.insurance.arkansas.gov/NPILookup?Npi=1104199124","1104199124")</f>
        <v>1104199124</v>
      </c>
      <c r="E17508" t="s">
        <v>20342</v>
      </c>
    </row>
    <row r="17509" spans="1:5" x14ac:dyDescent="0.25">
      <c r="A17509" t="s">
        <v>4</v>
      </c>
      <c r="B17509" t="s">
        <v>4111</v>
      </c>
      <c r="C17509" t="s">
        <v>23490</v>
      </c>
      <c r="D17509" t="str">
        <f>HYPERLINK("https://rhld.insurance.arkansas.gov/NPILookup?Npi=1104200328","1104200328")</f>
        <v>1104200328</v>
      </c>
      <c r="E17509" t="s">
        <v>18256</v>
      </c>
    </row>
    <row r="17510" spans="1:5" x14ac:dyDescent="0.25">
      <c r="A17510" t="s">
        <v>4</v>
      </c>
      <c r="B17510" t="s">
        <v>4111</v>
      </c>
      <c r="C17510" t="s">
        <v>23490</v>
      </c>
      <c r="D17510" t="str">
        <f>HYPERLINK("https://rhld.insurance.arkansas.gov/NPILookup?Npi=1104213842","1104213842")</f>
        <v>1104213842</v>
      </c>
      <c r="E17510" t="s">
        <v>21369</v>
      </c>
    </row>
    <row r="17511" spans="1:5" x14ac:dyDescent="0.25">
      <c r="A17511" t="s">
        <v>4</v>
      </c>
      <c r="B17511" t="s">
        <v>4111</v>
      </c>
      <c r="C17511" t="s">
        <v>8427</v>
      </c>
      <c r="D17511" t="str">
        <f>HYPERLINK("https://rhld.insurance.arkansas.gov/NPILookup?Npi=1104215557","1104215557")</f>
        <v>1104215557</v>
      </c>
      <c r="E17511" t="s">
        <v>23043</v>
      </c>
    </row>
    <row r="17512" spans="1:5" x14ac:dyDescent="0.25">
      <c r="A17512" t="s">
        <v>4</v>
      </c>
      <c r="B17512" t="s">
        <v>4111</v>
      </c>
      <c r="C17512" t="s">
        <v>23490</v>
      </c>
      <c r="D17512" t="str">
        <f>HYPERLINK("https://rhld.insurance.arkansas.gov/NPILookup?Npi=1104229871","1104229871")</f>
        <v>1104229871</v>
      </c>
      <c r="E17512" t="s">
        <v>4303</v>
      </c>
    </row>
    <row r="17513" spans="1:5" x14ac:dyDescent="0.25">
      <c r="A17513" t="s">
        <v>4</v>
      </c>
      <c r="B17513" t="s">
        <v>4111</v>
      </c>
      <c r="C17513" t="s">
        <v>23490</v>
      </c>
      <c r="D17513" t="str">
        <f>HYPERLINK("https://rhld.insurance.arkansas.gov/NPILookup?Npi=1104234004","1104234004")</f>
        <v>1104234004</v>
      </c>
      <c r="E17513" t="s">
        <v>11531</v>
      </c>
    </row>
    <row r="17514" spans="1:5" x14ac:dyDescent="0.25">
      <c r="A17514" t="s">
        <v>4</v>
      </c>
      <c r="B17514" t="s">
        <v>4111</v>
      </c>
      <c r="C17514" t="s">
        <v>23490</v>
      </c>
      <c r="D17514" t="str">
        <f>HYPERLINK("https://rhld.insurance.arkansas.gov/NPILookup?Npi=1104242742","1104242742")</f>
        <v>1104242742</v>
      </c>
      <c r="E17514" t="s">
        <v>9753</v>
      </c>
    </row>
    <row r="17515" spans="1:5" x14ac:dyDescent="0.25">
      <c r="A17515" t="s">
        <v>4</v>
      </c>
      <c r="B17515" t="s">
        <v>4111</v>
      </c>
      <c r="C17515" t="s">
        <v>23490</v>
      </c>
      <c r="D17515" t="str">
        <f>HYPERLINK("https://rhld.insurance.arkansas.gov/NPILookup?Npi=1104246867","1104246867")</f>
        <v>1104246867</v>
      </c>
      <c r="E17515" t="s">
        <v>13941</v>
      </c>
    </row>
    <row r="17516" spans="1:5" x14ac:dyDescent="0.25">
      <c r="A17516" t="s">
        <v>4</v>
      </c>
      <c r="B17516" t="s">
        <v>4111</v>
      </c>
      <c r="C17516" t="s">
        <v>23490</v>
      </c>
      <c r="D17516" t="str">
        <f>HYPERLINK("https://rhld.insurance.arkansas.gov/NPILookup?Npi=1104251180","1104251180")</f>
        <v>1104251180</v>
      </c>
      <c r="E17516" t="s">
        <v>13942</v>
      </c>
    </row>
    <row r="17517" spans="1:5" x14ac:dyDescent="0.25">
      <c r="A17517" t="s">
        <v>4</v>
      </c>
      <c r="B17517" t="s">
        <v>4111</v>
      </c>
      <c r="C17517" t="s">
        <v>23490</v>
      </c>
      <c r="D17517" t="str">
        <f>HYPERLINK("https://rhld.insurance.arkansas.gov/NPILookup?Npi=1104265651","1104265651")</f>
        <v>1104265651</v>
      </c>
      <c r="E17517" t="s">
        <v>18257</v>
      </c>
    </row>
    <row r="17518" spans="1:5" x14ac:dyDescent="0.25">
      <c r="A17518" t="s">
        <v>4</v>
      </c>
      <c r="B17518" t="s">
        <v>4111</v>
      </c>
      <c r="C17518" t="s">
        <v>23490</v>
      </c>
      <c r="D17518" t="str">
        <f>HYPERLINK("https://rhld.insurance.arkansas.gov/NPILookup?Npi=1104272616","1104272616")</f>
        <v>1104272616</v>
      </c>
      <c r="E17518" t="s">
        <v>13943</v>
      </c>
    </row>
    <row r="17519" spans="1:5" x14ac:dyDescent="0.25">
      <c r="A17519" t="s">
        <v>4</v>
      </c>
      <c r="B17519" t="s">
        <v>4111</v>
      </c>
      <c r="C17519" t="s">
        <v>23490</v>
      </c>
      <c r="D17519" t="str">
        <f>HYPERLINK("https://rhld.insurance.arkansas.gov/NPILookup?Npi=1104288471","1104288471")</f>
        <v>1104288471</v>
      </c>
      <c r="E17519" t="s">
        <v>11532</v>
      </c>
    </row>
    <row r="17520" spans="1:5" x14ac:dyDescent="0.25">
      <c r="A17520" t="s">
        <v>4</v>
      </c>
      <c r="B17520" t="s">
        <v>4111</v>
      </c>
      <c r="C17520" t="s">
        <v>23490</v>
      </c>
      <c r="D17520" t="str">
        <f>HYPERLINK("https://rhld.insurance.arkansas.gov/NPILookup?Npi=1104296078","1104296078")</f>
        <v>1104296078</v>
      </c>
      <c r="E17520" t="s">
        <v>5123</v>
      </c>
    </row>
    <row r="17521" spans="1:5" x14ac:dyDescent="0.25">
      <c r="A17521" t="s">
        <v>4</v>
      </c>
      <c r="B17521" t="s">
        <v>4111</v>
      </c>
      <c r="C17521" t="s">
        <v>23490</v>
      </c>
      <c r="D17521" t="str">
        <f>HYPERLINK("https://rhld.insurance.arkansas.gov/NPILookup?Npi=1104303338","1104303338")</f>
        <v>1104303338</v>
      </c>
      <c r="E17521" t="s">
        <v>15977</v>
      </c>
    </row>
    <row r="17522" spans="1:5" x14ac:dyDescent="0.25">
      <c r="A17522" t="s">
        <v>4</v>
      </c>
      <c r="B17522" t="s">
        <v>4111</v>
      </c>
      <c r="C17522" t="s">
        <v>23490</v>
      </c>
      <c r="D17522" t="str">
        <f>HYPERLINK("https://rhld.insurance.arkansas.gov/NPILookup?Npi=1104306059","1104306059")</f>
        <v>1104306059</v>
      </c>
      <c r="E17522" t="s">
        <v>21843</v>
      </c>
    </row>
    <row r="17523" spans="1:5" x14ac:dyDescent="0.25">
      <c r="A17523" t="s">
        <v>4</v>
      </c>
      <c r="B17523" t="s">
        <v>4111</v>
      </c>
      <c r="C17523" t="s">
        <v>23490</v>
      </c>
      <c r="D17523" t="str">
        <f>HYPERLINK("https://rhld.insurance.arkansas.gov/NPILookup?Npi=1104309178","1104309178")</f>
        <v>1104309178</v>
      </c>
      <c r="E17523" t="s">
        <v>15978</v>
      </c>
    </row>
    <row r="17524" spans="1:5" x14ac:dyDescent="0.25">
      <c r="A17524" t="s">
        <v>4</v>
      </c>
      <c r="B17524" t="s">
        <v>4111</v>
      </c>
      <c r="C17524" t="s">
        <v>23490</v>
      </c>
      <c r="D17524" t="str">
        <f>HYPERLINK("https://rhld.insurance.arkansas.gov/NPILookup?Npi=1104312420","1104312420")</f>
        <v>1104312420</v>
      </c>
      <c r="E17524" t="s">
        <v>13944</v>
      </c>
    </row>
    <row r="17525" spans="1:5" x14ac:dyDescent="0.25">
      <c r="A17525" t="s">
        <v>4</v>
      </c>
      <c r="B17525" t="s">
        <v>4111</v>
      </c>
      <c r="C17525" t="s">
        <v>23490</v>
      </c>
      <c r="D17525" t="str">
        <f>HYPERLINK("https://rhld.insurance.arkansas.gov/NPILookup?Npi=1104336981","1104336981")</f>
        <v>1104336981</v>
      </c>
      <c r="E17525" t="s">
        <v>18944</v>
      </c>
    </row>
    <row r="17526" spans="1:5" x14ac:dyDescent="0.25">
      <c r="A17526" t="s">
        <v>4</v>
      </c>
      <c r="B17526" t="s">
        <v>4111</v>
      </c>
      <c r="C17526" t="s">
        <v>23490</v>
      </c>
      <c r="D17526" t="str">
        <f>HYPERLINK("https://rhld.insurance.arkansas.gov/NPILookup?Npi=1104340975","1104340975")</f>
        <v>1104340975</v>
      </c>
      <c r="E17526" t="s">
        <v>17535</v>
      </c>
    </row>
    <row r="17527" spans="1:5" x14ac:dyDescent="0.25">
      <c r="A17527" t="s">
        <v>4</v>
      </c>
      <c r="B17527" t="s">
        <v>4111</v>
      </c>
      <c r="C17527" t="s">
        <v>23490</v>
      </c>
      <c r="D17527" t="str">
        <f>HYPERLINK("https://rhld.insurance.arkansas.gov/NPILookup?Npi=1104342278","1104342278")</f>
        <v>1104342278</v>
      </c>
      <c r="E17527" t="s">
        <v>15979</v>
      </c>
    </row>
    <row r="17528" spans="1:5" x14ac:dyDescent="0.25">
      <c r="A17528" t="s">
        <v>4</v>
      </c>
      <c r="B17528" t="s">
        <v>4111</v>
      </c>
      <c r="C17528" t="s">
        <v>23490</v>
      </c>
      <c r="D17528" t="str">
        <f>HYPERLINK("https://rhld.insurance.arkansas.gov/NPILookup?Npi=1104371202","1104371202")</f>
        <v>1104371202</v>
      </c>
      <c r="E17528" t="s">
        <v>17536</v>
      </c>
    </row>
    <row r="17529" spans="1:5" x14ac:dyDescent="0.25">
      <c r="A17529" t="s">
        <v>4</v>
      </c>
      <c r="B17529" t="s">
        <v>4111</v>
      </c>
      <c r="C17529" t="s">
        <v>23490</v>
      </c>
      <c r="D17529" t="str">
        <f>HYPERLINK("https://rhld.insurance.arkansas.gov/NPILookup?Npi=1104382712","1104382712")</f>
        <v>1104382712</v>
      </c>
      <c r="E17529" t="s">
        <v>20343</v>
      </c>
    </row>
    <row r="17530" spans="1:5" x14ac:dyDescent="0.25">
      <c r="A17530" t="s">
        <v>4</v>
      </c>
      <c r="B17530" t="s">
        <v>4111</v>
      </c>
      <c r="C17530" t="s">
        <v>23490</v>
      </c>
      <c r="D17530" t="str">
        <f>HYPERLINK("https://rhld.insurance.arkansas.gov/NPILookup?Npi=1104401025","1104401025")</f>
        <v>1104401025</v>
      </c>
      <c r="E17530" t="s">
        <v>17858</v>
      </c>
    </row>
    <row r="17531" spans="1:5" x14ac:dyDescent="0.25">
      <c r="A17531" t="s">
        <v>4</v>
      </c>
      <c r="B17531" t="s">
        <v>4111</v>
      </c>
      <c r="C17531" t="s">
        <v>23490</v>
      </c>
      <c r="D17531" t="str">
        <f>HYPERLINK("https://rhld.insurance.arkansas.gov/NPILookup?Npi=1104459114","1104459114")</f>
        <v>1104459114</v>
      </c>
      <c r="E17531" t="s">
        <v>20344</v>
      </c>
    </row>
    <row r="17532" spans="1:5" x14ac:dyDescent="0.25">
      <c r="A17532" t="s">
        <v>4</v>
      </c>
      <c r="B17532" t="s">
        <v>4111</v>
      </c>
      <c r="C17532" t="s">
        <v>23490</v>
      </c>
      <c r="D17532" t="str">
        <f>HYPERLINK("https://rhld.insurance.arkansas.gov/NPILookup?Npi=1104464445","1104464445")</f>
        <v>1104464445</v>
      </c>
      <c r="E17532" t="s">
        <v>18258</v>
      </c>
    </row>
    <row r="17533" spans="1:5" x14ac:dyDescent="0.25">
      <c r="A17533" t="s">
        <v>4</v>
      </c>
      <c r="B17533" t="s">
        <v>4111</v>
      </c>
      <c r="C17533" t="s">
        <v>23490</v>
      </c>
      <c r="D17533" t="str">
        <f>HYPERLINK("https://rhld.insurance.arkansas.gov/NPILookup?Npi=1104465293","1104465293")</f>
        <v>1104465293</v>
      </c>
      <c r="E17533" t="s">
        <v>21844</v>
      </c>
    </row>
    <row r="17534" spans="1:5" x14ac:dyDescent="0.25">
      <c r="A17534" t="s">
        <v>4</v>
      </c>
      <c r="B17534" t="s">
        <v>4111</v>
      </c>
      <c r="C17534" t="s">
        <v>23490</v>
      </c>
      <c r="D17534" t="str">
        <f>HYPERLINK("https://rhld.insurance.arkansas.gov/NPILookup?Npi=1104473198","1104473198")</f>
        <v>1104473198</v>
      </c>
      <c r="E17534" t="s">
        <v>15980</v>
      </c>
    </row>
    <row r="17535" spans="1:5" x14ac:dyDescent="0.25">
      <c r="A17535" t="s">
        <v>4</v>
      </c>
      <c r="B17535" t="s">
        <v>4111</v>
      </c>
      <c r="C17535" t="s">
        <v>23490</v>
      </c>
      <c r="D17535" t="str">
        <f>HYPERLINK("https://rhld.insurance.arkansas.gov/NPILookup?Npi=1104540483","1104540483")</f>
        <v>1104540483</v>
      </c>
      <c r="E17535" t="s">
        <v>21845</v>
      </c>
    </row>
    <row r="17536" spans="1:5" x14ac:dyDescent="0.25">
      <c r="A17536" t="s">
        <v>4</v>
      </c>
      <c r="B17536" t="s">
        <v>4111</v>
      </c>
      <c r="C17536" t="s">
        <v>23490</v>
      </c>
      <c r="D17536" t="str">
        <f>HYPERLINK("https://rhld.insurance.arkansas.gov/NPILookup?Npi=1104562289","1104562289")</f>
        <v>1104562289</v>
      </c>
      <c r="E17536" t="s">
        <v>21846</v>
      </c>
    </row>
    <row r="17537" spans="1:5" x14ac:dyDescent="0.25">
      <c r="A17537" t="s">
        <v>4</v>
      </c>
      <c r="B17537" t="s">
        <v>4111</v>
      </c>
      <c r="C17537" t="s">
        <v>23490</v>
      </c>
      <c r="D17537" t="str">
        <f>HYPERLINK("https://rhld.insurance.arkansas.gov/NPILookup?Npi=1104807635","1104807635")</f>
        <v>1104807635</v>
      </c>
      <c r="E17537" t="s">
        <v>11533</v>
      </c>
    </row>
    <row r="17538" spans="1:5" x14ac:dyDescent="0.25">
      <c r="A17538" t="s">
        <v>4</v>
      </c>
      <c r="B17538" t="s">
        <v>4111</v>
      </c>
      <c r="C17538" t="s">
        <v>23490</v>
      </c>
      <c r="D17538" t="str">
        <f>HYPERLINK("https://rhld.insurance.arkansas.gov/NPILookup?Npi=1104855527","1104855527")</f>
        <v>1104855527</v>
      </c>
      <c r="E17538" t="s">
        <v>4305</v>
      </c>
    </row>
    <row r="17539" spans="1:5" x14ac:dyDescent="0.25">
      <c r="A17539" t="s">
        <v>4</v>
      </c>
      <c r="B17539" t="s">
        <v>4111</v>
      </c>
      <c r="C17539" t="s">
        <v>23490</v>
      </c>
      <c r="D17539" t="str">
        <f>HYPERLINK("https://rhld.insurance.arkansas.gov/NPILookup?Npi=1104874056","1104874056")</f>
        <v>1104874056</v>
      </c>
      <c r="E17539" t="s">
        <v>9018</v>
      </c>
    </row>
    <row r="17540" spans="1:5" x14ac:dyDescent="0.25">
      <c r="A17540" t="s">
        <v>4</v>
      </c>
      <c r="B17540" t="s">
        <v>4111</v>
      </c>
      <c r="C17540" t="s">
        <v>23490</v>
      </c>
      <c r="D17540" t="str">
        <f>HYPERLINK("https://rhld.insurance.arkansas.gov/NPILookup?Npi=1104876341","1104876341")</f>
        <v>1104876341</v>
      </c>
      <c r="E17540" t="s">
        <v>4306</v>
      </c>
    </row>
    <row r="17541" spans="1:5" x14ac:dyDescent="0.25">
      <c r="A17541" t="s">
        <v>4</v>
      </c>
      <c r="B17541" t="s">
        <v>4111</v>
      </c>
      <c r="C17541" t="s">
        <v>23490</v>
      </c>
      <c r="D17541" t="str">
        <f>HYPERLINK("https://rhld.insurance.arkansas.gov/NPILookup?Npi=1104907302","1104907302")</f>
        <v>1104907302</v>
      </c>
      <c r="E17541" t="s">
        <v>21847</v>
      </c>
    </row>
    <row r="17542" spans="1:5" x14ac:dyDescent="0.25">
      <c r="A17542" t="s">
        <v>4</v>
      </c>
      <c r="B17542" t="s">
        <v>4111</v>
      </c>
      <c r="C17542" t="s">
        <v>23490</v>
      </c>
      <c r="D17542" t="str">
        <f>HYPERLINK("https://rhld.insurance.arkansas.gov/NPILookup?Npi=1104912690","1104912690")</f>
        <v>1104912690</v>
      </c>
      <c r="E17542" t="s">
        <v>4307</v>
      </c>
    </row>
    <row r="17543" spans="1:5" x14ac:dyDescent="0.25">
      <c r="A17543" t="s">
        <v>4</v>
      </c>
      <c r="B17543" t="s">
        <v>4111</v>
      </c>
      <c r="C17543" t="s">
        <v>23490</v>
      </c>
      <c r="D17543" t="str">
        <f>HYPERLINK("https://rhld.insurance.arkansas.gov/NPILookup?Npi=1104944883","1104944883")</f>
        <v>1104944883</v>
      </c>
      <c r="E17543" t="s">
        <v>21848</v>
      </c>
    </row>
    <row r="17544" spans="1:5" x14ac:dyDescent="0.25">
      <c r="A17544" t="s">
        <v>4</v>
      </c>
      <c r="B17544" t="s">
        <v>4111</v>
      </c>
      <c r="C17544" t="s">
        <v>23490</v>
      </c>
      <c r="D17544" t="str">
        <f>HYPERLINK("https://rhld.insurance.arkansas.gov/NPILookup?Npi=1104953926","1104953926")</f>
        <v>1104953926</v>
      </c>
      <c r="E17544" t="s">
        <v>4308</v>
      </c>
    </row>
    <row r="17545" spans="1:5" x14ac:dyDescent="0.25">
      <c r="A17545" t="s">
        <v>4</v>
      </c>
      <c r="B17545" t="s">
        <v>4111</v>
      </c>
      <c r="C17545" t="s">
        <v>23490</v>
      </c>
      <c r="D17545" t="str">
        <f>HYPERLINK("https://rhld.insurance.arkansas.gov/NPILookup?Npi=1104955814","1104955814")</f>
        <v>1104955814</v>
      </c>
      <c r="E17545" t="s">
        <v>18259</v>
      </c>
    </row>
    <row r="17546" spans="1:5" x14ac:dyDescent="0.25">
      <c r="A17546" t="s">
        <v>4</v>
      </c>
      <c r="B17546" t="s">
        <v>4111</v>
      </c>
      <c r="C17546" t="s">
        <v>23490</v>
      </c>
      <c r="D17546" t="str">
        <f>HYPERLINK("https://rhld.insurance.arkansas.gov/NPILookup?Npi=1104957414","1104957414")</f>
        <v>1104957414</v>
      </c>
      <c r="E17546" t="s">
        <v>4309</v>
      </c>
    </row>
    <row r="17547" spans="1:5" x14ac:dyDescent="0.25">
      <c r="A17547" t="s">
        <v>4</v>
      </c>
      <c r="B17547" t="s">
        <v>4111</v>
      </c>
      <c r="C17547" t="s">
        <v>23490</v>
      </c>
      <c r="D17547" t="str">
        <f>HYPERLINK("https://rhld.insurance.arkansas.gov/NPILookup?Npi=1104989862","1104989862")</f>
        <v>1104989862</v>
      </c>
      <c r="E17547" t="s">
        <v>8489</v>
      </c>
    </row>
    <row r="17548" spans="1:5" x14ac:dyDescent="0.25">
      <c r="A17548" t="s">
        <v>4</v>
      </c>
      <c r="B17548" t="s">
        <v>4111</v>
      </c>
      <c r="C17548" t="s">
        <v>8427</v>
      </c>
      <c r="D17548" t="str">
        <f>HYPERLINK("https://rhld.insurance.arkansas.gov/NPILookup?Npi=1104995547","1104995547")</f>
        <v>1104995547</v>
      </c>
      <c r="E17548" t="s">
        <v>23044</v>
      </c>
    </row>
    <row r="17549" spans="1:5" x14ac:dyDescent="0.25">
      <c r="A17549" t="s">
        <v>4</v>
      </c>
      <c r="B17549" t="s">
        <v>4111</v>
      </c>
      <c r="C17549" t="s">
        <v>23490</v>
      </c>
      <c r="D17549" t="str">
        <f>HYPERLINK("https://rhld.insurance.arkansas.gov/NPILookup?Npi=1104995695","1104995695")</f>
        <v>1104995695</v>
      </c>
      <c r="E17549" t="s">
        <v>21849</v>
      </c>
    </row>
    <row r="17550" spans="1:5" x14ac:dyDescent="0.25">
      <c r="A17550" t="s">
        <v>4</v>
      </c>
      <c r="B17550" t="s">
        <v>4111</v>
      </c>
      <c r="C17550" t="s">
        <v>23490</v>
      </c>
      <c r="D17550" t="str">
        <f>HYPERLINK("https://rhld.insurance.arkansas.gov/NPILookup?Npi=1114003480","1114003480")</f>
        <v>1114003480</v>
      </c>
      <c r="E17550" t="s">
        <v>17103</v>
      </c>
    </row>
    <row r="17551" spans="1:5" x14ac:dyDescent="0.25">
      <c r="A17551" t="s">
        <v>4</v>
      </c>
      <c r="B17551" t="s">
        <v>4111</v>
      </c>
      <c r="C17551" t="s">
        <v>23490</v>
      </c>
      <c r="D17551" t="str">
        <f>HYPERLINK("https://rhld.insurance.arkansas.gov/NPILookup?Npi=1114018876","1114018876")</f>
        <v>1114018876</v>
      </c>
      <c r="E17551" t="s">
        <v>4310</v>
      </c>
    </row>
    <row r="17552" spans="1:5" x14ac:dyDescent="0.25">
      <c r="A17552" t="s">
        <v>4</v>
      </c>
      <c r="B17552" t="s">
        <v>4111</v>
      </c>
      <c r="C17552" t="s">
        <v>23490</v>
      </c>
      <c r="D17552" t="str">
        <f>HYPERLINK("https://rhld.insurance.arkansas.gov/NPILookup?Npi=1114026762","1114026762")</f>
        <v>1114026762</v>
      </c>
      <c r="E17552" t="s">
        <v>4311</v>
      </c>
    </row>
    <row r="17553" spans="1:5" x14ac:dyDescent="0.25">
      <c r="A17553" t="s">
        <v>4</v>
      </c>
      <c r="B17553" t="s">
        <v>4111</v>
      </c>
      <c r="C17553" t="s">
        <v>23490</v>
      </c>
      <c r="D17553" t="str">
        <f>HYPERLINK("https://rhld.insurance.arkansas.gov/NPILookup?Npi=1114030277","1114030277")</f>
        <v>1114030277</v>
      </c>
      <c r="E17553" t="s">
        <v>13945</v>
      </c>
    </row>
    <row r="17554" spans="1:5" x14ac:dyDescent="0.25">
      <c r="A17554" t="s">
        <v>4</v>
      </c>
      <c r="B17554" t="s">
        <v>4111</v>
      </c>
      <c r="C17554" t="s">
        <v>23490</v>
      </c>
      <c r="D17554" t="str">
        <f>HYPERLINK("https://rhld.insurance.arkansas.gov/NPILookup?Npi=1114060944","1114060944")</f>
        <v>1114060944</v>
      </c>
      <c r="E17554" t="s">
        <v>21850</v>
      </c>
    </row>
    <row r="17555" spans="1:5" x14ac:dyDescent="0.25">
      <c r="A17555" t="s">
        <v>4</v>
      </c>
      <c r="B17555" t="s">
        <v>4111</v>
      </c>
      <c r="C17555" t="s">
        <v>23490</v>
      </c>
      <c r="D17555" t="str">
        <f>HYPERLINK("https://rhld.insurance.arkansas.gov/NPILookup?Npi=1114063765","1114063765")</f>
        <v>1114063765</v>
      </c>
      <c r="E17555" t="s">
        <v>13946</v>
      </c>
    </row>
    <row r="17556" spans="1:5" x14ac:dyDescent="0.25">
      <c r="A17556" t="s">
        <v>4</v>
      </c>
      <c r="B17556" t="s">
        <v>4111</v>
      </c>
      <c r="C17556" t="s">
        <v>23490</v>
      </c>
      <c r="D17556" t="str">
        <f>HYPERLINK("https://rhld.insurance.arkansas.gov/NPILookup?Npi=1114079795","1114079795")</f>
        <v>1114079795</v>
      </c>
      <c r="E17556" t="s">
        <v>4312</v>
      </c>
    </row>
    <row r="17557" spans="1:5" x14ac:dyDescent="0.25">
      <c r="A17557" t="s">
        <v>4</v>
      </c>
      <c r="B17557" t="s">
        <v>4111</v>
      </c>
      <c r="C17557" t="s">
        <v>23490</v>
      </c>
      <c r="D17557" t="str">
        <f>HYPERLINK("https://rhld.insurance.arkansas.gov/NPILookup?Npi=1114085537","1114085537")</f>
        <v>1114085537</v>
      </c>
      <c r="E17557" t="s">
        <v>20345</v>
      </c>
    </row>
    <row r="17558" spans="1:5" x14ac:dyDescent="0.25">
      <c r="A17558" t="s">
        <v>4</v>
      </c>
      <c r="B17558" t="s">
        <v>4111</v>
      </c>
      <c r="C17558" t="s">
        <v>23490</v>
      </c>
      <c r="D17558" t="str">
        <f>HYPERLINK("https://rhld.insurance.arkansas.gov/NPILookup?Npi=1114100328","1114100328")</f>
        <v>1114100328</v>
      </c>
      <c r="E17558" t="s">
        <v>4313</v>
      </c>
    </row>
    <row r="17559" spans="1:5" x14ac:dyDescent="0.25">
      <c r="A17559" t="s">
        <v>4</v>
      </c>
      <c r="B17559" t="s">
        <v>4111</v>
      </c>
      <c r="C17559" t="s">
        <v>23490</v>
      </c>
      <c r="D17559" t="str">
        <f>HYPERLINK("https://rhld.insurance.arkansas.gov/NPILookup?Npi=1114109733","1114109733")</f>
        <v>1114109733</v>
      </c>
      <c r="E17559" t="s">
        <v>4314</v>
      </c>
    </row>
    <row r="17560" spans="1:5" x14ac:dyDescent="0.25">
      <c r="A17560" t="s">
        <v>4</v>
      </c>
      <c r="B17560" t="s">
        <v>4111</v>
      </c>
      <c r="C17560" t="s">
        <v>23490</v>
      </c>
      <c r="D17560" t="str">
        <f>HYPERLINK("https://rhld.insurance.arkansas.gov/NPILookup?Npi=1114129178","1114129178")</f>
        <v>1114129178</v>
      </c>
      <c r="E17560" t="s">
        <v>4315</v>
      </c>
    </row>
    <row r="17561" spans="1:5" x14ac:dyDescent="0.25">
      <c r="A17561" t="s">
        <v>4</v>
      </c>
      <c r="B17561" t="s">
        <v>4111</v>
      </c>
      <c r="C17561" t="s">
        <v>23490</v>
      </c>
      <c r="D17561" t="str">
        <f>HYPERLINK("https://rhld.insurance.arkansas.gov/NPILookup?Npi=1114152907","1114152907")</f>
        <v>1114152907</v>
      </c>
      <c r="E17561" t="s">
        <v>20346</v>
      </c>
    </row>
    <row r="17562" spans="1:5" x14ac:dyDescent="0.25">
      <c r="A17562" t="s">
        <v>4</v>
      </c>
      <c r="B17562" t="s">
        <v>4111</v>
      </c>
      <c r="C17562" t="s">
        <v>23490</v>
      </c>
      <c r="D17562" t="str">
        <f>HYPERLINK("https://rhld.insurance.arkansas.gov/NPILookup?Npi=1114167731","1114167731")</f>
        <v>1114167731</v>
      </c>
      <c r="E17562" t="s">
        <v>4316</v>
      </c>
    </row>
    <row r="17563" spans="1:5" x14ac:dyDescent="0.25">
      <c r="A17563" t="s">
        <v>4</v>
      </c>
      <c r="B17563" t="s">
        <v>4111</v>
      </c>
      <c r="C17563" t="s">
        <v>23490</v>
      </c>
      <c r="D17563" t="str">
        <f>HYPERLINK("https://rhld.insurance.arkansas.gov/NPILookup?Npi=1114170057","1114170057")</f>
        <v>1114170057</v>
      </c>
      <c r="E17563" t="s">
        <v>4317</v>
      </c>
    </row>
    <row r="17564" spans="1:5" x14ac:dyDescent="0.25">
      <c r="A17564" t="s">
        <v>4</v>
      </c>
      <c r="B17564" t="s">
        <v>4111</v>
      </c>
      <c r="C17564" t="s">
        <v>23490</v>
      </c>
      <c r="D17564" t="str">
        <f>HYPERLINK("https://rhld.insurance.arkansas.gov/NPILookup?Npi=1114175445","1114175445")</f>
        <v>1114175445</v>
      </c>
      <c r="E17564" t="s">
        <v>13947</v>
      </c>
    </row>
    <row r="17565" spans="1:5" x14ac:dyDescent="0.25">
      <c r="A17565" t="s">
        <v>4</v>
      </c>
      <c r="B17565" t="s">
        <v>4111</v>
      </c>
      <c r="C17565" t="s">
        <v>23490</v>
      </c>
      <c r="D17565" t="str">
        <f>HYPERLINK("https://rhld.insurance.arkansas.gov/NPILookup?Npi=1114179934","1114179934")</f>
        <v>1114179934</v>
      </c>
      <c r="E17565" t="s">
        <v>20347</v>
      </c>
    </row>
    <row r="17566" spans="1:5" x14ac:dyDescent="0.25">
      <c r="A17566" t="s">
        <v>4</v>
      </c>
      <c r="B17566" t="s">
        <v>4111</v>
      </c>
      <c r="C17566" t="s">
        <v>23490</v>
      </c>
      <c r="D17566" t="str">
        <f>HYPERLINK("https://rhld.insurance.arkansas.gov/NPILookup?Npi=1114194644","1114194644")</f>
        <v>1114194644</v>
      </c>
      <c r="E17566" t="s">
        <v>20348</v>
      </c>
    </row>
    <row r="17567" spans="1:5" x14ac:dyDescent="0.25">
      <c r="A17567" t="s">
        <v>4</v>
      </c>
      <c r="B17567" t="s">
        <v>4111</v>
      </c>
      <c r="C17567" t="s">
        <v>23490</v>
      </c>
      <c r="D17567" t="str">
        <f>HYPERLINK("https://rhld.insurance.arkansas.gov/NPILookup?Npi=1114203353","1114203353")</f>
        <v>1114203353</v>
      </c>
      <c r="E17567" t="s">
        <v>13948</v>
      </c>
    </row>
    <row r="17568" spans="1:5" x14ac:dyDescent="0.25">
      <c r="A17568" t="s">
        <v>4</v>
      </c>
      <c r="B17568" t="s">
        <v>4111</v>
      </c>
      <c r="C17568" t="s">
        <v>23490</v>
      </c>
      <c r="D17568" t="str">
        <f>HYPERLINK("https://rhld.insurance.arkansas.gov/NPILookup?Npi=1114203874","1114203874")</f>
        <v>1114203874</v>
      </c>
      <c r="E17568" t="s">
        <v>17537</v>
      </c>
    </row>
    <row r="17569" spans="1:5" x14ac:dyDescent="0.25">
      <c r="A17569" t="s">
        <v>4</v>
      </c>
      <c r="B17569" t="s">
        <v>4111</v>
      </c>
      <c r="C17569" t="s">
        <v>23490</v>
      </c>
      <c r="D17569" t="str">
        <f>HYPERLINK("https://rhld.insurance.arkansas.gov/NPILookup?Npi=1114222932","1114222932")</f>
        <v>1114222932</v>
      </c>
      <c r="E17569" t="s">
        <v>13949</v>
      </c>
    </row>
    <row r="17570" spans="1:5" x14ac:dyDescent="0.25">
      <c r="A17570" t="s">
        <v>4</v>
      </c>
      <c r="B17570" t="s">
        <v>4111</v>
      </c>
      <c r="C17570" t="s">
        <v>23490</v>
      </c>
      <c r="D17570" t="str">
        <f>HYPERLINK("https://rhld.insurance.arkansas.gov/NPILookup?Npi=1114233889","1114233889")</f>
        <v>1114233889</v>
      </c>
      <c r="E17570" t="s">
        <v>4318</v>
      </c>
    </row>
    <row r="17571" spans="1:5" x14ac:dyDescent="0.25">
      <c r="A17571" t="s">
        <v>4</v>
      </c>
      <c r="B17571" t="s">
        <v>4111</v>
      </c>
      <c r="C17571" t="s">
        <v>23490</v>
      </c>
      <c r="D17571" t="str">
        <f>HYPERLINK("https://rhld.insurance.arkansas.gov/NPILookup?Npi=1114236130","1114236130")</f>
        <v>1114236130</v>
      </c>
      <c r="E17571" t="s">
        <v>11534</v>
      </c>
    </row>
    <row r="17572" spans="1:5" x14ac:dyDescent="0.25">
      <c r="A17572" t="s">
        <v>4</v>
      </c>
      <c r="B17572" t="s">
        <v>4111</v>
      </c>
      <c r="C17572" t="s">
        <v>23490</v>
      </c>
      <c r="D17572" t="str">
        <f>HYPERLINK("https://rhld.insurance.arkansas.gov/NPILookup?Npi=1114264298","1114264298")</f>
        <v>1114264298</v>
      </c>
      <c r="E17572" t="s">
        <v>9019</v>
      </c>
    </row>
    <row r="17573" spans="1:5" x14ac:dyDescent="0.25">
      <c r="A17573" t="s">
        <v>4</v>
      </c>
      <c r="B17573" t="s">
        <v>4111</v>
      </c>
      <c r="C17573" t="s">
        <v>23490</v>
      </c>
      <c r="D17573" t="str">
        <f>HYPERLINK("https://rhld.insurance.arkansas.gov/NPILookup?Npi=1114264769","1114264769")</f>
        <v>1114264769</v>
      </c>
      <c r="E17573" t="s">
        <v>17104</v>
      </c>
    </row>
    <row r="17574" spans="1:5" x14ac:dyDescent="0.25">
      <c r="A17574" t="s">
        <v>4</v>
      </c>
      <c r="B17574" t="s">
        <v>4111</v>
      </c>
      <c r="C17574" t="s">
        <v>23490</v>
      </c>
      <c r="D17574" t="str">
        <f>HYPERLINK("https://rhld.insurance.arkansas.gov/NPILookup?Npi=1114288453","1114288453")</f>
        <v>1114288453</v>
      </c>
      <c r="E17574" t="s">
        <v>4319</v>
      </c>
    </row>
    <row r="17575" spans="1:5" x14ac:dyDescent="0.25">
      <c r="A17575" t="s">
        <v>4</v>
      </c>
      <c r="B17575" t="s">
        <v>4111</v>
      </c>
      <c r="C17575" t="s">
        <v>23490</v>
      </c>
      <c r="D17575" t="str">
        <f>HYPERLINK("https://rhld.insurance.arkansas.gov/NPILookup?Npi=1114307188","1114307188")</f>
        <v>1114307188</v>
      </c>
      <c r="E17575" t="s">
        <v>13950</v>
      </c>
    </row>
    <row r="17576" spans="1:5" x14ac:dyDescent="0.25">
      <c r="A17576" t="s">
        <v>4</v>
      </c>
      <c r="B17576" t="s">
        <v>4111</v>
      </c>
      <c r="C17576" t="s">
        <v>23490</v>
      </c>
      <c r="D17576" t="str">
        <f>HYPERLINK("https://rhld.insurance.arkansas.gov/NPILookup?Npi=1114310133","1114310133")</f>
        <v>1114310133</v>
      </c>
      <c r="E17576" t="s">
        <v>21851</v>
      </c>
    </row>
    <row r="17577" spans="1:5" x14ac:dyDescent="0.25">
      <c r="A17577" t="s">
        <v>4</v>
      </c>
      <c r="B17577" t="s">
        <v>4111</v>
      </c>
      <c r="C17577" t="s">
        <v>23490</v>
      </c>
      <c r="D17577" t="str">
        <f>HYPERLINK("https://rhld.insurance.arkansas.gov/NPILookup?Npi=1114324746","1114324746")</f>
        <v>1114324746</v>
      </c>
      <c r="E17577" t="s">
        <v>11535</v>
      </c>
    </row>
    <row r="17578" spans="1:5" x14ac:dyDescent="0.25">
      <c r="A17578" t="s">
        <v>4</v>
      </c>
      <c r="B17578" t="s">
        <v>4111</v>
      </c>
      <c r="C17578" t="s">
        <v>23490</v>
      </c>
      <c r="D17578" t="str">
        <f>HYPERLINK("https://rhld.insurance.arkansas.gov/NPILookup?Npi=1114330214","1114330214")</f>
        <v>1114330214</v>
      </c>
      <c r="E17578" t="s">
        <v>17538</v>
      </c>
    </row>
    <row r="17579" spans="1:5" x14ac:dyDescent="0.25">
      <c r="A17579" t="s">
        <v>4</v>
      </c>
      <c r="B17579" t="s">
        <v>4111</v>
      </c>
      <c r="C17579" t="s">
        <v>23490</v>
      </c>
      <c r="D17579" t="str">
        <f>HYPERLINK("https://rhld.insurance.arkansas.gov/NPILookup?Npi=1114333184","1114333184")</f>
        <v>1114333184</v>
      </c>
      <c r="E17579" t="s">
        <v>21852</v>
      </c>
    </row>
    <row r="17580" spans="1:5" x14ac:dyDescent="0.25">
      <c r="A17580" t="s">
        <v>4</v>
      </c>
      <c r="B17580" t="s">
        <v>4111</v>
      </c>
      <c r="C17580" t="s">
        <v>23490</v>
      </c>
      <c r="D17580" t="str">
        <f>HYPERLINK("https://rhld.insurance.arkansas.gov/NPILookup?Npi=1114334471","1114334471")</f>
        <v>1114334471</v>
      </c>
      <c r="E17580" t="s">
        <v>13951</v>
      </c>
    </row>
    <row r="17581" spans="1:5" x14ac:dyDescent="0.25">
      <c r="A17581" t="s">
        <v>4</v>
      </c>
      <c r="B17581" t="s">
        <v>4111</v>
      </c>
      <c r="C17581" t="s">
        <v>23490</v>
      </c>
      <c r="D17581" t="str">
        <f>HYPERLINK("https://rhld.insurance.arkansas.gov/NPILookup?Npi=1114338811","1114338811")</f>
        <v>1114338811</v>
      </c>
      <c r="E17581" t="s">
        <v>11536</v>
      </c>
    </row>
    <row r="17582" spans="1:5" x14ac:dyDescent="0.25">
      <c r="A17582" t="s">
        <v>4</v>
      </c>
      <c r="B17582" t="s">
        <v>4111</v>
      </c>
      <c r="C17582" t="s">
        <v>23490</v>
      </c>
      <c r="D17582" t="str">
        <f>HYPERLINK("https://rhld.insurance.arkansas.gov/NPILookup?Npi=1114391737","1114391737")</f>
        <v>1114391737</v>
      </c>
      <c r="E17582" t="s">
        <v>4320</v>
      </c>
    </row>
    <row r="17583" spans="1:5" x14ac:dyDescent="0.25">
      <c r="A17583" t="s">
        <v>4</v>
      </c>
      <c r="B17583" t="s">
        <v>4111</v>
      </c>
      <c r="C17583" t="s">
        <v>23490</v>
      </c>
      <c r="D17583" t="str">
        <f>HYPERLINK("https://rhld.insurance.arkansas.gov/NPILookup?Npi=1114392412","1114392412")</f>
        <v>1114392412</v>
      </c>
      <c r="E17583" t="s">
        <v>13952</v>
      </c>
    </row>
    <row r="17584" spans="1:5" x14ac:dyDescent="0.25">
      <c r="A17584" t="s">
        <v>4</v>
      </c>
      <c r="B17584" t="s">
        <v>4111</v>
      </c>
      <c r="C17584" t="s">
        <v>23490</v>
      </c>
      <c r="D17584" t="str">
        <f>HYPERLINK("https://rhld.insurance.arkansas.gov/NPILookup?Npi=1114395282","1114395282")</f>
        <v>1114395282</v>
      </c>
      <c r="E17584" t="s">
        <v>4321</v>
      </c>
    </row>
    <row r="17585" spans="1:5" x14ac:dyDescent="0.25">
      <c r="A17585" t="s">
        <v>4</v>
      </c>
      <c r="B17585" t="s">
        <v>4111</v>
      </c>
      <c r="C17585" t="s">
        <v>23490</v>
      </c>
      <c r="D17585" t="str">
        <f>HYPERLINK("https://rhld.insurance.arkansas.gov/NPILookup?Npi=1114402294","1114402294")</f>
        <v>1114402294</v>
      </c>
      <c r="E17585" t="s">
        <v>18260</v>
      </c>
    </row>
    <row r="17586" spans="1:5" x14ac:dyDescent="0.25">
      <c r="A17586" t="s">
        <v>4</v>
      </c>
      <c r="B17586" t="s">
        <v>4111</v>
      </c>
      <c r="C17586" t="s">
        <v>23490</v>
      </c>
      <c r="D17586" t="str">
        <f>HYPERLINK("https://rhld.insurance.arkansas.gov/NPILookup?Npi=1114409174","1114409174")</f>
        <v>1114409174</v>
      </c>
      <c r="E17586" t="s">
        <v>17105</v>
      </c>
    </row>
    <row r="17587" spans="1:5" x14ac:dyDescent="0.25">
      <c r="A17587" t="s">
        <v>4</v>
      </c>
      <c r="B17587" t="s">
        <v>4111</v>
      </c>
      <c r="C17587" t="s">
        <v>23490</v>
      </c>
      <c r="D17587" t="str">
        <f>HYPERLINK("https://rhld.insurance.arkansas.gov/NPILookup?Npi=1114437548","1114437548")</f>
        <v>1114437548</v>
      </c>
      <c r="E17587" t="s">
        <v>10671</v>
      </c>
    </row>
    <row r="17588" spans="1:5" x14ac:dyDescent="0.25">
      <c r="A17588" t="s">
        <v>4</v>
      </c>
      <c r="B17588" t="s">
        <v>4111</v>
      </c>
      <c r="C17588" t="s">
        <v>23490</v>
      </c>
      <c r="D17588" t="str">
        <f>HYPERLINK("https://rhld.insurance.arkansas.gov/NPILookup?Npi=1114460466","1114460466")</f>
        <v>1114460466</v>
      </c>
      <c r="E17588" t="s">
        <v>13953</v>
      </c>
    </row>
    <row r="17589" spans="1:5" x14ac:dyDescent="0.25">
      <c r="A17589" t="s">
        <v>4</v>
      </c>
      <c r="B17589" t="s">
        <v>4111</v>
      </c>
      <c r="C17589" t="s">
        <v>23490</v>
      </c>
      <c r="D17589" t="str">
        <f>HYPERLINK("https://rhld.insurance.arkansas.gov/NPILookup?Npi=1114473261","1114473261")</f>
        <v>1114473261</v>
      </c>
      <c r="E17589" t="s">
        <v>13954</v>
      </c>
    </row>
    <row r="17590" spans="1:5" x14ac:dyDescent="0.25">
      <c r="A17590" t="s">
        <v>4</v>
      </c>
      <c r="B17590" t="s">
        <v>4111</v>
      </c>
      <c r="C17590" t="s">
        <v>23490</v>
      </c>
      <c r="D17590" t="str">
        <f>HYPERLINK("https://rhld.insurance.arkansas.gov/NPILookup?Npi=1114475720","1114475720")</f>
        <v>1114475720</v>
      </c>
      <c r="E17590" t="s">
        <v>23045</v>
      </c>
    </row>
    <row r="17591" spans="1:5" x14ac:dyDescent="0.25">
      <c r="A17591" t="s">
        <v>4</v>
      </c>
      <c r="B17591" t="s">
        <v>4111</v>
      </c>
      <c r="C17591" t="s">
        <v>23490</v>
      </c>
      <c r="D17591" t="str">
        <f>HYPERLINK("https://rhld.insurance.arkansas.gov/NPILookup?Npi=1114488269","1114488269")</f>
        <v>1114488269</v>
      </c>
      <c r="E17591" t="s">
        <v>15981</v>
      </c>
    </row>
    <row r="17592" spans="1:5" x14ac:dyDescent="0.25">
      <c r="A17592" t="s">
        <v>4</v>
      </c>
      <c r="B17592" t="s">
        <v>4111</v>
      </c>
      <c r="C17592" t="s">
        <v>23490</v>
      </c>
      <c r="D17592" t="str">
        <f>HYPERLINK("https://rhld.insurance.arkansas.gov/NPILookup?Npi=1114503554","1114503554")</f>
        <v>1114503554</v>
      </c>
      <c r="E17592" t="s">
        <v>18261</v>
      </c>
    </row>
    <row r="17593" spans="1:5" x14ac:dyDescent="0.25">
      <c r="A17593" t="s">
        <v>4</v>
      </c>
      <c r="B17593" t="s">
        <v>4111</v>
      </c>
      <c r="C17593" t="s">
        <v>23490</v>
      </c>
      <c r="D17593" t="str">
        <f>HYPERLINK("https://rhld.insurance.arkansas.gov/NPILookup?Npi=1114522976","1114522976")</f>
        <v>1114522976</v>
      </c>
      <c r="E17593" t="s">
        <v>18262</v>
      </c>
    </row>
    <row r="17594" spans="1:5" x14ac:dyDescent="0.25">
      <c r="A17594" t="s">
        <v>4</v>
      </c>
      <c r="B17594" t="s">
        <v>4111</v>
      </c>
      <c r="C17594" t="s">
        <v>23490</v>
      </c>
      <c r="D17594" t="str">
        <f>HYPERLINK("https://rhld.insurance.arkansas.gov/NPILookup?Npi=1114551868","1114551868")</f>
        <v>1114551868</v>
      </c>
      <c r="E17594" t="s">
        <v>17106</v>
      </c>
    </row>
    <row r="17595" spans="1:5" x14ac:dyDescent="0.25">
      <c r="A17595" t="s">
        <v>4</v>
      </c>
      <c r="B17595" t="s">
        <v>4111</v>
      </c>
      <c r="C17595" t="s">
        <v>23490</v>
      </c>
      <c r="D17595" t="str">
        <f>HYPERLINK("https://rhld.insurance.arkansas.gov/NPILookup?Npi=1114562071","1114562071")</f>
        <v>1114562071</v>
      </c>
      <c r="E17595" t="s">
        <v>17107</v>
      </c>
    </row>
    <row r="17596" spans="1:5" x14ac:dyDescent="0.25">
      <c r="A17596" t="s">
        <v>4</v>
      </c>
      <c r="B17596" t="s">
        <v>4111</v>
      </c>
      <c r="C17596" t="s">
        <v>23490</v>
      </c>
      <c r="D17596" t="str">
        <f>HYPERLINK("https://rhld.insurance.arkansas.gov/NPILookup?Npi=1114564028","1114564028")</f>
        <v>1114564028</v>
      </c>
      <c r="E17596" t="s">
        <v>20349</v>
      </c>
    </row>
    <row r="17597" spans="1:5" x14ac:dyDescent="0.25">
      <c r="A17597" t="s">
        <v>4</v>
      </c>
      <c r="B17597" t="s">
        <v>4111</v>
      </c>
      <c r="C17597" t="s">
        <v>23490</v>
      </c>
      <c r="D17597" t="str">
        <f>HYPERLINK("https://rhld.insurance.arkansas.gov/NPILookup?Npi=1114565538","1114565538")</f>
        <v>1114565538</v>
      </c>
      <c r="E17597" t="s">
        <v>20350</v>
      </c>
    </row>
    <row r="17598" spans="1:5" x14ac:dyDescent="0.25">
      <c r="A17598" t="s">
        <v>4</v>
      </c>
      <c r="B17598" t="s">
        <v>4111</v>
      </c>
      <c r="C17598" t="s">
        <v>23490</v>
      </c>
      <c r="D17598" t="str">
        <f>HYPERLINK("https://rhld.insurance.arkansas.gov/NPILookup?Npi=1114569167","1114569167")</f>
        <v>1114569167</v>
      </c>
      <c r="E17598" t="s">
        <v>20351</v>
      </c>
    </row>
    <row r="17599" spans="1:5" x14ac:dyDescent="0.25">
      <c r="A17599" t="s">
        <v>4</v>
      </c>
      <c r="B17599" t="s">
        <v>4111</v>
      </c>
      <c r="C17599" t="s">
        <v>23490</v>
      </c>
      <c r="D17599" t="str">
        <f>HYPERLINK("https://rhld.insurance.arkansas.gov/NPILookup?Npi=1114571072","1114571072")</f>
        <v>1114571072</v>
      </c>
      <c r="E17599" t="s">
        <v>19430</v>
      </c>
    </row>
    <row r="17600" spans="1:5" x14ac:dyDescent="0.25">
      <c r="A17600" t="s">
        <v>4</v>
      </c>
      <c r="B17600" t="s">
        <v>4111</v>
      </c>
      <c r="C17600" t="s">
        <v>23490</v>
      </c>
      <c r="D17600" t="str">
        <f>HYPERLINK("https://rhld.insurance.arkansas.gov/NPILookup?Npi=1114578168","1114578168")</f>
        <v>1114578168</v>
      </c>
      <c r="E17600" t="s">
        <v>20352</v>
      </c>
    </row>
    <row r="17601" spans="1:5" x14ac:dyDescent="0.25">
      <c r="A17601" t="s">
        <v>4</v>
      </c>
      <c r="B17601" t="s">
        <v>4111</v>
      </c>
      <c r="C17601" t="s">
        <v>23490</v>
      </c>
      <c r="D17601" t="str">
        <f>HYPERLINK("https://rhld.insurance.arkansas.gov/NPILookup?Npi=1114578903","1114578903")</f>
        <v>1114578903</v>
      </c>
      <c r="E17601" t="s">
        <v>18263</v>
      </c>
    </row>
    <row r="17602" spans="1:5" x14ac:dyDescent="0.25">
      <c r="A17602" t="s">
        <v>4</v>
      </c>
      <c r="B17602" t="s">
        <v>4111</v>
      </c>
      <c r="C17602" t="s">
        <v>8427</v>
      </c>
      <c r="D17602" t="str">
        <f>HYPERLINK("https://rhld.insurance.arkansas.gov/NPILookup?Npi=1114627163","1114627163")</f>
        <v>1114627163</v>
      </c>
      <c r="E17602" t="s">
        <v>23046</v>
      </c>
    </row>
    <row r="17603" spans="1:5" x14ac:dyDescent="0.25">
      <c r="A17603" t="s">
        <v>4</v>
      </c>
      <c r="B17603" t="s">
        <v>4111</v>
      </c>
      <c r="C17603" t="s">
        <v>23490</v>
      </c>
      <c r="D17603" t="str">
        <f>HYPERLINK("https://rhld.insurance.arkansas.gov/NPILookup?Npi=1114689031","1114689031")</f>
        <v>1114689031</v>
      </c>
      <c r="E17603" t="s">
        <v>21853</v>
      </c>
    </row>
    <row r="17604" spans="1:5" x14ac:dyDescent="0.25">
      <c r="A17604" t="s">
        <v>4</v>
      </c>
      <c r="B17604" t="s">
        <v>4111</v>
      </c>
      <c r="C17604" t="s">
        <v>23490</v>
      </c>
      <c r="D17604" t="str">
        <f>HYPERLINK("https://rhld.insurance.arkansas.gov/NPILookup?Npi=1114905346","1114905346")</f>
        <v>1114905346</v>
      </c>
      <c r="E17604" t="s">
        <v>4322</v>
      </c>
    </row>
    <row r="17605" spans="1:5" x14ac:dyDescent="0.25">
      <c r="A17605" t="s">
        <v>4</v>
      </c>
      <c r="B17605" t="s">
        <v>4111</v>
      </c>
      <c r="C17605" t="s">
        <v>23490</v>
      </c>
      <c r="D17605" t="str">
        <f>HYPERLINK("https://rhld.insurance.arkansas.gov/NPILookup?Npi=1114906401","1114906401")</f>
        <v>1114906401</v>
      </c>
      <c r="E17605" t="s">
        <v>4323</v>
      </c>
    </row>
    <row r="17606" spans="1:5" x14ac:dyDescent="0.25">
      <c r="A17606" t="s">
        <v>4</v>
      </c>
      <c r="B17606" t="s">
        <v>4111</v>
      </c>
      <c r="C17606" t="s">
        <v>23490</v>
      </c>
      <c r="D17606" t="str">
        <f>HYPERLINK("https://rhld.insurance.arkansas.gov/NPILookup?Npi=1114972809","1114972809")</f>
        <v>1114972809</v>
      </c>
      <c r="E17606" t="s">
        <v>4325</v>
      </c>
    </row>
    <row r="17607" spans="1:5" x14ac:dyDescent="0.25">
      <c r="A17607" t="s">
        <v>4</v>
      </c>
      <c r="B17607" t="s">
        <v>4111</v>
      </c>
      <c r="C17607" t="s">
        <v>23490</v>
      </c>
      <c r="D17607" t="str">
        <f>HYPERLINK("https://rhld.insurance.arkansas.gov/NPILookup?Npi=1114995198","1114995198")</f>
        <v>1114995198</v>
      </c>
      <c r="E17607" t="s">
        <v>4326</v>
      </c>
    </row>
    <row r="17608" spans="1:5" x14ac:dyDescent="0.25">
      <c r="A17608" t="s">
        <v>4</v>
      </c>
      <c r="B17608" t="s">
        <v>4111</v>
      </c>
      <c r="C17608" t="s">
        <v>23490</v>
      </c>
      <c r="D17608" t="str">
        <f>HYPERLINK("https://rhld.insurance.arkansas.gov/NPILookup?Npi=1124018056","1124018056")</f>
        <v>1124018056</v>
      </c>
      <c r="E17608" t="s">
        <v>21854</v>
      </c>
    </row>
    <row r="17609" spans="1:5" x14ac:dyDescent="0.25">
      <c r="A17609" t="s">
        <v>4</v>
      </c>
      <c r="B17609" t="s">
        <v>4111</v>
      </c>
      <c r="C17609" t="s">
        <v>8427</v>
      </c>
      <c r="D17609" t="str">
        <f>HYPERLINK("https://rhld.insurance.arkansas.gov/NPILookup?Npi=1124042833","1124042833")</f>
        <v>1124042833</v>
      </c>
      <c r="E17609" t="s">
        <v>23047</v>
      </c>
    </row>
    <row r="17610" spans="1:5" x14ac:dyDescent="0.25">
      <c r="A17610" t="s">
        <v>4</v>
      </c>
      <c r="B17610" t="s">
        <v>4111</v>
      </c>
      <c r="C17610" t="s">
        <v>23490</v>
      </c>
      <c r="D17610" t="str">
        <f>HYPERLINK("https://rhld.insurance.arkansas.gov/NPILookup?Npi=1124043161","1124043161")</f>
        <v>1124043161</v>
      </c>
      <c r="E17610" t="s">
        <v>4327</v>
      </c>
    </row>
    <row r="17611" spans="1:5" x14ac:dyDescent="0.25">
      <c r="A17611" t="s">
        <v>4</v>
      </c>
      <c r="B17611" t="s">
        <v>4111</v>
      </c>
      <c r="C17611" t="s">
        <v>23490</v>
      </c>
      <c r="D17611" t="str">
        <f>HYPERLINK("https://rhld.insurance.arkansas.gov/NPILookup?Npi=1124048871","1124048871")</f>
        <v>1124048871</v>
      </c>
      <c r="E17611" t="s">
        <v>15982</v>
      </c>
    </row>
    <row r="17612" spans="1:5" x14ac:dyDescent="0.25">
      <c r="A17612" t="s">
        <v>4</v>
      </c>
      <c r="B17612" t="s">
        <v>4111</v>
      </c>
      <c r="C17612" t="s">
        <v>23490</v>
      </c>
      <c r="D17612" t="str">
        <f>HYPERLINK("https://rhld.insurance.arkansas.gov/NPILookup?Npi=1124064233","1124064233")</f>
        <v>1124064233</v>
      </c>
      <c r="E17612" t="s">
        <v>21855</v>
      </c>
    </row>
    <row r="17613" spans="1:5" x14ac:dyDescent="0.25">
      <c r="A17613" t="s">
        <v>4</v>
      </c>
      <c r="B17613" t="s">
        <v>4111</v>
      </c>
      <c r="C17613" t="s">
        <v>23490</v>
      </c>
      <c r="D17613" t="str">
        <f>HYPERLINK("https://rhld.insurance.arkansas.gov/NPILookup?Npi=1124066089","1124066089")</f>
        <v>1124066089</v>
      </c>
      <c r="E17613" t="s">
        <v>4328</v>
      </c>
    </row>
    <row r="17614" spans="1:5" x14ac:dyDescent="0.25">
      <c r="A17614" t="s">
        <v>4</v>
      </c>
      <c r="B17614" t="s">
        <v>4111</v>
      </c>
      <c r="C17614" t="s">
        <v>23490</v>
      </c>
      <c r="D17614" t="str">
        <f>HYPERLINK("https://rhld.insurance.arkansas.gov/NPILookup?Npi=1124074802","1124074802")</f>
        <v>1124074802</v>
      </c>
      <c r="E17614" t="s">
        <v>21856</v>
      </c>
    </row>
    <row r="17615" spans="1:5" x14ac:dyDescent="0.25">
      <c r="A17615" t="s">
        <v>4</v>
      </c>
      <c r="B17615" t="s">
        <v>4111</v>
      </c>
      <c r="C17615" t="s">
        <v>23490</v>
      </c>
      <c r="D17615" t="str">
        <f>HYPERLINK("https://rhld.insurance.arkansas.gov/NPILookup?Npi=1124079231","1124079231")</f>
        <v>1124079231</v>
      </c>
      <c r="E17615" t="s">
        <v>4329</v>
      </c>
    </row>
    <row r="17616" spans="1:5" x14ac:dyDescent="0.25">
      <c r="A17616" t="s">
        <v>4</v>
      </c>
      <c r="B17616" t="s">
        <v>4111</v>
      </c>
      <c r="C17616" t="s">
        <v>23490</v>
      </c>
      <c r="D17616" t="str">
        <f>HYPERLINK("https://rhld.insurance.arkansas.gov/NPILookup?Npi=1124080981","1124080981")</f>
        <v>1124080981</v>
      </c>
      <c r="E17616" t="s">
        <v>20353</v>
      </c>
    </row>
    <row r="17617" spans="1:5" x14ac:dyDescent="0.25">
      <c r="A17617" t="s">
        <v>4</v>
      </c>
      <c r="B17617" t="s">
        <v>4111</v>
      </c>
      <c r="C17617" t="s">
        <v>23490</v>
      </c>
      <c r="D17617" t="str">
        <f>HYPERLINK("https://rhld.insurance.arkansas.gov/NPILookup?Npi=1124112990","1124112990")</f>
        <v>1124112990</v>
      </c>
      <c r="E17617" t="s">
        <v>4330</v>
      </c>
    </row>
    <row r="17618" spans="1:5" x14ac:dyDescent="0.25">
      <c r="A17618" t="s">
        <v>4</v>
      </c>
      <c r="B17618" t="s">
        <v>4111</v>
      </c>
      <c r="C17618" t="s">
        <v>23490</v>
      </c>
      <c r="D17618" t="str">
        <f>HYPERLINK("https://rhld.insurance.arkansas.gov/NPILookup?Npi=1124120712","1124120712")</f>
        <v>1124120712</v>
      </c>
      <c r="E17618" t="s">
        <v>4331</v>
      </c>
    </row>
    <row r="17619" spans="1:5" x14ac:dyDescent="0.25">
      <c r="A17619" t="s">
        <v>4</v>
      </c>
      <c r="B17619" t="s">
        <v>4111</v>
      </c>
      <c r="C17619" t="s">
        <v>23490</v>
      </c>
      <c r="D17619" t="str">
        <f>HYPERLINK("https://rhld.insurance.arkansas.gov/NPILookup?Npi=1124138979","1124138979")</f>
        <v>1124138979</v>
      </c>
      <c r="E17619" t="s">
        <v>15983</v>
      </c>
    </row>
    <row r="17620" spans="1:5" x14ac:dyDescent="0.25">
      <c r="A17620" t="s">
        <v>4</v>
      </c>
      <c r="B17620" t="s">
        <v>4111</v>
      </c>
      <c r="C17620" t="s">
        <v>23490</v>
      </c>
      <c r="D17620" t="str">
        <f>HYPERLINK("https://rhld.insurance.arkansas.gov/NPILookup?Npi=1124139019","1124139019")</f>
        <v>1124139019</v>
      </c>
      <c r="E17620" t="s">
        <v>15984</v>
      </c>
    </row>
    <row r="17621" spans="1:5" x14ac:dyDescent="0.25">
      <c r="A17621" t="s">
        <v>4</v>
      </c>
      <c r="B17621" t="s">
        <v>4111</v>
      </c>
      <c r="C17621" t="s">
        <v>23490</v>
      </c>
      <c r="D17621" t="str">
        <f>HYPERLINK("https://rhld.insurance.arkansas.gov/NPILookup?Npi=1124139407","1124139407")</f>
        <v>1124139407</v>
      </c>
      <c r="E17621" t="s">
        <v>20354</v>
      </c>
    </row>
    <row r="17622" spans="1:5" x14ac:dyDescent="0.25">
      <c r="A17622" t="s">
        <v>4</v>
      </c>
      <c r="B17622" t="s">
        <v>4111</v>
      </c>
      <c r="C17622" t="s">
        <v>23490</v>
      </c>
      <c r="D17622" t="str">
        <f>HYPERLINK("https://rhld.insurance.arkansas.gov/NPILookup?Npi=1124151436","1124151436")</f>
        <v>1124151436</v>
      </c>
      <c r="E17622" t="s">
        <v>13955</v>
      </c>
    </row>
    <row r="17623" spans="1:5" x14ac:dyDescent="0.25">
      <c r="A17623" t="s">
        <v>4</v>
      </c>
      <c r="B17623" t="s">
        <v>4111</v>
      </c>
      <c r="C17623" t="s">
        <v>23490</v>
      </c>
      <c r="D17623" t="str">
        <f>HYPERLINK("https://rhld.insurance.arkansas.gov/NPILookup?Npi=1124156179","1124156179")</f>
        <v>1124156179</v>
      </c>
      <c r="E17623" t="s">
        <v>9020</v>
      </c>
    </row>
    <row r="17624" spans="1:5" x14ac:dyDescent="0.25">
      <c r="A17624" t="s">
        <v>4</v>
      </c>
      <c r="B17624" t="s">
        <v>4111</v>
      </c>
      <c r="C17624" t="s">
        <v>23490</v>
      </c>
      <c r="D17624" t="str">
        <f>HYPERLINK("https://rhld.insurance.arkansas.gov/NPILookup?Npi=1124159306","1124159306")</f>
        <v>1124159306</v>
      </c>
      <c r="E17624" t="s">
        <v>18945</v>
      </c>
    </row>
    <row r="17625" spans="1:5" x14ac:dyDescent="0.25">
      <c r="A17625" t="s">
        <v>4</v>
      </c>
      <c r="B17625" t="s">
        <v>4111</v>
      </c>
      <c r="C17625" t="s">
        <v>23490</v>
      </c>
      <c r="D17625" t="str">
        <f>HYPERLINK("https://rhld.insurance.arkansas.gov/NPILookup?Npi=1124166301","1124166301")</f>
        <v>1124166301</v>
      </c>
      <c r="E17625" t="s">
        <v>4332</v>
      </c>
    </row>
    <row r="17626" spans="1:5" x14ac:dyDescent="0.25">
      <c r="A17626" t="s">
        <v>4</v>
      </c>
      <c r="B17626" t="s">
        <v>4111</v>
      </c>
      <c r="C17626" t="s">
        <v>23490</v>
      </c>
      <c r="D17626" t="str">
        <f>HYPERLINK("https://rhld.insurance.arkansas.gov/NPILookup?Npi=1124215256","1124215256")</f>
        <v>1124215256</v>
      </c>
      <c r="E17626" t="s">
        <v>13956</v>
      </c>
    </row>
    <row r="17627" spans="1:5" x14ac:dyDescent="0.25">
      <c r="A17627" t="s">
        <v>4</v>
      </c>
      <c r="B17627" t="s">
        <v>4111</v>
      </c>
      <c r="C17627" t="s">
        <v>23490</v>
      </c>
      <c r="D17627" t="str">
        <f>HYPERLINK("https://rhld.insurance.arkansas.gov/NPILookup?Npi=1124218177","1124218177")</f>
        <v>1124218177</v>
      </c>
      <c r="E17627" t="s">
        <v>13076</v>
      </c>
    </row>
    <row r="17628" spans="1:5" x14ac:dyDescent="0.25">
      <c r="A17628" t="s">
        <v>4</v>
      </c>
      <c r="B17628" t="s">
        <v>4111</v>
      </c>
      <c r="C17628" t="s">
        <v>23490</v>
      </c>
      <c r="D17628" t="str">
        <f>HYPERLINK("https://rhld.insurance.arkansas.gov/NPILookup?Npi=1124224035","1124224035")</f>
        <v>1124224035</v>
      </c>
      <c r="E17628" t="s">
        <v>11537</v>
      </c>
    </row>
    <row r="17629" spans="1:5" x14ac:dyDescent="0.25">
      <c r="A17629" t="s">
        <v>4</v>
      </c>
      <c r="B17629" t="s">
        <v>4111</v>
      </c>
      <c r="C17629" t="s">
        <v>23490</v>
      </c>
      <c r="D17629" t="str">
        <f>HYPERLINK("https://rhld.insurance.arkansas.gov/NPILookup?Npi=1124243985","1124243985")</f>
        <v>1124243985</v>
      </c>
      <c r="E17629" t="s">
        <v>20355</v>
      </c>
    </row>
    <row r="17630" spans="1:5" x14ac:dyDescent="0.25">
      <c r="A17630" t="s">
        <v>4</v>
      </c>
      <c r="B17630" t="s">
        <v>4111</v>
      </c>
      <c r="C17630" t="s">
        <v>23490</v>
      </c>
      <c r="D17630" t="str">
        <f>HYPERLINK("https://rhld.insurance.arkansas.gov/NPILookup?Npi=1124265053","1124265053")</f>
        <v>1124265053</v>
      </c>
      <c r="E17630" t="s">
        <v>4333</v>
      </c>
    </row>
    <row r="17631" spans="1:5" x14ac:dyDescent="0.25">
      <c r="A17631" t="s">
        <v>4</v>
      </c>
      <c r="B17631" t="s">
        <v>4111</v>
      </c>
      <c r="C17631" t="s">
        <v>23490</v>
      </c>
      <c r="D17631" t="str">
        <f>HYPERLINK("https://rhld.insurance.arkansas.gov/NPILookup?Npi=1124266598","1124266598")</f>
        <v>1124266598</v>
      </c>
      <c r="E17631" t="s">
        <v>17108</v>
      </c>
    </row>
    <row r="17632" spans="1:5" x14ac:dyDescent="0.25">
      <c r="A17632" t="s">
        <v>4</v>
      </c>
      <c r="B17632" t="s">
        <v>4111</v>
      </c>
      <c r="C17632" t="s">
        <v>23490</v>
      </c>
      <c r="D17632" t="str">
        <f>HYPERLINK("https://rhld.insurance.arkansas.gov/NPILookup?Npi=1124267109","1124267109")</f>
        <v>1124267109</v>
      </c>
      <c r="E17632" t="s">
        <v>4334</v>
      </c>
    </row>
    <row r="17633" spans="1:5" x14ac:dyDescent="0.25">
      <c r="A17633" t="s">
        <v>4</v>
      </c>
      <c r="B17633" t="s">
        <v>4111</v>
      </c>
      <c r="C17633" t="s">
        <v>23490</v>
      </c>
      <c r="D17633" t="str">
        <f>HYPERLINK("https://rhld.insurance.arkansas.gov/NPILookup?Npi=1124277876","1124277876")</f>
        <v>1124277876</v>
      </c>
      <c r="E17633" t="s">
        <v>9021</v>
      </c>
    </row>
    <row r="17634" spans="1:5" x14ac:dyDescent="0.25">
      <c r="A17634" t="s">
        <v>4</v>
      </c>
      <c r="B17634" t="s">
        <v>4111</v>
      </c>
      <c r="C17634" t="s">
        <v>23490</v>
      </c>
      <c r="D17634" t="str">
        <f>HYPERLINK("https://rhld.insurance.arkansas.gov/NPILookup?Npi=1124283619","1124283619")</f>
        <v>1124283619</v>
      </c>
      <c r="E17634" t="s">
        <v>15985</v>
      </c>
    </row>
    <row r="17635" spans="1:5" x14ac:dyDescent="0.25">
      <c r="A17635" t="s">
        <v>4</v>
      </c>
      <c r="B17635" t="s">
        <v>4111</v>
      </c>
      <c r="C17635" t="s">
        <v>23490</v>
      </c>
      <c r="D17635" t="str">
        <f>HYPERLINK("https://rhld.insurance.arkansas.gov/NPILookup?Npi=1124285630","1124285630")</f>
        <v>1124285630</v>
      </c>
      <c r="E17635" t="s">
        <v>13957</v>
      </c>
    </row>
    <row r="17636" spans="1:5" x14ac:dyDescent="0.25">
      <c r="A17636" t="s">
        <v>4</v>
      </c>
      <c r="B17636" t="s">
        <v>4111</v>
      </c>
      <c r="C17636" t="s">
        <v>23490</v>
      </c>
      <c r="D17636" t="str">
        <f>HYPERLINK("https://rhld.insurance.arkansas.gov/NPILookup?Npi=1124286687","1124286687")</f>
        <v>1124286687</v>
      </c>
      <c r="E17636" t="s">
        <v>4335</v>
      </c>
    </row>
    <row r="17637" spans="1:5" x14ac:dyDescent="0.25">
      <c r="A17637" t="s">
        <v>4</v>
      </c>
      <c r="B17637" t="s">
        <v>4111</v>
      </c>
      <c r="C17637" t="s">
        <v>23490</v>
      </c>
      <c r="D17637" t="str">
        <f>HYPERLINK("https://rhld.insurance.arkansas.gov/NPILookup?Npi=1124300389","1124300389")</f>
        <v>1124300389</v>
      </c>
      <c r="E17637" t="s">
        <v>15986</v>
      </c>
    </row>
    <row r="17638" spans="1:5" x14ac:dyDescent="0.25">
      <c r="A17638" t="s">
        <v>4</v>
      </c>
      <c r="B17638" t="s">
        <v>4111</v>
      </c>
      <c r="C17638" t="s">
        <v>23490</v>
      </c>
      <c r="D17638" t="str">
        <f>HYPERLINK("https://rhld.insurance.arkansas.gov/NPILookup?Npi=1124300785","1124300785")</f>
        <v>1124300785</v>
      </c>
      <c r="E17638" t="s">
        <v>11538</v>
      </c>
    </row>
    <row r="17639" spans="1:5" x14ac:dyDescent="0.25">
      <c r="A17639" t="s">
        <v>4</v>
      </c>
      <c r="B17639" t="s">
        <v>4111</v>
      </c>
      <c r="C17639" t="s">
        <v>23490</v>
      </c>
      <c r="D17639" t="str">
        <f>HYPERLINK("https://rhld.insurance.arkansas.gov/NPILookup?Npi=1124309018","1124309018")</f>
        <v>1124309018</v>
      </c>
      <c r="E17639" t="s">
        <v>4336</v>
      </c>
    </row>
    <row r="17640" spans="1:5" x14ac:dyDescent="0.25">
      <c r="A17640" t="s">
        <v>4</v>
      </c>
      <c r="B17640" t="s">
        <v>4111</v>
      </c>
      <c r="C17640" t="s">
        <v>23490</v>
      </c>
      <c r="D17640" t="str">
        <f>HYPERLINK("https://rhld.insurance.arkansas.gov/NPILookup?Npi=1124329321","1124329321")</f>
        <v>1124329321</v>
      </c>
      <c r="E17640" t="s">
        <v>4337</v>
      </c>
    </row>
    <row r="17641" spans="1:5" x14ac:dyDescent="0.25">
      <c r="A17641" t="s">
        <v>4</v>
      </c>
      <c r="B17641" t="s">
        <v>4111</v>
      </c>
      <c r="C17641" t="s">
        <v>23490</v>
      </c>
      <c r="D17641" t="str">
        <f>HYPERLINK("https://rhld.insurance.arkansas.gov/NPILookup?Npi=1124338298","1124338298")</f>
        <v>1124338298</v>
      </c>
      <c r="E17641" t="s">
        <v>20356</v>
      </c>
    </row>
    <row r="17642" spans="1:5" x14ac:dyDescent="0.25">
      <c r="A17642" t="s">
        <v>4</v>
      </c>
      <c r="B17642" t="s">
        <v>4111</v>
      </c>
      <c r="C17642" t="s">
        <v>23490</v>
      </c>
      <c r="D17642" t="str">
        <f>HYPERLINK("https://rhld.insurance.arkansas.gov/NPILookup?Npi=1124343918","1124343918")</f>
        <v>1124343918</v>
      </c>
      <c r="E17642" t="s">
        <v>4338</v>
      </c>
    </row>
    <row r="17643" spans="1:5" x14ac:dyDescent="0.25">
      <c r="A17643" t="s">
        <v>4</v>
      </c>
      <c r="B17643" t="s">
        <v>4111</v>
      </c>
      <c r="C17643" t="s">
        <v>23490</v>
      </c>
      <c r="D17643" t="str">
        <f>HYPERLINK("https://rhld.insurance.arkansas.gov/NPILookup?Npi=1124346036","1124346036")</f>
        <v>1124346036</v>
      </c>
      <c r="E17643" t="s">
        <v>4339</v>
      </c>
    </row>
    <row r="17644" spans="1:5" x14ac:dyDescent="0.25">
      <c r="A17644" t="s">
        <v>4</v>
      </c>
      <c r="B17644" t="s">
        <v>4111</v>
      </c>
      <c r="C17644" t="s">
        <v>23490</v>
      </c>
      <c r="D17644" t="str">
        <f>HYPERLINK("https://rhld.insurance.arkansas.gov/NPILookup?Npi=1124370028","1124370028")</f>
        <v>1124370028</v>
      </c>
      <c r="E17644" t="s">
        <v>13958</v>
      </c>
    </row>
    <row r="17645" spans="1:5" x14ac:dyDescent="0.25">
      <c r="A17645" t="s">
        <v>4</v>
      </c>
      <c r="B17645" t="s">
        <v>4111</v>
      </c>
      <c r="C17645" t="s">
        <v>23490</v>
      </c>
      <c r="D17645" t="str">
        <f>HYPERLINK("https://rhld.insurance.arkansas.gov/NPILookup?Npi=1124372552","1124372552")</f>
        <v>1124372552</v>
      </c>
      <c r="E17645" t="s">
        <v>9022</v>
      </c>
    </row>
    <row r="17646" spans="1:5" x14ac:dyDescent="0.25">
      <c r="A17646" t="s">
        <v>4</v>
      </c>
      <c r="B17646" t="s">
        <v>4111</v>
      </c>
      <c r="C17646" t="s">
        <v>23490</v>
      </c>
      <c r="D17646" t="str">
        <f>HYPERLINK("https://rhld.insurance.arkansas.gov/NPILookup?Npi=1124378039","1124378039")</f>
        <v>1124378039</v>
      </c>
      <c r="E17646" t="s">
        <v>17109</v>
      </c>
    </row>
    <row r="17647" spans="1:5" x14ac:dyDescent="0.25">
      <c r="A17647" t="s">
        <v>4</v>
      </c>
      <c r="B17647" t="s">
        <v>4111</v>
      </c>
      <c r="C17647" t="s">
        <v>23490</v>
      </c>
      <c r="D17647" t="str">
        <f>HYPERLINK("https://rhld.insurance.arkansas.gov/NPILookup?Npi=1124385224","1124385224")</f>
        <v>1124385224</v>
      </c>
      <c r="E17647" t="s">
        <v>13077</v>
      </c>
    </row>
    <row r="17648" spans="1:5" x14ac:dyDescent="0.25">
      <c r="A17648" t="s">
        <v>4</v>
      </c>
      <c r="B17648" t="s">
        <v>4111</v>
      </c>
      <c r="C17648" t="s">
        <v>23490</v>
      </c>
      <c r="D17648" t="str">
        <f>HYPERLINK("https://rhld.insurance.arkansas.gov/NPILookup?Npi=1124386248","1124386248")</f>
        <v>1124386248</v>
      </c>
      <c r="E17648" t="s">
        <v>20357</v>
      </c>
    </row>
    <row r="17649" spans="1:5" x14ac:dyDescent="0.25">
      <c r="A17649" t="s">
        <v>4</v>
      </c>
      <c r="B17649" t="s">
        <v>4111</v>
      </c>
      <c r="C17649" t="s">
        <v>23490</v>
      </c>
      <c r="D17649" t="str">
        <f>HYPERLINK("https://rhld.insurance.arkansas.gov/NPILookup?Npi=1124401096","1124401096")</f>
        <v>1124401096</v>
      </c>
      <c r="E17649" t="s">
        <v>15987</v>
      </c>
    </row>
    <row r="17650" spans="1:5" x14ac:dyDescent="0.25">
      <c r="A17650" t="s">
        <v>4</v>
      </c>
      <c r="B17650" t="s">
        <v>4111</v>
      </c>
      <c r="C17650" t="s">
        <v>23490</v>
      </c>
      <c r="D17650" t="str">
        <f>HYPERLINK("https://rhld.insurance.arkansas.gov/NPILookup?Npi=1124409149","1124409149")</f>
        <v>1124409149</v>
      </c>
      <c r="E17650" t="s">
        <v>17110</v>
      </c>
    </row>
    <row r="17651" spans="1:5" x14ac:dyDescent="0.25">
      <c r="A17651" t="s">
        <v>4</v>
      </c>
      <c r="B17651" t="s">
        <v>4111</v>
      </c>
      <c r="C17651" t="s">
        <v>23490</v>
      </c>
      <c r="D17651" t="str">
        <f>HYPERLINK("https://rhld.insurance.arkansas.gov/NPILookup?Npi=1124455225","1124455225")</f>
        <v>1124455225</v>
      </c>
      <c r="E17651" t="s">
        <v>11539</v>
      </c>
    </row>
    <row r="17652" spans="1:5" x14ac:dyDescent="0.25">
      <c r="A17652" t="s">
        <v>4</v>
      </c>
      <c r="B17652" t="s">
        <v>4111</v>
      </c>
      <c r="C17652" t="s">
        <v>23490</v>
      </c>
      <c r="D17652" t="str">
        <f>HYPERLINK("https://rhld.insurance.arkansas.gov/NPILookup?Npi=1124459235","1124459235")</f>
        <v>1124459235</v>
      </c>
      <c r="E17652" t="s">
        <v>13078</v>
      </c>
    </row>
    <row r="17653" spans="1:5" x14ac:dyDescent="0.25">
      <c r="A17653" t="s">
        <v>4</v>
      </c>
      <c r="B17653" t="s">
        <v>4111</v>
      </c>
      <c r="C17653" t="s">
        <v>23490</v>
      </c>
      <c r="D17653" t="str">
        <f>HYPERLINK("https://rhld.insurance.arkansas.gov/NPILookup?Npi=1124461942","1124461942")</f>
        <v>1124461942</v>
      </c>
      <c r="E17653" t="s">
        <v>4340</v>
      </c>
    </row>
    <row r="17654" spans="1:5" x14ac:dyDescent="0.25">
      <c r="A17654" t="s">
        <v>4</v>
      </c>
      <c r="B17654" t="s">
        <v>4111</v>
      </c>
      <c r="C17654" t="s">
        <v>23490</v>
      </c>
      <c r="D17654" t="str">
        <f>HYPERLINK("https://rhld.insurance.arkansas.gov/NPILookup?Npi=1124464607","1124464607")</f>
        <v>1124464607</v>
      </c>
      <c r="E17654" t="s">
        <v>4341</v>
      </c>
    </row>
    <row r="17655" spans="1:5" x14ac:dyDescent="0.25">
      <c r="A17655" t="s">
        <v>4</v>
      </c>
      <c r="B17655" t="s">
        <v>4111</v>
      </c>
      <c r="C17655" t="s">
        <v>23490</v>
      </c>
      <c r="D17655" t="str">
        <f>HYPERLINK("https://rhld.insurance.arkansas.gov/NPILookup?Npi=1124471974","1124471974")</f>
        <v>1124471974</v>
      </c>
      <c r="E17655" t="s">
        <v>10669</v>
      </c>
    </row>
    <row r="17656" spans="1:5" x14ac:dyDescent="0.25">
      <c r="A17656" t="s">
        <v>4</v>
      </c>
      <c r="B17656" t="s">
        <v>4111</v>
      </c>
      <c r="C17656" t="s">
        <v>23490</v>
      </c>
      <c r="D17656" t="str">
        <f>HYPERLINK("https://rhld.insurance.arkansas.gov/NPILookup?Npi=1124474556","1124474556")</f>
        <v>1124474556</v>
      </c>
      <c r="E17656" t="s">
        <v>17111</v>
      </c>
    </row>
    <row r="17657" spans="1:5" x14ac:dyDescent="0.25">
      <c r="A17657" t="s">
        <v>4</v>
      </c>
      <c r="B17657" t="s">
        <v>4111</v>
      </c>
      <c r="C17657" t="s">
        <v>23490</v>
      </c>
      <c r="D17657" t="str">
        <f>HYPERLINK("https://rhld.insurance.arkansas.gov/NPILookup?Npi=1124490768","1124490768")</f>
        <v>1124490768</v>
      </c>
      <c r="E17657" t="s">
        <v>17112</v>
      </c>
    </row>
    <row r="17658" spans="1:5" x14ac:dyDescent="0.25">
      <c r="A17658" t="s">
        <v>4</v>
      </c>
      <c r="B17658" t="s">
        <v>4111</v>
      </c>
      <c r="C17658" t="s">
        <v>23490</v>
      </c>
      <c r="D17658" t="str">
        <f>HYPERLINK("https://rhld.insurance.arkansas.gov/NPILookup?Npi=1124495023","1124495023")</f>
        <v>1124495023</v>
      </c>
      <c r="E17658" t="s">
        <v>20358</v>
      </c>
    </row>
    <row r="17659" spans="1:5" x14ac:dyDescent="0.25">
      <c r="A17659" t="s">
        <v>4</v>
      </c>
      <c r="B17659" t="s">
        <v>4111</v>
      </c>
      <c r="C17659" t="s">
        <v>23490</v>
      </c>
      <c r="D17659" t="str">
        <f>HYPERLINK("https://rhld.insurance.arkansas.gov/NPILookup?Npi=1124495510","1124495510")</f>
        <v>1124495510</v>
      </c>
      <c r="E17659" t="s">
        <v>20359</v>
      </c>
    </row>
    <row r="17660" spans="1:5" x14ac:dyDescent="0.25">
      <c r="A17660" t="s">
        <v>4</v>
      </c>
      <c r="B17660" t="s">
        <v>4111</v>
      </c>
      <c r="C17660" t="s">
        <v>23490</v>
      </c>
      <c r="D17660" t="str">
        <f>HYPERLINK("https://rhld.insurance.arkansas.gov/NPILookup?Npi=1124495551","1124495551")</f>
        <v>1124495551</v>
      </c>
      <c r="E17660" t="s">
        <v>23048</v>
      </c>
    </row>
    <row r="17661" spans="1:5" x14ac:dyDescent="0.25">
      <c r="A17661" t="s">
        <v>4</v>
      </c>
      <c r="B17661" t="s">
        <v>4111</v>
      </c>
      <c r="C17661" t="s">
        <v>23490</v>
      </c>
      <c r="D17661" t="str">
        <f>HYPERLINK("https://rhld.insurance.arkansas.gov/NPILookup?Npi=1124535638","1124535638")</f>
        <v>1124535638</v>
      </c>
      <c r="E17661" t="s">
        <v>17113</v>
      </c>
    </row>
    <row r="17662" spans="1:5" x14ac:dyDescent="0.25">
      <c r="A17662" t="s">
        <v>4</v>
      </c>
      <c r="B17662" t="s">
        <v>4111</v>
      </c>
      <c r="C17662" t="s">
        <v>23490</v>
      </c>
      <c r="D17662" t="str">
        <f>HYPERLINK("https://rhld.insurance.arkansas.gov/NPILookup?Npi=1124563234","1124563234")</f>
        <v>1124563234</v>
      </c>
      <c r="E17662" t="s">
        <v>17114</v>
      </c>
    </row>
    <row r="17663" spans="1:5" x14ac:dyDescent="0.25">
      <c r="A17663" t="s">
        <v>4</v>
      </c>
      <c r="B17663" t="s">
        <v>4111</v>
      </c>
      <c r="C17663" t="s">
        <v>23490</v>
      </c>
      <c r="D17663" t="str">
        <f>HYPERLINK("https://rhld.insurance.arkansas.gov/NPILookup?Npi=1124575295","1124575295")</f>
        <v>1124575295</v>
      </c>
      <c r="E17663" t="s">
        <v>13079</v>
      </c>
    </row>
    <row r="17664" spans="1:5" x14ac:dyDescent="0.25">
      <c r="A17664" t="s">
        <v>4</v>
      </c>
      <c r="B17664" t="s">
        <v>4111</v>
      </c>
      <c r="C17664" t="s">
        <v>23490</v>
      </c>
      <c r="D17664" t="str">
        <f>HYPERLINK("https://rhld.insurance.arkansas.gov/NPILookup?Npi=1124590146","1124590146")</f>
        <v>1124590146</v>
      </c>
      <c r="E17664" t="s">
        <v>13959</v>
      </c>
    </row>
    <row r="17665" spans="1:5" x14ac:dyDescent="0.25">
      <c r="A17665" t="s">
        <v>4</v>
      </c>
      <c r="B17665" t="s">
        <v>4111</v>
      </c>
      <c r="C17665" t="s">
        <v>23490</v>
      </c>
      <c r="D17665" t="str">
        <f>HYPERLINK("https://rhld.insurance.arkansas.gov/NPILookup?Npi=1124595079","1124595079")</f>
        <v>1124595079</v>
      </c>
      <c r="E17665" t="s">
        <v>18264</v>
      </c>
    </row>
    <row r="17666" spans="1:5" x14ac:dyDescent="0.25">
      <c r="A17666" t="s">
        <v>4</v>
      </c>
      <c r="B17666" t="s">
        <v>4111</v>
      </c>
      <c r="C17666" t="s">
        <v>23490</v>
      </c>
      <c r="D17666" t="str">
        <f>HYPERLINK("https://rhld.insurance.arkansas.gov/NPILookup?Npi=1124651559","1124651559")</f>
        <v>1124651559</v>
      </c>
      <c r="E17666" t="s">
        <v>18946</v>
      </c>
    </row>
    <row r="17667" spans="1:5" x14ac:dyDescent="0.25">
      <c r="A17667" t="s">
        <v>4</v>
      </c>
      <c r="B17667" t="s">
        <v>4111</v>
      </c>
      <c r="C17667" t="s">
        <v>23490</v>
      </c>
      <c r="D17667" t="str">
        <f>HYPERLINK("https://rhld.insurance.arkansas.gov/NPILookup?Npi=1124665047","1124665047")</f>
        <v>1124665047</v>
      </c>
      <c r="E17667" t="s">
        <v>21106</v>
      </c>
    </row>
    <row r="17668" spans="1:5" x14ac:dyDescent="0.25">
      <c r="A17668" t="s">
        <v>4</v>
      </c>
      <c r="B17668" t="s">
        <v>4111</v>
      </c>
      <c r="C17668" t="s">
        <v>8427</v>
      </c>
      <c r="D17668" t="str">
        <f>HYPERLINK("https://rhld.insurance.arkansas.gov/NPILookup?Npi=1124705645","1124705645")</f>
        <v>1124705645</v>
      </c>
      <c r="E17668" t="s">
        <v>23049</v>
      </c>
    </row>
    <row r="17669" spans="1:5" x14ac:dyDescent="0.25">
      <c r="A17669" t="s">
        <v>4</v>
      </c>
      <c r="B17669" t="s">
        <v>4111</v>
      </c>
      <c r="C17669" t="s">
        <v>8427</v>
      </c>
      <c r="D17669" t="str">
        <f>HYPERLINK("https://rhld.insurance.arkansas.gov/NPILookup?Npi=1124723515","1124723515")</f>
        <v>1124723515</v>
      </c>
      <c r="E17669" t="s">
        <v>23050</v>
      </c>
    </row>
    <row r="17670" spans="1:5" x14ac:dyDescent="0.25">
      <c r="A17670" t="s">
        <v>4</v>
      </c>
      <c r="B17670" t="s">
        <v>4111</v>
      </c>
      <c r="C17670" t="s">
        <v>23490</v>
      </c>
      <c r="D17670" t="str">
        <f>HYPERLINK("https://rhld.insurance.arkansas.gov/NPILookup?Npi=1124768015","1124768015")</f>
        <v>1124768015</v>
      </c>
      <c r="E17670" t="s">
        <v>21857</v>
      </c>
    </row>
    <row r="17671" spans="1:5" x14ac:dyDescent="0.25">
      <c r="A17671" t="s">
        <v>4</v>
      </c>
      <c r="B17671" t="s">
        <v>4111</v>
      </c>
      <c r="C17671" t="s">
        <v>23490</v>
      </c>
      <c r="D17671" t="str">
        <f>HYPERLINK("https://rhld.insurance.arkansas.gov/NPILookup?Npi=1124770557","1124770557")</f>
        <v>1124770557</v>
      </c>
      <c r="E17671" t="s">
        <v>20360</v>
      </c>
    </row>
    <row r="17672" spans="1:5" x14ac:dyDescent="0.25">
      <c r="A17672" t="s">
        <v>4</v>
      </c>
      <c r="B17672" t="s">
        <v>4111</v>
      </c>
      <c r="C17672" t="s">
        <v>23490</v>
      </c>
      <c r="D17672" t="str">
        <f>HYPERLINK("https://rhld.insurance.arkansas.gov/NPILookup?Npi=1134100712","1134100712")</f>
        <v>1134100712</v>
      </c>
      <c r="E17672" t="s">
        <v>21107</v>
      </c>
    </row>
    <row r="17673" spans="1:5" x14ac:dyDescent="0.25">
      <c r="A17673" t="s">
        <v>4</v>
      </c>
      <c r="B17673" t="s">
        <v>4111</v>
      </c>
      <c r="C17673" t="s">
        <v>23490</v>
      </c>
      <c r="D17673" t="str">
        <f>HYPERLINK("https://rhld.insurance.arkansas.gov/NPILookup?Npi=1134142011","1134142011")</f>
        <v>1134142011</v>
      </c>
      <c r="E17673" t="s">
        <v>4342</v>
      </c>
    </row>
    <row r="17674" spans="1:5" x14ac:dyDescent="0.25">
      <c r="A17674" t="s">
        <v>4</v>
      </c>
      <c r="B17674" t="s">
        <v>4111</v>
      </c>
      <c r="C17674" t="s">
        <v>23490</v>
      </c>
      <c r="D17674" t="str">
        <f>HYPERLINK("https://rhld.insurance.arkansas.gov/NPILookup?Npi=1134145592","1134145592")</f>
        <v>1134145592</v>
      </c>
      <c r="E17674" t="s">
        <v>18947</v>
      </c>
    </row>
    <row r="17675" spans="1:5" x14ac:dyDescent="0.25">
      <c r="A17675" t="s">
        <v>4</v>
      </c>
      <c r="B17675" t="s">
        <v>4111</v>
      </c>
      <c r="C17675" t="s">
        <v>23490</v>
      </c>
      <c r="D17675" t="str">
        <f>HYPERLINK("https://rhld.insurance.arkansas.gov/NPILookup?Npi=1134171135","1134171135")</f>
        <v>1134171135</v>
      </c>
      <c r="E17675" t="s">
        <v>4343</v>
      </c>
    </row>
    <row r="17676" spans="1:5" x14ac:dyDescent="0.25">
      <c r="A17676" t="s">
        <v>4</v>
      </c>
      <c r="B17676" t="s">
        <v>4111</v>
      </c>
      <c r="C17676" t="s">
        <v>23490</v>
      </c>
      <c r="D17676" t="str">
        <f>HYPERLINK("https://rhld.insurance.arkansas.gov/NPILookup?Npi=1134178940","1134178940")</f>
        <v>1134178940</v>
      </c>
      <c r="E17676" t="s">
        <v>4344</v>
      </c>
    </row>
    <row r="17677" spans="1:5" x14ac:dyDescent="0.25">
      <c r="A17677" t="s">
        <v>4</v>
      </c>
      <c r="B17677" t="s">
        <v>4111</v>
      </c>
      <c r="C17677" t="s">
        <v>23490</v>
      </c>
      <c r="D17677" t="str">
        <f>HYPERLINK("https://rhld.insurance.arkansas.gov/NPILookup?Npi=1134182520","1134182520")</f>
        <v>1134182520</v>
      </c>
      <c r="E17677" t="s">
        <v>4345</v>
      </c>
    </row>
    <row r="17678" spans="1:5" x14ac:dyDescent="0.25">
      <c r="A17678" t="s">
        <v>4</v>
      </c>
      <c r="B17678" t="s">
        <v>4111</v>
      </c>
      <c r="C17678" t="s">
        <v>23490</v>
      </c>
      <c r="D17678" t="str">
        <f>HYPERLINK("https://rhld.insurance.arkansas.gov/NPILookup?Npi=1134202484","1134202484")</f>
        <v>1134202484</v>
      </c>
      <c r="E17678" t="s">
        <v>13960</v>
      </c>
    </row>
    <row r="17679" spans="1:5" x14ac:dyDescent="0.25">
      <c r="A17679" t="s">
        <v>4</v>
      </c>
      <c r="B17679" t="s">
        <v>4111</v>
      </c>
      <c r="C17679" t="s">
        <v>23490</v>
      </c>
      <c r="D17679" t="str">
        <f>HYPERLINK("https://rhld.insurance.arkansas.gov/NPILookup?Npi=1134212947","1134212947")</f>
        <v>1134212947</v>
      </c>
      <c r="E17679" t="s">
        <v>4346</v>
      </c>
    </row>
    <row r="17680" spans="1:5" x14ac:dyDescent="0.25">
      <c r="A17680" t="s">
        <v>4</v>
      </c>
      <c r="B17680" t="s">
        <v>4111</v>
      </c>
      <c r="C17680" t="s">
        <v>23490</v>
      </c>
      <c r="D17680" t="str">
        <f>HYPERLINK("https://rhld.insurance.arkansas.gov/NPILookup?Npi=1134219439","1134219439")</f>
        <v>1134219439</v>
      </c>
      <c r="E17680" t="s">
        <v>4347</v>
      </c>
    </row>
    <row r="17681" spans="1:5" x14ac:dyDescent="0.25">
      <c r="A17681" t="s">
        <v>4</v>
      </c>
      <c r="B17681" t="s">
        <v>4111</v>
      </c>
      <c r="C17681" t="s">
        <v>23490</v>
      </c>
      <c r="D17681" t="str">
        <f>HYPERLINK("https://rhld.insurance.arkansas.gov/NPILookup?Npi=1134243496","1134243496")</f>
        <v>1134243496</v>
      </c>
      <c r="E17681" t="s">
        <v>4348</v>
      </c>
    </row>
    <row r="17682" spans="1:5" x14ac:dyDescent="0.25">
      <c r="A17682" t="s">
        <v>4</v>
      </c>
      <c r="B17682" t="s">
        <v>4111</v>
      </c>
      <c r="C17682" t="s">
        <v>23490</v>
      </c>
      <c r="D17682" t="str">
        <f>HYPERLINK("https://rhld.insurance.arkansas.gov/NPILookup?Npi=1134248164","1134248164")</f>
        <v>1134248164</v>
      </c>
      <c r="E17682" t="s">
        <v>4349</v>
      </c>
    </row>
    <row r="17683" spans="1:5" x14ac:dyDescent="0.25">
      <c r="A17683" t="s">
        <v>4</v>
      </c>
      <c r="B17683" t="s">
        <v>4111</v>
      </c>
      <c r="C17683" t="s">
        <v>23490</v>
      </c>
      <c r="D17683" t="str">
        <f>HYPERLINK("https://rhld.insurance.arkansas.gov/NPILookup?Npi=1134258072","1134258072")</f>
        <v>1134258072</v>
      </c>
      <c r="E17683" t="s">
        <v>15988</v>
      </c>
    </row>
    <row r="17684" spans="1:5" x14ac:dyDescent="0.25">
      <c r="A17684" t="s">
        <v>4</v>
      </c>
      <c r="B17684" t="s">
        <v>4111</v>
      </c>
      <c r="C17684" t="s">
        <v>23490</v>
      </c>
      <c r="D17684" t="str">
        <f>HYPERLINK("https://rhld.insurance.arkansas.gov/NPILookup?Npi=1134259443","1134259443")</f>
        <v>1134259443</v>
      </c>
      <c r="E17684" t="s">
        <v>17539</v>
      </c>
    </row>
    <row r="17685" spans="1:5" x14ac:dyDescent="0.25">
      <c r="A17685" t="s">
        <v>4</v>
      </c>
      <c r="B17685" t="s">
        <v>4111</v>
      </c>
      <c r="C17685" t="s">
        <v>23490</v>
      </c>
      <c r="D17685" t="str">
        <f>HYPERLINK("https://rhld.insurance.arkansas.gov/NPILookup?Npi=1134310048","1134310048")</f>
        <v>1134310048</v>
      </c>
      <c r="E17685" t="s">
        <v>15989</v>
      </c>
    </row>
    <row r="17686" spans="1:5" x14ac:dyDescent="0.25">
      <c r="A17686" t="s">
        <v>4</v>
      </c>
      <c r="B17686" t="s">
        <v>4111</v>
      </c>
      <c r="C17686" t="s">
        <v>23490</v>
      </c>
      <c r="D17686" t="str">
        <f>HYPERLINK("https://rhld.insurance.arkansas.gov/NPILookup?Npi=1134324627","1134324627")</f>
        <v>1134324627</v>
      </c>
      <c r="E17686" t="s">
        <v>9023</v>
      </c>
    </row>
    <row r="17687" spans="1:5" x14ac:dyDescent="0.25">
      <c r="A17687" t="s">
        <v>4</v>
      </c>
      <c r="B17687" t="s">
        <v>4111</v>
      </c>
      <c r="C17687" t="s">
        <v>23490</v>
      </c>
      <c r="D17687" t="str">
        <f>HYPERLINK("https://rhld.insurance.arkansas.gov/NPILookup?Npi=1134328131","1134328131")</f>
        <v>1134328131</v>
      </c>
      <c r="E17687" t="s">
        <v>9024</v>
      </c>
    </row>
    <row r="17688" spans="1:5" x14ac:dyDescent="0.25">
      <c r="A17688" t="s">
        <v>4</v>
      </c>
      <c r="B17688" t="s">
        <v>4111</v>
      </c>
      <c r="C17688" t="s">
        <v>23490</v>
      </c>
      <c r="D17688" t="str">
        <f>HYPERLINK("https://rhld.insurance.arkansas.gov/NPILookup?Npi=1134337744","1134337744")</f>
        <v>1134337744</v>
      </c>
      <c r="E17688" t="s">
        <v>4350</v>
      </c>
    </row>
    <row r="17689" spans="1:5" x14ac:dyDescent="0.25">
      <c r="A17689" t="s">
        <v>4</v>
      </c>
      <c r="B17689" t="s">
        <v>4111</v>
      </c>
      <c r="C17689" t="s">
        <v>23490</v>
      </c>
      <c r="D17689" t="str">
        <f>HYPERLINK("https://rhld.insurance.arkansas.gov/NPILookup?Npi=1134365281","1134365281")</f>
        <v>1134365281</v>
      </c>
      <c r="E17689" t="s">
        <v>4351</v>
      </c>
    </row>
    <row r="17690" spans="1:5" x14ac:dyDescent="0.25">
      <c r="A17690" t="s">
        <v>4</v>
      </c>
      <c r="B17690" t="s">
        <v>4111</v>
      </c>
      <c r="C17690" t="s">
        <v>23490</v>
      </c>
      <c r="D17690" t="str">
        <f>HYPERLINK("https://rhld.insurance.arkansas.gov/NPILookup?Npi=1134370125","1134370125")</f>
        <v>1134370125</v>
      </c>
      <c r="E17690" t="s">
        <v>4352</v>
      </c>
    </row>
    <row r="17691" spans="1:5" x14ac:dyDescent="0.25">
      <c r="A17691" t="s">
        <v>4</v>
      </c>
      <c r="B17691" t="s">
        <v>4111</v>
      </c>
      <c r="C17691" t="s">
        <v>23490</v>
      </c>
      <c r="D17691" t="str">
        <f>HYPERLINK("https://rhld.insurance.arkansas.gov/NPILookup?Npi=1134372147","1134372147")</f>
        <v>1134372147</v>
      </c>
      <c r="E17691" t="s">
        <v>4353</v>
      </c>
    </row>
    <row r="17692" spans="1:5" x14ac:dyDescent="0.25">
      <c r="A17692" t="s">
        <v>4</v>
      </c>
      <c r="B17692" t="s">
        <v>4111</v>
      </c>
      <c r="C17692" t="s">
        <v>23490</v>
      </c>
      <c r="D17692" t="str">
        <f>HYPERLINK("https://rhld.insurance.arkansas.gov/NPILookup?Npi=1134373855","1134373855")</f>
        <v>1134373855</v>
      </c>
      <c r="E17692" t="s">
        <v>13961</v>
      </c>
    </row>
    <row r="17693" spans="1:5" x14ac:dyDescent="0.25">
      <c r="A17693" t="s">
        <v>4</v>
      </c>
      <c r="B17693" t="s">
        <v>4111</v>
      </c>
      <c r="C17693" t="s">
        <v>23490</v>
      </c>
      <c r="D17693" t="str">
        <f>HYPERLINK("https://rhld.insurance.arkansas.gov/NPILookup?Npi=1134377583","1134377583")</f>
        <v>1134377583</v>
      </c>
      <c r="E17693" t="s">
        <v>4354</v>
      </c>
    </row>
    <row r="17694" spans="1:5" x14ac:dyDescent="0.25">
      <c r="A17694" t="s">
        <v>4</v>
      </c>
      <c r="B17694" t="s">
        <v>4111</v>
      </c>
      <c r="C17694" t="s">
        <v>23490</v>
      </c>
      <c r="D17694" t="str">
        <f>HYPERLINK("https://rhld.insurance.arkansas.gov/NPILookup?Npi=1134379357","1134379357")</f>
        <v>1134379357</v>
      </c>
      <c r="E17694" t="s">
        <v>11540</v>
      </c>
    </row>
    <row r="17695" spans="1:5" x14ac:dyDescent="0.25">
      <c r="A17695" t="s">
        <v>4</v>
      </c>
      <c r="B17695" t="s">
        <v>4111</v>
      </c>
      <c r="C17695" t="s">
        <v>23490</v>
      </c>
      <c r="D17695" t="str">
        <f>HYPERLINK("https://rhld.insurance.arkansas.gov/NPILookup?Npi=1134383680","1134383680")</f>
        <v>1134383680</v>
      </c>
      <c r="E17695" t="s">
        <v>4355</v>
      </c>
    </row>
    <row r="17696" spans="1:5" x14ac:dyDescent="0.25">
      <c r="A17696" t="s">
        <v>4</v>
      </c>
      <c r="B17696" t="s">
        <v>4111</v>
      </c>
      <c r="C17696" t="s">
        <v>23490</v>
      </c>
      <c r="D17696" t="str">
        <f>HYPERLINK("https://rhld.insurance.arkansas.gov/NPILookup?Npi=1134396807","1134396807")</f>
        <v>1134396807</v>
      </c>
      <c r="E17696" t="s">
        <v>20361</v>
      </c>
    </row>
    <row r="17697" spans="1:5" x14ac:dyDescent="0.25">
      <c r="A17697" t="s">
        <v>4</v>
      </c>
      <c r="B17697" t="s">
        <v>4111</v>
      </c>
      <c r="C17697" t="s">
        <v>23490</v>
      </c>
      <c r="D17697" t="str">
        <f>HYPERLINK("https://rhld.insurance.arkansas.gov/NPILookup?Npi=1134402613","1134402613")</f>
        <v>1134402613</v>
      </c>
      <c r="E17697" t="s">
        <v>15990</v>
      </c>
    </row>
    <row r="17698" spans="1:5" x14ac:dyDescent="0.25">
      <c r="A17698" t="s">
        <v>4</v>
      </c>
      <c r="B17698" t="s">
        <v>4111</v>
      </c>
      <c r="C17698" t="s">
        <v>23490</v>
      </c>
      <c r="D17698" t="str">
        <f>HYPERLINK("https://rhld.insurance.arkansas.gov/NPILookup?Npi=1134405160","1134405160")</f>
        <v>1134405160</v>
      </c>
      <c r="E17698" t="s">
        <v>20362</v>
      </c>
    </row>
    <row r="17699" spans="1:5" x14ac:dyDescent="0.25">
      <c r="A17699" t="s">
        <v>4</v>
      </c>
      <c r="B17699" t="s">
        <v>4111</v>
      </c>
      <c r="C17699" t="s">
        <v>23490</v>
      </c>
      <c r="D17699" t="str">
        <f>HYPERLINK("https://rhld.insurance.arkansas.gov/NPILookup?Npi=1134405806","1134405806")</f>
        <v>1134405806</v>
      </c>
      <c r="E17699" t="s">
        <v>11541</v>
      </c>
    </row>
    <row r="17700" spans="1:5" x14ac:dyDescent="0.25">
      <c r="A17700" t="s">
        <v>4</v>
      </c>
      <c r="B17700" t="s">
        <v>4111</v>
      </c>
      <c r="C17700" t="s">
        <v>23490</v>
      </c>
      <c r="D17700" t="str">
        <f>HYPERLINK("https://rhld.insurance.arkansas.gov/NPILookup?Npi=1134408636","1134408636")</f>
        <v>1134408636</v>
      </c>
      <c r="E17700" t="s">
        <v>21858</v>
      </c>
    </row>
    <row r="17701" spans="1:5" x14ac:dyDescent="0.25">
      <c r="A17701" t="s">
        <v>4</v>
      </c>
      <c r="B17701" t="s">
        <v>4111</v>
      </c>
      <c r="C17701" t="s">
        <v>8427</v>
      </c>
      <c r="D17701" t="str">
        <f>HYPERLINK("https://rhld.insurance.arkansas.gov/NPILookup?Npi=1134410467","1134410467")</f>
        <v>1134410467</v>
      </c>
      <c r="E17701" t="s">
        <v>23051</v>
      </c>
    </row>
    <row r="17702" spans="1:5" x14ac:dyDescent="0.25">
      <c r="A17702" t="s">
        <v>4</v>
      </c>
      <c r="B17702" t="s">
        <v>4111</v>
      </c>
      <c r="C17702" t="s">
        <v>23490</v>
      </c>
      <c r="D17702" t="str">
        <f>HYPERLINK("https://rhld.insurance.arkansas.gov/NPILookup?Npi=1134411036","1134411036")</f>
        <v>1134411036</v>
      </c>
      <c r="E17702" t="s">
        <v>4356</v>
      </c>
    </row>
    <row r="17703" spans="1:5" x14ac:dyDescent="0.25">
      <c r="A17703" t="s">
        <v>4</v>
      </c>
      <c r="B17703" t="s">
        <v>4111</v>
      </c>
      <c r="C17703" t="s">
        <v>23490</v>
      </c>
      <c r="D17703" t="str">
        <f>HYPERLINK("https://rhld.insurance.arkansas.gov/NPILookup?Npi=1134415367","1134415367")</f>
        <v>1134415367</v>
      </c>
      <c r="E17703" t="s">
        <v>18948</v>
      </c>
    </row>
    <row r="17704" spans="1:5" x14ac:dyDescent="0.25">
      <c r="A17704" t="s">
        <v>4</v>
      </c>
      <c r="B17704" t="s">
        <v>4111</v>
      </c>
      <c r="C17704" t="s">
        <v>23490</v>
      </c>
      <c r="D17704" t="str">
        <f>HYPERLINK("https://rhld.insurance.arkansas.gov/NPILookup?Npi=1134432602","1134432602")</f>
        <v>1134432602</v>
      </c>
      <c r="E17704" t="s">
        <v>21859</v>
      </c>
    </row>
    <row r="17705" spans="1:5" x14ac:dyDescent="0.25">
      <c r="A17705" t="s">
        <v>4</v>
      </c>
      <c r="B17705" t="s">
        <v>4111</v>
      </c>
      <c r="C17705" t="s">
        <v>23490</v>
      </c>
      <c r="D17705" t="str">
        <f>HYPERLINK("https://rhld.insurance.arkansas.gov/NPILookup?Npi=1134437676","1134437676")</f>
        <v>1134437676</v>
      </c>
      <c r="E17705" t="s">
        <v>4357</v>
      </c>
    </row>
    <row r="17706" spans="1:5" x14ac:dyDescent="0.25">
      <c r="A17706" t="s">
        <v>4</v>
      </c>
      <c r="B17706" t="s">
        <v>4111</v>
      </c>
      <c r="C17706" t="s">
        <v>23490</v>
      </c>
      <c r="D17706" t="str">
        <f>HYPERLINK("https://rhld.insurance.arkansas.gov/NPILookup?Npi=1134442015","1134442015")</f>
        <v>1134442015</v>
      </c>
      <c r="E17706" t="s">
        <v>11542</v>
      </c>
    </row>
    <row r="17707" spans="1:5" x14ac:dyDescent="0.25">
      <c r="A17707" t="s">
        <v>4</v>
      </c>
      <c r="B17707" t="s">
        <v>4111</v>
      </c>
      <c r="C17707" t="s">
        <v>23490</v>
      </c>
      <c r="D17707" t="str">
        <f>HYPERLINK("https://rhld.insurance.arkansas.gov/NPILookup?Npi=1134452071","1134452071")</f>
        <v>1134452071</v>
      </c>
      <c r="E17707" t="s">
        <v>4358</v>
      </c>
    </row>
    <row r="17708" spans="1:5" x14ac:dyDescent="0.25">
      <c r="A17708" t="s">
        <v>4</v>
      </c>
      <c r="B17708" t="s">
        <v>4111</v>
      </c>
      <c r="C17708" t="s">
        <v>23490</v>
      </c>
      <c r="D17708" t="str">
        <f>HYPERLINK("https://rhld.insurance.arkansas.gov/NPILookup?Npi=1134452352","1134452352")</f>
        <v>1134452352</v>
      </c>
      <c r="E17708" t="s">
        <v>13962</v>
      </c>
    </row>
    <row r="17709" spans="1:5" x14ac:dyDescent="0.25">
      <c r="A17709" t="s">
        <v>4</v>
      </c>
      <c r="B17709" t="s">
        <v>4111</v>
      </c>
      <c r="C17709" t="s">
        <v>23490</v>
      </c>
      <c r="D17709" t="str">
        <f>HYPERLINK("https://rhld.insurance.arkansas.gov/NPILookup?Npi=1134468051","1134468051")</f>
        <v>1134468051</v>
      </c>
      <c r="E17709" t="s">
        <v>20363</v>
      </c>
    </row>
    <row r="17710" spans="1:5" x14ac:dyDescent="0.25">
      <c r="A17710" t="s">
        <v>4</v>
      </c>
      <c r="B17710" t="s">
        <v>4111</v>
      </c>
      <c r="C17710" t="s">
        <v>23490</v>
      </c>
      <c r="D17710" t="str">
        <f>HYPERLINK("https://rhld.insurance.arkansas.gov/NPILookup?Npi=1134468895","1134468895")</f>
        <v>1134468895</v>
      </c>
      <c r="E17710" t="s">
        <v>11543</v>
      </c>
    </row>
    <row r="17711" spans="1:5" x14ac:dyDescent="0.25">
      <c r="A17711" t="s">
        <v>4</v>
      </c>
      <c r="B17711" t="s">
        <v>4111</v>
      </c>
      <c r="C17711" t="s">
        <v>23490</v>
      </c>
      <c r="D17711" t="str">
        <f>HYPERLINK("https://rhld.insurance.arkansas.gov/NPILookup?Npi=1134477003","1134477003")</f>
        <v>1134477003</v>
      </c>
      <c r="E17711" t="s">
        <v>13080</v>
      </c>
    </row>
    <row r="17712" spans="1:5" x14ac:dyDescent="0.25">
      <c r="A17712" t="s">
        <v>4</v>
      </c>
      <c r="B17712" t="s">
        <v>4111</v>
      </c>
      <c r="C17712" t="s">
        <v>23490</v>
      </c>
      <c r="D17712" t="str">
        <f>HYPERLINK("https://rhld.insurance.arkansas.gov/NPILookup?Npi=1134504947","1134504947")</f>
        <v>1134504947</v>
      </c>
      <c r="E17712" t="s">
        <v>15325</v>
      </c>
    </row>
    <row r="17713" spans="1:5" x14ac:dyDescent="0.25">
      <c r="A17713" t="s">
        <v>4</v>
      </c>
      <c r="B17713" t="s">
        <v>4111</v>
      </c>
      <c r="C17713" t="s">
        <v>23490</v>
      </c>
      <c r="D17713" t="str">
        <f>HYPERLINK("https://rhld.insurance.arkansas.gov/NPILookup?Npi=1134529241","1134529241")</f>
        <v>1134529241</v>
      </c>
      <c r="E17713" t="s">
        <v>21860</v>
      </c>
    </row>
    <row r="17714" spans="1:5" x14ac:dyDescent="0.25">
      <c r="A17714" t="s">
        <v>4</v>
      </c>
      <c r="B17714" t="s">
        <v>4111</v>
      </c>
      <c r="C17714" t="s">
        <v>23490</v>
      </c>
      <c r="D17714" t="str">
        <f>HYPERLINK("https://rhld.insurance.arkansas.gov/NPILookup?Npi=1134543531","1134543531")</f>
        <v>1134543531</v>
      </c>
      <c r="E17714" t="s">
        <v>13963</v>
      </c>
    </row>
    <row r="17715" spans="1:5" x14ac:dyDescent="0.25">
      <c r="A17715" t="s">
        <v>4</v>
      </c>
      <c r="B17715" t="s">
        <v>4111</v>
      </c>
      <c r="C17715" t="s">
        <v>23490</v>
      </c>
      <c r="D17715" t="str">
        <f>HYPERLINK("https://rhld.insurance.arkansas.gov/NPILookup?Npi=1134560865","1134560865")</f>
        <v>1134560865</v>
      </c>
      <c r="E17715" t="s">
        <v>15991</v>
      </c>
    </row>
    <row r="17716" spans="1:5" x14ac:dyDescent="0.25">
      <c r="A17716" t="s">
        <v>4</v>
      </c>
      <c r="B17716" t="s">
        <v>4111</v>
      </c>
      <c r="C17716" t="s">
        <v>23490</v>
      </c>
      <c r="D17716" t="str">
        <f>HYPERLINK("https://rhld.insurance.arkansas.gov/NPILookup?Npi=1134588452","1134588452")</f>
        <v>1134588452</v>
      </c>
      <c r="E17716" t="s">
        <v>18265</v>
      </c>
    </row>
    <row r="17717" spans="1:5" x14ac:dyDescent="0.25">
      <c r="A17717" t="s">
        <v>4</v>
      </c>
      <c r="B17717" t="s">
        <v>4111</v>
      </c>
      <c r="C17717" t="s">
        <v>23490</v>
      </c>
      <c r="D17717" t="str">
        <f>HYPERLINK("https://rhld.insurance.arkansas.gov/NPILookup?Npi=1134595473","1134595473")</f>
        <v>1134595473</v>
      </c>
      <c r="E17717" t="s">
        <v>17115</v>
      </c>
    </row>
    <row r="17718" spans="1:5" x14ac:dyDescent="0.25">
      <c r="A17718" t="s">
        <v>4</v>
      </c>
      <c r="B17718" t="s">
        <v>4111</v>
      </c>
      <c r="C17718" t="s">
        <v>23490</v>
      </c>
      <c r="D17718" t="str">
        <f>HYPERLINK("https://rhld.insurance.arkansas.gov/NPILookup?Npi=1134618671","1134618671")</f>
        <v>1134618671</v>
      </c>
      <c r="E17718" t="s">
        <v>18949</v>
      </c>
    </row>
    <row r="17719" spans="1:5" x14ac:dyDescent="0.25">
      <c r="A17719" t="s">
        <v>4</v>
      </c>
      <c r="B17719" t="s">
        <v>4111</v>
      </c>
      <c r="C17719" t="s">
        <v>23490</v>
      </c>
      <c r="D17719" t="str">
        <f>HYPERLINK("https://rhld.insurance.arkansas.gov/NPILookup?Npi=1134626583","1134626583")</f>
        <v>1134626583</v>
      </c>
      <c r="E17719" t="s">
        <v>18266</v>
      </c>
    </row>
    <row r="17720" spans="1:5" x14ac:dyDescent="0.25">
      <c r="A17720" t="s">
        <v>4</v>
      </c>
      <c r="B17720" t="s">
        <v>4111</v>
      </c>
      <c r="C17720" t="s">
        <v>23490</v>
      </c>
      <c r="D17720" t="str">
        <f>HYPERLINK("https://rhld.insurance.arkansas.gov/NPILookup?Npi=1134627961","1134627961")</f>
        <v>1134627961</v>
      </c>
      <c r="E17720" t="s">
        <v>21861</v>
      </c>
    </row>
    <row r="17721" spans="1:5" x14ac:dyDescent="0.25">
      <c r="A17721" t="s">
        <v>4</v>
      </c>
      <c r="B17721" t="s">
        <v>4111</v>
      </c>
      <c r="C17721" t="s">
        <v>23490</v>
      </c>
      <c r="D17721" t="str">
        <f>HYPERLINK("https://rhld.insurance.arkansas.gov/NPILookup?Npi=1134659014","1134659014")</f>
        <v>1134659014</v>
      </c>
      <c r="E17721" t="s">
        <v>18267</v>
      </c>
    </row>
    <row r="17722" spans="1:5" x14ac:dyDescent="0.25">
      <c r="A17722" t="s">
        <v>4</v>
      </c>
      <c r="B17722" t="s">
        <v>4111</v>
      </c>
      <c r="C17722" t="s">
        <v>23490</v>
      </c>
      <c r="D17722" t="str">
        <f>HYPERLINK("https://rhld.insurance.arkansas.gov/NPILookup?Npi=1134666472","1134666472")</f>
        <v>1134666472</v>
      </c>
      <c r="E17722" t="s">
        <v>20364</v>
      </c>
    </row>
    <row r="17723" spans="1:5" x14ac:dyDescent="0.25">
      <c r="A17723" t="s">
        <v>4</v>
      </c>
      <c r="B17723" t="s">
        <v>4111</v>
      </c>
      <c r="C17723" t="s">
        <v>23490</v>
      </c>
      <c r="D17723" t="str">
        <f>HYPERLINK("https://rhld.insurance.arkansas.gov/NPILookup?Npi=1134674906","1134674906")</f>
        <v>1134674906</v>
      </c>
      <c r="E17723" t="s">
        <v>13964</v>
      </c>
    </row>
    <row r="17724" spans="1:5" x14ac:dyDescent="0.25">
      <c r="A17724" t="s">
        <v>4</v>
      </c>
      <c r="B17724" t="s">
        <v>4111</v>
      </c>
      <c r="C17724" t="s">
        <v>23490</v>
      </c>
      <c r="D17724" t="str">
        <f>HYPERLINK("https://rhld.insurance.arkansas.gov/NPILookup?Npi=1134701063","1134701063")</f>
        <v>1134701063</v>
      </c>
      <c r="E17724" t="s">
        <v>21862</v>
      </c>
    </row>
    <row r="17725" spans="1:5" x14ac:dyDescent="0.25">
      <c r="A17725" t="s">
        <v>4</v>
      </c>
      <c r="B17725" t="s">
        <v>4111</v>
      </c>
      <c r="C17725" t="s">
        <v>23490</v>
      </c>
      <c r="D17725" t="str">
        <f>HYPERLINK("https://rhld.insurance.arkansas.gov/NPILookup?Npi=1134718968","1134718968")</f>
        <v>1134718968</v>
      </c>
      <c r="E17725" t="s">
        <v>17866</v>
      </c>
    </row>
    <row r="17726" spans="1:5" x14ac:dyDescent="0.25">
      <c r="A17726" t="s">
        <v>4</v>
      </c>
      <c r="B17726" t="s">
        <v>4111</v>
      </c>
      <c r="C17726" t="s">
        <v>23490</v>
      </c>
      <c r="D17726" t="str">
        <f>HYPERLINK("https://rhld.insurance.arkansas.gov/NPILookup?Npi=1134772999","1134772999")</f>
        <v>1134772999</v>
      </c>
      <c r="E17726" t="s">
        <v>2600</v>
      </c>
    </row>
    <row r="17727" spans="1:5" x14ac:dyDescent="0.25">
      <c r="A17727" t="s">
        <v>4</v>
      </c>
      <c r="B17727" t="s">
        <v>4111</v>
      </c>
      <c r="C17727" t="s">
        <v>23490</v>
      </c>
      <c r="D17727" t="str">
        <f>HYPERLINK("https://rhld.insurance.arkansas.gov/NPILookup?Npi=1134831456","1134831456")</f>
        <v>1134831456</v>
      </c>
      <c r="E17727" t="s">
        <v>21863</v>
      </c>
    </row>
    <row r="17728" spans="1:5" x14ac:dyDescent="0.25">
      <c r="A17728" t="s">
        <v>4</v>
      </c>
      <c r="B17728" t="s">
        <v>4111</v>
      </c>
      <c r="C17728" t="s">
        <v>23490</v>
      </c>
      <c r="D17728" t="str">
        <f>HYPERLINK("https://rhld.insurance.arkansas.gov/NPILookup?Npi=1134860257","1134860257")</f>
        <v>1134860257</v>
      </c>
      <c r="E17728" t="s">
        <v>21108</v>
      </c>
    </row>
    <row r="17729" spans="1:5" x14ac:dyDescent="0.25">
      <c r="A17729" t="s">
        <v>4</v>
      </c>
      <c r="B17729" t="s">
        <v>4111</v>
      </c>
      <c r="C17729" t="s">
        <v>23490</v>
      </c>
      <c r="D17729" t="str">
        <f>HYPERLINK("https://rhld.insurance.arkansas.gov/NPILookup?Npi=1134876808","1134876808")</f>
        <v>1134876808</v>
      </c>
      <c r="E17729" t="s">
        <v>21864</v>
      </c>
    </row>
    <row r="17730" spans="1:5" x14ac:dyDescent="0.25">
      <c r="A17730" t="s">
        <v>4</v>
      </c>
      <c r="B17730" t="s">
        <v>4111</v>
      </c>
      <c r="C17730" t="s">
        <v>23490</v>
      </c>
      <c r="D17730" t="str">
        <f>HYPERLINK("https://rhld.insurance.arkansas.gov/NPILookup?Npi=1144201104","1144201104")</f>
        <v>1144201104</v>
      </c>
      <c r="E17730" t="s">
        <v>4359</v>
      </c>
    </row>
    <row r="17731" spans="1:5" x14ac:dyDescent="0.25">
      <c r="A17731" t="s">
        <v>4</v>
      </c>
      <c r="B17731" t="s">
        <v>4111</v>
      </c>
      <c r="C17731" t="s">
        <v>23490</v>
      </c>
      <c r="D17731" t="str">
        <f>HYPERLINK("https://rhld.insurance.arkansas.gov/NPILookup?Npi=1144209479","1144209479")</f>
        <v>1144209479</v>
      </c>
      <c r="E17731" t="s">
        <v>4360</v>
      </c>
    </row>
    <row r="17732" spans="1:5" x14ac:dyDescent="0.25">
      <c r="A17732" t="s">
        <v>4</v>
      </c>
      <c r="B17732" t="s">
        <v>4111</v>
      </c>
      <c r="C17732" t="s">
        <v>23490</v>
      </c>
      <c r="D17732" t="str">
        <f>HYPERLINK("https://rhld.insurance.arkansas.gov/NPILookup?Npi=1144231499","1144231499")</f>
        <v>1144231499</v>
      </c>
      <c r="E17732" t="s">
        <v>21865</v>
      </c>
    </row>
    <row r="17733" spans="1:5" x14ac:dyDescent="0.25">
      <c r="A17733" t="s">
        <v>4</v>
      </c>
      <c r="B17733" t="s">
        <v>4111</v>
      </c>
      <c r="C17733" t="s">
        <v>23490</v>
      </c>
      <c r="D17733" t="str">
        <f>HYPERLINK("https://rhld.insurance.arkansas.gov/NPILookup?Npi=1144232091","1144232091")</f>
        <v>1144232091</v>
      </c>
      <c r="E17733" t="s">
        <v>4361</v>
      </c>
    </row>
    <row r="17734" spans="1:5" x14ac:dyDescent="0.25">
      <c r="A17734" t="s">
        <v>4</v>
      </c>
      <c r="B17734" t="s">
        <v>4111</v>
      </c>
      <c r="C17734" t="s">
        <v>23490</v>
      </c>
      <c r="D17734" t="str">
        <f>HYPERLINK("https://rhld.insurance.arkansas.gov/NPILookup?Npi=1144247743","1144247743")</f>
        <v>1144247743</v>
      </c>
      <c r="E17734" t="s">
        <v>4186</v>
      </c>
    </row>
    <row r="17735" spans="1:5" x14ac:dyDescent="0.25">
      <c r="A17735" t="s">
        <v>4</v>
      </c>
      <c r="B17735" t="s">
        <v>4111</v>
      </c>
      <c r="C17735" t="s">
        <v>23490</v>
      </c>
      <c r="D17735" t="str">
        <f>HYPERLINK("https://rhld.insurance.arkansas.gov/NPILookup?Npi=1144252412","1144252412")</f>
        <v>1144252412</v>
      </c>
      <c r="E17735" t="s">
        <v>4362</v>
      </c>
    </row>
    <row r="17736" spans="1:5" x14ac:dyDescent="0.25">
      <c r="A17736" t="s">
        <v>4</v>
      </c>
      <c r="B17736" t="s">
        <v>4111</v>
      </c>
      <c r="C17736" t="s">
        <v>23490</v>
      </c>
      <c r="D17736" t="str">
        <f>HYPERLINK("https://rhld.insurance.arkansas.gov/NPILookup?Npi=1144254251","1144254251")</f>
        <v>1144254251</v>
      </c>
      <c r="E17736" t="s">
        <v>4363</v>
      </c>
    </row>
    <row r="17737" spans="1:5" x14ac:dyDescent="0.25">
      <c r="A17737" t="s">
        <v>4</v>
      </c>
      <c r="B17737" t="s">
        <v>4111</v>
      </c>
      <c r="C17737" t="s">
        <v>23490</v>
      </c>
      <c r="D17737" t="str">
        <f>HYPERLINK("https://rhld.insurance.arkansas.gov/NPILookup?Npi=1144257916","1144257916")</f>
        <v>1144257916</v>
      </c>
      <c r="E17737" t="s">
        <v>4364</v>
      </c>
    </row>
    <row r="17738" spans="1:5" x14ac:dyDescent="0.25">
      <c r="A17738" t="s">
        <v>4</v>
      </c>
      <c r="B17738" t="s">
        <v>4111</v>
      </c>
      <c r="C17738" t="s">
        <v>23490</v>
      </c>
      <c r="D17738" t="str">
        <f>HYPERLINK("https://rhld.insurance.arkansas.gov/NPILookup?Npi=1144285115","1144285115")</f>
        <v>1144285115</v>
      </c>
      <c r="E17738" t="s">
        <v>4365</v>
      </c>
    </row>
    <row r="17739" spans="1:5" x14ac:dyDescent="0.25">
      <c r="A17739" t="s">
        <v>4</v>
      </c>
      <c r="B17739" t="s">
        <v>4111</v>
      </c>
      <c r="C17739" t="s">
        <v>23490</v>
      </c>
      <c r="D17739" t="str">
        <f>HYPERLINK("https://rhld.insurance.arkansas.gov/NPILookup?Npi=1144287772","1144287772")</f>
        <v>1144287772</v>
      </c>
      <c r="E17739" t="s">
        <v>40</v>
      </c>
    </row>
    <row r="17740" spans="1:5" x14ac:dyDescent="0.25">
      <c r="A17740" t="s">
        <v>4</v>
      </c>
      <c r="B17740" t="s">
        <v>4111</v>
      </c>
      <c r="C17740" t="s">
        <v>23490</v>
      </c>
      <c r="D17740" t="str">
        <f>HYPERLINK("https://rhld.insurance.arkansas.gov/NPILookup?Npi=1144306440","1144306440")</f>
        <v>1144306440</v>
      </c>
      <c r="E17740" t="s">
        <v>15992</v>
      </c>
    </row>
    <row r="17741" spans="1:5" x14ac:dyDescent="0.25">
      <c r="A17741" t="s">
        <v>4</v>
      </c>
      <c r="B17741" t="s">
        <v>4111</v>
      </c>
      <c r="C17741" t="s">
        <v>23490</v>
      </c>
      <c r="D17741" t="str">
        <f>HYPERLINK("https://rhld.insurance.arkansas.gov/NPILookup?Npi=1144312596","1144312596")</f>
        <v>1144312596</v>
      </c>
      <c r="E17741" t="s">
        <v>4366</v>
      </c>
    </row>
    <row r="17742" spans="1:5" x14ac:dyDescent="0.25">
      <c r="A17742" t="s">
        <v>4</v>
      </c>
      <c r="B17742" t="s">
        <v>4111</v>
      </c>
      <c r="C17742" t="s">
        <v>23490</v>
      </c>
      <c r="D17742" t="str">
        <f>HYPERLINK("https://rhld.insurance.arkansas.gov/NPILookup?Npi=1144322033","1144322033")</f>
        <v>1144322033</v>
      </c>
      <c r="E17742" t="s">
        <v>20365</v>
      </c>
    </row>
    <row r="17743" spans="1:5" x14ac:dyDescent="0.25">
      <c r="A17743" t="s">
        <v>4</v>
      </c>
      <c r="B17743" t="s">
        <v>4111</v>
      </c>
      <c r="C17743" t="s">
        <v>23490</v>
      </c>
      <c r="D17743" t="str">
        <f>HYPERLINK("https://rhld.insurance.arkansas.gov/NPILookup?Npi=1144337403","1144337403")</f>
        <v>1144337403</v>
      </c>
      <c r="E17743" t="s">
        <v>15993</v>
      </c>
    </row>
    <row r="17744" spans="1:5" x14ac:dyDescent="0.25">
      <c r="A17744" t="s">
        <v>4</v>
      </c>
      <c r="B17744" t="s">
        <v>4111</v>
      </c>
      <c r="C17744" t="s">
        <v>23490</v>
      </c>
      <c r="D17744" t="str">
        <f>HYPERLINK("https://rhld.insurance.arkansas.gov/NPILookup?Npi=1144342049","1144342049")</f>
        <v>1144342049</v>
      </c>
      <c r="E17744" t="s">
        <v>4367</v>
      </c>
    </row>
    <row r="17745" spans="1:5" x14ac:dyDescent="0.25">
      <c r="A17745" t="s">
        <v>4</v>
      </c>
      <c r="B17745" t="s">
        <v>4111</v>
      </c>
      <c r="C17745" t="s">
        <v>8427</v>
      </c>
      <c r="D17745" t="str">
        <f>HYPERLINK("https://rhld.insurance.arkansas.gov/NPILookup?Npi=1144346974","1144346974")</f>
        <v>1144346974</v>
      </c>
      <c r="E17745" t="s">
        <v>23052</v>
      </c>
    </row>
    <row r="17746" spans="1:5" x14ac:dyDescent="0.25">
      <c r="A17746" t="s">
        <v>4</v>
      </c>
      <c r="B17746" t="s">
        <v>4111</v>
      </c>
      <c r="C17746" t="s">
        <v>23490</v>
      </c>
      <c r="D17746" t="str">
        <f>HYPERLINK("https://rhld.insurance.arkansas.gov/NPILookup?Npi=1144357930","1144357930")</f>
        <v>1144357930</v>
      </c>
      <c r="E17746" t="s">
        <v>4368</v>
      </c>
    </row>
    <row r="17747" spans="1:5" x14ac:dyDescent="0.25">
      <c r="A17747" t="s">
        <v>4</v>
      </c>
      <c r="B17747" t="s">
        <v>4111</v>
      </c>
      <c r="C17747" t="s">
        <v>23490</v>
      </c>
      <c r="D17747" t="str">
        <f>HYPERLINK("https://rhld.insurance.arkansas.gov/NPILookup?Npi=1144370396","1144370396")</f>
        <v>1144370396</v>
      </c>
      <c r="E17747" t="s">
        <v>4369</v>
      </c>
    </row>
    <row r="17748" spans="1:5" x14ac:dyDescent="0.25">
      <c r="A17748" t="s">
        <v>4</v>
      </c>
      <c r="B17748" t="s">
        <v>4111</v>
      </c>
      <c r="C17748" t="s">
        <v>23490</v>
      </c>
      <c r="D17748" t="str">
        <f>HYPERLINK("https://rhld.insurance.arkansas.gov/NPILookup?Npi=1144379926","1144379926")</f>
        <v>1144379926</v>
      </c>
      <c r="E17748" t="s">
        <v>13081</v>
      </c>
    </row>
    <row r="17749" spans="1:5" x14ac:dyDescent="0.25">
      <c r="A17749" t="s">
        <v>4</v>
      </c>
      <c r="B17749" t="s">
        <v>4111</v>
      </c>
      <c r="C17749" t="s">
        <v>23490</v>
      </c>
      <c r="D17749" t="str">
        <f>HYPERLINK("https://rhld.insurance.arkansas.gov/NPILookup?Npi=1144398967","1144398967")</f>
        <v>1144398967</v>
      </c>
      <c r="E17749" t="s">
        <v>4370</v>
      </c>
    </row>
    <row r="17750" spans="1:5" x14ac:dyDescent="0.25">
      <c r="A17750" t="s">
        <v>4</v>
      </c>
      <c r="B17750" t="s">
        <v>4111</v>
      </c>
      <c r="C17750" t="s">
        <v>23490</v>
      </c>
      <c r="D17750" t="str">
        <f>HYPERLINK("https://rhld.insurance.arkansas.gov/NPILookup?Npi=1144400912","1144400912")</f>
        <v>1144400912</v>
      </c>
      <c r="E17750" t="s">
        <v>4371</v>
      </c>
    </row>
    <row r="17751" spans="1:5" x14ac:dyDescent="0.25">
      <c r="A17751" t="s">
        <v>4</v>
      </c>
      <c r="B17751" t="s">
        <v>4111</v>
      </c>
      <c r="C17751" t="s">
        <v>23490</v>
      </c>
      <c r="D17751" t="str">
        <f>HYPERLINK("https://rhld.insurance.arkansas.gov/NPILookup?Npi=1144417171","1144417171")</f>
        <v>1144417171</v>
      </c>
      <c r="E17751" t="s">
        <v>4372</v>
      </c>
    </row>
    <row r="17752" spans="1:5" x14ac:dyDescent="0.25">
      <c r="A17752" t="s">
        <v>4</v>
      </c>
      <c r="B17752" t="s">
        <v>4111</v>
      </c>
      <c r="C17752" t="s">
        <v>23490</v>
      </c>
      <c r="D17752" t="str">
        <f>HYPERLINK("https://rhld.insurance.arkansas.gov/NPILookup?Npi=1144424573","1144424573")</f>
        <v>1144424573</v>
      </c>
      <c r="E17752" t="s">
        <v>4373</v>
      </c>
    </row>
    <row r="17753" spans="1:5" x14ac:dyDescent="0.25">
      <c r="A17753" t="s">
        <v>4</v>
      </c>
      <c r="B17753" t="s">
        <v>4111</v>
      </c>
      <c r="C17753" t="s">
        <v>23490</v>
      </c>
      <c r="D17753" t="str">
        <f>HYPERLINK("https://rhld.insurance.arkansas.gov/NPILookup?Npi=1144434416","1144434416")</f>
        <v>1144434416</v>
      </c>
      <c r="E17753" t="s">
        <v>4374</v>
      </c>
    </row>
    <row r="17754" spans="1:5" x14ac:dyDescent="0.25">
      <c r="A17754" t="s">
        <v>4</v>
      </c>
      <c r="B17754" t="s">
        <v>4111</v>
      </c>
      <c r="C17754" t="s">
        <v>23490</v>
      </c>
      <c r="D17754" t="str">
        <f>HYPERLINK("https://rhld.insurance.arkansas.gov/NPILookup?Npi=1144438557","1144438557")</f>
        <v>1144438557</v>
      </c>
      <c r="E17754" t="s">
        <v>4375</v>
      </c>
    </row>
    <row r="17755" spans="1:5" x14ac:dyDescent="0.25">
      <c r="A17755" t="s">
        <v>4</v>
      </c>
      <c r="B17755" t="s">
        <v>4111</v>
      </c>
      <c r="C17755" t="s">
        <v>23490</v>
      </c>
      <c r="D17755" t="str">
        <f>HYPERLINK("https://rhld.insurance.arkansas.gov/NPILookup?Npi=1144463423","1144463423")</f>
        <v>1144463423</v>
      </c>
      <c r="E17755" t="s">
        <v>4376</v>
      </c>
    </row>
    <row r="17756" spans="1:5" x14ac:dyDescent="0.25">
      <c r="A17756" t="s">
        <v>4</v>
      </c>
      <c r="B17756" t="s">
        <v>4111</v>
      </c>
      <c r="C17756" t="s">
        <v>23490</v>
      </c>
      <c r="D17756" t="str">
        <f>HYPERLINK("https://rhld.insurance.arkansas.gov/NPILookup?Npi=1144465139","1144465139")</f>
        <v>1144465139</v>
      </c>
      <c r="E17756" t="s">
        <v>4377</v>
      </c>
    </row>
    <row r="17757" spans="1:5" x14ac:dyDescent="0.25">
      <c r="A17757" t="s">
        <v>4</v>
      </c>
      <c r="B17757" t="s">
        <v>4111</v>
      </c>
      <c r="C17757" t="s">
        <v>23490</v>
      </c>
      <c r="D17757" t="str">
        <f>HYPERLINK("https://rhld.insurance.arkansas.gov/NPILookup?Npi=1144473430","1144473430")</f>
        <v>1144473430</v>
      </c>
      <c r="E17757" t="s">
        <v>4378</v>
      </c>
    </row>
    <row r="17758" spans="1:5" x14ac:dyDescent="0.25">
      <c r="A17758" t="s">
        <v>4</v>
      </c>
      <c r="B17758" t="s">
        <v>4111</v>
      </c>
      <c r="C17758" t="s">
        <v>23490</v>
      </c>
      <c r="D17758" t="str">
        <f>HYPERLINK("https://rhld.insurance.arkansas.gov/NPILookup?Npi=1144475724","1144475724")</f>
        <v>1144475724</v>
      </c>
      <c r="E17758" t="s">
        <v>4379</v>
      </c>
    </row>
    <row r="17759" spans="1:5" x14ac:dyDescent="0.25">
      <c r="A17759" t="s">
        <v>4</v>
      </c>
      <c r="B17759" t="s">
        <v>4111</v>
      </c>
      <c r="C17759" t="s">
        <v>23490</v>
      </c>
      <c r="D17759" t="str">
        <f>HYPERLINK("https://rhld.insurance.arkansas.gov/NPILookup?Npi=1144482498","1144482498")</f>
        <v>1144482498</v>
      </c>
      <c r="E17759" t="s">
        <v>4380</v>
      </c>
    </row>
    <row r="17760" spans="1:5" x14ac:dyDescent="0.25">
      <c r="A17760" t="s">
        <v>4</v>
      </c>
      <c r="B17760" t="s">
        <v>4111</v>
      </c>
      <c r="C17760" t="s">
        <v>23490</v>
      </c>
      <c r="D17760" t="str">
        <f>HYPERLINK("https://rhld.insurance.arkansas.gov/NPILookup?Npi=1144497652","1144497652")</f>
        <v>1144497652</v>
      </c>
      <c r="E17760" t="s">
        <v>4381</v>
      </c>
    </row>
    <row r="17761" spans="1:5" x14ac:dyDescent="0.25">
      <c r="A17761" t="s">
        <v>4</v>
      </c>
      <c r="B17761" t="s">
        <v>4111</v>
      </c>
      <c r="C17761" t="s">
        <v>23490</v>
      </c>
      <c r="D17761" t="str">
        <f>HYPERLINK("https://rhld.insurance.arkansas.gov/NPILookup?Npi=1144498981","1144498981")</f>
        <v>1144498981</v>
      </c>
      <c r="E17761" t="s">
        <v>11544</v>
      </c>
    </row>
    <row r="17762" spans="1:5" x14ac:dyDescent="0.25">
      <c r="A17762" t="s">
        <v>4</v>
      </c>
      <c r="B17762" t="s">
        <v>4111</v>
      </c>
      <c r="C17762" t="s">
        <v>23490</v>
      </c>
      <c r="D17762" t="str">
        <f>HYPERLINK("https://rhld.insurance.arkansas.gov/NPILookup?Npi=1144500570","1144500570")</f>
        <v>1144500570</v>
      </c>
      <c r="E17762" t="s">
        <v>17116</v>
      </c>
    </row>
    <row r="17763" spans="1:5" x14ac:dyDescent="0.25">
      <c r="A17763" t="s">
        <v>4</v>
      </c>
      <c r="B17763" t="s">
        <v>4111</v>
      </c>
      <c r="C17763" t="s">
        <v>23490</v>
      </c>
      <c r="D17763" t="str">
        <f>HYPERLINK("https://rhld.insurance.arkansas.gov/NPILookup?Npi=1144501503","1144501503")</f>
        <v>1144501503</v>
      </c>
      <c r="E17763" t="s">
        <v>11545</v>
      </c>
    </row>
    <row r="17764" spans="1:5" x14ac:dyDescent="0.25">
      <c r="A17764" t="s">
        <v>4</v>
      </c>
      <c r="B17764" t="s">
        <v>4111</v>
      </c>
      <c r="C17764" t="s">
        <v>23490</v>
      </c>
      <c r="D17764" t="str">
        <f>HYPERLINK("https://rhld.insurance.arkansas.gov/NPILookup?Npi=1144502238","1144502238")</f>
        <v>1144502238</v>
      </c>
      <c r="E17764" t="s">
        <v>18950</v>
      </c>
    </row>
    <row r="17765" spans="1:5" x14ac:dyDescent="0.25">
      <c r="A17765" t="s">
        <v>4</v>
      </c>
      <c r="B17765" t="s">
        <v>4111</v>
      </c>
      <c r="C17765" t="s">
        <v>23490</v>
      </c>
      <c r="D17765" t="str">
        <f>HYPERLINK("https://rhld.insurance.arkansas.gov/NPILookup?Npi=1144533712","1144533712")</f>
        <v>1144533712</v>
      </c>
      <c r="E17765" t="s">
        <v>4382</v>
      </c>
    </row>
    <row r="17766" spans="1:5" x14ac:dyDescent="0.25">
      <c r="A17766" t="s">
        <v>4</v>
      </c>
      <c r="B17766" t="s">
        <v>4111</v>
      </c>
      <c r="C17766" t="s">
        <v>23490</v>
      </c>
      <c r="D17766" t="str">
        <f>HYPERLINK("https://rhld.insurance.arkansas.gov/NPILookup?Npi=1144543026","1144543026")</f>
        <v>1144543026</v>
      </c>
      <c r="E17766" t="s">
        <v>11546</v>
      </c>
    </row>
    <row r="17767" spans="1:5" x14ac:dyDescent="0.25">
      <c r="A17767" t="s">
        <v>4</v>
      </c>
      <c r="B17767" t="s">
        <v>4111</v>
      </c>
      <c r="C17767" t="s">
        <v>23490</v>
      </c>
      <c r="D17767" t="str">
        <f>HYPERLINK("https://rhld.insurance.arkansas.gov/NPILookup?Npi=1144545062","1144545062")</f>
        <v>1144545062</v>
      </c>
      <c r="E17767" t="s">
        <v>4383</v>
      </c>
    </row>
    <row r="17768" spans="1:5" x14ac:dyDescent="0.25">
      <c r="A17768" t="s">
        <v>4</v>
      </c>
      <c r="B17768" t="s">
        <v>4111</v>
      </c>
      <c r="C17768" t="s">
        <v>23490</v>
      </c>
      <c r="D17768" t="str">
        <f>HYPERLINK("https://rhld.insurance.arkansas.gov/NPILookup?Npi=1144582727","1144582727")</f>
        <v>1144582727</v>
      </c>
      <c r="E17768" t="s">
        <v>4384</v>
      </c>
    </row>
    <row r="17769" spans="1:5" x14ac:dyDescent="0.25">
      <c r="A17769" t="s">
        <v>4</v>
      </c>
      <c r="B17769" t="s">
        <v>4111</v>
      </c>
      <c r="C17769" t="s">
        <v>23490</v>
      </c>
      <c r="D17769" t="str">
        <f>HYPERLINK("https://rhld.insurance.arkansas.gov/NPILookup?Npi=1144595422","1144595422")</f>
        <v>1144595422</v>
      </c>
      <c r="E17769" t="s">
        <v>20366</v>
      </c>
    </row>
    <row r="17770" spans="1:5" x14ac:dyDescent="0.25">
      <c r="A17770" t="s">
        <v>4</v>
      </c>
      <c r="B17770" t="s">
        <v>4111</v>
      </c>
      <c r="C17770" t="s">
        <v>23490</v>
      </c>
      <c r="D17770" t="str">
        <f>HYPERLINK("https://rhld.insurance.arkansas.gov/NPILookup?Npi=1144606567","1144606567")</f>
        <v>1144606567</v>
      </c>
      <c r="E17770" t="s">
        <v>13965</v>
      </c>
    </row>
    <row r="17771" spans="1:5" x14ac:dyDescent="0.25">
      <c r="A17771" t="s">
        <v>4</v>
      </c>
      <c r="B17771" t="s">
        <v>4111</v>
      </c>
      <c r="C17771" t="s">
        <v>23490</v>
      </c>
      <c r="D17771" t="str">
        <f>HYPERLINK("https://rhld.insurance.arkansas.gov/NPILookup?Npi=1144630203","1144630203")</f>
        <v>1144630203</v>
      </c>
      <c r="E17771" t="s">
        <v>9025</v>
      </c>
    </row>
    <row r="17772" spans="1:5" x14ac:dyDescent="0.25">
      <c r="A17772" t="s">
        <v>4</v>
      </c>
      <c r="B17772" t="s">
        <v>4111</v>
      </c>
      <c r="C17772" t="s">
        <v>23490</v>
      </c>
      <c r="D17772" t="str">
        <f>HYPERLINK("https://rhld.insurance.arkansas.gov/NPILookup?Npi=1144645698","1144645698")</f>
        <v>1144645698</v>
      </c>
      <c r="E17772" t="s">
        <v>21866</v>
      </c>
    </row>
    <row r="17773" spans="1:5" x14ac:dyDescent="0.25">
      <c r="A17773" t="s">
        <v>4</v>
      </c>
      <c r="B17773" t="s">
        <v>4111</v>
      </c>
      <c r="C17773" t="s">
        <v>23490</v>
      </c>
      <c r="D17773" t="str">
        <f>HYPERLINK("https://rhld.insurance.arkansas.gov/NPILookup?Npi=1144645920","1144645920")</f>
        <v>1144645920</v>
      </c>
      <c r="E17773" t="s">
        <v>11547</v>
      </c>
    </row>
    <row r="17774" spans="1:5" x14ac:dyDescent="0.25">
      <c r="A17774" t="s">
        <v>4</v>
      </c>
      <c r="B17774" t="s">
        <v>4111</v>
      </c>
      <c r="C17774" t="s">
        <v>23490</v>
      </c>
      <c r="D17774" t="str">
        <f>HYPERLINK("https://rhld.insurance.arkansas.gov/NPILookup?Npi=1144685678","1144685678")</f>
        <v>1144685678</v>
      </c>
      <c r="E17774" t="s">
        <v>17117</v>
      </c>
    </row>
    <row r="17775" spans="1:5" x14ac:dyDescent="0.25">
      <c r="A17775" t="s">
        <v>4</v>
      </c>
      <c r="B17775" t="s">
        <v>4111</v>
      </c>
      <c r="C17775" t="s">
        <v>23490</v>
      </c>
      <c r="D17775" t="str">
        <f>HYPERLINK("https://rhld.insurance.arkansas.gov/NPILookup?Npi=1144691320","1144691320")</f>
        <v>1144691320</v>
      </c>
      <c r="E17775" t="s">
        <v>8513</v>
      </c>
    </row>
    <row r="17776" spans="1:5" x14ac:dyDescent="0.25">
      <c r="A17776" t="s">
        <v>4</v>
      </c>
      <c r="B17776" t="s">
        <v>4111</v>
      </c>
      <c r="C17776" t="s">
        <v>8427</v>
      </c>
      <c r="D17776" t="str">
        <f>HYPERLINK("https://rhld.insurance.arkansas.gov/NPILookup?Npi=1144700725","1144700725")</f>
        <v>1144700725</v>
      </c>
      <c r="E17776" t="s">
        <v>23053</v>
      </c>
    </row>
    <row r="17777" spans="1:5" x14ac:dyDescent="0.25">
      <c r="A17777" t="s">
        <v>4</v>
      </c>
      <c r="B17777" t="s">
        <v>4111</v>
      </c>
      <c r="C17777" t="s">
        <v>23490</v>
      </c>
      <c r="D17777" t="str">
        <f>HYPERLINK("https://rhld.insurance.arkansas.gov/NPILookup?Npi=1144707746","1144707746")</f>
        <v>1144707746</v>
      </c>
      <c r="E17777" t="s">
        <v>18268</v>
      </c>
    </row>
    <row r="17778" spans="1:5" x14ac:dyDescent="0.25">
      <c r="A17778" t="s">
        <v>4</v>
      </c>
      <c r="B17778" t="s">
        <v>4111</v>
      </c>
      <c r="C17778" t="s">
        <v>23490</v>
      </c>
      <c r="D17778" t="str">
        <f>HYPERLINK("https://rhld.insurance.arkansas.gov/NPILookup?Npi=1144722430","1144722430")</f>
        <v>1144722430</v>
      </c>
      <c r="E17778" t="s">
        <v>21867</v>
      </c>
    </row>
    <row r="17779" spans="1:5" x14ac:dyDescent="0.25">
      <c r="A17779" t="s">
        <v>4</v>
      </c>
      <c r="B17779" t="s">
        <v>4111</v>
      </c>
      <c r="C17779" t="s">
        <v>23490</v>
      </c>
      <c r="D17779" t="str">
        <f>HYPERLINK("https://rhld.insurance.arkansas.gov/NPILookup?Npi=1144732405","1144732405")</f>
        <v>1144732405</v>
      </c>
      <c r="E17779" t="s">
        <v>18951</v>
      </c>
    </row>
    <row r="17780" spans="1:5" x14ac:dyDescent="0.25">
      <c r="A17780" t="s">
        <v>4</v>
      </c>
      <c r="B17780" t="s">
        <v>4111</v>
      </c>
      <c r="C17780" t="s">
        <v>23490</v>
      </c>
      <c r="D17780" t="str">
        <f>HYPERLINK("https://rhld.insurance.arkansas.gov/NPILookup?Npi=1144737396","1144737396")</f>
        <v>1144737396</v>
      </c>
      <c r="E17780" t="s">
        <v>13082</v>
      </c>
    </row>
    <row r="17781" spans="1:5" x14ac:dyDescent="0.25">
      <c r="A17781" t="s">
        <v>4</v>
      </c>
      <c r="B17781" t="s">
        <v>4111</v>
      </c>
      <c r="C17781" t="s">
        <v>23490</v>
      </c>
      <c r="D17781" t="str">
        <f>HYPERLINK("https://rhld.insurance.arkansas.gov/NPILookup?Npi=1144748526","1144748526")</f>
        <v>1144748526</v>
      </c>
      <c r="E17781" t="s">
        <v>17540</v>
      </c>
    </row>
    <row r="17782" spans="1:5" x14ac:dyDescent="0.25">
      <c r="A17782" t="s">
        <v>4</v>
      </c>
      <c r="B17782" t="s">
        <v>4111</v>
      </c>
      <c r="C17782" t="s">
        <v>23490</v>
      </c>
      <c r="D17782" t="str">
        <f>HYPERLINK("https://rhld.insurance.arkansas.gov/NPILookup?Npi=1144771395","1144771395")</f>
        <v>1144771395</v>
      </c>
      <c r="E17782" t="s">
        <v>11548</v>
      </c>
    </row>
    <row r="17783" spans="1:5" x14ac:dyDescent="0.25">
      <c r="A17783" t="s">
        <v>4</v>
      </c>
      <c r="B17783" t="s">
        <v>4111</v>
      </c>
      <c r="C17783" t="s">
        <v>23490</v>
      </c>
      <c r="D17783" t="str">
        <f>HYPERLINK("https://rhld.insurance.arkansas.gov/NPILookup?Npi=1144793910","1144793910")</f>
        <v>1144793910</v>
      </c>
      <c r="E17783" t="s">
        <v>13966</v>
      </c>
    </row>
    <row r="17784" spans="1:5" x14ac:dyDescent="0.25">
      <c r="A17784" t="s">
        <v>4</v>
      </c>
      <c r="B17784" t="s">
        <v>4111</v>
      </c>
      <c r="C17784" t="s">
        <v>23490</v>
      </c>
      <c r="D17784" t="str">
        <f>HYPERLINK("https://rhld.insurance.arkansas.gov/NPILookup?Npi=1144799636","1144799636")</f>
        <v>1144799636</v>
      </c>
      <c r="E17784" t="s">
        <v>18952</v>
      </c>
    </row>
    <row r="17785" spans="1:5" x14ac:dyDescent="0.25">
      <c r="A17785" t="s">
        <v>4</v>
      </c>
      <c r="B17785" t="s">
        <v>4111</v>
      </c>
      <c r="C17785" t="s">
        <v>8427</v>
      </c>
      <c r="D17785" t="str">
        <f>HYPERLINK("https://rhld.insurance.arkansas.gov/NPILookup?Npi=1144848821","1144848821")</f>
        <v>1144848821</v>
      </c>
      <c r="E17785" t="s">
        <v>22870</v>
      </c>
    </row>
    <row r="17786" spans="1:5" x14ac:dyDescent="0.25">
      <c r="A17786" t="s">
        <v>4</v>
      </c>
      <c r="B17786" t="s">
        <v>4111</v>
      </c>
      <c r="C17786" t="s">
        <v>23490</v>
      </c>
      <c r="D17786" t="str">
        <f>HYPERLINK("https://rhld.insurance.arkansas.gov/NPILookup?Npi=1144852336","1144852336")</f>
        <v>1144852336</v>
      </c>
      <c r="E17786" t="s">
        <v>18269</v>
      </c>
    </row>
    <row r="17787" spans="1:5" x14ac:dyDescent="0.25">
      <c r="A17787" t="s">
        <v>4</v>
      </c>
      <c r="B17787" t="s">
        <v>4111</v>
      </c>
      <c r="C17787" t="s">
        <v>23490</v>
      </c>
      <c r="D17787" t="str">
        <f>HYPERLINK("https://rhld.insurance.arkansas.gov/NPILookup?Npi=1144852765","1144852765")</f>
        <v>1144852765</v>
      </c>
      <c r="E17787" t="s">
        <v>18953</v>
      </c>
    </row>
    <row r="17788" spans="1:5" x14ac:dyDescent="0.25">
      <c r="A17788" t="s">
        <v>4</v>
      </c>
      <c r="B17788" t="s">
        <v>4111</v>
      </c>
      <c r="C17788" t="s">
        <v>23490</v>
      </c>
      <c r="D17788" t="str">
        <f>HYPERLINK("https://rhld.insurance.arkansas.gov/NPILookup?Npi=1144857996","1144857996")</f>
        <v>1144857996</v>
      </c>
      <c r="E17788" t="s">
        <v>18270</v>
      </c>
    </row>
    <row r="17789" spans="1:5" x14ac:dyDescent="0.25">
      <c r="A17789" t="s">
        <v>4</v>
      </c>
      <c r="B17789" t="s">
        <v>4111</v>
      </c>
      <c r="C17789" t="s">
        <v>23490</v>
      </c>
      <c r="D17789" t="str">
        <f>HYPERLINK("https://rhld.insurance.arkansas.gov/NPILookup?Npi=1144860321","1144860321")</f>
        <v>1144860321</v>
      </c>
      <c r="E17789" t="s">
        <v>17118</v>
      </c>
    </row>
    <row r="17790" spans="1:5" x14ac:dyDescent="0.25">
      <c r="A17790" t="s">
        <v>4</v>
      </c>
      <c r="B17790" t="s">
        <v>4111</v>
      </c>
      <c r="C17790" t="s">
        <v>23490</v>
      </c>
      <c r="D17790" t="str">
        <f>HYPERLINK("https://rhld.insurance.arkansas.gov/NPILookup?Npi=1144873761","1144873761")</f>
        <v>1144873761</v>
      </c>
      <c r="E17790" t="s">
        <v>21868</v>
      </c>
    </row>
    <row r="17791" spans="1:5" x14ac:dyDescent="0.25">
      <c r="A17791" t="s">
        <v>4</v>
      </c>
      <c r="B17791" t="s">
        <v>4111</v>
      </c>
      <c r="C17791" t="s">
        <v>23490</v>
      </c>
      <c r="D17791" t="str">
        <f>HYPERLINK("https://rhld.insurance.arkansas.gov/NPILookup?Npi=1144879404","1144879404")</f>
        <v>1144879404</v>
      </c>
      <c r="E17791" t="s">
        <v>18271</v>
      </c>
    </row>
    <row r="17792" spans="1:5" x14ac:dyDescent="0.25">
      <c r="A17792" t="s">
        <v>4</v>
      </c>
      <c r="B17792" t="s">
        <v>4111</v>
      </c>
      <c r="C17792" t="s">
        <v>23490</v>
      </c>
      <c r="D17792" t="str">
        <f>HYPERLINK("https://rhld.insurance.arkansas.gov/NPILookup?Npi=1144899972","1144899972")</f>
        <v>1144899972</v>
      </c>
      <c r="E17792" t="s">
        <v>20367</v>
      </c>
    </row>
    <row r="17793" spans="1:5" x14ac:dyDescent="0.25">
      <c r="A17793" t="s">
        <v>4</v>
      </c>
      <c r="B17793" t="s">
        <v>4111</v>
      </c>
      <c r="C17793" t="s">
        <v>23490</v>
      </c>
      <c r="D17793" t="str">
        <f>HYPERLINK("https://rhld.insurance.arkansas.gov/NPILookup?Npi=1144958752","1144958752")</f>
        <v>1144958752</v>
      </c>
      <c r="E17793" t="s">
        <v>21869</v>
      </c>
    </row>
    <row r="17794" spans="1:5" x14ac:dyDescent="0.25">
      <c r="A17794" t="s">
        <v>4</v>
      </c>
      <c r="B17794" t="s">
        <v>4111</v>
      </c>
      <c r="C17794" t="s">
        <v>23490</v>
      </c>
      <c r="D17794" t="str">
        <f>HYPERLINK("https://rhld.insurance.arkansas.gov/NPILookup?Npi=1144965021","1144965021")</f>
        <v>1144965021</v>
      </c>
      <c r="E17794" t="s">
        <v>21870</v>
      </c>
    </row>
    <row r="17795" spans="1:5" x14ac:dyDescent="0.25">
      <c r="A17795" t="s">
        <v>4</v>
      </c>
      <c r="B17795" t="s">
        <v>4111</v>
      </c>
      <c r="C17795" t="s">
        <v>23490</v>
      </c>
      <c r="D17795" t="str">
        <f>HYPERLINK("https://rhld.insurance.arkansas.gov/NPILookup?Npi=1144994369","1144994369")</f>
        <v>1144994369</v>
      </c>
      <c r="E17795" t="s">
        <v>21871</v>
      </c>
    </row>
    <row r="17796" spans="1:5" x14ac:dyDescent="0.25">
      <c r="A17796" t="s">
        <v>4</v>
      </c>
      <c r="B17796" t="s">
        <v>4111</v>
      </c>
      <c r="C17796" t="s">
        <v>23490</v>
      </c>
      <c r="D17796" t="str">
        <f>HYPERLINK("https://rhld.insurance.arkansas.gov/NPILookup?Npi=1154043941","1154043941")</f>
        <v>1154043941</v>
      </c>
      <c r="E17796" t="s">
        <v>21872</v>
      </c>
    </row>
    <row r="17797" spans="1:5" x14ac:dyDescent="0.25">
      <c r="A17797" t="s">
        <v>4</v>
      </c>
      <c r="B17797" t="s">
        <v>4111</v>
      </c>
      <c r="C17797" t="s">
        <v>23490</v>
      </c>
      <c r="D17797" t="str">
        <f>HYPERLINK("https://rhld.insurance.arkansas.gov/NPILookup?Npi=1154059764","1154059764")</f>
        <v>1154059764</v>
      </c>
      <c r="E17797" t="s">
        <v>21873</v>
      </c>
    </row>
    <row r="17798" spans="1:5" x14ac:dyDescent="0.25">
      <c r="A17798" t="s">
        <v>4</v>
      </c>
      <c r="B17798" t="s">
        <v>4111</v>
      </c>
      <c r="C17798" t="s">
        <v>23490</v>
      </c>
      <c r="D17798" t="str">
        <f>HYPERLINK("https://rhld.insurance.arkansas.gov/NPILookup?Npi=1154098788","1154098788")</f>
        <v>1154098788</v>
      </c>
      <c r="E17798" t="s">
        <v>21874</v>
      </c>
    </row>
    <row r="17799" spans="1:5" x14ac:dyDescent="0.25">
      <c r="A17799" t="s">
        <v>4</v>
      </c>
      <c r="B17799" t="s">
        <v>4111</v>
      </c>
      <c r="C17799" t="s">
        <v>23490</v>
      </c>
      <c r="D17799" t="str">
        <f>HYPERLINK("https://rhld.insurance.arkansas.gov/NPILookup?Npi=1154304665","1154304665")</f>
        <v>1154304665</v>
      </c>
      <c r="E17799" t="s">
        <v>4385</v>
      </c>
    </row>
    <row r="17800" spans="1:5" x14ac:dyDescent="0.25">
      <c r="A17800" t="s">
        <v>4</v>
      </c>
      <c r="B17800" t="s">
        <v>4111</v>
      </c>
      <c r="C17800" t="s">
        <v>23490</v>
      </c>
      <c r="D17800" t="str">
        <f>HYPERLINK("https://rhld.insurance.arkansas.gov/NPILookup?Npi=1154341568","1154341568")</f>
        <v>1154341568</v>
      </c>
      <c r="E17800" t="s">
        <v>21875</v>
      </c>
    </row>
    <row r="17801" spans="1:5" x14ac:dyDescent="0.25">
      <c r="A17801" t="s">
        <v>4</v>
      </c>
      <c r="B17801" t="s">
        <v>4111</v>
      </c>
      <c r="C17801" t="s">
        <v>23490</v>
      </c>
      <c r="D17801" t="str">
        <f>HYPERLINK("https://rhld.insurance.arkansas.gov/NPILookup?Npi=1154343499","1154343499")</f>
        <v>1154343499</v>
      </c>
      <c r="E17801" t="s">
        <v>4386</v>
      </c>
    </row>
    <row r="17802" spans="1:5" x14ac:dyDescent="0.25">
      <c r="A17802" t="s">
        <v>4</v>
      </c>
      <c r="B17802" t="s">
        <v>4111</v>
      </c>
      <c r="C17802" t="s">
        <v>23490</v>
      </c>
      <c r="D17802" t="str">
        <f>HYPERLINK("https://rhld.insurance.arkansas.gov/NPILookup?Npi=1154355618","1154355618")</f>
        <v>1154355618</v>
      </c>
      <c r="E17802" t="s">
        <v>4387</v>
      </c>
    </row>
    <row r="17803" spans="1:5" x14ac:dyDescent="0.25">
      <c r="A17803" t="s">
        <v>4</v>
      </c>
      <c r="B17803" t="s">
        <v>4111</v>
      </c>
      <c r="C17803" t="s">
        <v>23490</v>
      </c>
      <c r="D17803" t="str">
        <f>HYPERLINK("https://rhld.insurance.arkansas.gov/NPILookup?Npi=1154370518","1154370518")</f>
        <v>1154370518</v>
      </c>
      <c r="E17803" t="s">
        <v>4388</v>
      </c>
    </row>
    <row r="17804" spans="1:5" x14ac:dyDescent="0.25">
      <c r="A17804" t="s">
        <v>4</v>
      </c>
      <c r="B17804" t="s">
        <v>4111</v>
      </c>
      <c r="C17804" t="s">
        <v>23490</v>
      </c>
      <c r="D17804" t="str">
        <f>HYPERLINK("https://rhld.insurance.arkansas.gov/NPILookup?Npi=1154372134","1154372134")</f>
        <v>1154372134</v>
      </c>
      <c r="E17804" t="s">
        <v>4389</v>
      </c>
    </row>
    <row r="17805" spans="1:5" x14ac:dyDescent="0.25">
      <c r="A17805" t="s">
        <v>4</v>
      </c>
      <c r="B17805" t="s">
        <v>4111</v>
      </c>
      <c r="C17805" t="s">
        <v>23490</v>
      </c>
      <c r="D17805" t="str">
        <f>HYPERLINK("https://rhld.insurance.arkansas.gov/NPILookup?Npi=1154397982","1154397982")</f>
        <v>1154397982</v>
      </c>
      <c r="E17805" t="s">
        <v>4390</v>
      </c>
    </row>
    <row r="17806" spans="1:5" x14ac:dyDescent="0.25">
      <c r="A17806" t="s">
        <v>4</v>
      </c>
      <c r="B17806" t="s">
        <v>4111</v>
      </c>
      <c r="C17806" t="s">
        <v>23490</v>
      </c>
      <c r="D17806" t="str">
        <f>HYPERLINK("https://rhld.insurance.arkansas.gov/NPILookup?Npi=1154410793","1154410793")</f>
        <v>1154410793</v>
      </c>
      <c r="E17806" t="s">
        <v>21109</v>
      </c>
    </row>
    <row r="17807" spans="1:5" x14ac:dyDescent="0.25">
      <c r="A17807" t="s">
        <v>4</v>
      </c>
      <c r="B17807" t="s">
        <v>4111</v>
      </c>
      <c r="C17807" t="s">
        <v>23490</v>
      </c>
      <c r="D17807" t="str">
        <f>HYPERLINK("https://rhld.insurance.arkansas.gov/NPILookup?Npi=1154411627","1154411627")</f>
        <v>1154411627</v>
      </c>
      <c r="E17807" t="s">
        <v>4391</v>
      </c>
    </row>
    <row r="17808" spans="1:5" x14ac:dyDescent="0.25">
      <c r="A17808" t="s">
        <v>4</v>
      </c>
      <c r="B17808" t="s">
        <v>4111</v>
      </c>
      <c r="C17808" t="s">
        <v>23490</v>
      </c>
      <c r="D17808" t="str">
        <f>HYPERLINK("https://rhld.insurance.arkansas.gov/NPILookup?Npi=1154412815","1154412815")</f>
        <v>1154412815</v>
      </c>
      <c r="E17808" t="s">
        <v>4392</v>
      </c>
    </row>
    <row r="17809" spans="1:5" x14ac:dyDescent="0.25">
      <c r="A17809" t="s">
        <v>4</v>
      </c>
      <c r="B17809" t="s">
        <v>4111</v>
      </c>
      <c r="C17809" t="s">
        <v>23490</v>
      </c>
      <c r="D17809" t="str">
        <f>HYPERLINK("https://rhld.insurance.arkansas.gov/NPILookup?Npi=1154421394","1154421394")</f>
        <v>1154421394</v>
      </c>
      <c r="E17809" t="s">
        <v>4393</v>
      </c>
    </row>
    <row r="17810" spans="1:5" x14ac:dyDescent="0.25">
      <c r="A17810" t="s">
        <v>4</v>
      </c>
      <c r="B17810" t="s">
        <v>4111</v>
      </c>
      <c r="C17810" t="s">
        <v>23490</v>
      </c>
      <c r="D17810" t="str">
        <f>HYPERLINK("https://rhld.insurance.arkansas.gov/NPILookup?Npi=1154423846","1154423846")</f>
        <v>1154423846</v>
      </c>
      <c r="E17810" t="s">
        <v>4394</v>
      </c>
    </row>
    <row r="17811" spans="1:5" x14ac:dyDescent="0.25">
      <c r="A17811" t="s">
        <v>4</v>
      </c>
      <c r="B17811" t="s">
        <v>4111</v>
      </c>
      <c r="C17811" t="s">
        <v>23490</v>
      </c>
      <c r="D17811" t="str">
        <f>HYPERLINK("https://rhld.insurance.arkansas.gov/NPILookup?Npi=1154432441","1154432441")</f>
        <v>1154432441</v>
      </c>
      <c r="E17811" t="s">
        <v>20368</v>
      </c>
    </row>
    <row r="17812" spans="1:5" x14ac:dyDescent="0.25">
      <c r="A17812" t="s">
        <v>4</v>
      </c>
      <c r="B17812" t="s">
        <v>4111</v>
      </c>
      <c r="C17812" t="s">
        <v>23490</v>
      </c>
      <c r="D17812" t="str">
        <f>HYPERLINK("https://rhld.insurance.arkansas.gov/NPILookup?Npi=1154448470","1154448470")</f>
        <v>1154448470</v>
      </c>
      <c r="E17812" t="s">
        <v>15994</v>
      </c>
    </row>
    <row r="17813" spans="1:5" x14ac:dyDescent="0.25">
      <c r="A17813" t="s">
        <v>4</v>
      </c>
      <c r="B17813" t="s">
        <v>4111</v>
      </c>
      <c r="C17813" t="s">
        <v>23490</v>
      </c>
      <c r="D17813" t="str">
        <f>HYPERLINK("https://rhld.insurance.arkansas.gov/NPILookup?Npi=1154460509","1154460509")</f>
        <v>1154460509</v>
      </c>
      <c r="E17813" t="s">
        <v>4395</v>
      </c>
    </row>
    <row r="17814" spans="1:5" x14ac:dyDescent="0.25">
      <c r="A17814" t="s">
        <v>4</v>
      </c>
      <c r="B17814" t="s">
        <v>4111</v>
      </c>
      <c r="C17814" t="s">
        <v>23490</v>
      </c>
      <c r="D17814" t="str">
        <f>HYPERLINK("https://rhld.insurance.arkansas.gov/NPILookup?Npi=1154489581","1154489581")</f>
        <v>1154489581</v>
      </c>
      <c r="E17814" t="s">
        <v>4396</v>
      </c>
    </row>
    <row r="17815" spans="1:5" x14ac:dyDescent="0.25">
      <c r="A17815" t="s">
        <v>4</v>
      </c>
      <c r="B17815" t="s">
        <v>4111</v>
      </c>
      <c r="C17815" t="s">
        <v>23490</v>
      </c>
      <c r="D17815" t="str">
        <f>HYPERLINK("https://rhld.insurance.arkansas.gov/NPILookup?Npi=1154491769","1154491769")</f>
        <v>1154491769</v>
      </c>
      <c r="E17815" t="s">
        <v>4397</v>
      </c>
    </row>
    <row r="17816" spans="1:5" x14ac:dyDescent="0.25">
      <c r="A17816" t="s">
        <v>4</v>
      </c>
      <c r="B17816" t="s">
        <v>4111</v>
      </c>
      <c r="C17816" t="s">
        <v>23490</v>
      </c>
      <c r="D17816" t="str">
        <f>HYPERLINK("https://rhld.insurance.arkansas.gov/NPILookup?Npi=1154497469","1154497469")</f>
        <v>1154497469</v>
      </c>
      <c r="E17816" t="s">
        <v>4398</v>
      </c>
    </row>
    <row r="17817" spans="1:5" x14ac:dyDescent="0.25">
      <c r="A17817" t="s">
        <v>4</v>
      </c>
      <c r="B17817" t="s">
        <v>4111</v>
      </c>
      <c r="C17817" t="s">
        <v>23490</v>
      </c>
      <c r="D17817" t="str">
        <f>HYPERLINK("https://rhld.insurance.arkansas.gov/NPILookup?Npi=1154522696","1154522696")</f>
        <v>1154522696</v>
      </c>
      <c r="E17817" t="s">
        <v>21876</v>
      </c>
    </row>
    <row r="17818" spans="1:5" x14ac:dyDescent="0.25">
      <c r="A17818" t="s">
        <v>4</v>
      </c>
      <c r="B17818" t="s">
        <v>4111</v>
      </c>
      <c r="C17818" t="s">
        <v>23490</v>
      </c>
      <c r="D17818" t="str">
        <f>HYPERLINK("https://rhld.insurance.arkansas.gov/NPILookup?Npi=1154532653","1154532653")</f>
        <v>1154532653</v>
      </c>
      <c r="E17818" t="s">
        <v>4399</v>
      </c>
    </row>
    <row r="17819" spans="1:5" x14ac:dyDescent="0.25">
      <c r="A17819" t="s">
        <v>4</v>
      </c>
      <c r="B17819" t="s">
        <v>4111</v>
      </c>
      <c r="C17819" t="s">
        <v>23490</v>
      </c>
      <c r="D17819" t="str">
        <f>HYPERLINK("https://rhld.insurance.arkansas.gov/NPILookup?Npi=1154535169","1154535169")</f>
        <v>1154535169</v>
      </c>
      <c r="E17819" t="s">
        <v>13083</v>
      </c>
    </row>
    <row r="17820" spans="1:5" x14ac:dyDescent="0.25">
      <c r="A17820" t="s">
        <v>4</v>
      </c>
      <c r="B17820" t="s">
        <v>4111</v>
      </c>
      <c r="C17820" t="s">
        <v>23490</v>
      </c>
      <c r="D17820" t="str">
        <f>HYPERLINK("https://rhld.insurance.arkansas.gov/NPILookup?Npi=1154553238","1154553238")</f>
        <v>1154553238</v>
      </c>
      <c r="E17820" t="s">
        <v>13967</v>
      </c>
    </row>
    <row r="17821" spans="1:5" x14ac:dyDescent="0.25">
      <c r="A17821" t="s">
        <v>4</v>
      </c>
      <c r="B17821" t="s">
        <v>4111</v>
      </c>
      <c r="C17821" t="s">
        <v>23490</v>
      </c>
      <c r="D17821" t="str">
        <f>HYPERLINK("https://rhld.insurance.arkansas.gov/NPILookup?Npi=1154570521","1154570521")</f>
        <v>1154570521</v>
      </c>
      <c r="E17821" t="s">
        <v>13968</v>
      </c>
    </row>
    <row r="17822" spans="1:5" x14ac:dyDescent="0.25">
      <c r="A17822" t="s">
        <v>4</v>
      </c>
      <c r="B17822" t="s">
        <v>4111</v>
      </c>
      <c r="C17822" t="s">
        <v>23490</v>
      </c>
      <c r="D17822" t="str">
        <f>HYPERLINK("https://rhld.insurance.arkansas.gov/NPILookup?Npi=1154570604","1154570604")</f>
        <v>1154570604</v>
      </c>
      <c r="E17822" t="s">
        <v>13969</v>
      </c>
    </row>
    <row r="17823" spans="1:5" x14ac:dyDescent="0.25">
      <c r="A17823" t="s">
        <v>4</v>
      </c>
      <c r="B17823" t="s">
        <v>4111</v>
      </c>
      <c r="C17823" t="s">
        <v>23490</v>
      </c>
      <c r="D17823" t="str">
        <f>HYPERLINK("https://rhld.insurance.arkansas.gov/NPILookup?Npi=1154574176","1154574176")</f>
        <v>1154574176</v>
      </c>
      <c r="E17823" t="s">
        <v>20369</v>
      </c>
    </row>
    <row r="17824" spans="1:5" x14ac:dyDescent="0.25">
      <c r="A17824" t="s">
        <v>4</v>
      </c>
      <c r="B17824" t="s">
        <v>4111</v>
      </c>
      <c r="C17824" t="s">
        <v>23490</v>
      </c>
      <c r="D17824" t="str">
        <f>HYPERLINK("https://rhld.insurance.arkansas.gov/NPILookup?Npi=1154577807","1154577807")</f>
        <v>1154577807</v>
      </c>
      <c r="E17824" t="s">
        <v>23054</v>
      </c>
    </row>
    <row r="17825" spans="1:5" x14ac:dyDescent="0.25">
      <c r="A17825" t="s">
        <v>4</v>
      </c>
      <c r="B17825" t="s">
        <v>4111</v>
      </c>
      <c r="C17825" t="s">
        <v>23490</v>
      </c>
      <c r="D17825" t="str">
        <f>HYPERLINK("https://rhld.insurance.arkansas.gov/NPILookup?Npi=1154579902","1154579902")</f>
        <v>1154579902</v>
      </c>
      <c r="E17825" t="s">
        <v>4400</v>
      </c>
    </row>
    <row r="17826" spans="1:5" x14ac:dyDescent="0.25">
      <c r="A17826" t="s">
        <v>4</v>
      </c>
      <c r="B17826" t="s">
        <v>4111</v>
      </c>
      <c r="C17826" t="s">
        <v>23490</v>
      </c>
      <c r="D17826" t="str">
        <f>HYPERLINK("https://rhld.insurance.arkansas.gov/NPILookup?Npi=1154579977","1154579977")</f>
        <v>1154579977</v>
      </c>
      <c r="E17826" t="s">
        <v>4401</v>
      </c>
    </row>
    <row r="17827" spans="1:5" x14ac:dyDescent="0.25">
      <c r="A17827" t="s">
        <v>4</v>
      </c>
      <c r="B17827" t="s">
        <v>4111</v>
      </c>
      <c r="C17827" t="s">
        <v>23490</v>
      </c>
      <c r="D17827" t="str">
        <f>HYPERLINK("https://rhld.insurance.arkansas.gov/NPILookup?Npi=1154603249","1154603249")</f>
        <v>1154603249</v>
      </c>
      <c r="E17827" t="s">
        <v>4402</v>
      </c>
    </row>
    <row r="17828" spans="1:5" x14ac:dyDescent="0.25">
      <c r="A17828" t="s">
        <v>4</v>
      </c>
      <c r="B17828" t="s">
        <v>4111</v>
      </c>
      <c r="C17828" t="s">
        <v>8427</v>
      </c>
      <c r="D17828" t="str">
        <f>HYPERLINK("https://rhld.insurance.arkansas.gov/NPILookup?Npi=1154605897","1154605897")</f>
        <v>1154605897</v>
      </c>
      <c r="E17828" t="s">
        <v>23055</v>
      </c>
    </row>
    <row r="17829" spans="1:5" x14ac:dyDescent="0.25">
      <c r="A17829" t="s">
        <v>4</v>
      </c>
      <c r="B17829" t="s">
        <v>4111</v>
      </c>
      <c r="C17829" t="s">
        <v>23490</v>
      </c>
      <c r="D17829" t="str">
        <f>HYPERLINK("https://rhld.insurance.arkansas.gov/NPILookup?Npi=1154627966","1154627966")</f>
        <v>1154627966</v>
      </c>
      <c r="E17829" t="s">
        <v>21877</v>
      </c>
    </row>
    <row r="17830" spans="1:5" x14ac:dyDescent="0.25">
      <c r="A17830" t="s">
        <v>4</v>
      </c>
      <c r="B17830" t="s">
        <v>4111</v>
      </c>
      <c r="C17830" t="s">
        <v>23490</v>
      </c>
      <c r="D17830" t="str">
        <f>HYPERLINK("https://rhld.insurance.arkansas.gov/NPILookup?Npi=1154649838","1154649838")</f>
        <v>1154649838</v>
      </c>
      <c r="E17830" t="s">
        <v>20370</v>
      </c>
    </row>
    <row r="17831" spans="1:5" x14ac:dyDescent="0.25">
      <c r="A17831" t="s">
        <v>4</v>
      </c>
      <c r="B17831" t="s">
        <v>4111</v>
      </c>
      <c r="C17831" t="s">
        <v>23490</v>
      </c>
      <c r="D17831" t="str">
        <f>HYPERLINK("https://rhld.insurance.arkansas.gov/NPILookup?Npi=1154657385","1154657385")</f>
        <v>1154657385</v>
      </c>
      <c r="E17831" t="s">
        <v>15995</v>
      </c>
    </row>
    <row r="17832" spans="1:5" x14ac:dyDescent="0.25">
      <c r="A17832" t="s">
        <v>4</v>
      </c>
      <c r="B17832" t="s">
        <v>4111</v>
      </c>
      <c r="C17832" t="s">
        <v>23490</v>
      </c>
      <c r="D17832" t="str">
        <f>HYPERLINK("https://rhld.insurance.arkansas.gov/NPILookup?Npi=1154663722","1154663722")</f>
        <v>1154663722</v>
      </c>
      <c r="E17832" t="s">
        <v>4403</v>
      </c>
    </row>
    <row r="17833" spans="1:5" x14ac:dyDescent="0.25">
      <c r="A17833" t="s">
        <v>4</v>
      </c>
      <c r="B17833" t="s">
        <v>4111</v>
      </c>
      <c r="C17833" t="s">
        <v>23490</v>
      </c>
      <c r="D17833" t="str">
        <f>HYPERLINK("https://rhld.insurance.arkansas.gov/NPILookup?Npi=1154684322","1154684322")</f>
        <v>1154684322</v>
      </c>
      <c r="E17833" t="s">
        <v>4404</v>
      </c>
    </row>
    <row r="17834" spans="1:5" x14ac:dyDescent="0.25">
      <c r="A17834" t="s">
        <v>4</v>
      </c>
      <c r="B17834" t="s">
        <v>4111</v>
      </c>
      <c r="C17834" t="s">
        <v>23490</v>
      </c>
      <c r="D17834" t="str">
        <f>HYPERLINK("https://rhld.insurance.arkansas.gov/NPILookup?Npi=1154694172","1154694172")</f>
        <v>1154694172</v>
      </c>
      <c r="E17834" t="s">
        <v>4405</v>
      </c>
    </row>
    <row r="17835" spans="1:5" x14ac:dyDescent="0.25">
      <c r="A17835" t="s">
        <v>4</v>
      </c>
      <c r="B17835" t="s">
        <v>4111</v>
      </c>
      <c r="C17835" t="s">
        <v>23490</v>
      </c>
      <c r="D17835" t="str">
        <f>HYPERLINK("https://rhld.insurance.arkansas.gov/NPILookup?Npi=1154697449","1154697449")</f>
        <v>1154697449</v>
      </c>
      <c r="E17835" t="s">
        <v>21878</v>
      </c>
    </row>
    <row r="17836" spans="1:5" x14ac:dyDescent="0.25">
      <c r="A17836" t="s">
        <v>4</v>
      </c>
      <c r="B17836" t="s">
        <v>4111</v>
      </c>
      <c r="C17836" t="s">
        <v>23490</v>
      </c>
      <c r="D17836" t="str">
        <f>HYPERLINK("https://rhld.insurance.arkansas.gov/NPILookup?Npi=1154700664","1154700664")</f>
        <v>1154700664</v>
      </c>
      <c r="E17836" t="s">
        <v>9026</v>
      </c>
    </row>
    <row r="17837" spans="1:5" x14ac:dyDescent="0.25">
      <c r="A17837" t="s">
        <v>4</v>
      </c>
      <c r="B17837" t="s">
        <v>4111</v>
      </c>
      <c r="C17837" t="s">
        <v>23490</v>
      </c>
      <c r="D17837" t="str">
        <f>HYPERLINK("https://rhld.insurance.arkansas.gov/NPILookup?Npi=1154702272","1154702272")</f>
        <v>1154702272</v>
      </c>
      <c r="E17837" t="s">
        <v>17541</v>
      </c>
    </row>
    <row r="17838" spans="1:5" x14ac:dyDescent="0.25">
      <c r="A17838" t="s">
        <v>4</v>
      </c>
      <c r="B17838" t="s">
        <v>4111</v>
      </c>
      <c r="C17838" t="s">
        <v>23490</v>
      </c>
      <c r="D17838" t="str">
        <f>HYPERLINK("https://rhld.insurance.arkansas.gov/NPILookup?Npi=1154735280","1154735280")</f>
        <v>1154735280</v>
      </c>
      <c r="E17838" t="s">
        <v>4406</v>
      </c>
    </row>
    <row r="17839" spans="1:5" x14ac:dyDescent="0.25">
      <c r="A17839" t="s">
        <v>4</v>
      </c>
      <c r="B17839" t="s">
        <v>4111</v>
      </c>
      <c r="C17839" t="s">
        <v>23490</v>
      </c>
      <c r="D17839" t="str">
        <f>HYPERLINK("https://rhld.insurance.arkansas.gov/NPILookup?Npi=1154735769","1154735769")</f>
        <v>1154735769</v>
      </c>
      <c r="E17839" t="s">
        <v>15996</v>
      </c>
    </row>
    <row r="17840" spans="1:5" x14ac:dyDescent="0.25">
      <c r="A17840" t="s">
        <v>4</v>
      </c>
      <c r="B17840" t="s">
        <v>4111</v>
      </c>
      <c r="C17840" t="s">
        <v>23490</v>
      </c>
      <c r="D17840" t="str">
        <f>HYPERLINK("https://rhld.insurance.arkansas.gov/NPILookup?Npi=1154737310","1154737310")</f>
        <v>1154737310</v>
      </c>
      <c r="E17840" t="s">
        <v>15997</v>
      </c>
    </row>
    <row r="17841" spans="1:5" x14ac:dyDescent="0.25">
      <c r="A17841" t="s">
        <v>4</v>
      </c>
      <c r="B17841" t="s">
        <v>4111</v>
      </c>
      <c r="C17841" t="s">
        <v>23490</v>
      </c>
      <c r="D17841" t="str">
        <f>HYPERLINK("https://rhld.insurance.arkansas.gov/NPILookup?Npi=1154772689","1154772689")</f>
        <v>1154772689</v>
      </c>
      <c r="E17841" t="s">
        <v>13970</v>
      </c>
    </row>
    <row r="17842" spans="1:5" x14ac:dyDescent="0.25">
      <c r="A17842" t="s">
        <v>4</v>
      </c>
      <c r="B17842" t="s">
        <v>4111</v>
      </c>
      <c r="C17842" t="s">
        <v>23490</v>
      </c>
      <c r="D17842" t="str">
        <f>HYPERLINK("https://rhld.insurance.arkansas.gov/NPILookup?Npi=1154773729","1154773729")</f>
        <v>1154773729</v>
      </c>
      <c r="E17842" t="s">
        <v>10695</v>
      </c>
    </row>
    <row r="17843" spans="1:5" x14ac:dyDescent="0.25">
      <c r="A17843" t="s">
        <v>4</v>
      </c>
      <c r="B17843" t="s">
        <v>4111</v>
      </c>
      <c r="C17843" t="s">
        <v>23490</v>
      </c>
      <c r="D17843" t="str">
        <f>HYPERLINK("https://rhld.insurance.arkansas.gov/NPILookup?Npi=1154801934","1154801934")</f>
        <v>1154801934</v>
      </c>
      <c r="E17843" t="s">
        <v>21879</v>
      </c>
    </row>
    <row r="17844" spans="1:5" x14ac:dyDescent="0.25">
      <c r="A17844" t="s">
        <v>4</v>
      </c>
      <c r="B17844" t="s">
        <v>4111</v>
      </c>
      <c r="C17844" t="s">
        <v>23490</v>
      </c>
      <c r="D17844" t="str">
        <f>HYPERLINK("https://rhld.insurance.arkansas.gov/NPILookup?Npi=1154806016","1154806016")</f>
        <v>1154806016</v>
      </c>
      <c r="E17844" t="s">
        <v>21880</v>
      </c>
    </row>
    <row r="17845" spans="1:5" x14ac:dyDescent="0.25">
      <c r="A17845" t="s">
        <v>4</v>
      </c>
      <c r="B17845" t="s">
        <v>4111</v>
      </c>
      <c r="C17845" t="s">
        <v>23490</v>
      </c>
      <c r="D17845" t="str">
        <f>HYPERLINK("https://rhld.insurance.arkansas.gov/NPILookup?Npi=1154809796","1154809796")</f>
        <v>1154809796</v>
      </c>
      <c r="E17845" t="s">
        <v>21881</v>
      </c>
    </row>
    <row r="17846" spans="1:5" x14ac:dyDescent="0.25">
      <c r="A17846" t="s">
        <v>4</v>
      </c>
      <c r="B17846" t="s">
        <v>4111</v>
      </c>
      <c r="C17846" t="s">
        <v>23490</v>
      </c>
      <c r="D17846" t="str">
        <f>HYPERLINK("https://rhld.insurance.arkansas.gov/NPILookup?Npi=1154834802","1154834802")</f>
        <v>1154834802</v>
      </c>
      <c r="E17846" t="s">
        <v>21110</v>
      </c>
    </row>
    <row r="17847" spans="1:5" x14ac:dyDescent="0.25">
      <c r="A17847" t="s">
        <v>4</v>
      </c>
      <c r="B17847" t="s">
        <v>4111</v>
      </c>
      <c r="C17847" t="s">
        <v>23490</v>
      </c>
      <c r="D17847" t="str">
        <f>HYPERLINK("https://rhld.insurance.arkansas.gov/NPILookup?Npi=1154879740","1154879740")</f>
        <v>1154879740</v>
      </c>
      <c r="E17847" t="s">
        <v>21882</v>
      </c>
    </row>
    <row r="17848" spans="1:5" x14ac:dyDescent="0.25">
      <c r="A17848" t="s">
        <v>4</v>
      </c>
      <c r="B17848" t="s">
        <v>4111</v>
      </c>
      <c r="C17848" t="s">
        <v>23490</v>
      </c>
      <c r="D17848" t="str">
        <f>HYPERLINK("https://rhld.insurance.arkansas.gov/NPILookup?Npi=1154889699","1154889699")</f>
        <v>1154889699</v>
      </c>
      <c r="E17848" t="s">
        <v>18954</v>
      </c>
    </row>
    <row r="17849" spans="1:5" x14ac:dyDescent="0.25">
      <c r="A17849" t="s">
        <v>4</v>
      </c>
      <c r="B17849" t="s">
        <v>4111</v>
      </c>
      <c r="C17849" t="s">
        <v>23490</v>
      </c>
      <c r="D17849" t="str">
        <f>HYPERLINK("https://rhld.insurance.arkansas.gov/NPILookup?Npi=1154890887","1154890887")</f>
        <v>1154890887</v>
      </c>
      <c r="E17849" t="s">
        <v>17542</v>
      </c>
    </row>
    <row r="17850" spans="1:5" x14ac:dyDescent="0.25">
      <c r="A17850" t="s">
        <v>4</v>
      </c>
      <c r="B17850" t="s">
        <v>4111</v>
      </c>
      <c r="C17850" t="s">
        <v>23490</v>
      </c>
      <c r="D17850" t="str">
        <f>HYPERLINK("https://rhld.insurance.arkansas.gov/NPILookup?Npi=1154960946","1154960946")</f>
        <v>1154960946</v>
      </c>
      <c r="E17850" t="s">
        <v>18272</v>
      </c>
    </row>
    <row r="17851" spans="1:5" x14ac:dyDescent="0.25">
      <c r="A17851" t="s">
        <v>4</v>
      </c>
      <c r="B17851" t="s">
        <v>4111</v>
      </c>
      <c r="C17851" t="s">
        <v>23490</v>
      </c>
      <c r="D17851" t="str">
        <f>HYPERLINK("https://rhld.insurance.arkansas.gov/NPILookup?Npi=1164010484","1164010484")</f>
        <v>1164010484</v>
      </c>
      <c r="E17851" t="s">
        <v>18273</v>
      </c>
    </row>
    <row r="17852" spans="1:5" x14ac:dyDescent="0.25">
      <c r="A17852" t="s">
        <v>4</v>
      </c>
      <c r="B17852" t="s">
        <v>4111</v>
      </c>
      <c r="C17852" t="s">
        <v>23490</v>
      </c>
      <c r="D17852" t="str">
        <f>HYPERLINK("https://rhld.insurance.arkansas.gov/NPILookup?Npi=1164054649","1164054649")</f>
        <v>1164054649</v>
      </c>
      <c r="E17852" t="s">
        <v>20371</v>
      </c>
    </row>
    <row r="17853" spans="1:5" x14ac:dyDescent="0.25">
      <c r="A17853" t="s">
        <v>4</v>
      </c>
      <c r="B17853" t="s">
        <v>4111</v>
      </c>
      <c r="C17853" t="s">
        <v>23490</v>
      </c>
      <c r="D17853" t="str">
        <f>HYPERLINK("https://rhld.insurance.arkansas.gov/NPILookup?Npi=1164054789","1164054789")</f>
        <v>1164054789</v>
      </c>
      <c r="E17853" t="s">
        <v>18274</v>
      </c>
    </row>
    <row r="17854" spans="1:5" x14ac:dyDescent="0.25">
      <c r="A17854" t="s">
        <v>4</v>
      </c>
      <c r="B17854" t="s">
        <v>4111</v>
      </c>
      <c r="C17854" t="s">
        <v>23490</v>
      </c>
      <c r="D17854" t="str">
        <f>HYPERLINK("https://rhld.insurance.arkansas.gov/NPILookup?Npi=1164055265","1164055265")</f>
        <v>1164055265</v>
      </c>
      <c r="E17854" t="s">
        <v>21883</v>
      </c>
    </row>
    <row r="17855" spans="1:5" x14ac:dyDescent="0.25">
      <c r="A17855" t="s">
        <v>4</v>
      </c>
      <c r="B17855" t="s">
        <v>4111</v>
      </c>
      <c r="C17855" t="s">
        <v>23490</v>
      </c>
      <c r="D17855" t="str">
        <f>HYPERLINK("https://rhld.insurance.arkansas.gov/NPILookup?Npi=1164061065","1164061065")</f>
        <v>1164061065</v>
      </c>
      <c r="E17855" t="s">
        <v>17119</v>
      </c>
    </row>
    <row r="17856" spans="1:5" x14ac:dyDescent="0.25">
      <c r="A17856" t="s">
        <v>4</v>
      </c>
      <c r="B17856" t="s">
        <v>4111</v>
      </c>
      <c r="C17856" t="s">
        <v>23490</v>
      </c>
      <c r="D17856" t="str">
        <f>HYPERLINK("https://rhld.insurance.arkansas.gov/NPILookup?Npi=1164068961","1164068961")</f>
        <v>1164068961</v>
      </c>
      <c r="E17856" t="s">
        <v>17543</v>
      </c>
    </row>
    <row r="17857" spans="1:5" x14ac:dyDescent="0.25">
      <c r="A17857" t="s">
        <v>4</v>
      </c>
      <c r="B17857" t="s">
        <v>4111</v>
      </c>
      <c r="C17857" t="s">
        <v>23490</v>
      </c>
      <c r="D17857" t="str">
        <f>HYPERLINK("https://rhld.insurance.arkansas.gov/NPILookup?Npi=1164071049","1164071049")</f>
        <v>1164071049</v>
      </c>
      <c r="E17857" t="s">
        <v>17120</v>
      </c>
    </row>
    <row r="17858" spans="1:5" x14ac:dyDescent="0.25">
      <c r="A17858" t="s">
        <v>4</v>
      </c>
      <c r="B17858" t="s">
        <v>4111</v>
      </c>
      <c r="C17858" t="s">
        <v>23490</v>
      </c>
      <c r="D17858" t="str">
        <f>HYPERLINK("https://rhld.insurance.arkansas.gov/NPILookup?Npi=1164095733","1164095733")</f>
        <v>1164095733</v>
      </c>
      <c r="E17858" t="s">
        <v>21111</v>
      </c>
    </row>
    <row r="17859" spans="1:5" x14ac:dyDescent="0.25">
      <c r="A17859" t="s">
        <v>4</v>
      </c>
      <c r="B17859" t="s">
        <v>4111</v>
      </c>
      <c r="C17859" t="s">
        <v>23490</v>
      </c>
      <c r="D17859" t="str">
        <f>HYPERLINK("https://rhld.insurance.arkansas.gov/NPILookup?Npi=1164131330","1164131330")</f>
        <v>1164131330</v>
      </c>
      <c r="E17859" t="s">
        <v>21884</v>
      </c>
    </row>
    <row r="17860" spans="1:5" x14ac:dyDescent="0.25">
      <c r="A17860" t="s">
        <v>4</v>
      </c>
      <c r="B17860" t="s">
        <v>4111</v>
      </c>
      <c r="C17860" t="s">
        <v>23490</v>
      </c>
      <c r="D17860" t="str">
        <f>HYPERLINK("https://rhld.insurance.arkansas.gov/NPILookup?Npi=1164156584","1164156584")</f>
        <v>1164156584</v>
      </c>
      <c r="E17860" t="s">
        <v>21885</v>
      </c>
    </row>
    <row r="17861" spans="1:5" x14ac:dyDescent="0.25">
      <c r="A17861" t="s">
        <v>4</v>
      </c>
      <c r="B17861" t="s">
        <v>4111</v>
      </c>
      <c r="C17861" t="s">
        <v>23490</v>
      </c>
      <c r="D17861" t="str">
        <f>HYPERLINK("https://rhld.insurance.arkansas.gov/NPILookup?Npi=1164400537","1164400537")</f>
        <v>1164400537</v>
      </c>
      <c r="E17861" t="s">
        <v>4407</v>
      </c>
    </row>
    <row r="17862" spans="1:5" x14ac:dyDescent="0.25">
      <c r="A17862" t="s">
        <v>4</v>
      </c>
      <c r="B17862" t="s">
        <v>4111</v>
      </c>
      <c r="C17862" t="s">
        <v>23490</v>
      </c>
      <c r="D17862" t="str">
        <f>HYPERLINK("https://rhld.insurance.arkansas.gov/NPILookup?Npi=1164409512","1164409512")</f>
        <v>1164409512</v>
      </c>
      <c r="E17862" t="s">
        <v>4408</v>
      </c>
    </row>
    <row r="17863" spans="1:5" x14ac:dyDescent="0.25">
      <c r="A17863" t="s">
        <v>4</v>
      </c>
      <c r="B17863" t="s">
        <v>4111</v>
      </c>
      <c r="C17863" t="s">
        <v>23490</v>
      </c>
      <c r="D17863" t="str">
        <f>HYPERLINK("https://rhld.insurance.arkansas.gov/NPILookup?Npi=1164417127","1164417127")</f>
        <v>1164417127</v>
      </c>
      <c r="E17863" t="s">
        <v>4409</v>
      </c>
    </row>
    <row r="17864" spans="1:5" x14ac:dyDescent="0.25">
      <c r="A17864" t="s">
        <v>4</v>
      </c>
      <c r="B17864" t="s">
        <v>4111</v>
      </c>
      <c r="C17864" t="s">
        <v>23490</v>
      </c>
      <c r="D17864" t="str">
        <f>HYPERLINK("https://rhld.insurance.arkansas.gov/NPILookup?Npi=1164434163","1164434163")</f>
        <v>1164434163</v>
      </c>
      <c r="E17864" t="s">
        <v>15998</v>
      </c>
    </row>
    <row r="17865" spans="1:5" x14ac:dyDescent="0.25">
      <c r="A17865" t="s">
        <v>4</v>
      </c>
      <c r="B17865" t="s">
        <v>4111</v>
      </c>
      <c r="C17865" t="s">
        <v>23490</v>
      </c>
      <c r="D17865" t="str">
        <f>HYPERLINK("https://rhld.insurance.arkansas.gov/NPILookup?Npi=1164436184","1164436184")</f>
        <v>1164436184</v>
      </c>
      <c r="E17865" t="s">
        <v>11549</v>
      </c>
    </row>
    <row r="17866" spans="1:5" x14ac:dyDescent="0.25">
      <c r="A17866" t="s">
        <v>4</v>
      </c>
      <c r="B17866" t="s">
        <v>4111</v>
      </c>
      <c r="C17866" t="s">
        <v>23490</v>
      </c>
      <c r="D17866" t="str">
        <f>HYPERLINK("https://rhld.insurance.arkansas.gov/NPILookup?Npi=1164437810","1164437810")</f>
        <v>1164437810</v>
      </c>
      <c r="E17866" t="s">
        <v>13084</v>
      </c>
    </row>
    <row r="17867" spans="1:5" x14ac:dyDescent="0.25">
      <c r="A17867" t="s">
        <v>4</v>
      </c>
      <c r="B17867" t="s">
        <v>4111</v>
      </c>
      <c r="C17867" t="s">
        <v>23490</v>
      </c>
      <c r="D17867" t="str">
        <f>HYPERLINK("https://rhld.insurance.arkansas.gov/NPILookup?Npi=1164443677","1164443677")</f>
        <v>1164443677</v>
      </c>
      <c r="E17867" t="s">
        <v>13971</v>
      </c>
    </row>
    <row r="17868" spans="1:5" x14ac:dyDescent="0.25">
      <c r="A17868" t="s">
        <v>4</v>
      </c>
      <c r="B17868" t="s">
        <v>4111</v>
      </c>
      <c r="C17868" t="s">
        <v>23490</v>
      </c>
      <c r="D17868" t="str">
        <f>HYPERLINK("https://rhld.insurance.arkansas.gov/NPILookup?Npi=1164450623","1164450623")</f>
        <v>1164450623</v>
      </c>
      <c r="E17868" t="s">
        <v>4410</v>
      </c>
    </row>
    <row r="17869" spans="1:5" x14ac:dyDescent="0.25">
      <c r="A17869" t="s">
        <v>4</v>
      </c>
      <c r="B17869" t="s">
        <v>4111</v>
      </c>
      <c r="C17869" t="s">
        <v>23490</v>
      </c>
      <c r="D17869" t="str">
        <f>HYPERLINK("https://rhld.insurance.arkansas.gov/NPILookup?Npi=1164455168","1164455168")</f>
        <v>1164455168</v>
      </c>
      <c r="E17869" t="s">
        <v>4411</v>
      </c>
    </row>
    <row r="17870" spans="1:5" x14ac:dyDescent="0.25">
      <c r="A17870" t="s">
        <v>4</v>
      </c>
      <c r="B17870" t="s">
        <v>4111</v>
      </c>
      <c r="C17870" t="s">
        <v>23490</v>
      </c>
      <c r="D17870" t="str">
        <f>HYPERLINK("https://rhld.insurance.arkansas.gov/NPILookup?Npi=1164489290","1164489290")</f>
        <v>1164489290</v>
      </c>
      <c r="E17870" t="s">
        <v>4412</v>
      </c>
    </row>
    <row r="17871" spans="1:5" x14ac:dyDescent="0.25">
      <c r="A17871" t="s">
        <v>4</v>
      </c>
      <c r="B17871" t="s">
        <v>4111</v>
      </c>
      <c r="C17871" t="s">
        <v>23490</v>
      </c>
      <c r="D17871" t="str">
        <f>HYPERLINK("https://rhld.insurance.arkansas.gov/NPILookup?Npi=1164525549","1164525549")</f>
        <v>1164525549</v>
      </c>
      <c r="E17871" t="s">
        <v>4413</v>
      </c>
    </row>
    <row r="17872" spans="1:5" x14ac:dyDescent="0.25">
      <c r="A17872" t="s">
        <v>4</v>
      </c>
      <c r="B17872" t="s">
        <v>4111</v>
      </c>
      <c r="C17872" t="s">
        <v>23490</v>
      </c>
      <c r="D17872" t="str">
        <f>HYPERLINK("https://rhld.insurance.arkansas.gov/NPILookup?Npi=1164535522","1164535522")</f>
        <v>1164535522</v>
      </c>
      <c r="E17872" t="s">
        <v>4414</v>
      </c>
    </row>
    <row r="17873" spans="1:5" x14ac:dyDescent="0.25">
      <c r="A17873" t="s">
        <v>4</v>
      </c>
      <c r="B17873" t="s">
        <v>4111</v>
      </c>
      <c r="C17873" t="s">
        <v>23490</v>
      </c>
      <c r="D17873" t="str">
        <f>HYPERLINK("https://rhld.insurance.arkansas.gov/NPILookup?Npi=1164552170","1164552170")</f>
        <v>1164552170</v>
      </c>
      <c r="E17873" t="s">
        <v>4415</v>
      </c>
    </row>
    <row r="17874" spans="1:5" x14ac:dyDescent="0.25">
      <c r="A17874" t="s">
        <v>4</v>
      </c>
      <c r="B17874" t="s">
        <v>4111</v>
      </c>
      <c r="C17874" t="s">
        <v>23490</v>
      </c>
      <c r="D17874" t="str">
        <f>HYPERLINK("https://rhld.insurance.arkansas.gov/NPILookup?Npi=1164557682","1164557682")</f>
        <v>1164557682</v>
      </c>
      <c r="E17874" t="s">
        <v>4416</v>
      </c>
    </row>
    <row r="17875" spans="1:5" x14ac:dyDescent="0.25">
      <c r="A17875" t="s">
        <v>4</v>
      </c>
      <c r="B17875" t="s">
        <v>4111</v>
      </c>
      <c r="C17875" t="s">
        <v>23490</v>
      </c>
      <c r="D17875" t="str">
        <f>HYPERLINK("https://rhld.insurance.arkansas.gov/NPILookup?Npi=1164568598","1164568598")</f>
        <v>1164568598</v>
      </c>
      <c r="E17875" t="s">
        <v>4417</v>
      </c>
    </row>
    <row r="17876" spans="1:5" x14ac:dyDescent="0.25">
      <c r="A17876" t="s">
        <v>4</v>
      </c>
      <c r="B17876" t="s">
        <v>4111</v>
      </c>
      <c r="C17876" t="s">
        <v>8427</v>
      </c>
      <c r="D17876" t="str">
        <f>HYPERLINK("https://rhld.insurance.arkansas.gov/NPILookup?Npi=1164590261","1164590261")</f>
        <v>1164590261</v>
      </c>
      <c r="E17876" t="s">
        <v>23056</v>
      </c>
    </row>
    <row r="17877" spans="1:5" x14ac:dyDescent="0.25">
      <c r="A17877" t="s">
        <v>4</v>
      </c>
      <c r="B17877" t="s">
        <v>4111</v>
      </c>
      <c r="C17877" t="s">
        <v>23490</v>
      </c>
      <c r="D17877" t="str">
        <f>HYPERLINK("https://rhld.insurance.arkansas.gov/NPILookup?Npi=1164597183","1164597183")</f>
        <v>1164597183</v>
      </c>
      <c r="E17877" t="s">
        <v>4418</v>
      </c>
    </row>
    <row r="17878" spans="1:5" x14ac:dyDescent="0.25">
      <c r="A17878" t="s">
        <v>4</v>
      </c>
      <c r="B17878" t="s">
        <v>4111</v>
      </c>
      <c r="C17878" t="s">
        <v>23490</v>
      </c>
      <c r="D17878" t="str">
        <f>HYPERLINK("https://rhld.insurance.arkansas.gov/NPILookup?Npi=1164599676","1164599676")</f>
        <v>1164599676</v>
      </c>
      <c r="E17878" t="s">
        <v>4419</v>
      </c>
    </row>
    <row r="17879" spans="1:5" x14ac:dyDescent="0.25">
      <c r="A17879" t="s">
        <v>4</v>
      </c>
      <c r="B17879" t="s">
        <v>4111</v>
      </c>
      <c r="C17879" t="s">
        <v>23490</v>
      </c>
      <c r="D17879" t="str">
        <f>HYPERLINK("https://rhld.insurance.arkansas.gov/NPILookup?Npi=1164607297","1164607297")</f>
        <v>1164607297</v>
      </c>
      <c r="E17879" t="s">
        <v>13085</v>
      </c>
    </row>
    <row r="17880" spans="1:5" x14ac:dyDescent="0.25">
      <c r="A17880" t="s">
        <v>4</v>
      </c>
      <c r="B17880" t="s">
        <v>4111</v>
      </c>
      <c r="C17880" t="s">
        <v>23490</v>
      </c>
      <c r="D17880" t="str">
        <f>HYPERLINK("https://rhld.insurance.arkansas.gov/NPILookup?Npi=1164608832","1164608832")</f>
        <v>1164608832</v>
      </c>
      <c r="E17880" t="s">
        <v>9027</v>
      </c>
    </row>
    <row r="17881" spans="1:5" x14ac:dyDescent="0.25">
      <c r="A17881" t="s">
        <v>4</v>
      </c>
      <c r="B17881" t="s">
        <v>4111</v>
      </c>
      <c r="C17881" t="s">
        <v>23490</v>
      </c>
      <c r="D17881" t="str">
        <f>HYPERLINK("https://rhld.insurance.arkansas.gov/NPILookup?Npi=1164614921","1164614921")</f>
        <v>1164614921</v>
      </c>
      <c r="E17881" t="s">
        <v>23057</v>
      </c>
    </row>
    <row r="17882" spans="1:5" x14ac:dyDescent="0.25">
      <c r="A17882" t="s">
        <v>4</v>
      </c>
      <c r="B17882" t="s">
        <v>4111</v>
      </c>
      <c r="C17882" t="s">
        <v>23490</v>
      </c>
      <c r="D17882" t="str">
        <f>HYPERLINK("https://rhld.insurance.arkansas.gov/NPILookup?Npi=1164620381","1164620381")</f>
        <v>1164620381</v>
      </c>
      <c r="E17882" t="s">
        <v>4420</v>
      </c>
    </row>
    <row r="17883" spans="1:5" x14ac:dyDescent="0.25">
      <c r="A17883" t="s">
        <v>4</v>
      </c>
      <c r="B17883" t="s">
        <v>4111</v>
      </c>
      <c r="C17883" t="s">
        <v>23490</v>
      </c>
      <c r="D17883" t="str">
        <f>HYPERLINK("https://rhld.insurance.arkansas.gov/NPILookup?Npi=1164634390","1164634390")</f>
        <v>1164634390</v>
      </c>
      <c r="E17883" t="s">
        <v>4421</v>
      </c>
    </row>
    <row r="17884" spans="1:5" x14ac:dyDescent="0.25">
      <c r="A17884" t="s">
        <v>4</v>
      </c>
      <c r="B17884" t="s">
        <v>4111</v>
      </c>
      <c r="C17884" t="s">
        <v>23490</v>
      </c>
      <c r="D17884" t="str">
        <f>HYPERLINK("https://rhld.insurance.arkansas.gov/NPILookup?Npi=1164645396","1164645396")</f>
        <v>1164645396</v>
      </c>
      <c r="E17884" t="s">
        <v>18275</v>
      </c>
    </row>
    <row r="17885" spans="1:5" x14ac:dyDescent="0.25">
      <c r="A17885" t="s">
        <v>4</v>
      </c>
      <c r="B17885" t="s">
        <v>4111</v>
      </c>
      <c r="C17885" t="s">
        <v>23490</v>
      </c>
      <c r="D17885" t="str">
        <f>HYPERLINK("https://rhld.insurance.arkansas.gov/NPILookup?Npi=1164652855","1164652855")</f>
        <v>1164652855</v>
      </c>
      <c r="E17885" t="s">
        <v>4422</v>
      </c>
    </row>
    <row r="17886" spans="1:5" x14ac:dyDescent="0.25">
      <c r="A17886" t="s">
        <v>4</v>
      </c>
      <c r="B17886" t="s">
        <v>4111</v>
      </c>
      <c r="C17886" t="s">
        <v>23490</v>
      </c>
      <c r="D17886" t="str">
        <f>HYPERLINK("https://rhld.insurance.arkansas.gov/NPILookup?Npi=1164654919","1164654919")</f>
        <v>1164654919</v>
      </c>
      <c r="E17886" t="s">
        <v>18955</v>
      </c>
    </row>
    <row r="17887" spans="1:5" x14ac:dyDescent="0.25">
      <c r="A17887" t="s">
        <v>4</v>
      </c>
      <c r="B17887" t="s">
        <v>4111</v>
      </c>
      <c r="C17887" t="s">
        <v>23490</v>
      </c>
      <c r="D17887" t="str">
        <f>HYPERLINK("https://rhld.insurance.arkansas.gov/NPILookup?Npi=1164659157","1164659157")</f>
        <v>1164659157</v>
      </c>
      <c r="E17887" t="s">
        <v>4423</v>
      </c>
    </row>
    <row r="17888" spans="1:5" x14ac:dyDescent="0.25">
      <c r="A17888" t="s">
        <v>4</v>
      </c>
      <c r="B17888" t="s">
        <v>4111</v>
      </c>
      <c r="C17888" t="s">
        <v>23490</v>
      </c>
      <c r="D17888" t="str">
        <f>HYPERLINK("https://rhld.insurance.arkansas.gov/NPILookup?Npi=1164660296","1164660296")</f>
        <v>1164660296</v>
      </c>
      <c r="E17888" t="s">
        <v>4424</v>
      </c>
    </row>
    <row r="17889" spans="1:5" x14ac:dyDescent="0.25">
      <c r="A17889" t="s">
        <v>4</v>
      </c>
      <c r="B17889" t="s">
        <v>4111</v>
      </c>
      <c r="C17889" t="s">
        <v>8427</v>
      </c>
      <c r="D17889" t="str">
        <f>HYPERLINK("https://rhld.insurance.arkansas.gov/NPILookup?Npi=1164671913","1164671913")</f>
        <v>1164671913</v>
      </c>
      <c r="E17889" t="s">
        <v>23058</v>
      </c>
    </row>
    <row r="17890" spans="1:5" x14ac:dyDescent="0.25">
      <c r="A17890" t="s">
        <v>4</v>
      </c>
      <c r="B17890" t="s">
        <v>4111</v>
      </c>
      <c r="C17890" t="s">
        <v>23490</v>
      </c>
      <c r="D17890" t="str">
        <f>HYPERLINK("https://rhld.insurance.arkansas.gov/NPILookup?Npi=1164672291","1164672291")</f>
        <v>1164672291</v>
      </c>
      <c r="E17890" t="s">
        <v>13086</v>
      </c>
    </row>
    <row r="17891" spans="1:5" x14ac:dyDescent="0.25">
      <c r="A17891" t="s">
        <v>4</v>
      </c>
      <c r="B17891" t="s">
        <v>4111</v>
      </c>
      <c r="C17891" t="s">
        <v>23490</v>
      </c>
      <c r="D17891" t="str">
        <f>HYPERLINK("https://rhld.insurance.arkansas.gov/NPILookup?Npi=1164694972","1164694972")</f>
        <v>1164694972</v>
      </c>
      <c r="E17891" t="s">
        <v>4425</v>
      </c>
    </row>
    <row r="17892" spans="1:5" x14ac:dyDescent="0.25">
      <c r="A17892" t="s">
        <v>4</v>
      </c>
      <c r="B17892" t="s">
        <v>4111</v>
      </c>
      <c r="C17892" t="s">
        <v>23490</v>
      </c>
      <c r="D17892" t="str">
        <f>HYPERLINK("https://rhld.insurance.arkansas.gov/NPILookup?Npi=1164705695","1164705695")</f>
        <v>1164705695</v>
      </c>
      <c r="E17892" t="s">
        <v>15999</v>
      </c>
    </row>
    <row r="17893" spans="1:5" x14ac:dyDescent="0.25">
      <c r="A17893" t="s">
        <v>4</v>
      </c>
      <c r="B17893" t="s">
        <v>4111</v>
      </c>
      <c r="C17893" t="s">
        <v>23490</v>
      </c>
      <c r="D17893" t="str">
        <f>HYPERLINK("https://rhld.insurance.arkansas.gov/NPILookup?Npi=1164707824","1164707824")</f>
        <v>1164707824</v>
      </c>
      <c r="E17893" t="s">
        <v>13972</v>
      </c>
    </row>
    <row r="17894" spans="1:5" x14ac:dyDescent="0.25">
      <c r="A17894" t="s">
        <v>4</v>
      </c>
      <c r="B17894" t="s">
        <v>4111</v>
      </c>
      <c r="C17894" t="s">
        <v>23490</v>
      </c>
      <c r="D17894" t="str">
        <f>HYPERLINK("https://rhld.insurance.arkansas.gov/NPILookup?Npi=1164709747","1164709747")</f>
        <v>1164709747</v>
      </c>
      <c r="E17894" t="s">
        <v>17544</v>
      </c>
    </row>
    <row r="17895" spans="1:5" x14ac:dyDescent="0.25">
      <c r="A17895" t="s">
        <v>4</v>
      </c>
      <c r="B17895" t="s">
        <v>4111</v>
      </c>
      <c r="C17895" t="s">
        <v>23490</v>
      </c>
      <c r="D17895" t="str">
        <f>HYPERLINK("https://rhld.insurance.arkansas.gov/NPILookup?Npi=1164713582","1164713582")</f>
        <v>1164713582</v>
      </c>
      <c r="E17895" t="s">
        <v>11550</v>
      </c>
    </row>
    <row r="17896" spans="1:5" x14ac:dyDescent="0.25">
      <c r="A17896" t="s">
        <v>4</v>
      </c>
      <c r="B17896" t="s">
        <v>4111</v>
      </c>
      <c r="C17896" t="s">
        <v>23490</v>
      </c>
      <c r="D17896" t="str">
        <f>HYPERLINK("https://rhld.insurance.arkansas.gov/NPILookup?Npi=1164722302","1164722302")</f>
        <v>1164722302</v>
      </c>
      <c r="E17896" t="s">
        <v>13973</v>
      </c>
    </row>
    <row r="17897" spans="1:5" x14ac:dyDescent="0.25">
      <c r="A17897" t="s">
        <v>4</v>
      </c>
      <c r="B17897" t="s">
        <v>4111</v>
      </c>
      <c r="C17897" t="s">
        <v>23490</v>
      </c>
      <c r="D17897" t="str">
        <f>HYPERLINK("https://rhld.insurance.arkansas.gov/NPILookup?Npi=1164730867","1164730867")</f>
        <v>1164730867</v>
      </c>
      <c r="E17897" t="s">
        <v>4426</v>
      </c>
    </row>
    <row r="17898" spans="1:5" x14ac:dyDescent="0.25">
      <c r="A17898" t="s">
        <v>4</v>
      </c>
      <c r="B17898" t="s">
        <v>4111</v>
      </c>
      <c r="C17898" t="s">
        <v>23490</v>
      </c>
      <c r="D17898" t="str">
        <f>HYPERLINK("https://rhld.insurance.arkansas.gov/NPILookup?Npi=1164743217","1164743217")</f>
        <v>1164743217</v>
      </c>
      <c r="E17898" t="s">
        <v>4427</v>
      </c>
    </row>
    <row r="17899" spans="1:5" x14ac:dyDescent="0.25">
      <c r="A17899" t="s">
        <v>4</v>
      </c>
      <c r="B17899" t="s">
        <v>4111</v>
      </c>
      <c r="C17899" t="s">
        <v>23490</v>
      </c>
      <c r="D17899" t="str">
        <f>HYPERLINK("https://rhld.insurance.arkansas.gov/NPILookup?Npi=1164771168","1164771168")</f>
        <v>1164771168</v>
      </c>
      <c r="E17899" t="s">
        <v>20372</v>
      </c>
    </row>
    <row r="17900" spans="1:5" x14ac:dyDescent="0.25">
      <c r="A17900" t="s">
        <v>4</v>
      </c>
      <c r="B17900" t="s">
        <v>4111</v>
      </c>
      <c r="C17900" t="s">
        <v>23490</v>
      </c>
      <c r="D17900" t="str">
        <f>HYPERLINK("https://rhld.insurance.arkansas.gov/NPILookup?Npi=1164774717","1164774717")</f>
        <v>1164774717</v>
      </c>
      <c r="E17900" t="s">
        <v>4428</v>
      </c>
    </row>
    <row r="17901" spans="1:5" x14ac:dyDescent="0.25">
      <c r="A17901" t="s">
        <v>4</v>
      </c>
      <c r="B17901" t="s">
        <v>4111</v>
      </c>
      <c r="C17901" t="s">
        <v>23490</v>
      </c>
      <c r="D17901" t="str">
        <f>HYPERLINK("https://rhld.insurance.arkansas.gov/NPILookup?Npi=1164780391","1164780391")</f>
        <v>1164780391</v>
      </c>
      <c r="E17901" t="s">
        <v>4429</v>
      </c>
    </row>
    <row r="17902" spans="1:5" x14ac:dyDescent="0.25">
      <c r="A17902" t="s">
        <v>4</v>
      </c>
      <c r="B17902" t="s">
        <v>4111</v>
      </c>
      <c r="C17902" t="s">
        <v>23490</v>
      </c>
      <c r="D17902" t="str">
        <f>HYPERLINK("https://rhld.insurance.arkansas.gov/NPILookup?Npi=1164782124","1164782124")</f>
        <v>1164782124</v>
      </c>
      <c r="E17902" t="s">
        <v>20373</v>
      </c>
    </row>
    <row r="17903" spans="1:5" x14ac:dyDescent="0.25">
      <c r="A17903" t="s">
        <v>4</v>
      </c>
      <c r="B17903" t="s">
        <v>4111</v>
      </c>
      <c r="C17903" t="s">
        <v>23490</v>
      </c>
      <c r="D17903" t="str">
        <f>HYPERLINK("https://rhld.insurance.arkansas.gov/NPILookup?Npi=1164792305","1164792305")</f>
        <v>1164792305</v>
      </c>
      <c r="E17903" t="s">
        <v>21886</v>
      </c>
    </row>
    <row r="17904" spans="1:5" x14ac:dyDescent="0.25">
      <c r="A17904" t="s">
        <v>4</v>
      </c>
      <c r="B17904" t="s">
        <v>4111</v>
      </c>
      <c r="C17904" t="s">
        <v>23490</v>
      </c>
      <c r="D17904" t="str">
        <f>HYPERLINK("https://rhld.insurance.arkansas.gov/NPILookup?Npi=1164811089","1164811089")</f>
        <v>1164811089</v>
      </c>
      <c r="E17904" t="s">
        <v>4430</v>
      </c>
    </row>
    <row r="17905" spans="1:5" x14ac:dyDescent="0.25">
      <c r="A17905" t="s">
        <v>4</v>
      </c>
      <c r="B17905" t="s">
        <v>4111</v>
      </c>
      <c r="C17905" t="s">
        <v>23490</v>
      </c>
      <c r="D17905" t="str">
        <f>HYPERLINK("https://rhld.insurance.arkansas.gov/NPILookup?Npi=1164822086","1164822086")</f>
        <v>1164822086</v>
      </c>
      <c r="E17905" t="s">
        <v>11551</v>
      </c>
    </row>
    <row r="17906" spans="1:5" x14ac:dyDescent="0.25">
      <c r="A17906" t="s">
        <v>4</v>
      </c>
      <c r="B17906" t="s">
        <v>4111</v>
      </c>
      <c r="C17906" t="s">
        <v>23490</v>
      </c>
      <c r="D17906" t="str">
        <f>HYPERLINK("https://rhld.insurance.arkansas.gov/NPILookup?Npi=1164824934","1164824934")</f>
        <v>1164824934</v>
      </c>
      <c r="E17906" t="s">
        <v>11552</v>
      </c>
    </row>
    <row r="17907" spans="1:5" x14ac:dyDescent="0.25">
      <c r="A17907" t="s">
        <v>4</v>
      </c>
      <c r="B17907" t="s">
        <v>4111</v>
      </c>
      <c r="C17907" t="s">
        <v>8427</v>
      </c>
      <c r="D17907" t="str">
        <f>HYPERLINK("https://rhld.insurance.arkansas.gov/NPILookup?Npi=1164838660","1164838660")</f>
        <v>1164838660</v>
      </c>
      <c r="E17907" t="s">
        <v>23059</v>
      </c>
    </row>
    <row r="17908" spans="1:5" x14ac:dyDescent="0.25">
      <c r="A17908" t="s">
        <v>4</v>
      </c>
      <c r="B17908" t="s">
        <v>4111</v>
      </c>
      <c r="C17908" t="s">
        <v>23490</v>
      </c>
      <c r="D17908" t="str">
        <f>HYPERLINK("https://rhld.insurance.arkansas.gov/NPILookup?Npi=1164850103","1164850103")</f>
        <v>1164850103</v>
      </c>
      <c r="E17908" t="s">
        <v>13974</v>
      </c>
    </row>
    <row r="17909" spans="1:5" x14ac:dyDescent="0.25">
      <c r="A17909" t="s">
        <v>4</v>
      </c>
      <c r="B17909" t="s">
        <v>4111</v>
      </c>
      <c r="C17909" t="s">
        <v>23490</v>
      </c>
      <c r="D17909" t="str">
        <f>HYPERLINK("https://rhld.insurance.arkansas.gov/NPILookup?Npi=1164855201","1164855201")</f>
        <v>1164855201</v>
      </c>
      <c r="E17909" t="s">
        <v>18276</v>
      </c>
    </row>
    <row r="17910" spans="1:5" x14ac:dyDescent="0.25">
      <c r="A17910" t="s">
        <v>4</v>
      </c>
      <c r="B17910" t="s">
        <v>4111</v>
      </c>
      <c r="C17910" t="s">
        <v>23490</v>
      </c>
      <c r="D17910" t="str">
        <f>HYPERLINK("https://rhld.insurance.arkansas.gov/NPILookup?Npi=1164858056","1164858056")</f>
        <v>1164858056</v>
      </c>
      <c r="E17910" t="s">
        <v>9028</v>
      </c>
    </row>
    <row r="17911" spans="1:5" x14ac:dyDescent="0.25">
      <c r="A17911" t="s">
        <v>4</v>
      </c>
      <c r="B17911" t="s">
        <v>4111</v>
      </c>
      <c r="C17911" t="s">
        <v>23490</v>
      </c>
      <c r="D17911" t="str">
        <f>HYPERLINK("https://rhld.insurance.arkansas.gov/NPILookup?Npi=1164867784","1164867784")</f>
        <v>1164867784</v>
      </c>
      <c r="E17911" t="s">
        <v>13975</v>
      </c>
    </row>
    <row r="17912" spans="1:5" x14ac:dyDescent="0.25">
      <c r="A17912" t="s">
        <v>4</v>
      </c>
      <c r="B17912" t="s">
        <v>4111</v>
      </c>
      <c r="C17912" t="s">
        <v>23490</v>
      </c>
      <c r="D17912" t="str">
        <f>HYPERLINK("https://rhld.insurance.arkansas.gov/NPILookup?Npi=1164868709","1164868709")</f>
        <v>1164868709</v>
      </c>
      <c r="E17912" t="s">
        <v>13976</v>
      </c>
    </row>
    <row r="17913" spans="1:5" x14ac:dyDescent="0.25">
      <c r="A17913" t="s">
        <v>4</v>
      </c>
      <c r="B17913" t="s">
        <v>4111</v>
      </c>
      <c r="C17913" t="s">
        <v>23490</v>
      </c>
      <c r="D17913" t="str">
        <f>HYPERLINK("https://rhld.insurance.arkansas.gov/NPILookup?Npi=1164879417","1164879417")</f>
        <v>1164879417</v>
      </c>
      <c r="E17913" t="s">
        <v>16000</v>
      </c>
    </row>
    <row r="17914" spans="1:5" x14ac:dyDescent="0.25">
      <c r="A17914" t="s">
        <v>4</v>
      </c>
      <c r="B17914" t="s">
        <v>4111</v>
      </c>
      <c r="C17914" t="s">
        <v>23490</v>
      </c>
      <c r="D17914" t="str">
        <f>HYPERLINK("https://rhld.insurance.arkansas.gov/NPILookup?Npi=1164882106","1164882106")</f>
        <v>1164882106</v>
      </c>
      <c r="E17914" t="s">
        <v>13087</v>
      </c>
    </row>
    <row r="17915" spans="1:5" x14ac:dyDescent="0.25">
      <c r="A17915" t="s">
        <v>4</v>
      </c>
      <c r="B17915" t="s">
        <v>4111</v>
      </c>
      <c r="C17915" t="s">
        <v>23490</v>
      </c>
      <c r="D17915" t="str">
        <f>HYPERLINK("https://rhld.insurance.arkansas.gov/NPILookup?Npi=1164882494","1164882494")</f>
        <v>1164882494</v>
      </c>
      <c r="E17915" t="s">
        <v>21887</v>
      </c>
    </row>
    <row r="17916" spans="1:5" x14ac:dyDescent="0.25">
      <c r="A17916" t="s">
        <v>4</v>
      </c>
      <c r="B17916" t="s">
        <v>4111</v>
      </c>
      <c r="C17916" t="s">
        <v>23490</v>
      </c>
      <c r="D17916" t="str">
        <f>HYPERLINK("https://rhld.insurance.arkansas.gov/NPILookup?Npi=1164884250","1164884250")</f>
        <v>1164884250</v>
      </c>
      <c r="E17916" t="s">
        <v>18277</v>
      </c>
    </row>
    <row r="17917" spans="1:5" x14ac:dyDescent="0.25">
      <c r="A17917" t="s">
        <v>4</v>
      </c>
      <c r="B17917" t="s">
        <v>4111</v>
      </c>
      <c r="C17917" t="s">
        <v>23490</v>
      </c>
      <c r="D17917" t="str">
        <f>HYPERLINK("https://rhld.insurance.arkansas.gov/NPILookup?Npi=1164884326","1164884326")</f>
        <v>1164884326</v>
      </c>
      <c r="E17917" t="s">
        <v>17545</v>
      </c>
    </row>
    <row r="17918" spans="1:5" x14ac:dyDescent="0.25">
      <c r="A17918" t="s">
        <v>4</v>
      </c>
      <c r="B17918" t="s">
        <v>4111</v>
      </c>
      <c r="C17918" t="s">
        <v>23490</v>
      </c>
      <c r="D17918" t="str">
        <f>HYPERLINK("https://rhld.insurance.arkansas.gov/NPILookup?Npi=1164887600","1164887600")</f>
        <v>1164887600</v>
      </c>
      <c r="E17918" t="s">
        <v>18278</v>
      </c>
    </row>
    <row r="17919" spans="1:5" x14ac:dyDescent="0.25">
      <c r="A17919" t="s">
        <v>4</v>
      </c>
      <c r="B17919" t="s">
        <v>4111</v>
      </c>
      <c r="C17919" t="s">
        <v>23490</v>
      </c>
      <c r="D17919" t="str">
        <f>HYPERLINK("https://rhld.insurance.arkansas.gov/NPILookup?Npi=1164908778","1164908778")</f>
        <v>1164908778</v>
      </c>
      <c r="E17919" t="s">
        <v>21888</v>
      </c>
    </row>
    <row r="17920" spans="1:5" x14ac:dyDescent="0.25">
      <c r="A17920" t="s">
        <v>4</v>
      </c>
      <c r="B17920" t="s">
        <v>4111</v>
      </c>
      <c r="C17920" t="s">
        <v>23490</v>
      </c>
      <c r="D17920" t="str">
        <f>HYPERLINK("https://rhld.insurance.arkansas.gov/NPILookup?Npi=1164927281","1164927281")</f>
        <v>1164927281</v>
      </c>
      <c r="E17920" t="s">
        <v>13088</v>
      </c>
    </row>
    <row r="17921" spans="1:5" x14ac:dyDescent="0.25">
      <c r="A17921" t="s">
        <v>4</v>
      </c>
      <c r="B17921" t="s">
        <v>4111</v>
      </c>
      <c r="C17921" t="s">
        <v>23490</v>
      </c>
      <c r="D17921" t="str">
        <f>HYPERLINK("https://rhld.insurance.arkansas.gov/NPILookup?Npi=1164933453","1164933453")</f>
        <v>1164933453</v>
      </c>
      <c r="E17921" t="s">
        <v>21889</v>
      </c>
    </row>
    <row r="17922" spans="1:5" x14ac:dyDescent="0.25">
      <c r="A17922" t="s">
        <v>4</v>
      </c>
      <c r="B17922" t="s">
        <v>4111</v>
      </c>
      <c r="C17922" t="s">
        <v>23490</v>
      </c>
      <c r="D17922" t="str">
        <f>HYPERLINK("https://rhld.insurance.arkansas.gov/NPILookup?Npi=1164951992","1164951992")</f>
        <v>1164951992</v>
      </c>
      <c r="E17922" t="s">
        <v>21890</v>
      </c>
    </row>
    <row r="17923" spans="1:5" x14ac:dyDescent="0.25">
      <c r="A17923" t="s">
        <v>4</v>
      </c>
      <c r="B17923" t="s">
        <v>4111</v>
      </c>
      <c r="C17923" t="s">
        <v>23490</v>
      </c>
      <c r="D17923" t="str">
        <f>HYPERLINK("https://rhld.insurance.arkansas.gov/NPILookup?Npi=1164964656","1164964656")</f>
        <v>1164964656</v>
      </c>
      <c r="E17923" t="s">
        <v>18956</v>
      </c>
    </row>
    <row r="17924" spans="1:5" x14ac:dyDescent="0.25">
      <c r="A17924" t="s">
        <v>4</v>
      </c>
      <c r="B17924" t="s">
        <v>4111</v>
      </c>
      <c r="C17924" t="s">
        <v>23490</v>
      </c>
      <c r="D17924" t="str">
        <f>HYPERLINK("https://rhld.insurance.arkansas.gov/NPILookup?Npi=1164978268","1164978268")</f>
        <v>1164978268</v>
      </c>
      <c r="E17924" t="s">
        <v>11553</v>
      </c>
    </row>
    <row r="17925" spans="1:5" x14ac:dyDescent="0.25">
      <c r="A17925" t="s">
        <v>4</v>
      </c>
      <c r="B17925" t="s">
        <v>4111</v>
      </c>
      <c r="C17925" t="s">
        <v>23490</v>
      </c>
      <c r="D17925" t="str">
        <f>HYPERLINK("https://rhld.insurance.arkansas.gov/NPILookup?Npi=1174009260","1174009260")</f>
        <v>1174009260</v>
      </c>
      <c r="E17925" t="s">
        <v>18279</v>
      </c>
    </row>
    <row r="17926" spans="1:5" x14ac:dyDescent="0.25">
      <c r="A17926" t="s">
        <v>4</v>
      </c>
      <c r="B17926" t="s">
        <v>4111</v>
      </c>
      <c r="C17926" t="s">
        <v>23490</v>
      </c>
      <c r="D17926" t="str">
        <f>HYPERLINK("https://rhld.insurance.arkansas.gov/NPILookup?Npi=1174009781","1174009781")</f>
        <v>1174009781</v>
      </c>
      <c r="E17926" t="s">
        <v>16001</v>
      </c>
    </row>
    <row r="17927" spans="1:5" x14ac:dyDescent="0.25">
      <c r="A17927" t="s">
        <v>4</v>
      </c>
      <c r="B17927" t="s">
        <v>4111</v>
      </c>
      <c r="C17927" t="s">
        <v>23490</v>
      </c>
      <c r="D17927" t="str">
        <f>HYPERLINK("https://rhld.insurance.arkansas.gov/NPILookup?Npi=1174059554","1174059554")</f>
        <v>1174059554</v>
      </c>
      <c r="E17927" t="s">
        <v>11554</v>
      </c>
    </row>
    <row r="17928" spans="1:5" x14ac:dyDescent="0.25">
      <c r="A17928" t="s">
        <v>4</v>
      </c>
      <c r="B17928" t="s">
        <v>4111</v>
      </c>
      <c r="C17928" t="s">
        <v>23490</v>
      </c>
      <c r="D17928" t="str">
        <f>HYPERLINK("https://rhld.insurance.arkansas.gov/NPILookup?Npi=1174071583","1174071583")</f>
        <v>1174071583</v>
      </c>
      <c r="E17928" t="s">
        <v>11555</v>
      </c>
    </row>
    <row r="17929" spans="1:5" x14ac:dyDescent="0.25">
      <c r="A17929" t="s">
        <v>4</v>
      </c>
      <c r="B17929" t="s">
        <v>4111</v>
      </c>
      <c r="C17929" t="s">
        <v>23490</v>
      </c>
      <c r="D17929" t="str">
        <f>HYPERLINK("https://rhld.insurance.arkansas.gov/NPILookup?Npi=1174073878","1174073878")</f>
        <v>1174073878</v>
      </c>
      <c r="E17929" t="s">
        <v>5016</v>
      </c>
    </row>
    <row r="17930" spans="1:5" x14ac:dyDescent="0.25">
      <c r="A17930" t="s">
        <v>4</v>
      </c>
      <c r="B17930" t="s">
        <v>4111</v>
      </c>
      <c r="C17930" t="s">
        <v>23490</v>
      </c>
      <c r="D17930" t="str">
        <f>HYPERLINK("https://rhld.insurance.arkansas.gov/NPILookup?Npi=1174094825","1174094825")</f>
        <v>1174094825</v>
      </c>
      <c r="E17930" t="s">
        <v>13977</v>
      </c>
    </row>
    <row r="17931" spans="1:5" x14ac:dyDescent="0.25">
      <c r="A17931" t="s">
        <v>4</v>
      </c>
      <c r="B17931" t="s">
        <v>4111</v>
      </c>
      <c r="C17931" t="s">
        <v>23490</v>
      </c>
      <c r="D17931" t="str">
        <f>HYPERLINK("https://rhld.insurance.arkansas.gov/NPILookup?Npi=1174115265","1174115265")</f>
        <v>1174115265</v>
      </c>
      <c r="E17931" t="s">
        <v>21377</v>
      </c>
    </row>
    <row r="17932" spans="1:5" x14ac:dyDescent="0.25">
      <c r="A17932" t="s">
        <v>4</v>
      </c>
      <c r="B17932" t="s">
        <v>4111</v>
      </c>
      <c r="C17932" t="s">
        <v>23490</v>
      </c>
      <c r="D17932" t="str">
        <f>HYPERLINK("https://rhld.insurance.arkansas.gov/NPILookup?Npi=1174155006","1174155006")</f>
        <v>1174155006</v>
      </c>
      <c r="E17932" t="s">
        <v>21891</v>
      </c>
    </row>
    <row r="17933" spans="1:5" x14ac:dyDescent="0.25">
      <c r="A17933" t="s">
        <v>4</v>
      </c>
      <c r="B17933" t="s">
        <v>4111</v>
      </c>
      <c r="C17933" t="s">
        <v>23490</v>
      </c>
      <c r="D17933" t="str">
        <f>HYPERLINK("https://rhld.insurance.arkansas.gov/NPILookup?Npi=1174181952","1174181952")</f>
        <v>1174181952</v>
      </c>
      <c r="E17933" t="s">
        <v>21892</v>
      </c>
    </row>
    <row r="17934" spans="1:5" x14ac:dyDescent="0.25">
      <c r="A17934" t="s">
        <v>4</v>
      </c>
      <c r="B17934" t="s">
        <v>4111</v>
      </c>
      <c r="C17934" t="s">
        <v>23490</v>
      </c>
      <c r="D17934" t="str">
        <f>HYPERLINK("https://rhld.insurance.arkansas.gov/NPILookup?Npi=1174184733","1174184733")</f>
        <v>1174184733</v>
      </c>
      <c r="E17934" t="s">
        <v>16002</v>
      </c>
    </row>
    <row r="17935" spans="1:5" x14ac:dyDescent="0.25">
      <c r="A17935" t="s">
        <v>4</v>
      </c>
      <c r="B17935" t="s">
        <v>4111</v>
      </c>
      <c r="C17935" t="s">
        <v>23490</v>
      </c>
      <c r="D17935" t="str">
        <f>HYPERLINK("https://rhld.insurance.arkansas.gov/NPILookup?Npi=1174199087","1174199087")</f>
        <v>1174199087</v>
      </c>
      <c r="E17935" t="s">
        <v>21893</v>
      </c>
    </row>
    <row r="17936" spans="1:5" x14ac:dyDescent="0.25">
      <c r="A17936" t="s">
        <v>4</v>
      </c>
      <c r="B17936" t="s">
        <v>4111</v>
      </c>
      <c r="C17936" t="s">
        <v>8427</v>
      </c>
      <c r="D17936" t="str">
        <f>HYPERLINK("https://rhld.insurance.arkansas.gov/NPILookup?Npi=1174216907","1174216907")</f>
        <v>1174216907</v>
      </c>
      <c r="E17936" t="s">
        <v>23060</v>
      </c>
    </row>
    <row r="17937" spans="1:5" x14ac:dyDescent="0.25">
      <c r="A17937" t="s">
        <v>4</v>
      </c>
      <c r="B17937" t="s">
        <v>4111</v>
      </c>
      <c r="C17937" t="s">
        <v>23490</v>
      </c>
      <c r="D17937" t="str">
        <f>HYPERLINK("https://rhld.insurance.arkansas.gov/NPILookup?Npi=1174251789","1174251789")</f>
        <v>1174251789</v>
      </c>
      <c r="E17937" t="s">
        <v>1861</v>
      </c>
    </row>
    <row r="17938" spans="1:5" x14ac:dyDescent="0.25">
      <c r="A17938" t="s">
        <v>4</v>
      </c>
      <c r="B17938" t="s">
        <v>4111</v>
      </c>
      <c r="C17938" t="s">
        <v>23490</v>
      </c>
      <c r="D17938" t="str">
        <f>HYPERLINK("https://rhld.insurance.arkansas.gov/NPILookup?Npi=1174270698","1174270698")</f>
        <v>1174270698</v>
      </c>
      <c r="E17938" t="s">
        <v>20374</v>
      </c>
    </row>
    <row r="17939" spans="1:5" x14ac:dyDescent="0.25">
      <c r="A17939" t="s">
        <v>4</v>
      </c>
      <c r="B17939" t="s">
        <v>4111</v>
      </c>
      <c r="C17939" t="s">
        <v>23490</v>
      </c>
      <c r="D17939" t="str">
        <f>HYPERLINK("https://rhld.insurance.arkansas.gov/NPILookup?Npi=1174274419","1174274419")</f>
        <v>1174274419</v>
      </c>
      <c r="E17939" t="s">
        <v>20375</v>
      </c>
    </row>
    <row r="17940" spans="1:5" x14ac:dyDescent="0.25">
      <c r="A17940" t="s">
        <v>4</v>
      </c>
      <c r="B17940" t="s">
        <v>4111</v>
      </c>
      <c r="C17940" t="s">
        <v>23490</v>
      </c>
      <c r="D17940" t="str">
        <f>HYPERLINK("https://rhld.insurance.arkansas.gov/NPILookup?Npi=1174284624","1174284624")</f>
        <v>1174284624</v>
      </c>
      <c r="E17940" t="s">
        <v>20376</v>
      </c>
    </row>
    <row r="17941" spans="1:5" x14ac:dyDescent="0.25">
      <c r="A17941" t="s">
        <v>4</v>
      </c>
      <c r="B17941" t="s">
        <v>4111</v>
      </c>
      <c r="C17941" t="s">
        <v>23490</v>
      </c>
      <c r="D17941" t="str">
        <f>HYPERLINK("https://rhld.insurance.arkansas.gov/NPILookup?Npi=1174529143","1174529143")</f>
        <v>1174529143</v>
      </c>
      <c r="E17941" t="s">
        <v>16003</v>
      </c>
    </row>
    <row r="17942" spans="1:5" x14ac:dyDescent="0.25">
      <c r="A17942" t="s">
        <v>4</v>
      </c>
      <c r="B17942" t="s">
        <v>4111</v>
      </c>
      <c r="C17942" t="s">
        <v>23490</v>
      </c>
      <c r="D17942" t="str">
        <f>HYPERLINK("https://rhld.insurance.arkansas.gov/NPILookup?Npi=1174542492","1174542492")</f>
        <v>1174542492</v>
      </c>
      <c r="E17942" t="s">
        <v>16004</v>
      </c>
    </row>
    <row r="17943" spans="1:5" x14ac:dyDescent="0.25">
      <c r="A17943" t="s">
        <v>4</v>
      </c>
      <c r="B17943" t="s">
        <v>4111</v>
      </c>
      <c r="C17943" t="s">
        <v>23490</v>
      </c>
      <c r="D17943" t="str">
        <f>HYPERLINK("https://rhld.insurance.arkansas.gov/NPILookup?Npi=1174548317","1174548317")</f>
        <v>1174548317</v>
      </c>
      <c r="E17943" t="s">
        <v>13978</v>
      </c>
    </row>
    <row r="17944" spans="1:5" x14ac:dyDescent="0.25">
      <c r="A17944" t="s">
        <v>4</v>
      </c>
      <c r="B17944" t="s">
        <v>4111</v>
      </c>
      <c r="C17944" t="s">
        <v>23490</v>
      </c>
      <c r="D17944" t="str">
        <f>HYPERLINK("https://rhld.insurance.arkansas.gov/NPILookup?Npi=1174548366","1174548366")</f>
        <v>1174548366</v>
      </c>
      <c r="E17944" t="s">
        <v>4431</v>
      </c>
    </row>
    <row r="17945" spans="1:5" x14ac:dyDescent="0.25">
      <c r="A17945" t="s">
        <v>4</v>
      </c>
      <c r="B17945" t="s">
        <v>4111</v>
      </c>
      <c r="C17945" t="s">
        <v>23490</v>
      </c>
      <c r="D17945" t="str">
        <f>HYPERLINK("https://rhld.insurance.arkansas.gov/NPILookup?Npi=1174561054","1174561054")</f>
        <v>1174561054</v>
      </c>
      <c r="E17945" t="s">
        <v>4432</v>
      </c>
    </row>
    <row r="17946" spans="1:5" x14ac:dyDescent="0.25">
      <c r="A17946" t="s">
        <v>4</v>
      </c>
      <c r="B17946" t="s">
        <v>4111</v>
      </c>
      <c r="C17946" t="s">
        <v>23490</v>
      </c>
      <c r="D17946" t="str">
        <f>HYPERLINK("https://rhld.insurance.arkansas.gov/NPILookup?Npi=1174600944","1174600944")</f>
        <v>1174600944</v>
      </c>
      <c r="E17946" t="s">
        <v>18957</v>
      </c>
    </row>
    <row r="17947" spans="1:5" x14ac:dyDescent="0.25">
      <c r="A17947" t="s">
        <v>4</v>
      </c>
      <c r="B17947" t="s">
        <v>4111</v>
      </c>
      <c r="C17947" t="s">
        <v>23490</v>
      </c>
      <c r="D17947" t="str">
        <f>HYPERLINK("https://rhld.insurance.arkansas.gov/NPILookup?Npi=1174613749","1174613749")</f>
        <v>1174613749</v>
      </c>
      <c r="E17947" t="s">
        <v>4433</v>
      </c>
    </row>
    <row r="17948" spans="1:5" x14ac:dyDescent="0.25">
      <c r="A17948" t="s">
        <v>4</v>
      </c>
      <c r="B17948" t="s">
        <v>4111</v>
      </c>
      <c r="C17948" t="s">
        <v>23490</v>
      </c>
      <c r="D17948" t="str">
        <f>HYPERLINK("https://rhld.insurance.arkansas.gov/NPILookup?Npi=1174626162","1174626162")</f>
        <v>1174626162</v>
      </c>
      <c r="E17948" t="s">
        <v>10712</v>
      </c>
    </row>
    <row r="17949" spans="1:5" x14ac:dyDescent="0.25">
      <c r="A17949" t="s">
        <v>4</v>
      </c>
      <c r="B17949" t="s">
        <v>4111</v>
      </c>
      <c r="C17949" t="s">
        <v>23490</v>
      </c>
      <c r="D17949" t="str">
        <f>HYPERLINK("https://rhld.insurance.arkansas.gov/NPILookup?Npi=1174637755","1174637755")</f>
        <v>1174637755</v>
      </c>
      <c r="E17949" t="s">
        <v>16005</v>
      </c>
    </row>
    <row r="17950" spans="1:5" x14ac:dyDescent="0.25">
      <c r="A17950" t="s">
        <v>4</v>
      </c>
      <c r="B17950" t="s">
        <v>4111</v>
      </c>
      <c r="C17950" t="s">
        <v>23490</v>
      </c>
      <c r="D17950" t="str">
        <f>HYPERLINK("https://rhld.insurance.arkansas.gov/NPILookup?Npi=1174640635","1174640635")</f>
        <v>1174640635</v>
      </c>
      <c r="E17950" t="s">
        <v>4434</v>
      </c>
    </row>
    <row r="17951" spans="1:5" x14ac:dyDescent="0.25">
      <c r="A17951" t="s">
        <v>4</v>
      </c>
      <c r="B17951" t="s">
        <v>4111</v>
      </c>
      <c r="C17951" t="s">
        <v>23490</v>
      </c>
      <c r="D17951" t="str">
        <f>HYPERLINK("https://rhld.insurance.arkansas.gov/NPILookup?Npi=1174641278","1174641278")</f>
        <v>1174641278</v>
      </c>
      <c r="E17951" t="s">
        <v>4435</v>
      </c>
    </row>
    <row r="17952" spans="1:5" x14ac:dyDescent="0.25">
      <c r="A17952" t="s">
        <v>4</v>
      </c>
      <c r="B17952" t="s">
        <v>4111</v>
      </c>
      <c r="C17952" t="s">
        <v>23490</v>
      </c>
      <c r="D17952" t="str">
        <f>HYPERLINK("https://rhld.insurance.arkansas.gov/NPILookup?Npi=1174645626","1174645626")</f>
        <v>1174645626</v>
      </c>
      <c r="E17952" t="s">
        <v>4436</v>
      </c>
    </row>
    <row r="17953" spans="1:5" x14ac:dyDescent="0.25">
      <c r="A17953" t="s">
        <v>4</v>
      </c>
      <c r="B17953" t="s">
        <v>4111</v>
      </c>
      <c r="C17953" t="s">
        <v>23490</v>
      </c>
      <c r="D17953" t="str">
        <f>HYPERLINK("https://rhld.insurance.arkansas.gov/NPILookup?Npi=1174645675","1174645675")</f>
        <v>1174645675</v>
      </c>
      <c r="E17953" t="s">
        <v>4437</v>
      </c>
    </row>
    <row r="17954" spans="1:5" x14ac:dyDescent="0.25">
      <c r="A17954" t="s">
        <v>4</v>
      </c>
      <c r="B17954" t="s">
        <v>4111</v>
      </c>
      <c r="C17954" t="s">
        <v>23490</v>
      </c>
      <c r="D17954" t="str">
        <f>HYPERLINK("https://rhld.insurance.arkansas.gov/NPILookup?Npi=1174666044","1174666044")</f>
        <v>1174666044</v>
      </c>
      <c r="E17954" t="s">
        <v>4438</v>
      </c>
    </row>
    <row r="17955" spans="1:5" x14ac:dyDescent="0.25">
      <c r="A17955" t="s">
        <v>4</v>
      </c>
      <c r="B17955" t="s">
        <v>4111</v>
      </c>
      <c r="C17955" t="s">
        <v>23490</v>
      </c>
      <c r="D17955" t="str">
        <f>HYPERLINK("https://rhld.insurance.arkansas.gov/NPILookup?Npi=1174667380","1174667380")</f>
        <v>1174667380</v>
      </c>
      <c r="E17955" t="s">
        <v>9029</v>
      </c>
    </row>
    <row r="17956" spans="1:5" x14ac:dyDescent="0.25">
      <c r="A17956" t="s">
        <v>4</v>
      </c>
      <c r="B17956" t="s">
        <v>4111</v>
      </c>
      <c r="C17956" t="s">
        <v>23490</v>
      </c>
      <c r="D17956" t="str">
        <f>HYPERLINK("https://rhld.insurance.arkansas.gov/NPILookup?Npi=1174676142","1174676142")</f>
        <v>1174676142</v>
      </c>
      <c r="E17956" t="s">
        <v>4439</v>
      </c>
    </row>
    <row r="17957" spans="1:5" x14ac:dyDescent="0.25">
      <c r="A17957" t="s">
        <v>4</v>
      </c>
      <c r="B17957" t="s">
        <v>4111</v>
      </c>
      <c r="C17957" t="s">
        <v>23490</v>
      </c>
      <c r="D17957" t="str">
        <f>HYPERLINK("https://rhld.insurance.arkansas.gov/NPILookup?Npi=1174678080","1174678080")</f>
        <v>1174678080</v>
      </c>
      <c r="E17957" t="s">
        <v>17121</v>
      </c>
    </row>
    <row r="17958" spans="1:5" x14ac:dyDescent="0.25">
      <c r="A17958" t="s">
        <v>4</v>
      </c>
      <c r="B17958" t="s">
        <v>4111</v>
      </c>
      <c r="C17958" t="s">
        <v>23490</v>
      </c>
      <c r="D17958" t="str">
        <f>HYPERLINK("https://rhld.insurance.arkansas.gov/NPILookup?Npi=1174679377","1174679377")</f>
        <v>1174679377</v>
      </c>
      <c r="E17958" t="s">
        <v>4440</v>
      </c>
    </row>
    <row r="17959" spans="1:5" x14ac:dyDescent="0.25">
      <c r="A17959" t="s">
        <v>4</v>
      </c>
      <c r="B17959" t="s">
        <v>4111</v>
      </c>
      <c r="C17959" t="s">
        <v>23490</v>
      </c>
      <c r="D17959" t="str">
        <f>HYPERLINK("https://rhld.insurance.arkansas.gov/NPILookup?Npi=1174702757","1174702757")</f>
        <v>1174702757</v>
      </c>
      <c r="E17959" t="s">
        <v>13979</v>
      </c>
    </row>
    <row r="17960" spans="1:5" x14ac:dyDescent="0.25">
      <c r="A17960" t="s">
        <v>4</v>
      </c>
      <c r="B17960" t="s">
        <v>4111</v>
      </c>
      <c r="C17960" t="s">
        <v>23490</v>
      </c>
      <c r="D17960" t="str">
        <f>HYPERLINK("https://rhld.insurance.arkansas.gov/NPILookup?Npi=1174702849","1174702849")</f>
        <v>1174702849</v>
      </c>
      <c r="E17960" t="s">
        <v>11556</v>
      </c>
    </row>
    <row r="17961" spans="1:5" x14ac:dyDescent="0.25">
      <c r="A17961" t="s">
        <v>4</v>
      </c>
      <c r="B17961" t="s">
        <v>4111</v>
      </c>
      <c r="C17961" t="s">
        <v>23490</v>
      </c>
      <c r="D17961" t="str">
        <f>HYPERLINK("https://rhld.insurance.arkansas.gov/NPILookup?Npi=1174711261","1174711261")</f>
        <v>1174711261</v>
      </c>
      <c r="E17961" t="s">
        <v>18958</v>
      </c>
    </row>
    <row r="17962" spans="1:5" x14ac:dyDescent="0.25">
      <c r="A17962" t="s">
        <v>4</v>
      </c>
      <c r="B17962" t="s">
        <v>4111</v>
      </c>
      <c r="C17962" t="s">
        <v>23490</v>
      </c>
      <c r="D17962" t="str">
        <f>HYPERLINK("https://rhld.insurance.arkansas.gov/NPILookup?Npi=1174728109","1174728109")</f>
        <v>1174728109</v>
      </c>
      <c r="E17962" t="s">
        <v>16006</v>
      </c>
    </row>
    <row r="17963" spans="1:5" x14ac:dyDescent="0.25">
      <c r="A17963" t="s">
        <v>4</v>
      </c>
      <c r="B17963" t="s">
        <v>4111</v>
      </c>
      <c r="C17963" t="s">
        <v>23490</v>
      </c>
      <c r="D17963" t="str">
        <f>HYPERLINK("https://rhld.insurance.arkansas.gov/NPILookup?Npi=1174730055","1174730055")</f>
        <v>1174730055</v>
      </c>
      <c r="E17963" t="s">
        <v>17546</v>
      </c>
    </row>
    <row r="17964" spans="1:5" x14ac:dyDescent="0.25">
      <c r="A17964" t="s">
        <v>4</v>
      </c>
      <c r="B17964" t="s">
        <v>4111</v>
      </c>
      <c r="C17964" t="s">
        <v>23490</v>
      </c>
      <c r="D17964" t="str">
        <f>HYPERLINK("https://rhld.insurance.arkansas.gov/NPILookup?Npi=1174738132","1174738132")</f>
        <v>1174738132</v>
      </c>
      <c r="E17964" t="s">
        <v>4441</v>
      </c>
    </row>
    <row r="17965" spans="1:5" x14ac:dyDescent="0.25">
      <c r="A17965" t="s">
        <v>4</v>
      </c>
      <c r="B17965" t="s">
        <v>4111</v>
      </c>
      <c r="C17965" t="s">
        <v>23490</v>
      </c>
      <c r="D17965" t="str">
        <f>HYPERLINK("https://rhld.insurance.arkansas.gov/NPILookup?Npi=1174745392","1174745392")</f>
        <v>1174745392</v>
      </c>
      <c r="E17965" t="s">
        <v>4442</v>
      </c>
    </row>
    <row r="17966" spans="1:5" x14ac:dyDescent="0.25">
      <c r="A17966" t="s">
        <v>4</v>
      </c>
      <c r="B17966" t="s">
        <v>4111</v>
      </c>
      <c r="C17966" t="s">
        <v>23490</v>
      </c>
      <c r="D17966" t="str">
        <f>HYPERLINK("https://rhld.insurance.arkansas.gov/NPILookup?Npi=1174746713","1174746713")</f>
        <v>1174746713</v>
      </c>
      <c r="E17966" t="s">
        <v>4443</v>
      </c>
    </row>
    <row r="17967" spans="1:5" x14ac:dyDescent="0.25">
      <c r="A17967" t="s">
        <v>4</v>
      </c>
      <c r="B17967" t="s">
        <v>4111</v>
      </c>
      <c r="C17967" t="s">
        <v>23490</v>
      </c>
      <c r="D17967" t="str">
        <f>HYPERLINK("https://rhld.insurance.arkansas.gov/NPILookup?Npi=1174752364","1174752364")</f>
        <v>1174752364</v>
      </c>
      <c r="E17967" t="s">
        <v>11557</v>
      </c>
    </row>
    <row r="17968" spans="1:5" x14ac:dyDescent="0.25">
      <c r="A17968" t="s">
        <v>4</v>
      </c>
      <c r="B17968" t="s">
        <v>4111</v>
      </c>
      <c r="C17968" t="s">
        <v>23490</v>
      </c>
      <c r="D17968" t="str">
        <f>HYPERLINK("https://rhld.insurance.arkansas.gov/NPILookup?Npi=1174771091","1174771091")</f>
        <v>1174771091</v>
      </c>
      <c r="E17968" t="s">
        <v>4444</v>
      </c>
    </row>
    <row r="17969" spans="1:5" x14ac:dyDescent="0.25">
      <c r="A17969" t="s">
        <v>4</v>
      </c>
      <c r="B17969" t="s">
        <v>4111</v>
      </c>
      <c r="C17969" t="s">
        <v>23490</v>
      </c>
      <c r="D17969" t="str">
        <f>HYPERLINK("https://rhld.insurance.arkansas.gov/NPILookup?Npi=1174772180","1174772180")</f>
        <v>1174772180</v>
      </c>
      <c r="E17969" t="s">
        <v>16007</v>
      </c>
    </row>
    <row r="17970" spans="1:5" x14ac:dyDescent="0.25">
      <c r="A17970" t="s">
        <v>4</v>
      </c>
      <c r="B17970" t="s">
        <v>4111</v>
      </c>
      <c r="C17970" t="s">
        <v>23490</v>
      </c>
      <c r="D17970" t="str">
        <f>HYPERLINK("https://rhld.insurance.arkansas.gov/NPILookup?Npi=1174775811","1174775811")</f>
        <v>1174775811</v>
      </c>
      <c r="E17970" t="s">
        <v>13089</v>
      </c>
    </row>
    <row r="17971" spans="1:5" x14ac:dyDescent="0.25">
      <c r="A17971" t="s">
        <v>4</v>
      </c>
      <c r="B17971" t="s">
        <v>4111</v>
      </c>
      <c r="C17971" t="s">
        <v>23490</v>
      </c>
      <c r="D17971" t="str">
        <f>HYPERLINK("https://rhld.insurance.arkansas.gov/NPILookup?Npi=1174806913","1174806913")</f>
        <v>1174806913</v>
      </c>
      <c r="E17971" t="s">
        <v>17122</v>
      </c>
    </row>
    <row r="17972" spans="1:5" x14ac:dyDescent="0.25">
      <c r="A17972" t="s">
        <v>4</v>
      </c>
      <c r="B17972" t="s">
        <v>4111</v>
      </c>
      <c r="C17972" t="s">
        <v>23490</v>
      </c>
      <c r="D17972" t="str">
        <f>HYPERLINK("https://rhld.insurance.arkansas.gov/NPILookup?Npi=1174811236","1174811236")</f>
        <v>1174811236</v>
      </c>
      <c r="E17972" t="s">
        <v>11558</v>
      </c>
    </row>
    <row r="17973" spans="1:5" x14ac:dyDescent="0.25">
      <c r="A17973" t="s">
        <v>4</v>
      </c>
      <c r="B17973" t="s">
        <v>4111</v>
      </c>
      <c r="C17973" t="s">
        <v>23490</v>
      </c>
      <c r="D17973" t="str">
        <f>HYPERLINK("https://rhld.insurance.arkansas.gov/NPILookup?Npi=1174813067","1174813067")</f>
        <v>1174813067</v>
      </c>
      <c r="E17973" t="s">
        <v>4445</v>
      </c>
    </row>
    <row r="17974" spans="1:5" x14ac:dyDescent="0.25">
      <c r="A17974" t="s">
        <v>4</v>
      </c>
      <c r="B17974" t="s">
        <v>4111</v>
      </c>
      <c r="C17974" t="s">
        <v>23490</v>
      </c>
      <c r="D17974" t="str">
        <f>HYPERLINK("https://rhld.insurance.arkansas.gov/NPILookup?Npi=1174829634","1174829634")</f>
        <v>1174829634</v>
      </c>
      <c r="E17974" t="s">
        <v>4446</v>
      </c>
    </row>
    <row r="17975" spans="1:5" x14ac:dyDescent="0.25">
      <c r="A17975" t="s">
        <v>4</v>
      </c>
      <c r="B17975" t="s">
        <v>4111</v>
      </c>
      <c r="C17975" t="s">
        <v>23490</v>
      </c>
      <c r="D17975" t="str">
        <f>HYPERLINK("https://rhld.insurance.arkansas.gov/NPILookup?Npi=1174839641","1174839641")</f>
        <v>1174839641</v>
      </c>
      <c r="E17975" t="s">
        <v>4447</v>
      </c>
    </row>
    <row r="17976" spans="1:5" x14ac:dyDescent="0.25">
      <c r="A17976" t="s">
        <v>4</v>
      </c>
      <c r="B17976" t="s">
        <v>4111</v>
      </c>
      <c r="C17976" t="s">
        <v>23490</v>
      </c>
      <c r="D17976" t="str">
        <f>HYPERLINK("https://rhld.insurance.arkansas.gov/NPILookup?Npi=1174879852","1174879852")</f>
        <v>1174879852</v>
      </c>
      <c r="E17976" t="s">
        <v>20377</v>
      </c>
    </row>
    <row r="17977" spans="1:5" x14ac:dyDescent="0.25">
      <c r="A17977" t="s">
        <v>4</v>
      </c>
      <c r="B17977" t="s">
        <v>4111</v>
      </c>
      <c r="C17977" t="s">
        <v>23490</v>
      </c>
      <c r="D17977" t="str">
        <f>HYPERLINK("https://rhld.insurance.arkansas.gov/NPILookup?Npi=1174890248","1174890248")</f>
        <v>1174890248</v>
      </c>
      <c r="E17977" t="s">
        <v>4448</v>
      </c>
    </row>
    <row r="17978" spans="1:5" x14ac:dyDescent="0.25">
      <c r="A17978" t="s">
        <v>4</v>
      </c>
      <c r="B17978" t="s">
        <v>4111</v>
      </c>
      <c r="C17978" t="s">
        <v>23490</v>
      </c>
      <c r="D17978" t="str">
        <f>HYPERLINK("https://rhld.insurance.arkansas.gov/NPILookup?Npi=1174893440","1174893440")</f>
        <v>1174893440</v>
      </c>
      <c r="E17978" t="s">
        <v>21894</v>
      </c>
    </row>
    <row r="17979" spans="1:5" x14ac:dyDescent="0.25">
      <c r="A17979" t="s">
        <v>4</v>
      </c>
      <c r="B17979" t="s">
        <v>4111</v>
      </c>
      <c r="C17979" t="s">
        <v>23490</v>
      </c>
      <c r="D17979" t="str">
        <f>HYPERLINK("https://rhld.insurance.arkansas.gov/NPILookup?Npi=1174922140","1174922140")</f>
        <v>1174922140</v>
      </c>
      <c r="E17979" t="s">
        <v>13980</v>
      </c>
    </row>
    <row r="17980" spans="1:5" x14ac:dyDescent="0.25">
      <c r="A17980" t="s">
        <v>4</v>
      </c>
      <c r="B17980" t="s">
        <v>4111</v>
      </c>
      <c r="C17980" t="s">
        <v>23490</v>
      </c>
      <c r="D17980" t="str">
        <f>HYPERLINK("https://rhld.insurance.arkansas.gov/NPILookup?Npi=1174929236","1174929236")</f>
        <v>1174929236</v>
      </c>
      <c r="E17980" t="s">
        <v>16008</v>
      </c>
    </row>
    <row r="17981" spans="1:5" x14ac:dyDescent="0.25">
      <c r="A17981" t="s">
        <v>4</v>
      </c>
      <c r="B17981" t="s">
        <v>4111</v>
      </c>
      <c r="C17981" t="s">
        <v>23490</v>
      </c>
      <c r="D17981" t="str">
        <f>HYPERLINK("https://rhld.insurance.arkansas.gov/NPILookup?Npi=1174960421","1174960421")</f>
        <v>1174960421</v>
      </c>
      <c r="E17981" t="s">
        <v>13090</v>
      </c>
    </row>
    <row r="17982" spans="1:5" x14ac:dyDescent="0.25">
      <c r="A17982" t="s">
        <v>4</v>
      </c>
      <c r="B17982" t="s">
        <v>4111</v>
      </c>
      <c r="C17982" t="s">
        <v>23490</v>
      </c>
      <c r="D17982" t="str">
        <f>HYPERLINK("https://rhld.insurance.arkansas.gov/NPILookup?Npi=1174973150","1174973150")</f>
        <v>1174973150</v>
      </c>
      <c r="E17982" t="s">
        <v>20378</v>
      </c>
    </row>
    <row r="17983" spans="1:5" x14ac:dyDescent="0.25">
      <c r="A17983" t="s">
        <v>4</v>
      </c>
      <c r="B17983" t="s">
        <v>4111</v>
      </c>
      <c r="C17983" t="s">
        <v>23490</v>
      </c>
      <c r="D17983" t="str">
        <f>HYPERLINK("https://rhld.insurance.arkansas.gov/NPILookup?Npi=1174981724","1174981724")</f>
        <v>1174981724</v>
      </c>
      <c r="E17983" t="s">
        <v>11559</v>
      </c>
    </row>
    <row r="17984" spans="1:5" x14ac:dyDescent="0.25">
      <c r="A17984" t="s">
        <v>4</v>
      </c>
      <c r="B17984" t="s">
        <v>4111</v>
      </c>
      <c r="C17984" t="s">
        <v>23490</v>
      </c>
      <c r="D17984" t="str">
        <f>HYPERLINK("https://rhld.insurance.arkansas.gov/NPILookup?Npi=1184005043","1184005043")</f>
        <v>1184005043</v>
      </c>
      <c r="E17984" t="s">
        <v>17547</v>
      </c>
    </row>
    <row r="17985" spans="1:5" x14ac:dyDescent="0.25">
      <c r="A17985" t="s">
        <v>4</v>
      </c>
      <c r="B17985" t="s">
        <v>4111</v>
      </c>
      <c r="C17985" t="s">
        <v>23490</v>
      </c>
      <c r="D17985" t="str">
        <f>HYPERLINK("https://rhld.insurance.arkansas.gov/NPILookup?Npi=1184020687","1184020687")</f>
        <v>1184020687</v>
      </c>
      <c r="E17985" t="s">
        <v>11560</v>
      </c>
    </row>
    <row r="17986" spans="1:5" x14ac:dyDescent="0.25">
      <c r="A17986" t="s">
        <v>4</v>
      </c>
      <c r="B17986" t="s">
        <v>4111</v>
      </c>
      <c r="C17986" t="s">
        <v>23490</v>
      </c>
      <c r="D17986" t="str">
        <f>HYPERLINK("https://rhld.insurance.arkansas.gov/NPILookup?Npi=1184031395","1184031395")</f>
        <v>1184031395</v>
      </c>
      <c r="E17986" t="s">
        <v>20379</v>
      </c>
    </row>
    <row r="17987" spans="1:5" x14ac:dyDescent="0.25">
      <c r="A17987" t="s">
        <v>4</v>
      </c>
      <c r="B17987" t="s">
        <v>4111</v>
      </c>
      <c r="C17987" t="s">
        <v>23490</v>
      </c>
      <c r="D17987" t="str">
        <f>HYPERLINK("https://rhld.insurance.arkansas.gov/NPILookup?Npi=1184034126","1184034126")</f>
        <v>1184034126</v>
      </c>
      <c r="E17987" t="s">
        <v>11561</v>
      </c>
    </row>
    <row r="17988" spans="1:5" x14ac:dyDescent="0.25">
      <c r="A17988" t="s">
        <v>4</v>
      </c>
      <c r="B17988" t="s">
        <v>4111</v>
      </c>
      <c r="C17988" t="s">
        <v>23490</v>
      </c>
      <c r="D17988" t="str">
        <f>HYPERLINK("https://rhld.insurance.arkansas.gov/NPILookup?Npi=1184041808","1184041808")</f>
        <v>1184041808</v>
      </c>
      <c r="E17988" t="s">
        <v>13981</v>
      </c>
    </row>
    <row r="17989" spans="1:5" x14ac:dyDescent="0.25">
      <c r="A17989" t="s">
        <v>4</v>
      </c>
      <c r="B17989" t="s">
        <v>4111</v>
      </c>
      <c r="C17989" t="s">
        <v>23490</v>
      </c>
      <c r="D17989" t="str">
        <f>HYPERLINK("https://rhld.insurance.arkansas.gov/NPILookup?Npi=1184054819","1184054819")</f>
        <v>1184054819</v>
      </c>
      <c r="E17989" t="s">
        <v>13982</v>
      </c>
    </row>
    <row r="17990" spans="1:5" x14ac:dyDescent="0.25">
      <c r="A17990" t="s">
        <v>4</v>
      </c>
      <c r="B17990" t="s">
        <v>4111</v>
      </c>
      <c r="C17990" t="s">
        <v>23490</v>
      </c>
      <c r="D17990" t="str">
        <f>HYPERLINK("https://rhld.insurance.arkansas.gov/NPILookup?Npi=1184078875","1184078875")</f>
        <v>1184078875</v>
      </c>
      <c r="E17990" t="s">
        <v>21112</v>
      </c>
    </row>
    <row r="17991" spans="1:5" x14ac:dyDescent="0.25">
      <c r="A17991" t="s">
        <v>4</v>
      </c>
      <c r="B17991" t="s">
        <v>4111</v>
      </c>
      <c r="C17991" t="s">
        <v>23490</v>
      </c>
      <c r="D17991" t="str">
        <f>HYPERLINK("https://rhld.insurance.arkansas.gov/NPILookup?Npi=1184097511","1184097511")</f>
        <v>1184097511</v>
      </c>
      <c r="E17991" t="s">
        <v>11562</v>
      </c>
    </row>
    <row r="17992" spans="1:5" x14ac:dyDescent="0.25">
      <c r="A17992" t="s">
        <v>4</v>
      </c>
      <c r="B17992" t="s">
        <v>4111</v>
      </c>
      <c r="C17992" t="s">
        <v>23490</v>
      </c>
      <c r="D17992" t="str">
        <f>HYPERLINK("https://rhld.insurance.arkansas.gov/NPILookup?Npi=1184098469","1184098469")</f>
        <v>1184098469</v>
      </c>
      <c r="E17992" t="s">
        <v>13091</v>
      </c>
    </row>
    <row r="17993" spans="1:5" x14ac:dyDescent="0.25">
      <c r="A17993" t="s">
        <v>4</v>
      </c>
      <c r="B17993" t="s">
        <v>4111</v>
      </c>
      <c r="C17993" t="s">
        <v>23490</v>
      </c>
      <c r="D17993" t="str">
        <f>HYPERLINK("https://rhld.insurance.arkansas.gov/NPILookup?Npi=1184131252","1184131252")</f>
        <v>1184131252</v>
      </c>
      <c r="E17993" t="s">
        <v>18280</v>
      </c>
    </row>
    <row r="17994" spans="1:5" x14ac:dyDescent="0.25">
      <c r="A17994" t="s">
        <v>4</v>
      </c>
      <c r="B17994" t="s">
        <v>4111</v>
      </c>
      <c r="C17994" t="s">
        <v>23490</v>
      </c>
      <c r="D17994" t="str">
        <f>HYPERLINK("https://rhld.insurance.arkansas.gov/NPILookup?Npi=1184132417","1184132417")</f>
        <v>1184132417</v>
      </c>
      <c r="E17994" t="s">
        <v>21895</v>
      </c>
    </row>
    <row r="17995" spans="1:5" x14ac:dyDescent="0.25">
      <c r="A17995" t="s">
        <v>4</v>
      </c>
      <c r="B17995" t="s">
        <v>4111</v>
      </c>
      <c r="C17995" t="s">
        <v>23490</v>
      </c>
      <c r="D17995" t="str">
        <f>HYPERLINK("https://rhld.insurance.arkansas.gov/NPILookup?Npi=1184133548","1184133548")</f>
        <v>1184133548</v>
      </c>
      <c r="E17995" t="s">
        <v>18281</v>
      </c>
    </row>
    <row r="17996" spans="1:5" x14ac:dyDescent="0.25">
      <c r="A17996" t="s">
        <v>4</v>
      </c>
      <c r="B17996" t="s">
        <v>4111</v>
      </c>
      <c r="C17996" t="s">
        <v>23490</v>
      </c>
      <c r="D17996" t="str">
        <f>HYPERLINK("https://rhld.insurance.arkansas.gov/NPILookup?Npi=1184147464","1184147464")</f>
        <v>1184147464</v>
      </c>
      <c r="E17996" t="s">
        <v>17123</v>
      </c>
    </row>
    <row r="17997" spans="1:5" x14ac:dyDescent="0.25">
      <c r="A17997" t="s">
        <v>4</v>
      </c>
      <c r="B17997" t="s">
        <v>4111</v>
      </c>
      <c r="C17997" t="s">
        <v>23490</v>
      </c>
      <c r="D17997" t="str">
        <f>HYPERLINK("https://rhld.insurance.arkansas.gov/NPILookup?Npi=1184153553","1184153553")</f>
        <v>1184153553</v>
      </c>
      <c r="E17997" t="s">
        <v>11563</v>
      </c>
    </row>
    <row r="17998" spans="1:5" x14ac:dyDescent="0.25">
      <c r="A17998" t="s">
        <v>4</v>
      </c>
      <c r="B17998" t="s">
        <v>4111</v>
      </c>
      <c r="C17998" t="s">
        <v>23490</v>
      </c>
      <c r="D17998" t="str">
        <f>HYPERLINK("https://rhld.insurance.arkansas.gov/NPILookup?Npi=1184168999","1184168999")</f>
        <v>1184168999</v>
      </c>
      <c r="E17998" t="s">
        <v>13983</v>
      </c>
    </row>
    <row r="17999" spans="1:5" x14ac:dyDescent="0.25">
      <c r="A17999" t="s">
        <v>4</v>
      </c>
      <c r="B17999" t="s">
        <v>4111</v>
      </c>
      <c r="C17999" t="s">
        <v>23490</v>
      </c>
      <c r="D17999" t="str">
        <f>HYPERLINK("https://rhld.insurance.arkansas.gov/NPILookup?Npi=1184196735","1184196735")</f>
        <v>1184196735</v>
      </c>
      <c r="E17999" t="s">
        <v>21896</v>
      </c>
    </row>
    <row r="18000" spans="1:5" x14ac:dyDescent="0.25">
      <c r="A18000" t="s">
        <v>4</v>
      </c>
      <c r="B18000" t="s">
        <v>4111</v>
      </c>
      <c r="C18000" t="s">
        <v>23490</v>
      </c>
      <c r="D18000" t="str">
        <f>HYPERLINK("https://rhld.insurance.arkansas.gov/NPILookup?Npi=1184249104","1184249104")</f>
        <v>1184249104</v>
      </c>
      <c r="E18000" t="s">
        <v>21113</v>
      </c>
    </row>
    <row r="18001" spans="1:5" x14ac:dyDescent="0.25">
      <c r="A18001" t="s">
        <v>4</v>
      </c>
      <c r="B18001" t="s">
        <v>4111</v>
      </c>
      <c r="C18001" t="s">
        <v>23490</v>
      </c>
      <c r="D18001" t="str">
        <f>HYPERLINK("https://rhld.insurance.arkansas.gov/NPILookup?Npi=1184250318","1184250318")</f>
        <v>1184250318</v>
      </c>
      <c r="E18001" t="s">
        <v>18282</v>
      </c>
    </row>
    <row r="18002" spans="1:5" x14ac:dyDescent="0.25">
      <c r="A18002" t="s">
        <v>4</v>
      </c>
      <c r="B18002" t="s">
        <v>4111</v>
      </c>
      <c r="C18002" t="s">
        <v>23490</v>
      </c>
      <c r="D18002" t="str">
        <f>HYPERLINK("https://rhld.insurance.arkansas.gov/NPILookup?Npi=1184254120","1184254120")</f>
        <v>1184254120</v>
      </c>
      <c r="E18002" t="s">
        <v>17124</v>
      </c>
    </row>
    <row r="18003" spans="1:5" x14ac:dyDescent="0.25">
      <c r="A18003" t="s">
        <v>4</v>
      </c>
      <c r="B18003" t="s">
        <v>4111</v>
      </c>
      <c r="C18003" t="s">
        <v>23490</v>
      </c>
      <c r="D18003" t="str">
        <f>HYPERLINK("https://rhld.insurance.arkansas.gov/NPILookup?Npi=1184260408","1184260408")</f>
        <v>1184260408</v>
      </c>
      <c r="E18003" t="s">
        <v>18959</v>
      </c>
    </row>
    <row r="18004" spans="1:5" x14ac:dyDescent="0.25">
      <c r="A18004" t="s">
        <v>4</v>
      </c>
      <c r="B18004" t="s">
        <v>4111</v>
      </c>
      <c r="C18004" t="s">
        <v>23490</v>
      </c>
      <c r="D18004" t="str">
        <f>HYPERLINK("https://rhld.insurance.arkansas.gov/NPILookup?Npi=1184271702","1184271702")</f>
        <v>1184271702</v>
      </c>
      <c r="E18004" t="s">
        <v>18960</v>
      </c>
    </row>
    <row r="18005" spans="1:5" x14ac:dyDescent="0.25">
      <c r="A18005" t="s">
        <v>4</v>
      </c>
      <c r="B18005" t="s">
        <v>4111</v>
      </c>
      <c r="C18005" t="s">
        <v>23490</v>
      </c>
      <c r="D18005" t="str">
        <f>HYPERLINK("https://rhld.insurance.arkansas.gov/NPILookup?Npi=1184284473","1184284473")</f>
        <v>1184284473</v>
      </c>
      <c r="E18005" t="s">
        <v>17893</v>
      </c>
    </row>
    <row r="18006" spans="1:5" x14ac:dyDescent="0.25">
      <c r="A18006" t="s">
        <v>4</v>
      </c>
      <c r="B18006" t="s">
        <v>4111</v>
      </c>
      <c r="C18006" t="s">
        <v>23490</v>
      </c>
      <c r="D18006" t="str">
        <f>HYPERLINK("https://rhld.insurance.arkansas.gov/NPILookup?Npi=1184287351","1184287351")</f>
        <v>1184287351</v>
      </c>
      <c r="E18006" t="s">
        <v>14848</v>
      </c>
    </row>
    <row r="18007" spans="1:5" x14ac:dyDescent="0.25">
      <c r="A18007" t="s">
        <v>4</v>
      </c>
      <c r="B18007" t="s">
        <v>4111</v>
      </c>
      <c r="C18007" t="s">
        <v>8427</v>
      </c>
      <c r="D18007" t="str">
        <f>HYPERLINK("https://rhld.insurance.arkansas.gov/NPILookup?Npi=1184287815","1184287815")</f>
        <v>1184287815</v>
      </c>
      <c r="E18007" t="s">
        <v>23061</v>
      </c>
    </row>
    <row r="18008" spans="1:5" x14ac:dyDescent="0.25">
      <c r="A18008" t="s">
        <v>4</v>
      </c>
      <c r="B18008" t="s">
        <v>4111</v>
      </c>
      <c r="C18008" t="s">
        <v>23490</v>
      </c>
      <c r="D18008" t="str">
        <f>HYPERLINK("https://rhld.insurance.arkansas.gov/NPILookup?Npi=1184290439","1184290439")</f>
        <v>1184290439</v>
      </c>
      <c r="E18008" t="s">
        <v>23062</v>
      </c>
    </row>
    <row r="18009" spans="1:5" x14ac:dyDescent="0.25">
      <c r="A18009" t="s">
        <v>4</v>
      </c>
      <c r="B18009" t="s">
        <v>4111</v>
      </c>
      <c r="C18009" t="s">
        <v>8427</v>
      </c>
      <c r="D18009" t="str">
        <f>HYPERLINK("https://rhld.insurance.arkansas.gov/NPILookup?Npi=1184303992","1184303992")</f>
        <v>1184303992</v>
      </c>
      <c r="E18009" t="s">
        <v>23063</v>
      </c>
    </row>
    <row r="18010" spans="1:5" x14ac:dyDescent="0.25">
      <c r="A18010" t="s">
        <v>4</v>
      </c>
      <c r="B18010" t="s">
        <v>4111</v>
      </c>
      <c r="C18010" t="s">
        <v>23490</v>
      </c>
      <c r="D18010" t="str">
        <f>HYPERLINK("https://rhld.insurance.arkansas.gov/NPILookup?Npi=1184382475","1184382475")</f>
        <v>1184382475</v>
      </c>
      <c r="E18010" t="s">
        <v>20380</v>
      </c>
    </row>
    <row r="18011" spans="1:5" x14ac:dyDescent="0.25">
      <c r="A18011" t="s">
        <v>4</v>
      </c>
      <c r="B18011" t="s">
        <v>4111</v>
      </c>
      <c r="C18011" t="s">
        <v>23490</v>
      </c>
      <c r="D18011" t="str">
        <f>HYPERLINK("https://rhld.insurance.arkansas.gov/NPILookup?Npi=1184382731","1184382731")</f>
        <v>1184382731</v>
      </c>
      <c r="E18011" t="s">
        <v>20381</v>
      </c>
    </row>
    <row r="18012" spans="1:5" x14ac:dyDescent="0.25">
      <c r="A18012" t="s">
        <v>4</v>
      </c>
      <c r="B18012" t="s">
        <v>4111</v>
      </c>
      <c r="C18012" t="s">
        <v>23490</v>
      </c>
      <c r="D18012" t="str">
        <f>HYPERLINK("https://rhld.insurance.arkansas.gov/NPILookup?Npi=1184622201","1184622201")</f>
        <v>1184622201</v>
      </c>
      <c r="E18012" t="s">
        <v>16009</v>
      </c>
    </row>
    <row r="18013" spans="1:5" x14ac:dyDescent="0.25">
      <c r="A18013" t="s">
        <v>4</v>
      </c>
      <c r="B18013" t="s">
        <v>4111</v>
      </c>
      <c r="C18013" t="s">
        <v>23490</v>
      </c>
      <c r="D18013" t="str">
        <f>HYPERLINK("https://rhld.insurance.arkansas.gov/NPILookup?Npi=1184646432","1184646432")</f>
        <v>1184646432</v>
      </c>
      <c r="E18013" t="s">
        <v>4449</v>
      </c>
    </row>
    <row r="18014" spans="1:5" x14ac:dyDescent="0.25">
      <c r="A18014" t="s">
        <v>4</v>
      </c>
      <c r="B18014" t="s">
        <v>4111</v>
      </c>
      <c r="C18014" t="s">
        <v>23490</v>
      </c>
      <c r="D18014" t="str">
        <f>HYPERLINK("https://rhld.insurance.arkansas.gov/NPILookup?Npi=1184657108","1184657108")</f>
        <v>1184657108</v>
      </c>
      <c r="E18014" t="s">
        <v>9030</v>
      </c>
    </row>
    <row r="18015" spans="1:5" x14ac:dyDescent="0.25">
      <c r="A18015" t="s">
        <v>4</v>
      </c>
      <c r="B18015" t="s">
        <v>4111</v>
      </c>
      <c r="C18015" t="s">
        <v>23490</v>
      </c>
      <c r="D18015" t="str">
        <f>HYPERLINK("https://rhld.insurance.arkansas.gov/NPILookup?Npi=1184660532","1184660532")</f>
        <v>1184660532</v>
      </c>
      <c r="E18015" t="s">
        <v>4450</v>
      </c>
    </row>
    <row r="18016" spans="1:5" x14ac:dyDescent="0.25">
      <c r="A18016" t="s">
        <v>4</v>
      </c>
      <c r="B18016" t="s">
        <v>4111</v>
      </c>
      <c r="C18016" t="s">
        <v>23490</v>
      </c>
      <c r="D18016" t="str">
        <f>HYPERLINK("https://rhld.insurance.arkansas.gov/NPILookup?Npi=1184660631","1184660631")</f>
        <v>1184660631</v>
      </c>
      <c r="E18016" t="s">
        <v>4451</v>
      </c>
    </row>
    <row r="18017" spans="1:5" x14ac:dyDescent="0.25">
      <c r="A18017" t="s">
        <v>4</v>
      </c>
      <c r="B18017" t="s">
        <v>4111</v>
      </c>
      <c r="C18017" t="s">
        <v>23490</v>
      </c>
      <c r="D18017" t="str">
        <f>HYPERLINK("https://rhld.insurance.arkansas.gov/NPILookup?Npi=1184661191","1184661191")</f>
        <v>1184661191</v>
      </c>
      <c r="E18017" t="s">
        <v>4452</v>
      </c>
    </row>
    <row r="18018" spans="1:5" x14ac:dyDescent="0.25">
      <c r="A18018" t="s">
        <v>4</v>
      </c>
      <c r="B18018" t="s">
        <v>4111</v>
      </c>
      <c r="C18018" t="s">
        <v>23490</v>
      </c>
      <c r="D18018" t="str">
        <f>HYPERLINK("https://rhld.insurance.arkansas.gov/NPILookup?Npi=1184661357","1184661357")</f>
        <v>1184661357</v>
      </c>
      <c r="E18018" t="s">
        <v>4453</v>
      </c>
    </row>
    <row r="18019" spans="1:5" x14ac:dyDescent="0.25">
      <c r="A18019" t="s">
        <v>4</v>
      </c>
      <c r="B18019" t="s">
        <v>4111</v>
      </c>
      <c r="C18019" t="s">
        <v>23490</v>
      </c>
      <c r="D18019" t="str">
        <f>HYPERLINK("https://rhld.insurance.arkansas.gov/NPILookup?Npi=1184665358","1184665358")</f>
        <v>1184665358</v>
      </c>
      <c r="E18019" t="s">
        <v>17125</v>
      </c>
    </row>
    <row r="18020" spans="1:5" x14ac:dyDescent="0.25">
      <c r="A18020" t="s">
        <v>4</v>
      </c>
      <c r="B18020" t="s">
        <v>4111</v>
      </c>
      <c r="C18020" t="s">
        <v>23490</v>
      </c>
      <c r="D18020" t="str">
        <f>HYPERLINK("https://rhld.insurance.arkansas.gov/NPILookup?Npi=1184665440","1184665440")</f>
        <v>1184665440</v>
      </c>
      <c r="E18020" t="s">
        <v>4454</v>
      </c>
    </row>
    <row r="18021" spans="1:5" x14ac:dyDescent="0.25">
      <c r="A18021" t="s">
        <v>4</v>
      </c>
      <c r="B18021" t="s">
        <v>4111</v>
      </c>
      <c r="C18021" t="s">
        <v>23490</v>
      </c>
      <c r="D18021" t="str">
        <f>HYPERLINK("https://rhld.insurance.arkansas.gov/NPILookup?Npi=1184714750","1184714750")</f>
        <v>1184714750</v>
      </c>
      <c r="E18021" t="s">
        <v>20382</v>
      </c>
    </row>
    <row r="18022" spans="1:5" x14ac:dyDescent="0.25">
      <c r="A18022" t="s">
        <v>4</v>
      </c>
      <c r="B18022" t="s">
        <v>4111</v>
      </c>
      <c r="C18022" t="s">
        <v>23490</v>
      </c>
      <c r="D18022" t="str">
        <f>HYPERLINK("https://rhld.insurance.arkansas.gov/NPILookup?Npi=1184723207","1184723207")</f>
        <v>1184723207</v>
      </c>
      <c r="E18022" t="s">
        <v>11564</v>
      </c>
    </row>
    <row r="18023" spans="1:5" x14ac:dyDescent="0.25">
      <c r="A18023" t="s">
        <v>4</v>
      </c>
      <c r="B18023" t="s">
        <v>4111</v>
      </c>
      <c r="C18023" t="s">
        <v>23490</v>
      </c>
      <c r="D18023" t="str">
        <f>HYPERLINK("https://rhld.insurance.arkansas.gov/NPILookup?Npi=1184750986","1184750986")</f>
        <v>1184750986</v>
      </c>
      <c r="E18023" t="s">
        <v>20383</v>
      </c>
    </row>
    <row r="18024" spans="1:5" x14ac:dyDescent="0.25">
      <c r="A18024" t="s">
        <v>4</v>
      </c>
      <c r="B18024" t="s">
        <v>4111</v>
      </c>
      <c r="C18024" t="s">
        <v>23490</v>
      </c>
      <c r="D18024" t="str">
        <f>HYPERLINK("https://rhld.insurance.arkansas.gov/NPILookup?Npi=1184752412","1184752412")</f>
        <v>1184752412</v>
      </c>
      <c r="E18024" t="s">
        <v>4455</v>
      </c>
    </row>
    <row r="18025" spans="1:5" x14ac:dyDescent="0.25">
      <c r="A18025" t="s">
        <v>4</v>
      </c>
      <c r="B18025" t="s">
        <v>4111</v>
      </c>
      <c r="C18025" t="s">
        <v>23490</v>
      </c>
      <c r="D18025" t="str">
        <f>HYPERLINK("https://rhld.insurance.arkansas.gov/NPILookup?Npi=1184763229","1184763229")</f>
        <v>1184763229</v>
      </c>
      <c r="E18025" t="s">
        <v>4456</v>
      </c>
    </row>
    <row r="18026" spans="1:5" x14ac:dyDescent="0.25">
      <c r="A18026" t="s">
        <v>4</v>
      </c>
      <c r="B18026" t="s">
        <v>4111</v>
      </c>
      <c r="C18026" t="s">
        <v>23490</v>
      </c>
      <c r="D18026" t="str">
        <f>HYPERLINK("https://rhld.insurance.arkansas.gov/NPILookup?Npi=1184782443","1184782443")</f>
        <v>1184782443</v>
      </c>
      <c r="E18026" t="s">
        <v>4457</v>
      </c>
    </row>
    <row r="18027" spans="1:5" x14ac:dyDescent="0.25">
      <c r="A18027" t="s">
        <v>4</v>
      </c>
      <c r="B18027" t="s">
        <v>4111</v>
      </c>
      <c r="C18027" t="s">
        <v>23490</v>
      </c>
      <c r="D18027" t="str">
        <f>HYPERLINK("https://rhld.insurance.arkansas.gov/NPILookup?Npi=1184787749","1184787749")</f>
        <v>1184787749</v>
      </c>
      <c r="E18027" t="s">
        <v>20384</v>
      </c>
    </row>
    <row r="18028" spans="1:5" x14ac:dyDescent="0.25">
      <c r="A18028" t="s">
        <v>4</v>
      </c>
      <c r="B18028" t="s">
        <v>4111</v>
      </c>
      <c r="C18028" t="s">
        <v>23490</v>
      </c>
      <c r="D18028" t="str">
        <f>HYPERLINK("https://rhld.insurance.arkansas.gov/NPILookup?Npi=1184796203","1184796203")</f>
        <v>1184796203</v>
      </c>
      <c r="E18028" t="s">
        <v>4458</v>
      </c>
    </row>
    <row r="18029" spans="1:5" x14ac:dyDescent="0.25">
      <c r="A18029" t="s">
        <v>4</v>
      </c>
      <c r="B18029" t="s">
        <v>4111</v>
      </c>
      <c r="C18029" t="s">
        <v>23490</v>
      </c>
      <c r="D18029" t="str">
        <f>HYPERLINK("https://rhld.insurance.arkansas.gov/NPILookup?Npi=1184813594","1184813594")</f>
        <v>1184813594</v>
      </c>
      <c r="E18029" t="s">
        <v>4459</v>
      </c>
    </row>
    <row r="18030" spans="1:5" x14ac:dyDescent="0.25">
      <c r="A18030" t="s">
        <v>4</v>
      </c>
      <c r="B18030" t="s">
        <v>4111</v>
      </c>
      <c r="C18030" t="s">
        <v>8427</v>
      </c>
      <c r="D18030" t="str">
        <f>HYPERLINK("https://rhld.insurance.arkansas.gov/NPILookup?Npi=1184828303","1184828303")</f>
        <v>1184828303</v>
      </c>
      <c r="E18030" t="s">
        <v>23064</v>
      </c>
    </row>
    <row r="18031" spans="1:5" x14ac:dyDescent="0.25">
      <c r="A18031" t="s">
        <v>4</v>
      </c>
      <c r="B18031" t="s">
        <v>4111</v>
      </c>
      <c r="C18031" t="s">
        <v>23490</v>
      </c>
      <c r="D18031" t="str">
        <f>HYPERLINK("https://rhld.insurance.arkansas.gov/NPILookup?Npi=1184830507","1184830507")</f>
        <v>1184830507</v>
      </c>
      <c r="E18031" t="s">
        <v>18283</v>
      </c>
    </row>
    <row r="18032" spans="1:5" x14ac:dyDescent="0.25">
      <c r="A18032" t="s">
        <v>4</v>
      </c>
      <c r="B18032" t="s">
        <v>4111</v>
      </c>
      <c r="C18032" t="s">
        <v>23490</v>
      </c>
      <c r="D18032" t="str">
        <f>HYPERLINK("https://rhld.insurance.arkansas.gov/NPILookup?Npi=1184833634","1184833634")</f>
        <v>1184833634</v>
      </c>
      <c r="E18032" t="s">
        <v>9031</v>
      </c>
    </row>
    <row r="18033" spans="1:5" x14ac:dyDescent="0.25">
      <c r="A18033" t="s">
        <v>4</v>
      </c>
      <c r="B18033" t="s">
        <v>4111</v>
      </c>
      <c r="C18033" t="s">
        <v>23490</v>
      </c>
      <c r="D18033" t="str">
        <f>HYPERLINK("https://rhld.insurance.arkansas.gov/NPILookup?Npi=1184840068","1184840068")</f>
        <v>1184840068</v>
      </c>
      <c r="E18033" t="s">
        <v>9032</v>
      </c>
    </row>
    <row r="18034" spans="1:5" x14ac:dyDescent="0.25">
      <c r="A18034" t="s">
        <v>4</v>
      </c>
      <c r="B18034" t="s">
        <v>4111</v>
      </c>
      <c r="C18034" t="s">
        <v>23490</v>
      </c>
      <c r="D18034" t="str">
        <f>HYPERLINK("https://rhld.insurance.arkansas.gov/NPILookup?Npi=1184847303","1184847303")</f>
        <v>1184847303</v>
      </c>
      <c r="E18034" t="s">
        <v>11565</v>
      </c>
    </row>
    <row r="18035" spans="1:5" x14ac:dyDescent="0.25">
      <c r="A18035" t="s">
        <v>4</v>
      </c>
      <c r="B18035" t="s">
        <v>4111</v>
      </c>
      <c r="C18035" t="s">
        <v>23490</v>
      </c>
      <c r="D18035" t="str">
        <f>HYPERLINK("https://rhld.insurance.arkansas.gov/NPILookup?Npi=1184850547","1184850547")</f>
        <v>1184850547</v>
      </c>
      <c r="E18035" t="s">
        <v>9033</v>
      </c>
    </row>
    <row r="18036" spans="1:5" x14ac:dyDescent="0.25">
      <c r="A18036" t="s">
        <v>4</v>
      </c>
      <c r="B18036" t="s">
        <v>4111</v>
      </c>
      <c r="C18036" t="s">
        <v>23490</v>
      </c>
      <c r="D18036" t="str">
        <f>HYPERLINK("https://rhld.insurance.arkansas.gov/NPILookup?Npi=1184853921","1184853921")</f>
        <v>1184853921</v>
      </c>
      <c r="E18036" t="s">
        <v>4460</v>
      </c>
    </row>
    <row r="18037" spans="1:5" x14ac:dyDescent="0.25">
      <c r="A18037" t="s">
        <v>4</v>
      </c>
      <c r="B18037" t="s">
        <v>4111</v>
      </c>
      <c r="C18037" t="s">
        <v>23490</v>
      </c>
      <c r="D18037" t="str">
        <f>HYPERLINK("https://rhld.insurance.arkansas.gov/NPILookup?Npi=1184857369","1184857369")</f>
        <v>1184857369</v>
      </c>
      <c r="E18037" t="s">
        <v>11566</v>
      </c>
    </row>
    <row r="18038" spans="1:5" x14ac:dyDescent="0.25">
      <c r="A18038" t="s">
        <v>4</v>
      </c>
      <c r="B18038" t="s">
        <v>4111</v>
      </c>
      <c r="C18038" t="s">
        <v>23490</v>
      </c>
      <c r="D18038" t="str">
        <f>HYPERLINK("https://rhld.insurance.arkansas.gov/NPILookup?Npi=1184860942","1184860942")</f>
        <v>1184860942</v>
      </c>
      <c r="E18038" t="s">
        <v>3516</v>
      </c>
    </row>
    <row r="18039" spans="1:5" x14ac:dyDescent="0.25">
      <c r="A18039" t="s">
        <v>4</v>
      </c>
      <c r="B18039" t="s">
        <v>4111</v>
      </c>
      <c r="C18039" t="s">
        <v>23490</v>
      </c>
      <c r="D18039" t="str">
        <f>HYPERLINK("https://rhld.insurance.arkansas.gov/NPILookup?Npi=1184864761","1184864761")</f>
        <v>1184864761</v>
      </c>
      <c r="E18039" t="s">
        <v>4461</v>
      </c>
    </row>
    <row r="18040" spans="1:5" x14ac:dyDescent="0.25">
      <c r="A18040" t="s">
        <v>4</v>
      </c>
      <c r="B18040" t="s">
        <v>4111</v>
      </c>
      <c r="C18040" t="s">
        <v>23490</v>
      </c>
      <c r="D18040" t="str">
        <f>HYPERLINK("https://rhld.insurance.arkansas.gov/NPILookup?Npi=1184875890","1184875890")</f>
        <v>1184875890</v>
      </c>
      <c r="E18040" t="s">
        <v>4462</v>
      </c>
    </row>
    <row r="18041" spans="1:5" x14ac:dyDescent="0.25">
      <c r="A18041" t="s">
        <v>4</v>
      </c>
      <c r="B18041" t="s">
        <v>4111</v>
      </c>
      <c r="C18041" t="s">
        <v>23490</v>
      </c>
      <c r="D18041" t="str">
        <f>HYPERLINK("https://rhld.insurance.arkansas.gov/NPILookup?Npi=1184892242","1184892242")</f>
        <v>1184892242</v>
      </c>
      <c r="E18041" t="s">
        <v>4463</v>
      </c>
    </row>
    <row r="18042" spans="1:5" x14ac:dyDescent="0.25">
      <c r="A18042" t="s">
        <v>4</v>
      </c>
      <c r="B18042" t="s">
        <v>4111</v>
      </c>
      <c r="C18042" t="s">
        <v>23490</v>
      </c>
      <c r="D18042" t="str">
        <f>HYPERLINK("https://rhld.insurance.arkansas.gov/NPILookup?Npi=1184907313","1184907313")</f>
        <v>1184907313</v>
      </c>
      <c r="E18042" t="s">
        <v>4464</v>
      </c>
    </row>
    <row r="18043" spans="1:5" x14ac:dyDescent="0.25">
      <c r="A18043" t="s">
        <v>4</v>
      </c>
      <c r="B18043" t="s">
        <v>4111</v>
      </c>
      <c r="C18043" t="s">
        <v>23490</v>
      </c>
      <c r="D18043" t="str">
        <f>HYPERLINK("https://rhld.insurance.arkansas.gov/NPILookup?Npi=1184914152","1184914152")</f>
        <v>1184914152</v>
      </c>
      <c r="E18043" t="s">
        <v>4465</v>
      </c>
    </row>
    <row r="18044" spans="1:5" x14ac:dyDescent="0.25">
      <c r="A18044" t="s">
        <v>4</v>
      </c>
      <c r="B18044" t="s">
        <v>4111</v>
      </c>
      <c r="C18044" t="s">
        <v>23490</v>
      </c>
      <c r="D18044" t="str">
        <f>HYPERLINK("https://rhld.insurance.arkansas.gov/NPILookup?Npi=1184915985","1184915985")</f>
        <v>1184915985</v>
      </c>
      <c r="E18044" t="s">
        <v>16010</v>
      </c>
    </row>
    <row r="18045" spans="1:5" x14ac:dyDescent="0.25">
      <c r="A18045" t="s">
        <v>4</v>
      </c>
      <c r="B18045" t="s">
        <v>4111</v>
      </c>
      <c r="C18045" t="s">
        <v>23490</v>
      </c>
      <c r="D18045" t="str">
        <f>HYPERLINK("https://rhld.insurance.arkansas.gov/NPILookup?Npi=1184921603","1184921603")</f>
        <v>1184921603</v>
      </c>
      <c r="E18045" t="s">
        <v>1290</v>
      </c>
    </row>
    <row r="18046" spans="1:5" x14ac:dyDescent="0.25">
      <c r="A18046" t="s">
        <v>4</v>
      </c>
      <c r="B18046" t="s">
        <v>4111</v>
      </c>
      <c r="C18046" t="s">
        <v>23490</v>
      </c>
      <c r="D18046" t="str">
        <f>HYPERLINK("https://rhld.insurance.arkansas.gov/NPILookup?Npi=1184928301","1184928301")</f>
        <v>1184928301</v>
      </c>
      <c r="E18046" t="s">
        <v>4466</v>
      </c>
    </row>
    <row r="18047" spans="1:5" x14ac:dyDescent="0.25">
      <c r="A18047" t="s">
        <v>4</v>
      </c>
      <c r="B18047" t="s">
        <v>4111</v>
      </c>
      <c r="C18047" t="s">
        <v>23490</v>
      </c>
      <c r="D18047" t="str">
        <f>HYPERLINK("https://rhld.insurance.arkansas.gov/NPILookup?Npi=1184941403","1184941403")</f>
        <v>1184941403</v>
      </c>
      <c r="E18047" t="s">
        <v>4467</v>
      </c>
    </row>
    <row r="18048" spans="1:5" x14ac:dyDescent="0.25">
      <c r="A18048" t="s">
        <v>4</v>
      </c>
      <c r="B18048" t="s">
        <v>4111</v>
      </c>
      <c r="C18048" t="s">
        <v>23490</v>
      </c>
      <c r="D18048" t="str">
        <f>HYPERLINK("https://rhld.insurance.arkansas.gov/NPILookup?Npi=1184976557","1184976557")</f>
        <v>1184976557</v>
      </c>
      <c r="E18048" t="s">
        <v>16011</v>
      </c>
    </row>
    <row r="18049" spans="1:5" x14ac:dyDescent="0.25">
      <c r="A18049" t="s">
        <v>4</v>
      </c>
      <c r="B18049" t="s">
        <v>4111</v>
      </c>
      <c r="C18049" t="s">
        <v>23490</v>
      </c>
      <c r="D18049" t="str">
        <f>HYPERLINK("https://rhld.insurance.arkansas.gov/NPILookup?Npi=1184977332","1184977332")</f>
        <v>1184977332</v>
      </c>
      <c r="E18049" t="s">
        <v>11567</v>
      </c>
    </row>
    <row r="18050" spans="1:5" x14ac:dyDescent="0.25">
      <c r="A18050" t="s">
        <v>4</v>
      </c>
      <c r="B18050" t="s">
        <v>4111</v>
      </c>
      <c r="C18050" t="s">
        <v>23490</v>
      </c>
      <c r="D18050" t="str">
        <f>HYPERLINK("https://rhld.insurance.arkansas.gov/NPILookup?Npi=1184993750","1184993750")</f>
        <v>1184993750</v>
      </c>
      <c r="E18050" t="s">
        <v>18284</v>
      </c>
    </row>
    <row r="18051" spans="1:5" x14ac:dyDescent="0.25">
      <c r="A18051" t="s">
        <v>4</v>
      </c>
      <c r="B18051" t="s">
        <v>4111</v>
      </c>
      <c r="C18051" t="s">
        <v>23490</v>
      </c>
      <c r="D18051" t="str">
        <f>HYPERLINK("https://rhld.insurance.arkansas.gov/NPILookup?Npi=1184998429","1184998429")</f>
        <v>1184998429</v>
      </c>
      <c r="E18051" t="s">
        <v>13092</v>
      </c>
    </row>
    <row r="18052" spans="1:5" x14ac:dyDescent="0.25">
      <c r="A18052" t="s">
        <v>4</v>
      </c>
      <c r="B18052" t="s">
        <v>4111</v>
      </c>
      <c r="C18052" t="s">
        <v>23490</v>
      </c>
      <c r="D18052" t="str">
        <f>HYPERLINK("https://rhld.insurance.arkansas.gov/NPILookup?Npi=1194002956","1194002956")</f>
        <v>1194002956</v>
      </c>
      <c r="E18052" t="s">
        <v>18285</v>
      </c>
    </row>
    <row r="18053" spans="1:5" x14ac:dyDescent="0.25">
      <c r="A18053" t="s">
        <v>4</v>
      </c>
      <c r="B18053" t="s">
        <v>4111</v>
      </c>
      <c r="C18053" t="s">
        <v>23490</v>
      </c>
      <c r="D18053" t="str">
        <f>HYPERLINK("https://rhld.insurance.arkansas.gov/NPILookup?Npi=1194009431","1194009431")</f>
        <v>1194009431</v>
      </c>
      <c r="E18053" t="s">
        <v>16012</v>
      </c>
    </row>
    <row r="18054" spans="1:5" x14ac:dyDescent="0.25">
      <c r="A18054" t="s">
        <v>4</v>
      </c>
      <c r="B18054" t="s">
        <v>4111</v>
      </c>
      <c r="C18054" t="s">
        <v>23490</v>
      </c>
      <c r="D18054" t="str">
        <f>HYPERLINK("https://rhld.insurance.arkansas.gov/NPILookup?Npi=1194033233","1194033233")</f>
        <v>1194033233</v>
      </c>
      <c r="E18054" t="s">
        <v>4468</v>
      </c>
    </row>
    <row r="18055" spans="1:5" x14ac:dyDescent="0.25">
      <c r="A18055" t="s">
        <v>4</v>
      </c>
      <c r="B18055" t="s">
        <v>4111</v>
      </c>
      <c r="C18055" t="s">
        <v>23490</v>
      </c>
      <c r="D18055" t="str">
        <f>HYPERLINK("https://rhld.insurance.arkansas.gov/NPILookup?Npi=1194091769","1194091769")</f>
        <v>1194091769</v>
      </c>
      <c r="E18055" t="s">
        <v>9034</v>
      </c>
    </row>
    <row r="18056" spans="1:5" x14ac:dyDescent="0.25">
      <c r="A18056" t="s">
        <v>4</v>
      </c>
      <c r="B18056" t="s">
        <v>4111</v>
      </c>
      <c r="C18056" t="s">
        <v>23490</v>
      </c>
      <c r="D18056" t="str">
        <f>HYPERLINK("https://rhld.insurance.arkansas.gov/NPILookup?Npi=1194095067","1194095067")</f>
        <v>1194095067</v>
      </c>
      <c r="E18056" t="s">
        <v>4469</v>
      </c>
    </row>
    <row r="18057" spans="1:5" x14ac:dyDescent="0.25">
      <c r="A18057" t="s">
        <v>4</v>
      </c>
      <c r="B18057" t="s">
        <v>4111</v>
      </c>
      <c r="C18057" t="s">
        <v>23490</v>
      </c>
      <c r="D18057" t="str">
        <f>HYPERLINK("https://rhld.insurance.arkansas.gov/NPILookup?Npi=1194097824","1194097824")</f>
        <v>1194097824</v>
      </c>
      <c r="E18057" t="s">
        <v>11568</v>
      </c>
    </row>
    <row r="18058" spans="1:5" x14ac:dyDescent="0.25">
      <c r="A18058" t="s">
        <v>4</v>
      </c>
      <c r="B18058" t="s">
        <v>4111</v>
      </c>
      <c r="C18058" t="s">
        <v>23490</v>
      </c>
      <c r="D18058" t="str">
        <f>HYPERLINK("https://rhld.insurance.arkansas.gov/NPILookup?Npi=1194098145","1194098145")</f>
        <v>1194098145</v>
      </c>
      <c r="E18058" t="s">
        <v>16014</v>
      </c>
    </row>
    <row r="18059" spans="1:5" x14ac:dyDescent="0.25">
      <c r="A18059" t="s">
        <v>4</v>
      </c>
      <c r="B18059" t="s">
        <v>4111</v>
      </c>
      <c r="C18059" t="s">
        <v>23490</v>
      </c>
      <c r="D18059" t="str">
        <f>HYPERLINK("https://rhld.insurance.arkansas.gov/NPILookup?Npi=1194114009","1194114009")</f>
        <v>1194114009</v>
      </c>
      <c r="E18059" t="s">
        <v>21897</v>
      </c>
    </row>
    <row r="18060" spans="1:5" x14ac:dyDescent="0.25">
      <c r="A18060" t="s">
        <v>4</v>
      </c>
      <c r="B18060" t="s">
        <v>4111</v>
      </c>
      <c r="C18060" t="s">
        <v>23490</v>
      </c>
      <c r="D18060" t="str">
        <f>HYPERLINK("https://rhld.insurance.arkansas.gov/NPILookup?Npi=1194116715","1194116715")</f>
        <v>1194116715</v>
      </c>
      <c r="E18060" t="s">
        <v>21898</v>
      </c>
    </row>
    <row r="18061" spans="1:5" x14ac:dyDescent="0.25">
      <c r="A18061" t="s">
        <v>4</v>
      </c>
      <c r="B18061" t="s">
        <v>4111</v>
      </c>
      <c r="C18061" t="s">
        <v>23490</v>
      </c>
      <c r="D18061" t="str">
        <f>HYPERLINK("https://rhld.insurance.arkansas.gov/NPILookup?Npi=1194118125","1194118125")</f>
        <v>1194118125</v>
      </c>
      <c r="E18061" t="s">
        <v>13984</v>
      </c>
    </row>
    <row r="18062" spans="1:5" x14ac:dyDescent="0.25">
      <c r="A18062" t="s">
        <v>4</v>
      </c>
      <c r="B18062" t="s">
        <v>4111</v>
      </c>
      <c r="C18062" t="s">
        <v>8427</v>
      </c>
      <c r="D18062" t="str">
        <f>HYPERLINK("https://rhld.insurance.arkansas.gov/NPILookup?Npi=1194119016","1194119016")</f>
        <v>1194119016</v>
      </c>
      <c r="E18062" t="s">
        <v>23065</v>
      </c>
    </row>
    <row r="18063" spans="1:5" x14ac:dyDescent="0.25">
      <c r="A18063" t="s">
        <v>4</v>
      </c>
      <c r="B18063" t="s">
        <v>4111</v>
      </c>
      <c r="C18063" t="s">
        <v>23490</v>
      </c>
      <c r="D18063" t="str">
        <f>HYPERLINK("https://rhld.insurance.arkansas.gov/NPILookup?Npi=1194134494","1194134494")</f>
        <v>1194134494</v>
      </c>
      <c r="E18063" t="s">
        <v>21899</v>
      </c>
    </row>
    <row r="18064" spans="1:5" x14ac:dyDescent="0.25">
      <c r="A18064" t="s">
        <v>4</v>
      </c>
      <c r="B18064" t="s">
        <v>4111</v>
      </c>
      <c r="C18064" t="s">
        <v>23490</v>
      </c>
      <c r="D18064" t="str">
        <f>HYPERLINK("https://rhld.insurance.arkansas.gov/NPILookup?Npi=1194146100","1194146100")</f>
        <v>1194146100</v>
      </c>
      <c r="E18064" t="s">
        <v>13093</v>
      </c>
    </row>
    <row r="18065" spans="1:5" x14ac:dyDescent="0.25">
      <c r="A18065" t="s">
        <v>4</v>
      </c>
      <c r="B18065" t="s">
        <v>4111</v>
      </c>
      <c r="C18065" t="s">
        <v>23490</v>
      </c>
      <c r="D18065" t="str">
        <f>HYPERLINK("https://rhld.insurance.arkansas.gov/NPILookup?Npi=1194158394","1194158394")</f>
        <v>1194158394</v>
      </c>
      <c r="E18065" t="s">
        <v>9035</v>
      </c>
    </row>
    <row r="18066" spans="1:5" x14ac:dyDescent="0.25">
      <c r="A18066" t="s">
        <v>4</v>
      </c>
      <c r="B18066" t="s">
        <v>4111</v>
      </c>
      <c r="C18066" t="s">
        <v>23490</v>
      </c>
      <c r="D18066" t="str">
        <f>HYPERLINK("https://rhld.insurance.arkansas.gov/NPILookup?Npi=1194163055","1194163055")</f>
        <v>1194163055</v>
      </c>
      <c r="E18066" t="s">
        <v>11569</v>
      </c>
    </row>
    <row r="18067" spans="1:5" x14ac:dyDescent="0.25">
      <c r="A18067" t="s">
        <v>4</v>
      </c>
      <c r="B18067" t="s">
        <v>4111</v>
      </c>
      <c r="C18067" t="s">
        <v>23490</v>
      </c>
      <c r="D18067" t="str">
        <f>HYPERLINK("https://rhld.insurance.arkansas.gov/NPILookup?Npi=1194167379","1194167379")</f>
        <v>1194167379</v>
      </c>
      <c r="E18067" t="s">
        <v>13985</v>
      </c>
    </row>
    <row r="18068" spans="1:5" x14ac:dyDescent="0.25">
      <c r="A18068" t="s">
        <v>4</v>
      </c>
      <c r="B18068" t="s">
        <v>4111</v>
      </c>
      <c r="C18068" t="s">
        <v>23490</v>
      </c>
      <c r="D18068" t="str">
        <f>HYPERLINK("https://rhld.insurance.arkansas.gov/NPILookup?Npi=1194175570","1194175570")</f>
        <v>1194175570</v>
      </c>
      <c r="E18068" t="s">
        <v>17126</v>
      </c>
    </row>
    <row r="18069" spans="1:5" x14ac:dyDescent="0.25">
      <c r="A18069" t="s">
        <v>4</v>
      </c>
      <c r="B18069" t="s">
        <v>4111</v>
      </c>
      <c r="C18069" t="s">
        <v>23490</v>
      </c>
      <c r="D18069" t="str">
        <f>HYPERLINK("https://rhld.insurance.arkansas.gov/NPILookup?Npi=1194179366","1194179366")</f>
        <v>1194179366</v>
      </c>
      <c r="E18069" t="s">
        <v>17127</v>
      </c>
    </row>
    <row r="18070" spans="1:5" x14ac:dyDescent="0.25">
      <c r="A18070" t="s">
        <v>4</v>
      </c>
      <c r="B18070" t="s">
        <v>4111</v>
      </c>
      <c r="C18070" t="s">
        <v>23490</v>
      </c>
      <c r="D18070" t="str">
        <f>HYPERLINK("https://rhld.insurance.arkansas.gov/NPILookup?Npi=1194187815","1194187815")</f>
        <v>1194187815</v>
      </c>
      <c r="E18070" t="s">
        <v>18286</v>
      </c>
    </row>
    <row r="18071" spans="1:5" x14ac:dyDescent="0.25">
      <c r="A18071" t="s">
        <v>4</v>
      </c>
      <c r="B18071" t="s">
        <v>4111</v>
      </c>
      <c r="C18071" t="s">
        <v>23490</v>
      </c>
      <c r="D18071" t="str">
        <f>HYPERLINK("https://rhld.insurance.arkansas.gov/NPILookup?Npi=1194194076","1194194076")</f>
        <v>1194194076</v>
      </c>
      <c r="E18071" t="s">
        <v>13986</v>
      </c>
    </row>
    <row r="18072" spans="1:5" x14ac:dyDescent="0.25">
      <c r="A18072" t="s">
        <v>4</v>
      </c>
      <c r="B18072" t="s">
        <v>4111</v>
      </c>
      <c r="C18072" t="s">
        <v>23490</v>
      </c>
      <c r="D18072" t="str">
        <f>HYPERLINK("https://rhld.insurance.arkansas.gov/NPILookup?Npi=1194201400","1194201400")</f>
        <v>1194201400</v>
      </c>
      <c r="E18072" t="s">
        <v>17548</v>
      </c>
    </row>
    <row r="18073" spans="1:5" x14ac:dyDescent="0.25">
      <c r="A18073" t="s">
        <v>4</v>
      </c>
      <c r="B18073" t="s">
        <v>4111</v>
      </c>
      <c r="C18073" t="s">
        <v>23490</v>
      </c>
      <c r="D18073" t="str">
        <f>HYPERLINK("https://rhld.insurance.arkansas.gov/NPILookup?Npi=1194202531","1194202531")</f>
        <v>1194202531</v>
      </c>
      <c r="E18073" t="s">
        <v>17549</v>
      </c>
    </row>
    <row r="18074" spans="1:5" x14ac:dyDescent="0.25">
      <c r="A18074" t="s">
        <v>4</v>
      </c>
      <c r="B18074" t="s">
        <v>4111</v>
      </c>
      <c r="C18074" t="s">
        <v>23490</v>
      </c>
      <c r="D18074" t="str">
        <f>HYPERLINK("https://rhld.insurance.arkansas.gov/NPILookup?Npi=1194216226","1194216226")</f>
        <v>1194216226</v>
      </c>
      <c r="E18074" t="s">
        <v>17550</v>
      </c>
    </row>
    <row r="18075" spans="1:5" x14ac:dyDescent="0.25">
      <c r="A18075" t="s">
        <v>4</v>
      </c>
      <c r="B18075" t="s">
        <v>4111</v>
      </c>
      <c r="C18075" t="s">
        <v>23490</v>
      </c>
      <c r="D18075" t="str">
        <f>HYPERLINK("https://rhld.insurance.arkansas.gov/NPILookup?Npi=1194222059","1194222059")</f>
        <v>1194222059</v>
      </c>
      <c r="E18075" t="s">
        <v>21900</v>
      </c>
    </row>
    <row r="18076" spans="1:5" x14ac:dyDescent="0.25">
      <c r="A18076" t="s">
        <v>4</v>
      </c>
      <c r="B18076" t="s">
        <v>4111</v>
      </c>
      <c r="C18076" t="s">
        <v>23490</v>
      </c>
      <c r="D18076" t="str">
        <f>HYPERLINK("https://rhld.insurance.arkansas.gov/NPILookup?Npi=1194236935","1194236935")</f>
        <v>1194236935</v>
      </c>
      <c r="E18076" t="s">
        <v>16015</v>
      </c>
    </row>
    <row r="18077" spans="1:5" x14ac:dyDescent="0.25">
      <c r="A18077" t="s">
        <v>4</v>
      </c>
      <c r="B18077" t="s">
        <v>4111</v>
      </c>
      <c r="C18077" t="s">
        <v>23490</v>
      </c>
      <c r="D18077" t="str">
        <f>HYPERLINK("https://rhld.insurance.arkansas.gov/NPILookup?Npi=1194242099","1194242099")</f>
        <v>1194242099</v>
      </c>
      <c r="E18077" t="s">
        <v>16016</v>
      </c>
    </row>
    <row r="18078" spans="1:5" x14ac:dyDescent="0.25">
      <c r="A18078" t="s">
        <v>4</v>
      </c>
      <c r="B18078" t="s">
        <v>4111</v>
      </c>
      <c r="C18078" t="s">
        <v>23490</v>
      </c>
      <c r="D18078" t="str">
        <f>HYPERLINK("https://rhld.insurance.arkansas.gov/NPILookup?Npi=1194254631","1194254631")</f>
        <v>1194254631</v>
      </c>
      <c r="E18078" t="s">
        <v>18287</v>
      </c>
    </row>
    <row r="18079" spans="1:5" x14ac:dyDescent="0.25">
      <c r="A18079" t="s">
        <v>4</v>
      </c>
      <c r="B18079" t="s">
        <v>4111</v>
      </c>
      <c r="C18079" t="s">
        <v>23490</v>
      </c>
      <c r="D18079" t="str">
        <f>HYPERLINK("https://rhld.insurance.arkansas.gov/NPILookup?Npi=1194267401","1194267401")</f>
        <v>1194267401</v>
      </c>
      <c r="E18079" t="s">
        <v>13987</v>
      </c>
    </row>
    <row r="18080" spans="1:5" x14ac:dyDescent="0.25">
      <c r="A18080" t="s">
        <v>4</v>
      </c>
      <c r="B18080" t="s">
        <v>4111</v>
      </c>
      <c r="C18080" t="s">
        <v>23490</v>
      </c>
      <c r="D18080" t="str">
        <f>HYPERLINK("https://rhld.insurance.arkansas.gov/NPILookup?Npi=1194297648","1194297648")</f>
        <v>1194297648</v>
      </c>
      <c r="E18080" t="s">
        <v>18288</v>
      </c>
    </row>
    <row r="18081" spans="1:5" x14ac:dyDescent="0.25">
      <c r="A18081" t="s">
        <v>4</v>
      </c>
      <c r="B18081" t="s">
        <v>4111</v>
      </c>
      <c r="C18081" t="s">
        <v>23490</v>
      </c>
      <c r="D18081" t="str">
        <f>HYPERLINK("https://rhld.insurance.arkansas.gov/NPILookup?Npi=1194351726","1194351726")</f>
        <v>1194351726</v>
      </c>
      <c r="E18081" t="s">
        <v>16891</v>
      </c>
    </row>
    <row r="18082" spans="1:5" x14ac:dyDescent="0.25">
      <c r="A18082" t="s">
        <v>4</v>
      </c>
      <c r="B18082" t="s">
        <v>4111</v>
      </c>
      <c r="C18082" t="s">
        <v>23490</v>
      </c>
      <c r="D18082" t="str">
        <f>HYPERLINK("https://rhld.insurance.arkansas.gov/NPILookup?Npi=1194359182","1194359182")</f>
        <v>1194359182</v>
      </c>
      <c r="E18082" t="s">
        <v>21901</v>
      </c>
    </row>
    <row r="18083" spans="1:5" x14ac:dyDescent="0.25">
      <c r="A18083" t="s">
        <v>4</v>
      </c>
      <c r="B18083" t="s">
        <v>4111</v>
      </c>
      <c r="C18083" t="s">
        <v>23490</v>
      </c>
      <c r="D18083" t="str">
        <f>HYPERLINK("https://rhld.insurance.arkansas.gov/NPILookup?Npi=1194366450","1194366450")</f>
        <v>1194366450</v>
      </c>
      <c r="E18083" t="s">
        <v>16017</v>
      </c>
    </row>
    <row r="18084" spans="1:5" x14ac:dyDescent="0.25">
      <c r="A18084" t="s">
        <v>4</v>
      </c>
      <c r="B18084" t="s">
        <v>4111</v>
      </c>
      <c r="C18084" t="s">
        <v>23490</v>
      </c>
      <c r="D18084" t="str">
        <f>HYPERLINK("https://rhld.insurance.arkansas.gov/NPILookup?Npi=1194386839","1194386839")</f>
        <v>1194386839</v>
      </c>
      <c r="E18084" t="s">
        <v>18289</v>
      </c>
    </row>
    <row r="18085" spans="1:5" x14ac:dyDescent="0.25">
      <c r="A18085" t="s">
        <v>4</v>
      </c>
      <c r="B18085" t="s">
        <v>4111</v>
      </c>
      <c r="C18085" t="s">
        <v>8427</v>
      </c>
      <c r="D18085" t="str">
        <f>HYPERLINK("https://rhld.insurance.arkansas.gov/NPILookup?Npi=1194400663","1194400663")</f>
        <v>1194400663</v>
      </c>
      <c r="E18085" t="s">
        <v>23066</v>
      </c>
    </row>
    <row r="18086" spans="1:5" x14ac:dyDescent="0.25">
      <c r="A18086" t="s">
        <v>4</v>
      </c>
      <c r="B18086" t="s">
        <v>4111</v>
      </c>
      <c r="C18086" t="s">
        <v>23490</v>
      </c>
      <c r="D18086" t="str">
        <f>HYPERLINK("https://rhld.insurance.arkansas.gov/NPILookup?Npi=1194453704","1194453704")</f>
        <v>1194453704</v>
      </c>
      <c r="E18086" t="s">
        <v>21902</v>
      </c>
    </row>
    <row r="18087" spans="1:5" x14ac:dyDescent="0.25">
      <c r="A18087" t="s">
        <v>4</v>
      </c>
      <c r="B18087" t="s">
        <v>4111</v>
      </c>
      <c r="C18087" t="s">
        <v>23490</v>
      </c>
      <c r="D18087" t="str">
        <f>HYPERLINK("https://rhld.insurance.arkansas.gov/NPILookup?Npi=1194707240","1194707240")</f>
        <v>1194707240</v>
      </c>
      <c r="E18087" t="s">
        <v>21903</v>
      </c>
    </row>
    <row r="18088" spans="1:5" x14ac:dyDescent="0.25">
      <c r="A18088" t="s">
        <v>4</v>
      </c>
      <c r="B18088" t="s">
        <v>4111</v>
      </c>
      <c r="C18088" t="s">
        <v>23490</v>
      </c>
      <c r="D18088" t="str">
        <f>HYPERLINK("https://rhld.insurance.arkansas.gov/NPILookup?Npi=1194722579","1194722579")</f>
        <v>1194722579</v>
      </c>
      <c r="E18088" t="s">
        <v>4470</v>
      </c>
    </row>
    <row r="18089" spans="1:5" x14ac:dyDescent="0.25">
      <c r="A18089" t="s">
        <v>4</v>
      </c>
      <c r="B18089" t="s">
        <v>4111</v>
      </c>
      <c r="C18089" t="s">
        <v>23490</v>
      </c>
      <c r="D18089" t="str">
        <f>HYPERLINK("https://rhld.insurance.arkansas.gov/NPILookup?Npi=1194749408","1194749408")</f>
        <v>1194749408</v>
      </c>
      <c r="E18089" t="s">
        <v>18961</v>
      </c>
    </row>
    <row r="18090" spans="1:5" x14ac:dyDescent="0.25">
      <c r="A18090" t="s">
        <v>4</v>
      </c>
      <c r="B18090" t="s">
        <v>4111</v>
      </c>
      <c r="C18090" t="s">
        <v>23490</v>
      </c>
      <c r="D18090" t="str">
        <f>HYPERLINK("https://rhld.insurance.arkansas.gov/NPILookup?Npi=1194753046","1194753046")</f>
        <v>1194753046</v>
      </c>
      <c r="E18090" t="s">
        <v>4471</v>
      </c>
    </row>
    <row r="18091" spans="1:5" x14ac:dyDescent="0.25">
      <c r="A18091" t="s">
        <v>4</v>
      </c>
      <c r="B18091" t="s">
        <v>4111</v>
      </c>
      <c r="C18091" t="s">
        <v>8427</v>
      </c>
      <c r="D18091" t="str">
        <f>HYPERLINK("https://rhld.insurance.arkansas.gov/NPILookup?Npi=1194756270","1194756270")</f>
        <v>1194756270</v>
      </c>
      <c r="E18091" t="s">
        <v>23067</v>
      </c>
    </row>
    <row r="18092" spans="1:5" x14ac:dyDescent="0.25">
      <c r="A18092" t="s">
        <v>4</v>
      </c>
      <c r="B18092" t="s">
        <v>4111</v>
      </c>
      <c r="C18092" t="s">
        <v>23490</v>
      </c>
      <c r="D18092" t="str">
        <f>HYPERLINK("https://rhld.insurance.arkansas.gov/NPILookup?Npi=1194757641","1194757641")</f>
        <v>1194757641</v>
      </c>
      <c r="E18092" t="s">
        <v>20385</v>
      </c>
    </row>
    <row r="18093" spans="1:5" x14ac:dyDescent="0.25">
      <c r="A18093" t="s">
        <v>4</v>
      </c>
      <c r="B18093" t="s">
        <v>4111</v>
      </c>
      <c r="C18093" t="s">
        <v>23490</v>
      </c>
      <c r="D18093" t="str">
        <f>HYPERLINK("https://rhld.insurance.arkansas.gov/NPILookup?Npi=1194762906","1194762906")</f>
        <v>1194762906</v>
      </c>
      <c r="E18093" t="s">
        <v>4472</v>
      </c>
    </row>
    <row r="18094" spans="1:5" x14ac:dyDescent="0.25">
      <c r="A18094" t="s">
        <v>4</v>
      </c>
      <c r="B18094" t="s">
        <v>4111</v>
      </c>
      <c r="C18094" t="s">
        <v>23490</v>
      </c>
      <c r="D18094" t="str">
        <f>HYPERLINK("https://rhld.insurance.arkansas.gov/NPILookup?Npi=1194783456","1194783456")</f>
        <v>1194783456</v>
      </c>
      <c r="E18094" t="s">
        <v>4473</v>
      </c>
    </row>
    <row r="18095" spans="1:5" x14ac:dyDescent="0.25">
      <c r="A18095" t="s">
        <v>4</v>
      </c>
      <c r="B18095" t="s">
        <v>4111</v>
      </c>
      <c r="C18095" t="s">
        <v>23490</v>
      </c>
      <c r="D18095" t="str">
        <f>HYPERLINK("https://rhld.insurance.arkansas.gov/NPILookup?Npi=1194789495","1194789495")</f>
        <v>1194789495</v>
      </c>
      <c r="E18095" t="s">
        <v>4474</v>
      </c>
    </row>
    <row r="18096" spans="1:5" x14ac:dyDescent="0.25">
      <c r="A18096" t="s">
        <v>4</v>
      </c>
      <c r="B18096" t="s">
        <v>4111</v>
      </c>
      <c r="C18096" t="s">
        <v>23490</v>
      </c>
      <c r="D18096" t="str">
        <f>HYPERLINK("https://rhld.insurance.arkansas.gov/NPILookup?Npi=1194793398","1194793398")</f>
        <v>1194793398</v>
      </c>
      <c r="E18096" t="s">
        <v>4475</v>
      </c>
    </row>
    <row r="18097" spans="1:5" x14ac:dyDescent="0.25">
      <c r="A18097" t="s">
        <v>4</v>
      </c>
      <c r="B18097" t="s">
        <v>4111</v>
      </c>
      <c r="C18097" t="s">
        <v>23490</v>
      </c>
      <c r="D18097" t="str">
        <f>HYPERLINK("https://rhld.insurance.arkansas.gov/NPILookup?Npi=1194794586","1194794586")</f>
        <v>1194794586</v>
      </c>
      <c r="E18097" t="s">
        <v>4476</v>
      </c>
    </row>
    <row r="18098" spans="1:5" x14ac:dyDescent="0.25">
      <c r="A18098" t="s">
        <v>4</v>
      </c>
      <c r="B18098" t="s">
        <v>4111</v>
      </c>
      <c r="C18098" t="s">
        <v>23490</v>
      </c>
      <c r="D18098" t="str">
        <f>HYPERLINK("https://rhld.insurance.arkansas.gov/NPILookup?Npi=1194809855","1194809855")</f>
        <v>1194809855</v>
      </c>
      <c r="E18098" t="s">
        <v>16018</v>
      </c>
    </row>
    <row r="18099" spans="1:5" x14ac:dyDescent="0.25">
      <c r="A18099" t="s">
        <v>4</v>
      </c>
      <c r="B18099" t="s">
        <v>4111</v>
      </c>
      <c r="C18099" t="s">
        <v>23490</v>
      </c>
      <c r="D18099" t="str">
        <f>HYPERLINK("https://rhld.insurance.arkansas.gov/NPILookup?Npi=1194810184","1194810184")</f>
        <v>1194810184</v>
      </c>
      <c r="E18099" t="s">
        <v>16019</v>
      </c>
    </row>
    <row r="18100" spans="1:5" x14ac:dyDescent="0.25">
      <c r="A18100" t="s">
        <v>4</v>
      </c>
      <c r="B18100" t="s">
        <v>4111</v>
      </c>
      <c r="C18100" t="s">
        <v>23490</v>
      </c>
      <c r="D18100" t="str">
        <f>HYPERLINK("https://rhld.insurance.arkansas.gov/NPILookup?Npi=1194811323","1194811323")</f>
        <v>1194811323</v>
      </c>
      <c r="E18100" t="s">
        <v>9036</v>
      </c>
    </row>
    <row r="18101" spans="1:5" x14ac:dyDescent="0.25">
      <c r="A18101" t="s">
        <v>4</v>
      </c>
      <c r="B18101" t="s">
        <v>4111</v>
      </c>
      <c r="C18101" t="s">
        <v>23490</v>
      </c>
      <c r="D18101" t="str">
        <f>HYPERLINK("https://rhld.insurance.arkansas.gov/NPILookup?Npi=1194833194","1194833194")</f>
        <v>1194833194</v>
      </c>
      <c r="E18101" t="s">
        <v>9037</v>
      </c>
    </row>
    <row r="18102" spans="1:5" x14ac:dyDescent="0.25">
      <c r="A18102" t="s">
        <v>4</v>
      </c>
      <c r="B18102" t="s">
        <v>4111</v>
      </c>
      <c r="C18102" t="s">
        <v>23490</v>
      </c>
      <c r="D18102" t="str">
        <f>HYPERLINK("https://rhld.insurance.arkansas.gov/NPILookup?Npi=1194833236","1194833236")</f>
        <v>1194833236</v>
      </c>
      <c r="E18102" t="s">
        <v>4477</v>
      </c>
    </row>
    <row r="18103" spans="1:5" x14ac:dyDescent="0.25">
      <c r="A18103" t="s">
        <v>4</v>
      </c>
      <c r="B18103" t="s">
        <v>4111</v>
      </c>
      <c r="C18103" t="s">
        <v>23490</v>
      </c>
      <c r="D18103" t="str">
        <f>HYPERLINK("https://rhld.insurance.arkansas.gov/NPILookup?Npi=1194839712","1194839712")</f>
        <v>1194839712</v>
      </c>
      <c r="E18103" t="s">
        <v>13988</v>
      </c>
    </row>
    <row r="18104" spans="1:5" x14ac:dyDescent="0.25">
      <c r="A18104" t="s">
        <v>4</v>
      </c>
      <c r="B18104" t="s">
        <v>4111</v>
      </c>
      <c r="C18104" t="s">
        <v>23490</v>
      </c>
      <c r="D18104" t="str">
        <f>HYPERLINK("https://rhld.insurance.arkansas.gov/NPILookup?Npi=1194850255","1194850255")</f>
        <v>1194850255</v>
      </c>
      <c r="E18104" t="s">
        <v>16020</v>
      </c>
    </row>
    <row r="18105" spans="1:5" x14ac:dyDescent="0.25">
      <c r="A18105" t="s">
        <v>4</v>
      </c>
      <c r="B18105" t="s">
        <v>4111</v>
      </c>
      <c r="C18105" t="s">
        <v>23490</v>
      </c>
      <c r="D18105" t="str">
        <f>HYPERLINK("https://rhld.insurance.arkansas.gov/NPILookup?Npi=1194851766","1194851766")</f>
        <v>1194851766</v>
      </c>
      <c r="E18105" t="s">
        <v>4478</v>
      </c>
    </row>
    <row r="18106" spans="1:5" x14ac:dyDescent="0.25">
      <c r="A18106" t="s">
        <v>4</v>
      </c>
      <c r="B18106" t="s">
        <v>4111</v>
      </c>
      <c r="C18106" t="s">
        <v>23490</v>
      </c>
      <c r="D18106" t="str">
        <f>HYPERLINK("https://rhld.insurance.arkansas.gov/NPILookup?Npi=1194888123","1194888123")</f>
        <v>1194888123</v>
      </c>
      <c r="E18106" t="s">
        <v>4479</v>
      </c>
    </row>
    <row r="18107" spans="1:5" x14ac:dyDescent="0.25">
      <c r="A18107" t="s">
        <v>4</v>
      </c>
      <c r="B18107" t="s">
        <v>4111</v>
      </c>
      <c r="C18107" t="s">
        <v>23490</v>
      </c>
      <c r="D18107" t="str">
        <f>HYPERLINK("https://rhld.insurance.arkansas.gov/NPILookup?Npi=1194910620","1194910620")</f>
        <v>1194910620</v>
      </c>
      <c r="E18107" t="s">
        <v>4480</v>
      </c>
    </row>
    <row r="18108" spans="1:5" x14ac:dyDescent="0.25">
      <c r="A18108" t="s">
        <v>4</v>
      </c>
      <c r="B18108" t="s">
        <v>4111</v>
      </c>
      <c r="C18108" t="s">
        <v>8427</v>
      </c>
      <c r="D18108" t="str">
        <f>HYPERLINK("https://rhld.insurance.arkansas.gov/NPILookup?Npi=1194923532","1194923532")</f>
        <v>1194923532</v>
      </c>
      <c r="E18108" t="s">
        <v>22871</v>
      </c>
    </row>
    <row r="18109" spans="1:5" x14ac:dyDescent="0.25">
      <c r="A18109" t="s">
        <v>4</v>
      </c>
      <c r="B18109" t="s">
        <v>4111</v>
      </c>
      <c r="C18109" t="s">
        <v>23490</v>
      </c>
      <c r="D18109" t="str">
        <f>HYPERLINK("https://rhld.insurance.arkansas.gov/NPILookup?Npi=1194923805","1194923805")</f>
        <v>1194923805</v>
      </c>
      <c r="E18109" t="s">
        <v>4481</v>
      </c>
    </row>
    <row r="18110" spans="1:5" x14ac:dyDescent="0.25">
      <c r="A18110" t="s">
        <v>4</v>
      </c>
      <c r="B18110" t="s">
        <v>4111</v>
      </c>
      <c r="C18110" t="s">
        <v>23490</v>
      </c>
      <c r="D18110" t="str">
        <f>HYPERLINK("https://rhld.insurance.arkansas.gov/NPILookup?Npi=1194950774","1194950774")</f>
        <v>1194950774</v>
      </c>
      <c r="E18110" t="s">
        <v>4482</v>
      </c>
    </row>
    <row r="18111" spans="1:5" x14ac:dyDescent="0.25">
      <c r="A18111" t="s">
        <v>4</v>
      </c>
      <c r="B18111" t="s">
        <v>4111</v>
      </c>
      <c r="C18111" t="s">
        <v>23490</v>
      </c>
      <c r="D18111" t="str">
        <f>HYPERLINK("https://rhld.insurance.arkansas.gov/NPILookup?Npi=1194958553","1194958553")</f>
        <v>1194958553</v>
      </c>
      <c r="E18111" t="s">
        <v>4483</v>
      </c>
    </row>
    <row r="18112" spans="1:5" x14ac:dyDescent="0.25">
      <c r="A18112" t="s">
        <v>4</v>
      </c>
      <c r="B18112" t="s">
        <v>4111</v>
      </c>
      <c r="C18112" t="s">
        <v>23490</v>
      </c>
      <c r="D18112" t="str">
        <f>HYPERLINK("https://rhld.insurance.arkansas.gov/NPILookup?Npi=1194960740","1194960740")</f>
        <v>1194960740</v>
      </c>
      <c r="E18112" t="s">
        <v>17551</v>
      </c>
    </row>
    <row r="18113" spans="1:5" x14ac:dyDescent="0.25">
      <c r="A18113" t="s">
        <v>4</v>
      </c>
      <c r="B18113" t="s">
        <v>4111</v>
      </c>
      <c r="C18113" t="s">
        <v>23490</v>
      </c>
      <c r="D18113" t="str">
        <f>HYPERLINK("https://rhld.insurance.arkansas.gov/NPILookup?Npi=1194967455","1194967455")</f>
        <v>1194967455</v>
      </c>
      <c r="E18113" t="s">
        <v>11570</v>
      </c>
    </row>
    <row r="18114" spans="1:5" x14ac:dyDescent="0.25">
      <c r="A18114" t="s">
        <v>4</v>
      </c>
      <c r="B18114" t="s">
        <v>4111</v>
      </c>
      <c r="C18114" t="s">
        <v>23490</v>
      </c>
      <c r="D18114" t="str">
        <f>HYPERLINK("https://rhld.insurance.arkansas.gov/NPILookup?Npi=1194969584","1194969584")</f>
        <v>1194969584</v>
      </c>
      <c r="E18114" t="s">
        <v>4484</v>
      </c>
    </row>
    <row r="18115" spans="1:5" x14ac:dyDescent="0.25">
      <c r="A18115" t="s">
        <v>4</v>
      </c>
      <c r="B18115" t="s">
        <v>4111</v>
      </c>
      <c r="C18115" t="s">
        <v>23490</v>
      </c>
      <c r="D18115" t="str">
        <f>HYPERLINK("https://rhld.insurance.arkansas.gov/NPILookup?Npi=1194973412","1194973412")</f>
        <v>1194973412</v>
      </c>
      <c r="E18115" t="s">
        <v>4485</v>
      </c>
    </row>
    <row r="18116" spans="1:5" x14ac:dyDescent="0.25">
      <c r="A18116" t="s">
        <v>4</v>
      </c>
      <c r="B18116" t="s">
        <v>4111</v>
      </c>
      <c r="C18116" t="s">
        <v>23490</v>
      </c>
      <c r="D18116" t="str">
        <f>HYPERLINK("https://rhld.insurance.arkansas.gov/NPILookup?Npi=1194979849","1194979849")</f>
        <v>1194979849</v>
      </c>
      <c r="E18116" t="s">
        <v>9038</v>
      </c>
    </row>
    <row r="18117" spans="1:5" x14ac:dyDescent="0.25">
      <c r="A18117" t="s">
        <v>4</v>
      </c>
      <c r="B18117" t="s">
        <v>4111</v>
      </c>
      <c r="C18117" t="s">
        <v>23490</v>
      </c>
      <c r="D18117" t="str">
        <f>HYPERLINK("https://rhld.insurance.arkansas.gov/NPILookup?Npi=1194982397","1194982397")</f>
        <v>1194982397</v>
      </c>
      <c r="E18117" t="s">
        <v>4486</v>
      </c>
    </row>
    <row r="18118" spans="1:5" x14ac:dyDescent="0.25">
      <c r="A18118" t="s">
        <v>4</v>
      </c>
      <c r="B18118" t="s">
        <v>4111</v>
      </c>
      <c r="C18118" t="s">
        <v>23490</v>
      </c>
      <c r="D18118" t="str">
        <f>HYPERLINK("https://rhld.insurance.arkansas.gov/NPILookup?Npi=1205003688","1205003688")</f>
        <v>1205003688</v>
      </c>
      <c r="E18118" t="s">
        <v>13094</v>
      </c>
    </row>
    <row r="18119" spans="1:5" x14ac:dyDescent="0.25">
      <c r="A18119" t="s">
        <v>4</v>
      </c>
      <c r="B18119" t="s">
        <v>4111</v>
      </c>
      <c r="C18119" t="s">
        <v>23490</v>
      </c>
      <c r="D18119" t="str">
        <f>HYPERLINK("https://rhld.insurance.arkansas.gov/NPILookup?Npi=1205011327","1205011327")</f>
        <v>1205011327</v>
      </c>
      <c r="E18119" t="s">
        <v>4487</v>
      </c>
    </row>
    <row r="18120" spans="1:5" x14ac:dyDescent="0.25">
      <c r="A18120" t="s">
        <v>4</v>
      </c>
      <c r="B18120" t="s">
        <v>4111</v>
      </c>
      <c r="C18120" t="s">
        <v>23490</v>
      </c>
      <c r="D18120" t="str">
        <f>HYPERLINK("https://rhld.insurance.arkansas.gov/NPILookup?Npi=1205013893","1205013893")</f>
        <v>1205013893</v>
      </c>
      <c r="E18120" t="s">
        <v>4488</v>
      </c>
    </row>
    <row r="18121" spans="1:5" x14ac:dyDescent="0.25">
      <c r="A18121" t="s">
        <v>4</v>
      </c>
      <c r="B18121" t="s">
        <v>4111</v>
      </c>
      <c r="C18121" t="s">
        <v>23490</v>
      </c>
      <c r="D18121" t="str">
        <f>HYPERLINK("https://rhld.insurance.arkansas.gov/NPILookup?Npi=1205038874","1205038874")</f>
        <v>1205038874</v>
      </c>
      <c r="E18121" t="s">
        <v>16021</v>
      </c>
    </row>
    <row r="18122" spans="1:5" x14ac:dyDescent="0.25">
      <c r="A18122" t="s">
        <v>4</v>
      </c>
      <c r="B18122" t="s">
        <v>4111</v>
      </c>
      <c r="C18122" t="s">
        <v>23490</v>
      </c>
      <c r="D18122" t="str">
        <f>HYPERLINK("https://rhld.insurance.arkansas.gov/NPILookup?Npi=1205041696","1205041696")</f>
        <v>1205041696</v>
      </c>
      <c r="E18122" t="s">
        <v>17128</v>
      </c>
    </row>
    <row r="18123" spans="1:5" x14ac:dyDescent="0.25">
      <c r="A18123" t="s">
        <v>4</v>
      </c>
      <c r="B18123" t="s">
        <v>4111</v>
      </c>
      <c r="C18123" t="s">
        <v>23490</v>
      </c>
      <c r="D18123" t="str">
        <f>HYPERLINK("https://rhld.insurance.arkansas.gov/NPILookup?Npi=1205056298","1205056298")</f>
        <v>1205056298</v>
      </c>
      <c r="E18123" t="s">
        <v>4489</v>
      </c>
    </row>
    <row r="18124" spans="1:5" x14ac:dyDescent="0.25">
      <c r="A18124" t="s">
        <v>4</v>
      </c>
      <c r="B18124" t="s">
        <v>4111</v>
      </c>
      <c r="C18124" t="s">
        <v>23490</v>
      </c>
      <c r="D18124" t="str">
        <f>HYPERLINK("https://rhld.insurance.arkansas.gov/NPILookup?Npi=1205071636","1205071636")</f>
        <v>1205071636</v>
      </c>
      <c r="E18124" t="s">
        <v>4490</v>
      </c>
    </row>
    <row r="18125" spans="1:5" x14ac:dyDescent="0.25">
      <c r="A18125" t="s">
        <v>4</v>
      </c>
      <c r="B18125" t="s">
        <v>4111</v>
      </c>
      <c r="C18125" t="s">
        <v>23490</v>
      </c>
      <c r="D18125" t="str">
        <f>HYPERLINK("https://rhld.insurance.arkansas.gov/NPILookup?Npi=1205073210","1205073210")</f>
        <v>1205073210</v>
      </c>
      <c r="E18125" t="s">
        <v>21904</v>
      </c>
    </row>
    <row r="18126" spans="1:5" x14ac:dyDescent="0.25">
      <c r="A18126" t="s">
        <v>4</v>
      </c>
      <c r="B18126" t="s">
        <v>4111</v>
      </c>
      <c r="C18126" t="s">
        <v>23490</v>
      </c>
      <c r="D18126" t="str">
        <f>HYPERLINK("https://rhld.insurance.arkansas.gov/NPILookup?Npi=1205076551","1205076551")</f>
        <v>1205076551</v>
      </c>
      <c r="E18126" t="s">
        <v>4491</v>
      </c>
    </row>
    <row r="18127" spans="1:5" x14ac:dyDescent="0.25">
      <c r="A18127" t="s">
        <v>4</v>
      </c>
      <c r="B18127" t="s">
        <v>4111</v>
      </c>
      <c r="C18127" t="s">
        <v>23490</v>
      </c>
      <c r="D18127" t="str">
        <f>HYPERLINK("https://rhld.insurance.arkansas.gov/NPILookup?Npi=1205084621","1205084621")</f>
        <v>1205084621</v>
      </c>
      <c r="E18127" t="s">
        <v>4492</v>
      </c>
    </row>
    <row r="18128" spans="1:5" x14ac:dyDescent="0.25">
      <c r="A18128" t="s">
        <v>4</v>
      </c>
      <c r="B18128" t="s">
        <v>4111</v>
      </c>
      <c r="C18128" t="s">
        <v>23490</v>
      </c>
      <c r="D18128" t="str">
        <f>HYPERLINK("https://rhld.insurance.arkansas.gov/NPILookup?Npi=1205085461","1205085461")</f>
        <v>1205085461</v>
      </c>
      <c r="E18128" t="s">
        <v>4493</v>
      </c>
    </row>
    <row r="18129" spans="1:5" x14ac:dyDescent="0.25">
      <c r="A18129" t="s">
        <v>4</v>
      </c>
      <c r="B18129" t="s">
        <v>4111</v>
      </c>
      <c r="C18129" t="s">
        <v>23490</v>
      </c>
      <c r="D18129" t="str">
        <f>HYPERLINK("https://rhld.insurance.arkansas.gov/NPILookup?Npi=1205086279","1205086279")</f>
        <v>1205086279</v>
      </c>
      <c r="E18129" t="s">
        <v>4494</v>
      </c>
    </row>
    <row r="18130" spans="1:5" x14ac:dyDescent="0.25">
      <c r="A18130" t="s">
        <v>4</v>
      </c>
      <c r="B18130" t="s">
        <v>4111</v>
      </c>
      <c r="C18130" t="s">
        <v>23490</v>
      </c>
      <c r="D18130" t="str">
        <f>HYPERLINK("https://rhld.insurance.arkansas.gov/NPILookup?Npi=1205093507","1205093507")</f>
        <v>1205093507</v>
      </c>
      <c r="E18130" t="s">
        <v>4495</v>
      </c>
    </row>
    <row r="18131" spans="1:5" x14ac:dyDescent="0.25">
      <c r="A18131" t="s">
        <v>4</v>
      </c>
      <c r="B18131" t="s">
        <v>4111</v>
      </c>
      <c r="C18131" t="s">
        <v>23490</v>
      </c>
      <c r="D18131" t="str">
        <f>HYPERLINK("https://rhld.insurance.arkansas.gov/NPILookup?Npi=1205112182","1205112182")</f>
        <v>1205112182</v>
      </c>
      <c r="E18131" t="s">
        <v>4496</v>
      </c>
    </row>
    <row r="18132" spans="1:5" x14ac:dyDescent="0.25">
      <c r="A18132" t="s">
        <v>4</v>
      </c>
      <c r="B18132" t="s">
        <v>4111</v>
      </c>
      <c r="C18132" t="s">
        <v>23490</v>
      </c>
      <c r="D18132" t="str">
        <f>HYPERLINK("https://rhld.insurance.arkansas.gov/NPILookup?Npi=1205118049","1205118049")</f>
        <v>1205118049</v>
      </c>
      <c r="E18132" t="s">
        <v>4497</v>
      </c>
    </row>
    <row r="18133" spans="1:5" x14ac:dyDescent="0.25">
      <c r="A18133" t="s">
        <v>4</v>
      </c>
      <c r="B18133" t="s">
        <v>4111</v>
      </c>
      <c r="C18133" t="s">
        <v>23490</v>
      </c>
      <c r="D18133" t="str">
        <f>HYPERLINK("https://rhld.insurance.arkansas.gov/NPILookup?Npi=1205138013","1205138013")</f>
        <v>1205138013</v>
      </c>
      <c r="E18133" t="s">
        <v>21905</v>
      </c>
    </row>
    <row r="18134" spans="1:5" x14ac:dyDescent="0.25">
      <c r="A18134" t="s">
        <v>4</v>
      </c>
      <c r="B18134" t="s">
        <v>4111</v>
      </c>
      <c r="C18134" t="s">
        <v>23490</v>
      </c>
      <c r="D18134" t="str">
        <f>HYPERLINK("https://rhld.insurance.arkansas.gov/NPILookup?Npi=1205160256","1205160256")</f>
        <v>1205160256</v>
      </c>
      <c r="E18134" t="s">
        <v>4498</v>
      </c>
    </row>
    <row r="18135" spans="1:5" x14ac:dyDescent="0.25">
      <c r="A18135" t="s">
        <v>4</v>
      </c>
      <c r="B18135" t="s">
        <v>4111</v>
      </c>
      <c r="C18135" t="s">
        <v>23490</v>
      </c>
      <c r="D18135" t="str">
        <f>HYPERLINK("https://rhld.insurance.arkansas.gov/NPILookup?Npi=1205165354","1205165354")</f>
        <v>1205165354</v>
      </c>
      <c r="E18135" t="s">
        <v>17552</v>
      </c>
    </row>
    <row r="18136" spans="1:5" x14ac:dyDescent="0.25">
      <c r="A18136" t="s">
        <v>4</v>
      </c>
      <c r="B18136" t="s">
        <v>4111</v>
      </c>
      <c r="C18136" t="s">
        <v>23490</v>
      </c>
      <c r="D18136" t="str">
        <f>HYPERLINK("https://rhld.insurance.arkansas.gov/NPILookup?Npi=1205176047","1205176047")</f>
        <v>1205176047</v>
      </c>
      <c r="E18136" t="s">
        <v>17553</v>
      </c>
    </row>
    <row r="18137" spans="1:5" x14ac:dyDescent="0.25">
      <c r="A18137" t="s">
        <v>4</v>
      </c>
      <c r="B18137" t="s">
        <v>4111</v>
      </c>
      <c r="C18137" t="s">
        <v>23490</v>
      </c>
      <c r="D18137" t="str">
        <f>HYPERLINK("https://rhld.insurance.arkansas.gov/NPILookup?Npi=1205177060","1205177060")</f>
        <v>1205177060</v>
      </c>
      <c r="E18137" t="s">
        <v>10733</v>
      </c>
    </row>
    <row r="18138" spans="1:5" x14ac:dyDescent="0.25">
      <c r="A18138" t="s">
        <v>4</v>
      </c>
      <c r="B18138" t="s">
        <v>4111</v>
      </c>
      <c r="C18138" t="s">
        <v>23490</v>
      </c>
      <c r="D18138" t="str">
        <f>HYPERLINK("https://rhld.insurance.arkansas.gov/NPILookup?Npi=1205219631","1205219631")</f>
        <v>1205219631</v>
      </c>
      <c r="E18138" t="s">
        <v>9039</v>
      </c>
    </row>
    <row r="18139" spans="1:5" x14ac:dyDescent="0.25">
      <c r="A18139" t="s">
        <v>4</v>
      </c>
      <c r="B18139" t="s">
        <v>4111</v>
      </c>
      <c r="C18139" t="s">
        <v>23490</v>
      </c>
      <c r="D18139" t="str">
        <f>HYPERLINK("https://rhld.insurance.arkansas.gov/NPILookup?Npi=1205222460","1205222460")</f>
        <v>1205222460</v>
      </c>
      <c r="E18139" t="s">
        <v>13989</v>
      </c>
    </row>
    <row r="18140" spans="1:5" x14ac:dyDescent="0.25">
      <c r="A18140" t="s">
        <v>4</v>
      </c>
      <c r="B18140" t="s">
        <v>4111</v>
      </c>
      <c r="C18140" t="s">
        <v>23490</v>
      </c>
      <c r="D18140" t="str">
        <f>HYPERLINK("https://rhld.insurance.arkansas.gov/NPILookup?Npi=1205249976","1205249976")</f>
        <v>1205249976</v>
      </c>
      <c r="E18140" t="s">
        <v>17129</v>
      </c>
    </row>
    <row r="18141" spans="1:5" x14ac:dyDescent="0.25">
      <c r="A18141" t="s">
        <v>4</v>
      </c>
      <c r="B18141" t="s">
        <v>4111</v>
      </c>
      <c r="C18141" t="s">
        <v>23490</v>
      </c>
      <c r="D18141" t="str">
        <f>HYPERLINK("https://rhld.insurance.arkansas.gov/NPILookup?Npi=1205250693","1205250693")</f>
        <v>1205250693</v>
      </c>
      <c r="E18141" t="s">
        <v>18290</v>
      </c>
    </row>
    <row r="18142" spans="1:5" x14ac:dyDescent="0.25">
      <c r="A18142" t="s">
        <v>4</v>
      </c>
      <c r="B18142" t="s">
        <v>4111</v>
      </c>
      <c r="C18142" t="s">
        <v>23490</v>
      </c>
      <c r="D18142" t="str">
        <f>HYPERLINK("https://rhld.insurance.arkansas.gov/NPILookup?Npi=1205285566","1205285566")</f>
        <v>1205285566</v>
      </c>
      <c r="E18142" t="s">
        <v>18291</v>
      </c>
    </row>
    <row r="18143" spans="1:5" x14ac:dyDescent="0.25">
      <c r="A18143" t="s">
        <v>4</v>
      </c>
      <c r="B18143" t="s">
        <v>4111</v>
      </c>
      <c r="C18143" t="s">
        <v>8427</v>
      </c>
      <c r="D18143" t="str">
        <f>HYPERLINK("https://rhld.insurance.arkansas.gov/NPILookup?Npi=1205290319","1205290319")</f>
        <v>1205290319</v>
      </c>
      <c r="E18143" t="s">
        <v>23068</v>
      </c>
    </row>
    <row r="18144" spans="1:5" x14ac:dyDescent="0.25">
      <c r="A18144" t="s">
        <v>4</v>
      </c>
      <c r="B18144" t="s">
        <v>4111</v>
      </c>
      <c r="C18144" t="s">
        <v>23490</v>
      </c>
      <c r="D18144" t="str">
        <f>HYPERLINK("https://rhld.insurance.arkansas.gov/NPILookup?Npi=1205292042","1205292042")</f>
        <v>1205292042</v>
      </c>
      <c r="E18144" t="s">
        <v>11572</v>
      </c>
    </row>
    <row r="18145" spans="1:5" x14ac:dyDescent="0.25">
      <c r="A18145" t="s">
        <v>4</v>
      </c>
      <c r="B18145" t="s">
        <v>4111</v>
      </c>
      <c r="C18145" t="s">
        <v>23490</v>
      </c>
      <c r="D18145" t="str">
        <f>HYPERLINK("https://rhld.insurance.arkansas.gov/NPILookup?Npi=1205293396","1205293396")</f>
        <v>1205293396</v>
      </c>
      <c r="E18145" t="s">
        <v>21906</v>
      </c>
    </row>
    <row r="18146" spans="1:5" x14ac:dyDescent="0.25">
      <c r="A18146" t="s">
        <v>4</v>
      </c>
      <c r="B18146" t="s">
        <v>4111</v>
      </c>
      <c r="C18146" t="s">
        <v>23490</v>
      </c>
      <c r="D18146" t="str">
        <f>HYPERLINK("https://rhld.insurance.arkansas.gov/NPILookup?Npi=1205294675","1205294675")</f>
        <v>1205294675</v>
      </c>
      <c r="E18146" t="s">
        <v>17554</v>
      </c>
    </row>
    <row r="18147" spans="1:5" x14ac:dyDescent="0.25">
      <c r="A18147" t="s">
        <v>4</v>
      </c>
      <c r="B18147" t="s">
        <v>4111</v>
      </c>
      <c r="C18147" t="s">
        <v>23490</v>
      </c>
      <c r="D18147" t="str">
        <f>HYPERLINK("https://rhld.insurance.arkansas.gov/NPILookup?Npi=1205296068","1205296068")</f>
        <v>1205296068</v>
      </c>
      <c r="E18147" t="s">
        <v>21907</v>
      </c>
    </row>
    <row r="18148" spans="1:5" x14ac:dyDescent="0.25">
      <c r="A18148" t="s">
        <v>4</v>
      </c>
      <c r="B18148" t="s">
        <v>4111</v>
      </c>
      <c r="C18148" t="s">
        <v>23490</v>
      </c>
      <c r="D18148" t="str">
        <f>HYPERLINK("https://rhld.insurance.arkansas.gov/NPILookup?Npi=1205316601","1205316601")</f>
        <v>1205316601</v>
      </c>
      <c r="E18148" t="s">
        <v>17130</v>
      </c>
    </row>
    <row r="18149" spans="1:5" x14ac:dyDescent="0.25">
      <c r="A18149" t="s">
        <v>4</v>
      </c>
      <c r="B18149" t="s">
        <v>4111</v>
      </c>
      <c r="C18149" t="s">
        <v>23490</v>
      </c>
      <c r="D18149" t="str">
        <f>HYPERLINK("https://rhld.insurance.arkansas.gov/NPILookup?Npi=1205359510","1205359510")</f>
        <v>1205359510</v>
      </c>
      <c r="E18149" t="s">
        <v>12796</v>
      </c>
    </row>
    <row r="18150" spans="1:5" x14ac:dyDescent="0.25">
      <c r="A18150" t="s">
        <v>4</v>
      </c>
      <c r="B18150" t="s">
        <v>4111</v>
      </c>
      <c r="C18150" t="s">
        <v>23490</v>
      </c>
      <c r="D18150" t="str">
        <f>HYPERLINK("https://rhld.insurance.arkansas.gov/NPILookup?Npi=1205365046","1205365046")</f>
        <v>1205365046</v>
      </c>
      <c r="E18150" t="s">
        <v>18292</v>
      </c>
    </row>
    <row r="18151" spans="1:5" x14ac:dyDescent="0.25">
      <c r="A18151" t="s">
        <v>4</v>
      </c>
      <c r="B18151" t="s">
        <v>4111</v>
      </c>
      <c r="C18151" t="s">
        <v>23490</v>
      </c>
      <c r="D18151" t="str">
        <f>HYPERLINK("https://rhld.insurance.arkansas.gov/NPILookup?Npi=1205385630","1205385630")</f>
        <v>1205385630</v>
      </c>
      <c r="E18151" t="s">
        <v>20386</v>
      </c>
    </row>
    <row r="18152" spans="1:5" x14ac:dyDescent="0.25">
      <c r="A18152" t="s">
        <v>4</v>
      </c>
      <c r="B18152" t="s">
        <v>4111</v>
      </c>
      <c r="C18152" t="s">
        <v>23490</v>
      </c>
      <c r="D18152" t="str">
        <f>HYPERLINK("https://rhld.insurance.arkansas.gov/NPILookup?Npi=1205399920","1205399920")</f>
        <v>1205399920</v>
      </c>
      <c r="E18152" t="s">
        <v>16022</v>
      </c>
    </row>
    <row r="18153" spans="1:5" x14ac:dyDescent="0.25">
      <c r="A18153" t="s">
        <v>4</v>
      </c>
      <c r="B18153" t="s">
        <v>4111</v>
      </c>
      <c r="C18153" t="s">
        <v>8427</v>
      </c>
      <c r="D18153" t="str">
        <f>HYPERLINK("https://rhld.insurance.arkansas.gov/NPILookup?Npi=1205434123","1205434123")</f>
        <v>1205434123</v>
      </c>
      <c r="E18153" t="s">
        <v>23069</v>
      </c>
    </row>
    <row r="18154" spans="1:5" x14ac:dyDescent="0.25">
      <c r="A18154" t="s">
        <v>4</v>
      </c>
      <c r="B18154" t="s">
        <v>4111</v>
      </c>
      <c r="C18154" t="s">
        <v>23490</v>
      </c>
      <c r="D18154" t="str">
        <f>HYPERLINK("https://rhld.insurance.arkansas.gov/NPILookup?Npi=1205437126","1205437126")</f>
        <v>1205437126</v>
      </c>
      <c r="E18154" t="s">
        <v>18962</v>
      </c>
    </row>
    <row r="18155" spans="1:5" x14ac:dyDescent="0.25">
      <c r="A18155" t="s">
        <v>4</v>
      </c>
      <c r="B18155" t="s">
        <v>4111</v>
      </c>
      <c r="C18155" t="s">
        <v>23490</v>
      </c>
      <c r="D18155" t="str">
        <f>HYPERLINK("https://rhld.insurance.arkansas.gov/NPILookup?Npi=1205483211","1205483211")</f>
        <v>1205483211</v>
      </c>
      <c r="E18155" t="s">
        <v>18293</v>
      </c>
    </row>
    <row r="18156" spans="1:5" x14ac:dyDescent="0.25">
      <c r="A18156" t="s">
        <v>4</v>
      </c>
      <c r="B18156" t="s">
        <v>4111</v>
      </c>
      <c r="C18156" t="s">
        <v>23490</v>
      </c>
      <c r="D18156" t="str">
        <f>HYPERLINK("https://rhld.insurance.arkansas.gov/NPILookup?Npi=1205486651","1205486651")</f>
        <v>1205486651</v>
      </c>
      <c r="E18156" t="s">
        <v>18294</v>
      </c>
    </row>
    <row r="18157" spans="1:5" x14ac:dyDescent="0.25">
      <c r="A18157" t="s">
        <v>4</v>
      </c>
      <c r="B18157" t="s">
        <v>4111</v>
      </c>
      <c r="C18157" t="s">
        <v>23490</v>
      </c>
      <c r="D18157" t="str">
        <f>HYPERLINK("https://rhld.insurance.arkansas.gov/NPILookup?Npi=1205488087","1205488087")</f>
        <v>1205488087</v>
      </c>
      <c r="E18157" t="s">
        <v>21908</v>
      </c>
    </row>
    <row r="18158" spans="1:5" x14ac:dyDescent="0.25">
      <c r="A18158" t="s">
        <v>4</v>
      </c>
      <c r="B18158" t="s">
        <v>4111</v>
      </c>
      <c r="C18158" t="s">
        <v>23490</v>
      </c>
      <c r="D18158" t="str">
        <f>HYPERLINK("https://rhld.insurance.arkansas.gov/NPILookup?Npi=1205846706","1205846706")</f>
        <v>1205846706</v>
      </c>
      <c r="E18158" t="s">
        <v>11573</v>
      </c>
    </row>
    <row r="18159" spans="1:5" x14ac:dyDescent="0.25">
      <c r="A18159" t="s">
        <v>4</v>
      </c>
      <c r="B18159" t="s">
        <v>4111</v>
      </c>
      <c r="C18159" t="s">
        <v>23490</v>
      </c>
      <c r="D18159" t="str">
        <f>HYPERLINK("https://rhld.insurance.arkansas.gov/NPILookup?Npi=1205850104","1205850104")</f>
        <v>1205850104</v>
      </c>
      <c r="E18159" t="s">
        <v>4229</v>
      </c>
    </row>
    <row r="18160" spans="1:5" x14ac:dyDescent="0.25">
      <c r="A18160" t="s">
        <v>4</v>
      </c>
      <c r="B18160" t="s">
        <v>4111</v>
      </c>
      <c r="C18160" t="s">
        <v>23490</v>
      </c>
      <c r="D18160" t="str">
        <f>HYPERLINK("https://rhld.insurance.arkansas.gov/NPILookup?Npi=1205874161","1205874161")</f>
        <v>1205874161</v>
      </c>
      <c r="E18160" t="s">
        <v>4500</v>
      </c>
    </row>
    <row r="18161" spans="1:5" x14ac:dyDescent="0.25">
      <c r="A18161" t="s">
        <v>4</v>
      </c>
      <c r="B18161" t="s">
        <v>4111</v>
      </c>
      <c r="C18161" t="s">
        <v>23490</v>
      </c>
      <c r="D18161" t="str">
        <f>HYPERLINK("https://rhld.insurance.arkansas.gov/NPILookup?Npi=1205878162","1205878162")</f>
        <v>1205878162</v>
      </c>
      <c r="E18161" t="s">
        <v>4501</v>
      </c>
    </row>
    <row r="18162" spans="1:5" x14ac:dyDescent="0.25">
      <c r="A18162" t="s">
        <v>4</v>
      </c>
      <c r="B18162" t="s">
        <v>4111</v>
      </c>
      <c r="C18162" t="s">
        <v>23490</v>
      </c>
      <c r="D18162" t="str">
        <f>HYPERLINK("https://rhld.insurance.arkansas.gov/NPILookup?Npi=1205922879","1205922879")</f>
        <v>1205922879</v>
      </c>
      <c r="E18162" t="s">
        <v>17131</v>
      </c>
    </row>
    <row r="18163" spans="1:5" x14ac:dyDescent="0.25">
      <c r="A18163" t="s">
        <v>4</v>
      </c>
      <c r="B18163" t="s">
        <v>4111</v>
      </c>
      <c r="C18163" t="s">
        <v>23490</v>
      </c>
      <c r="D18163" t="str">
        <f>HYPERLINK("https://rhld.insurance.arkansas.gov/NPILookup?Npi=1205936622","1205936622")</f>
        <v>1205936622</v>
      </c>
      <c r="E18163" t="s">
        <v>4502</v>
      </c>
    </row>
    <row r="18164" spans="1:5" x14ac:dyDescent="0.25">
      <c r="A18164" t="s">
        <v>4</v>
      </c>
      <c r="B18164" t="s">
        <v>4111</v>
      </c>
      <c r="C18164" t="s">
        <v>23490</v>
      </c>
      <c r="D18164" t="str">
        <f>HYPERLINK("https://rhld.insurance.arkansas.gov/NPILookup?Npi=1205957834","1205957834")</f>
        <v>1205957834</v>
      </c>
      <c r="E18164" t="s">
        <v>4503</v>
      </c>
    </row>
    <row r="18165" spans="1:5" x14ac:dyDescent="0.25">
      <c r="A18165" t="s">
        <v>4</v>
      </c>
      <c r="B18165" t="s">
        <v>4111</v>
      </c>
      <c r="C18165" t="s">
        <v>23490</v>
      </c>
      <c r="D18165" t="str">
        <f>HYPERLINK("https://rhld.insurance.arkansas.gov/NPILookup?Npi=1205972130","1205972130")</f>
        <v>1205972130</v>
      </c>
      <c r="E18165" t="s">
        <v>9040</v>
      </c>
    </row>
    <row r="18166" spans="1:5" x14ac:dyDescent="0.25">
      <c r="A18166" t="s">
        <v>4</v>
      </c>
      <c r="B18166" t="s">
        <v>4111</v>
      </c>
      <c r="C18166" t="s">
        <v>23490</v>
      </c>
      <c r="D18166" t="str">
        <f>HYPERLINK("https://rhld.insurance.arkansas.gov/NPILookup?Npi=1215000401","1215000401")</f>
        <v>1215000401</v>
      </c>
      <c r="E18166" t="s">
        <v>21114</v>
      </c>
    </row>
    <row r="18167" spans="1:5" x14ac:dyDescent="0.25">
      <c r="A18167" t="s">
        <v>4</v>
      </c>
      <c r="B18167" t="s">
        <v>4111</v>
      </c>
      <c r="C18167" t="s">
        <v>23490</v>
      </c>
      <c r="D18167" t="str">
        <f>HYPERLINK("https://rhld.insurance.arkansas.gov/NPILookup?Npi=1215008842","1215008842")</f>
        <v>1215008842</v>
      </c>
      <c r="E18167" t="s">
        <v>4504</v>
      </c>
    </row>
    <row r="18168" spans="1:5" x14ac:dyDescent="0.25">
      <c r="A18168" t="s">
        <v>4</v>
      </c>
      <c r="B18168" t="s">
        <v>4111</v>
      </c>
      <c r="C18168" t="s">
        <v>23490</v>
      </c>
      <c r="D18168" t="str">
        <f>HYPERLINK("https://rhld.insurance.arkansas.gov/NPILookup?Npi=1215051263","1215051263")</f>
        <v>1215051263</v>
      </c>
      <c r="E18168" t="s">
        <v>4505</v>
      </c>
    </row>
    <row r="18169" spans="1:5" x14ac:dyDescent="0.25">
      <c r="A18169" t="s">
        <v>4</v>
      </c>
      <c r="B18169" t="s">
        <v>4111</v>
      </c>
      <c r="C18169" t="s">
        <v>23490</v>
      </c>
      <c r="D18169" t="str">
        <f>HYPERLINK("https://rhld.insurance.arkansas.gov/NPILookup?Npi=1215052329","1215052329")</f>
        <v>1215052329</v>
      </c>
      <c r="E18169" t="s">
        <v>4506</v>
      </c>
    </row>
    <row r="18170" spans="1:5" x14ac:dyDescent="0.25">
      <c r="A18170" t="s">
        <v>4</v>
      </c>
      <c r="B18170" t="s">
        <v>4111</v>
      </c>
      <c r="C18170" t="s">
        <v>23490</v>
      </c>
      <c r="D18170" t="str">
        <f>HYPERLINK("https://rhld.insurance.arkansas.gov/NPILookup?Npi=1215059993","1215059993")</f>
        <v>1215059993</v>
      </c>
      <c r="E18170" t="s">
        <v>2772</v>
      </c>
    </row>
    <row r="18171" spans="1:5" x14ac:dyDescent="0.25">
      <c r="A18171" t="s">
        <v>4</v>
      </c>
      <c r="B18171" t="s">
        <v>4111</v>
      </c>
      <c r="C18171" t="s">
        <v>23490</v>
      </c>
      <c r="D18171" t="str">
        <f>HYPERLINK("https://rhld.insurance.arkansas.gov/NPILookup?Npi=1215079546","1215079546")</f>
        <v>1215079546</v>
      </c>
      <c r="E18171" t="s">
        <v>17132</v>
      </c>
    </row>
    <row r="18172" spans="1:5" x14ac:dyDescent="0.25">
      <c r="A18172" t="s">
        <v>4</v>
      </c>
      <c r="B18172" t="s">
        <v>4111</v>
      </c>
      <c r="C18172" t="s">
        <v>23490</v>
      </c>
      <c r="D18172" t="str">
        <f>HYPERLINK("https://rhld.insurance.arkansas.gov/NPILookup?Npi=1215095211","1215095211")</f>
        <v>1215095211</v>
      </c>
      <c r="E18172" t="s">
        <v>4507</v>
      </c>
    </row>
    <row r="18173" spans="1:5" x14ac:dyDescent="0.25">
      <c r="A18173" t="s">
        <v>4</v>
      </c>
      <c r="B18173" t="s">
        <v>4111</v>
      </c>
      <c r="C18173" t="s">
        <v>23490</v>
      </c>
      <c r="D18173" t="str">
        <f>HYPERLINK("https://rhld.insurance.arkansas.gov/NPILookup?Npi=1215104740","1215104740")</f>
        <v>1215104740</v>
      </c>
      <c r="E18173" t="s">
        <v>4508</v>
      </c>
    </row>
    <row r="18174" spans="1:5" x14ac:dyDescent="0.25">
      <c r="A18174" t="s">
        <v>4</v>
      </c>
      <c r="B18174" t="s">
        <v>4111</v>
      </c>
      <c r="C18174" t="s">
        <v>23490</v>
      </c>
      <c r="D18174" t="str">
        <f>HYPERLINK("https://rhld.insurance.arkansas.gov/NPILookup?Npi=1215110861","1215110861")</f>
        <v>1215110861</v>
      </c>
      <c r="E18174" t="s">
        <v>4509</v>
      </c>
    </row>
    <row r="18175" spans="1:5" x14ac:dyDescent="0.25">
      <c r="A18175" t="s">
        <v>4</v>
      </c>
      <c r="B18175" t="s">
        <v>4111</v>
      </c>
      <c r="C18175" t="s">
        <v>23490</v>
      </c>
      <c r="D18175" t="str">
        <f>HYPERLINK("https://rhld.insurance.arkansas.gov/NPILookup?Npi=1215116314","1215116314")</f>
        <v>1215116314</v>
      </c>
      <c r="E18175" t="s">
        <v>4510</v>
      </c>
    </row>
    <row r="18176" spans="1:5" x14ac:dyDescent="0.25">
      <c r="A18176" t="s">
        <v>4</v>
      </c>
      <c r="B18176" t="s">
        <v>4111</v>
      </c>
      <c r="C18176" t="s">
        <v>23490</v>
      </c>
      <c r="D18176" t="str">
        <f>HYPERLINK("https://rhld.insurance.arkansas.gov/NPILookup?Npi=1215133814","1215133814")</f>
        <v>1215133814</v>
      </c>
      <c r="E18176" t="s">
        <v>4511</v>
      </c>
    </row>
    <row r="18177" spans="1:5" x14ac:dyDescent="0.25">
      <c r="A18177" t="s">
        <v>4</v>
      </c>
      <c r="B18177" t="s">
        <v>4111</v>
      </c>
      <c r="C18177" t="s">
        <v>23490</v>
      </c>
      <c r="D18177" t="str">
        <f>HYPERLINK("https://rhld.insurance.arkansas.gov/NPILookup?Npi=1215137153","1215137153")</f>
        <v>1215137153</v>
      </c>
      <c r="E18177" t="s">
        <v>4512</v>
      </c>
    </row>
    <row r="18178" spans="1:5" x14ac:dyDescent="0.25">
      <c r="A18178" t="s">
        <v>4</v>
      </c>
      <c r="B18178" t="s">
        <v>4111</v>
      </c>
      <c r="C18178" t="s">
        <v>23490</v>
      </c>
      <c r="D18178" t="str">
        <f>HYPERLINK("https://rhld.insurance.arkansas.gov/NPILookup?Npi=1215158563","1215158563")</f>
        <v>1215158563</v>
      </c>
      <c r="E18178" t="s">
        <v>4513</v>
      </c>
    </row>
    <row r="18179" spans="1:5" x14ac:dyDescent="0.25">
      <c r="A18179" t="s">
        <v>4</v>
      </c>
      <c r="B18179" t="s">
        <v>4111</v>
      </c>
      <c r="C18179" t="s">
        <v>23490</v>
      </c>
      <c r="D18179" t="str">
        <f>HYPERLINK("https://rhld.insurance.arkansas.gov/NPILookup?Npi=1215166426","1215166426")</f>
        <v>1215166426</v>
      </c>
      <c r="E18179" t="s">
        <v>17555</v>
      </c>
    </row>
    <row r="18180" spans="1:5" x14ac:dyDescent="0.25">
      <c r="A18180" t="s">
        <v>4</v>
      </c>
      <c r="B18180" t="s">
        <v>4111</v>
      </c>
      <c r="C18180" t="s">
        <v>23490</v>
      </c>
      <c r="D18180" t="str">
        <f>HYPERLINK("https://rhld.insurance.arkansas.gov/NPILookup?Npi=1215166848","1215166848")</f>
        <v>1215166848</v>
      </c>
      <c r="E18180" t="s">
        <v>4514</v>
      </c>
    </row>
    <row r="18181" spans="1:5" x14ac:dyDescent="0.25">
      <c r="A18181" t="s">
        <v>4</v>
      </c>
      <c r="B18181" t="s">
        <v>4111</v>
      </c>
      <c r="C18181" t="s">
        <v>23490</v>
      </c>
      <c r="D18181" t="str">
        <f>HYPERLINK("https://rhld.insurance.arkansas.gov/NPILookup?Npi=1215183280","1215183280")</f>
        <v>1215183280</v>
      </c>
      <c r="E18181" t="s">
        <v>4515</v>
      </c>
    </row>
    <row r="18182" spans="1:5" x14ac:dyDescent="0.25">
      <c r="A18182" t="s">
        <v>4</v>
      </c>
      <c r="B18182" t="s">
        <v>4111</v>
      </c>
      <c r="C18182" t="s">
        <v>23490</v>
      </c>
      <c r="D18182" t="str">
        <f>HYPERLINK("https://rhld.insurance.arkansas.gov/NPILookup?Npi=1215208392","1215208392")</f>
        <v>1215208392</v>
      </c>
      <c r="E18182" t="s">
        <v>4516</v>
      </c>
    </row>
    <row r="18183" spans="1:5" x14ac:dyDescent="0.25">
      <c r="A18183" t="s">
        <v>4</v>
      </c>
      <c r="B18183" t="s">
        <v>4111</v>
      </c>
      <c r="C18183" t="s">
        <v>23490</v>
      </c>
      <c r="D18183" t="str">
        <f>HYPERLINK("https://rhld.insurance.arkansas.gov/NPILookup?Npi=1215211826","1215211826")</f>
        <v>1215211826</v>
      </c>
      <c r="E18183" t="s">
        <v>20387</v>
      </c>
    </row>
    <row r="18184" spans="1:5" x14ac:dyDescent="0.25">
      <c r="A18184" t="s">
        <v>4</v>
      </c>
      <c r="B18184" t="s">
        <v>4111</v>
      </c>
      <c r="C18184" t="s">
        <v>23490</v>
      </c>
      <c r="D18184" t="str">
        <f>HYPERLINK("https://rhld.insurance.arkansas.gov/NPILookup?Npi=1215212089","1215212089")</f>
        <v>1215212089</v>
      </c>
      <c r="E18184" t="s">
        <v>771</v>
      </c>
    </row>
    <row r="18185" spans="1:5" x14ac:dyDescent="0.25">
      <c r="A18185" t="s">
        <v>4</v>
      </c>
      <c r="B18185" t="s">
        <v>4111</v>
      </c>
      <c r="C18185" t="s">
        <v>23490</v>
      </c>
      <c r="D18185" t="str">
        <f>HYPERLINK("https://rhld.insurance.arkansas.gov/NPILookup?Npi=1215218466","1215218466")</f>
        <v>1215218466</v>
      </c>
      <c r="E18185" t="s">
        <v>9041</v>
      </c>
    </row>
    <row r="18186" spans="1:5" x14ac:dyDescent="0.25">
      <c r="A18186" t="s">
        <v>4</v>
      </c>
      <c r="B18186" t="s">
        <v>4111</v>
      </c>
      <c r="C18186" t="s">
        <v>23490</v>
      </c>
      <c r="D18186" t="str">
        <f>HYPERLINK("https://rhld.insurance.arkansas.gov/NPILookup?Npi=1215221734","1215221734")</f>
        <v>1215221734</v>
      </c>
      <c r="E18186" t="s">
        <v>18295</v>
      </c>
    </row>
    <row r="18187" spans="1:5" x14ac:dyDescent="0.25">
      <c r="A18187" t="s">
        <v>4</v>
      </c>
      <c r="B18187" t="s">
        <v>4111</v>
      </c>
      <c r="C18187" t="s">
        <v>23490</v>
      </c>
      <c r="D18187" t="str">
        <f>HYPERLINK("https://rhld.insurance.arkansas.gov/NPILookup?Npi=1215225438","1215225438")</f>
        <v>1215225438</v>
      </c>
      <c r="E18187" t="s">
        <v>4517</v>
      </c>
    </row>
    <row r="18188" spans="1:5" x14ac:dyDescent="0.25">
      <c r="A18188" t="s">
        <v>4</v>
      </c>
      <c r="B18188" t="s">
        <v>4111</v>
      </c>
      <c r="C18188" t="s">
        <v>23490</v>
      </c>
      <c r="D18188" t="str">
        <f>HYPERLINK("https://rhld.insurance.arkansas.gov/NPILookup?Npi=1215236534","1215236534")</f>
        <v>1215236534</v>
      </c>
      <c r="E18188" t="s">
        <v>13990</v>
      </c>
    </row>
    <row r="18189" spans="1:5" x14ac:dyDescent="0.25">
      <c r="A18189" t="s">
        <v>4</v>
      </c>
      <c r="B18189" t="s">
        <v>4111</v>
      </c>
      <c r="C18189" t="s">
        <v>23490</v>
      </c>
      <c r="D18189" t="str">
        <f>HYPERLINK("https://rhld.insurance.arkansas.gov/NPILookup?Npi=1215253620","1215253620")</f>
        <v>1215253620</v>
      </c>
      <c r="E18189" t="s">
        <v>4518</v>
      </c>
    </row>
    <row r="18190" spans="1:5" x14ac:dyDescent="0.25">
      <c r="A18190" t="s">
        <v>4</v>
      </c>
      <c r="B18190" t="s">
        <v>4111</v>
      </c>
      <c r="C18190" t="s">
        <v>23490</v>
      </c>
      <c r="D18190" t="str">
        <f>HYPERLINK("https://rhld.insurance.arkansas.gov/NPILookup?Npi=1215265632","1215265632")</f>
        <v>1215265632</v>
      </c>
      <c r="E18190" t="s">
        <v>16023</v>
      </c>
    </row>
    <row r="18191" spans="1:5" x14ac:dyDescent="0.25">
      <c r="A18191" t="s">
        <v>4</v>
      </c>
      <c r="B18191" t="s">
        <v>4111</v>
      </c>
      <c r="C18191" t="s">
        <v>23490</v>
      </c>
      <c r="D18191" t="str">
        <f>HYPERLINK("https://rhld.insurance.arkansas.gov/NPILookup?Npi=1215269279","1215269279")</f>
        <v>1215269279</v>
      </c>
      <c r="E18191" t="s">
        <v>4519</v>
      </c>
    </row>
    <row r="18192" spans="1:5" x14ac:dyDescent="0.25">
      <c r="A18192" t="s">
        <v>4</v>
      </c>
      <c r="B18192" t="s">
        <v>4111</v>
      </c>
      <c r="C18192" t="s">
        <v>23490</v>
      </c>
      <c r="D18192" t="str">
        <f>HYPERLINK("https://rhld.insurance.arkansas.gov/NPILookup?Npi=1215283718","1215283718")</f>
        <v>1215283718</v>
      </c>
      <c r="E18192" t="s">
        <v>4520</v>
      </c>
    </row>
    <row r="18193" spans="1:5" x14ac:dyDescent="0.25">
      <c r="A18193" t="s">
        <v>4</v>
      </c>
      <c r="B18193" t="s">
        <v>4111</v>
      </c>
      <c r="C18193" t="s">
        <v>23490</v>
      </c>
      <c r="D18193" t="str">
        <f>HYPERLINK("https://rhld.insurance.arkansas.gov/NPILookup?Npi=1215295050","1215295050")</f>
        <v>1215295050</v>
      </c>
      <c r="E18193" t="s">
        <v>18296</v>
      </c>
    </row>
    <row r="18194" spans="1:5" x14ac:dyDescent="0.25">
      <c r="A18194" t="s">
        <v>4</v>
      </c>
      <c r="B18194" t="s">
        <v>4111</v>
      </c>
      <c r="C18194" t="s">
        <v>23490</v>
      </c>
      <c r="D18194" t="str">
        <f>HYPERLINK("https://rhld.insurance.arkansas.gov/NPILookup?Npi=1215295308","1215295308")</f>
        <v>1215295308</v>
      </c>
      <c r="E18194" t="s">
        <v>9042</v>
      </c>
    </row>
    <row r="18195" spans="1:5" x14ac:dyDescent="0.25">
      <c r="A18195" t="s">
        <v>4</v>
      </c>
      <c r="B18195" t="s">
        <v>4111</v>
      </c>
      <c r="C18195" t="s">
        <v>23490</v>
      </c>
      <c r="D18195" t="str">
        <f>HYPERLINK("https://rhld.insurance.arkansas.gov/NPILookup?Npi=1215321104","1215321104")</f>
        <v>1215321104</v>
      </c>
      <c r="E18195" t="s">
        <v>16024</v>
      </c>
    </row>
    <row r="18196" spans="1:5" x14ac:dyDescent="0.25">
      <c r="A18196" t="s">
        <v>4</v>
      </c>
      <c r="B18196" t="s">
        <v>4111</v>
      </c>
      <c r="C18196" t="s">
        <v>23490</v>
      </c>
      <c r="D18196" t="str">
        <f>HYPERLINK("https://rhld.insurance.arkansas.gov/NPILookup?Npi=1215333075","1215333075")</f>
        <v>1215333075</v>
      </c>
      <c r="E18196" t="s">
        <v>3587</v>
      </c>
    </row>
    <row r="18197" spans="1:5" x14ac:dyDescent="0.25">
      <c r="A18197" t="s">
        <v>4</v>
      </c>
      <c r="B18197" t="s">
        <v>4111</v>
      </c>
      <c r="C18197" t="s">
        <v>23490</v>
      </c>
      <c r="D18197" t="str">
        <f>HYPERLINK("https://rhld.insurance.arkansas.gov/NPILookup?Npi=1215343207","1215343207")</f>
        <v>1215343207</v>
      </c>
      <c r="E18197" t="s">
        <v>18297</v>
      </c>
    </row>
    <row r="18198" spans="1:5" x14ac:dyDescent="0.25">
      <c r="A18198" t="s">
        <v>4</v>
      </c>
      <c r="B18198" t="s">
        <v>4111</v>
      </c>
      <c r="C18198" t="s">
        <v>23490</v>
      </c>
      <c r="D18198" t="str">
        <f>HYPERLINK("https://rhld.insurance.arkansas.gov/NPILookup?Npi=1215362488","1215362488")</f>
        <v>1215362488</v>
      </c>
      <c r="E18198" t="s">
        <v>9043</v>
      </c>
    </row>
    <row r="18199" spans="1:5" x14ac:dyDescent="0.25">
      <c r="A18199" t="s">
        <v>4</v>
      </c>
      <c r="B18199" t="s">
        <v>4111</v>
      </c>
      <c r="C18199" t="s">
        <v>23490</v>
      </c>
      <c r="D18199" t="str">
        <f>HYPERLINK("https://rhld.insurance.arkansas.gov/NPILookup?Npi=1215412325","1215412325")</f>
        <v>1215412325</v>
      </c>
      <c r="E18199" t="s">
        <v>18298</v>
      </c>
    </row>
    <row r="18200" spans="1:5" x14ac:dyDescent="0.25">
      <c r="A18200" t="s">
        <v>4</v>
      </c>
      <c r="B18200" t="s">
        <v>4111</v>
      </c>
      <c r="C18200" t="s">
        <v>23490</v>
      </c>
      <c r="D18200" t="str">
        <f>HYPERLINK("https://rhld.insurance.arkansas.gov/NPILookup?Npi=1215437322","1215437322")</f>
        <v>1215437322</v>
      </c>
      <c r="E18200" t="s">
        <v>18963</v>
      </c>
    </row>
    <row r="18201" spans="1:5" x14ac:dyDescent="0.25">
      <c r="A18201" t="s">
        <v>4</v>
      </c>
      <c r="B18201" t="s">
        <v>4111</v>
      </c>
      <c r="C18201" t="s">
        <v>23490</v>
      </c>
      <c r="D18201" t="str">
        <f>HYPERLINK("https://rhld.insurance.arkansas.gov/NPILookup?Npi=1215444633","1215444633")</f>
        <v>1215444633</v>
      </c>
      <c r="E18201" t="s">
        <v>21909</v>
      </c>
    </row>
    <row r="18202" spans="1:5" x14ac:dyDescent="0.25">
      <c r="A18202" t="s">
        <v>4</v>
      </c>
      <c r="B18202" t="s">
        <v>4111</v>
      </c>
      <c r="C18202" t="s">
        <v>23490</v>
      </c>
      <c r="D18202" t="str">
        <f>HYPERLINK("https://rhld.insurance.arkansas.gov/NPILookup?Npi=1215562459","1215562459")</f>
        <v>1215562459</v>
      </c>
      <c r="E18202" t="s">
        <v>18299</v>
      </c>
    </row>
    <row r="18203" spans="1:5" x14ac:dyDescent="0.25">
      <c r="A18203" t="s">
        <v>4</v>
      </c>
      <c r="B18203" t="s">
        <v>4111</v>
      </c>
      <c r="C18203" t="s">
        <v>23490</v>
      </c>
      <c r="D18203" t="str">
        <f>HYPERLINK("https://rhld.insurance.arkansas.gov/NPILookup?Npi=1215567128","1215567128")</f>
        <v>1215567128</v>
      </c>
      <c r="E18203" t="s">
        <v>20388</v>
      </c>
    </row>
    <row r="18204" spans="1:5" x14ac:dyDescent="0.25">
      <c r="A18204" t="s">
        <v>4</v>
      </c>
      <c r="B18204" t="s">
        <v>4111</v>
      </c>
      <c r="C18204" t="s">
        <v>23490</v>
      </c>
      <c r="D18204" t="str">
        <f>HYPERLINK("https://rhld.insurance.arkansas.gov/NPILookup?Npi=1215633524","1215633524")</f>
        <v>1215633524</v>
      </c>
      <c r="E18204" t="s">
        <v>21910</v>
      </c>
    </row>
    <row r="18205" spans="1:5" x14ac:dyDescent="0.25">
      <c r="A18205" t="s">
        <v>4</v>
      </c>
      <c r="B18205" t="s">
        <v>4111</v>
      </c>
      <c r="C18205" t="s">
        <v>23490</v>
      </c>
      <c r="D18205" t="str">
        <f>HYPERLINK("https://rhld.insurance.arkansas.gov/NPILookup?Npi=1215677745","1215677745")</f>
        <v>1215677745</v>
      </c>
      <c r="E18205" t="s">
        <v>21911</v>
      </c>
    </row>
    <row r="18206" spans="1:5" x14ac:dyDescent="0.25">
      <c r="A18206" t="s">
        <v>4</v>
      </c>
      <c r="B18206" t="s">
        <v>4111</v>
      </c>
      <c r="C18206" t="s">
        <v>23490</v>
      </c>
      <c r="D18206" t="str">
        <f>HYPERLINK("https://rhld.insurance.arkansas.gov/NPILookup?Npi=1215685615","1215685615")</f>
        <v>1215685615</v>
      </c>
      <c r="E18206" t="s">
        <v>21912</v>
      </c>
    </row>
    <row r="18207" spans="1:5" x14ac:dyDescent="0.25">
      <c r="A18207" t="s">
        <v>4</v>
      </c>
      <c r="B18207" t="s">
        <v>4111</v>
      </c>
      <c r="C18207" t="s">
        <v>23490</v>
      </c>
      <c r="D18207" t="str">
        <f>HYPERLINK("https://rhld.insurance.arkansas.gov/NPILookup?Npi=1215687637","1215687637")</f>
        <v>1215687637</v>
      </c>
      <c r="E18207" t="s">
        <v>19521</v>
      </c>
    </row>
    <row r="18208" spans="1:5" x14ac:dyDescent="0.25">
      <c r="A18208" t="s">
        <v>4</v>
      </c>
      <c r="B18208" t="s">
        <v>4111</v>
      </c>
      <c r="C18208" t="s">
        <v>23490</v>
      </c>
      <c r="D18208" t="str">
        <f>HYPERLINK("https://rhld.insurance.arkansas.gov/NPILookup?Npi=1215934716","1215934716")</f>
        <v>1215934716</v>
      </c>
      <c r="E18208" t="s">
        <v>4521</v>
      </c>
    </row>
    <row r="18209" spans="1:5" x14ac:dyDescent="0.25">
      <c r="A18209" t="s">
        <v>4</v>
      </c>
      <c r="B18209" t="s">
        <v>4111</v>
      </c>
      <c r="C18209" t="s">
        <v>23490</v>
      </c>
      <c r="D18209" t="str">
        <f>HYPERLINK("https://rhld.insurance.arkansas.gov/NPILookup?Npi=1215940515","1215940515")</f>
        <v>1215940515</v>
      </c>
      <c r="E18209" t="s">
        <v>4522</v>
      </c>
    </row>
    <row r="18210" spans="1:5" x14ac:dyDescent="0.25">
      <c r="A18210" t="s">
        <v>4</v>
      </c>
      <c r="B18210" t="s">
        <v>4111</v>
      </c>
      <c r="C18210" t="s">
        <v>23490</v>
      </c>
      <c r="D18210" t="str">
        <f>HYPERLINK("https://rhld.insurance.arkansas.gov/NPILookup?Npi=1215945134","1215945134")</f>
        <v>1215945134</v>
      </c>
      <c r="E18210" t="s">
        <v>4523</v>
      </c>
    </row>
    <row r="18211" spans="1:5" x14ac:dyDescent="0.25">
      <c r="A18211" t="s">
        <v>4</v>
      </c>
      <c r="B18211" t="s">
        <v>4111</v>
      </c>
      <c r="C18211" t="s">
        <v>23490</v>
      </c>
      <c r="D18211" t="str">
        <f>HYPERLINK("https://rhld.insurance.arkansas.gov/NPILookup?Npi=1215967799","1215967799")</f>
        <v>1215967799</v>
      </c>
      <c r="E18211" t="s">
        <v>4524</v>
      </c>
    </row>
    <row r="18212" spans="1:5" x14ac:dyDescent="0.25">
      <c r="A18212" t="s">
        <v>4</v>
      </c>
      <c r="B18212" t="s">
        <v>4111</v>
      </c>
      <c r="C18212" t="s">
        <v>23490</v>
      </c>
      <c r="D18212" t="str">
        <f>HYPERLINK("https://rhld.insurance.arkansas.gov/NPILookup?Npi=1215973490","1215973490")</f>
        <v>1215973490</v>
      </c>
      <c r="E18212" t="s">
        <v>4525</v>
      </c>
    </row>
    <row r="18213" spans="1:5" x14ac:dyDescent="0.25">
      <c r="A18213" t="s">
        <v>4</v>
      </c>
      <c r="B18213" t="s">
        <v>4111</v>
      </c>
      <c r="C18213" t="s">
        <v>23490</v>
      </c>
      <c r="D18213" t="str">
        <f>HYPERLINK("https://rhld.insurance.arkansas.gov/NPILookup?Npi=1215978770","1215978770")</f>
        <v>1215978770</v>
      </c>
      <c r="E18213" t="s">
        <v>830</v>
      </c>
    </row>
    <row r="18214" spans="1:5" x14ac:dyDescent="0.25">
      <c r="A18214" t="s">
        <v>4</v>
      </c>
      <c r="B18214" t="s">
        <v>4111</v>
      </c>
      <c r="C18214" t="s">
        <v>23490</v>
      </c>
      <c r="D18214" t="str">
        <f>HYPERLINK("https://rhld.insurance.arkansas.gov/NPILookup?Npi=1215979679","1215979679")</f>
        <v>1215979679</v>
      </c>
      <c r="E18214" t="s">
        <v>4526</v>
      </c>
    </row>
    <row r="18215" spans="1:5" x14ac:dyDescent="0.25">
      <c r="A18215" t="s">
        <v>4</v>
      </c>
      <c r="B18215" t="s">
        <v>4111</v>
      </c>
      <c r="C18215" t="s">
        <v>23490</v>
      </c>
      <c r="D18215" t="str">
        <f>HYPERLINK("https://rhld.insurance.arkansas.gov/NPILookup?Npi=1215994876","1215994876")</f>
        <v>1215994876</v>
      </c>
      <c r="E18215" t="s">
        <v>4527</v>
      </c>
    </row>
    <row r="18216" spans="1:5" x14ac:dyDescent="0.25">
      <c r="A18216" t="s">
        <v>4</v>
      </c>
      <c r="B18216" t="s">
        <v>4111</v>
      </c>
      <c r="C18216" t="s">
        <v>23490</v>
      </c>
      <c r="D18216" t="str">
        <f>HYPERLINK("https://rhld.insurance.arkansas.gov/NPILookup?Npi=1225002157","1225002157")</f>
        <v>1225002157</v>
      </c>
      <c r="E18216" t="s">
        <v>4528</v>
      </c>
    </row>
    <row r="18217" spans="1:5" x14ac:dyDescent="0.25">
      <c r="A18217" t="s">
        <v>4</v>
      </c>
      <c r="B18217" t="s">
        <v>4111</v>
      </c>
      <c r="C18217" t="s">
        <v>23490</v>
      </c>
      <c r="D18217" t="str">
        <f>HYPERLINK("https://rhld.insurance.arkansas.gov/NPILookup?Npi=1225041205","1225041205")</f>
        <v>1225041205</v>
      </c>
      <c r="E18217" t="s">
        <v>4529</v>
      </c>
    </row>
    <row r="18218" spans="1:5" x14ac:dyDescent="0.25">
      <c r="A18218" t="s">
        <v>4</v>
      </c>
      <c r="B18218" t="s">
        <v>4111</v>
      </c>
      <c r="C18218" t="s">
        <v>23490</v>
      </c>
      <c r="D18218" t="str">
        <f>HYPERLINK("https://rhld.insurance.arkansas.gov/NPILookup?Npi=1225061211","1225061211")</f>
        <v>1225061211</v>
      </c>
      <c r="E18218" t="s">
        <v>20389</v>
      </c>
    </row>
    <row r="18219" spans="1:5" x14ac:dyDescent="0.25">
      <c r="A18219" t="s">
        <v>4</v>
      </c>
      <c r="B18219" t="s">
        <v>4111</v>
      </c>
      <c r="C18219" t="s">
        <v>23490</v>
      </c>
      <c r="D18219" t="str">
        <f>HYPERLINK("https://rhld.insurance.arkansas.gov/NPILookup?Npi=1225064066","1225064066")</f>
        <v>1225064066</v>
      </c>
      <c r="E18219" t="s">
        <v>4530</v>
      </c>
    </row>
    <row r="18220" spans="1:5" x14ac:dyDescent="0.25">
      <c r="A18220" t="s">
        <v>4</v>
      </c>
      <c r="B18220" t="s">
        <v>4111</v>
      </c>
      <c r="C18220" t="s">
        <v>23490</v>
      </c>
      <c r="D18220" t="str">
        <f>HYPERLINK("https://rhld.insurance.arkansas.gov/NPILookup?Npi=1225064280","1225064280")</f>
        <v>1225064280</v>
      </c>
      <c r="E18220" t="s">
        <v>4531</v>
      </c>
    </row>
    <row r="18221" spans="1:5" x14ac:dyDescent="0.25">
      <c r="A18221" t="s">
        <v>4</v>
      </c>
      <c r="B18221" t="s">
        <v>4111</v>
      </c>
      <c r="C18221" t="s">
        <v>23490</v>
      </c>
      <c r="D18221" t="str">
        <f>HYPERLINK("https://rhld.insurance.arkansas.gov/NPILookup?Npi=1225081854","1225081854")</f>
        <v>1225081854</v>
      </c>
      <c r="E18221" t="s">
        <v>4532</v>
      </c>
    </row>
    <row r="18222" spans="1:5" x14ac:dyDescent="0.25">
      <c r="A18222" t="s">
        <v>4</v>
      </c>
      <c r="B18222" t="s">
        <v>4111</v>
      </c>
      <c r="C18222" t="s">
        <v>23490</v>
      </c>
      <c r="D18222" t="str">
        <f>HYPERLINK("https://rhld.insurance.arkansas.gov/NPILookup?Npi=1225149529","1225149529")</f>
        <v>1225149529</v>
      </c>
      <c r="E18222" t="s">
        <v>4533</v>
      </c>
    </row>
    <row r="18223" spans="1:5" x14ac:dyDescent="0.25">
      <c r="A18223" t="s">
        <v>4</v>
      </c>
      <c r="B18223" t="s">
        <v>4111</v>
      </c>
      <c r="C18223" t="s">
        <v>23490</v>
      </c>
      <c r="D18223" t="str">
        <f>HYPERLINK("https://rhld.insurance.arkansas.gov/NPILookup?Npi=1225157241","1225157241")</f>
        <v>1225157241</v>
      </c>
      <c r="E18223" t="s">
        <v>9044</v>
      </c>
    </row>
    <row r="18224" spans="1:5" x14ac:dyDescent="0.25">
      <c r="A18224" t="s">
        <v>4</v>
      </c>
      <c r="B18224" t="s">
        <v>4111</v>
      </c>
      <c r="C18224" t="s">
        <v>23490</v>
      </c>
      <c r="D18224" t="str">
        <f>HYPERLINK("https://rhld.insurance.arkansas.gov/NPILookup?Npi=1225159296","1225159296")</f>
        <v>1225159296</v>
      </c>
      <c r="E18224" t="s">
        <v>4534</v>
      </c>
    </row>
    <row r="18225" spans="1:5" x14ac:dyDescent="0.25">
      <c r="A18225" t="s">
        <v>4</v>
      </c>
      <c r="B18225" t="s">
        <v>4111</v>
      </c>
      <c r="C18225" t="s">
        <v>23490</v>
      </c>
      <c r="D18225" t="str">
        <f>HYPERLINK("https://rhld.insurance.arkansas.gov/NPILookup?Npi=1225178171","1225178171")</f>
        <v>1225178171</v>
      </c>
      <c r="E18225" t="s">
        <v>13095</v>
      </c>
    </row>
    <row r="18226" spans="1:5" x14ac:dyDescent="0.25">
      <c r="A18226" t="s">
        <v>4</v>
      </c>
      <c r="B18226" t="s">
        <v>4111</v>
      </c>
      <c r="C18226" t="s">
        <v>23490</v>
      </c>
      <c r="D18226" t="str">
        <f>HYPERLINK("https://rhld.insurance.arkansas.gov/NPILookup?Npi=1225185499","1225185499")</f>
        <v>1225185499</v>
      </c>
      <c r="E18226" t="s">
        <v>13991</v>
      </c>
    </row>
    <row r="18227" spans="1:5" x14ac:dyDescent="0.25">
      <c r="A18227" t="s">
        <v>4</v>
      </c>
      <c r="B18227" t="s">
        <v>4111</v>
      </c>
      <c r="C18227" t="s">
        <v>23490</v>
      </c>
      <c r="D18227" t="str">
        <f>HYPERLINK("https://rhld.insurance.arkansas.gov/NPILookup?Npi=1225217557","1225217557")</f>
        <v>1225217557</v>
      </c>
      <c r="E18227" t="s">
        <v>4535</v>
      </c>
    </row>
    <row r="18228" spans="1:5" x14ac:dyDescent="0.25">
      <c r="A18228" t="s">
        <v>4</v>
      </c>
      <c r="B18228" t="s">
        <v>4111</v>
      </c>
      <c r="C18228" t="s">
        <v>23490</v>
      </c>
      <c r="D18228" t="str">
        <f>HYPERLINK("https://rhld.insurance.arkansas.gov/NPILookup?Npi=1225227945","1225227945")</f>
        <v>1225227945</v>
      </c>
      <c r="E18228" t="s">
        <v>4536</v>
      </c>
    </row>
    <row r="18229" spans="1:5" x14ac:dyDescent="0.25">
      <c r="A18229" t="s">
        <v>4</v>
      </c>
      <c r="B18229" t="s">
        <v>4111</v>
      </c>
      <c r="C18229" t="s">
        <v>23490</v>
      </c>
      <c r="D18229" t="str">
        <f>HYPERLINK("https://rhld.insurance.arkansas.gov/NPILookup?Npi=1225241284","1225241284")</f>
        <v>1225241284</v>
      </c>
      <c r="E18229" t="s">
        <v>16025</v>
      </c>
    </row>
    <row r="18230" spans="1:5" x14ac:dyDescent="0.25">
      <c r="A18230" t="s">
        <v>4</v>
      </c>
      <c r="B18230" t="s">
        <v>4111</v>
      </c>
      <c r="C18230" t="s">
        <v>23490</v>
      </c>
      <c r="D18230" t="str">
        <f>HYPERLINK("https://rhld.insurance.arkansas.gov/NPILookup?Npi=1225242043","1225242043")</f>
        <v>1225242043</v>
      </c>
      <c r="E18230" t="s">
        <v>4537</v>
      </c>
    </row>
    <row r="18231" spans="1:5" x14ac:dyDescent="0.25">
      <c r="A18231" t="s">
        <v>4</v>
      </c>
      <c r="B18231" t="s">
        <v>4111</v>
      </c>
      <c r="C18231" t="s">
        <v>23490</v>
      </c>
      <c r="D18231" t="str">
        <f>HYPERLINK("https://rhld.insurance.arkansas.gov/NPILookup?Npi=1225243009","1225243009")</f>
        <v>1225243009</v>
      </c>
      <c r="E18231" t="s">
        <v>21115</v>
      </c>
    </row>
    <row r="18232" spans="1:5" x14ac:dyDescent="0.25">
      <c r="A18232" t="s">
        <v>4</v>
      </c>
      <c r="B18232" t="s">
        <v>4111</v>
      </c>
      <c r="C18232" t="s">
        <v>23490</v>
      </c>
      <c r="D18232" t="str">
        <f>HYPERLINK("https://rhld.insurance.arkansas.gov/NPILookup?Npi=1225248834","1225248834")</f>
        <v>1225248834</v>
      </c>
      <c r="E18232" t="s">
        <v>16026</v>
      </c>
    </row>
    <row r="18233" spans="1:5" x14ac:dyDescent="0.25">
      <c r="A18233" t="s">
        <v>4</v>
      </c>
      <c r="B18233" t="s">
        <v>4111</v>
      </c>
      <c r="C18233" t="s">
        <v>23490</v>
      </c>
      <c r="D18233" t="str">
        <f>HYPERLINK("https://rhld.insurance.arkansas.gov/NPILookup?Npi=1225249774","1225249774")</f>
        <v>1225249774</v>
      </c>
      <c r="E18233" t="s">
        <v>4538</v>
      </c>
    </row>
    <row r="18234" spans="1:5" x14ac:dyDescent="0.25">
      <c r="A18234" t="s">
        <v>4</v>
      </c>
      <c r="B18234" t="s">
        <v>4111</v>
      </c>
      <c r="C18234" t="s">
        <v>23490</v>
      </c>
      <c r="D18234" t="str">
        <f>HYPERLINK("https://rhld.insurance.arkansas.gov/NPILookup?Npi=1225261282","1225261282")</f>
        <v>1225261282</v>
      </c>
      <c r="E18234" t="s">
        <v>4539</v>
      </c>
    </row>
    <row r="18235" spans="1:5" x14ac:dyDescent="0.25">
      <c r="A18235" t="s">
        <v>4</v>
      </c>
      <c r="B18235" t="s">
        <v>4111</v>
      </c>
      <c r="C18235" t="s">
        <v>23490</v>
      </c>
      <c r="D18235" t="str">
        <f>HYPERLINK("https://rhld.insurance.arkansas.gov/NPILookup?Npi=1225261605","1225261605")</f>
        <v>1225261605</v>
      </c>
      <c r="E18235" t="s">
        <v>4540</v>
      </c>
    </row>
    <row r="18236" spans="1:5" x14ac:dyDescent="0.25">
      <c r="A18236" t="s">
        <v>4</v>
      </c>
      <c r="B18236" t="s">
        <v>4111</v>
      </c>
      <c r="C18236" t="s">
        <v>23490</v>
      </c>
      <c r="D18236" t="str">
        <f>HYPERLINK("https://rhld.insurance.arkansas.gov/NPILookup?Npi=1225284201","1225284201")</f>
        <v>1225284201</v>
      </c>
      <c r="E18236" t="s">
        <v>11575</v>
      </c>
    </row>
    <row r="18237" spans="1:5" x14ac:dyDescent="0.25">
      <c r="A18237" t="s">
        <v>4</v>
      </c>
      <c r="B18237" t="s">
        <v>4111</v>
      </c>
      <c r="C18237" t="s">
        <v>23490</v>
      </c>
      <c r="D18237" t="str">
        <f>HYPERLINK("https://rhld.insurance.arkansas.gov/NPILookup?Npi=1225286230","1225286230")</f>
        <v>1225286230</v>
      </c>
      <c r="E18237" t="s">
        <v>16027</v>
      </c>
    </row>
    <row r="18238" spans="1:5" x14ac:dyDescent="0.25">
      <c r="A18238" t="s">
        <v>4</v>
      </c>
      <c r="B18238" t="s">
        <v>4111</v>
      </c>
      <c r="C18238" t="s">
        <v>23490</v>
      </c>
      <c r="D18238" t="str">
        <f>HYPERLINK("https://rhld.insurance.arkansas.gov/NPILookup?Npi=1225286545","1225286545")</f>
        <v>1225286545</v>
      </c>
      <c r="E18238" t="s">
        <v>4541</v>
      </c>
    </row>
    <row r="18239" spans="1:5" x14ac:dyDescent="0.25">
      <c r="A18239" t="s">
        <v>4</v>
      </c>
      <c r="B18239" t="s">
        <v>4111</v>
      </c>
      <c r="C18239" t="s">
        <v>23490</v>
      </c>
      <c r="D18239" t="str">
        <f>HYPERLINK("https://rhld.insurance.arkansas.gov/NPILookup?Npi=1225314321","1225314321")</f>
        <v>1225314321</v>
      </c>
      <c r="E18239" t="s">
        <v>17556</v>
      </c>
    </row>
    <row r="18240" spans="1:5" x14ac:dyDescent="0.25">
      <c r="A18240" t="s">
        <v>4</v>
      </c>
      <c r="B18240" t="s">
        <v>4111</v>
      </c>
      <c r="C18240" t="s">
        <v>23490</v>
      </c>
      <c r="D18240" t="str">
        <f>HYPERLINK("https://rhld.insurance.arkansas.gov/NPILookup?Npi=1225317092","1225317092")</f>
        <v>1225317092</v>
      </c>
      <c r="E18240" t="s">
        <v>18300</v>
      </c>
    </row>
    <row r="18241" spans="1:5" x14ac:dyDescent="0.25">
      <c r="A18241" t="s">
        <v>4</v>
      </c>
      <c r="B18241" t="s">
        <v>4111</v>
      </c>
      <c r="C18241" t="s">
        <v>23490</v>
      </c>
      <c r="D18241" t="str">
        <f>HYPERLINK("https://rhld.insurance.arkansas.gov/NPILookup?Npi=1225320518","1225320518")</f>
        <v>1225320518</v>
      </c>
      <c r="E18241" t="s">
        <v>11576</v>
      </c>
    </row>
    <row r="18242" spans="1:5" x14ac:dyDescent="0.25">
      <c r="A18242" t="s">
        <v>4</v>
      </c>
      <c r="B18242" t="s">
        <v>4111</v>
      </c>
      <c r="C18242" t="s">
        <v>23490</v>
      </c>
      <c r="D18242" t="str">
        <f>HYPERLINK("https://rhld.insurance.arkansas.gov/NPILookup?Npi=1225363237","1225363237")</f>
        <v>1225363237</v>
      </c>
      <c r="E18242" t="s">
        <v>4542</v>
      </c>
    </row>
    <row r="18243" spans="1:5" x14ac:dyDescent="0.25">
      <c r="A18243" t="s">
        <v>4</v>
      </c>
      <c r="B18243" t="s">
        <v>4111</v>
      </c>
      <c r="C18243" t="s">
        <v>23490</v>
      </c>
      <c r="D18243" t="str">
        <f>HYPERLINK("https://rhld.insurance.arkansas.gov/NPILookup?Npi=1225367725","1225367725")</f>
        <v>1225367725</v>
      </c>
      <c r="E18243" t="s">
        <v>11577</v>
      </c>
    </row>
    <row r="18244" spans="1:5" x14ac:dyDescent="0.25">
      <c r="A18244" t="s">
        <v>4</v>
      </c>
      <c r="B18244" t="s">
        <v>4111</v>
      </c>
      <c r="C18244" t="s">
        <v>23490</v>
      </c>
      <c r="D18244" t="str">
        <f>HYPERLINK("https://rhld.insurance.arkansas.gov/NPILookup?Npi=1225375553","1225375553")</f>
        <v>1225375553</v>
      </c>
      <c r="E18244" t="s">
        <v>4543</v>
      </c>
    </row>
    <row r="18245" spans="1:5" x14ac:dyDescent="0.25">
      <c r="A18245" t="s">
        <v>4</v>
      </c>
      <c r="B18245" t="s">
        <v>4111</v>
      </c>
      <c r="C18245" t="s">
        <v>23490</v>
      </c>
      <c r="D18245" t="str">
        <f>HYPERLINK("https://rhld.insurance.arkansas.gov/NPILookup?Npi=1225384233","1225384233")</f>
        <v>1225384233</v>
      </c>
      <c r="E18245" t="s">
        <v>4544</v>
      </c>
    </row>
    <row r="18246" spans="1:5" x14ac:dyDescent="0.25">
      <c r="A18246" t="s">
        <v>4</v>
      </c>
      <c r="B18246" t="s">
        <v>4111</v>
      </c>
      <c r="C18246" t="s">
        <v>23490</v>
      </c>
      <c r="D18246" t="str">
        <f>HYPERLINK("https://rhld.insurance.arkansas.gov/NPILookup?Npi=1225392996","1225392996")</f>
        <v>1225392996</v>
      </c>
      <c r="E18246" t="s">
        <v>21913</v>
      </c>
    </row>
    <row r="18247" spans="1:5" x14ac:dyDescent="0.25">
      <c r="A18247" t="s">
        <v>4</v>
      </c>
      <c r="B18247" t="s">
        <v>4111</v>
      </c>
      <c r="C18247" t="s">
        <v>23490</v>
      </c>
      <c r="D18247" t="str">
        <f>HYPERLINK("https://rhld.insurance.arkansas.gov/NPILookup?Npi=1225411143","1225411143")</f>
        <v>1225411143</v>
      </c>
      <c r="E18247" t="s">
        <v>11578</v>
      </c>
    </row>
    <row r="18248" spans="1:5" x14ac:dyDescent="0.25">
      <c r="A18248" t="s">
        <v>4</v>
      </c>
      <c r="B18248" t="s">
        <v>4111</v>
      </c>
      <c r="C18248" t="s">
        <v>23490</v>
      </c>
      <c r="D18248" t="str">
        <f>HYPERLINK("https://rhld.insurance.arkansas.gov/NPILookup?Npi=1225435803","1225435803")</f>
        <v>1225435803</v>
      </c>
      <c r="E18248" t="s">
        <v>11579</v>
      </c>
    </row>
    <row r="18249" spans="1:5" x14ac:dyDescent="0.25">
      <c r="A18249" t="s">
        <v>4</v>
      </c>
      <c r="B18249" t="s">
        <v>4111</v>
      </c>
      <c r="C18249" t="s">
        <v>23490</v>
      </c>
      <c r="D18249" t="str">
        <f>HYPERLINK("https://rhld.insurance.arkansas.gov/NPILookup?Npi=1225447899","1225447899")</f>
        <v>1225447899</v>
      </c>
      <c r="E18249" t="s">
        <v>18301</v>
      </c>
    </row>
    <row r="18250" spans="1:5" x14ac:dyDescent="0.25">
      <c r="A18250" t="s">
        <v>4</v>
      </c>
      <c r="B18250" t="s">
        <v>4111</v>
      </c>
      <c r="C18250" t="s">
        <v>23490</v>
      </c>
      <c r="D18250" t="str">
        <f>HYPERLINK("https://rhld.insurance.arkansas.gov/NPILookup?Npi=1225454820","1225454820")</f>
        <v>1225454820</v>
      </c>
      <c r="E18250" t="s">
        <v>11580</v>
      </c>
    </row>
    <row r="18251" spans="1:5" x14ac:dyDescent="0.25">
      <c r="A18251" t="s">
        <v>4</v>
      </c>
      <c r="B18251" t="s">
        <v>4111</v>
      </c>
      <c r="C18251" t="s">
        <v>23490</v>
      </c>
      <c r="D18251" t="str">
        <f>HYPERLINK("https://rhld.insurance.arkansas.gov/NPILookup?Npi=1225457237","1225457237")</f>
        <v>1225457237</v>
      </c>
      <c r="E18251" t="s">
        <v>20390</v>
      </c>
    </row>
    <row r="18252" spans="1:5" x14ac:dyDescent="0.25">
      <c r="A18252" t="s">
        <v>4</v>
      </c>
      <c r="B18252" t="s">
        <v>4111</v>
      </c>
      <c r="C18252" t="s">
        <v>23490</v>
      </c>
      <c r="D18252" t="str">
        <f>HYPERLINK("https://rhld.insurance.arkansas.gov/NPILookup?Npi=1225460561","1225460561")</f>
        <v>1225460561</v>
      </c>
      <c r="E18252" t="s">
        <v>4545</v>
      </c>
    </row>
    <row r="18253" spans="1:5" x14ac:dyDescent="0.25">
      <c r="A18253" t="s">
        <v>4</v>
      </c>
      <c r="B18253" t="s">
        <v>4111</v>
      </c>
      <c r="C18253" t="s">
        <v>23490</v>
      </c>
      <c r="D18253" t="str">
        <f>HYPERLINK("https://rhld.insurance.arkansas.gov/NPILookup?Npi=1225469364","1225469364")</f>
        <v>1225469364</v>
      </c>
      <c r="E18253" t="s">
        <v>18302</v>
      </c>
    </row>
    <row r="18254" spans="1:5" x14ac:dyDescent="0.25">
      <c r="A18254" t="s">
        <v>4</v>
      </c>
      <c r="B18254" t="s">
        <v>4111</v>
      </c>
      <c r="C18254" t="s">
        <v>23490</v>
      </c>
      <c r="D18254" t="str">
        <f>HYPERLINK("https://rhld.insurance.arkansas.gov/NPILookup?Npi=1225475551","1225475551")</f>
        <v>1225475551</v>
      </c>
      <c r="E18254" t="s">
        <v>9045</v>
      </c>
    </row>
    <row r="18255" spans="1:5" x14ac:dyDescent="0.25">
      <c r="A18255" t="s">
        <v>4</v>
      </c>
      <c r="B18255" t="s">
        <v>4111</v>
      </c>
      <c r="C18255" t="s">
        <v>23490</v>
      </c>
      <c r="D18255" t="str">
        <f>HYPERLINK("https://rhld.insurance.arkansas.gov/NPILookup?Npi=1225492275","1225492275")</f>
        <v>1225492275</v>
      </c>
      <c r="E18255" t="s">
        <v>21914</v>
      </c>
    </row>
    <row r="18256" spans="1:5" x14ac:dyDescent="0.25">
      <c r="A18256" t="s">
        <v>4</v>
      </c>
      <c r="B18256" t="s">
        <v>4111</v>
      </c>
      <c r="C18256" t="s">
        <v>23490</v>
      </c>
      <c r="D18256" t="str">
        <f>HYPERLINK("https://rhld.insurance.arkansas.gov/NPILookup?Npi=1225494925","1225494925")</f>
        <v>1225494925</v>
      </c>
      <c r="E18256" t="s">
        <v>13096</v>
      </c>
    </row>
    <row r="18257" spans="1:5" x14ac:dyDescent="0.25">
      <c r="A18257" t="s">
        <v>4</v>
      </c>
      <c r="B18257" t="s">
        <v>4111</v>
      </c>
      <c r="C18257" t="s">
        <v>23490</v>
      </c>
      <c r="D18257" t="str">
        <f>HYPERLINK("https://rhld.insurance.arkansas.gov/NPILookup?Npi=1225501802","1225501802")</f>
        <v>1225501802</v>
      </c>
      <c r="E18257" t="s">
        <v>21915</v>
      </c>
    </row>
    <row r="18258" spans="1:5" x14ac:dyDescent="0.25">
      <c r="A18258" t="s">
        <v>4</v>
      </c>
      <c r="B18258" t="s">
        <v>4111</v>
      </c>
      <c r="C18258" t="s">
        <v>23490</v>
      </c>
      <c r="D18258" t="str">
        <f>HYPERLINK("https://rhld.insurance.arkansas.gov/NPILookup?Npi=1225502651","1225502651")</f>
        <v>1225502651</v>
      </c>
      <c r="E18258" t="s">
        <v>13992</v>
      </c>
    </row>
    <row r="18259" spans="1:5" x14ac:dyDescent="0.25">
      <c r="A18259" t="s">
        <v>4</v>
      </c>
      <c r="B18259" t="s">
        <v>4111</v>
      </c>
      <c r="C18259" t="s">
        <v>23490</v>
      </c>
      <c r="D18259" t="str">
        <f>HYPERLINK("https://rhld.insurance.arkansas.gov/NPILookup?Npi=1225551054","1225551054")</f>
        <v>1225551054</v>
      </c>
      <c r="E18259" t="s">
        <v>13993</v>
      </c>
    </row>
    <row r="18260" spans="1:5" x14ac:dyDescent="0.25">
      <c r="A18260" t="s">
        <v>4</v>
      </c>
      <c r="B18260" t="s">
        <v>4111</v>
      </c>
      <c r="C18260" t="s">
        <v>23490</v>
      </c>
      <c r="D18260" t="str">
        <f>HYPERLINK("https://rhld.insurance.arkansas.gov/NPILookup?Npi=1225568041","1225568041")</f>
        <v>1225568041</v>
      </c>
      <c r="E18260" t="s">
        <v>16028</v>
      </c>
    </row>
    <row r="18261" spans="1:5" x14ac:dyDescent="0.25">
      <c r="A18261" t="s">
        <v>4</v>
      </c>
      <c r="B18261" t="s">
        <v>4111</v>
      </c>
      <c r="C18261" t="s">
        <v>23490</v>
      </c>
      <c r="D18261" t="str">
        <f>HYPERLINK("https://rhld.insurance.arkansas.gov/NPILookup?Npi=1225620149","1225620149")</f>
        <v>1225620149</v>
      </c>
      <c r="E18261" t="s">
        <v>18711</v>
      </c>
    </row>
    <row r="18262" spans="1:5" x14ac:dyDescent="0.25">
      <c r="A18262" t="s">
        <v>4</v>
      </c>
      <c r="B18262" t="s">
        <v>4111</v>
      </c>
      <c r="C18262" t="s">
        <v>23490</v>
      </c>
      <c r="D18262" t="str">
        <f>HYPERLINK("https://rhld.insurance.arkansas.gov/NPILookup?Npi=1225685142","1225685142")</f>
        <v>1225685142</v>
      </c>
      <c r="E18262" t="s">
        <v>18712</v>
      </c>
    </row>
    <row r="18263" spans="1:5" x14ac:dyDescent="0.25">
      <c r="A18263" t="s">
        <v>4</v>
      </c>
      <c r="B18263" t="s">
        <v>4111</v>
      </c>
      <c r="C18263" t="s">
        <v>23490</v>
      </c>
      <c r="D18263" t="str">
        <f>HYPERLINK("https://rhld.insurance.arkansas.gov/NPILookup?Npi=1225736325","1225736325")</f>
        <v>1225736325</v>
      </c>
      <c r="E18263" t="s">
        <v>17967</v>
      </c>
    </row>
    <row r="18264" spans="1:5" x14ac:dyDescent="0.25">
      <c r="A18264" t="s">
        <v>4</v>
      </c>
      <c r="B18264" t="s">
        <v>4111</v>
      </c>
      <c r="C18264" t="s">
        <v>23490</v>
      </c>
      <c r="D18264" t="str">
        <f>HYPERLINK("https://rhld.insurance.arkansas.gov/NPILookup?Npi=1225752660","1225752660")</f>
        <v>1225752660</v>
      </c>
      <c r="E18264" t="s">
        <v>21916</v>
      </c>
    </row>
    <row r="18265" spans="1:5" x14ac:dyDescent="0.25">
      <c r="A18265" t="s">
        <v>4</v>
      </c>
      <c r="B18265" t="s">
        <v>4111</v>
      </c>
      <c r="C18265" t="s">
        <v>23490</v>
      </c>
      <c r="D18265" t="str">
        <f>HYPERLINK("https://rhld.insurance.arkansas.gov/NPILookup?Npi=1225764483","1225764483")</f>
        <v>1225764483</v>
      </c>
      <c r="E18265" t="s">
        <v>21917</v>
      </c>
    </row>
    <row r="18266" spans="1:5" x14ac:dyDescent="0.25">
      <c r="A18266" t="s">
        <v>4</v>
      </c>
      <c r="B18266" t="s">
        <v>4111</v>
      </c>
      <c r="C18266" t="s">
        <v>23490</v>
      </c>
      <c r="D18266" t="str">
        <f>HYPERLINK("https://rhld.insurance.arkansas.gov/NPILookup?Npi=1225772858","1225772858")</f>
        <v>1225772858</v>
      </c>
      <c r="E18266" t="s">
        <v>21918</v>
      </c>
    </row>
    <row r="18267" spans="1:5" x14ac:dyDescent="0.25">
      <c r="A18267" t="s">
        <v>4</v>
      </c>
      <c r="B18267" t="s">
        <v>4111</v>
      </c>
      <c r="C18267" t="s">
        <v>23490</v>
      </c>
      <c r="D18267" t="str">
        <f>HYPERLINK("https://rhld.insurance.arkansas.gov/NPILookup?Npi=1225792294","1225792294")</f>
        <v>1225792294</v>
      </c>
      <c r="E18267" t="s">
        <v>20391</v>
      </c>
    </row>
    <row r="18268" spans="1:5" x14ac:dyDescent="0.25">
      <c r="A18268" t="s">
        <v>4</v>
      </c>
      <c r="B18268" t="s">
        <v>4111</v>
      </c>
      <c r="C18268" t="s">
        <v>23490</v>
      </c>
      <c r="D18268" t="str">
        <f>HYPERLINK("https://rhld.insurance.arkansas.gov/NPILookup?Npi=1235119082","1235119082")</f>
        <v>1235119082</v>
      </c>
      <c r="E18268" t="s">
        <v>4546</v>
      </c>
    </row>
    <row r="18269" spans="1:5" x14ac:dyDescent="0.25">
      <c r="A18269" t="s">
        <v>4</v>
      </c>
      <c r="B18269" t="s">
        <v>4111</v>
      </c>
      <c r="C18269" t="s">
        <v>23490</v>
      </c>
      <c r="D18269" t="str">
        <f>HYPERLINK("https://rhld.insurance.arkansas.gov/NPILookup?Npi=1235151382","1235151382")</f>
        <v>1235151382</v>
      </c>
      <c r="E18269" t="s">
        <v>4547</v>
      </c>
    </row>
    <row r="18270" spans="1:5" x14ac:dyDescent="0.25">
      <c r="A18270" t="s">
        <v>4</v>
      </c>
      <c r="B18270" t="s">
        <v>4111</v>
      </c>
      <c r="C18270" t="s">
        <v>23490</v>
      </c>
      <c r="D18270" t="str">
        <f>HYPERLINK("https://rhld.insurance.arkansas.gov/NPILookup?Npi=1235167578","1235167578")</f>
        <v>1235167578</v>
      </c>
      <c r="E18270" t="s">
        <v>4548</v>
      </c>
    </row>
    <row r="18271" spans="1:5" x14ac:dyDescent="0.25">
      <c r="A18271" t="s">
        <v>4</v>
      </c>
      <c r="B18271" t="s">
        <v>4111</v>
      </c>
      <c r="C18271" t="s">
        <v>23490</v>
      </c>
      <c r="D18271" t="str">
        <f>HYPERLINK("https://rhld.insurance.arkansas.gov/NPILookup?Npi=1235170382","1235170382")</f>
        <v>1235170382</v>
      </c>
      <c r="E18271" t="s">
        <v>4549</v>
      </c>
    </row>
    <row r="18272" spans="1:5" x14ac:dyDescent="0.25">
      <c r="A18272" t="s">
        <v>4</v>
      </c>
      <c r="B18272" t="s">
        <v>4111</v>
      </c>
      <c r="C18272" t="s">
        <v>23490</v>
      </c>
      <c r="D18272" t="str">
        <f>HYPERLINK("https://rhld.insurance.arkansas.gov/NPILookup?Npi=1235176041","1235176041")</f>
        <v>1235176041</v>
      </c>
      <c r="E18272" t="s">
        <v>832</v>
      </c>
    </row>
    <row r="18273" spans="1:5" x14ac:dyDescent="0.25">
      <c r="A18273" t="s">
        <v>4</v>
      </c>
      <c r="B18273" t="s">
        <v>4111</v>
      </c>
      <c r="C18273" t="s">
        <v>23490</v>
      </c>
      <c r="D18273" t="str">
        <f>HYPERLINK("https://rhld.insurance.arkansas.gov/NPILookup?Npi=1235243031","1235243031")</f>
        <v>1235243031</v>
      </c>
      <c r="E18273" t="s">
        <v>17133</v>
      </c>
    </row>
    <row r="18274" spans="1:5" x14ac:dyDescent="0.25">
      <c r="A18274" t="s">
        <v>4</v>
      </c>
      <c r="B18274" t="s">
        <v>4111</v>
      </c>
      <c r="C18274" t="s">
        <v>23490</v>
      </c>
      <c r="D18274" t="str">
        <f>HYPERLINK("https://rhld.insurance.arkansas.gov/NPILookup?Npi=1235247958","1235247958")</f>
        <v>1235247958</v>
      </c>
      <c r="E18274" t="s">
        <v>4550</v>
      </c>
    </row>
    <row r="18275" spans="1:5" x14ac:dyDescent="0.25">
      <c r="A18275" t="s">
        <v>4</v>
      </c>
      <c r="B18275" t="s">
        <v>4111</v>
      </c>
      <c r="C18275" t="s">
        <v>23490</v>
      </c>
      <c r="D18275" t="str">
        <f>HYPERLINK("https://rhld.insurance.arkansas.gov/NPILookup?Npi=1235250358","1235250358")</f>
        <v>1235250358</v>
      </c>
      <c r="E18275" t="s">
        <v>4551</v>
      </c>
    </row>
    <row r="18276" spans="1:5" x14ac:dyDescent="0.25">
      <c r="A18276" t="s">
        <v>4</v>
      </c>
      <c r="B18276" t="s">
        <v>4111</v>
      </c>
      <c r="C18276" t="s">
        <v>23490</v>
      </c>
      <c r="D18276" t="str">
        <f>HYPERLINK("https://rhld.insurance.arkansas.gov/NPILookup?Npi=1235255381","1235255381")</f>
        <v>1235255381</v>
      </c>
      <c r="E18276" t="s">
        <v>4552</v>
      </c>
    </row>
    <row r="18277" spans="1:5" x14ac:dyDescent="0.25">
      <c r="A18277" t="s">
        <v>4</v>
      </c>
      <c r="B18277" t="s">
        <v>4111</v>
      </c>
      <c r="C18277" t="s">
        <v>23490</v>
      </c>
      <c r="D18277" t="str">
        <f>HYPERLINK("https://rhld.insurance.arkansas.gov/NPILookup?Npi=1235257718","1235257718")</f>
        <v>1235257718</v>
      </c>
      <c r="E18277" t="s">
        <v>4553</v>
      </c>
    </row>
    <row r="18278" spans="1:5" x14ac:dyDescent="0.25">
      <c r="A18278" t="s">
        <v>4</v>
      </c>
      <c r="B18278" t="s">
        <v>4111</v>
      </c>
      <c r="C18278" t="s">
        <v>23490</v>
      </c>
      <c r="D18278" t="str">
        <f>HYPERLINK("https://rhld.insurance.arkansas.gov/NPILookup?Npi=1235269382","1235269382")</f>
        <v>1235269382</v>
      </c>
      <c r="E18278" t="s">
        <v>4554</v>
      </c>
    </row>
    <row r="18279" spans="1:5" x14ac:dyDescent="0.25">
      <c r="A18279" t="s">
        <v>4</v>
      </c>
      <c r="B18279" t="s">
        <v>4111</v>
      </c>
      <c r="C18279" t="s">
        <v>23490</v>
      </c>
      <c r="D18279" t="str">
        <f>HYPERLINK("https://rhld.insurance.arkansas.gov/NPILookup?Npi=1235302399","1235302399")</f>
        <v>1235302399</v>
      </c>
      <c r="E18279" t="s">
        <v>4555</v>
      </c>
    </row>
    <row r="18280" spans="1:5" x14ac:dyDescent="0.25">
      <c r="A18280" t="s">
        <v>4</v>
      </c>
      <c r="B18280" t="s">
        <v>4111</v>
      </c>
      <c r="C18280" t="s">
        <v>23490</v>
      </c>
      <c r="D18280" t="str">
        <f>HYPERLINK("https://rhld.insurance.arkansas.gov/NPILookup?Npi=1235310178","1235310178")</f>
        <v>1235310178</v>
      </c>
      <c r="E18280" t="s">
        <v>4556</v>
      </c>
    </row>
    <row r="18281" spans="1:5" x14ac:dyDescent="0.25">
      <c r="A18281" t="s">
        <v>4</v>
      </c>
      <c r="B18281" t="s">
        <v>4111</v>
      </c>
      <c r="C18281" t="s">
        <v>23490</v>
      </c>
      <c r="D18281" t="str">
        <f>HYPERLINK("https://rhld.insurance.arkansas.gov/NPILookup?Npi=1235335860","1235335860")</f>
        <v>1235335860</v>
      </c>
      <c r="E18281" t="s">
        <v>9046</v>
      </c>
    </row>
    <row r="18282" spans="1:5" x14ac:dyDescent="0.25">
      <c r="A18282" t="s">
        <v>4</v>
      </c>
      <c r="B18282" t="s">
        <v>4111</v>
      </c>
      <c r="C18282" t="s">
        <v>23490</v>
      </c>
      <c r="D18282" t="str">
        <f>HYPERLINK("https://rhld.insurance.arkansas.gov/NPILookup?Npi=1235336066","1235336066")</f>
        <v>1235336066</v>
      </c>
      <c r="E18282" t="s">
        <v>17557</v>
      </c>
    </row>
    <row r="18283" spans="1:5" x14ac:dyDescent="0.25">
      <c r="A18283" t="s">
        <v>4</v>
      </c>
      <c r="B18283" t="s">
        <v>4111</v>
      </c>
      <c r="C18283" t="s">
        <v>23490</v>
      </c>
      <c r="D18283" t="str">
        <f>HYPERLINK("https://rhld.insurance.arkansas.gov/NPILookup?Npi=1235339425","1235339425")</f>
        <v>1235339425</v>
      </c>
      <c r="E18283" t="s">
        <v>20392</v>
      </c>
    </row>
    <row r="18284" spans="1:5" x14ac:dyDescent="0.25">
      <c r="A18284" t="s">
        <v>4</v>
      </c>
      <c r="B18284" t="s">
        <v>4111</v>
      </c>
      <c r="C18284" t="s">
        <v>23490</v>
      </c>
      <c r="D18284" t="str">
        <f>HYPERLINK("https://rhld.insurance.arkansas.gov/NPILookup?Npi=1235361569","1235361569")</f>
        <v>1235361569</v>
      </c>
      <c r="E18284" t="s">
        <v>9574</v>
      </c>
    </row>
    <row r="18285" spans="1:5" x14ac:dyDescent="0.25">
      <c r="A18285" t="s">
        <v>4</v>
      </c>
      <c r="B18285" t="s">
        <v>4111</v>
      </c>
      <c r="C18285" t="s">
        <v>23490</v>
      </c>
      <c r="D18285" t="str">
        <f>HYPERLINK("https://rhld.insurance.arkansas.gov/NPILookup?Npi=1235380221","1235380221")</f>
        <v>1235380221</v>
      </c>
      <c r="E18285" t="s">
        <v>4557</v>
      </c>
    </row>
    <row r="18286" spans="1:5" x14ac:dyDescent="0.25">
      <c r="A18286" t="s">
        <v>4</v>
      </c>
      <c r="B18286" t="s">
        <v>4111</v>
      </c>
      <c r="C18286" t="s">
        <v>23490</v>
      </c>
      <c r="D18286" t="str">
        <f>HYPERLINK("https://rhld.insurance.arkansas.gov/NPILookup?Npi=1235425935","1235425935")</f>
        <v>1235425935</v>
      </c>
      <c r="E18286" t="s">
        <v>4558</v>
      </c>
    </row>
    <row r="18287" spans="1:5" x14ac:dyDescent="0.25">
      <c r="A18287" t="s">
        <v>4</v>
      </c>
      <c r="B18287" t="s">
        <v>4111</v>
      </c>
      <c r="C18287" t="s">
        <v>23490</v>
      </c>
      <c r="D18287" t="str">
        <f>HYPERLINK("https://rhld.insurance.arkansas.gov/NPILookup?Npi=1235441684","1235441684")</f>
        <v>1235441684</v>
      </c>
      <c r="E18287" t="s">
        <v>11581</v>
      </c>
    </row>
    <row r="18288" spans="1:5" x14ac:dyDescent="0.25">
      <c r="A18288" t="s">
        <v>4</v>
      </c>
      <c r="B18288" t="s">
        <v>4111</v>
      </c>
      <c r="C18288" t="s">
        <v>23490</v>
      </c>
      <c r="D18288" t="str">
        <f>HYPERLINK("https://rhld.insurance.arkansas.gov/NPILookup?Npi=1235446733","1235446733")</f>
        <v>1235446733</v>
      </c>
      <c r="E18288" t="s">
        <v>4559</v>
      </c>
    </row>
    <row r="18289" spans="1:5" x14ac:dyDescent="0.25">
      <c r="A18289" t="s">
        <v>4</v>
      </c>
      <c r="B18289" t="s">
        <v>4111</v>
      </c>
      <c r="C18289" t="s">
        <v>23490</v>
      </c>
      <c r="D18289" t="str">
        <f>HYPERLINK("https://rhld.insurance.arkansas.gov/NPILookup?Npi=1235462987","1235462987")</f>
        <v>1235462987</v>
      </c>
      <c r="E18289" t="s">
        <v>11582</v>
      </c>
    </row>
    <row r="18290" spans="1:5" x14ac:dyDescent="0.25">
      <c r="A18290" t="s">
        <v>4</v>
      </c>
      <c r="B18290" t="s">
        <v>4111</v>
      </c>
      <c r="C18290" t="s">
        <v>23490</v>
      </c>
      <c r="D18290" t="str">
        <f>HYPERLINK("https://rhld.insurance.arkansas.gov/NPILookup?Npi=1235494329","1235494329")</f>
        <v>1235494329</v>
      </c>
      <c r="E18290" t="s">
        <v>10762</v>
      </c>
    </row>
    <row r="18291" spans="1:5" x14ac:dyDescent="0.25">
      <c r="A18291" t="s">
        <v>4</v>
      </c>
      <c r="B18291" t="s">
        <v>4111</v>
      </c>
      <c r="C18291" t="s">
        <v>23490</v>
      </c>
      <c r="D18291" t="str">
        <f>HYPERLINK("https://rhld.insurance.arkansas.gov/NPILookup?Npi=1235503350","1235503350")</f>
        <v>1235503350</v>
      </c>
      <c r="E18291" t="s">
        <v>16029</v>
      </c>
    </row>
    <row r="18292" spans="1:5" x14ac:dyDescent="0.25">
      <c r="A18292" t="s">
        <v>4</v>
      </c>
      <c r="B18292" t="s">
        <v>4111</v>
      </c>
      <c r="C18292" t="s">
        <v>23490</v>
      </c>
      <c r="D18292" t="str">
        <f>HYPERLINK("https://rhld.insurance.arkansas.gov/NPILookup?Npi=1235506213","1235506213")</f>
        <v>1235506213</v>
      </c>
      <c r="E18292" t="s">
        <v>11583</v>
      </c>
    </row>
    <row r="18293" spans="1:5" x14ac:dyDescent="0.25">
      <c r="A18293" t="s">
        <v>4</v>
      </c>
      <c r="B18293" t="s">
        <v>4111</v>
      </c>
      <c r="C18293" t="s">
        <v>23490</v>
      </c>
      <c r="D18293" t="str">
        <f>HYPERLINK("https://rhld.insurance.arkansas.gov/NPILookup?Npi=1235517467","1235517467")</f>
        <v>1235517467</v>
      </c>
      <c r="E18293" t="s">
        <v>17134</v>
      </c>
    </row>
    <row r="18294" spans="1:5" x14ac:dyDescent="0.25">
      <c r="A18294" t="s">
        <v>4</v>
      </c>
      <c r="B18294" t="s">
        <v>4111</v>
      </c>
      <c r="C18294" t="s">
        <v>23490</v>
      </c>
      <c r="D18294" t="str">
        <f>HYPERLINK("https://rhld.insurance.arkansas.gov/NPILookup?Npi=1235548124","1235548124")</f>
        <v>1235548124</v>
      </c>
      <c r="E18294" t="s">
        <v>11584</v>
      </c>
    </row>
    <row r="18295" spans="1:5" x14ac:dyDescent="0.25">
      <c r="A18295" t="s">
        <v>4</v>
      </c>
      <c r="B18295" t="s">
        <v>4111</v>
      </c>
      <c r="C18295" t="s">
        <v>23490</v>
      </c>
      <c r="D18295" t="str">
        <f>HYPERLINK("https://rhld.insurance.arkansas.gov/NPILookup?Npi=1235549528","1235549528")</f>
        <v>1235549528</v>
      </c>
      <c r="E18295" t="s">
        <v>21919</v>
      </c>
    </row>
    <row r="18296" spans="1:5" x14ac:dyDescent="0.25">
      <c r="A18296" t="s">
        <v>4</v>
      </c>
      <c r="B18296" t="s">
        <v>4111</v>
      </c>
      <c r="C18296" t="s">
        <v>23490</v>
      </c>
      <c r="D18296" t="str">
        <f>HYPERLINK("https://rhld.insurance.arkansas.gov/NPILookup?Npi=1235565060","1235565060")</f>
        <v>1235565060</v>
      </c>
      <c r="E18296" t="s">
        <v>13097</v>
      </c>
    </row>
    <row r="18297" spans="1:5" x14ac:dyDescent="0.25">
      <c r="A18297" t="s">
        <v>4</v>
      </c>
      <c r="B18297" t="s">
        <v>4111</v>
      </c>
      <c r="C18297" t="s">
        <v>23490</v>
      </c>
      <c r="D18297" t="str">
        <f>HYPERLINK("https://rhld.insurance.arkansas.gov/NPILookup?Npi=1235567132","1235567132")</f>
        <v>1235567132</v>
      </c>
      <c r="E18297" t="s">
        <v>21920</v>
      </c>
    </row>
    <row r="18298" spans="1:5" x14ac:dyDescent="0.25">
      <c r="A18298" t="s">
        <v>4</v>
      </c>
      <c r="B18298" t="s">
        <v>4111</v>
      </c>
      <c r="C18298" t="s">
        <v>23490</v>
      </c>
      <c r="D18298" t="str">
        <f>HYPERLINK("https://rhld.insurance.arkansas.gov/NPILookup?Npi=1235574443","1235574443")</f>
        <v>1235574443</v>
      </c>
      <c r="E18298" t="s">
        <v>11585</v>
      </c>
    </row>
    <row r="18299" spans="1:5" x14ac:dyDescent="0.25">
      <c r="A18299" t="s">
        <v>4</v>
      </c>
      <c r="B18299" t="s">
        <v>4111</v>
      </c>
      <c r="C18299" t="s">
        <v>23490</v>
      </c>
      <c r="D18299" t="str">
        <f>HYPERLINK("https://rhld.insurance.arkansas.gov/NPILookup?Npi=1235581869","1235581869")</f>
        <v>1235581869</v>
      </c>
      <c r="E18299" t="s">
        <v>13994</v>
      </c>
    </row>
    <row r="18300" spans="1:5" x14ac:dyDescent="0.25">
      <c r="A18300" t="s">
        <v>4</v>
      </c>
      <c r="B18300" t="s">
        <v>4111</v>
      </c>
      <c r="C18300" t="s">
        <v>23490</v>
      </c>
      <c r="D18300" t="str">
        <f>HYPERLINK("https://rhld.insurance.arkansas.gov/NPILookup?Npi=1235593377","1235593377")</f>
        <v>1235593377</v>
      </c>
      <c r="E18300" t="s">
        <v>20393</v>
      </c>
    </row>
    <row r="18301" spans="1:5" x14ac:dyDescent="0.25">
      <c r="A18301" t="s">
        <v>4</v>
      </c>
      <c r="B18301" t="s">
        <v>4111</v>
      </c>
      <c r="C18301" t="s">
        <v>23490</v>
      </c>
      <c r="D18301" t="str">
        <f>HYPERLINK("https://rhld.insurance.arkansas.gov/NPILookup?Npi=1235600099","1235600099")</f>
        <v>1235600099</v>
      </c>
      <c r="E18301" t="s">
        <v>13995</v>
      </c>
    </row>
    <row r="18302" spans="1:5" x14ac:dyDescent="0.25">
      <c r="A18302" t="s">
        <v>4</v>
      </c>
      <c r="B18302" t="s">
        <v>4111</v>
      </c>
      <c r="C18302" t="s">
        <v>23490</v>
      </c>
      <c r="D18302" t="str">
        <f>HYPERLINK("https://rhld.insurance.arkansas.gov/NPILookup?Npi=1235645508","1235645508")</f>
        <v>1235645508</v>
      </c>
      <c r="E18302" t="s">
        <v>12801</v>
      </c>
    </row>
    <row r="18303" spans="1:5" x14ac:dyDescent="0.25">
      <c r="A18303" t="s">
        <v>4</v>
      </c>
      <c r="B18303" t="s">
        <v>4111</v>
      </c>
      <c r="C18303" t="s">
        <v>23490</v>
      </c>
      <c r="D18303" t="str">
        <f>HYPERLINK("https://rhld.insurance.arkansas.gov/NPILookup?Npi=1235702325","1235702325")</f>
        <v>1235702325</v>
      </c>
      <c r="E18303" t="s">
        <v>21921</v>
      </c>
    </row>
    <row r="18304" spans="1:5" x14ac:dyDescent="0.25">
      <c r="A18304" t="s">
        <v>4</v>
      </c>
      <c r="B18304" t="s">
        <v>4111</v>
      </c>
      <c r="C18304" t="s">
        <v>23490</v>
      </c>
      <c r="D18304" t="str">
        <f>HYPERLINK("https://rhld.insurance.arkansas.gov/NPILookup?Npi=1235705054","1235705054")</f>
        <v>1235705054</v>
      </c>
      <c r="E18304" t="s">
        <v>21922</v>
      </c>
    </row>
    <row r="18305" spans="1:5" x14ac:dyDescent="0.25">
      <c r="A18305" t="s">
        <v>4</v>
      </c>
      <c r="B18305" t="s">
        <v>4111</v>
      </c>
      <c r="C18305" t="s">
        <v>23490</v>
      </c>
      <c r="D18305" t="str">
        <f>HYPERLINK("https://rhld.insurance.arkansas.gov/NPILookup?Npi=1235726779","1235726779")</f>
        <v>1235726779</v>
      </c>
      <c r="E18305" t="s">
        <v>21923</v>
      </c>
    </row>
    <row r="18306" spans="1:5" x14ac:dyDescent="0.25">
      <c r="A18306" t="s">
        <v>4</v>
      </c>
      <c r="B18306" t="s">
        <v>4111</v>
      </c>
      <c r="C18306" t="s">
        <v>23490</v>
      </c>
      <c r="D18306" t="str">
        <f>HYPERLINK("https://rhld.insurance.arkansas.gov/NPILookup?Npi=1235739194","1235739194")</f>
        <v>1235739194</v>
      </c>
      <c r="E18306" t="s">
        <v>20394</v>
      </c>
    </row>
    <row r="18307" spans="1:5" x14ac:dyDescent="0.25">
      <c r="A18307" t="s">
        <v>4</v>
      </c>
      <c r="B18307" t="s">
        <v>4111</v>
      </c>
      <c r="C18307" t="s">
        <v>8427</v>
      </c>
      <c r="D18307" t="str">
        <f>HYPERLINK("https://rhld.insurance.arkansas.gov/NPILookup?Npi=1235750399","1235750399")</f>
        <v>1235750399</v>
      </c>
      <c r="E18307" t="s">
        <v>23070</v>
      </c>
    </row>
    <row r="18308" spans="1:5" x14ac:dyDescent="0.25">
      <c r="A18308" t="s">
        <v>4</v>
      </c>
      <c r="B18308" t="s">
        <v>4111</v>
      </c>
      <c r="C18308" t="s">
        <v>23490</v>
      </c>
      <c r="D18308" t="str">
        <f>HYPERLINK("https://rhld.insurance.arkansas.gov/NPILookup?Npi=1235755638","1235755638")</f>
        <v>1235755638</v>
      </c>
      <c r="E18308" t="s">
        <v>18303</v>
      </c>
    </row>
    <row r="18309" spans="1:5" x14ac:dyDescent="0.25">
      <c r="A18309" t="s">
        <v>4</v>
      </c>
      <c r="B18309" t="s">
        <v>4111</v>
      </c>
      <c r="C18309" t="s">
        <v>23490</v>
      </c>
      <c r="D18309" t="str">
        <f>HYPERLINK("https://rhld.insurance.arkansas.gov/NPILookup?Npi=1235757816","1235757816")</f>
        <v>1235757816</v>
      </c>
      <c r="E18309" t="s">
        <v>18304</v>
      </c>
    </row>
    <row r="18310" spans="1:5" x14ac:dyDescent="0.25">
      <c r="A18310" t="s">
        <v>4</v>
      </c>
      <c r="B18310" t="s">
        <v>4111</v>
      </c>
      <c r="C18310" t="s">
        <v>23490</v>
      </c>
      <c r="D18310" t="str">
        <f>HYPERLINK("https://rhld.insurance.arkansas.gov/NPILookup?Npi=1235786955","1235786955")</f>
        <v>1235786955</v>
      </c>
      <c r="E18310" t="s">
        <v>20395</v>
      </c>
    </row>
    <row r="18311" spans="1:5" x14ac:dyDescent="0.25">
      <c r="A18311" t="s">
        <v>4</v>
      </c>
      <c r="B18311" t="s">
        <v>4111</v>
      </c>
      <c r="C18311" t="s">
        <v>23490</v>
      </c>
      <c r="D18311" t="str">
        <f>HYPERLINK("https://rhld.insurance.arkansas.gov/NPILookup?Npi=1235807967","1235807967")</f>
        <v>1235807967</v>
      </c>
      <c r="E18311" t="s">
        <v>20396</v>
      </c>
    </row>
    <row r="18312" spans="1:5" x14ac:dyDescent="0.25">
      <c r="A18312" t="s">
        <v>4</v>
      </c>
      <c r="B18312" t="s">
        <v>4111</v>
      </c>
      <c r="C18312" t="s">
        <v>23490</v>
      </c>
      <c r="D18312" t="str">
        <f>HYPERLINK("https://rhld.insurance.arkansas.gov/NPILookup?Npi=1235873878","1235873878")</f>
        <v>1235873878</v>
      </c>
      <c r="E18312" t="s">
        <v>21924</v>
      </c>
    </row>
    <row r="18313" spans="1:5" x14ac:dyDescent="0.25">
      <c r="A18313" t="s">
        <v>4</v>
      </c>
      <c r="B18313" t="s">
        <v>4111</v>
      </c>
      <c r="C18313" t="s">
        <v>23490</v>
      </c>
      <c r="D18313" t="str">
        <f>HYPERLINK("https://rhld.insurance.arkansas.gov/NPILookup?Npi=1245205467","1245205467")</f>
        <v>1245205467</v>
      </c>
      <c r="E18313" t="s">
        <v>4560</v>
      </c>
    </row>
    <row r="18314" spans="1:5" x14ac:dyDescent="0.25">
      <c r="A18314" t="s">
        <v>4</v>
      </c>
      <c r="B18314" t="s">
        <v>4111</v>
      </c>
      <c r="C18314" t="s">
        <v>23490</v>
      </c>
      <c r="D18314" t="str">
        <f>HYPERLINK("https://rhld.insurance.arkansas.gov/NPILookup?Npi=1245225259","1245225259")</f>
        <v>1245225259</v>
      </c>
      <c r="E18314" t="s">
        <v>21925</v>
      </c>
    </row>
    <row r="18315" spans="1:5" x14ac:dyDescent="0.25">
      <c r="A18315" t="s">
        <v>4</v>
      </c>
      <c r="B18315" t="s">
        <v>4111</v>
      </c>
      <c r="C18315" t="s">
        <v>23490</v>
      </c>
      <c r="D18315" t="str">
        <f>HYPERLINK("https://rhld.insurance.arkansas.gov/NPILookup?Npi=1245229491","1245229491")</f>
        <v>1245229491</v>
      </c>
      <c r="E18315" t="s">
        <v>4561</v>
      </c>
    </row>
    <row r="18316" spans="1:5" x14ac:dyDescent="0.25">
      <c r="A18316" t="s">
        <v>4</v>
      </c>
      <c r="B18316" t="s">
        <v>4111</v>
      </c>
      <c r="C18316" t="s">
        <v>23490</v>
      </c>
      <c r="D18316" t="str">
        <f>HYPERLINK("https://rhld.insurance.arkansas.gov/NPILookup?Npi=1245253681","1245253681")</f>
        <v>1245253681</v>
      </c>
      <c r="E18316" t="s">
        <v>4562</v>
      </c>
    </row>
    <row r="18317" spans="1:5" x14ac:dyDescent="0.25">
      <c r="A18317" t="s">
        <v>4</v>
      </c>
      <c r="B18317" t="s">
        <v>4111</v>
      </c>
      <c r="C18317" t="s">
        <v>23490</v>
      </c>
      <c r="D18317" t="str">
        <f>HYPERLINK("https://rhld.insurance.arkansas.gov/NPILookup?Npi=1245274562","1245274562")</f>
        <v>1245274562</v>
      </c>
      <c r="E18317" t="s">
        <v>19243</v>
      </c>
    </row>
    <row r="18318" spans="1:5" x14ac:dyDescent="0.25">
      <c r="A18318" t="s">
        <v>4</v>
      </c>
      <c r="B18318" t="s">
        <v>4111</v>
      </c>
      <c r="C18318" t="s">
        <v>23490</v>
      </c>
      <c r="D18318" t="str">
        <f>HYPERLINK("https://rhld.insurance.arkansas.gov/NPILookup?Npi=1245278720","1245278720")</f>
        <v>1245278720</v>
      </c>
      <c r="E18318" t="s">
        <v>4563</v>
      </c>
    </row>
    <row r="18319" spans="1:5" x14ac:dyDescent="0.25">
      <c r="A18319" t="s">
        <v>4</v>
      </c>
      <c r="B18319" t="s">
        <v>4111</v>
      </c>
      <c r="C18319" t="s">
        <v>23490</v>
      </c>
      <c r="D18319" t="str">
        <f>HYPERLINK("https://rhld.insurance.arkansas.gov/NPILookup?Npi=1245290816","1245290816")</f>
        <v>1245290816</v>
      </c>
      <c r="E18319" t="s">
        <v>4564</v>
      </c>
    </row>
    <row r="18320" spans="1:5" x14ac:dyDescent="0.25">
      <c r="A18320" t="s">
        <v>4</v>
      </c>
      <c r="B18320" t="s">
        <v>4111</v>
      </c>
      <c r="C18320" t="s">
        <v>23490</v>
      </c>
      <c r="D18320" t="str">
        <f>HYPERLINK("https://rhld.insurance.arkansas.gov/NPILookup?Npi=1245291970","1245291970")</f>
        <v>1245291970</v>
      </c>
      <c r="E18320" t="s">
        <v>4565</v>
      </c>
    </row>
    <row r="18321" spans="1:5" x14ac:dyDescent="0.25">
      <c r="A18321" t="s">
        <v>4</v>
      </c>
      <c r="B18321" t="s">
        <v>4111</v>
      </c>
      <c r="C18321" t="s">
        <v>23490</v>
      </c>
      <c r="D18321" t="str">
        <f>HYPERLINK("https://rhld.insurance.arkansas.gov/NPILookup?Npi=1245302298","1245302298")</f>
        <v>1245302298</v>
      </c>
      <c r="E18321" t="s">
        <v>4566</v>
      </c>
    </row>
    <row r="18322" spans="1:5" x14ac:dyDescent="0.25">
      <c r="A18322" t="s">
        <v>4</v>
      </c>
      <c r="B18322" t="s">
        <v>4111</v>
      </c>
      <c r="C18322" t="s">
        <v>23490</v>
      </c>
      <c r="D18322" t="str">
        <f>HYPERLINK("https://rhld.insurance.arkansas.gov/NPILookup?Npi=1245318781","1245318781")</f>
        <v>1245318781</v>
      </c>
      <c r="E18322" t="s">
        <v>4567</v>
      </c>
    </row>
    <row r="18323" spans="1:5" x14ac:dyDescent="0.25">
      <c r="A18323" t="s">
        <v>4</v>
      </c>
      <c r="B18323" t="s">
        <v>4111</v>
      </c>
      <c r="C18323" t="s">
        <v>23490</v>
      </c>
      <c r="D18323" t="str">
        <f>HYPERLINK("https://rhld.insurance.arkansas.gov/NPILookup?Npi=1245326545","1245326545")</f>
        <v>1245326545</v>
      </c>
      <c r="E18323" t="s">
        <v>4568</v>
      </c>
    </row>
    <row r="18324" spans="1:5" x14ac:dyDescent="0.25">
      <c r="A18324" t="s">
        <v>4</v>
      </c>
      <c r="B18324" t="s">
        <v>4111</v>
      </c>
      <c r="C18324" t="s">
        <v>23490</v>
      </c>
      <c r="D18324" t="str">
        <f>HYPERLINK("https://rhld.insurance.arkansas.gov/NPILookup?Npi=1245359645","1245359645")</f>
        <v>1245359645</v>
      </c>
      <c r="E18324" t="s">
        <v>4569</v>
      </c>
    </row>
    <row r="18325" spans="1:5" x14ac:dyDescent="0.25">
      <c r="A18325" t="s">
        <v>4</v>
      </c>
      <c r="B18325" t="s">
        <v>4111</v>
      </c>
      <c r="C18325" t="s">
        <v>23490</v>
      </c>
      <c r="D18325" t="str">
        <f>HYPERLINK("https://rhld.insurance.arkansas.gov/NPILookup?Npi=1245428242","1245428242")</f>
        <v>1245428242</v>
      </c>
      <c r="E18325" t="s">
        <v>4570</v>
      </c>
    </row>
    <row r="18326" spans="1:5" x14ac:dyDescent="0.25">
      <c r="A18326" t="s">
        <v>4</v>
      </c>
      <c r="B18326" t="s">
        <v>4111</v>
      </c>
      <c r="C18326" t="s">
        <v>23490</v>
      </c>
      <c r="D18326" t="str">
        <f>HYPERLINK("https://rhld.insurance.arkansas.gov/NPILookup?Npi=1245435544","1245435544")</f>
        <v>1245435544</v>
      </c>
      <c r="E18326" t="s">
        <v>20397</v>
      </c>
    </row>
    <row r="18327" spans="1:5" x14ac:dyDescent="0.25">
      <c r="A18327" t="s">
        <v>4</v>
      </c>
      <c r="B18327" t="s">
        <v>4111</v>
      </c>
      <c r="C18327" t="s">
        <v>23490</v>
      </c>
      <c r="D18327" t="str">
        <f>HYPERLINK("https://rhld.insurance.arkansas.gov/NPILookup?Npi=1245454347","1245454347")</f>
        <v>1245454347</v>
      </c>
      <c r="E18327" t="s">
        <v>13996</v>
      </c>
    </row>
    <row r="18328" spans="1:5" x14ac:dyDescent="0.25">
      <c r="A18328" t="s">
        <v>4</v>
      </c>
      <c r="B18328" t="s">
        <v>4111</v>
      </c>
      <c r="C18328" t="s">
        <v>23490</v>
      </c>
      <c r="D18328" t="str">
        <f>HYPERLINK("https://rhld.insurance.arkansas.gov/NPILookup?Npi=1245455294","1245455294")</f>
        <v>1245455294</v>
      </c>
      <c r="E18328" t="s">
        <v>13997</v>
      </c>
    </row>
    <row r="18329" spans="1:5" x14ac:dyDescent="0.25">
      <c r="A18329" t="s">
        <v>4</v>
      </c>
      <c r="B18329" t="s">
        <v>4111</v>
      </c>
      <c r="C18329" t="s">
        <v>23490</v>
      </c>
      <c r="D18329" t="str">
        <f>HYPERLINK("https://rhld.insurance.arkansas.gov/NPILookup?Npi=1245481522","1245481522")</f>
        <v>1245481522</v>
      </c>
      <c r="E18329" t="s">
        <v>20398</v>
      </c>
    </row>
    <row r="18330" spans="1:5" x14ac:dyDescent="0.25">
      <c r="A18330" t="s">
        <v>4</v>
      </c>
      <c r="B18330" t="s">
        <v>4111</v>
      </c>
      <c r="C18330" t="s">
        <v>23490</v>
      </c>
      <c r="D18330" t="str">
        <f>HYPERLINK("https://rhld.insurance.arkansas.gov/NPILookup?Npi=1245481563","1245481563")</f>
        <v>1245481563</v>
      </c>
      <c r="E18330" t="s">
        <v>11586</v>
      </c>
    </row>
    <row r="18331" spans="1:5" x14ac:dyDescent="0.25">
      <c r="A18331" t="s">
        <v>4</v>
      </c>
      <c r="B18331" t="s">
        <v>4111</v>
      </c>
      <c r="C18331" t="s">
        <v>23490</v>
      </c>
      <c r="D18331" t="str">
        <f>HYPERLINK("https://rhld.insurance.arkansas.gov/NPILookup?Npi=1245489350","1245489350")</f>
        <v>1245489350</v>
      </c>
      <c r="E18331" t="s">
        <v>4571</v>
      </c>
    </row>
    <row r="18332" spans="1:5" x14ac:dyDescent="0.25">
      <c r="A18332" t="s">
        <v>4</v>
      </c>
      <c r="B18332" t="s">
        <v>4111</v>
      </c>
      <c r="C18332" t="s">
        <v>23490</v>
      </c>
      <c r="D18332" t="str">
        <f>HYPERLINK("https://rhld.insurance.arkansas.gov/NPILookup?Npi=1245527761","1245527761")</f>
        <v>1245527761</v>
      </c>
      <c r="E18332" t="s">
        <v>21926</v>
      </c>
    </row>
    <row r="18333" spans="1:5" x14ac:dyDescent="0.25">
      <c r="A18333" t="s">
        <v>4</v>
      </c>
      <c r="B18333" t="s">
        <v>4111</v>
      </c>
      <c r="C18333" t="s">
        <v>23490</v>
      </c>
      <c r="D18333" t="str">
        <f>HYPERLINK("https://rhld.insurance.arkansas.gov/NPILookup?Npi=1245529817","1245529817")</f>
        <v>1245529817</v>
      </c>
      <c r="E18333" t="s">
        <v>9047</v>
      </c>
    </row>
    <row r="18334" spans="1:5" x14ac:dyDescent="0.25">
      <c r="A18334" t="s">
        <v>4</v>
      </c>
      <c r="B18334" t="s">
        <v>4111</v>
      </c>
      <c r="C18334" t="s">
        <v>23490</v>
      </c>
      <c r="D18334" t="str">
        <f>HYPERLINK("https://rhld.insurance.arkansas.gov/NPILookup?Npi=1245531227","1245531227")</f>
        <v>1245531227</v>
      </c>
      <c r="E18334" t="s">
        <v>9048</v>
      </c>
    </row>
    <row r="18335" spans="1:5" x14ac:dyDescent="0.25">
      <c r="A18335" t="s">
        <v>4</v>
      </c>
      <c r="B18335" t="s">
        <v>4111</v>
      </c>
      <c r="C18335" t="s">
        <v>23490</v>
      </c>
      <c r="D18335" t="str">
        <f>HYPERLINK("https://rhld.insurance.arkansas.gov/NPILookup?Npi=1245534700","1245534700")</f>
        <v>1245534700</v>
      </c>
      <c r="E18335" t="s">
        <v>4572</v>
      </c>
    </row>
    <row r="18336" spans="1:5" x14ac:dyDescent="0.25">
      <c r="A18336" t="s">
        <v>4</v>
      </c>
      <c r="B18336" t="s">
        <v>4111</v>
      </c>
      <c r="C18336" t="s">
        <v>23490</v>
      </c>
      <c r="D18336" t="str">
        <f>HYPERLINK("https://rhld.insurance.arkansas.gov/NPILookup?Npi=1245545342","1245545342")</f>
        <v>1245545342</v>
      </c>
      <c r="E18336" t="s">
        <v>17558</v>
      </c>
    </row>
    <row r="18337" spans="1:5" x14ac:dyDescent="0.25">
      <c r="A18337" t="s">
        <v>4</v>
      </c>
      <c r="B18337" t="s">
        <v>4111</v>
      </c>
      <c r="C18337" t="s">
        <v>23490</v>
      </c>
      <c r="D18337" t="str">
        <f>HYPERLINK("https://rhld.insurance.arkansas.gov/NPILookup?Npi=1245560671","1245560671")</f>
        <v>1245560671</v>
      </c>
      <c r="E18337" t="s">
        <v>4573</v>
      </c>
    </row>
    <row r="18338" spans="1:5" x14ac:dyDescent="0.25">
      <c r="A18338" t="s">
        <v>4</v>
      </c>
      <c r="B18338" t="s">
        <v>4111</v>
      </c>
      <c r="C18338" t="s">
        <v>23490</v>
      </c>
      <c r="D18338" t="str">
        <f>HYPERLINK("https://rhld.insurance.arkansas.gov/NPILookup?Npi=1245605054","1245605054")</f>
        <v>1245605054</v>
      </c>
      <c r="E18338" t="s">
        <v>13998</v>
      </c>
    </row>
    <row r="18339" spans="1:5" x14ac:dyDescent="0.25">
      <c r="A18339" t="s">
        <v>4</v>
      </c>
      <c r="B18339" t="s">
        <v>4111</v>
      </c>
      <c r="C18339" t="s">
        <v>23490</v>
      </c>
      <c r="D18339" t="str">
        <f>HYPERLINK("https://rhld.insurance.arkansas.gov/NPILookup?Npi=1245605096","1245605096")</f>
        <v>1245605096</v>
      </c>
      <c r="E18339" t="s">
        <v>12327</v>
      </c>
    </row>
    <row r="18340" spans="1:5" x14ac:dyDescent="0.25">
      <c r="A18340" t="s">
        <v>4</v>
      </c>
      <c r="B18340" t="s">
        <v>4111</v>
      </c>
      <c r="C18340" t="s">
        <v>23490</v>
      </c>
      <c r="D18340" t="str">
        <f>HYPERLINK("https://rhld.insurance.arkansas.gov/NPILookup?Npi=1245618354","1245618354")</f>
        <v>1245618354</v>
      </c>
      <c r="E18340" t="s">
        <v>13999</v>
      </c>
    </row>
    <row r="18341" spans="1:5" x14ac:dyDescent="0.25">
      <c r="A18341" t="s">
        <v>4</v>
      </c>
      <c r="B18341" t="s">
        <v>4111</v>
      </c>
      <c r="C18341" t="s">
        <v>23490</v>
      </c>
      <c r="D18341" t="str">
        <f>HYPERLINK("https://rhld.insurance.arkansas.gov/NPILookup?Npi=1245659952","1245659952")</f>
        <v>1245659952</v>
      </c>
      <c r="E18341" t="s">
        <v>14000</v>
      </c>
    </row>
    <row r="18342" spans="1:5" x14ac:dyDescent="0.25">
      <c r="A18342" t="s">
        <v>4</v>
      </c>
      <c r="B18342" t="s">
        <v>4111</v>
      </c>
      <c r="C18342" t="s">
        <v>23490</v>
      </c>
      <c r="D18342" t="str">
        <f>HYPERLINK("https://rhld.insurance.arkansas.gov/NPILookup?Npi=1245661412","1245661412")</f>
        <v>1245661412</v>
      </c>
      <c r="E18342" t="s">
        <v>16030</v>
      </c>
    </row>
    <row r="18343" spans="1:5" x14ac:dyDescent="0.25">
      <c r="A18343" t="s">
        <v>4</v>
      </c>
      <c r="B18343" t="s">
        <v>4111</v>
      </c>
      <c r="C18343" t="s">
        <v>23490</v>
      </c>
      <c r="D18343" t="str">
        <f>HYPERLINK("https://rhld.insurance.arkansas.gov/NPILookup?Npi=1245669365","1245669365")</f>
        <v>1245669365</v>
      </c>
      <c r="E18343" t="s">
        <v>9049</v>
      </c>
    </row>
    <row r="18344" spans="1:5" x14ac:dyDescent="0.25">
      <c r="A18344" t="s">
        <v>4</v>
      </c>
      <c r="B18344" t="s">
        <v>4111</v>
      </c>
      <c r="C18344" t="s">
        <v>23490</v>
      </c>
      <c r="D18344" t="str">
        <f>HYPERLINK("https://rhld.insurance.arkansas.gov/NPILookup?Npi=1245680958","1245680958")</f>
        <v>1245680958</v>
      </c>
      <c r="E18344" t="s">
        <v>21927</v>
      </c>
    </row>
    <row r="18345" spans="1:5" x14ac:dyDescent="0.25">
      <c r="A18345" t="s">
        <v>4</v>
      </c>
      <c r="B18345" t="s">
        <v>4111</v>
      </c>
      <c r="C18345" t="s">
        <v>23490</v>
      </c>
      <c r="D18345" t="str">
        <f>HYPERLINK("https://rhld.insurance.arkansas.gov/NPILookup?Npi=1245681774","1245681774")</f>
        <v>1245681774</v>
      </c>
      <c r="E18345" t="s">
        <v>14001</v>
      </c>
    </row>
    <row r="18346" spans="1:5" x14ac:dyDescent="0.25">
      <c r="A18346" t="s">
        <v>4</v>
      </c>
      <c r="B18346" t="s">
        <v>4111</v>
      </c>
      <c r="C18346" t="s">
        <v>23490</v>
      </c>
      <c r="D18346" t="str">
        <f>HYPERLINK("https://rhld.insurance.arkansas.gov/NPILookup?Npi=1245684356","1245684356")</f>
        <v>1245684356</v>
      </c>
      <c r="E18346" t="s">
        <v>17135</v>
      </c>
    </row>
    <row r="18347" spans="1:5" x14ac:dyDescent="0.25">
      <c r="A18347" t="s">
        <v>4</v>
      </c>
      <c r="B18347" t="s">
        <v>4111</v>
      </c>
      <c r="C18347" t="s">
        <v>23490</v>
      </c>
      <c r="D18347" t="str">
        <f>HYPERLINK("https://rhld.insurance.arkansas.gov/NPILookup?Npi=1245719590","1245719590")</f>
        <v>1245719590</v>
      </c>
      <c r="E18347" t="s">
        <v>14002</v>
      </c>
    </row>
    <row r="18348" spans="1:5" x14ac:dyDescent="0.25">
      <c r="A18348" t="s">
        <v>4</v>
      </c>
      <c r="B18348" t="s">
        <v>4111</v>
      </c>
      <c r="C18348" t="s">
        <v>23490</v>
      </c>
      <c r="D18348" t="str">
        <f>HYPERLINK("https://rhld.insurance.arkansas.gov/NPILookup?Npi=1245723204","1245723204")</f>
        <v>1245723204</v>
      </c>
      <c r="E18348" t="s">
        <v>18305</v>
      </c>
    </row>
    <row r="18349" spans="1:5" x14ac:dyDescent="0.25">
      <c r="A18349" t="s">
        <v>4</v>
      </c>
      <c r="B18349" t="s">
        <v>4111</v>
      </c>
      <c r="C18349" t="s">
        <v>23490</v>
      </c>
      <c r="D18349" t="str">
        <f>HYPERLINK("https://rhld.insurance.arkansas.gov/NPILookup?Npi=1245764620","1245764620")</f>
        <v>1245764620</v>
      </c>
      <c r="E18349" t="s">
        <v>14003</v>
      </c>
    </row>
    <row r="18350" spans="1:5" x14ac:dyDescent="0.25">
      <c r="A18350" t="s">
        <v>4</v>
      </c>
      <c r="B18350" t="s">
        <v>4111</v>
      </c>
      <c r="C18350" t="s">
        <v>23490</v>
      </c>
      <c r="D18350" t="str">
        <f>HYPERLINK("https://rhld.insurance.arkansas.gov/NPILookup?Npi=1245782259","1245782259")</f>
        <v>1245782259</v>
      </c>
      <c r="E18350" t="s">
        <v>11587</v>
      </c>
    </row>
    <row r="18351" spans="1:5" x14ac:dyDescent="0.25">
      <c r="A18351" t="s">
        <v>4</v>
      </c>
      <c r="B18351" t="s">
        <v>4111</v>
      </c>
      <c r="C18351" t="s">
        <v>23490</v>
      </c>
      <c r="D18351" t="str">
        <f>HYPERLINK("https://rhld.insurance.arkansas.gov/NPILookup?Npi=1245792183","1245792183")</f>
        <v>1245792183</v>
      </c>
      <c r="E18351" t="s">
        <v>21928</v>
      </c>
    </row>
    <row r="18352" spans="1:5" x14ac:dyDescent="0.25">
      <c r="A18352" t="s">
        <v>4</v>
      </c>
      <c r="B18352" t="s">
        <v>4111</v>
      </c>
      <c r="C18352" t="s">
        <v>23490</v>
      </c>
      <c r="D18352" t="str">
        <f>HYPERLINK("https://rhld.insurance.arkansas.gov/NPILookup?Npi=1245840800","1245840800")</f>
        <v>1245840800</v>
      </c>
      <c r="E18352" t="s">
        <v>21929</v>
      </c>
    </row>
    <row r="18353" spans="1:5" x14ac:dyDescent="0.25">
      <c r="A18353" t="s">
        <v>4</v>
      </c>
      <c r="B18353" t="s">
        <v>4111</v>
      </c>
      <c r="C18353" t="s">
        <v>23490</v>
      </c>
      <c r="D18353" t="str">
        <f>HYPERLINK("https://rhld.insurance.arkansas.gov/NPILookup?Npi=1245842764","1245842764")</f>
        <v>1245842764</v>
      </c>
      <c r="E18353" t="s">
        <v>18306</v>
      </c>
    </row>
    <row r="18354" spans="1:5" x14ac:dyDescent="0.25">
      <c r="A18354" t="s">
        <v>4</v>
      </c>
      <c r="B18354" t="s">
        <v>4111</v>
      </c>
      <c r="C18354" t="s">
        <v>23490</v>
      </c>
      <c r="D18354" t="str">
        <f>HYPERLINK("https://rhld.insurance.arkansas.gov/NPILookup?Npi=1245843838","1245843838")</f>
        <v>1245843838</v>
      </c>
      <c r="E18354" t="s">
        <v>21930</v>
      </c>
    </row>
    <row r="18355" spans="1:5" x14ac:dyDescent="0.25">
      <c r="A18355" t="s">
        <v>4</v>
      </c>
      <c r="B18355" t="s">
        <v>4111</v>
      </c>
      <c r="C18355" t="s">
        <v>23490</v>
      </c>
      <c r="D18355" t="str">
        <f>HYPERLINK("https://rhld.insurance.arkansas.gov/NPILookup?Npi=1245850841","1245850841")</f>
        <v>1245850841</v>
      </c>
      <c r="E18355" t="s">
        <v>17136</v>
      </c>
    </row>
    <row r="18356" spans="1:5" x14ac:dyDescent="0.25">
      <c r="A18356" t="s">
        <v>4</v>
      </c>
      <c r="B18356" t="s">
        <v>4111</v>
      </c>
      <c r="C18356" t="s">
        <v>23490</v>
      </c>
      <c r="D18356" t="str">
        <f>HYPERLINK("https://rhld.insurance.arkansas.gov/NPILookup?Npi=1245855436","1245855436")</f>
        <v>1245855436</v>
      </c>
      <c r="E18356" t="s">
        <v>21931</v>
      </c>
    </row>
    <row r="18357" spans="1:5" x14ac:dyDescent="0.25">
      <c r="A18357" t="s">
        <v>4</v>
      </c>
      <c r="B18357" t="s">
        <v>4111</v>
      </c>
      <c r="C18357" t="s">
        <v>23490</v>
      </c>
      <c r="D18357" t="str">
        <f>HYPERLINK("https://rhld.insurance.arkansas.gov/NPILookup?Npi=1245862853","1245862853")</f>
        <v>1245862853</v>
      </c>
      <c r="E18357" t="s">
        <v>21116</v>
      </c>
    </row>
    <row r="18358" spans="1:5" x14ac:dyDescent="0.25">
      <c r="A18358" t="s">
        <v>4</v>
      </c>
      <c r="B18358" t="s">
        <v>4111</v>
      </c>
      <c r="C18358" t="s">
        <v>8427</v>
      </c>
      <c r="D18358" t="str">
        <f>HYPERLINK("https://rhld.insurance.arkansas.gov/NPILookup?Npi=1245954197","1245954197")</f>
        <v>1245954197</v>
      </c>
      <c r="E18358" t="s">
        <v>23071</v>
      </c>
    </row>
    <row r="18359" spans="1:5" x14ac:dyDescent="0.25">
      <c r="A18359" t="s">
        <v>4</v>
      </c>
      <c r="B18359" t="s">
        <v>4111</v>
      </c>
      <c r="C18359" t="s">
        <v>23490</v>
      </c>
      <c r="D18359" t="str">
        <f>HYPERLINK("https://rhld.insurance.arkansas.gov/NPILookup?Npi=1245995398","1245995398")</f>
        <v>1245995398</v>
      </c>
      <c r="E18359" t="s">
        <v>2187</v>
      </c>
    </row>
    <row r="18360" spans="1:5" x14ac:dyDescent="0.25">
      <c r="A18360" t="s">
        <v>4</v>
      </c>
      <c r="B18360" t="s">
        <v>4111</v>
      </c>
      <c r="C18360" t="s">
        <v>23490</v>
      </c>
      <c r="D18360" t="str">
        <f>HYPERLINK("https://rhld.insurance.arkansas.gov/NPILookup?Npi=1255006367","1255006367")</f>
        <v>1255006367</v>
      </c>
      <c r="E18360" t="s">
        <v>21932</v>
      </c>
    </row>
    <row r="18361" spans="1:5" x14ac:dyDescent="0.25">
      <c r="A18361" t="s">
        <v>4</v>
      </c>
      <c r="B18361" t="s">
        <v>4111</v>
      </c>
      <c r="C18361" t="s">
        <v>23490</v>
      </c>
      <c r="D18361" t="str">
        <f>HYPERLINK("https://rhld.insurance.arkansas.gov/NPILookup?Npi=1255006417","1255006417")</f>
        <v>1255006417</v>
      </c>
      <c r="E18361" t="s">
        <v>20399</v>
      </c>
    </row>
    <row r="18362" spans="1:5" x14ac:dyDescent="0.25">
      <c r="A18362" t="s">
        <v>4</v>
      </c>
      <c r="B18362" t="s">
        <v>4111</v>
      </c>
      <c r="C18362" t="s">
        <v>23490</v>
      </c>
      <c r="D18362" t="str">
        <f>HYPERLINK("https://rhld.insurance.arkansas.gov/NPILookup?Npi=1255328134","1255328134")</f>
        <v>1255328134</v>
      </c>
      <c r="E18362" t="s">
        <v>4574</v>
      </c>
    </row>
    <row r="18363" spans="1:5" x14ac:dyDescent="0.25">
      <c r="A18363" t="s">
        <v>4</v>
      </c>
      <c r="B18363" t="s">
        <v>4111</v>
      </c>
      <c r="C18363" t="s">
        <v>23490</v>
      </c>
      <c r="D18363" t="str">
        <f>HYPERLINK("https://rhld.insurance.arkansas.gov/NPILookup?Npi=1255339461","1255339461")</f>
        <v>1255339461</v>
      </c>
      <c r="E18363" t="s">
        <v>4575</v>
      </c>
    </row>
    <row r="18364" spans="1:5" x14ac:dyDescent="0.25">
      <c r="A18364" t="s">
        <v>4</v>
      </c>
      <c r="B18364" t="s">
        <v>4111</v>
      </c>
      <c r="C18364" t="s">
        <v>23490</v>
      </c>
      <c r="D18364" t="str">
        <f>HYPERLINK("https://rhld.insurance.arkansas.gov/NPILookup?Npi=1255347126","1255347126")</f>
        <v>1255347126</v>
      </c>
      <c r="E18364" t="s">
        <v>4576</v>
      </c>
    </row>
    <row r="18365" spans="1:5" x14ac:dyDescent="0.25">
      <c r="A18365" t="s">
        <v>4</v>
      </c>
      <c r="B18365" t="s">
        <v>4111</v>
      </c>
      <c r="C18365" t="s">
        <v>23490</v>
      </c>
      <c r="D18365" t="str">
        <f>HYPERLINK("https://rhld.insurance.arkansas.gov/NPILookup?Npi=1255347951","1255347951")</f>
        <v>1255347951</v>
      </c>
      <c r="E18365" t="s">
        <v>14004</v>
      </c>
    </row>
    <row r="18366" spans="1:5" x14ac:dyDescent="0.25">
      <c r="A18366" t="s">
        <v>4</v>
      </c>
      <c r="B18366" t="s">
        <v>4111</v>
      </c>
      <c r="C18366" t="s">
        <v>23490</v>
      </c>
      <c r="D18366" t="str">
        <f>HYPERLINK("https://rhld.insurance.arkansas.gov/NPILookup?Npi=1255376323","1255376323")</f>
        <v>1255376323</v>
      </c>
      <c r="E18366" t="s">
        <v>13098</v>
      </c>
    </row>
    <row r="18367" spans="1:5" x14ac:dyDescent="0.25">
      <c r="A18367" t="s">
        <v>4</v>
      </c>
      <c r="B18367" t="s">
        <v>4111</v>
      </c>
      <c r="C18367" t="s">
        <v>23490</v>
      </c>
      <c r="D18367" t="str">
        <f>HYPERLINK("https://rhld.insurance.arkansas.gov/NPILookup?Npi=1255405353","1255405353")</f>
        <v>1255405353</v>
      </c>
      <c r="E18367" t="s">
        <v>20400</v>
      </c>
    </row>
    <row r="18368" spans="1:5" x14ac:dyDescent="0.25">
      <c r="A18368" t="s">
        <v>4</v>
      </c>
      <c r="B18368" t="s">
        <v>4111</v>
      </c>
      <c r="C18368" t="s">
        <v>23490</v>
      </c>
      <c r="D18368" t="str">
        <f>HYPERLINK("https://rhld.insurance.arkansas.gov/NPILookup?Npi=1255414595","1255414595")</f>
        <v>1255414595</v>
      </c>
      <c r="E18368" t="s">
        <v>14005</v>
      </c>
    </row>
    <row r="18369" spans="1:5" x14ac:dyDescent="0.25">
      <c r="A18369" t="s">
        <v>4</v>
      </c>
      <c r="B18369" t="s">
        <v>4111</v>
      </c>
      <c r="C18369" t="s">
        <v>23490</v>
      </c>
      <c r="D18369" t="str">
        <f>HYPERLINK("https://rhld.insurance.arkansas.gov/NPILookup?Npi=1255435418","1255435418")</f>
        <v>1255435418</v>
      </c>
      <c r="E18369" t="s">
        <v>4577</v>
      </c>
    </row>
    <row r="18370" spans="1:5" x14ac:dyDescent="0.25">
      <c r="A18370" t="s">
        <v>4</v>
      </c>
      <c r="B18370" t="s">
        <v>4111</v>
      </c>
      <c r="C18370" t="s">
        <v>23490</v>
      </c>
      <c r="D18370" t="str">
        <f>HYPERLINK("https://rhld.insurance.arkansas.gov/NPILookup?Npi=1255449211","1255449211")</f>
        <v>1255449211</v>
      </c>
      <c r="E18370" t="s">
        <v>4578</v>
      </c>
    </row>
    <row r="18371" spans="1:5" x14ac:dyDescent="0.25">
      <c r="A18371" t="s">
        <v>4</v>
      </c>
      <c r="B18371" t="s">
        <v>4111</v>
      </c>
      <c r="C18371" t="s">
        <v>23490</v>
      </c>
      <c r="D18371" t="str">
        <f>HYPERLINK("https://rhld.insurance.arkansas.gov/NPILookup?Npi=1255461356","1255461356")</f>
        <v>1255461356</v>
      </c>
      <c r="E18371" t="s">
        <v>4579</v>
      </c>
    </row>
    <row r="18372" spans="1:5" x14ac:dyDescent="0.25">
      <c r="A18372" t="s">
        <v>4</v>
      </c>
      <c r="B18372" t="s">
        <v>4111</v>
      </c>
      <c r="C18372" t="s">
        <v>23490</v>
      </c>
      <c r="D18372" t="str">
        <f>HYPERLINK("https://rhld.insurance.arkansas.gov/NPILookup?Npi=1255465084","1255465084")</f>
        <v>1255465084</v>
      </c>
      <c r="E18372" t="s">
        <v>4580</v>
      </c>
    </row>
    <row r="18373" spans="1:5" x14ac:dyDescent="0.25">
      <c r="A18373" t="s">
        <v>4</v>
      </c>
      <c r="B18373" t="s">
        <v>4111</v>
      </c>
      <c r="C18373" t="s">
        <v>23490</v>
      </c>
      <c r="D18373" t="str">
        <f>HYPERLINK("https://rhld.insurance.arkansas.gov/NPILookup?Npi=1255473823","1255473823")</f>
        <v>1255473823</v>
      </c>
      <c r="E18373" t="s">
        <v>16031</v>
      </c>
    </row>
    <row r="18374" spans="1:5" x14ac:dyDescent="0.25">
      <c r="A18374" t="s">
        <v>4</v>
      </c>
      <c r="B18374" t="s">
        <v>4111</v>
      </c>
      <c r="C18374" t="s">
        <v>23490</v>
      </c>
      <c r="D18374" t="str">
        <f>HYPERLINK("https://rhld.insurance.arkansas.gov/NPILookup?Npi=1255494399","1255494399")</f>
        <v>1255494399</v>
      </c>
      <c r="E18374" t="s">
        <v>4581</v>
      </c>
    </row>
    <row r="18375" spans="1:5" x14ac:dyDescent="0.25">
      <c r="A18375" t="s">
        <v>4</v>
      </c>
      <c r="B18375" t="s">
        <v>4111</v>
      </c>
      <c r="C18375" t="s">
        <v>23490</v>
      </c>
      <c r="D18375" t="str">
        <f>HYPERLINK("https://rhld.insurance.arkansas.gov/NPILookup?Npi=1255505186","1255505186")</f>
        <v>1255505186</v>
      </c>
      <c r="E18375" t="s">
        <v>4582</v>
      </c>
    </row>
    <row r="18376" spans="1:5" x14ac:dyDescent="0.25">
      <c r="A18376" t="s">
        <v>4</v>
      </c>
      <c r="B18376" t="s">
        <v>4111</v>
      </c>
      <c r="C18376" t="s">
        <v>23490</v>
      </c>
      <c r="D18376" t="str">
        <f>HYPERLINK("https://rhld.insurance.arkansas.gov/NPILookup?Npi=1255522611","1255522611")</f>
        <v>1255522611</v>
      </c>
      <c r="E18376" t="s">
        <v>4583</v>
      </c>
    </row>
    <row r="18377" spans="1:5" x14ac:dyDescent="0.25">
      <c r="A18377" t="s">
        <v>4</v>
      </c>
      <c r="B18377" t="s">
        <v>4111</v>
      </c>
      <c r="C18377" t="s">
        <v>23490</v>
      </c>
      <c r="D18377" t="str">
        <f>HYPERLINK("https://rhld.insurance.arkansas.gov/NPILookup?Npi=1255523049","1255523049")</f>
        <v>1255523049</v>
      </c>
      <c r="E18377" t="s">
        <v>4584</v>
      </c>
    </row>
    <row r="18378" spans="1:5" x14ac:dyDescent="0.25">
      <c r="A18378" t="s">
        <v>4</v>
      </c>
      <c r="B18378" t="s">
        <v>4111</v>
      </c>
      <c r="C18378" t="s">
        <v>23490</v>
      </c>
      <c r="D18378" t="str">
        <f>HYPERLINK("https://rhld.insurance.arkansas.gov/NPILookup?Npi=1255539540","1255539540")</f>
        <v>1255539540</v>
      </c>
      <c r="E18378" t="s">
        <v>4585</v>
      </c>
    </row>
    <row r="18379" spans="1:5" x14ac:dyDescent="0.25">
      <c r="A18379" t="s">
        <v>4</v>
      </c>
      <c r="B18379" t="s">
        <v>4111</v>
      </c>
      <c r="C18379" t="s">
        <v>23490</v>
      </c>
      <c r="D18379" t="str">
        <f>HYPERLINK("https://rhld.insurance.arkansas.gov/NPILookup?Npi=1255543880","1255543880")</f>
        <v>1255543880</v>
      </c>
      <c r="E18379" t="s">
        <v>16032</v>
      </c>
    </row>
    <row r="18380" spans="1:5" x14ac:dyDescent="0.25">
      <c r="A18380" t="s">
        <v>4</v>
      </c>
      <c r="B18380" t="s">
        <v>4111</v>
      </c>
      <c r="C18380" t="s">
        <v>23490</v>
      </c>
      <c r="D18380" t="str">
        <f>HYPERLINK("https://rhld.insurance.arkansas.gov/NPILookup?Npi=1255547246","1255547246")</f>
        <v>1255547246</v>
      </c>
      <c r="E18380" t="s">
        <v>4586</v>
      </c>
    </row>
    <row r="18381" spans="1:5" x14ac:dyDescent="0.25">
      <c r="A18381" t="s">
        <v>4</v>
      </c>
      <c r="B18381" t="s">
        <v>4111</v>
      </c>
      <c r="C18381" t="s">
        <v>23490</v>
      </c>
      <c r="D18381" t="str">
        <f>HYPERLINK("https://rhld.insurance.arkansas.gov/NPILookup?Npi=1255548459","1255548459")</f>
        <v>1255548459</v>
      </c>
      <c r="E18381" t="s">
        <v>14006</v>
      </c>
    </row>
    <row r="18382" spans="1:5" x14ac:dyDescent="0.25">
      <c r="A18382" t="s">
        <v>4</v>
      </c>
      <c r="B18382" t="s">
        <v>4111</v>
      </c>
      <c r="C18382" t="s">
        <v>23490</v>
      </c>
      <c r="D18382" t="str">
        <f>HYPERLINK("https://rhld.insurance.arkansas.gov/NPILookup?Npi=1255560280","1255560280")</f>
        <v>1255560280</v>
      </c>
      <c r="E18382" t="s">
        <v>19244</v>
      </c>
    </row>
    <row r="18383" spans="1:5" x14ac:dyDescent="0.25">
      <c r="A18383" t="s">
        <v>4</v>
      </c>
      <c r="B18383" t="s">
        <v>4111</v>
      </c>
      <c r="C18383" t="s">
        <v>23490</v>
      </c>
      <c r="D18383" t="str">
        <f>HYPERLINK("https://rhld.insurance.arkansas.gov/NPILookup?Npi=1255564803","1255564803")</f>
        <v>1255564803</v>
      </c>
      <c r="E18383" t="s">
        <v>17137</v>
      </c>
    </row>
    <row r="18384" spans="1:5" x14ac:dyDescent="0.25">
      <c r="A18384" t="s">
        <v>4</v>
      </c>
      <c r="B18384" t="s">
        <v>4111</v>
      </c>
      <c r="C18384" t="s">
        <v>23490</v>
      </c>
      <c r="D18384" t="str">
        <f>HYPERLINK("https://rhld.insurance.arkansas.gov/NPILookup?Npi=1255580338","1255580338")</f>
        <v>1255580338</v>
      </c>
      <c r="E18384" t="s">
        <v>18307</v>
      </c>
    </row>
    <row r="18385" spans="1:5" x14ac:dyDescent="0.25">
      <c r="A18385" t="s">
        <v>4</v>
      </c>
      <c r="B18385" t="s">
        <v>4111</v>
      </c>
      <c r="C18385" t="s">
        <v>23490</v>
      </c>
      <c r="D18385" t="str">
        <f>HYPERLINK("https://rhld.insurance.arkansas.gov/NPILookup?Npi=1255580346","1255580346")</f>
        <v>1255580346</v>
      </c>
      <c r="E18385" t="s">
        <v>4587</v>
      </c>
    </row>
    <row r="18386" spans="1:5" x14ac:dyDescent="0.25">
      <c r="A18386" t="s">
        <v>4</v>
      </c>
      <c r="B18386" t="s">
        <v>4111</v>
      </c>
      <c r="C18386" t="s">
        <v>23490</v>
      </c>
      <c r="D18386" t="str">
        <f>HYPERLINK("https://rhld.insurance.arkansas.gov/NPILookup?Npi=1255582748","1255582748")</f>
        <v>1255582748</v>
      </c>
      <c r="E18386" t="s">
        <v>16033</v>
      </c>
    </row>
    <row r="18387" spans="1:5" x14ac:dyDescent="0.25">
      <c r="A18387" t="s">
        <v>4</v>
      </c>
      <c r="B18387" t="s">
        <v>4111</v>
      </c>
      <c r="C18387" t="s">
        <v>23490</v>
      </c>
      <c r="D18387" t="str">
        <f>HYPERLINK("https://rhld.insurance.arkansas.gov/NPILookup?Npi=1255584637","1255584637")</f>
        <v>1255584637</v>
      </c>
      <c r="E18387" t="s">
        <v>16904</v>
      </c>
    </row>
    <row r="18388" spans="1:5" x14ac:dyDescent="0.25">
      <c r="A18388" t="s">
        <v>4</v>
      </c>
      <c r="B18388" t="s">
        <v>4111</v>
      </c>
      <c r="C18388" t="s">
        <v>23490</v>
      </c>
      <c r="D18388" t="str">
        <f>HYPERLINK("https://rhld.insurance.arkansas.gov/NPILookup?Npi=1255590089","1255590089")</f>
        <v>1255590089</v>
      </c>
      <c r="E18388" t="s">
        <v>11588</v>
      </c>
    </row>
    <row r="18389" spans="1:5" x14ac:dyDescent="0.25">
      <c r="A18389" t="s">
        <v>4</v>
      </c>
      <c r="B18389" t="s">
        <v>4111</v>
      </c>
      <c r="C18389" t="s">
        <v>23490</v>
      </c>
      <c r="D18389" t="str">
        <f>HYPERLINK("https://rhld.insurance.arkansas.gov/NPILookup?Npi=1255598983","1255598983")</f>
        <v>1255598983</v>
      </c>
      <c r="E18389" t="s">
        <v>18938</v>
      </c>
    </row>
    <row r="18390" spans="1:5" x14ac:dyDescent="0.25">
      <c r="A18390" t="s">
        <v>4</v>
      </c>
      <c r="B18390" t="s">
        <v>4111</v>
      </c>
      <c r="C18390" t="s">
        <v>23490</v>
      </c>
      <c r="D18390" t="str">
        <f>HYPERLINK("https://rhld.insurance.arkansas.gov/NPILookup?Npi=1255616728","1255616728")</f>
        <v>1255616728</v>
      </c>
      <c r="E18390" t="s">
        <v>21933</v>
      </c>
    </row>
    <row r="18391" spans="1:5" x14ac:dyDescent="0.25">
      <c r="A18391" t="s">
        <v>4</v>
      </c>
      <c r="B18391" t="s">
        <v>4111</v>
      </c>
      <c r="C18391" t="s">
        <v>23490</v>
      </c>
      <c r="D18391" t="str">
        <f>HYPERLINK("https://rhld.insurance.arkansas.gov/NPILookup?Npi=1255636429","1255636429")</f>
        <v>1255636429</v>
      </c>
      <c r="E18391" t="s">
        <v>11589</v>
      </c>
    </row>
    <row r="18392" spans="1:5" x14ac:dyDescent="0.25">
      <c r="A18392" t="s">
        <v>4</v>
      </c>
      <c r="B18392" t="s">
        <v>4111</v>
      </c>
      <c r="C18392" t="s">
        <v>23490</v>
      </c>
      <c r="D18392" t="str">
        <f>HYPERLINK("https://rhld.insurance.arkansas.gov/NPILookup?Npi=1255667325","1255667325")</f>
        <v>1255667325</v>
      </c>
      <c r="E18392" t="s">
        <v>4589</v>
      </c>
    </row>
    <row r="18393" spans="1:5" x14ac:dyDescent="0.25">
      <c r="A18393" t="s">
        <v>4</v>
      </c>
      <c r="B18393" t="s">
        <v>4111</v>
      </c>
      <c r="C18393" t="s">
        <v>23490</v>
      </c>
      <c r="D18393" t="str">
        <f>HYPERLINK("https://rhld.insurance.arkansas.gov/NPILookup?Npi=1255685814","1255685814")</f>
        <v>1255685814</v>
      </c>
      <c r="E18393" t="s">
        <v>11590</v>
      </c>
    </row>
    <row r="18394" spans="1:5" x14ac:dyDescent="0.25">
      <c r="A18394" t="s">
        <v>4</v>
      </c>
      <c r="B18394" t="s">
        <v>4111</v>
      </c>
      <c r="C18394" t="s">
        <v>23490</v>
      </c>
      <c r="D18394" t="str">
        <f>HYPERLINK("https://rhld.insurance.arkansas.gov/NPILookup?Npi=1255701470","1255701470")</f>
        <v>1255701470</v>
      </c>
      <c r="E18394" t="s">
        <v>9050</v>
      </c>
    </row>
    <row r="18395" spans="1:5" x14ac:dyDescent="0.25">
      <c r="A18395" t="s">
        <v>4</v>
      </c>
      <c r="B18395" t="s">
        <v>4111</v>
      </c>
      <c r="C18395" t="s">
        <v>23490</v>
      </c>
      <c r="D18395" t="str">
        <f>HYPERLINK("https://rhld.insurance.arkansas.gov/NPILookup?Npi=1255723185","1255723185")</f>
        <v>1255723185</v>
      </c>
      <c r="E18395" t="s">
        <v>4590</v>
      </c>
    </row>
    <row r="18396" spans="1:5" x14ac:dyDescent="0.25">
      <c r="A18396" t="s">
        <v>4</v>
      </c>
      <c r="B18396" t="s">
        <v>4111</v>
      </c>
      <c r="C18396" t="s">
        <v>23490</v>
      </c>
      <c r="D18396" t="str">
        <f>HYPERLINK("https://rhld.insurance.arkansas.gov/NPILookup?Npi=1255741310","1255741310")</f>
        <v>1255741310</v>
      </c>
      <c r="E18396" t="s">
        <v>16034</v>
      </c>
    </row>
    <row r="18397" spans="1:5" x14ac:dyDescent="0.25">
      <c r="A18397" t="s">
        <v>4</v>
      </c>
      <c r="B18397" t="s">
        <v>4111</v>
      </c>
      <c r="C18397" t="s">
        <v>23490</v>
      </c>
      <c r="D18397" t="str">
        <f>HYPERLINK("https://rhld.insurance.arkansas.gov/NPILookup?Npi=1255753570","1255753570")</f>
        <v>1255753570</v>
      </c>
      <c r="E18397" t="s">
        <v>11591</v>
      </c>
    </row>
    <row r="18398" spans="1:5" x14ac:dyDescent="0.25">
      <c r="A18398" t="s">
        <v>4</v>
      </c>
      <c r="B18398" t="s">
        <v>4111</v>
      </c>
      <c r="C18398" t="s">
        <v>23490</v>
      </c>
      <c r="D18398" t="str">
        <f>HYPERLINK("https://rhld.insurance.arkansas.gov/NPILookup?Npi=1255764312","1255764312")</f>
        <v>1255764312</v>
      </c>
      <c r="E18398" t="s">
        <v>14007</v>
      </c>
    </row>
    <row r="18399" spans="1:5" x14ac:dyDescent="0.25">
      <c r="A18399" t="s">
        <v>4</v>
      </c>
      <c r="B18399" t="s">
        <v>4111</v>
      </c>
      <c r="C18399" t="s">
        <v>23490</v>
      </c>
      <c r="D18399" t="str">
        <f>HYPERLINK("https://rhld.insurance.arkansas.gov/NPILookup?Npi=1255781571","1255781571")</f>
        <v>1255781571</v>
      </c>
      <c r="E18399" t="s">
        <v>16035</v>
      </c>
    </row>
    <row r="18400" spans="1:5" x14ac:dyDescent="0.25">
      <c r="A18400" t="s">
        <v>4</v>
      </c>
      <c r="B18400" t="s">
        <v>4111</v>
      </c>
      <c r="C18400" t="s">
        <v>23490</v>
      </c>
      <c r="D18400" t="str">
        <f>HYPERLINK("https://rhld.insurance.arkansas.gov/NPILookup?Npi=1255782561","1255782561")</f>
        <v>1255782561</v>
      </c>
      <c r="E18400" t="s">
        <v>18964</v>
      </c>
    </row>
    <row r="18401" spans="1:5" x14ac:dyDescent="0.25">
      <c r="A18401" t="s">
        <v>4</v>
      </c>
      <c r="B18401" t="s">
        <v>4111</v>
      </c>
      <c r="C18401" t="s">
        <v>23490</v>
      </c>
      <c r="D18401" t="str">
        <f>HYPERLINK("https://rhld.insurance.arkansas.gov/NPILookup?Npi=1255797288","1255797288")</f>
        <v>1255797288</v>
      </c>
      <c r="E18401" t="s">
        <v>20401</v>
      </c>
    </row>
    <row r="18402" spans="1:5" x14ac:dyDescent="0.25">
      <c r="A18402" t="s">
        <v>4</v>
      </c>
      <c r="B18402" t="s">
        <v>4111</v>
      </c>
      <c r="C18402" t="s">
        <v>23490</v>
      </c>
      <c r="D18402" t="str">
        <f>HYPERLINK("https://rhld.insurance.arkansas.gov/NPILookup?Npi=1255805214","1255805214")</f>
        <v>1255805214</v>
      </c>
      <c r="E18402" t="s">
        <v>21934</v>
      </c>
    </row>
    <row r="18403" spans="1:5" x14ac:dyDescent="0.25">
      <c r="A18403" t="s">
        <v>4</v>
      </c>
      <c r="B18403" t="s">
        <v>4111</v>
      </c>
      <c r="C18403" t="s">
        <v>23490</v>
      </c>
      <c r="D18403" t="str">
        <f>HYPERLINK("https://rhld.insurance.arkansas.gov/NPILookup?Npi=1255839627","1255839627")</f>
        <v>1255839627</v>
      </c>
      <c r="E18403" t="s">
        <v>21935</v>
      </c>
    </row>
    <row r="18404" spans="1:5" x14ac:dyDescent="0.25">
      <c r="A18404" t="s">
        <v>4</v>
      </c>
      <c r="B18404" t="s">
        <v>4111</v>
      </c>
      <c r="C18404" t="s">
        <v>23490</v>
      </c>
      <c r="D18404" t="str">
        <f>HYPERLINK("https://rhld.insurance.arkansas.gov/NPILookup?Npi=1255841599","1255841599")</f>
        <v>1255841599</v>
      </c>
      <c r="E18404" t="s">
        <v>17559</v>
      </c>
    </row>
    <row r="18405" spans="1:5" x14ac:dyDescent="0.25">
      <c r="A18405" t="s">
        <v>4</v>
      </c>
      <c r="B18405" t="s">
        <v>4111</v>
      </c>
      <c r="C18405" t="s">
        <v>23490</v>
      </c>
      <c r="D18405" t="str">
        <f>HYPERLINK("https://rhld.insurance.arkansas.gov/NPILookup?Npi=1255858882","1255858882")</f>
        <v>1255858882</v>
      </c>
      <c r="E18405" t="s">
        <v>16036</v>
      </c>
    </row>
    <row r="18406" spans="1:5" x14ac:dyDescent="0.25">
      <c r="A18406" t="s">
        <v>4</v>
      </c>
      <c r="B18406" t="s">
        <v>4111</v>
      </c>
      <c r="C18406" t="s">
        <v>23490</v>
      </c>
      <c r="D18406" t="str">
        <f>HYPERLINK("https://rhld.insurance.arkansas.gov/NPILookup?Npi=1255865077","1255865077")</f>
        <v>1255865077</v>
      </c>
      <c r="E18406" t="s">
        <v>12367</v>
      </c>
    </row>
    <row r="18407" spans="1:5" x14ac:dyDescent="0.25">
      <c r="A18407" t="s">
        <v>4</v>
      </c>
      <c r="B18407" t="s">
        <v>4111</v>
      </c>
      <c r="C18407" t="s">
        <v>23490</v>
      </c>
      <c r="D18407" t="str">
        <f>HYPERLINK("https://rhld.insurance.arkansas.gov/NPILookup?Npi=1255886560","1255886560")</f>
        <v>1255886560</v>
      </c>
      <c r="E18407" t="s">
        <v>11592</v>
      </c>
    </row>
    <row r="18408" spans="1:5" x14ac:dyDescent="0.25">
      <c r="A18408" t="s">
        <v>4</v>
      </c>
      <c r="B18408" t="s">
        <v>4111</v>
      </c>
      <c r="C18408" t="s">
        <v>23490</v>
      </c>
      <c r="D18408" t="str">
        <f>HYPERLINK("https://rhld.insurance.arkansas.gov/NPILookup?Npi=1255887824","1255887824")</f>
        <v>1255887824</v>
      </c>
      <c r="E18408" t="s">
        <v>11593</v>
      </c>
    </row>
    <row r="18409" spans="1:5" x14ac:dyDescent="0.25">
      <c r="A18409" t="s">
        <v>4</v>
      </c>
      <c r="B18409" t="s">
        <v>4111</v>
      </c>
      <c r="C18409" t="s">
        <v>23490</v>
      </c>
      <c r="D18409" t="str">
        <f>HYPERLINK("https://rhld.insurance.arkansas.gov/NPILookup?Npi=1255923470","1255923470")</f>
        <v>1255923470</v>
      </c>
      <c r="E18409" t="s">
        <v>21936</v>
      </c>
    </row>
    <row r="18410" spans="1:5" x14ac:dyDescent="0.25">
      <c r="A18410" t="s">
        <v>4</v>
      </c>
      <c r="B18410" t="s">
        <v>4111</v>
      </c>
      <c r="C18410" t="s">
        <v>23490</v>
      </c>
      <c r="D18410" t="str">
        <f>HYPERLINK("https://rhld.insurance.arkansas.gov/NPILookup?Npi=1255928701","1255928701")</f>
        <v>1255928701</v>
      </c>
      <c r="E18410" t="s">
        <v>21937</v>
      </c>
    </row>
    <row r="18411" spans="1:5" x14ac:dyDescent="0.25">
      <c r="A18411" t="s">
        <v>4</v>
      </c>
      <c r="B18411" t="s">
        <v>4111</v>
      </c>
      <c r="C18411" t="s">
        <v>23490</v>
      </c>
      <c r="D18411" t="str">
        <f>HYPERLINK("https://rhld.insurance.arkansas.gov/NPILookup?Npi=1255985982","1255985982")</f>
        <v>1255985982</v>
      </c>
      <c r="E18411" t="s">
        <v>20402</v>
      </c>
    </row>
    <row r="18412" spans="1:5" x14ac:dyDescent="0.25">
      <c r="A18412" t="s">
        <v>4</v>
      </c>
      <c r="B18412" t="s">
        <v>4111</v>
      </c>
      <c r="C18412" t="s">
        <v>23490</v>
      </c>
      <c r="D18412" t="str">
        <f>HYPERLINK("https://rhld.insurance.arkansas.gov/NPILookup?Npi=1255986717","1255986717")</f>
        <v>1255986717</v>
      </c>
      <c r="E18412" t="s">
        <v>17138</v>
      </c>
    </row>
    <row r="18413" spans="1:5" x14ac:dyDescent="0.25">
      <c r="A18413" t="s">
        <v>4</v>
      </c>
      <c r="B18413" t="s">
        <v>4111</v>
      </c>
      <c r="C18413" t="s">
        <v>23490</v>
      </c>
      <c r="D18413" t="str">
        <f>HYPERLINK("https://rhld.insurance.arkansas.gov/NPILookup?Npi=1255987699","1255987699")</f>
        <v>1255987699</v>
      </c>
      <c r="E18413" t="s">
        <v>19557</v>
      </c>
    </row>
    <row r="18414" spans="1:5" x14ac:dyDescent="0.25">
      <c r="A18414" t="s">
        <v>4</v>
      </c>
      <c r="B18414" t="s">
        <v>4111</v>
      </c>
      <c r="C18414" t="s">
        <v>23490</v>
      </c>
      <c r="D18414" t="str">
        <f>HYPERLINK("https://rhld.insurance.arkansas.gov/NPILookup?Npi=1255989026","1255989026")</f>
        <v>1255989026</v>
      </c>
      <c r="E18414" t="s">
        <v>21117</v>
      </c>
    </row>
    <row r="18415" spans="1:5" x14ac:dyDescent="0.25">
      <c r="A18415" t="s">
        <v>4</v>
      </c>
      <c r="B18415" t="s">
        <v>4111</v>
      </c>
      <c r="C18415" t="s">
        <v>23490</v>
      </c>
      <c r="D18415" t="str">
        <f>HYPERLINK("https://rhld.insurance.arkansas.gov/NPILookup?Npi=1255992640","1255992640")</f>
        <v>1255992640</v>
      </c>
      <c r="E18415" t="s">
        <v>21938</v>
      </c>
    </row>
    <row r="18416" spans="1:5" x14ac:dyDescent="0.25">
      <c r="A18416" t="s">
        <v>4</v>
      </c>
      <c r="B18416" t="s">
        <v>4111</v>
      </c>
      <c r="C18416" t="s">
        <v>23490</v>
      </c>
      <c r="D18416" t="str">
        <f>HYPERLINK("https://rhld.insurance.arkansas.gov/NPILookup?Npi=1265001044","1265001044")</f>
        <v>1265001044</v>
      </c>
      <c r="E18416" t="s">
        <v>21939</v>
      </c>
    </row>
    <row r="18417" spans="1:5" x14ac:dyDescent="0.25">
      <c r="A18417" t="s">
        <v>4</v>
      </c>
      <c r="B18417" t="s">
        <v>4111</v>
      </c>
      <c r="C18417" t="s">
        <v>23490</v>
      </c>
      <c r="D18417" t="str">
        <f>HYPERLINK("https://rhld.insurance.arkansas.gov/NPILookup?Npi=1265019558","1265019558")</f>
        <v>1265019558</v>
      </c>
      <c r="E18417" t="s">
        <v>21940</v>
      </c>
    </row>
    <row r="18418" spans="1:5" x14ac:dyDescent="0.25">
      <c r="A18418" t="s">
        <v>4</v>
      </c>
      <c r="B18418" t="s">
        <v>4111</v>
      </c>
      <c r="C18418" t="s">
        <v>23490</v>
      </c>
      <c r="D18418" t="str">
        <f>HYPERLINK("https://rhld.insurance.arkansas.gov/NPILookup?Npi=1265035349","1265035349")</f>
        <v>1265035349</v>
      </c>
      <c r="E18418" t="s">
        <v>19065</v>
      </c>
    </row>
    <row r="18419" spans="1:5" x14ac:dyDescent="0.25">
      <c r="A18419" t="s">
        <v>4</v>
      </c>
      <c r="B18419" t="s">
        <v>4111</v>
      </c>
      <c r="C18419" t="s">
        <v>23490</v>
      </c>
      <c r="D18419" t="str">
        <f>HYPERLINK("https://rhld.insurance.arkansas.gov/NPILookup?Npi=1265045090","1265045090")</f>
        <v>1265045090</v>
      </c>
      <c r="E18419" t="s">
        <v>21941</v>
      </c>
    </row>
    <row r="18420" spans="1:5" x14ac:dyDescent="0.25">
      <c r="A18420" t="s">
        <v>4</v>
      </c>
      <c r="B18420" t="s">
        <v>4111</v>
      </c>
      <c r="C18420" t="s">
        <v>23490</v>
      </c>
      <c r="D18420" t="str">
        <f>HYPERLINK("https://rhld.insurance.arkansas.gov/NPILookup?Npi=1265068019","1265068019")</f>
        <v>1265068019</v>
      </c>
      <c r="E18420" t="s">
        <v>21942</v>
      </c>
    </row>
    <row r="18421" spans="1:5" x14ac:dyDescent="0.25">
      <c r="A18421" t="s">
        <v>4</v>
      </c>
      <c r="B18421" t="s">
        <v>4111</v>
      </c>
      <c r="C18421" t="s">
        <v>23490</v>
      </c>
      <c r="D18421" t="str">
        <f>HYPERLINK("https://rhld.insurance.arkansas.gov/NPILookup?Npi=1265087274","1265087274")</f>
        <v>1265087274</v>
      </c>
      <c r="E18421" t="s">
        <v>18965</v>
      </c>
    </row>
    <row r="18422" spans="1:5" x14ac:dyDescent="0.25">
      <c r="A18422" t="s">
        <v>4</v>
      </c>
      <c r="B18422" t="s">
        <v>4111</v>
      </c>
      <c r="C18422" t="s">
        <v>23490</v>
      </c>
      <c r="D18422" t="str">
        <f>HYPERLINK("https://rhld.insurance.arkansas.gov/NPILookup?Npi=1265163265","1265163265")</f>
        <v>1265163265</v>
      </c>
      <c r="E18422" t="s">
        <v>21943</v>
      </c>
    </row>
    <row r="18423" spans="1:5" x14ac:dyDescent="0.25">
      <c r="A18423" t="s">
        <v>4</v>
      </c>
      <c r="B18423" t="s">
        <v>4111</v>
      </c>
      <c r="C18423" t="s">
        <v>23490</v>
      </c>
      <c r="D18423" t="str">
        <f>HYPERLINK("https://rhld.insurance.arkansas.gov/NPILookup?Npi=1265195168","1265195168")</f>
        <v>1265195168</v>
      </c>
      <c r="E18423" t="s">
        <v>20403</v>
      </c>
    </row>
    <row r="18424" spans="1:5" x14ac:dyDescent="0.25">
      <c r="A18424" t="s">
        <v>4</v>
      </c>
      <c r="B18424" t="s">
        <v>4111</v>
      </c>
      <c r="C18424" t="s">
        <v>8427</v>
      </c>
      <c r="D18424" t="str">
        <f>HYPERLINK("https://rhld.insurance.arkansas.gov/NPILookup?Npi=1265420830","1265420830")</f>
        <v>1265420830</v>
      </c>
      <c r="E18424" t="s">
        <v>23072</v>
      </c>
    </row>
    <row r="18425" spans="1:5" x14ac:dyDescent="0.25">
      <c r="A18425" t="s">
        <v>4</v>
      </c>
      <c r="B18425" t="s">
        <v>4111</v>
      </c>
      <c r="C18425" t="s">
        <v>23490</v>
      </c>
      <c r="D18425" t="str">
        <f>HYPERLINK("https://rhld.insurance.arkansas.gov/NPILookup?Npi=1265433296","1265433296")</f>
        <v>1265433296</v>
      </c>
      <c r="E18425" t="s">
        <v>4591</v>
      </c>
    </row>
    <row r="18426" spans="1:5" x14ac:dyDescent="0.25">
      <c r="A18426" t="s">
        <v>4</v>
      </c>
      <c r="B18426" t="s">
        <v>4111</v>
      </c>
      <c r="C18426" t="s">
        <v>23490</v>
      </c>
      <c r="D18426" t="str">
        <f>HYPERLINK("https://rhld.insurance.arkansas.gov/NPILookup?Npi=1265441067","1265441067")</f>
        <v>1265441067</v>
      </c>
      <c r="E18426" t="s">
        <v>4592</v>
      </c>
    </row>
    <row r="18427" spans="1:5" x14ac:dyDescent="0.25">
      <c r="A18427" t="s">
        <v>4</v>
      </c>
      <c r="B18427" t="s">
        <v>4111</v>
      </c>
      <c r="C18427" t="s">
        <v>23490</v>
      </c>
      <c r="D18427" t="str">
        <f>HYPERLINK("https://rhld.insurance.arkansas.gov/NPILookup?Npi=1265451892","1265451892")</f>
        <v>1265451892</v>
      </c>
      <c r="E18427" t="s">
        <v>4593</v>
      </c>
    </row>
    <row r="18428" spans="1:5" x14ac:dyDescent="0.25">
      <c r="A18428" t="s">
        <v>4</v>
      </c>
      <c r="B18428" t="s">
        <v>4111</v>
      </c>
      <c r="C18428" t="s">
        <v>23490</v>
      </c>
      <c r="D18428" t="str">
        <f>HYPERLINK("https://rhld.insurance.arkansas.gov/NPILookup?Npi=1265464630","1265464630")</f>
        <v>1265464630</v>
      </c>
      <c r="E18428" t="s">
        <v>4594</v>
      </c>
    </row>
    <row r="18429" spans="1:5" x14ac:dyDescent="0.25">
      <c r="A18429" t="s">
        <v>4</v>
      </c>
      <c r="B18429" t="s">
        <v>4111</v>
      </c>
      <c r="C18429" t="s">
        <v>23490</v>
      </c>
      <c r="D18429" t="str">
        <f>HYPERLINK("https://rhld.insurance.arkansas.gov/NPILookup?Npi=1265466197","1265466197")</f>
        <v>1265466197</v>
      </c>
      <c r="E18429" t="s">
        <v>4595</v>
      </c>
    </row>
    <row r="18430" spans="1:5" x14ac:dyDescent="0.25">
      <c r="A18430" t="s">
        <v>4</v>
      </c>
      <c r="B18430" t="s">
        <v>4111</v>
      </c>
      <c r="C18430" t="s">
        <v>23490</v>
      </c>
      <c r="D18430" t="str">
        <f>HYPERLINK("https://rhld.insurance.arkansas.gov/NPILookup?Npi=1265470082","1265470082")</f>
        <v>1265470082</v>
      </c>
      <c r="E18430" t="s">
        <v>13099</v>
      </c>
    </row>
    <row r="18431" spans="1:5" x14ac:dyDescent="0.25">
      <c r="A18431" t="s">
        <v>4</v>
      </c>
      <c r="B18431" t="s">
        <v>4111</v>
      </c>
      <c r="C18431" t="s">
        <v>23490</v>
      </c>
      <c r="D18431" t="str">
        <f>HYPERLINK("https://rhld.insurance.arkansas.gov/NPILookup?Npi=1265477111","1265477111")</f>
        <v>1265477111</v>
      </c>
      <c r="E18431" t="s">
        <v>4596</v>
      </c>
    </row>
    <row r="18432" spans="1:5" x14ac:dyDescent="0.25">
      <c r="A18432" t="s">
        <v>4</v>
      </c>
      <c r="B18432" t="s">
        <v>4111</v>
      </c>
      <c r="C18432" t="s">
        <v>23490</v>
      </c>
      <c r="D18432" t="str">
        <f>HYPERLINK("https://rhld.insurance.arkansas.gov/NPILookup?Npi=1265489728","1265489728")</f>
        <v>1265489728</v>
      </c>
      <c r="E18432" t="s">
        <v>4597</v>
      </c>
    </row>
    <row r="18433" spans="1:5" x14ac:dyDescent="0.25">
      <c r="A18433" t="s">
        <v>4</v>
      </c>
      <c r="B18433" t="s">
        <v>4111</v>
      </c>
      <c r="C18433" t="s">
        <v>23490</v>
      </c>
      <c r="D18433" t="str">
        <f>HYPERLINK("https://rhld.insurance.arkansas.gov/NPILookup?Npi=1265519953","1265519953")</f>
        <v>1265519953</v>
      </c>
      <c r="E18433" t="s">
        <v>4598</v>
      </c>
    </row>
    <row r="18434" spans="1:5" x14ac:dyDescent="0.25">
      <c r="A18434" t="s">
        <v>4</v>
      </c>
      <c r="B18434" t="s">
        <v>4111</v>
      </c>
      <c r="C18434" t="s">
        <v>23490</v>
      </c>
      <c r="D18434" t="str">
        <f>HYPERLINK("https://rhld.insurance.arkansas.gov/NPILookup?Npi=1265522833","1265522833")</f>
        <v>1265522833</v>
      </c>
      <c r="E18434" t="s">
        <v>16037</v>
      </c>
    </row>
    <row r="18435" spans="1:5" x14ac:dyDescent="0.25">
      <c r="A18435" t="s">
        <v>4</v>
      </c>
      <c r="B18435" t="s">
        <v>4111</v>
      </c>
      <c r="C18435" t="s">
        <v>23490</v>
      </c>
      <c r="D18435" t="str">
        <f>HYPERLINK("https://rhld.insurance.arkansas.gov/NPILookup?Npi=1265545297","1265545297")</f>
        <v>1265545297</v>
      </c>
      <c r="E18435" t="s">
        <v>4599</v>
      </c>
    </row>
    <row r="18436" spans="1:5" x14ac:dyDescent="0.25">
      <c r="A18436" t="s">
        <v>4</v>
      </c>
      <c r="B18436" t="s">
        <v>4111</v>
      </c>
      <c r="C18436" t="s">
        <v>23490</v>
      </c>
      <c r="D18436" t="str">
        <f>HYPERLINK("https://rhld.insurance.arkansas.gov/NPILookup?Npi=1265556633","1265556633")</f>
        <v>1265556633</v>
      </c>
      <c r="E18436" t="s">
        <v>16038</v>
      </c>
    </row>
    <row r="18437" spans="1:5" x14ac:dyDescent="0.25">
      <c r="A18437" t="s">
        <v>4</v>
      </c>
      <c r="B18437" t="s">
        <v>4111</v>
      </c>
      <c r="C18437" t="s">
        <v>23490</v>
      </c>
      <c r="D18437" t="str">
        <f>HYPERLINK("https://rhld.insurance.arkansas.gov/NPILookup?Npi=1265566400","1265566400")</f>
        <v>1265566400</v>
      </c>
      <c r="E18437" t="s">
        <v>4600</v>
      </c>
    </row>
    <row r="18438" spans="1:5" x14ac:dyDescent="0.25">
      <c r="A18438" t="s">
        <v>4</v>
      </c>
      <c r="B18438" t="s">
        <v>4111</v>
      </c>
      <c r="C18438" t="s">
        <v>23490</v>
      </c>
      <c r="D18438" t="str">
        <f>HYPERLINK("https://rhld.insurance.arkansas.gov/NPILookup?Npi=1265579080","1265579080")</f>
        <v>1265579080</v>
      </c>
      <c r="E18438" t="s">
        <v>9051</v>
      </c>
    </row>
    <row r="18439" spans="1:5" x14ac:dyDescent="0.25">
      <c r="A18439" t="s">
        <v>4</v>
      </c>
      <c r="B18439" t="s">
        <v>4111</v>
      </c>
      <c r="C18439" t="s">
        <v>23490</v>
      </c>
      <c r="D18439" t="str">
        <f>HYPERLINK("https://rhld.insurance.arkansas.gov/NPILookup?Npi=1265589493","1265589493")</f>
        <v>1265589493</v>
      </c>
      <c r="E18439" t="s">
        <v>4601</v>
      </c>
    </row>
    <row r="18440" spans="1:5" x14ac:dyDescent="0.25">
      <c r="A18440" t="s">
        <v>4</v>
      </c>
      <c r="B18440" t="s">
        <v>4111</v>
      </c>
      <c r="C18440" t="s">
        <v>23490</v>
      </c>
      <c r="D18440" t="str">
        <f>HYPERLINK("https://rhld.insurance.arkansas.gov/NPILookup?Npi=1265590384","1265590384")</f>
        <v>1265590384</v>
      </c>
      <c r="E18440" t="s">
        <v>4602</v>
      </c>
    </row>
    <row r="18441" spans="1:5" x14ac:dyDescent="0.25">
      <c r="A18441" t="s">
        <v>4</v>
      </c>
      <c r="B18441" t="s">
        <v>4111</v>
      </c>
      <c r="C18441" t="s">
        <v>23490</v>
      </c>
      <c r="D18441" t="str">
        <f>HYPERLINK("https://rhld.insurance.arkansas.gov/NPILookup?Npi=1265594345","1265594345")</f>
        <v>1265594345</v>
      </c>
      <c r="E18441" t="s">
        <v>4603</v>
      </c>
    </row>
    <row r="18442" spans="1:5" x14ac:dyDescent="0.25">
      <c r="A18442" t="s">
        <v>4</v>
      </c>
      <c r="B18442" t="s">
        <v>4111</v>
      </c>
      <c r="C18442" t="s">
        <v>23490</v>
      </c>
      <c r="D18442" t="str">
        <f>HYPERLINK("https://rhld.insurance.arkansas.gov/NPILookup?Npi=1265609747","1265609747")</f>
        <v>1265609747</v>
      </c>
      <c r="E18442" t="s">
        <v>11594</v>
      </c>
    </row>
    <row r="18443" spans="1:5" x14ac:dyDescent="0.25">
      <c r="A18443" t="s">
        <v>4</v>
      </c>
      <c r="B18443" t="s">
        <v>4111</v>
      </c>
      <c r="C18443" t="s">
        <v>23490</v>
      </c>
      <c r="D18443" t="str">
        <f>HYPERLINK("https://rhld.insurance.arkansas.gov/NPILookup?Npi=1265636260","1265636260")</f>
        <v>1265636260</v>
      </c>
      <c r="E18443" t="s">
        <v>4604</v>
      </c>
    </row>
    <row r="18444" spans="1:5" x14ac:dyDescent="0.25">
      <c r="A18444" t="s">
        <v>4</v>
      </c>
      <c r="B18444" t="s">
        <v>4111</v>
      </c>
      <c r="C18444" t="s">
        <v>23490</v>
      </c>
      <c r="D18444" t="str">
        <f>HYPERLINK("https://rhld.insurance.arkansas.gov/NPILookup?Npi=1265641914","1265641914")</f>
        <v>1265641914</v>
      </c>
      <c r="E18444" t="s">
        <v>4605</v>
      </c>
    </row>
    <row r="18445" spans="1:5" x14ac:dyDescent="0.25">
      <c r="A18445" t="s">
        <v>4</v>
      </c>
      <c r="B18445" t="s">
        <v>4111</v>
      </c>
      <c r="C18445" t="s">
        <v>23490</v>
      </c>
      <c r="D18445" t="str">
        <f>HYPERLINK("https://rhld.insurance.arkansas.gov/NPILookup?Npi=1265657274","1265657274")</f>
        <v>1265657274</v>
      </c>
      <c r="E18445" t="s">
        <v>4606</v>
      </c>
    </row>
    <row r="18446" spans="1:5" x14ac:dyDescent="0.25">
      <c r="A18446" t="s">
        <v>4</v>
      </c>
      <c r="B18446" t="s">
        <v>4111</v>
      </c>
      <c r="C18446" t="s">
        <v>23490</v>
      </c>
      <c r="D18446" t="str">
        <f>HYPERLINK("https://rhld.insurance.arkansas.gov/NPILookup?Npi=1265684203","1265684203")</f>
        <v>1265684203</v>
      </c>
      <c r="E18446" t="s">
        <v>4607</v>
      </c>
    </row>
    <row r="18447" spans="1:5" x14ac:dyDescent="0.25">
      <c r="A18447" t="s">
        <v>4</v>
      </c>
      <c r="B18447" t="s">
        <v>4111</v>
      </c>
      <c r="C18447" t="s">
        <v>23490</v>
      </c>
      <c r="D18447" t="str">
        <f>HYPERLINK("https://rhld.insurance.arkansas.gov/NPILookup?Npi=1265684369","1265684369")</f>
        <v>1265684369</v>
      </c>
      <c r="E18447" t="s">
        <v>4608</v>
      </c>
    </row>
    <row r="18448" spans="1:5" x14ac:dyDescent="0.25">
      <c r="A18448" t="s">
        <v>4</v>
      </c>
      <c r="B18448" t="s">
        <v>4111</v>
      </c>
      <c r="C18448" t="s">
        <v>23490</v>
      </c>
      <c r="D18448" t="str">
        <f>HYPERLINK("https://rhld.insurance.arkansas.gov/NPILookup?Npi=1265712780","1265712780")</f>
        <v>1265712780</v>
      </c>
      <c r="E18448" t="s">
        <v>4609</v>
      </c>
    </row>
    <row r="18449" spans="1:5" x14ac:dyDescent="0.25">
      <c r="A18449" t="s">
        <v>4</v>
      </c>
      <c r="B18449" t="s">
        <v>4111</v>
      </c>
      <c r="C18449" t="s">
        <v>23490</v>
      </c>
      <c r="D18449" t="str">
        <f>HYPERLINK("https://rhld.insurance.arkansas.gov/NPILookup?Npi=1265732721","1265732721")</f>
        <v>1265732721</v>
      </c>
      <c r="E18449" t="s">
        <v>4610</v>
      </c>
    </row>
    <row r="18450" spans="1:5" x14ac:dyDescent="0.25">
      <c r="A18450" t="s">
        <v>4</v>
      </c>
      <c r="B18450" t="s">
        <v>4111</v>
      </c>
      <c r="C18450" t="s">
        <v>23490</v>
      </c>
      <c r="D18450" t="str">
        <f>HYPERLINK("https://rhld.insurance.arkansas.gov/NPILookup?Npi=1265741185","1265741185")</f>
        <v>1265741185</v>
      </c>
      <c r="E18450" t="s">
        <v>11595</v>
      </c>
    </row>
    <row r="18451" spans="1:5" x14ac:dyDescent="0.25">
      <c r="A18451" t="s">
        <v>4</v>
      </c>
      <c r="B18451" t="s">
        <v>4111</v>
      </c>
      <c r="C18451" t="s">
        <v>23490</v>
      </c>
      <c r="D18451" t="str">
        <f>HYPERLINK("https://rhld.insurance.arkansas.gov/NPILookup?Npi=1265767073","1265767073")</f>
        <v>1265767073</v>
      </c>
      <c r="E18451" t="s">
        <v>4611</v>
      </c>
    </row>
    <row r="18452" spans="1:5" x14ac:dyDescent="0.25">
      <c r="A18452" t="s">
        <v>4</v>
      </c>
      <c r="B18452" t="s">
        <v>4111</v>
      </c>
      <c r="C18452" t="s">
        <v>23490</v>
      </c>
      <c r="D18452" t="str">
        <f>HYPERLINK("https://rhld.insurance.arkansas.gov/NPILookup?Npi=1265782767","1265782767")</f>
        <v>1265782767</v>
      </c>
      <c r="E18452" t="s">
        <v>4612</v>
      </c>
    </row>
    <row r="18453" spans="1:5" x14ac:dyDescent="0.25">
      <c r="A18453" t="s">
        <v>4</v>
      </c>
      <c r="B18453" t="s">
        <v>4111</v>
      </c>
      <c r="C18453" t="s">
        <v>23490</v>
      </c>
      <c r="D18453" t="str">
        <f>HYPERLINK("https://rhld.insurance.arkansas.gov/NPILookup?Npi=1265789465","1265789465")</f>
        <v>1265789465</v>
      </c>
      <c r="E18453" t="s">
        <v>11596</v>
      </c>
    </row>
    <row r="18454" spans="1:5" x14ac:dyDescent="0.25">
      <c r="A18454" t="s">
        <v>4</v>
      </c>
      <c r="B18454" t="s">
        <v>4111</v>
      </c>
      <c r="C18454" t="s">
        <v>23490</v>
      </c>
      <c r="D18454" t="str">
        <f>HYPERLINK("https://rhld.insurance.arkansas.gov/NPILookup?Npi=1265794218","1265794218")</f>
        <v>1265794218</v>
      </c>
      <c r="E18454" t="s">
        <v>4613</v>
      </c>
    </row>
    <row r="18455" spans="1:5" x14ac:dyDescent="0.25">
      <c r="A18455" t="s">
        <v>4</v>
      </c>
      <c r="B18455" t="s">
        <v>4111</v>
      </c>
      <c r="C18455" t="s">
        <v>23490</v>
      </c>
      <c r="D18455" t="str">
        <f>HYPERLINK("https://rhld.insurance.arkansas.gov/NPILookup?Npi=1265819825","1265819825")</f>
        <v>1265819825</v>
      </c>
      <c r="E18455" t="s">
        <v>16039</v>
      </c>
    </row>
    <row r="18456" spans="1:5" x14ac:dyDescent="0.25">
      <c r="A18456" t="s">
        <v>4</v>
      </c>
      <c r="B18456" t="s">
        <v>4111</v>
      </c>
      <c r="C18456" t="s">
        <v>23490</v>
      </c>
      <c r="D18456" t="str">
        <f>HYPERLINK("https://rhld.insurance.arkansas.gov/NPILookup?Npi=1265834733","1265834733")</f>
        <v>1265834733</v>
      </c>
      <c r="E18456" t="s">
        <v>21944</v>
      </c>
    </row>
    <row r="18457" spans="1:5" x14ac:dyDescent="0.25">
      <c r="A18457" t="s">
        <v>4</v>
      </c>
      <c r="B18457" t="s">
        <v>4111</v>
      </c>
      <c r="C18457" t="s">
        <v>23490</v>
      </c>
      <c r="D18457" t="str">
        <f>HYPERLINK("https://rhld.insurance.arkansas.gov/NPILookup?Npi=1265845788","1265845788")</f>
        <v>1265845788</v>
      </c>
      <c r="E18457" t="s">
        <v>16040</v>
      </c>
    </row>
    <row r="18458" spans="1:5" x14ac:dyDescent="0.25">
      <c r="A18458" t="s">
        <v>4</v>
      </c>
      <c r="B18458" t="s">
        <v>4111</v>
      </c>
      <c r="C18458" t="s">
        <v>23490</v>
      </c>
      <c r="D18458" t="str">
        <f>HYPERLINK("https://rhld.insurance.arkansas.gov/NPILookup?Npi=1265846620","1265846620")</f>
        <v>1265846620</v>
      </c>
      <c r="E18458" t="s">
        <v>17139</v>
      </c>
    </row>
    <row r="18459" spans="1:5" x14ac:dyDescent="0.25">
      <c r="A18459" t="s">
        <v>4</v>
      </c>
      <c r="B18459" t="s">
        <v>4111</v>
      </c>
      <c r="C18459" t="s">
        <v>8427</v>
      </c>
      <c r="D18459" t="str">
        <f>HYPERLINK("https://rhld.insurance.arkansas.gov/NPILookup?Npi=1265848063","1265848063")</f>
        <v>1265848063</v>
      </c>
      <c r="E18459" t="s">
        <v>23073</v>
      </c>
    </row>
    <row r="18460" spans="1:5" x14ac:dyDescent="0.25">
      <c r="A18460" t="s">
        <v>4</v>
      </c>
      <c r="B18460" t="s">
        <v>4111</v>
      </c>
      <c r="C18460" t="s">
        <v>23490</v>
      </c>
      <c r="D18460" t="str">
        <f>HYPERLINK("https://rhld.insurance.arkansas.gov/NPILookup?Npi=1265853162","1265853162")</f>
        <v>1265853162</v>
      </c>
      <c r="E18460" t="s">
        <v>9052</v>
      </c>
    </row>
    <row r="18461" spans="1:5" x14ac:dyDescent="0.25">
      <c r="A18461" t="s">
        <v>4</v>
      </c>
      <c r="B18461" t="s">
        <v>4111</v>
      </c>
      <c r="C18461" t="s">
        <v>23490</v>
      </c>
      <c r="D18461" t="str">
        <f>HYPERLINK("https://rhld.insurance.arkansas.gov/NPILookup?Npi=1265853378","1265853378")</f>
        <v>1265853378</v>
      </c>
      <c r="E18461" t="s">
        <v>14008</v>
      </c>
    </row>
    <row r="18462" spans="1:5" x14ac:dyDescent="0.25">
      <c r="A18462" t="s">
        <v>4</v>
      </c>
      <c r="B18462" t="s">
        <v>4111</v>
      </c>
      <c r="C18462" t="s">
        <v>23490</v>
      </c>
      <c r="D18462" t="str">
        <f>HYPERLINK("https://rhld.insurance.arkansas.gov/NPILookup?Npi=1265857312","1265857312")</f>
        <v>1265857312</v>
      </c>
      <c r="E18462" t="s">
        <v>11597</v>
      </c>
    </row>
    <row r="18463" spans="1:5" x14ac:dyDescent="0.25">
      <c r="A18463" t="s">
        <v>4</v>
      </c>
      <c r="B18463" t="s">
        <v>4111</v>
      </c>
      <c r="C18463" t="s">
        <v>23490</v>
      </c>
      <c r="D18463" t="str">
        <f>HYPERLINK("https://rhld.insurance.arkansas.gov/NPILookup?Npi=1265899462","1265899462")</f>
        <v>1265899462</v>
      </c>
      <c r="E18463" t="s">
        <v>11598</v>
      </c>
    </row>
    <row r="18464" spans="1:5" x14ac:dyDescent="0.25">
      <c r="A18464" t="s">
        <v>4</v>
      </c>
      <c r="B18464" t="s">
        <v>4111</v>
      </c>
      <c r="C18464" t="s">
        <v>23490</v>
      </c>
      <c r="D18464" t="str">
        <f>HYPERLINK("https://rhld.insurance.arkansas.gov/NPILookup?Npi=1265933733","1265933733")</f>
        <v>1265933733</v>
      </c>
      <c r="E18464" t="s">
        <v>20404</v>
      </c>
    </row>
    <row r="18465" spans="1:5" x14ac:dyDescent="0.25">
      <c r="A18465" t="s">
        <v>4</v>
      </c>
      <c r="B18465" t="s">
        <v>4111</v>
      </c>
      <c r="C18465" t="s">
        <v>23490</v>
      </c>
      <c r="D18465" t="str">
        <f>HYPERLINK("https://rhld.insurance.arkansas.gov/NPILookup?Npi=1265941090","1265941090")</f>
        <v>1265941090</v>
      </c>
      <c r="E18465" t="s">
        <v>14009</v>
      </c>
    </row>
    <row r="18466" spans="1:5" x14ac:dyDescent="0.25">
      <c r="A18466" t="s">
        <v>4</v>
      </c>
      <c r="B18466" t="s">
        <v>4111</v>
      </c>
      <c r="C18466" t="s">
        <v>23490</v>
      </c>
      <c r="D18466" t="str">
        <f>HYPERLINK("https://rhld.insurance.arkansas.gov/NPILookup?Npi=1265950034","1265950034")</f>
        <v>1265950034</v>
      </c>
      <c r="E18466" t="s">
        <v>14010</v>
      </c>
    </row>
    <row r="18467" spans="1:5" x14ac:dyDescent="0.25">
      <c r="A18467" t="s">
        <v>4</v>
      </c>
      <c r="B18467" t="s">
        <v>4111</v>
      </c>
      <c r="C18467" t="s">
        <v>23490</v>
      </c>
      <c r="D18467" t="str">
        <f>HYPERLINK("https://rhld.insurance.arkansas.gov/NPILookup?Npi=1265968093","1265968093")</f>
        <v>1265968093</v>
      </c>
      <c r="E18467" t="s">
        <v>17140</v>
      </c>
    </row>
    <row r="18468" spans="1:5" x14ac:dyDescent="0.25">
      <c r="A18468" t="s">
        <v>4</v>
      </c>
      <c r="B18468" t="s">
        <v>4111</v>
      </c>
      <c r="C18468" t="s">
        <v>23490</v>
      </c>
      <c r="D18468" t="str">
        <f>HYPERLINK("https://rhld.insurance.arkansas.gov/NPILookup?Npi=1265980593","1265980593")</f>
        <v>1265980593</v>
      </c>
      <c r="E18468" t="s">
        <v>17141</v>
      </c>
    </row>
    <row r="18469" spans="1:5" x14ac:dyDescent="0.25">
      <c r="A18469" t="s">
        <v>4</v>
      </c>
      <c r="B18469" t="s">
        <v>4111</v>
      </c>
      <c r="C18469" t="s">
        <v>23490</v>
      </c>
      <c r="D18469" t="str">
        <f>HYPERLINK("https://rhld.insurance.arkansas.gov/NPILookup?Npi=1265981526","1265981526")</f>
        <v>1265981526</v>
      </c>
      <c r="E18469" t="s">
        <v>11599</v>
      </c>
    </row>
    <row r="18470" spans="1:5" x14ac:dyDescent="0.25">
      <c r="A18470" t="s">
        <v>4</v>
      </c>
      <c r="B18470" t="s">
        <v>4111</v>
      </c>
      <c r="C18470" t="s">
        <v>23490</v>
      </c>
      <c r="D18470" t="str">
        <f>HYPERLINK("https://rhld.insurance.arkansas.gov/NPILookup?Npi=1265986186","1265986186")</f>
        <v>1265986186</v>
      </c>
      <c r="E18470" t="s">
        <v>11600</v>
      </c>
    </row>
    <row r="18471" spans="1:5" x14ac:dyDescent="0.25">
      <c r="A18471" t="s">
        <v>4</v>
      </c>
      <c r="B18471" t="s">
        <v>4111</v>
      </c>
      <c r="C18471" t="s">
        <v>23490</v>
      </c>
      <c r="D18471" t="str">
        <f>HYPERLINK("https://rhld.insurance.arkansas.gov/NPILookup?Npi=1275018293","1275018293")</f>
        <v>1275018293</v>
      </c>
      <c r="E18471" t="s">
        <v>18308</v>
      </c>
    </row>
    <row r="18472" spans="1:5" x14ac:dyDescent="0.25">
      <c r="A18472" t="s">
        <v>4</v>
      </c>
      <c r="B18472" t="s">
        <v>4111</v>
      </c>
      <c r="C18472" t="s">
        <v>23490</v>
      </c>
      <c r="D18472" t="str">
        <f>HYPERLINK("https://rhld.insurance.arkansas.gov/NPILookup?Npi=1275078149","1275078149")</f>
        <v>1275078149</v>
      </c>
      <c r="E18472" t="s">
        <v>21118</v>
      </c>
    </row>
    <row r="18473" spans="1:5" x14ac:dyDescent="0.25">
      <c r="A18473" t="s">
        <v>4</v>
      </c>
      <c r="B18473" t="s">
        <v>4111</v>
      </c>
      <c r="C18473" t="s">
        <v>23490</v>
      </c>
      <c r="D18473" t="str">
        <f>HYPERLINK("https://rhld.insurance.arkansas.gov/NPILookup?Npi=1275124901","1275124901")</f>
        <v>1275124901</v>
      </c>
      <c r="E18473" t="s">
        <v>18309</v>
      </c>
    </row>
    <row r="18474" spans="1:5" x14ac:dyDescent="0.25">
      <c r="A18474" t="s">
        <v>4</v>
      </c>
      <c r="B18474" t="s">
        <v>4111</v>
      </c>
      <c r="C18474" t="s">
        <v>23490</v>
      </c>
      <c r="D18474" t="str">
        <f>HYPERLINK("https://rhld.insurance.arkansas.gov/NPILookup?Npi=1275138703","1275138703")</f>
        <v>1275138703</v>
      </c>
      <c r="E18474" t="s">
        <v>20405</v>
      </c>
    </row>
    <row r="18475" spans="1:5" x14ac:dyDescent="0.25">
      <c r="A18475" t="s">
        <v>4</v>
      </c>
      <c r="B18475" t="s">
        <v>4111</v>
      </c>
      <c r="C18475" t="s">
        <v>23490</v>
      </c>
      <c r="D18475" t="str">
        <f>HYPERLINK("https://rhld.insurance.arkansas.gov/NPILookup?Npi=1275146094","1275146094")</f>
        <v>1275146094</v>
      </c>
      <c r="E18475" t="s">
        <v>21945</v>
      </c>
    </row>
    <row r="18476" spans="1:5" x14ac:dyDescent="0.25">
      <c r="A18476" t="s">
        <v>4</v>
      </c>
      <c r="B18476" t="s">
        <v>4111</v>
      </c>
      <c r="C18476" t="s">
        <v>23490</v>
      </c>
      <c r="D18476" t="str">
        <f>HYPERLINK("https://rhld.insurance.arkansas.gov/NPILookup?Npi=1275164782","1275164782")</f>
        <v>1275164782</v>
      </c>
      <c r="E18476" t="s">
        <v>20406</v>
      </c>
    </row>
    <row r="18477" spans="1:5" x14ac:dyDescent="0.25">
      <c r="A18477" t="s">
        <v>4</v>
      </c>
      <c r="B18477" t="s">
        <v>4111</v>
      </c>
      <c r="C18477" t="s">
        <v>23490</v>
      </c>
      <c r="D18477" t="str">
        <f>HYPERLINK("https://rhld.insurance.arkansas.gov/NPILookup?Npi=1275204091","1275204091")</f>
        <v>1275204091</v>
      </c>
      <c r="E18477" t="s">
        <v>16164</v>
      </c>
    </row>
    <row r="18478" spans="1:5" x14ac:dyDescent="0.25">
      <c r="A18478" t="s">
        <v>4</v>
      </c>
      <c r="B18478" t="s">
        <v>4111</v>
      </c>
      <c r="C18478" t="s">
        <v>23490</v>
      </c>
      <c r="D18478" t="str">
        <f>HYPERLINK("https://rhld.insurance.arkansas.gov/NPILookup?Npi=1275277279","1275277279")</f>
        <v>1275277279</v>
      </c>
      <c r="E18478" t="s">
        <v>20407</v>
      </c>
    </row>
    <row r="18479" spans="1:5" x14ac:dyDescent="0.25">
      <c r="A18479" t="s">
        <v>4</v>
      </c>
      <c r="B18479" t="s">
        <v>4111</v>
      </c>
      <c r="C18479" t="s">
        <v>23490</v>
      </c>
      <c r="D18479" t="str">
        <f>HYPERLINK("https://rhld.insurance.arkansas.gov/NPILookup?Npi=1275525834","1275525834")</f>
        <v>1275525834</v>
      </c>
      <c r="E18479" t="s">
        <v>21946</v>
      </c>
    </row>
    <row r="18480" spans="1:5" x14ac:dyDescent="0.25">
      <c r="A18480" t="s">
        <v>4</v>
      </c>
      <c r="B18480" t="s">
        <v>4111</v>
      </c>
      <c r="C18480" t="s">
        <v>23490</v>
      </c>
      <c r="D18480" t="str">
        <f>HYPERLINK("https://rhld.insurance.arkansas.gov/NPILookup?Npi=1275553471","1275553471")</f>
        <v>1275553471</v>
      </c>
      <c r="E18480" t="s">
        <v>4614</v>
      </c>
    </row>
    <row r="18481" spans="1:5" x14ac:dyDescent="0.25">
      <c r="A18481" t="s">
        <v>4</v>
      </c>
      <c r="B18481" t="s">
        <v>4111</v>
      </c>
      <c r="C18481" t="s">
        <v>23490</v>
      </c>
      <c r="D18481" t="str">
        <f>HYPERLINK("https://rhld.insurance.arkansas.gov/NPILookup?Npi=1275570442","1275570442")</f>
        <v>1275570442</v>
      </c>
      <c r="E18481" t="s">
        <v>4615</v>
      </c>
    </row>
    <row r="18482" spans="1:5" x14ac:dyDescent="0.25">
      <c r="A18482" t="s">
        <v>4</v>
      </c>
      <c r="B18482" t="s">
        <v>4111</v>
      </c>
      <c r="C18482" t="s">
        <v>23490</v>
      </c>
      <c r="D18482" t="str">
        <f>HYPERLINK("https://rhld.insurance.arkansas.gov/NPILookup?Npi=1275596678","1275596678")</f>
        <v>1275596678</v>
      </c>
      <c r="E18482" t="s">
        <v>4616</v>
      </c>
    </row>
    <row r="18483" spans="1:5" x14ac:dyDescent="0.25">
      <c r="A18483" t="s">
        <v>4</v>
      </c>
      <c r="B18483" t="s">
        <v>4111</v>
      </c>
      <c r="C18483" t="s">
        <v>23490</v>
      </c>
      <c r="D18483" t="str">
        <f>HYPERLINK("https://rhld.insurance.arkansas.gov/NPILookup?Npi=1275603581","1275603581")</f>
        <v>1275603581</v>
      </c>
      <c r="E18483" t="s">
        <v>20408</v>
      </c>
    </row>
    <row r="18484" spans="1:5" x14ac:dyDescent="0.25">
      <c r="A18484" t="s">
        <v>4</v>
      </c>
      <c r="B18484" t="s">
        <v>4111</v>
      </c>
      <c r="C18484" t="s">
        <v>23490</v>
      </c>
      <c r="D18484" t="str">
        <f>HYPERLINK("https://rhld.insurance.arkansas.gov/NPILookup?Npi=1275610024","1275610024")</f>
        <v>1275610024</v>
      </c>
      <c r="E18484" t="s">
        <v>4617</v>
      </c>
    </row>
    <row r="18485" spans="1:5" x14ac:dyDescent="0.25">
      <c r="A18485" t="s">
        <v>4</v>
      </c>
      <c r="B18485" t="s">
        <v>4111</v>
      </c>
      <c r="C18485" t="s">
        <v>23490</v>
      </c>
      <c r="D18485" t="str">
        <f>HYPERLINK("https://rhld.insurance.arkansas.gov/NPILookup?Npi=1275633299","1275633299")</f>
        <v>1275633299</v>
      </c>
      <c r="E18485" t="s">
        <v>4618</v>
      </c>
    </row>
    <row r="18486" spans="1:5" x14ac:dyDescent="0.25">
      <c r="A18486" t="s">
        <v>4</v>
      </c>
      <c r="B18486" t="s">
        <v>4111</v>
      </c>
      <c r="C18486" t="s">
        <v>23490</v>
      </c>
      <c r="D18486" t="str">
        <f>HYPERLINK("https://rhld.insurance.arkansas.gov/NPILookup?Npi=1275642928","1275642928")</f>
        <v>1275642928</v>
      </c>
      <c r="E18486" t="s">
        <v>4619</v>
      </c>
    </row>
    <row r="18487" spans="1:5" x14ac:dyDescent="0.25">
      <c r="A18487" t="s">
        <v>4</v>
      </c>
      <c r="B18487" t="s">
        <v>4111</v>
      </c>
      <c r="C18487" t="s">
        <v>23490</v>
      </c>
      <c r="D18487" t="str">
        <f>HYPERLINK("https://rhld.insurance.arkansas.gov/NPILookup?Npi=1275643678","1275643678")</f>
        <v>1275643678</v>
      </c>
      <c r="E18487" t="s">
        <v>4620</v>
      </c>
    </row>
    <row r="18488" spans="1:5" x14ac:dyDescent="0.25">
      <c r="A18488" t="s">
        <v>4</v>
      </c>
      <c r="B18488" t="s">
        <v>4111</v>
      </c>
      <c r="C18488" t="s">
        <v>23490</v>
      </c>
      <c r="D18488" t="str">
        <f>HYPERLINK("https://rhld.insurance.arkansas.gov/NPILookup?Npi=1275645400","1275645400")</f>
        <v>1275645400</v>
      </c>
      <c r="E18488" t="s">
        <v>18966</v>
      </c>
    </row>
    <row r="18489" spans="1:5" x14ac:dyDescent="0.25">
      <c r="A18489" t="s">
        <v>4</v>
      </c>
      <c r="B18489" t="s">
        <v>4111</v>
      </c>
      <c r="C18489" t="s">
        <v>23490</v>
      </c>
      <c r="D18489" t="str">
        <f>HYPERLINK("https://rhld.insurance.arkansas.gov/NPILookup?Npi=1275657454","1275657454")</f>
        <v>1275657454</v>
      </c>
      <c r="E18489" t="s">
        <v>16041</v>
      </c>
    </row>
    <row r="18490" spans="1:5" x14ac:dyDescent="0.25">
      <c r="A18490" t="s">
        <v>4</v>
      </c>
      <c r="B18490" t="s">
        <v>4111</v>
      </c>
      <c r="C18490" t="s">
        <v>23490</v>
      </c>
      <c r="D18490" t="str">
        <f>HYPERLINK("https://rhld.insurance.arkansas.gov/NPILookup?Npi=1275673212","1275673212")</f>
        <v>1275673212</v>
      </c>
      <c r="E18490" t="s">
        <v>16042</v>
      </c>
    </row>
    <row r="18491" spans="1:5" x14ac:dyDescent="0.25">
      <c r="A18491" t="s">
        <v>4</v>
      </c>
      <c r="B18491" t="s">
        <v>4111</v>
      </c>
      <c r="C18491" t="s">
        <v>23490</v>
      </c>
      <c r="D18491" t="str">
        <f>HYPERLINK("https://rhld.insurance.arkansas.gov/NPILookup?Npi=1275678179","1275678179")</f>
        <v>1275678179</v>
      </c>
      <c r="E18491" t="s">
        <v>16043</v>
      </c>
    </row>
    <row r="18492" spans="1:5" x14ac:dyDescent="0.25">
      <c r="A18492" t="s">
        <v>4</v>
      </c>
      <c r="B18492" t="s">
        <v>4111</v>
      </c>
      <c r="C18492" t="s">
        <v>23490</v>
      </c>
      <c r="D18492" t="str">
        <f>HYPERLINK("https://rhld.insurance.arkansas.gov/NPILookup?Npi=1275709545","1275709545")</f>
        <v>1275709545</v>
      </c>
      <c r="E18492" t="s">
        <v>4621</v>
      </c>
    </row>
    <row r="18493" spans="1:5" x14ac:dyDescent="0.25">
      <c r="A18493" t="s">
        <v>4</v>
      </c>
      <c r="B18493" t="s">
        <v>4111</v>
      </c>
      <c r="C18493" t="s">
        <v>23490</v>
      </c>
      <c r="D18493" t="str">
        <f>HYPERLINK("https://rhld.insurance.arkansas.gov/NPILookup?Npi=1275709859","1275709859")</f>
        <v>1275709859</v>
      </c>
      <c r="E18493" t="s">
        <v>21119</v>
      </c>
    </row>
    <row r="18494" spans="1:5" x14ac:dyDescent="0.25">
      <c r="A18494" t="s">
        <v>4</v>
      </c>
      <c r="B18494" t="s">
        <v>4111</v>
      </c>
      <c r="C18494" t="s">
        <v>23490</v>
      </c>
      <c r="D18494" t="str">
        <f>HYPERLINK("https://rhld.insurance.arkansas.gov/NPILookup?Npi=1275713836","1275713836")</f>
        <v>1275713836</v>
      </c>
      <c r="E18494" t="s">
        <v>4622</v>
      </c>
    </row>
    <row r="18495" spans="1:5" x14ac:dyDescent="0.25">
      <c r="A18495" t="s">
        <v>4</v>
      </c>
      <c r="B18495" t="s">
        <v>4111</v>
      </c>
      <c r="C18495" t="s">
        <v>23490</v>
      </c>
      <c r="D18495" t="str">
        <f>HYPERLINK("https://rhld.insurance.arkansas.gov/NPILookup?Npi=1275716482","1275716482")</f>
        <v>1275716482</v>
      </c>
      <c r="E18495" t="s">
        <v>4623</v>
      </c>
    </row>
    <row r="18496" spans="1:5" x14ac:dyDescent="0.25">
      <c r="A18496" t="s">
        <v>4</v>
      </c>
      <c r="B18496" t="s">
        <v>4111</v>
      </c>
      <c r="C18496" t="s">
        <v>23490</v>
      </c>
      <c r="D18496" t="str">
        <f>HYPERLINK("https://rhld.insurance.arkansas.gov/NPILookup?Npi=1275723355","1275723355")</f>
        <v>1275723355</v>
      </c>
      <c r="E18496" t="s">
        <v>14011</v>
      </c>
    </row>
    <row r="18497" spans="1:5" x14ac:dyDescent="0.25">
      <c r="A18497" t="s">
        <v>4</v>
      </c>
      <c r="B18497" t="s">
        <v>4111</v>
      </c>
      <c r="C18497" t="s">
        <v>23490</v>
      </c>
      <c r="D18497" t="str">
        <f>HYPERLINK("https://rhld.insurance.arkansas.gov/NPILookup?Npi=1275728974","1275728974")</f>
        <v>1275728974</v>
      </c>
      <c r="E18497" t="s">
        <v>4624</v>
      </c>
    </row>
    <row r="18498" spans="1:5" x14ac:dyDescent="0.25">
      <c r="A18498" t="s">
        <v>4</v>
      </c>
      <c r="B18498" t="s">
        <v>4111</v>
      </c>
      <c r="C18498" t="s">
        <v>23490</v>
      </c>
      <c r="D18498" t="str">
        <f>HYPERLINK("https://rhld.insurance.arkansas.gov/NPILookup?Npi=1275731796","1275731796")</f>
        <v>1275731796</v>
      </c>
      <c r="E18498" t="s">
        <v>20409</v>
      </c>
    </row>
    <row r="18499" spans="1:5" x14ac:dyDescent="0.25">
      <c r="A18499" t="s">
        <v>4</v>
      </c>
      <c r="B18499" t="s">
        <v>4111</v>
      </c>
      <c r="C18499" t="s">
        <v>23490</v>
      </c>
      <c r="D18499" t="str">
        <f>HYPERLINK("https://rhld.insurance.arkansas.gov/NPILookup?Npi=1275736159","1275736159")</f>
        <v>1275736159</v>
      </c>
      <c r="E18499" t="s">
        <v>13100</v>
      </c>
    </row>
    <row r="18500" spans="1:5" x14ac:dyDescent="0.25">
      <c r="A18500" t="s">
        <v>4</v>
      </c>
      <c r="B18500" t="s">
        <v>4111</v>
      </c>
      <c r="C18500" t="s">
        <v>23490</v>
      </c>
      <c r="D18500" t="str">
        <f>HYPERLINK("https://rhld.insurance.arkansas.gov/NPILookup?Npi=1275753477","1275753477")</f>
        <v>1275753477</v>
      </c>
      <c r="E18500" t="s">
        <v>21947</v>
      </c>
    </row>
    <row r="18501" spans="1:5" x14ac:dyDescent="0.25">
      <c r="A18501" t="s">
        <v>4</v>
      </c>
      <c r="B18501" t="s">
        <v>4111</v>
      </c>
      <c r="C18501" t="s">
        <v>23490</v>
      </c>
      <c r="D18501" t="str">
        <f>HYPERLINK("https://rhld.insurance.arkansas.gov/NPILookup?Npi=1275769903","1275769903")</f>
        <v>1275769903</v>
      </c>
      <c r="E18501" t="s">
        <v>9053</v>
      </c>
    </row>
    <row r="18502" spans="1:5" x14ac:dyDescent="0.25">
      <c r="A18502" t="s">
        <v>4</v>
      </c>
      <c r="B18502" t="s">
        <v>4111</v>
      </c>
      <c r="C18502" t="s">
        <v>23490</v>
      </c>
      <c r="D18502" t="str">
        <f>HYPERLINK("https://rhld.insurance.arkansas.gov/NPILookup?Npi=1275783953","1275783953")</f>
        <v>1275783953</v>
      </c>
      <c r="E18502" t="s">
        <v>4625</v>
      </c>
    </row>
    <row r="18503" spans="1:5" x14ac:dyDescent="0.25">
      <c r="A18503" t="s">
        <v>4</v>
      </c>
      <c r="B18503" t="s">
        <v>4111</v>
      </c>
      <c r="C18503" t="s">
        <v>23490</v>
      </c>
      <c r="D18503" t="str">
        <f>HYPERLINK("https://rhld.insurance.arkansas.gov/NPILookup?Npi=1275784506","1275784506")</f>
        <v>1275784506</v>
      </c>
      <c r="E18503" t="s">
        <v>4626</v>
      </c>
    </row>
    <row r="18504" spans="1:5" x14ac:dyDescent="0.25">
      <c r="A18504" t="s">
        <v>4</v>
      </c>
      <c r="B18504" t="s">
        <v>4111</v>
      </c>
      <c r="C18504" t="s">
        <v>23490</v>
      </c>
      <c r="D18504" t="str">
        <f>HYPERLINK("https://rhld.insurance.arkansas.gov/NPILookup?Npi=1275811671","1275811671")</f>
        <v>1275811671</v>
      </c>
      <c r="E18504" t="s">
        <v>11601</v>
      </c>
    </row>
    <row r="18505" spans="1:5" x14ac:dyDescent="0.25">
      <c r="A18505" t="s">
        <v>4</v>
      </c>
      <c r="B18505" t="s">
        <v>4111</v>
      </c>
      <c r="C18505" t="s">
        <v>23490</v>
      </c>
      <c r="D18505" t="str">
        <f>HYPERLINK("https://rhld.insurance.arkansas.gov/NPILookup?Npi=1275818049","1275818049")</f>
        <v>1275818049</v>
      </c>
      <c r="E18505" t="s">
        <v>11602</v>
      </c>
    </row>
    <row r="18506" spans="1:5" x14ac:dyDescent="0.25">
      <c r="A18506" t="s">
        <v>4</v>
      </c>
      <c r="B18506" t="s">
        <v>4111</v>
      </c>
      <c r="C18506" t="s">
        <v>23490</v>
      </c>
      <c r="D18506" t="str">
        <f>HYPERLINK("https://rhld.insurance.arkansas.gov/NPILookup?Npi=1275819344","1275819344")</f>
        <v>1275819344</v>
      </c>
      <c r="E18506" t="s">
        <v>21948</v>
      </c>
    </row>
    <row r="18507" spans="1:5" x14ac:dyDescent="0.25">
      <c r="A18507" t="s">
        <v>4</v>
      </c>
      <c r="B18507" t="s">
        <v>4111</v>
      </c>
      <c r="C18507" t="s">
        <v>23490</v>
      </c>
      <c r="D18507" t="str">
        <f>HYPERLINK("https://rhld.insurance.arkansas.gov/NPILookup?Npi=1275821456","1275821456")</f>
        <v>1275821456</v>
      </c>
      <c r="E18507" t="s">
        <v>18967</v>
      </c>
    </row>
    <row r="18508" spans="1:5" x14ac:dyDescent="0.25">
      <c r="A18508" t="s">
        <v>4</v>
      </c>
      <c r="B18508" t="s">
        <v>4111</v>
      </c>
      <c r="C18508" t="s">
        <v>23490</v>
      </c>
      <c r="D18508" t="str">
        <f>HYPERLINK("https://rhld.insurance.arkansas.gov/NPILookup?Npi=1275831331","1275831331")</f>
        <v>1275831331</v>
      </c>
      <c r="E18508" t="s">
        <v>9054</v>
      </c>
    </row>
    <row r="18509" spans="1:5" x14ac:dyDescent="0.25">
      <c r="A18509" t="s">
        <v>4</v>
      </c>
      <c r="B18509" t="s">
        <v>4111</v>
      </c>
      <c r="C18509" t="s">
        <v>23490</v>
      </c>
      <c r="D18509" t="str">
        <f>HYPERLINK("https://rhld.insurance.arkansas.gov/NPILookup?Npi=1275861114","1275861114")</f>
        <v>1275861114</v>
      </c>
      <c r="E18509" t="s">
        <v>20410</v>
      </c>
    </row>
    <row r="18510" spans="1:5" x14ac:dyDescent="0.25">
      <c r="A18510" t="s">
        <v>4</v>
      </c>
      <c r="B18510" t="s">
        <v>4111</v>
      </c>
      <c r="C18510" t="s">
        <v>23490</v>
      </c>
      <c r="D18510" t="str">
        <f>HYPERLINK("https://rhld.insurance.arkansas.gov/NPILookup?Npi=1275869133","1275869133")</f>
        <v>1275869133</v>
      </c>
      <c r="E18510" t="s">
        <v>4627</v>
      </c>
    </row>
    <row r="18511" spans="1:5" x14ac:dyDescent="0.25">
      <c r="A18511" t="s">
        <v>4</v>
      </c>
      <c r="B18511" t="s">
        <v>4111</v>
      </c>
      <c r="C18511" t="s">
        <v>23490</v>
      </c>
      <c r="D18511" t="str">
        <f>HYPERLINK("https://rhld.insurance.arkansas.gov/NPILookup?Npi=1275877045","1275877045")</f>
        <v>1275877045</v>
      </c>
      <c r="E18511" t="s">
        <v>4628</v>
      </c>
    </row>
    <row r="18512" spans="1:5" x14ac:dyDescent="0.25">
      <c r="A18512" t="s">
        <v>4</v>
      </c>
      <c r="B18512" t="s">
        <v>4111</v>
      </c>
      <c r="C18512" t="s">
        <v>23490</v>
      </c>
      <c r="D18512" t="str">
        <f>HYPERLINK("https://rhld.insurance.arkansas.gov/NPILookup?Npi=1275887978","1275887978")</f>
        <v>1275887978</v>
      </c>
      <c r="E18512" t="s">
        <v>13101</v>
      </c>
    </row>
    <row r="18513" spans="1:5" x14ac:dyDescent="0.25">
      <c r="A18513" t="s">
        <v>4</v>
      </c>
      <c r="B18513" t="s">
        <v>4111</v>
      </c>
      <c r="C18513" t="s">
        <v>23490</v>
      </c>
      <c r="D18513" t="str">
        <f>HYPERLINK("https://rhld.insurance.arkansas.gov/NPILookup?Npi=1275901498","1275901498")</f>
        <v>1275901498</v>
      </c>
      <c r="E18513" t="s">
        <v>11603</v>
      </c>
    </row>
    <row r="18514" spans="1:5" x14ac:dyDescent="0.25">
      <c r="A18514" t="s">
        <v>4</v>
      </c>
      <c r="B18514" t="s">
        <v>4111</v>
      </c>
      <c r="C18514" t="s">
        <v>23490</v>
      </c>
      <c r="D18514" t="str">
        <f>HYPERLINK("https://rhld.insurance.arkansas.gov/NPILookup?Npi=1275914814","1275914814")</f>
        <v>1275914814</v>
      </c>
      <c r="E18514" t="s">
        <v>16044</v>
      </c>
    </row>
    <row r="18515" spans="1:5" x14ac:dyDescent="0.25">
      <c r="A18515" t="s">
        <v>4</v>
      </c>
      <c r="B18515" t="s">
        <v>4111</v>
      </c>
      <c r="C18515" t="s">
        <v>23490</v>
      </c>
      <c r="D18515" t="str">
        <f>HYPERLINK("https://rhld.insurance.arkansas.gov/NPILookup?Npi=1275916520","1275916520")</f>
        <v>1275916520</v>
      </c>
      <c r="E18515" t="s">
        <v>18310</v>
      </c>
    </row>
    <row r="18516" spans="1:5" x14ac:dyDescent="0.25">
      <c r="A18516" t="s">
        <v>4</v>
      </c>
      <c r="B18516" t="s">
        <v>4111</v>
      </c>
      <c r="C18516" t="s">
        <v>23490</v>
      </c>
      <c r="D18516" t="str">
        <f>HYPERLINK("https://rhld.insurance.arkansas.gov/NPILookup?Npi=1275918625","1275918625")</f>
        <v>1275918625</v>
      </c>
      <c r="E18516" t="s">
        <v>13102</v>
      </c>
    </row>
    <row r="18517" spans="1:5" x14ac:dyDescent="0.25">
      <c r="A18517" t="s">
        <v>4</v>
      </c>
      <c r="B18517" t="s">
        <v>4111</v>
      </c>
      <c r="C18517" t="s">
        <v>23490</v>
      </c>
      <c r="D18517" t="str">
        <f>HYPERLINK("https://rhld.insurance.arkansas.gov/NPILookup?Npi=1275933202","1275933202")</f>
        <v>1275933202</v>
      </c>
      <c r="E18517" t="s">
        <v>16045</v>
      </c>
    </row>
    <row r="18518" spans="1:5" x14ac:dyDescent="0.25">
      <c r="A18518" t="s">
        <v>4</v>
      </c>
      <c r="B18518" t="s">
        <v>4111</v>
      </c>
      <c r="C18518" t="s">
        <v>23490</v>
      </c>
      <c r="D18518" t="str">
        <f>HYPERLINK("https://rhld.insurance.arkansas.gov/NPILookup?Npi=1275960700","1275960700")</f>
        <v>1275960700</v>
      </c>
      <c r="E18518" t="s">
        <v>20411</v>
      </c>
    </row>
    <row r="18519" spans="1:5" x14ac:dyDescent="0.25">
      <c r="A18519" t="s">
        <v>4</v>
      </c>
      <c r="B18519" t="s">
        <v>4111</v>
      </c>
      <c r="C18519" t="s">
        <v>23490</v>
      </c>
      <c r="D18519" t="str">
        <f>HYPERLINK("https://rhld.insurance.arkansas.gov/NPILookup?Npi=1275960809","1275960809")</f>
        <v>1275960809</v>
      </c>
      <c r="E18519" t="s">
        <v>20412</v>
      </c>
    </row>
    <row r="18520" spans="1:5" x14ac:dyDescent="0.25">
      <c r="A18520" t="s">
        <v>4</v>
      </c>
      <c r="B18520" t="s">
        <v>4111</v>
      </c>
      <c r="C18520" t="s">
        <v>23490</v>
      </c>
      <c r="D18520" t="str">
        <f>HYPERLINK("https://rhld.insurance.arkansas.gov/NPILookup?Npi=1275962045","1275962045")</f>
        <v>1275962045</v>
      </c>
      <c r="E18520" t="s">
        <v>14012</v>
      </c>
    </row>
    <row r="18521" spans="1:5" x14ac:dyDescent="0.25">
      <c r="A18521" t="s">
        <v>4</v>
      </c>
      <c r="B18521" t="s">
        <v>4111</v>
      </c>
      <c r="C18521" t="s">
        <v>23490</v>
      </c>
      <c r="D18521" t="str">
        <f>HYPERLINK("https://rhld.insurance.arkansas.gov/NPILookup?Npi=1275976292","1275976292")</f>
        <v>1275976292</v>
      </c>
      <c r="E18521" t="s">
        <v>20413</v>
      </c>
    </row>
    <row r="18522" spans="1:5" x14ac:dyDescent="0.25">
      <c r="A18522" t="s">
        <v>4</v>
      </c>
      <c r="B18522" t="s">
        <v>4111</v>
      </c>
      <c r="C18522" t="s">
        <v>23490</v>
      </c>
      <c r="D18522" t="str">
        <f>HYPERLINK("https://rhld.insurance.arkansas.gov/NPILookup?Npi=1275980278","1275980278")</f>
        <v>1275980278</v>
      </c>
      <c r="E18522" t="s">
        <v>18311</v>
      </c>
    </row>
    <row r="18523" spans="1:5" x14ac:dyDescent="0.25">
      <c r="A18523" t="s">
        <v>4</v>
      </c>
      <c r="B18523" t="s">
        <v>4111</v>
      </c>
      <c r="C18523" t="s">
        <v>23490</v>
      </c>
      <c r="D18523" t="str">
        <f>HYPERLINK("https://rhld.insurance.arkansas.gov/NPILookup?Npi=1275984163","1275984163")</f>
        <v>1275984163</v>
      </c>
      <c r="E18523" t="s">
        <v>14013</v>
      </c>
    </row>
    <row r="18524" spans="1:5" x14ac:dyDescent="0.25">
      <c r="A18524" t="s">
        <v>4</v>
      </c>
      <c r="B18524" t="s">
        <v>4111</v>
      </c>
      <c r="C18524" t="s">
        <v>23490</v>
      </c>
      <c r="D18524" t="str">
        <f>HYPERLINK("https://rhld.insurance.arkansas.gov/NPILookup?Npi=1275985491","1275985491")</f>
        <v>1275985491</v>
      </c>
      <c r="E18524" t="s">
        <v>11604</v>
      </c>
    </row>
    <row r="18525" spans="1:5" x14ac:dyDescent="0.25">
      <c r="A18525" t="s">
        <v>4</v>
      </c>
      <c r="B18525" t="s">
        <v>4111</v>
      </c>
      <c r="C18525" t="s">
        <v>23490</v>
      </c>
      <c r="D18525" t="str">
        <f>HYPERLINK("https://rhld.insurance.arkansas.gov/NPILookup?Npi=1275985566","1275985566")</f>
        <v>1275985566</v>
      </c>
      <c r="E18525" t="s">
        <v>17560</v>
      </c>
    </row>
    <row r="18526" spans="1:5" x14ac:dyDescent="0.25">
      <c r="A18526" t="s">
        <v>4</v>
      </c>
      <c r="B18526" t="s">
        <v>4111</v>
      </c>
      <c r="C18526" t="s">
        <v>23490</v>
      </c>
      <c r="D18526" t="str">
        <f>HYPERLINK("https://rhld.insurance.arkansas.gov/NPILookup?Npi=1285006841","1285006841")</f>
        <v>1285006841</v>
      </c>
      <c r="E18526" t="s">
        <v>18312</v>
      </c>
    </row>
    <row r="18527" spans="1:5" x14ac:dyDescent="0.25">
      <c r="A18527" t="s">
        <v>4</v>
      </c>
      <c r="B18527" t="s">
        <v>4111</v>
      </c>
      <c r="C18527" t="s">
        <v>23490</v>
      </c>
      <c r="D18527" t="str">
        <f>HYPERLINK("https://rhld.insurance.arkansas.gov/NPILookup?Npi=1285015677","1285015677")</f>
        <v>1285015677</v>
      </c>
      <c r="E18527" t="s">
        <v>4629</v>
      </c>
    </row>
    <row r="18528" spans="1:5" x14ac:dyDescent="0.25">
      <c r="A18528" t="s">
        <v>4</v>
      </c>
      <c r="B18528" t="s">
        <v>4111</v>
      </c>
      <c r="C18528" t="s">
        <v>23490</v>
      </c>
      <c r="D18528" t="str">
        <f>HYPERLINK("https://rhld.insurance.arkansas.gov/NPILookup?Npi=1285040303","1285040303")</f>
        <v>1285040303</v>
      </c>
      <c r="E18528" t="s">
        <v>21949</v>
      </c>
    </row>
    <row r="18529" spans="1:5" x14ac:dyDescent="0.25">
      <c r="A18529" t="s">
        <v>4</v>
      </c>
      <c r="B18529" t="s">
        <v>4111</v>
      </c>
      <c r="C18529" t="s">
        <v>23490</v>
      </c>
      <c r="D18529" t="str">
        <f>HYPERLINK("https://rhld.insurance.arkansas.gov/NPILookup?Npi=1285043588","1285043588")</f>
        <v>1285043588</v>
      </c>
      <c r="E18529" t="s">
        <v>17561</v>
      </c>
    </row>
    <row r="18530" spans="1:5" x14ac:dyDescent="0.25">
      <c r="A18530" t="s">
        <v>4</v>
      </c>
      <c r="B18530" t="s">
        <v>4111</v>
      </c>
      <c r="C18530" t="s">
        <v>23490</v>
      </c>
      <c r="D18530" t="str">
        <f>HYPERLINK("https://rhld.insurance.arkansas.gov/NPILookup?Npi=1285049791","1285049791")</f>
        <v>1285049791</v>
      </c>
      <c r="E18530" t="s">
        <v>22898</v>
      </c>
    </row>
    <row r="18531" spans="1:5" x14ac:dyDescent="0.25">
      <c r="A18531" t="s">
        <v>4</v>
      </c>
      <c r="B18531" t="s">
        <v>4111</v>
      </c>
      <c r="C18531" t="s">
        <v>23490</v>
      </c>
      <c r="D18531" t="str">
        <f>HYPERLINK("https://rhld.insurance.arkansas.gov/NPILookup?Npi=1285055327","1285055327")</f>
        <v>1285055327</v>
      </c>
      <c r="E18531" t="s">
        <v>4630</v>
      </c>
    </row>
    <row r="18532" spans="1:5" x14ac:dyDescent="0.25">
      <c r="A18532" t="s">
        <v>4</v>
      </c>
      <c r="B18532" t="s">
        <v>4111</v>
      </c>
      <c r="C18532" t="s">
        <v>23490</v>
      </c>
      <c r="D18532" t="str">
        <f>HYPERLINK("https://rhld.insurance.arkansas.gov/NPILookup?Npi=1285056861","1285056861")</f>
        <v>1285056861</v>
      </c>
      <c r="E18532" t="s">
        <v>21950</v>
      </c>
    </row>
    <row r="18533" spans="1:5" x14ac:dyDescent="0.25">
      <c r="A18533" t="s">
        <v>4</v>
      </c>
      <c r="B18533" t="s">
        <v>4111</v>
      </c>
      <c r="C18533" t="s">
        <v>23490</v>
      </c>
      <c r="D18533" t="str">
        <f>HYPERLINK("https://rhld.insurance.arkansas.gov/NPILookup?Npi=1285060012","1285060012")</f>
        <v>1285060012</v>
      </c>
      <c r="E18533" t="s">
        <v>13103</v>
      </c>
    </row>
    <row r="18534" spans="1:5" x14ac:dyDescent="0.25">
      <c r="A18534" t="s">
        <v>4</v>
      </c>
      <c r="B18534" t="s">
        <v>4111</v>
      </c>
      <c r="C18534" t="s">
        <v>23490</v>
      </c>
      <c r="D18534" t="str">
        <f>HYPERLINK("https://rhld.insurance.arkansas.gov/NPILookup?Npi=1285065151","1285065151")</f>
        <v>1285065151</v>
      </c>
      <c r="E18534" t="s">
        <v>13104</v>
      </c>
    </row>
    <row r="18535" spans="1:5" x14ac:dyDescent="0.25">
      <c r="A18535" t="s">
        <v>4</v>
      </c>
      <c r="B18535" t="s">
        <v>4111</v>
      </c>
      <c r="C18535" t="s">
        <v>23490</v>
      </c>
      <c r="D18535" t="str">
        <f>HYPERLINK("https://rhld.insurance.arkansas.gov/NPILookup?Npi=1285107144","1285107144")</f>
        <v>1285107144</v>
      </c>
      <c r="E18535" t="s">
        <v>21951</v>
      </c>
    </row>
    <row r="18536" spans="1:5" x14ac:dyDescent="0.25">
      <c r="A18536" t="s">
        <v>4</v>
      </c>
      <c r="B18536" t="s">
        <v>4111</v>
      </c>
      <c r="C18536" t="s">
        <v>23490</v>
      </c>
      <c r="D18536" t="str">
        <f>HYPERLINK("https://rhld.insurance.arkansas.gov/NPILookup?Npi=1285118943","1285118943")</f>
        <v>1285118943</v>
      </c>
      <c r="E18536" t="s">
        <v>16046</v>
      </c>
    </row>
    <row r="18537" spans="1:5" x14ac:dyDescent="0.25">
      <c r="A18537" t="s">
        <v>4</v>
      </c>
      <c r="B18537" t="s">
        <v>4111</v>
      </c>
      <c r="C18537" t="s">
        <v>23490</v>
      </c>
      <c r="D18537" t="str">
        <f>HYPERLINK("https://rhld.insurance.arkansas.gov/NPILookup?Npi=1285119206","1285119206")</f>
        <v>1285119206</v>
      </c>
      <c r="E18537" t="s">
        <v>18313</v>
      </c>
    </row>
    <row r="18538" spans="1:5" x14ac:dyDescent="0.25">
      <c r="A18538" t="s">
        <v>4</v>
      </c>
      <c r="B18538" t="s">
        <v>4111</v>
      </c>
      <c r="C18538" t="s">
        <v>23490</v>
      </c>
      <c r="D18538" t="str">
        <f>HYPERLINK("https://rhld.insurance.arkansas.gov/NPILookup?Npi=1285151761","1285151761")</f>
        <v>1285151761</v>
      </c>
      <c r="E18538" t="s">
        <v>18314</v>
      </c>
    </row>
    <row r="18539" spans="1:5" x14ac:dyDescent="0.25">
      <c r="A18539" t="s">
        <v>4</v>
      </c>
      <c r="B18539" t="s">
        <v>4111</v>
      </c>
      <c r="C18539" t="s">
        <v>23490</v>
      </c>
      <c r="D18539" t="str">
        <f>HYPERLINK("https://rhld.insurance.arkansas.gov/NPILookup?Npi=1285159327","1285159327")</f>
        <v>1285159327</v>
      </c>
      <c r="E18539" t="s">
        <v>21952</v>
      </c>
    </row>
    <row r="18540" spans="1:5" x14ac:dyDescent="0.25">
      <c r="A18540" t="s">
        <v>4</v>
      </c>
      <c r="B18540" t="s">
        <v>4111</v>
      </c>
      <c r="C18540" t="s">
        <v>23490</v>
      </c>
      <c r="D18540" t="str">
        <f>HYPERLINK("https://rhld.insurance.arkansas.gov/NPILookup?Npi=1285173054","1285173054")</f>
        <v>1285173054</v>
      </c>
      <c r="E18540" t="s">
        <v>21953</v>
      </c>
    </row>
    <row r="18541" spans="1:5" x14ac:dyDescent="0.25">
      <c r="A18541" t="s">
        <v>4</v>
      </c>
      <c r="B18541" t="s">
        <v>4111</v>
      </c>
      <c r="C18541" t="s">
        <v>23490</v>
      </c>
      <c r="D18541" t="str">
        <f>HYPERLINK("https://rhld.insurance.arkansas.gov/NPILookup?Npi=1285186692","1285186692")</f>
        <v>1285186692</v>
      </c>
      <c r="E18541" t="s">
        <v>20414</v>
      </c>
    </row>
    <row r="18542" spans="1:5" x14ac:dyDescent="0.25">
      <c r="A18542" t="s">
        <v>4</v>
      </c>
      <c r="B18542" t="s">
        <v>4111</v>
      </c>
      <c r="C18542" t="s">
        <v>23490</v>
      </c>
      <c r="D18542" t="str">
        <f>HYPERLINK("https://rhld.insurance.arkansas.gov/NPILookup?Npi=1285190686","1285190686")</f>
        <v>1285190686</v>
      </c>
      <c r="E18542" t="s">
        <v>21954</v>
      </c>
    </row>
    <row r="18543" spans="1:5" x14ac:dyDescent="0.25">
      <c r="A18543" t="s">
        <v>4</v>
      </c>
      <c r="B18543" t="s">
        <v>4111</v>
      </c>
      <c r="C18543" t="s">
        <v>23490</v>
      </c>
      <c r="D18543" t="str">
        <f>HYPERLINK("https://rhld.insurance.arkansas.gov/NPILookup?Npi=1285214775","1285214775")</f>
        <v>1285214775</v>
      </c>
      <c r="E18543" t="s">
        <v>21730</v>
      </c>
    </row>
    <row r="18544" spans="1:5" x14ac:dyDescent="0.25">
      <c r="A18544" t="s">
        <v>4</v>
      </c>
      <c r="B18544" t="s">
        <v>4111</v>
      </c>
      <c r="C18544" t="s">
        <v>23490</v>
      </c>
      <c r="D18544" t="str">
        <f>HYPERLINK("https://rhld.insurance.arkansas.gov/NPILookup?Npi=1285247072","1285247072")</f>
        <v>1285247072</v>
      </c>
      <c r="E18544" t="s">
        <v>21955</v>
      </c>
    </row>
    <row r="18545" spans="1:5" x14ac:dyDescent="0.25">
      <c r="A18545" t="s">
        <v>4</v>
      </c>
      <c r="B18545" t="s">
        <v>4111</v>
      </c>
      <c r="C18545" t="s">
        <v>23490</v>
      </c>
      <c r="D18545" t="str">
        <f>HYPERLINK("https://rhld.insurance.arkansas.gov/NPILookup?Npi=1285370155","1285370155")</f>
        <v>1285370155</v>
      </c>
      <c r="E18545" t="s">
        <v>21120</v>
      </c>
    </row>
    <row r="18546" spans="1:5" x14ac:dyDescent="0.25">
      <c r="A18546" t="s">
        <v>4</v>
      </c>
      <c r="B18546" t="s">
        <v>4111</v>
      </c>
      <c r="C18546" t="s">
        <v>23490</v>
      </c>
      <c r="D18546" t="str">
        <f>HYPERLINK("https://rhld.insurance.arkansas.gov/NPILookup?Npi=1285630095","1285630095")</f>
        <v>1285630095</v>
      </c>
      <c r="E18546" t="s">
        <v>18315</v>
      </c>
    </row>
    <row r="18547" spans="1:5" x14ac:dyDescent="0.25">
      <c r="A18547" t="s">
        <v>4</v>
      </c>
      <c r="B18547" t="s">
        <v>4111</v>
      </c>
      <c r="C18547" t="s">
        <v>23490</v>
      </c>
      <c r="D18547" t="str">
        <f>HYPERLINK("https://rhld.insurance.arkansas.gov/NPILookup?Npi=1285634758","1285634758")</f>
        <v>1285634758</v>
      </c>
      <c r="E18547" t="s">
        <v>4631</v>
      </c>
    </row>
    <row r="18548" spans="1:5" x14ac:dyDescent="0.25">
      <c r="A18548" t="s">
        <v>4</v>
      </c>
      <c r="B18548" t="s">
        <v>4111</v>
      </c>
      <c r="C18548" t="s">
        <v>23490</v>
      </c>
      <c r="D18548" t="str">
        <f>HYPERLINK("https://rhld.insurance.arkansas.gov/NPILookup?Npi=1285660621","1285660621")</f>
        <v>1285660621</v>
      </c>
      <c r="E18548" t="s">
        <v>4632</v>
      </c>
    </row>
    <row r="18549" spans="1:5" x14ac:dyDescent="0.25">
      <c r="A18549" t="s">
        <v>4</v>
      </c>
      <c r="B18549" t="s">
        <v>4111</v>
      </c>
      <c r="C18549" t="s">
        <v>23490</v>
      </c>
      <c r="D18549" t="str">
        <f>HYPERLINK("https://rhld.insurance.arkansas.gov/NPILookup?Npi=1285671297","1285671297")</f>
        <v>1285671297</v>
      </c>
      <c r="E18549" t="s">
        <v>4633</v>
      </c>
    </row>
    <row r="18550" spans="1:5" x14ac:dyDescent="0.25">
      <c r="A18550" t="s">
        <v>4</v>
      </c>
      <c r="B18550" t="s">
        <v>4111</v>
      </c>
      <c r="C18550" t="s">
        <v>23490</v>
      </c>
      <c r="D18550" t="str">
        <f>HYPERLINK("https://rhld.insurance.arkansas.gov/NPILookup?Npi=1285679738","1285679738")</f>
        <v>1285679738</v>
      </c>
      <c r="E18550" t="s">
        <v>11605</v>
      </c>
    </row>
    <row r="18551" spans="1:5" x14ac:dyDescent="0.25">
      <c r="A18551" t="s">
        <v>4</v>
      </c>
      <c r="B18551" t="s">
        <v>4111</v>
      </c>
      <c r="C18551" t="s">
        <v>23490</v>
      </c>
      <c r="D18551" t="str">
        <f>HYPERLINK("https://rhld.insurance.arkansas.gov/NPILookup?Npi=1285689240","1285689240")</f>
        <v>1285689240</v>
      </c>
      <c r="E18551" t="s">
        <v>4634</v>
      </c>
    </row>
    <row r="18552" spans="1:5" x14ac:dyDescent="0.25">
      <c r="A18552" t="s">
        <v>4</v>
      </c>
      <c r="B18552" t="s">
        <v>4111</v>
      </c>
      <c r="C18552" t="s">
        <v>23490</v>
      </c>
      <c r="D18552" t="str">
        <f>HYPERLINK("https://rhld.insurance.arkansas.gov/NPILookup?Npi=1285701540","1285701540")</f>
        <v>1285701540</v>
      </c>
      <c r="E18552" t="s">
        <v>16047</v>
      </c>
    </row>
    <row r="18553" spans="1:5" x14ac:dyDescent="0.25">
      <c r="A18553" t="s">
        <v>4</v>
      </c>
      <c r="B18553" t="s">
        <v>4111</v>
      </c>
      <c r="C18553" t="s">
        <v>23490</v>
      </c>
      <c r="D18553" t="str">
        <f>HYPERLINK("https://rhld.insurance.arkansas.gov/NPILookup?Npi=1285712588","1285712588")</f>
        <v>1285712588</v>
      </c>
      <c r="E18553" t="s">
        <v>4030</v>
      </c>
    </row>
    <row r="18554" spans="1:5" x14ac:dyDescent="0.25">
      <c r="A18554" t="s">
        <v>4</v>
      </c>
      <c r="B18554" t="s">
        <v>4111</v>
      </c>
      <c r="C18554" t="s">
        <v>23490</v>
      </c>
      <c r="D18554" t="str">
        <f>HYPERLINK("https://rhld.insurance.arkansas.gov/NPILookup?Npi=1285715847","1285715847")</f>
        <v>1285715847</v>
      </c>
      <c r="E18554" t="s">
        <v>16048</v>
      </c>
    </row>
    <row r="18555" spans="1:5" x14ac:dyDescent="0.25">
      <c r="A18555" t="s">
        <v>4</v>
      </c>
      <c r="B18555" t="s">
        <v>4111</v>
      </c>
      <c r="C18555" t="s">
        <v>23490</v>
      </c>
      <c r="D18555" t="str">
        <f>HYPERLINK("https://rhld.insurance.arkansas.gov/NPILookup?Npi=1285719724","1285719724")</f>
        <v>1285719724</v>
      </c>
      <c r="E18555" t="s">
        <v>13105</v>
      </c>
    </row>
    <row r="18556" spans="1:5" x14ac:dyDescent="0.25">
      <c r="A18556" t="s">
        <v>4</v>
      </c>
      <c r="B18556" t="s">
        <v>4111</v>
      </c>
      <c r="C18556" t="s">
        <v>23490</v>
      </c>
      <c r="D18556" t="str">
        <f>HYPERLINK("https://rhld.insurance.arkansas.gov/NPILookup?Npi=1285724856","1285724856")</f>
        <v>1285724856</v>
      </c>
      <c r="E18556" t="s">
        <v>13106</v>
      </c>
    </row>
    <row r="18557" spans="1:5" x14ac:dyDescent="0.25">
      <c r="A18557" t="s">
        <v>4</v>
      </c>
      <c r="B18557" t="s">
        <v>4111</v>
      </c>
      <c r="C18557" t="s">
        <v>23490</v>
      </c>
      <c r="D18557" t="str">
        <f>HYPERLINK("https://rhld.insurance.arkansas.gov/NPILookup?Npi=1285754960","1285754960")</f>
        <v>1285754960</v>
      </c>
      <c r="E18557" t="s">
        <v>16049</v>
      </c>
    </row>
    <row r="18558" spans="1:5" x14ac:dyDescent="0.25">
      <c r="A18558" t="s">
        <v>4</v>
      </c>
      <c r="B18558" t="s">
        <v>4111</v>
      </c>
      <c r="C18558" t="s">
        <v>23490</v>
      </c>
      <c r="D18558" t="str">
        <f>HYPERLINK("https://rhld.insurance.arkansas.gov/NPILookup?Npi=1285756973","1285756973")</f>
        <v>1285756973</v>
      </c>
      <c r="E18558" t="s">
        <v>20415</v>
      </c>
    </row>
    <row r="18559" spans="1:5" x14ac:dyDescent="0.25">
      <c r="A18559" t="s">
        <v>4</v>
      </c>
      <c r="B18559" t="s">
        <v>4111</v>
      </c>
      <c r="C18559" t="s">
        <v>23490</v>
      </c>
      <c r="D18559" t="str">
        <f>HYPERLINK("https://rhld.insurance.arkansas.gov/NPILookup?Npi=1285783050","1285783050")</f>
        <v>1285783050</v>
      </c>
      <c r="E18559" t="s">
        <v>4635</v>
      </c>
    </row>
    <row r="18560" spans="1:5" x14ac:dyDescent="0.25">
      <c r="A18560" t="s">
        <v>4</v>
      </c>
      <c r="B18560" t="s">
        <v>4111</v>
      </c>
      <c r="C18560" t="s">
        <v>23490</v>
      </c>
      <c r="D18560" t="str">
        <f>HYPERLINK("https://rhld.insurance.arkansas.gov/NPILookup?Npi=1285792523","1285792523")</f>
        <v>1285792523</v>
      </c>
      <c r="E18560" t="s">
        <v>20416</v>
      </c>
    </row>
    <row r="18561" spans="1:5" x14ac:dyDescent="0.25">
      <c r="A18561" t="s">
        <v>4</v>
      </c>
      <c r="B18561" t="s">
        <v>4111</v>
      </c>
      <c r="C18561" t="s">
        <v>23490</v>
      </c>
      <c r="D18561" t="str">
        <f>HYPERLINK("https://rhld.insurance.arkansas.gov/NPILookup?Npi=1285796664","1285796664")</f>
        <v>1285796664</v>
      </c>
      <c r="E18561" t="s">
        <v>4636</v>
      </c>
    </row>
    <row r="18562" spans="1:5" x14ac:dyDescent="0.25">
      <c r="A18562" t="s">
        <v>4</v>
      </c>
      <c r="B18562" t="s">
        <v>4111</v>
      </c>
      <c r="C18562" t="s">
        <v>23490</v>
      </c>
      <c r="D18562" t="str">
        <f>HYPERLINK("https://rhld.insurance.arkansas.gov/NPILookup?Npi=1285797878","1285797878")</f>
        <v>1285797878</v>
      </c>
      <c r="E18562" t="s">
        <v>4637</v>
      </c>
    </row>
    <row r="18563" spans="1:5" x14ac:dyDescent="0.25">
      <c r="A18563" t="s">
        <v>4</v>
      </c>
      <c r="B18563" t="s">
        <v>4111</v>
      </c>
      <c r="C18563" t="s">
        <v>23490</v>
      </c>
      <c r="D18563" t="str">
        <f>HYPERLINK("https://rhld.insurance.arkansas.gov/NPILookup?Npi=1285812255","1285812255")</f>
        <v>1285812255</v>
      </c>
      <c r="E18563" t="s">
        <v>21956</v>
      </c>
    </row>
    <row r="18564" spans="1:5" x14ac:dyDescent="0.25">
      <c r="A18564" t="s">
        <v>4</v>
      </c>
      <c r="B18564" t="s">
        <v>4111</v>
      </c>
      <c r="C18564" t="s">
        <v>23490</v>
      </c>
      <c r="D18564" t="str">
        <f>HYPERLINK("https://rhld.insurance.arkansas.gov/NPILookup?Npi=1285814970","1285814970")</f>
        <v>1285814970</v>
      </c>
      <c r="E18564" t="s">
        <v>21957</v>
      </c>
    </row>
    <row r="18565" spans="1:5" x14ac:dyDescent="0.25">
      <c r="A18565" t="s">
        <v>4</v>
      </c>
      <c r="B18565" t="s">
        <v>4111</v>
      </c>
      <c r="C18565" t="s">
        <v>23490</v>
      </c>
      <c r="D18565" t="str">
        <f>HYPERLINK("https://rhld.insurance.arkansas.gov/NPILookup?Npi=1285825893","1285825893")</f>
        <v>1285825893</v>
      </c>
      <c r="E18565" t="s">
        <v>4638</v>
      </c>
    </row>
    <row r="18566" spans="1:5" x14ac:dyDescent="0.25">
      <c r="A18566" t="s">
        <v>4</v>
      </c>
      <c r="B18566" t="s">
        <v>4111</v>
      </c>
      <c r="C18566" t="s">
        <v>23490</v>
      </c>
      <c r="D18566" t="str">
        <f>HYPERLINK("https://rhld.insurance.arkansas.gov/NPILookup?Npi=1285830679","1285830679")</f>
        <v>1285830679</v>
      </c>
      <c r="E18566" t="s">
        <v>9055</v>
      </c>
    </row>
    <row r="18567" spans="1:5" x14ac:dyDescent="0.25">
      <c r="A18567" t="s">
        <v>4</v>
      </c>
      <c r="B18567" t="s">
        <v>4111</v>
      </c>
      <c r="C18567" t="s">
        <v>23490</v>
      </c>
      <c r="D18567" t="str">
        <f>HYPERLINK("https://rhld.insurance.arkansas.gov/NPILookup?Npi=1285836130","1285836130")</f>
        <v>1285836130</v>
      </c>
      <c r="E18567" t="s">
        <v>4639</v>
      </c>
    </row>
    <row r="18568" spans="1:5" x14ac:dyDescent="0.25">
      <c r="A18568" t="s">
        <v>4</v>
      </c>
      <c r="B18568" t="s">
        <v>4111</v>
      </c>
      <c r="C18568" t="s">
        <v>23490</v>
      </c>
      <c r="D18568" t="str">
        <f>HYPERLINK("https://rhld.insurance.arkansas.gov/NPILookup?Npi=1285881383","1285881383")</f>
        <v>1285881383</v>
      </c>
      <c r="E18568" t="s">
        <v>4640</v>
      </c>
    </row>
    <row r="18569" spans="1:5" x14ac:dyDescent="0.25">
      <c r="A18569" t="s">
        <v>4</v>
      </c>
      <c r="B18569" t="s">
        <v>4111</v>
      </c>
      <c r="C18569" t="s">
        <v>23490</v>
      </c>
      <c r="D18569" t="str">
        <f>HYPERLINK("https://rhld.insurance.arkansas.gov/NPILookup?Npi=1285886192","1285886192")</f>
        <v>1285886192</v>
      </c>
      <c r="E18569" t="s">
        <v>21958</v>
      </c>
    </row>
    <row r="18570" spans="1:5" x14ac:dyDescent="0.25">
      <c r="A18570" t="s">
        <v>4</v>
      </c>
      <c r="B18570" t="s">
        <v>4111</v>
      </c>
      <c r="C18570" t="s">
        <v>23490</v>
      </c>
      <c r="D18570" t="str">
        <f>HYPERLINK("https://rhld.insurance.arkansas.gov/NPILookup?Npi=1285899617","1285899617")</f>
        <v>1285899617</v>
      </c>
      <c r="E18570" t="s">
        <v>4641</v>
      </c>
    </row>
    <row r="18571" spans="1:5" x14ac:dyDescent="0.25">
      <c r="A18571" t="s">
        <v>4</v>
      </c>
      <c r="B18571" t="s">
        <v>4111</v>
      </c>
      <c r="C18571" t="s">
        <v>23490</v>
      </c>
      <c r="D18571" t="str">
        <f>HYPERLINK("https://rhld.insurance.arkansas.gov/NPILookup?Npi=1285908616","1285908616")</f>
        <v>1285908616</v>
      </c>
      <c r="E18571" t="s">
        <v>17142</v>
      </c>
    </row>
    <row r="18572" spans="1:5" x14ac:dyDescent="0.25">
      <c r="A18572" t="s">
        <v>4</v>
      </c>
      <c r="B18572" t="s">
        <v>4111</v>
      </c>
      <c r="C18572" t="s">
        <v>23490</v>
      </c>
      <c r="D18572" t="str">
        <f>HYPERLINK("https://rhld.insurance.arkansas.gov/NPILookup?Npi=1285914432","1285914432")</f>
        <v>1285914432</v>
      </c>
      <c r="E18572" t="s">
        <v>4642</v>
      </c>
    </row>
    <row r="18573" spans="1:5" x14ac:dyDescent="0.25">
      <c r="A18573" t="s">
        <v>4</v>
      </c>
      <c r="B18573" t="s">
        <v>4111</v>
      </c>
      <c r="C18573" t="s">
        <v>23490</v>
      </c>
      <c r="D18573" t="str">
        <f>HYPERLINK("https://rhld.insurance.arkansas.gov/NPILookup?Npi=1285914556","1285914556")</f>
        <v>1285914556</v>
      </c>
      <c r="E18573" t="s">
        <v>4643</v>
      </c>
    </row>
    <row r="18574" spans="1:5" x14ac:dyDescent="0.25">
      <c r="A18574" t="s">
        <v>4</v>
      </c>
      <c r="B18574" t="s">
        <v>4111</v>
      </c>
      <c r="C18574" t="s">
        <v>23490</v>
      </c>
      <c r="D18574" t="str">
        <f>HYPERLINK("https://rhld.insurance.arkansas.gov/NPILookup?Npi=1285916445","1285916445")</f>
        <v>1285916445</v>
      </c>
      <c r="E18574" t="s">
        <v>4644</v>
      </c>
    </row>
    <row r="18575" spans="1:5" x14ac:dyDescent="0.25">
      <c r="A18575" t="s">
        <v>4</v>
      </c>
      <c r="B18575" t="s">
        <v>4111</v>
      </c>
      <c r="C18575" t="s">
        <v>23490</v>
      </c>
      <c r="D18575" t="str">
        <f>HYPERLINK("https://rhld.insurance.arkansas.gov/NPILookup?Npi=1285937839","1285937839")</f>
        <v>1285937839</v>
      </c>
      <c r="E18575" t="s">
        <v>21959</v>
      </c>
    </row>
    <row r="18576" spans="1:5" x14ac:dyDescent="0.25">
      <c r="A18576" t="s">
        <v>4</v>
      </c>
      <c r="B18576" t="s">
        <v>4111</v>
      </c>
      <c r="C18576" t="s">
        <v>23490</v>
      </c>
      <c r="D18576" t="str">
        <f>HYPERLINK("https://rhld.insurance.arkansas.gov/NPILookup?Npi=1285951079","1285951079")</f>
        <v>1285951079</v>
      </c>
      <c r="E18576" t="s">
        <v>14014</v>
      </c>
    </row>
    <row r="18577" spans="1:5" x14ac:dyDescent="0.25">
      <c r="A18577" t="s">
        <v>4</v>
      </c>
      <c r="B18577" t="s">
        <v>4111</v>
      </c>
      <c r="C18577" t="s">
        <v>23490</v>
      </c>
      <c r="D18577" t="str">
        <f>HYPERLINK("https://rhld.insurance.arkansas.gov/NPILookup?Npi=1285953109","1285953109")</f>
        <v>1285953109</v>
      </c>
      <c r="E18577" t="s">
        <v>11606</v>
      </c>
    </row>
    <row r="18578" spans="1:5" x14ac:dyDescent="0.25">
      <c r="A18578" t="s">
        <v>4</v>
      </c>
      <c r="B18578" t="s">
        <v>4111</v>
      </c>
      <c r="C18578" t="s">
        <v>23490</v>
      </c>
      <c r="D18578" t="str">
        <f>HYPERLINK("https://rhld.insurance.arkansas.gov/NPILookup?Npi=1285956185","1285956185")</f>
        <v>1285956185</v>
      </c>
      <c r="E18578" t="s">
        <v>17143</v>
      </c>
    </row>
    <row r="18579" spans="1:5" x14ac:dyDescent="0.25">
      <c r="A18579" t="s">
        <v>4</v>
      </c>
      <c r="B18579" t="s">
        <v>4111</v>
      </c>
      <c r="C18579" t="s">
        <v>23490</v>
      </c>
      <c r="D18579" t="str">
        <f>HYPERLINK("https://rhld.insurance.arkansas.gov/NPILookup?Npi=1285971580","1285971580")</f>
        <v>1285971580</v>
      </c>
      <c r="E18579" t="s">
        <v>21960</v>
      </c>
    </row>
    <row r="18580" spans="1:5" x14ac:dyDescent="0.25">
      <c r="A18580" t="s">
        <v>4</v>
      </c>
      <c r="B18580" t="s">
        <v>4111</v>
      </c>
      <c r="C18580" t="s">
        <v>23490</v>
      </c>
      <c r="D18580" t="str">
        <f>HYPERLINK("https://rhld.insurance.arkansas.gov/NPILookup?Npi=1285979609","1285979609")</f>
        <v>1285979609</v>
      </c>
      <c r="E18580" t="s">
        <v>9056</v>
      </c>
    </row>
    <row r="18581" spans="1:5" x14ac:dyDescent="0.25">
      <c r="A18581" t="s">
        <v>4</v>
      </c>
      <c r="B18581" t="s">
        <v>4111</v>
      </c>
      <c r="C18581" t="s">
        <v>23490</v>
      </c>
      <c r="D18581" t="str">
        <f>HYPERLINK("https://rhld.insurance.arkansas.gov/NPILookup?Npi=1285993295","1285993295")</f>
        <v>1285993295</v>
      </c>
      <c r="E18581" t="s">
        <v>11607</v>
      </c>
    </row>
    <row r="18582" spans="1:5" x14ac:dyDescent="0.25">
      <c r="A18582" t="s">
        <v>4</v>
      </c>
      <c r="B18582" t="s">
        <v>4111</v>
      </c>
      <c r="C18582" t="s">
        <v>23490</v>
      </c>
      <c r="D18582" t="str">
        <f>HYPERLINK("https://rhld.insurance.arkansas.gov/NPILookup?Npi=1295004836","1295004836")</f>
        <v>1295004836</v>
      </c>
      <c r="E18582" t="s">
        <v>20417</v>
      </c>
    </row>
    <row r="18583" spans="1:5" x14ac:dyDescent="0.25">
      <c r="A18583" t="s">
        <v>4</v>
      </c>
      <c r="B18583" t="s">
        <v>4111</v>
      </c>
      <c r="C18583" t="s">
        <v>23490</v>
      </c>
      <c r="D18583" t="str">
        <f>HYPERLINK("https://rhld.insurance.arkansas.gov/NPILookup?Npi=1295008209","1295008209")</f>
        <v>1295008209</v>
      </c>
      <c r="E18583" t="s">
        <v>4645</v>
      </c>
    </row>
    <row r="18584" spans="1:5" x14ac:dyDescent="0.25">
      <c r="A18584" t="s">
        <v>4</v>
      </c>
      <c r="B18584" t="s">
        <v>4111</v>
      </c>
      <c r="C18584" t="s">
        <v>23490</v>
      </c>
      <c r="D18584" t="str">
        <f>HYPERLINK("https://rhld.insurance.arkansas.gov/NPILookup?Npi=1295017028","1295017028")</f>
        <v>1295017028</v>
      </c>
      <c r="E18584" t="s">
        <v>11608</v>
      </c>
    </row>
    <row r="18585" spans="1:5" x14ac:dyDescent="0.25">
      <c r="A18585" t="s">
        <v>4</v>
      </c>
      <c r="B18585" t="s">
        <v>4111</v>
      </c>
      <c r="C18585" t="s">
        <v>23490</v>
      </c>
      <c r="D18585" t="str">
        <f>HYPERLINK("https://rhld.insurance.arkansas.gov/NPILookup?Npi=1295018042","1295018042")</f>
        <v>1295018042</v>
      </c>
      <c r="E18585" t="s">
        <v>11609</v>
      </c>
    </row>
    <row r="18586" spans="1:5" x14ac:dyDescent="0.25">
      <c r="A18586" t="s">
        <v>4</v>
      </c>
      <c r="B18586" t="s">
        <v>4111</v>
      </c>
      <c r="C18586" t="s">
        <v>23490</v>
      </c>
      <c r="D18586" t="str">
        <f>HYPERLINK("https://rhld.insurance.arkansas.gov/NPILookup?Npi=1295039758","1295039758")</f>
        <v>1295039758</v>
      </c>
      <c r="E18586" t="s">
        <v>4646</v>
      </c>
    </row>
    <row r="18587" spans="1:5" x14ac:dyDescent="0.25">
      <c r="A18587" t="s">
        <v>4</v>
      </c>
      <c r="B18587" t="s">
        <v>4111</v>
      </c>
      <c r="C18587" t="s">
        <v>23490</v>
      </c>
      <c r="D18587" t="str">
        <f>HYPERLINK("https://rhld.insurance.arkansas.gov/NPILookup?Npi=1295051746","1295051746")</f>
        <v>1295051746</v>
      </c>
      <c r="E18587" t="s">
        <v>13107</v>
      </c>
    </row>
    <row r="18588" spans="1:5" x14ac:dyDescent="0.25">
      <c r="A18588" t="s">
        <v>4</v>
      </c>
      <c r="B18588" t="s">
        <v>4111</v>
      </c>
      <c r="C18588" t="s">
        <v>23490</v>
      </c>
      <c r="D18588" t="str">
        <f>HYPERLINK("https://rhld.insurance.arkansas.gov/NPILookup?Npi=1295053767","1295053767")</f>
        <v>1295053767</v>
      </c>
      <c r="E18588" t="s">
        <v>9057</v>
      </c>
    </row>
    <row r="18589" spans="1:5" x14ac:dyDescent="0.25">
      <c r="A18589" t="s">
        <v>4</v>
      </c>
      <c r="B18589" t="s">
        <v>4111</v>
      </c>
      <c r="C18589" t="s">
        <v>23490</v>
      </c>
      <c r="D18589" t="str">
        <f>HYPERLINK("https://rhld.insurance.arkansas.gov/NPILookup?Npi=1295055960","1295055960")</f>
        <v>1295055960</v>
      </c>
      <c r="E18589" t="s">
        <v>4647</v>
      </c>
    </row>
    <row r="18590" spans="1:5" x14ac:dyDescent="0.25">
      <c r="A18590" t="s">
        <v>4</v>
      </c>
      <c r="B18590" t="s">
        <v>4111</v>
      </c>
      <c r="C18590" t="s">
        <v>23490</v>
      </c>
      <c r="D18590" t="str">
        <f>HYPERLINK("https://rhld.insurance.arkansas.gov/NPILookup?Npi=1295057974","1295057974")</f>
        <v>1295057974</v>
      </c>
      <c r="E18590" t="s">
        <v>11610</v>
      </c>
    </row>
    <row r="18591" spans="1:5" x14ac:dyDescent="0.25">
      <c r="A18591" t="s">
        <v>4</v>
      </c>
      <c r="B18591" t="s">
        <v>4111</v>
      </c>
      <c r="C18591" t="s">
        <v>23490</v>
      </c>
      <c r="D18591" t="str">
        <f>HYPERLINK("https://rhld.insurance.arkansas.gov/NPILookup?Npi=1295079622","1295079622")</f>
        <v>1295079622</v>
      </c>
      <c r="E18591" t="s">
        <v>11611</v>
      </c>
    </row>
    <row r="18592" spans="1:5" x14ac:dyDescent="0.25">
      <c r="A18592" t="s">
        <v>4</v>
      </c>
      <c r="B18592" t="s">
        <v>4111</v>
      </c>
      <c r="C18592" t="s">
        <v>23490</v>
      </c>
      <c r="D18592" t="str">
        <f>HYPERLINK("https://rhld.insurance.arkansas.gov/NPILookup?Npi=1295081529","1295081529")</f>
        <v>1295081529</v>
      </c>
      <c r="E18592" t="s">
        <v>9058</v>
      </c>
    </row>
    <row r="18593" spans="1:5" x14ac:dyDescent="0.25">
      <c r="A18593" t="s">
        <v>4</v>
      </c>
      <c r="B18593" t="s">
        <v>4111</v>
      </c>
      <c r="C18593" t="s">
        <v>23490</v>
      </c>
      <c r="D18593" t="str">
        <f>HYPERLINK("https://rhld.insurance.arkansas.gov/NPILookup?Npi=1295093847","1295093847")</f>
        <v>1295093847</v>
      </c>
      <c r="E18593" t="s">
        <v>11612</v>
      </c>
    </row>
    <row r="18594" spans="1:5" x14ac:dyDescent="0.25">
      <c r="A18594" t="s">
        <v>4</v>
      </c>
      <c r="B18594" t="s">
        <v>4111</v>
      </c>
      <c r="C18594" t="s">
        <v>23490</v>
      </c>
      <c r="D18594" t="str">
        <f>HYPERLINK("https://rhld.insurance.arkansas.gov/NPILookup?Npi=1295107720","1295107720")</f>
        <v>1295107720</v>
      </c>
      <c r="E18594" t="s">
        <v>17144</v>
      </c>
    </row>
    <row r="18595" spans="1:5" x14ac:dyDescent="0.25">
      <c r="A18595" t="s">
        <v>4</v>
      </c>
      <c r="B18595" t="s">
        <v>4111</v>
      </c>
      <c r="C18595" t="s">
        <v>23490</v>
      </c>
      <c r="D18595" t="str">
        <f>HYPERLINK("https://rhld.insurance.arkansas.gov/NPILookup?Npi=1295124295","1295124295")</f>
        <v>1295124295</v>
      </c>
      <c r="E18595" t="s">
        <v>4648</v>
      </c>
    </row>
    <row r="18596" spans="1:5" x14ac:dyDescent="0.25">
      <c r="A18596" t="s">
        <v>4</v>
      </c>
      <c r="B18596" t="s">
        <v>4111</v>
      </c>
      <c r="C18596" t="s">
        <v>23490</v>
      </c>
      <c r="D18596" t="str">
        <f>HYPERLINK("https://rhld.insurance.arkansas.gov/NPILookup?Npi=1295146314","1295146314")</f>
        <v>1295146314</v>
      </c>
      <c r="E18596" t="s">
        <v>17562</v>
      </c>
    </row>
    <row r="18597" spans="1:5" x14ac:dyDescent="0.25">
      <c r="A18597" t="s">
        <v>4</v>
      </c>
      <c r="B18597" t="s">
        <v>4111</v>
      </c>
      <c r="C18597" t="s">
        <v>23490</v>
      </c>
      <c r="D18597" t="str">
        <f>HYPERLINK("https://rhld.insurance.arkansas.gov/NPILookup?Npi=1295147676","1295147676")</f>
        <v>1295147676</v>
      </c>
      <c r="E18597" t="s">
        <v>14015</v>
      </c>
    </row>
    <row r="18598" spans="1:5" x14ac:dyDescent="0.25">
      <c r="A18598" t="s">
        <v>4</v>
      </c>
      <c r="B18598" t="s">
        <v>4111</v>
      </c>
      <c r="C18598" t="s">
        <v>23490</v>
      </c>
      <c r="D18598" t="str">
        <f>HYPERLINK("https://rhld.insurance.arkansas.gov/NPILookup?Npi=1295148971","1295148971")</f>
        <v>1295148971</v>
      </c>
      <c r="E18598" t="s">
        <v>21961</v>
      </c>
    </row>
    <row r="18599" spans="1:5" x14ac:dyDescent="0.25">
      <c r="A18599" t="s">
        <v>4</v>
      </c>
      <c r="B18599" t="s">
        <v>4111</v>
      </c>
      <c r="C18599" t="s">
        <v>23490</v>
      </c>
      <c r="D18599" t="str">
        <f>HYPERLINK("https://rhld.insurance.arkansas.gov/NPILookup?Npi=1295170694","1295170694")</f>
        <v>1295170694</v>
      </c>
      <c r="E18599" t="s">
        <v>4649</v>
      </c>
    </row>
    <row r="18600" spans="1:5" x14ac:dyDescent="0.25">
      <c r="A18600" t="s">
        <v>4</v>
      </c>
      <c r="B18600" t="s">
        <v>4111</v>
      </c>
      <c r="C18600" t="s">
        <v>23490</v>
      </c>
      <c r="D18600" t="str">
        <f>HYPERLINK("https://rhld.insurance.arkansas.gov/NPILookup?Npi=1295171734","1295171734")</f>
        <v>1295171734</v>
      </c>
      <c r="E18600" t="s">
        <v>13808</v>
      </c>
    </row>
    <row r="18601" spans="1:5" x14ac:dyDescent="0.25">
      <c r="A18601" t="s">
        <v>4</v>
      </c>
      <c r="B18601" t="s">
        <v>4111</v>
      </c>
      <c r="C18601" t="s">
        <v>23490</v>
      </c>
      <c r="D18601" t="str">
        <f>HYPERLINK("https://rhld.insurance.arkansas.gov/NPILookup?Npi=1295176444","1295176444")</f>
        <v>1295176444</v>
      </c>
      <c r="E18601" t="s">
        <v>11613</v>
      </c>
    </row>
    <row r="18602" spans="1:5" x14ac:dyDescent="0.25">
      <c r="A18602" t="s">
        <v>4</v>
      </c>
      <c r="B18602" t="s">
        <v>4111</v>
      </c>
      <c r="C18602" t="s">
        <v>8427</v>
      </c>
      <c r="D18602" t="str">
        <f>HYPERLINK("https://rhld.insurance.arkansas.gov/NPILookup?Npi=1295182012","1295182012")</f>
        <v>1295182012</v>
      </c>
      <c r="E18602" t="s">
        <v>23074</v>
      </c>
    </row>
    <row r="18603" spans="1:5" x14ac:dyDescent="0.25">
      <c r="A18603" t="s">
        <v>4</v>
      </c>
      <c r="B18603" t="s">
        <v>4111</v>
      </c>
      <c r="C18603" t="s">
        <v>23490</v>
      </c>
      <c r="D18603" t="str">
        <f>HYPERLINK("https://rhld.insurance.arkansas.gov/NPILookup?Npi=1295194132","1295194132")</f>
        <v>1295194132</v>
      </c>
      <c r="E18603" t="s">
        <v>10808</v>
      </c>
    </row>
    <row r="18604" spans="1:5" x14ac:dyDescent="0.25">
      <c r="A18604" t="s">
        <v>4</v>
      </c>
      <c r="B18604" t="s">
        <v>4111</v>
      </c>
      <c r="C18604" t="s">
        <v>23490</v>
      </c>
      <c r="D18604" t="str">
        <f>HYPERLINK("https://rhld.insurance.arkansas.gov/NPILookup?Npi=1295246536","1295246536")</f>
        <v>1295246536</v>
      </c>
      <c r="E18604" t="s">
        <v>20418</v>
      </c>
    </row>
    <row r="18605" spans="1:5" x14ac:dyDescent="0.25">
      <c r="A18605" t="s">
        <v>4</v>
      </c>
      <c r="B18605" t="s">
        <v>4111</v>
      </c>
      <c r="C18605" t="s">
        <v>23490</v>
      </c>
      <c r="D18605" t="str">
        <f>HYPERLINK("https://rhld.insurance.arkansas.gov/NPILookup?Npi=1295372290","1295372290")</f>
        <v>1295372290</v>
      </c>
      <c r="E18605" t="s">
        <v>20419</v>
      </c>
    </row>
    <row r="18606" spans="1:5" x14ac:dyDescent="0.25">
      <c r="A18606" t="s">
        <v>4</v>
      </c>
      <c r="B18606" t="s">
        <v>4111</v>
      </c>
      <c r="C18606" t="s">
        <v>23490</v>
      </c>
      <c r="D18606" t="str">
        <f>HYPERLINK("https://rhld.insurance.arkansas.gov/NPILookup?Npi=1295378289","1295378289")</f>
        <v>1295378289</v>
      </c>
      <c r="E18606" t="s">
        <v>21962</v>
      </c>
    </row>
    <row r="18607" spans="1:5" x14ac:dyDescent="0.25">
      <c r="A18607" t="s">
        <v>4</v>
      </c>
      <c r="B18607" t="s">
        <v>4111</v>
      </c>
      <c r="C18607" t="s">
        <v>23490</v>
      </c>
      <c r="D18607" t="str">
        <f>HYPERLINK("https://rhld.insurance.arkansas.gov/NPILookup?Npi=1295386613","1295386613")</f>
        <v>1295386613</v>
      </c>
      <c r="E18607" t="s">
        <v>17940</v>
      </c>
    </row>
    <row r="18608" spans="1:5" x14ac:dyDescent="0.25">
      <c r="A18608" t="s">
        <v>4</v>
      </c>
      <c r="B18608" t="s">
        <v>4111</v>
      </c>
      <c r="C18608" t="s">
        <v>23490</v>
      </c>
      <c r="D18608" t="str">
        <f>HYPERLINK("https://rhld.insurance.arkansas.gov/NPILookup?Npi=1295387942","1295387942")</f>
        <v>1295387942</v>
      </c>
      <c r="E18608" t="s">
        <v>21121</v>
      </c>
    </row>
    <row r="18609" spans="1:5" x14ac:dyDescent="0.25">
      <c r="A18609" t="s">
        <v>4</v>
      </c>
      <c r="B18609" t="s">
        <v>4111</v>
      </c>
      <c r="C18609" t="s">
        <v>23490</v>
      </c>
      <c r="D18609" t="str">
        <f>HYPERLINK("https://rhld.insurance.arkansas.gov/NPILookup?Npi=1295479335","1295479335")</f>
        <v>1295479335</v>
      </c>
      <c r="E18609" t="s">
        <v>21963</v>
      </c>
    </row>
    <row r="18610" spans="1:5" x14ac:dyDescent="0.25">
      <c r="A18610" t="s">
        <v>4</v>
      </c>
      <c r="B18610" t="s">
        <v>4111</v>
      </c>
      <c r="C18610" t="s">
        <v>23490</v>
      </c>
      <c r="D18610" t="str">
        <f>HYPERLINK("https://rhld.insurance.arkansas.gov/NPILookup?Npi=1295732162","1295732162")</f>
        <v>1295732162</v>
      </c>
      <c r="E18610" t="s">
        <v>14016</v>
      </c>
    </row>
    <row r="18611" spans="1:5" x14ac:dyDescent="0.25">
      <c r="A18611" t="s">
        <v>4</v>
      </c>
      <c r="B18611" t="s">
        <v>4111</v>
      </c>
      <c r="C18611" t="s">
        <v>23490</v>
      </c>
      <c r="D18611" t="str">
        <f>HYPERLINK("https://rhld.insurance.arkansas.gov/NPILookup?Npi=1295751006","1295751006")</f>
        <v>1295751006</v>
      </c>
      <c r="E18611" t="s">
        <v>21964</v>
      </c>
    </row>
    <row r="18612" spans="1:5" x14ac:dyDescent="0.25">
      <c r="A18612" t="s">
        <v>4</v>
      </c>
      <c r="B18612" t="s">
        <v>4111</v>
      </c>
      <c r="C18612" t="s">
        <v>23490</v>
      </c>
      <c r="D18612" t="str">
        <f>HYPERLINK("https://rhld.insurance.arkansas.gov/NPILookup?Npi=1295751766","1295751766")</f>
        <v>1295751766</v>
      </c>
      <c r="E18612" t="s">
        <v>4650</v>
      </c>
    </row>
    <row r="18613" spans="1:5" x14ac:dyDescent="0.25">
      <c r="A18613" t="s">
        <v>4</v>
      </c>
      <c r="B18613" t="s">
        <v>4111</v>
      </c>
      <c r="C18613" t="s">
        <v>23490</v>
      </c>
      <c r="D18613" t="str">
        <f>HYPERLINK("https://rhld.insurance.arkansas.gov/NPILookup?Npi=1295778942","1295778942")</f>
        <v>1295778942</v>
      </c>
      <c r="E18613" t="s">
        <v>4651</v>
      </c>
    </row>
    <row r="18614" spans="1:5" x14ac:dyDescent="0.25">
      <c r="A18614" t="s">
        <v>4</v>
      </c>
      <c r="B18614" t="s">
        <v>4111</v>
      </c>
      <c r="C18614" t="s">
        <v>23490</v>
      </c>
      <c r="D18614" t="str">
        <f>HYPERLINK("https://rhld.insurance.arkansas.gov/NPILookup?Npi=1295780088","1295780088")</f>
        <v>1295780088</v>
      </c>
      <c r="E18614" t="s">
        <v>4652</v>
      </c>
    </row>
    <row r="18615" spans="1:5" x14ac:dyDescent="0.25">
      <c r="A18615" t="s">
        <v>4</v>
      </c>
      <c r="B18615" t="s">
        <v>4111</v>
      </c>
      <c r="C18615" t="s">
        <v>23490</v>
      </c>
      <c r="D18615" t="str">
        <f>HYPERLINK("https://rhld.insurance.arkansas.gov/NPILookup?Npi=1295792265","1295792265")</f>
        <v>1295792265</v>
      </c>
      <c r="E18615" t="s">
        <v>4653</v>
      </c>
    </row>
    <row r="18616" spans="1:5" x14ac:dyDescent="0.25">
      <c r="A18616" t="s">
        <v>4</v>
      </c>
      <c r="B18616" t="s">
        <v>4111</v>
      </c>
      <c r="C18616" t="s">
        <v>23490</v>
      </c>
      <c r="D18616" t="str">
        <f>HYPERLINK("https://rhld.insurance.arkansas.gov/NPILookup?Npi=1295800720","1295800720")</f>
        <v>1295800720</v>
      </c>
      <c r="E18616" t="s">
        <v>11614</v>
      </c>
    </row>
    <row r="18617" spans="1:5" x14ac:dyDescent="0.25">
      <c r="A18617" t="s">
        <v>4</v>
      </c>
      <c r="B18617" t="s">
        <v>4111</v>
      </c>
      <c r="C18617" t="s">
        <v>23490</v>
      </c>
      <c r="D18617" t="str">
        <f>HYPERLINK("https://rhld.insurance.arkansas.gov/NPILookup?Npi=1295805067","1295805067")</f>
        <v>1295805067</v>
      </c>
      <c r="E18617" t="s">
        <v>4654</v>
      </c>
    </row>
    <row r="18618" spans="1:5" x14ac:dyDescent="0.25">
      <c r="A18618" t="s">
        <v>4</v>
      </c>
      <c r="B18618" t="s">
        <v>4111</v>
      </c>
      <c r="C18618" t="s">
        <v>23490</v>
      </c>
      <c r="D18618" t="str">
        <f>HYPERLINK("https://rhld.insurance.arkansas.gov/NPILookup?Npi=1295825859","1295825859")</f>
        <v>1295825859</v>
      </c>
      <c r="E18618" t="s">
        <v>4655</v>
      </c>
    </row>
    <row r="18619" spans="1:5" x14ac:dyDescent="0.25">
      <c r="A18619" t="s">
        <v>4</v>
      </c>
      <c r="B18619" t="s">
        <v>4111</v>
      </c>
      <c r="C18619" t="s">
        <v>23490</v>
      </c>
      <c r="D18619" t="str">
        <f>HYPERLINK("https://rhld.insurance.arkansas.gov/NPILookup?Npi=1295825867","1295825867")</f>
        <v>1295825867</v>
      </c>
      <c r="E18619" t="s">
        <v>4656</v>
      </c>
    </row>
    <row r="18620" spans="1:5" x14ac:dyDescent="0.25">
      <c r="A18620" t="s">
        <v>4</v>
      </c>
      <c r="B18620" t="s">
        <v>4111</v>
      </c>
      <c r="C18620" t="s">
        <v>23490</v>
      </c>
      <c r="D18620" t="str">
        <f>HYPERLINK("https://rhld.insurance.arkansas.gov/NPILookup?Npi=1295847820","1295847820")</f>
        <v>1295847820</v>
      </c>
      <c r="E18620" t="s">
        <v>4657</v>
      </c>
    </row>
    <row r="18621" spans="1:5" x14ac:dyDescent="0.25">
      <c r="A18621" t="s">
        <v>4</v>
      </c>
      <c r="B18621" t="s">
        <v>4111</v>
      </c>
      <c r="C18621" t="s">
        <v>23490</v>
      </c>
      <c r="D18621" t="str">
        <f>HYPERLINK("https://rhld.insurance.arkansas.gov/NPILookup?Npi=1295861573","1295861573")</f>
        <v>1295861573</v>
      </c>
      <c r="E18621" t="s">
        <v>4658</v>
      </c>
    </row>
    <row r="18622" spans="1:5" x14ac:dyDescent="0.25">
      <c r="A18622" t="s">
        <v>4</v>
      </c>
      <c r="B18622" t="s">
        <v>4111</v>
      </c>
      <c r="C18622" t="s">
        <v>23490</v>
      </c>
      <c r="D18622" t="str">
        <f>HYPERLINK("https://rhld.insurance.arkansas.gov/NPILookup?Npi=1295861649","1295861649")</f>
        <v>1295861649</v>
      </c>
      <c r="E18622" t="s">
        <v>4659</v>
      </c>
    </row>
    <row r="18623" spans="1:5" x14ac:dyDescent="0.25">
      <c r="A18623" t="s">
        <v>4</v>
      </c>
      <c r="B18623" t="s">
        <v>4111</v>
      </c>
      <c r="C18623" t="s">
        <v>23490</v>
      </c>
      <c r="D18623" t="str">
        <f>HYPERLINK("https://rhld.insurance.arkansas.gov/NPILookup?Npi=1295865947","1295865947")</f>
        <v>1295865947</v>
      </c>
      <c r="E18623" t="s">
        <v>4660</v>
      </c>
    </row>
    <row r="18624" spans="1:5" x14ac:dyDescent="0.25">
      <c r="A18624" t="s">
        <v>4</v>
      </c>
      <c r="B18624" t="s">
        <v>4111</v>
      </c>
      <c r="C18624" t="s">
        <v>23490</v>
      </c>
      <c r="D18624" t="str">
        <f>HYPERLINK("https://rhld.insurance.arkansas.gov/NPILookup?Npi=1295869311","1295869311")</f>
        <v>1295869311</v>
      </c>
      <c r="E18624" t="s">
        <v>4661</v>
      </c>
    </row>
    <row r="18625" spans="1:5" x14ac:dyDescent="0.25">
      <c r="A18625" t="s">
        <v>4</v>
      </c>
      <c r="B18625" t="s">
        <v>4111</v>
      </c>
      <c r="C18625" t="s">
        <v>23490</v>
      </c>
      <c r="D18625" t="str">
        <f>HYPERLINK("https://rhld.insurance.arkansas.gov/NPILookup?Npi=1295870640","1295870640")</f>
        <v>1295870640</v>
      </c>
      <c r="E18625" t="s">
        <v>4662</v>
      </c>
    </row>
    <row r="18626" spans="1:5" x14ac:dyDescent="0.25">
      <c r="A18626" t="s">
        <v>4</v>
      </c>
      <c r="B18626" t="s">
        <v>4111</v>
      </c>
      <c r="C18626" t="s">
        <v>23490</v>
      </c>
      <c r="D18626" t="str">
        <f>HYPERLINK("https://rhld.insurance.arkansas.gov/NPILookup?Npi=1295872448","1295872448")</f>
        <v>1295872448</v>
      </c>
      <c r="E18626" t="s">
        <v>14017</v>
      </c>
    </row>
    <row r="18627" spans="1:5" x14ac:dyDescent="0.25">
      <c r="A18627" t="s">
        <v>4</v>
      </c>
      <c r="B18627" t="s">
        <v>4111</v>
      </c>
      <c r="C18627" t="s">
        <v>23490</v>
      </c>
      <c r="D18627" t="str">
        <f>HYPERLINK("https://rhld.insurance.arkansas.gov/NPILookup?Npi=1295879609","1295879609")</f>
        <v>1295879609</v>
      </c>
      <c r="E18627" t="s">
        <v>4663</v>
      </c>
    </row>
    <row r="18628" spans="1:5" x14ac:dyDescent="0.25">
      <c r="A18628" t="s">
        <v>4</v>
      </c>
      <c r="B18628" t="s">
        <v>4111</v>
      </c>
      <c r="C18628" t="s">
        <v>23490</v>
      </c>
      <c r="D18628" t="str">
        <f>HYPERLINK("https://rhld.insurance.arkansas.gov/NPILookup?Npi=1295895597","1295895597")</f>
        <v>1295895597</v>
      </c>
      <c r="E18628" t="s">
        <v>1060</v>
      </c>
    </row>
    <row r="18629" spans="1:5" x14ac:dyDescent="0.25">
      <c r="A18629" t="s">
        <v>4</v>
      </c>
      <c r="B18629" t="s">
        <v>4111</v>
      </c>
      <c r="C18629" t="s">
        <v>23490</v>
      </c>
      <c r="D18629" t="str">
        <f>HYPERLINK("https://rhld.insurance.arkansas.gov/NPILookup?Npi=1295910974","1295910974")</f>
        <v>1295910974</v>
      </c>
      <c r="E18629" t="s">
        <v>4664</v>
      </c>
    </row>
    <row r="18630" spans="1:5" x14ac:dyDescent="0.25">
      <c r="A18630" t="s">
        <v>4</v>
      </c>
      <c r="B18630" t="s">
        <v>4111</v>
      </c>
      <c r="C18630" t="s">
        <v>23490</v>
      </c>
      <c r="D18630" t="str">
        <f>HYPERLINK("https://rhld.insurance.arkansas.gov/NPILookup?Npi=1295918449","1295918449")</f>
        <v>1295918449</v>
      </c>
      <c r="E18630" t="s">
        <v>4665</v>
      </c>
    </row>
    <row r="18631" spans="1:5" x14ac:dyDescent="0.25">
      <c r="A18631" t="s">
        <v>4</v>
      </c>
      <c r="B18631" t="s">
        <v>4111</v>
      </c>
      <c r="C18631" t="s">
        <v>23490</v>
      </c>
      <c r="D18631" t="str">
        <f>HYPERLINK("https://rhld.insurance.arkansas.gov/NPILookup?Npi=1295922292","1295922292")</f>
        <v>1295922292</v>
      </c>
      <c r="E18631" t="s">
        <v>21965</v>
      </c>
    </row>
    <row r="18632" spans="1:5" x14ac:dyDescent="0.25">
      <c r="A18632" t="s">
        <v>4</v>
      </c>
      <c r="B18632" t="s">
        <v>4111</v>
      </c>
      <c r="C18632" t="s">
        <v>23490</v>
      </c>
      <c r="D18632" t="str">
        <f>HYPERLINK("https://rhld.insurance.arkansas.gov/NPILookup?Npi=1295923878","1295923878")</f>
        <v>1295923878</v>
      </c>
      <c r="E18632" t="s">
        <v>14018</v>
      </c>
    </row>
    <row r="18633" spans="1:5" x14ac:dyDescent="0.25">
      <c r="A18633" t="s">
        <v>4</v>
      </c>
      <c r="B18633" t="s">
        <v>4111</v>
      </c>
      <c r="C18633" t="s">
        <v>23490</v>
      </c>
      <c r="D18633" t="str">
        <f>HYPERLINK("https://rhld.insurance.arkansas.gov/NPILookup?Npi=1295928018","1295928018")</f>
        <v>1295928018</v>
      </c>
      <c r="E18633" t="s">
        <v>13461</v>
      </c>
    </row>
    <row r="18634" spans="1:5" x14ac:dyDescent="0.25">
      <c r="A18634" t="s">
        <v>4</v>
      </c>
      <c r="B18634" t="s">
        <v>4111</v>
      </c>
      <c r="C18634" t="s">
        <v>23490</v>
      </c>
      <c r="D18634" t="str">
        <f>HYPERLINK("https://rhld.insurance.arkansas.gov/NPILookup?Npi=1295930204","1295930204")</f>
        <v>1295930204</v>
      </c>
      <c r="E18634" t="s">
        <v>4666</v>
      </c>
    </row>
    <row r="18635" spans="1:5" x14ac:dyDescent="0.25">
      <c r="A18635" t="s">
        <v>4</v>
      </c>
      <c r="B18635" t="s">
        <v>4111</v>
      </c>
      <c r="C18635" t="s">
        <v>23490</v>
      </c>
      <c r="D18635" t="str">
        <f>HYPERLINK("https://rhld.insurance.arkansas.gov/NPILookup?Npi=1295960896","1295960896")</f>
        <v>1295960896</v>
      </c>
      <c r="E18635" t="s">
        <v>11615</v>
      </c>
    </row>
    <row r="18636" spans="1:5" x14ac:dyDescent="0.25">
      <c r="A18636" t="s">
        <v>4</v>
      </c>
      <c r="B18636" t="s">
        <v>4111</v>
      </c>
      <c r="C18636" t="s">
        <v>23490</v>
      </c>
      <c r="D18636" t="str">
        <f>HYPERLINK("https://rhld.insurance.arkansas.gov/NPILookup?Npi=1295964443","1295964443")</f>
        <v>1295964443</v>
      </c>
      <c r="E18636" t="s">
        <v>11616</v>
      </c>
    </row>
    <row r="18637" spans="1:5" x14ac:dyDescent="0.25">
      <c r="A18637" t="s">
        <v>4</v>
      </c>
      <c r="B18637" t="s">
        <v>4111</v>
      </c>
      <c r="C18637" t="s">
        <v>23490</v>
      </c>
      <c r="D18637" t="str">
        <f>HYPERLINK("https://rhld.insurance.arkansas.gov/NPILookup?Npi=1295966364","1295966364")</f>
        <v>1295966364</v>
      </c>
      <c r="E18637" t="s">
        <v>4667</v>
      </c>
    </row>
    <row r="18638" spans="1:5" x14ac:dyDescent="0.25">
      <c r="A18638" t="s">
        <v>4</v>
      </c>
      <c r="B18638" t="s">
        <v>4111</v>
      </c>
      <c r="C18638" t="s">
        <v>23490</v>
      </c>
      <c r="D18638" t="str">
        <f>HYPERLINK("https://rhld.insurance.arkansas.gov/NPILookup?Npi=1295967313","1295967313")</f>
        <v>1295967313</v>
      </c>
      <c r="E18638" t="s">
        <v>4668</v>
      </c>
    </row>
    <row r="18639" spans="1:5" x14ac:dyDescent="0.25">
      <c r="A18639" t="s">
        <v>4</v>
      </c>
      <c r="B18639" t="s">
        <v>4111</v>
      </c>
      <c r="C18639" t="s">
        <v>23490</v>
      </c>
      <c r="D18639" t="str">
        <f>HYPERLINK("https://rhld.insurance.arkansas.gov/NPILookup?Npi=1295987154","1295987154")</f>
        <v>1295987154</v>
      </c>
      <c r="E18639" t="s">
        <v>11617</v>
      </c>
    </row>
    <row r="18640" spans="1:5" x14ac:dyDescent="0.25">
      <c r="A18640" t="s">
        <v>4</v>
      </c>
      <c r="B18640" t="s">
        <v>4111</v>
      </c>
      <c r="C18640" t="s">
        <v>23490</v>
      </c>
      <c r="D18640" t="str">
        <f>HYPERLINK("https://rhld.insurance.arkansas.gov/NPILookup?Npi=1295989945","1295989945")</f>
        <v>1295989945</v>
      </c>
      <c r="E18640" t="s">
        <v>4669</v>
      </c>
    </row>
    <row r="18641" spans="1:5" x14ac:dyDescent="0.25">
      <c r="A18641" t="s">
        <v>4</v>
      </c>
      <c r="B18641" t="s">
        <v>4111</v>
      </c>
      <c r="C18641" t="s">
        <v>23490</v>
      </c>
      <c r="D18641" t="str">
        <f>HYPERLINK("https://rhld.insurance.arkansas.gov/NPILookup?Npi=1306002597","1306002597")</f>
        <v>1306002597</v>
      </c>
      <c r="E18641" t="s">
        <v>20420</v>
      </c>
    </row>
    <row r="18642" spans="1:5" x14ac:dyDescent="0.25">
      <c r="A18642" t="s">
        <v>4</v>
      </c>
      <c r="B18642" t="s">
        <v>4111</v>
      </c>
      <c r="C18642" t="s">
        <v>23490</v>
      </c>
      <c r="D18642" t="str">
        <f>HYPERLINK("https://rhld.insurance.arkansas.gov/NPILookup?Npi=1306003553","1306003553")</f>
        <v>1306003553</v>
      </c>
      <c r="E18642" t="s">
        <v>14019</v>
      </c>
    </row>
    <row r="18643" spans="1:5" x14ac:dyDescent="0.25">
      <c r="A18643" t="s">
        <v>4</v>
      </c>
      <c r="B18643" t="s">
        <v>4111</v>
      </c>
      <c r="C18643" t="s">
        <v>23490</v>
      </c>
      <c r="D18643" t="str">
        <f>HYPERLINK("https://rhld.insurance.arkansas.gov/NPILookup?Npi=1306026000","1306026000")</f>
        <v>1306026000</v>
      </c>
      <c r="E18643" t="s">
        <v>17145</v>
      </c>
    </row>
    <row r="18644" spans="1:5" x14ac:dyDescent="0.25">
      <c r="A18644" t="s">
        <v>4</v>
      </c>
      <c r="B18644" t="s">
        <v>4111</v>
      </c>
      <c r="C18644" t="s">
        <v>23490</v>
      </c>
      <c r="D18644" t="str">
        <f>HYPERLINK("https://rhld.insurance.arkansas.gov/NPILookup?Npi=1306027339","1306027339")</f>
        <v>1306027339</v>
      </c>
      <c r="E18644" t="s">
        <v>4670</v>
      </c>
    </row>
    <row r="18645" spans="1:5" x14ac:dyDescent="0.25">
      <c r="A18645" t="s">
        <v>4</v>
      </c>
      <c r="B18645" t="s">
        <v>4111</v>
      </c>
      <c r="C18645" t="s">
        <v>23490</v>
      </c>
      <c r="D18645" t="str">
        <f>HYPERLINK("https://rhld.insurance.arkansas.gov/NPILookup?Npi=1306063953","1306063953")</f>
        <v>1306063953</v>
      </c>
      <c r="E18645" t="s">
        <v>4672</v>
      </c>
    </row>
    <row r="18646" spans="1:5" x14ac:dyDescent="0.25">
      <c r="A18646" t="s">
        <v>4</v>
      </c>
      <c r="B18646" t="s">
        <v>4111</v>
      </c>
      <c r="C18646" t="s">
        <v>23490</v>
      </c>
      <c r="D18646" t="str">
        <f>HYPERLINK("https://rhld.insurance.arkansas.gov/NPILookup?Npi=1306073861","1306073861")</f>
        <v>1306073861</v>
      </c>
      <c r="E18646" t="s">
        <v>4673</v>
      </c>
    </row>
    <row r="18647" spans="1:5" x14ac:dyDescent="0.25">
      <c r="A18647" t="s">
        <v>4</v>
      </c>
      <c r="B18647" t="s">
        <v>4111</v>
      </c>
      <c r="C18647" t="s">
        <v>23490</v>
      </c>
      <c r="D18647" t="str">
        <f>HYPERLINK("https://rhld.insurance.arkansas.gov/NPILookup?Npi=1306088638","1306088638")</f>
        <v>1306088638</v>
      </c>
      <c r="E18647" t="s">
        <v>4674</v>
      </c>
    </row>
    <row r="18648" spans="1:5" x14ac:dyDescent="0.25">
      <c r="A18648" t="s">
        <v>4</v>
      </c>
      <c r="B18648" t="s">
        <v>4111</v>
      </c>
      <c r="C18648" t="s">
        <v>23490</v>
      </c>
      <c r="D18648" t="str">
        <f>HYPERLINK("https://rhld.insurance.arkansas.gov/NPILookup?Npi=1306089586","1306089586")</f>
        <v>1306089586</v>
      </c>
      <c r="E18648" t="s">
        <v>17563</v>
      </c>
    </row>
    <row r="18649" spans="1:5" x14ac:dyDescent="0.25">
      <c r="A18649" t="s">
        <v>4</v>
      </c>
      <c r="B18649" t="s">
        <v>4111</v>
      </c>
      <c r="C18649" t="s">
        <v>23490</v>
      </c>
      <c r="D18649" t="str">
        <f>HYPERLINK("https://rhld.insurance.arkansas.gov/NPILookup?Npi=1306094081","1306094081")</f>
        <v>1306094081</v>
      </c>
      <c r="E18649" t="s">
        <v>4675</v>
      </c>
    </row>
    <row r="18650" spans="1:5" x14ac:dyDescent="0.25">
      <c r="A18650" t="s">
        <v>4</v>
      </c>
      <c r="B18650" t="s">
        <v>4111</v>
      </c>
      <c r="C18650" t="s">
        <v>23490</v>
      </c>
      <c r="D18650" t="str">
        <f>HYPERLINK("https://rhld.insurance.arkansas.gov/NPILookup?Npi=1306096151","1306096151")</f>
        <v>1306096151</v>
      </c>
      <c r="E18650" t="s">
        <v>14020</v>
      </c>
    </row>
    <row r="18651" spans="1:5" x14ac:dyDescent="0.25">
      <c r="A18651" t="s">
        <v>4</v>
      </c>
      <c r="B18651" t="s">
        <v>4111</v>
      </c>
      <c r="C18651" t="s">
        <v>23490</v>
      </c>
      <c r="D18651" t="str">
        <f>HYPERLINK("https://rhld.insurance.arkansas.gov/NPILookup?Npi=1306117536","1306117536")</f>
        <v>1306117536</v>
      </c>
      <c r="E18651" t="s">
        <v>13108</v>
      </c>
    </row>
    <row r="18652" spans="1:5" x14ac:dyDescent="0.25">
      <c r="A18652" t="s">
        <v>4</v>
      </c>
      <c r="B18652" t="s">
        <v>4111</v>
      </c>
      <c r="C18652" t="s">
        <v>23490</v>
      </c>
      <c r="D18652" t="str">
        <f>HYPERLINK("https://rhld.insurance.arkansas.gov/NPILookup?Npi=1306125554","1306125554")</f>
        <v>1306125554</v>
      </c>
      <c r="E18652" t="s">
        <v>4676</v>
      </c>
    </row>
    <row r="18653" spans="1:5" x14ac:dyDescent="0.25">
      <c r="A18653" t="s">
        <v>4</v>
      </c>
      <c r="B18653" t="s">
        <v>4111</v>
      </c>
      <c r="C18653" t="s">
        <v>23490</v>
      </c>
      <c r="D18653" t="str">
        <f>HYPERLINK("https://rhld.insurance.arkansas.gov/NPILookup?Npi=1306127139","1306127139")</f>
        <v>1306127139</v>
      </c>
      <c r="E18653" t="s">
        <v>14021</v>
      </c>
    </row>
    <row r="18654" spans="1:5" x14ac:dyDescent="0.25">
      <c r="A18654" t="s">
        <v>4</v>
      </c>
      <c r="B18654" t="s">
        <v>4111</v>
      </c>
      <c r="C18654" t="s">
        <v>23490</v>
      </c>
      <c r="D18654" t="str">
        <f>HYPERLINK("https://rhld.insurance.arkansas.gov/NPILookup?Npi=1306131461","1306131461")</f>
        <v>1306131461</v>
      </c>
      <c r="E18654" t="s">
        <v>14022</v>
      </c>
    </row>
    <row r="18655" spans="1:5" x14ac:dyDescent="0.25">
      <c r="A18655" t="s">
        <v>4</v>
      </c>
      <c r="B18655" t="s">
        <v>4111</v>
      </c>
      <c r="C18655" t="s">
        <v>23490</v>
      </c>
      <c r="D18655" t="str">
        <f>HYPERLINK("https://rhld.insurance.arkansas.gov/NPILookup?Npi=1306141460","1306141460")</f>
        <v>1306141460</v>
      </c>
      <c r="E18655" t="s">
        <v>14023</v>
      </c>
    </row>
    <row r="18656" spans="1:5" x14ac:dyDescent="0.25">
      <c r="A18656" t="s">
        <v>4</v>
      </c>
      <c r="B18656" t="s">
        <v>4111</v>
      </c>
      <c r="C18656" t="s">
        <v>23490</v>
      </c>
      <c r="D18656" t="str">
        <f>HYPERLINK("https://rhld.insurance.arkansas.gov/NPILookup?Npi=1306147806","1306147806")</f>
        <v>1306147806</v>
      </c>
      <c r="E18656" t="s">
        <v>4677</v>
      </c>
    </row>
    <row r="18657" spans="1:5" x14ac:dyDescent="0.25">
      <c r="A18657" t="s">
        <v>4</v>
      </c>
      <c r="B18657" t="s">
        <v>4111</v>
      </c>
      <c r="C18657" t="s">
        <v>23490</v>
      </c>
      <c r="D18657" t="str">
        <f>HYPERLINK("https://rhld.insurance.arkansas.gov/NPILookup?Npi=1306162326","1306162326")</f>
        <v>1306162326</v>
      </c>
      <c r="E18657" t="s">
        <v>4678</v>
      </c>
    </row>
    <row r="18658" spans="1:5" x14ac:dyDescent="0.25">
      <c r="A18658" t="s">
        <v>4</v>
      </c>
      <c r="B18658" t="s">
        <v>4111</v>
      </c>
      <c r="C18658" t="s">
        <v>23490</v>
      </c>
      <c r="D18658" t="str">
        <f>HYPERLINK("https://rhld.insurance.arkansas.gov/NPILookup?Npi=1306166368","1306166368")</f>
        <v>1306166368</v>
      </c>
      <c r="E18658" t="s">
        <v>13109</v>
      </c>
    </row>
    <row r="18659" spans="1:5" x14ac:dyDescent="0.25">
      <c r="A18659" t="s">
        <v>4</v>
      </c>
      <c r="B18659" t="s">
        <v>4111</v>
      </c>
      <c r="C18659" t="s">
        <v>23490</v>
      </c>
      <c r="D18659" t="str">
        <f>HYPERLINK("https://rhld.insurance.arkansas.gov/NPILookup?Npi=1306168844","1306168844")</f>
        <v>1306168844</v>
      </c>
      <c r="E18659" t="s">
        <v>14024</v>
      </c>
    </row>
    <row r="18660" spans="1:5" x14ac:dyDescent="0.25">
      <c r="A18660" t="s">
        <v>4</v>
      </c>
      <c r="B18660" t="s">
        <v>4111</v>
      </c>
      <c r="C18660" t="s">
        <v>23490</v>
      </c>
      <c r="D18660" t="str">
        <f>HYPERLINK("https://rhld.insurance.arkansas.gov/NPILookup?Npi=1306176722","1306176722")</f>
        <v>1306176722</v>
      </c>
      <c r="E18660" t="s">
        <v>9059</v>
      </c>
    </row>
    <row r="18661" spans="1:5" x14ac:dyDescent="0.25">
      <c r="A18661" t="s">
        <v>4</v>
      </c>
      <c r="B18661" t="s">
        <v>4111</v>
      </c>
      <c r="C18661" t="s">
        <v>23490</v>
      </c>
      <c r="D18661" t="str">
        <f>HYPERLINK("https://rhld.insurance.arkansas.gov/NPILookup?Npi=1306179726","1306179726")</f>
        <v>1306179726</v>
      </c>
      <c r="E18661" t="s">
        <v>4679</v>
      </c>
    </row>
    <row r="18662" spans="1:5" x14ac:dyDescent="0.25">
      <c r="A18662" t="s">
        <v>4</v>
      </c>
      <c r="B18662" t="s">
        <v>4111</v>
      </c>
      <c r="C18662" t="s">
        <v>23490</v>
      </c>
      <c r="D18662" t="str">
        <f>HYPERLINK("https://rhld.insurance.arkansas.gov/NPILookup?Npi=1306194485","1306194485")</f>
        <v>1306194485</v>
      </c>
      <c r="E18662" t="s">
        <v>18316</v>
      </c>
    </row>
    <row r="18663" spans="1:5" x14ac:dyDescent="0.25">
      <c r="A18663" t="s">
        <v>4</v>
      </c>
      <c r="B18663" t="s">
        <v>4111</v>
      </c>
      <c r="C18663" t="s">
        <v>23490</v>
      </c>
      <c r="D18663" t="str">
        <f>HYPERLINK("https://rhld.insurance.arkansas.gov/NPILookup?Npi=1306245345","1306245345")</f>
        <v>1306245345</v>
      </c>
      <c r="E18663" t="s">
        <v>8605</v>
      </c>
    </row>
    <row r="18664" spans="1:5" x14ac:dyDescent="0.25">
      <c r="A18664" t="s">
        <v>4</v>
      </c>
      <c r="B18664" t="s">
        <v>4111</v>
      </c>
      <c r="C18664" t="s">
        <v>23490</v>
      </c>
      <c r="D18664" t="str">
        <f>HYPERLINK("https://rhld.insurance.arkansas.gov/NPILookup?Npi=1306245451","1306245451")</f>
        <v>1306245451</v>
      </c>
      <c r="E18664" t="s">
        <v>17564</v>
      </c>
    </row>
    <row r="18665" spans="1:5" x14ac:dyDescent="0.25">
      <c r="A18665" t="s">
        <v>4</v>
      </c>
      <c r="B18665" t="s">
        <v>4111</v>
      </c>
      <c r="C18665" t="s">
        <v>23490</v>
      </c>
      <c r="D18665" t="str">
        <f>HYPERLINK("https://rhld.insurance.arkansas.gov/NPILookup?Npi=1306261847","1306261847")</f>
        <v>1306261847</v>
      </c>
      <c r="E18665" t="s">
        <v>4681</v>
      </c>
    </row>
    <row r="18666" spans="1:5" x14ac:dyDescent="0.25">
      <c r="A18666" t="s">
        <v>4</v>
      </c>
      <c r="B18666" t="s">
        <v>4111</v>
      </c>
      <c r="C18666" t="s">
        <v>23490</v>
      </c>
      <c r="D18666" t="str">
        <f>HYPERLINK("https://rhld.insurance.arkansas.gov/NPILookup?Npi=1306266424","1306266424")</f>
        <v>1306266424</v>
      </c>
      <c r="E18666" t="s">
        <v>3615</v>
      </c>
    </row>
    <row r="18667" spans="1:5" x14ac:dyDescent="0.25">
      <c r="A18667" t="s">
        <v>4</v>
      </c>
      <c r="B18667" t="s">
        <v>4111</v>
      </c>
      <c r="C18667" t="s">
        <v>23490</v>
      </c>
      <c r="D18667" t="str">
        <f>HYPERLINK("https://rhld.insurance.arkansas.gov/NPILookup?Npi=1306269808","1306269808")</f>
        <v>1306269808</v>
      </c>
      <c r="E18667" t="s">
        <v>13110</v>
      </c>
    </row>
    <row r="18668" spans="1:5" x14ac:dyDescent="0.25">
      <c r="A18668" t="s">
        <v>4</v>
      </c>
      <c r="B18668" t="s">
        <v>4111</v>
      </c>
      <c r="C18668" t="s">
        <v>23490</v>
      </c>
      <c r="D18668" t="str">
        <f>HYPERLINK("https://rhld.insurance.arkansas.gov/NPILookup?Npi=1306287487","1306287487")</f>
        <v>1306287487</v>
      </c>
      <c r="E18668" t="s">
        <v>21966</v>
      </c>
    </row>
    <row r="18669" spans="1:5" x14ac:dyDescent="0.25">
      <c r="A18669" t="s">
        <v>4</v>
      </c>
      <c r="B18669" t="s">
        <v>4111</v>
      </c>
      <c r="C18669" t="s">
        <v>23490</v>
      </c>
      <c r="D18669" t="str">
        <f>HYPERLINK("https://rhld.insurance.arkansas.gov/NPILookup?Npi=1306297510","1306297510")</f>
        <v>1306297510</v>
      </c>
      <c r="E18669" t="s">
        <v>16050</v>
      </c>
    </row>
    <row r="18670" spans="1:5" x14ac:dyDescent="0.25">
      <c r="A18670" t="s">
        <v>4</v>
      </c>
      <c r="B18670" t="s">
        <v>4111</v>
      </c>
      <c r="C18670" t="s">
        <v>23490</v>
      </c>
      <c r="D18670" t="str">
        <f>HYPERLINK("https://rhld.insurance.arkansas.gov/NPILookup?Npi=1306352737","1306352737")</f>
        <v>1306352737</v>
      </c>
      <c r="E18670" t="s">
        <v>21967</v>
      </c>
    </row>
    <row r="18671" spans="1:5" x14ac:dyDescent="0.25">
      <c r="A18671" t="s">
        <v>4</v>
      </c>
      <c r="B18671" t="s">
        <v>4111</v>
      </c>
      <c r="C18671" t="s">
        <v>23490</v>
      </c>
      <c r="D18671" t="str">
        <f>HYPERLINK("https://rhld.insurance.arkansas.gov/NPILookup?Npi=1306375407","1306375407")</f>
        <v>1306375407</v>
      </c>
      <c r="E18671" t="s">
        <v>18317</v>
      </c>
    </row>
    <row r="18672" spans="1:5" x14ac:dyDescent="0.25">
      <c r="A18672" t="s">
        <v>4</v>
      </c>
      <c r="B18672" t="s">
        <v>4111</v>
      </c>
      <c r="C18672" t="s">
        <v>23490</v>
      </c>
      <c r="D18672" t="str">
        <f>HYPERLINK("https://rhld.insurance.arkansas.gov/NPILookup?Npi=1306402169","1306402169")</f>
        <v>1306402169</v>
      </c>
      <c r="E18672" t="s">
        <v>18318</v>
      </c>
    </row>
    <row r="18673" spans="1:5" x14ac:dyDescent="0.25">
      <c r="A18673" t="s">
        <v>4</v>
      </c>
      <c r="B18673" t="s">
        <v>4111</v>
      </c>
      <c r="C18673" t="s">
        <v>23490</v>
      </c>
      <c r="D18673" t="str">
        <f>HYPERLINK("https://rhld.insurance.arkansas.gov/NPILookup?Npi=1306414867","1306414867")</f>
        <v>1306414867</v>
      </c>
      <c r="E18673" t="s">
        <v>18968</v>
      </c>
    </row>
    <row r="18674" spans="1:5" x14ac:dyDescent="0.25">
      <c r="A18674" t="s">
        <v>4</v>
      </c>
      <c r="B18674" t="s">
        <v>4111</v>
      </c>
      <c r="C18674" t="s">
        <v>23490</v>
      </c>
      <c r="D18674" t="str">
        <f>HYPERLINK("https://rhld.insurance.arkansas.gov/NPILookup?Npi=1306417324","1306417324")</f>
        <v>1306417324</v>
      </c>
      <c r="E18674" t="s">
        <v>21390</v>
      </c>
    </row>
    <row r="18675" spans="1:5" x14ac:dyDescent="0.25">
      <c r="A18675" t="s">
        <v>4</v>
      </c>
      <c r="B18675" t="s">
        <v>4111</v>
      </c>
      <c r="C18675" t="s">
        <v>23490</v>
      </c>
      <c r="D18675" t="str">
        <f>HYPERLINK("https://rhld.insurance.arkansas.gov/NPILookup?Npi=1306418124","1306418124")</f>
        <v>1306418124</v>
      </c>
      <c r="E18675" t="s">
        <v>21968</v>
      </c>
    </row>
    <row r="18676" spans="1:5" x14ac:dyDescent="0.25">
      <c r="A18676" t="s">
        <v>4</v>
      </c>
      <c r="B18676" t="s">
        <v>4111</v>
      </c>
      <c r="C18676" t="s">
        <v>23490</v>
      </c>
      <c r="D18676" t="str">
        <f>HYPERLINK("https://rhld.insurance.arkansas.gov/NPILookup?Npi=1306426150","1306426150")</f>
        <v>1306426150</v>
      </c>
      <c r="E18676" t="s">
        <v>21969</v>
      </c>
    </row>
    <row r="18677" spans="1:5" x14ac:dyDescent="0.25">
      <c r="A18677" t="s">
        <v>4</v>
      </c>
      <c r="B18677" t="s">
        <v>4111</v>
      </c>
      <c r="C18677" t="s">
        <v>23490</v>
      </c>
      <c r="D18677" t="str">
        <f>HYPERLINK("https://rhld.insurance.arkansas.gov/NPILookup?Npi=1306431523","1306431523")</f>
        <v>1306431523</v>
      </c>
      <c r="E18677" t="s">
        <v>21970</v>
      </c>
    </row>
    <row r="18678" spans="1:5" x14ac:dyDescent="0.25">
      <c r="A18678" t="s">
        <v>4</v>
      </c>
      <c r="B18678" t="s">
        <v>4111</v>
      </c>
      <c r="C18678" t="s">
        <v>23490</v>
      </c>
      <c r="D18678" t="str">
        <f>HYPERLINK("https://rhld.insurance.arkansas.gov/NPILookup?Npi=1306437462","1306437462")</f>
        <v>1306437462</v>
      </c>
      <c r="E18678" t="s">
        <v>18319</v>
      </c>
    </row>
    <row r="18679" spans="1:5" x14ac:dyDescent="0.25">
      <c r="A18679" t="s">
        <v>4</v>
      </c>
      <c r="B18679" t="s">
        <v>4111</v>
      </c>
      <c r="C18679" t="s">
        <v>23490</v>
      </c>
      <c r="D18679" t="str">
        <f>HYPERLINK("https://rhld.insurance.arkansas.gov/NPILookup?Npi=1306449566","1306449566")</f>
        <v>1306449566</v>
      </c>
      <c r="E18679" t="s">
        <v>17941</v>
      </c>
    </row>
    <row r="18680" spans="1:5" x14ac:dyDescent="0.25">
      <c r="A18680" t="s">
        <v>4</v>
      </c>
      <c r="B18680" t="s">
        <v>4111</v>
      </c>
      <c r="C18680" t="s">
        <v>23490</v>
      </c>
      <c r="D18680" t="str">
        <f>HYPERLINK("https://rhld.insurance.arkansas.gov/NPILookup?Npi=1306455860","1306455860")</f>
        <v>1306455860</v>
      </c>
      <c r="E18680" t="s">
        <v>18320</v>
      </c>
    </row>
    <row r="18681" spans="1:5" x14ac:dyDescent="0.25">
      <c r="A18681" t="s">
        <v>4</v>
      </c>
      <c r="B18681" t="s">
        <v>4111</v>
      </c>
      <c r="C18681" t="s">
        <v>23490</v>
      </c>
      <c r="D18681" t="str">
        <f>HYPERLINK("https://rhld.insurance.arkansas.gov/NPILookup?Npi=1306509716","1306509716")</f>
        <v>1306509716</v>
      </c>
      <c r="E18681" t="s">
        <v>20421</v>
      </c>
    </row>
    <row r="18682" spans="1:5" x14ac:dyDescent="0.25">
      <c r="A18682" t="s">
        <v>4</v>
      </c>
      <c r="B18682" t="s">
        <v>4111</v>
      </c>
      <c r="C18682" t="s">
        <v>23490</v>
      </c>
      <c r="D18682" t="str">
        <f>HYPERLINK("https://rhld.insurance.arkansas.gov/NPILookup?Npi=1306512819","1306512819")</f>
        <v>1306512819</v>
      </c>
      <c r="E18682" t="s">
        <v>21971</v>
      </c>
    </row>
    <row r="18683" spans="1:5" x14ac:dyDescent="0.25">
      <c r="A18683" t="s">
        <v>4</v>
      </c>
      <c r="B18683" t="s">
        <v>4111</v>
      </c>
      <c r="C18683" t="s">
        <v>23490</v>
      </c>
      <c r="D18683" t="str">
        <f>HYPERLINK("https://rhld.insurance.arkansas.gov/NPILookup?Npi=1306562418","1306562418")</f>
        <v>1306562418</v>
      </c>
      <c r="E18683" t="s">
        <v>21972</v>
      </c>
    </row>
    <row r="18684" spans="1:5" x14ac:dyDescent="0.25">
      <c r="A18684" t="s">
        <v>4</v>
      </c>
      <c r="B18684" t="s">
        <v>4111</v>
      </c>
      <c r="C18684" t="s">
        <v>8427</v>
      </c>
      <c r="D18684" t="str">
        <f>HYPERLINK("https://rhld.insurance.arkansas.gov/NPILookup?Npi=1306593199","1306593199")</f>
        <v>1306593199</v>
      </c>
      <c r="E18684" t="s">
        <v>23075</v>
      </c>
    </row>
    <row r="18685" spans="1:5" x14ac:dyDescent="0.25">
      <c r="A18685" t="s">
        <v>4</v>
      </c>
      <c r="B18685" t="s">
        <v>4111</v>
      </c>
      <c r="C18685" t="s">
        <v>23490</v>
      </c>
      <c r="D18685" t="str">
        <f>HYPERLINK("https://rhld.insurance.arkansas.gov/NPILookup?Npi=1306834015","1306834015")</f>
        <v>1306834015</v>
      </c>
      <c r="E18685" t="s">
        <v>4682</v>
      </c>
    </row>
    <row r="18686" spans="1:5" x14ac:dyDescent="0.25">
      <c r="A18686" t="s">
        <v>4</v>
      </c>
      <c r="B18686" t="s">
        <v>4111</v>
      </c>
      <c r="C18686" t="s">
        <v>23490</v>
      </c>
      <c r="D18686" t="str">
        <f>HYPERLINK("https://rhld.insurance.arkansas.gov/NPILookup?Npi=1306846712","1306846712")</f>
        <v>1306846712</v>
      </c>
      <c r="E18686" t="s">
        <v>4683</v>
      </c>
    </row>
    <row r="18687" spans="1:5" x14ac:dyDescent="0.25">
      <c r="A18687" t="s">
        <v>4</v>
      </c>
      <c r="B18687" t="s">
        <v>4111</v>
      </c>
      <c r="C18687" t="s">
        <v>23490</v>
      </c>
      <c r="D18687" t="str">
        <f>HYPERLINK("https://rhld.insurance.arkansas.gov/NPILookup?Npi=1306855036","1306855036")</f>
        <v>1306855036</v>
      </c>
      <c r="E18687" t="s">
        <v>20422</v>
      </c>
    </row>
    <row r="18688" spans="1:5" x14ac:dyDescent="0.25">
      <c r="A18688" t="s">
        <v>4</v>
      </c>
      <c r="B18688" t="s">
        <v>4111</v>
      </c>
      <c r="C18688" t="s">
        <v>23490</v>
      </c>
      <c r="D18688" t="str">
        <f>HYPERLINK("https://rhld.insurance.arkansas.gov/NPILookup?Npi=1306859616","1306859616")</f>
        <v>1306859616</v>
      </c>
      <c r="E18688" t="s">
        <v>4684</v>
      </c>
    </row>
    <row r="18689" spans="1:5" x14ac:dyDescent="0.25">
      <c r="A18689" t="s">
        <v>4</v>
      </c>
      <c r="B18689" t="s">
        <v>4111</v>
      </c>
      <c r="C18689" t="s">
        <v>23490</v>
      </c>
      <c r="D18689" t="str">
        <f>HYPERLINK("https://rhld.insurance.arkansas.gov/NPILookup?Npi=1306862966","1306862966")</f>
        <v>1306862966</v>
      </c>
      <c r="E18689" t="s">
        <v>14025</v>
      </c>
    </row>
    <row r="18690" spans="1:5" x14ac:dyDescent="0.25">
      <c r="A18690" t="s">
        <v>4</v>
      </c>
      <c r="B18690" t="s">
        <v>4111</v>
      </c>
      <c r="C18690" t="s">
        <v>23490</v>
      </c>
      <c r="D18690" t="str">
        <f>HYPERLINK("https://rhld.insurance.arkansas.gov/NPILookup?Npi=1306875935","1306875935")</f>
        <v>1306875935</v>
      </c>
      <c r="E18690" t="s">
        <v>4685</v>
      </c>
    </row>
    <row r="18691" spans="1:5" x14ac:dyDescent="0.25">
      <c r="A18691" t="s">
        <v>4</v>
      </c>
      <c r="B18691" t="s">
        <v>4111</v>
      </c>
      <c r="C18691" t="s">
        <v>23490</v>
      </c>
      <c r="D18691" t="str">
        <f>HYPERLINK("https://rhld.insurance.arkansas.gov/NPILookup?Npi=1306890991","1306890991")</f>
        <v>1306890991</v>
      </c>
      <c r="E18691" t="s">
        <v>4686</v>
      </c>
    </row>
    <row r="18692" spans="1:5" x14ac:dyDescent="0.25">
      <c r="A18692" t="s">
        <v>4</v>
      </c>
      <c r="B18692" t="s">
        <v>4111</v>
      </c>
      <c r="C18692" t="s">
        <v>23490</v>
      </c>
      <c r="D18692" t="str">
        <f>HYPERLINK("https://rhld.insurance.arkansas.gov/NPILookup?Npi=1306909759","1306909759")</f>
        <v>1306909759</v>
      </c>
      <c r="E18692" t="s">
        <v>13111</v>
      </c>
    </row>
    <row r="18693" spans="1:5" x14ac:dyDescent="0.25">
      <c r="A18693" t="s">
        <v>4</v>
      </c>
      <c r="B18693" t="s">
        <v>4111</v>
      </c>
      <c r="C18693" t="s">
        <v>23490</v>
      </c>
      <c r="D18693" t="str">
        <f>HYPERLINK("https://rhld.insurance.arkansas.gov/NPILookup?Npi=1306916036","1306916036")</f>
        <v>1306916036</v>
      </c>
      <c r="E18693" t="s">
        <v>4687</v>
      </c>
    </row>
    <row r="18694" spans="1:5" x14ac:dyDescent="0.25">
      <c r="A18694" t="s">
        <v>4</v>
      </c>
      <c r="B18694" t="s">
        <v>4111</v>
      </c>
      <c r="C18694" t="s">
        <v>23490</v>
      </c>
      <c r="D18694" t="str">
        <f>HYPERLINK("https://rhld.insurance.arkansas.gov/NPILookup?Npi=1306921853","1306921853")</f>
        <v>1306921853</v>
      </c>
      <c r="E18694" t="s">
        <v>4688</v>
      </c>
    </row>
    <row r="18695" spans="1:5" x14ac:dyDescent="0.25">
      <c r="A18695" t="s">
        <v>4</v>
      </c>
      <c r="B18695" t="s">
        <v>4111</v>
      </c>
      <c r="C18695" t="s">
        <v>23490</v>
      </c>
      <c r="D18695" t="str">
        <f>HYPERLINK("https://rhld.insurance.arkansas.gov/NPILookup?Npi=1306929732","1306929732")</f>
        <v>1306929732</v>
      </c>
      <c r="E18695" t="s">
        <v>11619</v>
      </c>
    </row>
    <row r="18696" spans="1:5" x14ac:dyDescent="0.25">
      <c r="A18696" t="s">
        <v>4</v>
      </c>
      <c r="B18696" t="s">
        <v>4111</v>
      </c>
      <c r="C18696" t="s">
        <v>23490</v>
      </c>
      <c r="D18696" t="str">
        <f>HYPERLINK("https://rhld.insurance.arkansas.gov/NPILookup?Npi=1306939384","1306939384")</f>
        <v>1306939384</v>
      </c>
      <c r="E18696" t="s">
        <v>16051</v>
      </c>
    </row>
    <row r="18697" spans="1:5" x14ac:dyDescent="0.25">
      <c r="A18697" t="s">
        <v>4</v>
      </c>
      <c r="B18697" t="s">
        <v>4111</v>
      </c>
      <c r="C18697" t="s">
        <v>23490</v>
      </c>
      <c r="D18697" t="str">
        <f>HYPERLINK("https://rhld.insurance.arkansas.gov/NPILookup?Npi=1306953898","1306953898")</f>
        <v>1306953898</v>
      </c>
      <c r="E18697" t="s">
        <v>4689</v>
      </c>
    </row>
    <row r="18698" spans="1:5" x14ac:dyDescent="0.25">
      <c r="A18698" t="s">
        <v>4</v>
      </c>
      <c r="B18698" t="s">
        <v>4111</v>
      </c>
      <c r="C18698" t="s">
        <v>23490</v>
      </c>
      <c r="D18698" t="str">
        <f>HYPERLINK("https://rhld.insurance.arkansas.gov/NPILookup?Npi=1306986112","1306986112")</f>
        <v>1306986112</v>
      </c>
      <c r="E18698" t="s">
        <v>4690</v>
      </c>
    </row>
    <row r="18699" spans="1:5" x14ac:dyDescent="0.25">
      <c r="A18699" t="s">
        <v>4</v>
      </c>
      <c r="B18699" t="s">
        <v>4111</v>
      </c>
      <c r="C18699" t="s">
        <v>23490</v>
      </c>
      <c r="D18699" t="str">
        <f>HYPERLINK("https://rhld.insurance.arkansas.gov/NPILookup?Npi=1316005408","1316005408")</f>
        <v>1316005408</v>
      </c>
      <c r="E18699" t="s">
        <v>16052</v>
      </c>
    </row>
    <row r="18700" spans="1:5" x14ac:dyDescent="0.25">
      <c r="A18700" t="s">
        <v>4</v>
      </c>
      <c r="B18700" t="s">
        <v>4111</v>
      </c>
      <c r="C18700" t="s">
        <v>23490</v>
      </c>
      <c r="D18700" t="str">
        <f>HYPERLINK("https://rhld.insurance.arkansas.gov/NPILookup?Npi=1316006935","1316006935")</f>
        <v>1316006935</v>
      </c>
      <c r="E18700" t="s">
        <v>4691</v>
      </c>
    </row>
    <row r="18701" spans="1:5" x14ac:dyDescent="0.25">
      <c r="A18701" t="s">
        <v>4</v>
      </c>
      <c r="B18701" t="s">
        <v>4111</v>
      </c>
      <c r="C18701" t="s">
        <v>23490</v>
      </c>
      <c r="D18701" t="str">
        <f>HYPERLINK("https://rhld.insurance.arkansas.gov/NPILookup?Npi=1316015571","1316015571")</f>
        <v>1316015571</v>
      </c>
      <c r="E18701" t="s">
        <v>4692</v>
      </c>
    </row>
    <row r="18702" spans="1:5" x14ac:dyDescent="0.25">
      <c r="A18702" t="s">
        <v>4</v>
      </c>
      <c r="B18702" t="s">
        <v>4111</v>
      </c>
      <c r="C18702" t="s">
        <v>23490</v>
      </c>
      <c r="D18702" t="str">
        <f>HYPERLINK("https://rhld.insurance.arkansas.gov/NPILookup?Npi=1316049893","1316049893")</f>
        <v>1316049893</v>
      </c>
      <c r="E18702" t="s">
        <v>4693</v>
      </c>
    </row>
    <row r="18703" spans="1:5" x14ac:dyDescent="0.25">
      <c r="A18703" t="s">
        <v>4</v>
      </c>
      <c r="B18703" t="s">
        <v>4111</v>
      </c>
      <c r="C18703" t="s">
        <v>23490</v>
      </c>
      <c r="D18703" t="str">
        <f>HYPERLINK("https://rhld.insurance.arkansas.gov/NPILookup?Npi=1316050313","1316050313")</f>
        <v>1316050313</v>
      </c>
      <c r="E18703" t="s">
        <v>4694</v>
      </c>
    </row>
    <row r="18704" spans="1:5" x14ac:dyDescent="0.25">
      <c r="A18704" t="s">
        <v>4</v>
      </c>
      <c r="B18704" t="s">
        <v>4111</v>
      </c>
      <c r="C18704" t="s">
        <v>23490</v>
      </c>
      <c r="D18704" t="str">
        <f>HYPERLINK("https://rhld.insurance.arkansas.gov/NPILookup?Npi=1316054422","1316054422")</f>
        <v>1316054422</v>
      </c>
      <c r="E18704" t="s">
        <v>4695</v>
      </c>
    </row>
    <row r="18705" spans="1:5" x14ac:dyDescent="0.25">
      <c r="A18705" t="s">
        <v>4</v>
      </c>
      <c r="B18705" t="s">
        <v>4111</v>
      </c>
      <c r="C18705" t="s">
        <v>23490</v>
      </c>
      <c r="D18705" t="str">
        <f>HYPERLINK("https://rhld.insurance.arkansas.gov/NPILookup?Npi=1316058399","1316058399")</f>
        <v>1316058399</v>
      </c>
      <c r="E18705" t="s">
        <v>4696</v>
      </c>
    </row>
    <row r="18706" spans="1:5" x14ac:dyDescent="0.25">
      <c r="A18706" t="s">
        <v>4</v>
      </c>
      <c r="B18706" t="s">
        <v>4111</v>
      </c>
      <c r="C18706" t="s">
        <v>23490</v>
      </c>
      <c r="D18706" t="str">
        <f>HYPERLINK("https://rhld.insurance.arkansas.gov/NPILookup?Npi=1316071947","1316071947")</f>
        <v>1316071947</v>
      </c>
      <c r="E18706" t="s">
        <v>4697</v>
      </c>
    </row>
    <row r="18707" spans="1:5" x14ac:dyDescent="0.25">
      <c r="A18707" t="s">
        <v>4</v>
      </c>
      <c r="B18707" t="s">
        <v>4111</v>
      </c>
      <c r="C18707" t="s">
        <v>23490</v>
      </c>
      <c r="D18707" t="str">
        <f>HYPERLINK("https://rhld.insurance.arkansas.gov/NPILookup?Npi=1316071962","1316071962")</f>
        <v>1316071962</v>
      </c>
      <c r="E18707" t="s">
        <v>13112</v>
      </c>
    </row>
    <row r="18708" spans="1:5" x14ac:dyDescent="0.25">
      <c r="A18708" t="s">
        <v>4</v>
      </c>
      <c r="B18708" t="s">
        <v>4111</v>
      </c>
      <c r="C18708" t="s">
        <v>23490</v>
      </c>
      <c r="D18708" t="str">
        <f>HYPERLINK("https://rhld.insurance.arkansas.gov/NPILookup?Npi=1316082001","1316082001")</f>
        <v>1316082001</v>
      </c>
      <c r="E18708" t="s">
        <v>4698</v>
      </c>
    </row>
    <row r="18709" spans="1:5" x14ac:dyDescent="0.25">
      <c r="A18709" t="s">
        <v>4</v>
      </c>
      <c r="B18709" t="s">
        <v>4111</v>
      </c>
      <c r="C18709" t="s">
        <v>23490</v>
      </c>
      <c r="D18709" t="str">
        <f>HYPERLINK("https://rhld.insurance.arkansas.gov/NPILookup?Npi=1316084619","1316084619")</f>
        <v>1316084619</v>
      </c>
      <c r="E18709" t="s">
        <v>4699</v>
      </c>
    </row>
    <row r="18710" spans="1:5" x14ac:dyDescent="0.25">
      <c r="A18710" t="s">
        <v>4</v>
      </c>
      <c r="B18710" t="s">
        <v>4111</v>
      </c>
      <c r="C18710" t="s">
        <v>23490</v>
      </c>
      <c r="D18710" t="str">
        <f>HYPERLINK("https://rhld.insurance.arkansas.gov/NPILookup?Npi=1316090806","1316090806")</f>
        <v>1316090806</v>
      </c>
      <c r="E18710" t="s">
        <v>4700</v>
      </c>
    </row>
    <row r="18711" spans="1:5" x14ac:dyDescent="0.25">
      <c r="A18711" t="s">
        <v>4</v>
      </c>
      <c r="B18711" t="s">
        <v>4111</v>
      </c>
      <c r="C18711" t="s">
        <v>23490</v>
      </c>
      <c r="D18711" t="str">
        <f>HYPERLINK("https://rhld.insurance.arkansas.gov/NPILookup?Npi=1316098569","1316098569")</f>
        <v>1316098569</v>
      </c>
      <c r="E18711" t="s">
        <v>4701</v>
      </c>
    </row>
    <row r="18712" spans="1:5" x14ac:dyDescent="0.25">
      <c r="A18712" t="s">
        <v>4</v>
      </c>
      <c r="B18712" t="s">
        <v>4111</v>
      </c>
      <c r="C18712" t="s">
        <v>23490</v>
      </c>
      <c r="D18712" t="str">
        <f>HYPERLINK("https://rhld.insurance.arkansas.gov/NPILookup?Npi=1316098643","1316098643")</f>
        <v>1316098643</v>
      </c>
      <c r="E18712" t="s">
        <v>13113</v>
      </c>
    </row>
    <row r="18713" spans="1:5" x14ac:dyDescent="0.25">
      <c r="A18713" t="s">
        <v>4</v>
      </c>
      <c r="B18713" t="s">
        <v>4111</v>
      </c>
      <c r="C18713" t="s">
        <v>23490</v>
      </c>
      <c r="D18713" t="str">
        <f>HYPERLINK("https://rhld.insurance.arkansas.gov/NPILookup?Npi=1316127301","1316127301")</f>
        <v>1316127301</v>
      </c>
      <c r="E18713" t="s">
        <v>4702</v>
      </c>
    </row>
    <row r="18714" spans="1:5" x14ac:dyDescent="0.25">
      <c r="A18714" t="s">
        <v>4</v>
      </c>
      <c r="B18714" t="s">
        <v>4111</v>
      </c>
      <c r="C18714" t="s">
        <v>23490</v>
      </c>
      <c r="D18714" t="str">
        <f>HYPERLINK("https://rhld.insurance.arkansas.gov/NPILookup?Npi=1316154792","1316154792")</f>
        <v>1316154792</v>
      </c>
      <c r="E18714" t="s">
        <v>4703</v>
      </c>
    </row>
    <row r="18715" spans="1:5" x14ac:dyDescent="0.25">
      <c r="A18715" t="s">
        <v>4</v>
      </c>
      <c r="B18715" t="s">
        <v>4111</v>
      </c>
      <c r="C18715" t="s">
        <v>23490</v>
      </c>
      <c r="D18715" t="str">
        <f>HYPERLINK("https://rhld.insurance.arkansas.gov/NPILookup?Npi=1316159197","1316159197")</f>
        <v>1316159197</v>
      </c>
      <c r="E18715" t="s">
        <v>21973</v>
      </c>
    </row>
    <row r="18716" spans="1:5" x14ac:dyDescent="0.25">
      <c r="A18716" t="s">
        <v>4</v>
      </c>
      <c r="B18716" t="s">
        <v>4111</v>
      </c>
      <c r="C18716" t="s">
        <v>23490</v>
      </c>
      <c r="D18716" t="str">
        <f>HYPERLINK("https://rhld.insurance.arkansas.gov/NPILookup?Npi=1316163413","1316163413")</f>
        <v>1316163413</v>
      </c>
      <c r="E18716" t="s">
        <v>14026</v>
      </c>
    </row>
    <row r="18717" spans="1:5" x14ac:dyDescent="0.25">
      <c r="A18717" t="s">
        <v>4</v>
      </c>
      <c r="B18717" t="s">
        <v>4111</v>
      </c>
      <c r="C18717" t="s">
        <v>23490</v>
      </c>
      <c r="D18717" t="str">
        <f>HYPERLINK("https://rhld.insurance.arkansas.gov/NPILookup?Npi=1316165509","1316165509")</f>
        <v>1316165509</v>
      </c>
      <c r="E18717" t="s">
        <v>4704</v>
      </c>
    </row>
    <row r="18718" spans="1:5" x14ac:dyDescent="0.25">
      <c r="A18718" t="s">
        <v>4</v>
      </c>
      <c r="B18718" t="s">
        <v>4111</v>
      </c>
      <c r="C18718" t="s">
        <v>23490</v>
      </c>
      <c r="D18718" t="str">
        <f>HYPERLINK("https://rhld.insurance.arkansas.gov/NPILookup?Npi=1316183973","1316183973")</f>
        <v>1316183973</v>
      </c>
      <c r="E18718" t="s">
        <v>4705</v>
      </c>
    </row>
    <row r="18719" spans="1:5" x14ac:dyDescent="0.25">
      <c r="A18719" t="s">
        <v>4</v>
      </c>
      <c r="B18719" t="s">
        <v>4111</v>
      </c>
      <c r="C18719" t="s">
        <v>23490</v>
      </c>
      <c r="D18719" t="str">
        <f>HYPERLINK("https://rhld.insurance.arkansas.gov/NPILookup?Npi=1316190259","1316190259")</f>
        <v>1316190259</v>
      </c>
      <c r="E18719" t="s">
        <v>4706</v>
      </c>
    </row>
    <row r="18720" spans="1:5" x14ac:dyDescent="0.25">
      <c r="A18720" t="s">
        <v>4</v>
      </c>
      <c r="B18720" t="s">
        <v>4111</v>
      </c>
      <c r="C18720" t="s">
        <v>23490</v>
      </c>
      <c r="D18720" t="str">
        <f>HYPERLINK("https://rhld.insurance.arkansas.gov/NPILookup?Npi=1316198641","1316198641")</f>
        <v>1316198641</v>
      </c>
      <c r="E18720" t="s">
        <v>11620</v>
      </c>
    </row>
    <row r="18721" spans="1:5" x14ac:dyDescent="0.25">
      <c r="A18721" t="s">
        <v>4</v>
      </c>
      <c r="B18721" t="s">
        <v>4111</v>
      </c>
      <c r="C18721" t="s">
        <v>23490</v>
      </c>
      <c r="D18721" t="str">
        <f>HYPERLINK("https://rhld.insurance.arkansas.gov/NPILookup?Npi=1316204415","1316204415")</f>
        <v>1316204415</v>
      </c>
      <c r="E18721" t="s">
        <v>4707</v>
      </c>
    </row>
    <row r="18722" spans="1:5" x14ac:dyDescent="0.25">
      <c r="A18722" t="s">
        <v>4</v>
      </c>
      <c r="B18722" t="s">
        <v>4111</v>
      </c>
      <c r="C18722" t="s">
        <v>23490</v>
      </c>
      <c r="D18722" t="str">
        <f>HYPERLINK("https://rhld.insurance.arkansas.gov/NPILookup?Npi=1316207988","1316207988")</f>
        <v>1316207988</v>
      </c>
      <c r="E18722" t="s">
        <v>16053</v>
      </c>
    </row>
    <row r="18723" spans="1:5" x14ac:dyDescent="0.25">
      <c r="A18723" t="s">
        <v>4</v>
      </c>
      <c r="B18723" t="s">
        <v>4111</v>
      </c>
      <c r="C18723" t="s">
        <v>23490</v>
      </c>
      <c r="D18723" t="str">
        <f>HYPERLINK("https://rhld.insurance.arkansas.gov/NPILookup?Npi=1316224868","1316224868")</f>
        <v>1316224868</v>
      </c>
      <c r="E18723" t="s">
        <v>9060</v>
      </c>
    </row>
    <row r="18724" spans="1:5" x14ac:dyDescent="0.25">
      <c r="A18724" t="s">
        <v>4</v>
      </c>
      <c r="B18724" t="s">
        <v>4111</v>
      </c>
      <c r="C18724" t="s">
        <v>23490</v>
      </c>
      <c r="D18724" t="str">
        <f>HYPERLINK("https://rhld.insurance.arkansas.gov/NPILookup?Npi=1316254352","1316254352")</f>
        <v>1316254352</v>
      </c>
      <c r="E18724" t="s">
        <v>4708</v>
      </c>
    </row>
    <row r="18725" spans="1:5" x14ac:dyDescent="0.25">
      <c r="A18725" t="s">
        <v>4</v>
      </c>
      <c r="B18725" t="s">
        <v>4111</v>
      </c>
      <c r="C18725" t="s">
        <v>23490</v>
      </c>
      <c r="D18725" t="str">
        <f>HYPERLINK("https://rhld.insurance.arkansas.gov/NPILookup?Npi=1316256753","1316256753")</f>
        <v>1316256753</v>
      </c>
      <c r="E18725" t="s">
        <v>4709</v>
      </c>
    </row>
    <row r="18726" spans="1:5" x14ac:dyDescent="0.25">
      <c r="A18726" t="s">
        <v>4</v>
      </c>
      <c r="B18726" t="s">
        <v>4111</v>
      </c>
      <c r="C18726" t="s">
        <v>23490</v>
      </c>
      <c r="D18726" t="str">
        <f>HYPERLINK("https://rhld.insurance.arkansas.gov/NPILookup?Npi=1316264146","1316264146")</f>
        <v>1316264146</v>
      </c>
      <c r="E18726" t="s">
        <v>4710</v>
      </c>
    </row>
    <row r="18727" spans="1:5" x14ac:dyDescent="0.25">
      <c r="A18727" t="s">
        <v>4</v>
      </c>
      <c r="B18727" t="s">
        <v>4111</v>
      </c>
      <c r="C18727" t="s">
        <v>23490</v>
      </c>
      <c r="D18727" t="str">
        <f>HYPERLINK("https://rhld.insurance.arkansas.gov/NPILookup?Npi=1316272834","1316272834")</f>
        <v>1316272834</v>
      </c>
      <c r="E18727" t="s">
        <v>18321</v>
      </c>
    </row>
    <row r="18728" spans="1:5" x14ac:dyDescent="0.25">
      <c r="A18728" t="s">
        <v>4</v>
      </c>
      <c r="B18728" t="s">
        <v>4111</v>
      </c>
      <c r="C18728" t="s">
        <v>23490</v>
      </c>
      <c r="D18728" t="str">
        <f>HYPERLINK("https://rhld.insurance.arkansas.gov/NPILookup?Npi=1316278120","1316278120")</f>
        <v>1316278120</v>
      </c>
      <c r="E18728" t="s">
        <v>18322</v>
      </c>
    </row>
    <row r="18729" spans="1:5" x14ac:dyDescent="0.25">
      <c r="A18729" t="s">
        <v>4</v>
      </c>
      <c r="B18729" t="s">
        <v>4111</v>
      </c>
      <c r="C18729" t="s">
        <v>23490</v>
      </c>
      <c r="D18729" t="str">
        <f>HYPERLINK("https://rhld.insurance.arkansas.gov/NPILookup?Npi=1316297823","1316297823")</f>
        <v>1316297823</v>
      </c>
      <c r="E18729" t="s">
        <v>13114</v>
      </c>
    </row>
    <row r="18730" spans="1:5" x14ac:dyDescent="0.25">
      <c r="A18730" t="s">
        <v>4</v>
      </c>
      <c r="B18730" t="s">
        <v>4111</v>
      </c>
      <c r="C18730" t="s">
        <v>23490</v>
      </c>
      <c r="D18730" t="str">
        <f>HYPERLINK("https://rhld.insurance.arkansas.gov/NPILookup?Npi=1316310477","1316310477")</f>
        <v>1316310477</v>
      </c>
      <c r="E18730" t="s">
        <v>9061</v>
      </c>
    </row>
    <row r="18731" spans="1:5" x14ac:dyDescent="0.25">
      <c r="A18731" t="s">
        <v>4</v>
      </c>
      <c r="B18731" t="s">
        <v>4111</v>
      </c>
      <c r="C18731" t="s">
        <v>8427</v>
      </c>
      <c r="D18731" t="str">
        <f>HYPERLINK("https://rhld.insurance.arkansas.gov/NPILookup?Npi=1316312267","1316312267")</f>
        <v>1316312267</v>
      </c>
      <c r="E18731" t="s">
        <v>23076</v>
      </c>
    </row>
    <row r="18732" spans="1:5" x14ac:dyDescent="0.25">
      <c r="A18732" t="s">
        <v>4</v>
      </c>
      <c r="B18732" t="s">
        <v>4111</v>
      </c>
      <c r="C18732" t="s">
        <v>23490</v>
      </c>
      <c r="D18732" t="str">
        <f>HYPERLINK("https://rhld.insurance.arkansas.gov/NPILookup?Npi=1316322324","1316322324")</f>
        <v>1316322324</v>
      </c>
      <c r="E18732" t="s">
        <v>18323</v>
      </c>
    </row>
    <row r="18733" spans="1:5" x14ac:dyDescent="0.25">
      <c r="A18733" t="s">
        <v>4</v>
      </c>
      <c r="B18733" t="s">
        <v>4111</v>
      </c>
      <c r="C18733" t="s">
        <v>23490</v>
      </c>
      <c r="D18733" t="str">
        <f>HYPERLINK("https://rhld.insurance.arkansas.gov/NPILookup?Npi=1316323728","1316323728")</f>
        <v>1316323728</v>
      </c>
      <c r="E18733" t="s">
        <v>20423</v>
      </c>
    </row>
    <row r="18734" spans="1:5" x14ac:dyDescent="0.25">
      <c r="A18734" t="s">
        <v>4</v>
      </c>
      <c r="B18734" t="s">
        <v>4111</v>
      </c>
      <c r="C18734" t="s">
        <v>23490</v>
      </c>
      <c r="D18734" t="str">
        <f>HYPERLINK("https://rhld.insurance.arkansas.gov/NPILookup?Npi=1316328685","1316328685")</f>
        <v>1316328685</v>
      </c>
      <c r="E18734" t="s">
        <v>14027</v>
      </c>
    </row>
    <row r="18735" spans="1:5" x14ac:dyDescent="0.25">
      <c r="A18735" t="s">
        <v>4</v>
      </c>
      <c r="B18735" t="s">
        <v>4111</v>
      </c>
      <c r="C18735" t="s">
        <v>23490</v>
      </c>
      <c r="D18735" t="str">
        <f>HYPERLINK("https://rhld.insurance.arkansas.gov/NPILookup?Npi=1316338924","1316338924")</f>
        <v>1316338924</v>
      </c>
      <c r="E18735" t="s">
        <v>16054</v>
      </c>
    </row>
    <row r="18736" spans="1:5" x14ac:dyDescent="0.25">
      <c r="A18736" t="s">
        <v>4</v>
      </c>
      <c r="B18736" t="s">
        <v>4111</v>
      </c>
      <c r="C18736" t="s">
        <v>23490</v>
      </c>
      <c r="D18736" t="str">
        <f>HYPERLINK("https://rhld.insurance.arkansas.gov/NPILookup?Npi=1316376536","1316376536")</f>
        <v>1316376536</v>
      </c>
      <c r="E18736" t="s">
        <v>9062</v>
      </c>
    </row>
    <row r="18737" spans="1:5" x14ac:dyDescent="0.25">
      <c r="A18737" t="s">
        <v>4</v>
      </c>
      <c r="B18737" t="s">
        <v>4111</v>
      </c>
      <c r="C18737" t="s">
        <v>23490</v>
      </c>
      <c r="D18737" t="str">
        <f>HYPERLINK("https://rhld.insurance.arkansas.gov/NPILookup?Npi=1316382617","1316382617")</f>
        <v>1316382617</v>
      </c>
      <c r="E18737" t="s">
        <v>21974</v>
      </c>
    </row>
    <row r="18738" spans="1:5" x14ac:dyDescent="0.25">
      <c r="A18738" t="s">
        <v>4</v>
      </c>
      <c r="B18738" t="s">
        <v>4111</v>
      </c>
      <c r="C18738" t="s">
        <v>23490</v>
      </c>
      <c r="D18738" t="str">
        <f>HYPERLINK("https://rhld.insurance.arkansas.gov/NPILookup?Npi=1316383011","1316383011")</f>
        <v>1316383011</v>
      </c>
      <c r="E18738" t="s">
        <v>11621</v>
      </c>
    </row>
    <row r="18739" spans="1:5" x14ac:dyDescent="0.25">
      <c r="A18739" t="s">
        <v>4</v>
      </c>
      <c r="B18739" t="s">
        <v>4111</v>
      </c>
      <c r="C18739" t="s">
        <v>23490</v>
      </c>
      <c r="D18739" t="str">
        <f>HYPERLINK("https://rhld.insurance.arkansas.gov/NPILookup?Npi=1316386881","1316386881")</f>
        <v>1316386881</v>
      </c>
      <c r="E18739" t="s">
        <v>11622</v>
      </c>
    </row>
    <row r="18740" spans="1:5" x14ac:dyDescent="0.25">
      <c r="A18740" t="s">
        <v>4</v>
      </c>
      <c r="B18740" t="s">
        <v>4111</v>
      </c>
      <c r="C18740" t="s">
        <v>23490</v>
      </c>
      <c r="D18740" t="str">
        <f>HYPERLINK("https://rhld.insurance.arkansas.gov/NPILookup?Npi=1316386915","1316386915")</f>
        <v>1316386915</v>
      </c>
      <c r="E18740" t="s">
        <v>16055</v>
      </c>
    </row>
    <row r="18741" spans="1:5" x14ac:dyDescent="0.25">
      <c r="A18741" t="s">
        <v>4</v>
      </c>
      <c r="B18741" t="s">
        <v>4111</v>
      </c>
      <c r="C18741" t="s">
        <v>23490</v>
      </c>
      <c r="D18741" t="str">
        <f>HYPERLINK("https://rhld.insurance.arkansas.gov/NPILookup?Npi=1316403439","1316403439")</f>
        <v>1316403439</v>
      </c>
      <c r="E18741" t="s">
        <v>21975</v>
      </c>
    </row>
    <row r="18742" spans="1:5" x14ac:dyDescent="0.25">
      <c r="A18742" t="s">
        <v>4</v>
      </c>
      <c r="B18742" t="s">
        <v>4111</v>
      </c>
      <c r="C18742" t="s">
        <v>8427</v>
      </c>
      <c r="D18742" t="str">
        <f>HYPERLINK("https://rhld.insurance.arkansas.gov/NPILookup?Npi=1316409733","1316409733")</f>
        <v>1316409733</v>
      </c>
      <c r="E18742" t="s">
        <v>23077</v>
      </c>
    </row>
    <row r="18743" spans="1:5" x14ac:dyDescent="0.25">
      <c r="A18743" t="s">
        <v>4</v>
      </c>
      <c r="B18743" t="s">
        <v>4111</v>
      </c>
      <c r="C18743" t="s">
        <v>23490</v>
      </c>
      <c r="D18743" t="str">
        <f>HYPERLINK("https://rhld.insurance.arkansas.gov/NPILookup?Npi=1316412257","1316412257")</f>
        <v>1316412257</v>
      </c>
      <c r="E18743" t="s">
        <v>18969</v>
      </c>
    </row>
    <row r="18744" spans="1:5" x14ac:dyDescent="0.25">
      <c r="A18744" t="s">
        <v>4</v>
      </c>
      <c r="B18744" t="s">
        <v>4111</v>
      </c>
      <c r="C18744" t="s">
        <v>23490</v>
      </c>
      <c r="D18744" t="str">
        <f>HYPERLINK("https://rhld.insurance.arkansas.gov/NPILookup?Npi=1316418080","1316418080")</f>
        <v>1316418080</v>
      </c>
      <c r="E18744" t="s">
        <v>14028</v>
      </c>
    </row>
    <row r="18745" spans="1:5" x14ac:dyDescent="0.25">
      <c r="A18745" t="s">
        <v>4</v>
      </c>
      <c r="B18745" t="s">
        <v>4111</v>
      </c>
      <c r="C18745" t="s">
        <v>23490</v>
      </c>
      <c r="D18745" t="str">
        <f>HYPERLINK("https://rhld.insurance.arkansas.gov/NPILookup?Npi=1316453566","1316453566")</f>
        <v>1316453566</v>
      </c>
      <c r="E18745" t="s">
        <v>21976</v>
      </c>
    </row>
    <row r="18746" spans="1:5" x14ac:dyDescent="0.25">
      <c r="A18746" t="s">
        <v>4</v>
      </c>
      <c r="B18746" t="s">
        <v>4111</v>
      </c>
      <c r="C18746" t="s">
        <v>23490</v>
      </c>
      <c r="D18746" t="str">
        <f>HYPERLINK("https://rhld.insurance.arkansas.gov/NPILookup?Npi=1316479884","1316479884")</f>
        <v>1316479884</v>
      </c>
      <c r="E18746" t="s">
        <v>21122</v>
      </c>
    </row>
    <row r="18747" spans="1:5" x14ac:dyDescent="0.25">
      <c r="A18747" t="s">
        <v>4</v>
      </c>
      <c r="B18747" t="s">
        <v>4111</v>
      </c>
      <c r="C18747" t="s">
        <v>23490</v>
      </c>
      <c r="D18747" t="str">
        <f>HYPERLINK("https://rhld.insurance.arkansas.gov/NPILookup?Npi=1316493943","1316493943")</f>
        <v>1316493943</v>
      </c>
      <c r="E18747" t="s">
        <v>21977</v>
      </c>
    </row>
    <row r="18748" spans="1:5" x14ac:dyDescent="0.25">
      <c r="A18748" t="s">
        <v>4</v>
      </c>
      <c r="B18748" t="s">
        <v>4111</v>
      </c>
      <c r="C18748" t="s">
        <v>23490</v>
      </c>
      <c r="D18748" t="str">
        <f>HYPERLINK("https://rhld.insurance.arkansas.gov/NPILookup?Npi=1316495237","1316495237")</f>
        <v>1316495237</v>
      </c>
      <c r="E18748" t="s">
        <v>11623</v>
      </c>
    </row>
    <row r="18749" spans="1:5" x14ac:dyDescent="0.25">
      <c r="A18749" t="s">
        <v>4</v>
      </c>
      <c r="B18749" t="s">
        <v>4111</v>
      </c>
      <c r="C18749" t="s">
        <v>23490</v>
      </c>
      <c r="D18749" t="str">
        <f>HYPERLINK("https://rhld.insurance.arkansas.gov/NPILookup?Npi=1316506611","1316506611")</f>
        <v>1316506611</v>
      </c>
      <c r="E18749" t="s">
        <v>21123</v>
      </c>
    </row>
    <row r="18750" spans="1:5" x14ac:dyDescent="0.25">
      <c r="A18750" t="s">
        <v>4</v>
      </c>
      <c r="B18750" t="s">
        <v>4111</v>
      </c>
      <c r="C18750" t="s">
        <v>23490</v>
      </c>
      <c r="D18750" t="str">
        <f>HYPERLINK("https://rhld.insurance.arkansas.gov/NPILookup?Npi=1316531718","1316531718")</f>
        <v>1316531718</v>
      </c>
      <c r="E18750" t="s">
        <v>21978</v>
      </c>
    </row>
    <row r="18751" spans="1:5" x14ac:dyDescent="0.25">
      <c r="A18751" t="s">
        <v>4</v>
      </c>
      <c r="B18751" t="s">
        <v>4111</v>
      </c>
      <c r="C18751" t="s">
        <v>23490</v>
      </c>
      <c r="D18751" t="str">
        <f>HYPERLINK("https://rhld.insurance.arkansas.gov/NPILookup?Npi=1316543952","1316543952")</f>
        <v>1316543952</v>
      </c>
      <c r="E18751" t="s">
        <v>20424</v>
      </c>
    </row>
    <row r="18752" spans="1:5" x14ac:dyDescent="0.25">
      <c r="A18752" t="s">
        <v>4</v>
      </c>
      <c r="B18752" t="s">
        <v>4111</v>
      </c>
      <c r="C18752" t="s">
        <v>8427</v>
      </c>
      <c r="D18752" t="str">
        <f>HYPERLINK("https://rhld.insurance.arkansas.gov/NPILookup?Npi=1316624455","1316624455")</f>
        <v>1316624455</v>
      </c>
      <c r="E18752" t="s">
        <v>23078</v>
      </c>
    </row>
    <row r="18753" spans="1:5" x14ac:dyDescent="0.25">
      <c r="A18753" t="s">
        <v>4</v>
      </c>
      <c r="B18753" t="s">
        <v>4111</v>
      </c>
      <c r="C18753" t="s">
        <v>8427</v>
      </c>
      <c r="D18753" t="str">
        <f>HYPERLINK("https://rhld.insurance.arkansas.gov/NPILookup?Npi=1316678949","1316678949")</f>
        <v>1316678949</v>
      </c>
      <c r="E18753" t="s">
        <v>23079</v>
      </c>
    </row>
    <row r="18754" spans="1:5" x14ac:dyDescent="0.25">
      <c r="A18754" t="s">
        <v>4</v>
      </c>
      <c r="B18754" t="s">
        <v>4111</v>
      </c>
      <c r="C18754" t="s">
        <v>23490</v>
      </c>
      <c r="D18754" t="str">
        <f>HYPERLINK("https://rhld.insurance.arkansas.gov/NPILookup?Npi=1316699028","1316699028")</f>
        <v>1316699028</v>
      </c>
      <c r="E18754" t="s">
        <v>19616</v>
      </c>
    </row>
    <row r="18755" spans="1:5" x14ac:dyDescent="0.25">
      <c r="A18755" t="s">
        <v>4</v>
      </c>
      <c r="B18755" t="s">
        <v>4111</v>
      </c>
      <c r="C18755" t="s">
        <v>23490</v>
      </c>
      <c r="D18755" t="str">
        <f>HYPERLINK("https://rhld.insurance.arkansas.gov/NPILookup?Npi=1316906415","1316906415")</f>
        <v>1316906415</v>
      </c>
      <c r="E18755" t="s">
        <v>4711</v>
      </c>
    </row>
    <row r="18756" spans="1:5" x14ac:dyDescent="0.25">
      <c r="A18756" t="s">
        <v>4</v>
      </c>
      <c r="B18756" t="s">
        <v>4111</v>
      </c>
      <c r="C18756" t="s">
        <v>23490</v>
      </c>
      <c r="D18756" t="str">
        <f>HYPERLINK("https://rhld.insurance.arkansas.gov/NPILookup?Npi=1316917628","1316917628")</f>
        <v>1316917628</v>
      </c>
      <c r="E18756" t="s">
        <v>4712</v>
      </c>
    </row>
    <row r="18757" spans="1:5" x14ac:dyDescent="0.25">
      <c r="A18757" t="s">
        <v>4</v>
      </c>
      <c r="B18757" t="s">
        <v>4111</v>
      </c>
      <c r="C18757" t="s">
        <v>23490</v>
      </c>
      <c r="D18757" t="str">
        <f>HYPERLINK("https://rhld.insurance.arkansas.gov/NPILookup?Npi=1316923436","1316923436")</f>
        <v>1316923436</v>
      </c>
      <c r="E18757" t="s">
        <v>16056</v>
      </c>
    </row>
    <row r="18758" spans="1:5" x14ac:dyDescent="0.25">
      <c r="A18758" t="s">
        <v>4</v>
      </c>
      <c r="B18758" t="s">
        <v>4111</v>
      </c>
      <c r="C18758" t="s">
        <v>23490</v>
      </c>
      <c r="D18758" t="str">
        <f>HYPERLINK("https://rhld.insurance.arkansas.gov/NPILookup?Npi=1316924350","1316924350")</f>
        <v>1316924350</v>
      </c>
      <c r="E18758" t="s">
        <v>4713</v>
      </c>
    </row>
    <row r="18759" spans="1:5" x14ac:dyDescent="0.25">
      <c r="A18759" t="s">
        <v>4</v>
      </c>
      <c r="B18759" t="s">
        <v>4111</v>
      </c>
      <c r="C18759" t="s">
        <v>23490</v>
      </c>
      <c r="D18759" t="str">
        <f>HYPERLINK("https://rhld.insurance.arkansas.gov/NPILookup?Npi=1316943095","1316943095")</f>
        <v>1316943095</v>
      </c>
      <c r="E18759" t="s">
        <v>4714</v>
      </c>
    </row>
    <row r="18760" spans="1:5" x14ac:dyDescent="0.25">
      <c r="A18760" t="s">
        <v>4</v>
      </c>
      <c r="B18760" t="s">
        <v>4111</v>
      </c>
      <c r="C18760" t="s">
        <v>23490</v>
      </c>
      <c r="D18760" t="str">
        <f>HYPERLINK("https://rhld.insurance.arkansas.gov/NPILookup?Npi=1316950892","1316950892")</f>
        <v>1316950892</v>
      </c>
      <c r="E18760" t="s">
        <v>4715</v>
      </c>
    </row>
    <row r="18761" spans="1:5" x14ac:dyDescent="0.25">
      <c r="A18761" t="s">
        <v>4</v>
      </c>
      <c r="B18761" t="s">
        <v>4111</v>
      </c>
      <c r="C18761" t="s">
        <v>23490</v>
      </c>
      <c r="D18761" t="str">
        <f>HYPERLINK("https://rhld.insurance.arkansas.gov/NPILookup?Npi=1316957830","1316957830")</f>
        <v>1316957830</v>
      </c>
      <c r="E18761" t="s">
        <v>4716</v>
      </c>
    </row>
    <row r="18762" spans="1:5" x14ac:dyDescent="0.25">
      <c r="A18762" t="s">
        <v>4</v>
      </c>
      <c r="B18762" t="s">
        <v>4111</v>
      </c>
      <c r="C18762" t="s">
        <v>23490</v>
      </c>
      <c r="D18762" t="str">
        <f>HYPERLINK("https://rhld.insurance.arkansas.gov/NPILookup?Npi=1316961857","1316961857")</f>
        <v>1316961857</v>
      </c>
      <c r="E18762" t="s">
        <v>16057</v>
      </c>
    </row>
    <row r="18763" spans="1:5" x14ac:dyDescent="0.25">
      <c r="A18763" t="s">
        <v>4</v>
      </c>
      <c r="B18763" t="s">
        <v>4111</v>
      </c>
      <c r="C18763" t="s">
        <v>23490</v>
      </c>
      <c r="D18763" t="str">
        <f>HYPERLINK("https://rhld.insurance.arkansas.gov/NPILookup?Npi=1316969702","1316969702")</f>
        <v>1316969702</v>
      </c>
      <c r="E18763" t="s">
        <v>4717</v>
      </c>
    </row>
    <row r="18764" spans="1:5" x14ac:dyDescent="0.25">
      <c r="A18764" t="s">
        <v>4</v>
      </c>
      <c r="B18764" t="s">
        <v>4111</v>
      </c>
      <c r="C18764" t="s">
        <v>23490</v>
      </c>
      <c r="D18764" t="str">
        <f>HYPERLINK("https://rhld.insurance.arkansas.gov/NPILookup?Npi=1316970049","1316970049")</f>
        <v>1316970049</v>
      </c>
      <c r="E18764" t="s">
        <v>4718</v>
      </c>
    </row>
    <row r="18765" spans="1:5" x14ac:dyDescent="0.25">
      <c r="A18765" t="s">
        <v>4</v>
      </c>
      <c r="B18765" t="s">
        <v>4111</v>
      </c>
      <c r="C18765" t="s">
        <v>23490</v>
      </c>
      <c r="D18765" t="str">
        <f>HYPERLINK("https://rhld.insurance.arkansas.gov/NPILookup?Npi=1316983463","1316983463")</f>
        <v>1316983463</v>
      </c>
      <c r="E18765" t="s">
        <v>4719</v>
      </c>
    </row>
    <row r="18766" spans="1:5" x14ac:dyDescent="0.25">
      <c r="A18766" t="s">
        <v>4</v>
      </c>
      <c r="B18766" t="s">
        <v>4111</v>
      </c>
      <c r="C18766" t="s">
        <v>23490</v>
      </c>
      <c r="D18766" t="str">
        <f>HYPERLINK("https://rhld.insurance.arkansas.gov/NPILookup?Npi=1316987639","1316987639")</f>
        <v>1316987639</v>
      </c>
      <c r="E18766" t="s">
        <v>8617</v>
      </c>
    </row>
    <row r="18767" spans="1:5" x14ac:dyDescent="0.25">
      <c r="A18767" t="s">
        <v>4</v>
      </c>
      <c r="B18767" t="s">
        <v>4111</v>
      </c>
      <c r="C18767" t="s">
        <v>23490</v>
      </c>
      <c r="D18767" t="str">
        <f>HYPERLINK("https://rhld.insurance.arkansas.gov/NPILookup?Npi=1326003070","1326003070")</f>
        <v>1326003070</v>
      </c>
      <c r="E18767" t="s">
        <v>3932</v>
      </c>
    </row>
    <row r="18768" spans="1:5" x14ac:dyDescent="0.25">
      <c r="A18768" t="s">
        <v>4</v>
      </c>
      <c r="B18768" t="s">
        <v>4111</v>
      </c>
      <c r="C18768" t="s">
        <v>23490</v>
      </c>
      <c r="D18768" t="str">
        <f>HYPERLINK("https://rhld.insurance.arkansas.gov/NPILookup?Npi=1326013228","1326013228")</f>
        <v>1326013228</v>
      </c>
      <c r="E18768" t="s">
        <v>16058</v>
      </c>
    </row>
    <row r="18769" spans="1:5" x14ac:dyDescent="0.25">
      <c r="A18769" t="s">
        <v>4</v>
      </c>
      <c r="B18769" t="s">
        <v>4111</v>
      </c>
      <c r="C18769" t="s">
        <v>23490</v>
      </c>
      <c r="D18769" t="str">
        <f>HYPERLINK("https://rhld.insurance.arkansas.gov/NPILookup?Npi=1326034547","1326034547")</f>
        <v>1326034547</v>
      </c>
      <c r="E18769" t="s">
        <v>4720</v>
      </c>
    </row>
    <row r="18770" spans="1:5" x14ac:dyDescent="0.25">
      <c r="A18770" t="s">
        <v>4</v>
      </c>
      <c r="B18770" t="s">
        <v>4111</v>
      </c>
      <c r="C18770" t="s">
        <v>23490</v>
      </c>
      <c r="D18770" t="str">
        <f>HYPERLINK("https://rhld.insurance.arkansas.gov/NPILookup?Npi=1326044801","1326044801")</f>
        <v>1326044801</v>
      </c>
      <c r="E18770" t="s">
        <v>14029</v>
      </c>
    </row>
    <row r="18771" spans="1:5" x14ac:dyDescent="0.25">
      <c r="A18771" t="s">
        <v>4</v>
      </c>
      <c r="B18771" t="s">
        <v>4111</v>
      </c>
      <c r="C18771" t="s">
        <v>23490</v>
      </c>
      <c r="D18771" t="str">
        <f>HYPERLINK("https://rhld.insurance.arkansas.gov/NPILookup?Npi=1326046707","1326046707")</f>
        <v>1326046707</v>
      </c>
      <c r="E18771" t="s">
        <v>4721</v>
      </c>
    </row>
    <row r="18772" spans="1:5" x14ac:dyDescent="0.25">
      <c r="A18772" t="s">
        <v>4</v>
      </c>
      <c r="B18772" t="s">
        <v>4111</v>
      </c>
      <c r="C18772" t="s">
        <v>23490</v>
      </c>
      <c r="D18772" t="str">
        <f>HYPERLINK("https://rhld.insurance.arkansas.gov/NPILookup?Npi=1326048703","1326048703")</f>
        <v>1326048703</v>
      </c>
      <c r="E18772" t="s">
        <v>4722</v>
      </c>
    </row>
    <row r="18773" spans="1:5" x14ac:dyDescent="0.25">
      <c r="A18773" t="s">
        <v>4</v>
      </c>
      <c r="B18773" t="s">
        <v>4111</v>
      </c>
      <c r="C18773" t="s">
        <v>23490</v>
      </c>
      <c r="D18773" t="str">
        <f>HYPERLINK("https://rhld.insurance.arkansas.gov/NPILookup?Npi=1326057977","1326057977")</f>
        <v>1326057977</v>
      </c>
      <c r="E18773" t="s">
        <v>4723</v>
      </c>
    </row>
    <row r="18774" spans="1:5" x14ac:dyDescent="0.25">
      <c r="A18774" t="s">
        <v>4</v>
      </c>
      <c r="B18774" t="s">
        <v>4111</v>
      </c>
      <c r="C18774" t="s">
        <v>23490</v>
      </c>
      <c r="D18774" t="str">
        <f>HYPERLINK("https://rhld.insurance.arkansas.gov/NPILookup?Npi=1326066689","1326066689")</f>
        <v>1326066689</v>
      </c>
      <c r="E18774" t="s">
        <v>4724</v>
      </c>
    </row>
    <row r="18775" spans="1:5" x14ac:dyDescent="0.25">
      <c r="A18775" t="s">
        <v>4</v>
      </c>
      <c r="B18775" t="s">
        <v>4111</v>
      </c>
      <c r="C18775" t="s">
        <v>23490</v>
      </c>
      <c r="D18775" t="str">
        <f>HYPERLINK("https://rhld.insurance.arkansas.gov/NPILookup?Npi=1326066853","1326066853")</f>
        <v>1326066853</v>
      </c>
      <c r="E18775" t="s">
        <v>4725</v>
      </c>
    </row>
    <row r="18776" spans="1:5" x14ac:dyDescent="0.25">
      <c r="A18776" t="s">
        <v>4</v>
      </c>
      <c r="B18776" t="s">
        <v>4111</v>
      </c>
      <c r="C18776" t="s">
        <v>23490</v>
      </c>
      <c r="D18776" t="str">
        <f>HYPERLINK("https://rhld.insurance.arkansas.gov/NPILookup?Npi=1326090440","1326090440")</f>
        <v>1326090440</v>
      </c>
      <c r="E18776" t="s">
        <v>17146</v>
      </c>
    </row>
    <row r="18777" spans="1:5" x14ac:dyDescent="0.25">
      <c r="A18777" t="s">
        <v>4</v>
      </c>
      <c r="B18777" t="s">
        <v>4111</v>
      </c>
      <c r="C18777" t="s">
        <v>23490</v>
      </c>
      <c r="D18777" t="str">
        <f>HYPERLINK("https://rhld.insurance.arkansas.gov/NPILookup?Npi=1326125022","1326125022")</f>
        <v>1326125022</v>
      </c>
      <c r="E18777" t="s">
        <v>9063</v>
      </c>
    </row>
    <row r="18778" spans="1:5" x14ac:dyDescent="0.25">
      <c r="A18778" t="s">
        <v>4</v>
      </c>
      <c r="B18778" t="s">
        <v>4111</v>
      </c>
      <c r="C18778" t="s">
        <v>23490</v>
      </c>
      <c r="D18778" t="str">
        <f>HYPERLINK("https://rhld.insurance.arkansas.gov/NPILookup?Npi=1326138074","1326138074")</f>
        <v>1326138074</v>
      </c>
      <c r="E18778" t="s">
        <v>4726</v>
      </c>
    </row>
    <row r="18779" spans="1:5" x14ac:dyDescent="0.25">
      <c r="A18779" t="s">
        <v>4</v>
      </c>
      <c r="B18779" t="s">
        <v>4111</v>
      </c>
      <c r="C18779" t="s">
        <v>23490</v>
      </c>
      <c r="D18779" t="str">
        <f>HYPERLINK("https://rhld.insurance.arkansas.gov/NPILookup?Npi=1326199068","1326199068")</f>
        <v>1326199068</v>
      </c>
      <c r="E18779" t="s">
        <v>4727</v>
      </c>
    </row>
    <row r="18780" spans="1:5" x14ac:dyDescent="0.25">
      <c r="A18780" t="s">
        <v>4</v>
      </c>
      <c r="B18780" t="s">
        <v>4111</v>
      </c>
      <c r="C18780" t="s">
        <v>23490</v>
      </c>
      <c r="D18780" t="str">
        <f>HYPERLINK("https://rhld.insurance.arkansas.gov/NPILookup?Npi=1326214883","1326214883")</f>
        <v>1326214883</v>
      </c>
      <c r="E18780" t="s">
        <v>4728</v>
      </c>
    </row>
    <row r="18781" spans="1:5" x14ac:dyDescent="0.25">
      <c r="A18781" t="s">
        <v>4</v>
      </c>
      <c r="B18781" t="s">
        <v>4111</v>
      </c>
      <c r="C18781" t="s">
        <v>23490</v>
      </c>
      <c r="D18781" t="str">
        <f>HYPERLINK("https://rhld.insurance.arkansas.gov/NPILookup?Npi=1326215831","1326215831")</f>
        <v>1326215831</v>
      </c>
      <c r="E18781" t="s">
        <v>4729</v>
      </c>
    </row>
    <row r="18782" spans="1:5" x14ac:dyDescent="0.25">
      <c r="A18782" t="s">
        <v>4</v>
      </c>
      <c r="B18782" t="s">
        <v>4111</v>
      </c>
      <c r="C18782" t="s">
        <v>23490</v>
      </c>
      <c r="D18782" t="str">
        <f>HYPERLINK("https://rhld.insurance.arkansas.gov/NPILookup?Npi=1326220856","1326220856")</f>
        <v>1326220856</v>
      </c>
      <c r="E18782" t="s">
        <v>4730</v>
      </c>
    </row>
    <row r="18783" spans="1:5" x14ac:dyDescent="0.25">
      <c r="A18783" t="s">
        <v>4</v>
      </c>
      <c r="B18783" t="s">
        <v>4111</v>
      </c>
      <c r="C18783" t="s">
        <v>23490</v>
      </c>
      <c r="D18783" t="str">
        <f>HYPERLINK("https://rhld.insurance.arkansas.gov/NPILookup?Npi=1326222076","1326222076")</f>
        <v>1326222076</v>
      </c>
      <c r="E18783" t="s">
        <v>11624</v>
      </c>
    </row>
    <row r="18784" spans="1:5" x14ac:dyDescent="0.25">
      <c r="A18784" t="s">
        <v>4</v>
      </c>
      <c r="B18784" t="s">
        <v>4111</v>
      </c>
      <c r="C18784" t="s">
        <v>23490</v>
      </c>
      <c r="D18784" t="str">
        <f>HYPERLINK("https://rhld.insurance.arkansas.gov/NPILookup?Npi=1326222837","1326222837")</f>
        <v>1326222837</v>
      </c>
      <c r="E18784" t="s">
        <v>16059</v>
      </c>
    </row>
    <row r="18785" spans="1:5" x14ac:dyDescent="0.25">
      <c r="A18785" t="s">
        <v>4</v>
      </c>
      <c r="B18785" t="s">
        <v>4111</v>
      </c>
      <c r="C18785" t="s">
        <v>23490</v>
      </c>
      <c r="D18785" t="str">
        <f>HYPERLINK("https://rhld.insurance.arkansas.gov/NPILookup?Npi=1326289547","1326289547")</f>
        <v>1326289547</v>
      </c>
      <c r="E18785" t="s">
        <v>17147</v>
      </c>
    </row>
    <row r="18786" spans="1:5" x14ac:dyDescent="0.25">
      <c r="A18786" t="s">
        <v>4</v>
      </c>
      <c r="B18786" t="s">
        <v>4111</v>
      </c>
      <c r="C18786" t="s">
        <v>23490</v>
      </c>
      <c r="D18786" t="str">
        <f>HYPERLINK("https://rhld.insurance.arkansas.gov/NPILookup?Npi=1326291733","1326291733")</f>
        <v>1326291733</v>
      </c>
      <c r="E18786" t="s">
        <v>4731</v>
      </c>
    </row>
    <row r="18787" spans="1:5" x14ac:dyDescent="0.25">
      <c r="A18787" t="s">
        <v>4</v>
      </c>
      <c r="B18787" t="s">
        <v>4111</v>
      </c>
      <c r="C18787" t="s">
        <v>23490</v>
      </c>
      <c r="D18787" t="str">
        <f>HYPERLINK("https://rhld.insurance.arkansas.gov/NPILookup?Npi=1326294141","1326294141")</f>
        <v>1326294141</v>
      </c>
      <c r="E18787" t="s">
        <v>20425</v>
      </c>
    </row>
    <row r="18788" spans="1:5" x14ac:dyDescent="0.25">
      <c r="A18788" t="s">
        <v>4</v>
      </c>
      <c r="B18788" t="s">
        <v>4111</v>
      </c>
      <c r="C18788" t="s">
        <v>23490</v>
      </c>
      <c r="D18788" t="str">
        <f>HYPERLINK("https://rhld.insurance.arkansas.gov/NPILookup?Npi=1326295403","1326295403")</f>
        <v>1326295403</v>
      </c>
      <c r="E18788" t="s">
        <v>14030</v>
      </c>
    </row>
    <row r="18789" spans="1:5" x14ac:dyDescent="0.25">
      <c r="A18789" t="s">
        <v>4</v>
      </c>
      <c r="B18789" t="s">
        <v>4111</v>
      </c>
      <c r="C18789" t="s">
        <v>23490</v>
      </c>
      <c r="D18789" t="str">
        <f>HYPERLINK("https://rhld.insurance.arkansas.gov/NPILookup?Npi=1326295700","1326295700")</f>
        <v>1326295700</v>
      </c>
      <c r="E18789" t="s">
        <v>11625</v>
      </c>
    </row>
    <row r="18790" spans="1:5" x14ac:dyDescent="0.25">
      <c r="A18790" t="s">
        <v>4</v>
      </c>
      <c r="B18790" t="s">
        <v>4111</v>
      </c>
      <c r="C18790" t="s">
        <v>23490</v>
      </c>
      <c r="D18790" t="str">
        <f>HYPERLINK("https://rhld.insurance.arkansas.gov/NPILookup?Npi=1326296658","1326296658")</f>
        <v>1326296658</v>
      </c>
      <c r="E18790" t="s">
        <v>4553</v>
      </c>
    </row>
    <row r="18791" spans="1:5" x14ac:dyDescent="0.25">
      <c r="A18791" t="s">
        <v>4</v>
      </c>
      <c r="B18791" t="s">
        <v>4111</v>
      </c>
      <c r="C18791" t="s">
        <v>23490</v>
      </c>
      <c r="D18791" t="str">
        <f>HYPERLINK("https://rhld.insurance.arkansas.gov/NPILookup?Npi=1326320912","1326320912")</f>
        <v>1326320912</v>
      </c>
      <c r="E18791" t="s">
        <v>4732</v>
      </c>
    </row>
    <row r="18792" spans="1:5" x14ac:dyDescent="0.25">
      <c r="A18792" t="s">
        <v>4</v>
      </c>
      <c r="B18792" t="s">
        <v>4111</v>
      </c>
      <c r="C18792" t="s">
        <v>23490</v>
      </c>
      <c r="D18792" t="str">
        <f>HYPERLINK("https://rhld.insurance.arkansas.gov/NPILookup?Npi=1326334459","1326334459")</f>
        <v>1326334459</v>
      </c>
      <c r="E18792" t="s">
        <v>11626</v>
      </c>
    </row>
    <row r="18793" spans="1:5" x14ac:dyDescent="0.25">
      <c r="A18793" t="s">
        <v>4</v>
      </c>
      <c r="B18793" t="s">
        <v>4111</v>
      </c>
      <c r="C18793" t="s">
        <v>23490</v>
      </c>
      <c r="D18793" t="str">
        <f>HYPERLINK("https://rhld.insurance.arkansas.gov/NPILookup?Npi=1326343856","1326343856")</f>
        <v>1326343856</v>
      </c>
      <c r="E18793" t="s">
        <v>14031</v>
      </c>
    </row>
    <row r="18794" spans="1:5" x14ac:dyDescent="0.25">
      <c r="A18794" t="s">
        <v>4</v>
      </c>
      <c r="B18794" t="s">
        <v>4111</v>
      </c>
      <c r="C18794" t="s">
        <v>23490</v>
      </c>
      <c r="D18794" t="str">
        <f>HYPERLINK("https://rhld.insurance.arkansas.gov/NPILookup?Npi=1326347485","1326347485")</f>
        <v>1326347485</v>
      </c>
      <c r="E18794" t="s">
        <v>4733</v>
      </c>
    </row>
    <row r="18795" spans="1:5" x14ac:dyDescent="0.25">
      <c r="A18795" t="s">
        <v>4</v>
      </c>
      <c r="B18795" t="s">
        <v>4111</v>
      </c>
      <c r="C18795" t="s">
        <v>23490</v>
      </c>
      <c r="D18795" t="str">
        <f>HYPERLINK("https://rhld.insurance.arkansas.gov/NPILookup?Npi=1326348111","1326348111")</f>
        <v>1326348111</v>
      </c>
      <c r="E18795" t="s">
        <v>17148</v>
      </c>
    </row>
    <row r="18796" spans="1:5" x14ac:dyDescent="0.25">
      <c r="A18796" t="s">
        <v>4</v>
      </c>
      <c r="B18796" t="s">
        <v>4111</v>
      </c>
      <c r="C18796" t="s">
        <v>23490</v>
      </c>
      <c r="D18796" t="str">
        <f>HYPERLINK("https://rhld.insurance.arkansas.gov/NPILookup?Npi=1326350885","1326350885")</f>
        <v>1326350885</v>
      </c>
      <c r="E18796" t="s">
        <v>9064</v>
      </c>
    </row>
    <row r="18797" spans="1:5" x14ac:dyDescent="0.25">
      <c r="A18797" t="s">
        <v>4</v>
      </c>
      <c r="B18797" t="s">
        <v>4111</v>
      </c>
      <c r="C18797" t="s">
        <v>23490</v>
      </c>
      <c r="D18797" t="str">
        <f>HYPERLINK("https://rhld.insurance.arkansas.gov/NPILookup?Npi=1326366220","1326366220")</f>
        <v>1326366220</v>
      </c>
      <c r="E18797" t="s">
        <v>13115</v>
      </c>
    </row>
    <row r="18798" spans="1:5" x14ac:dyDescent="0.25">
      <c r="A18798" t="s">
        <v>4</v>
      </c>
      <c r="B18798" t="s">
        <v>4111</v>
      </c>
      <c r="C18798" t="s">
        <v>23490</v>
      </c>
      <c r="D18798" t="str">
        <f>HYPERLINK("https://rhld.insurance.arkansas.gov/NPILookup?Npi=1326371550","1326371550")</f>
        <v>1326371550</v>
      </c>
      <c r="E18798" t="s">
        <v>1856</v>
      </c>
    </row>
    <row r="18799" spans="1:5" x14ac:dyDescent="0.25">
      <c r="A18799" t="s">
        <v>4</v>
      </c>
      <c r="B18799" t="s">
        <v>4111</v>
      </c>
      <c r="C18799" t="s">
        <v>23490</v>
      </c>
      <c r="D18799" t="str">
        <f>HYPERLINK("https://rhld.insurance.arkansas.gov/NPILookup?Npi=1326373648","1326373648")</f>
        <v>1326373648</v>
      </c>
      <c r="E18799" t="s">
        <v>4734</v>
      </c>
    </row>
    <row r="18800" spans="1:5" x14ac:dyDescent="0.25">
      <c r="A18800" t="s">
        <v>4</v>
      </c>
      <c r="B18800" t="s">
        <v>4111</v>
      </c>
      <c r="C18800" t="s">
        <v>23490</v>
      </c>
      <c r="D18800" t="str">
        <f>HYPERLINK("https://rhld.insurance.arkansas.gov/NPILookup?Npi=1326389891","1326389891")</f>
        <v>1326389891</v>
      </c>
      <c r="E18800" t="s">
        <v>11627</v>
      </c>
    </row>
    <row r="18801" spans="1:5" x14ac:dyDescent="0.25">
      <c r="A18801" t="s">
        <v>4</v>
      </c>
      <c r="B18801" t="s">
        <v>4111</v>
      </c>
      <c r="C18801" t="s">
        <v>23490</v>
      </c>
      <c r="D18801" t="str">
        <f>HYPERLINK("https://rhld.insurance.arkansas.gov/NPILookup?Npi=1326400805","1326400805")</f>
        <v>1326400805</v>
      </c>
      <c r="E18801" t="s">
        <v>21979</v>
      </c>
    </row>
    <row r="18802" spans="1:5" x14ac:dyDescent="0.25">
      <c r="A18802" t="s">
        <v>4</v>
      </c>
      <c r="B18802" t="s">
        <v>4111</v>
      </c>
      <c r="C18802" t="s">
        <v>23490</v>
      </c>
      <c r="D18802" t="str">
        <f>HYPERLINK("https://rhld.insurance.arkansas.gov/NPILookup?Npi=1326444324","1326444324")</f>
        <v>1326444324</v>
      </c>
      <c r="E18802" t="s">
        <v>20426</v>
      </c>
    </row>
    <row r="18803" spans="1:5" x14ac:dyDescent="0.25">
      <c r="A18803" t="s">
        <v>4</v>
      </c>
      <c r="B18803" t="s">
        <v>4111</v>
      </c>
      <c r="C18803" t="s">
        <v>23490</v>
      </c>
      <c r="D18803" t="str">
        <f>HYPERLINK("https://rhld.insurance.arkansas.gov/NPILookup?Npi=1326474529","1326474529")</f>
        <v>1326474529</v>
      </c>
      <c r="E18803" t="s">
        <v>11628</v>
      </c>
    </row>
    <row r="18804" spans="1:5" x14ac:dyDescent="0.25">
      <c r="A18804" t="s">
        <v>4</v>
      </c>
      <c r="B18804" t="s">
        <v>4111</v>
      </c>
      <c r="C18804" t="s">
        <v>23490</v>
      </c>
      <c r="D18804" t="str">
        <f>HYPERLINK("https://rhld.insurance.arkansas.gov/NPILookup?Npi=1326500638","1326500638")</f>
        <v>1326500638</v>
      </c>
      <c r="E18804" t="s">
        <v>21980</v>
      </c>
    </row>
    <row r="18805" spans="1:5" x14ac:dyDescent="0.25">
      <c r="A18805" t="s">
        <v>4</v>
      </c>
      <c r="B18805" t="s">
        <v>4111</v>
      </c>
      <c r="C18805" t="s">
        <v>23490</v>
      </c>
      <c r="D18805" t="str">
        <f>HYPERLINK("https://rhld.insurance.arkansas.gov/NPILookup?Npi=1326524927","1326524927")</f>
        <v>1326524927</v>
      </c>
      <c r="E18805" t="s">
        <v>18970</v>
      </c>
    </row>
    <row r="18806" spans="1:5" x14ac:dyDescent="0.25">
      <c r="A18806" t="s">
        <v>4</v>
      </c>
      <c r="B18806" t="s">
        <v>4111</v>
      </c>
      <c r="C18806" t="s">
        <v>23490</v>
      </c>
      <c r="D18806" t="str">
        <f>HYPERLINK("https://rhld.insurance.arkansas.gov/NPILookup?Npi=1326525007","1326525007")</f>
        <v>1326525007</v>
      </c>
      <c r="E18806" t="s">
        <v>12373</v>
      </c>
    </row>
    <row r="18807" spans="1:5" x14ac:dyDescent="0.25">
      <c r="A18807" t="s">
        <v>4</v>
      </c>
      <c r="B18807" t="s">
        <v>4111</v>
      </c>
      <c r="C18807" t="s">
        <v>23490</v>
      </c>
      <c r="D18807" t="str">
        <f>HYPERLINK("https://rhld.insurance.arkansas.gov/NPILookup?Npi=1326530148","1326530148")</f>
        <v>1326530148</v>
      </c>
      <c r="E18807" t="s">
        <v>18324</v>
      </c>
    </row>
    <row r="18808" spans="1:5" x14ac:dyDescent="0.25">
      <c r="A18808" t="s">
        <v>4</v>
      </c>
      <c r="B18808" t="s">
        <v>4111</v>
      </c>
      <c r="C18808" t="s">
        <v>23490</v>
      </c>
      <c r="D18808" t="str">
        <f>HYPERLINK("https://rhld.insurance.arkansas.gov/NPILookup?Npi=1326536822","1326536822")</f>
        <v>1326536822</v>
      </c>
      <c r="E18808" t="s">
        <v>17149</v>
      </c>
    </row>
    <row r="18809" spans="1:5" x14ac:dyDescent="0.25">
      <c r="A18809" t="s">
        <v>4</v>
      </c>
      <c r="B18809" t="s">
        <v>4111</v>
      </c>
      <c r="C18809" t="s">
        <v>23490</v>
      </c>
      <c r="D18809" t="str">
        <f>HYPERLINK("https://rhld.insurance.arkansas.gov/NPILookup?Npi=1326542606","1326542606")</f>
        <v>1326542606</v>
      </c>
      <c r="E18809" t="s">
        <v>16060</v>
      </c>
    </row>
    <row r="18810" spans="1:5" x14ac:dyDescent="0.25">
      <c r="A18810" t="s">
        <v>4</v>
      </c>
      <c r="B18810" t="s">
        <v>4111</v>
      </c>
      <c r="C18810" t="s">
        <v>23490</v>
      </c>
      <c r="D18810" t="str">
        <f>HYPERLINK("https://rhld.insurance.arkansas.gov/NPILookup?Npi=1326578717","1326578717")</f>
        <v>1326578717</v>
      </c>
      <c r="E18810" t="s">
        <v>17565</v>
      </c>
    </row>
    <row r="18811" spans="1:5" x14ac:dyDescent="0.25">
      <c r="A18811" t="s">
        <v>4</v>
      </c>
      <c r="B18811" t="s">
        <v>4111</v>
      </c>
      <c r="C18811" t="s">
        <v>23490</v>
      </c>
      <c r="D18811" t="str">
        <f>HYPERLINK("https://rhld.insurance.arkansas.gov/NPILookup?Npi=1326583675","1326583675")</f>
        <v>1326583675</v>
      </c>
      <c r="E18811" t="s">
        <v>16061</v>
      </c>
    </row>
    <row r="18812" spans="1:5" x14ac:dyDescent="0.25">
      <c r="A18812" t="s">
        <v>4</v>
      </c>
      <c r="B18812" t="s">
        <v>4111</v>
      </c>
      <c r="C18812" t="s">
        <v>23490</v>
      </c>
      <c r="D18812" t="str">
        <f>HYPERLINK("https://rhld.insurance.arkansas.gov/NPILookup?Npi=1326588872","1326588872")</f>
        <v>1326588872</v>
      </c>
      <c r="E18812" t="s">
        <v>21981</v>
      </c>
    </row>
    <row r="18813" spans="1:5" x14ac:dyDescent="0.25">
      <c r="A18813" t="s">
        <v>4</v>
      </c>
      <c r="B18813" t="s">
        <v>4111</v>
      </c>
      <c r="C18813" t="s">
        <v>23490</v>
      </c>
      <c r="D18813" t="str">
        <f>HYPERLINK("https://rhld.insurance.arkansas.gov/NPILookup?Npi=1326598582","1326598582")</f>
        <v>1326598582</v>
      </c>
      <c r="E18813" t="s">
        <v>10840</v>
      </c>
    </row>
    <row r="18814" spans="1:5" x14ac:dyDescent="0.25">
      <c r="A18814" t="s">
        <v>4</v>
      </c>
      <c r="B18814" t="s">
        <v>4111</v>
      </c>
      <c r="C18814" t="s">
        <v>23490</v>
      </c>
      <c r="D18814" t="str">
        <f>HYPERLINK("https://rhld.insurance.arkansas.gov/NPILookup?Npi=1326598798","1326598798")</f>
        <v>1326598798</v>
      </c>
      <c r="E18814" t="s">
        <v>13116</v>
      </c>
    </row>
    <row r="18815" spans="1:5" x14ac:dyDescent="0.25">
      <c r="A18815" t="s">
        <v>4</v>
      </c>
      <c r="B18815" t="s">
        <v>4111</v>
      </c>
      <c r="C18815" t="s">
        <v>23490</v>
      </c>
      <c r="D18815" t="str">
        <f>HYPERLINK("https://rhld.insurance.arkansas.gov/NPILookup?Npi=1326610064","1326610064")</f>
        <v>1326610064</v>
      </c>
      <c r="E18815" t="s">
        <v>15513</v>
      </c>
    </row>
    <row r="18816" spans="1:5" x14ac:dyDescent="0.25">
      <c r="A18816" t="s">
        <v>4</v>
      </c>
      <c r="B18816" t="s">
        <v>4111</v>
      </c>
      <c r="C18816" t="s">
        <v>8427</v>
      </c>
      <c r="D18816" t="str">
        <f>HYPERLINK("https://rhld.insurance.arkansas.gov/NPILookup?Npi=1326611245","1326611245")</f>
        <v>1326611245</v>
      </c>
      <c r="E18816" t="s">
        <v>23080</v>
      </c>
    </row>
    <row r="18817" spans="1:5" x14ac:dyDescent="0.25">
      <c r="A18817" t="s">
        <v>4</v>
      </c>
      <c r="B18817" t="s">
        <v>4111</v>
      </c>
      <c r="C18817" t="s">
        <v>23490</v>
      </c>
      <c r="D18817" t="str">
        <f>HYPERLINK("https://rhld.insurance.arkansas.gov/NPILookup?Npi=1326636036","1326636036")</f>
        <v>1326636036</v>
      </c>
      <c r="E18817" t="s">
        <v>18325</v>
      </c>
    </row>
    <row r="18818" spans="1:5" x14ac:dyDescent="0.25">
      <c r="A18818" t="s">
        <v>4</v>
      </c>
      <c r="B18818" t="s">
        <v>4111</v>
      </c>
      <c r="C18818" t="s">
        <v>23490</v>
      </c>
      <c r="D18818" t="str">
        <f>HYPERLINK("https://rhld.insurance.arkansas.gov/NPILookup?Npi=1326701988","1326701988")</f>
        <v>1326701988</v>
      </c>
      <c r="E18818" t="s">
        <v>20427</v>
      </c>
    </row>
    <row r="18819" spans="1:5" x14ac:dyDescent="0.25">
      <c r="A18819" t="s">
        <v>4</v>
      </c>
      <c r="B18819" t="s">
        <v>4111</v>
      </c>
      <c r="C18819" t="s">
        <v>23490</v>
      </c>
      <c r="D18819" t="str">
        <f>HYPERLINK("https://rhld.insurance.arkansas.gov/NPILookup?Npi=1326717422","1326717422")</f>
        <v>1326717422</v>
      </c>
      <c r="E18819" t="s">
        <v>21982</v>
      </c>
    </row>
    <row r="18820" spans="1:5" x14ac:dyDescent="0.25">
      <c r="A18820" t="s">
        <v>4</v>
      </c>
      <c r="B18820" t="s">
        <v>4111</v>
      </c>
      <c r="C18820" t="s">
        <v>23490</v>
      </c>
      <c r="D18820" t="str">
        <f>HYPERLINK("https://rhld.insurance.arkansas.gov/NPILookup?Npi=1326769027","1326769027")</f>
        <v>1326769027</v>
      </c>
      <c r="E18820" t="s">
        <v>21983</v>
      </c>
    </row>
    <row r="18821" spans="1:5" x14ac:dyDescent="0.25">
      <c r="A18821" t="s">
        <v>4</v>
      </c>
      <c r="B18821" t="s">
        <v>4111</v>
      </c>
      <c r="C18821" t="s">
        <v>23490</v>
      </c>
      <c r="D18821" t="str">
        <f>HYPERLINK("https://rhld.insurance.arkansas.gov/NPILookup?Npi=1326776279","1326776279")</f>
        <v>1326776279</v>
      </c>
      <c r="E18821" t="s">
        <v>21984</v>
      </c>
    </row>
    <row r="18822" spans="1:5" x14ac:dyDescent="0.25">
      <c r="A18822" t="s">
        <v>4</v>
      </c>
      <c r="B18822" t="s">
        <v>4111</v>
      </c>
      <c r="C18822" t="s">
        <v>8427</v>
      </c>
      <c r="D18822" t="str">
        <f>HYPERLINK("https://rhld.insurance.arkansas.gov/NPILookup?Npi=1326796152","1326796152")</f>
        <v>1326796152</v>
      </c>
      <c r="E18822" t="s">
        <v>23081</v>
      </c>
    </row>
    <row r="18823" spans="1:5" x14ac:dyDescent="0.25">
      <c r="A18823" t="s">
        <v>4</v>
      </c>
      <c r="B18823" t="s">
        <v>4111</v>
      </c>
      <c r="C18823" t="s">
        <v>23490</v>
      </c>
      <c r="D18823" t="str">
        <f>HYPERLINK("https://rhld.insurance.arkansas.gov/NPILookup?Npi=1336118942","1336118942")</f>
        <v>1336118942</v>
      </c>
      <c r="E18823" t="s">
        <v>4735</v>
      </c>
    </row>
    <row r="18824" spans="1:5" x14ac:dyDescent="0.25">
      <c r="A18824" t="s">
        <v>4</v>
      </c>
      <c r="B18824" t="s">
        <v>4111</v>
      </c>
      <c r="C18824" t="s">
        <v>23490</v>
      </c>
      <c r="D18824" t="str">
        <f>HYPERLINK("https://rhld.insurance.arkansas.gov/NPILookup?Npi=1336141902","1336141902")</f>
        <v>1336141902</v>
      </c>
      <c r="E18824" t="s">
        <v>4199</v>
      </c>
    </row>
    <row r="18825" spans="1:5" x14ac:dyDescent="0.25">
      <c r="A18825" t="s">
        <v>4</v>
      </c>
      <c r="B18825" t="s">
        <v>4111</v>
      </c>
      <c r="C18825" t="s">
        <v>23490</v>
      </c>
      <c r="D18825" t="str">
        <f>HYPERLINK("https://rhld.insurance.arkansas.gov/NPILookup?Npi=1336184183","1336184183")</f>
        <v>1336184183</v>
      </c>
      <c r="E18825" t="s">
        <v>4736</v>
      </c>
    </row>
    <row r="18826" spans="1:5" x14ac:dyDescent="0.25">
      <c r="A18826" t="s">
        <v>4</v>
      </c>
      <c r="B18826" t="s">
        <v>4111</v>
      </c>
      <c r="C18826" t="s">
        <v>23490</v>
      </c>
      <c r="D18826" t="str">
        <f>HYPERLINK("https://rhld.insurance.arkansas.gov/NPILookup?Npi=1336200138","1336200138")</f>
        <v>1336200138</v>
      </c>
      <c r="E18826" t="s">
        <v>4737</v>
      </c>
    </row>
    <row r="18827" spans="1:5" x14ac:dyDescent="0.25">
      <c r="A18827" t="s">
        <v>4</v>
      </c>
      <c r="B18827" t="s">
        <v>4111</v>
      </c>
      <c r="C18827" t="s">
        <v>23490</v>
      </c>
      <c r="D18827" t="str">
        <f>HYPERLINK("https://rhld.insurance.arkansas.gov/NPILookup?Npi=1336208370","1336208370")</f>
        <v>1336208370</v>
      </c>
      <c r="E18827" t="s">
        <v>4738</v>
      </c>
    </row>
    <row r="18828" spans="1:5" x14ac:dyDescent="0.25">
      <c r="A18828" t="s">
        <v>4</v>
      </c>
      <c r="B18828" t="s">
        <v>4111</v>
      </c>
      <c r="C18828" t="s">
        <v>23490</v>
      </c>
      <c r="D18828" t="str">
        <f>HYPERLINK("https://rhld.insurance.arkansas.gov/NPILookup?Npi=1336211978","1336211978")</f>
        <v>1336211978</v>
      </c>
      <c r="E18828" t="s">
        <v>4739</v>
      </c>
    </row>
    <row r="18829" spans="1:5" x14ac:dyDescent="0.25">
      <c r="A18829" t="s">
        <v>4</v>
      </c>
      <c r="B18829" t="s">
        <v>4111</v>
      </c>
      <c r="C18829" t="s">
        <v>23490</v>
      </c>
      <c r="D18829" t="str">
        <f>HYPERLINK("https://rhld.insurance.arkansas.gov/NPILookup?Npi=1336213461","1336213461")</f>
        <v>1336213461</v>
      </c>
      <c r="E18829" t="s">
        <v>4740</v>
      </c>
    </row>
    <row r="18830" spans="1:5" x14ac:dyDescent="0.25">
      <c r="A18830" t="s">
        <v>4</v>
      </c>
      <c r="B18830" t="s">
        <v>4111</v>
      </c>
      <c r="C18830" t="s">
        <v>23490</v>
      </c>
      <c r="D18830" t="str">
        <f>HYPERLINK("https://rhld.insurance.arkansas.gov/NPILookup?Npi=1336213800","1336213800")</f>
        <v>1336213800</v>
      </c>
      <c r="E18830" t="s">
        <v>4741</v>
      </c>
    </row>
    <row r="18831" spans="1:5" x14ac:dyDescent="0.25">
      <c r="A18831" t="s">
        <v>4</v>
      </c>
      <c r="B18831" t="s">
        <v>4111</v>
      </c>
      <c r="C18831" t="s">
        <v>23490</v>
      </c>
      <c r="D18831" t="str">
        <f>HYPERLINK("https://rhld.insurance.arkansas.gov/NPILookup?Npi=1336241132","1336241132")</f>
        <v>1336241132</v>
      </c>
      <c r="E18831" t="s">
        <v>21124</v>
      </c>
    </row>
    <row r="18832" spans="1:5" x14ac:dyDescent="0.25">
      <c r="A18832" t="s">
        <v>4</v>
      </c>
      <c r="B18832" t="s">
        <v>4111</v>
      </c>
      <c r="C18832" t="s">
        <v>23490</v>
      </c>
      <c r="D18832" t="str">
        <f>HYPERLINK("https://rhld.insurance.arkansas.gov/NPILookup?Npi=1336259316","1336259316")</f>
        <v>1336259316</v>
      </c>
      <c r="E18832" t="s">
        <v>4742</v>
      </c>
    </row>
    <row r="18833" spans="1:5" x14ac:dyDescent="0.25">
      <c r="A18833" t="s">
        <v>4</v>
      </c>
      <c r="B18833" t="s">
        <v>4111</v>
      </c>
      <c r="C18833" t="s">
        <v>23490</v>
      </c>
      <c r="D18833" t="str">
        <f>HYPERLINK("https://rhld.insurance.arkansas.gov/NPILookup?Npi=1336266055","1336266055")</f>
        <v>1336266055</v>
      </c>
      <c r="E18833" t="s">
        <v>4743</v>
      </c>
    </row>
    <row r="18834" spans="1:5" x14ac:dyDescent="0.25">
      <c r="A18834" t="s">
        <v>4</v>
      </c>
      <c r="B18834" t="s">
        <v>4111</v>
      </c>
      <c r="C18834" t="s">
        <v>23490</v>
      </c>
      <c r="D18834" t="str">
        <f>HYPERLINK("https://rhld.insurance.arkansas.gov/NPILookup?Npi=1336266063","1336266063")</f>
        <v>1336266063</v>
      </c>
      <c r="E18834" t="s">
        <v>20428</v>
      </c>
    </row>
    <row r="18835" spans="1:5" x14ac:dyDescent="0.25">
      <c r="A18835" t="s">
        <v>4</v>
      </c>
      <c r="B18835" t="s">
        <v>4111</v>
      </c>
      <c r="C18835" t="s">
        <v>23490</v>
      </c>
      <c r="D18835" t="str">
        <f>HYPERLINK("https://rhld.insurance.arkansas.gov/NPILookup?Npi=1336273549","1336273549")</f>
        <v>1336273549</v>
      </c>
      <c r="E18835" t="s">
        <v>4744</v>
      </c>
    </row>
    <row r="18836" spans="1:5" x14ac:dyDescent="0.25">
      <c r="A18836" t="s">
        <v>4</v>
      </c>
      <c r="B18836" t="s">
        <v>4111</v>
      </c>
      <c r="C18836" t="s">
        <v>23490</v>
      </c>
      <c r="D18836" t="str">
        <f>HYPERLINK("https://rhld.insurance.arkansas.gov/NPILookup?Npi=1336284488","1336284488")</f>
        <v>1336284488</v>
      </c>
      <c r="E18836" t="s">
        <v>4746</v>
      </c>
    </row>
    <row r="18837" spans="1:5" x14ac:dyDescent="0.25">
      <c r="A18837" t="s">
        <v>4</v>
      </c>
      <c r="B18837" t="s">
        <v>4111</v>
      </c>
      <c r="C18837" t="s">
        <v>23490</v>
      </c>
      <c r="D18837" t="str">
        <f>HYPERLINK("https://rhld.insurance.arkansas.gov/NPILookup?Npi=1336289453","1336289453")</f>
        <v>1336289453</v>
      </c>
      <c r="E18837" t="s">
        <v>4747</v>
      </c>
    </row>
    <row r="18838" spans="1:5" x14ac:dyDescent="0.25">
      <c r="A18838" t="s">
        <v>4</v>
      </c>
      <c r="B18838" t="s">
        <v>4111</v>
      </c>
      <c r="C18838" t="s">
        <v>23490</v>
      </c>
      <c r="D18838" t="str">
        <f>HYPERLINK("https://rhld.insurance.arkansas.gov/NPILookup?Npi=1336296771","1336296771")</f>
        <v>1336296771</v>
      </c>
      <c r="E18838" t="s">
        <v>4748</v>
      </c>
    </row>
    <row r="18839" spans="1:5" x14ac:dyDescent="0.25">
      <c r="A18839" t="s">
        <v>4</v>
      </c>
      <c r="B18839" t="s">
        <v>4111</v>
      </c>
      <c r="C18839" t="s">
        <v>23490</v>
      </c>
      <c r="D18839" t="str">
        <f>HYPERLINK("https://rhld.insurance.arkansas.gov/NPILookup?Npi=1336300656","1336300656")</f>
        <v>1336300656</v>
      </c>
      <c r="E18839" t="s">
        <v>14032</v>
      </c>
    </row>
    <row r="18840" spans="1:5" x14ac:dyDescent="0.25">
      <c r="A18840" t="s">
        <v>4</v>
      </c>
      <c r="B18840" t="s">
        <v>4111</v>
      </c>
      <c r="C18840" t="s">
        <v>23490</v>
      </c>
      <c r="D18840" t="str">
        <f>HYPERLINK("https://rhld.insurance.arkansas.gov/NPILookup?Npi=1336318260","1336318260")</f>
        <v>1336318260</v>
      </c>
      <c r="E18840" t="s">
        <v>4749</v>
      </c>
    </row>
    <row r="18841" spans="1:5" x14ac:dyDescent="0.25">
      <c r="A18841" t="s">
        <v>4</v>
      </c>
      <c r="B18841" t="s">
        <v>4111</v>
      </c>
      <c r="C18841" t="s">
        <v>23490</v>
      </c>
      <c r="D18841" t="str">
        <f>HYPERLINK("https://rhld.insurance.arkansas.gov/NPILookup?Npi=1336323534","1336323534")</f>
        <v>1336323534</v>
      </c>
      <c r="E18841" t="s">
        <v>4750</v>
      </c>
    </row>
    <row r="18842" spans="1:5" x14ac:dyDescent="0.25">
      <c r="A18842" t="s">
        <v>4</v>
      </c>
      <c r="B18842" t="s">
        <v>4111</v>
      </c>
      <c r="C18842" t="s">
        <v>23490</v>
      </c>
      <c r="D18842" t="str">
        <f>HYPERLINK("https://rhld.insurance.arkansas.gov/NPILookup?Npi=1336324011","1336324011")</f>
        <v>1336324011</v>
      </c>
      <c r="E18842" t="s">
        <v>4751</v>
      </c>
    </row>
    <row r="18843" spans="1:5" x14ac:dyDescent="0.25">
      <c r="A18843" t="s">
        <v>4</v>
      </c>
      <c r="B18843" t="s">
        <v>4111</v>
      </c>
      <c r="C18843" t="s">
        <v>23490</v>
      </c>
      <c r="D18843" t="str">
        <f>HYPERLINK("https://rhld.insurance.arkansas.gov/NPILookup?Npi=1336374586","1336374586")</f>
        <v>1336374586</v>
      </c>
      <c r="E18843" t="s">
        <v>4752</v>
      </c>
    </row>
    <row r="18844" spans="1:5" x14ac:dyDescent="0.25">
      <c r="A18844" t="s">
        <v>4</v>
      </c>
      <c r="B18844" t="s">
        <v>4111</v>
      </c>
      <c r="C18844" t="s">
        <v>23490</v>
      </c>
      <c r="D18844" t="str">
        <f>HYPERLINK("https://rhld.insurance.arkansas.gov/NPILookup?Npi=1336380559","1336380559")</f>
        <v>1336380559</v>
      </c>
      <c r="E18844" t="s">
        <v>4753</v>
      </c>
    </row>
    <row r="18845" spans="1:5" x14ac:dyDescent="0.25">
      <c r="A18845" t="s">
        <v>4</v>
      </c>
      <c r="B18845" t="s">
        <v>4111</v>
      </c>
      <c r="C18845" t="s">
        <v>23490</v>
      </c>
      <c r="D18845" t="str">
        <f>HYPERLINK("https://rhld.insurance.arkansas.gov/NPILookup?Npi=1336386374","1336386374")</f>
        <v>1336386374</v>
      </c>
      <c r="E18845" t="s">
        <v>4754</v>
      </c>
    </row>
    <row r="18846" spans="1:5" x14ac:dyDescent="0.25">
      <c r="A18846" t="s">
        <v>4</v>
      </c>
      <c r="B18846" t="s">
        <v>4111</v>
      </c>
      <c r="C18846" t="s">
        <v>23490</v>
      </c>
      <c r="D18846" t="str">
        <f>HYPERLINK("https://rhld.insurance.arkansas.gov/NPILookup?Npi=1336388420","1336388420")</f>
        <v>1336388420</v>
      </c>
      <c r="E18846" t="s">
        <v>14033</v>
      </c>
    </row>
    <row r="18847" spans="1:5" x14ac:dyDescent="0.25">
      <c r="A18847" t="s">
        <v>4</v>
      </c>
      <c r="B18847" t="s">
        <v>4111</v>
      </c>
      <c r="C18847" t="s">
        <v>23490</v>
      </c>
      <c r="D18847" t="str">
        <f>HYPERLINK("https://rhld.insurance.arkansas.gov/NPILookup?Npi=1336390673","1336390673")</f>
        <v>1336390673</v>
      </c>
      <c r="E18847" t="s">
        <v>4755</v>
      </c>
    </row>
    <row r="18848" spans="1:5" x14ac:dyDescent="0.25">
      <c r="A18848" t="s">
        <v>4</v>
      </c>
      <c r="B18848" t="s">
        <v>4111</v>
      </c>
      <c r="C18848" t="s">
        <v>23490</v>
      </c>
      <c r="D18848" t="str">
        <f>HYPERLINK("https://rhld.insurance.arkansas.gov/NPILookup?Npi=1336408533","1336408533")</f>
        <v>1336408533</v>
      </c>
      <c r="E18848" t="s">
        <v>18212</v>
      </c>
    </row>
    <row r="18849" spans="1:5" x14ac:dyDescent="0.25">
      <c r="A18849" t="s">
        <v>4</v>
      </c>
      <c r="B18849" t="s">
        <v>4111</v>
      </c>
      <c r="C18849" t="s">
        <v>23490</v>
      </c>
      <c r="D18849" t="str">
        <f>HYPERLINK("https://rhld.insurance.arkansas.gov/NPILookup?Npi=1336417823","1336417823")</f>
        <v>1336417823</v>
      </c>
      <c r="E18849" t="s">
        <v>17566</v>
      </c>
    </row>
    <row r="18850" spans="1:5" x14ac:dyDescent="0.25">
      <c r="A18850" t="s">
        <v>4</v>
      </c>
      <c r="B18850" t="s">
        <v>4111</v>
      </c>
      <c r="C18850" t="s">
        <v>23490</v>
      </c>
      <c r="D18850" t="str">
        <f>HYPERLINK("https://rhld.insurance.arkansas.gov/NPILookup?Npi=1336420298","1336420298")</f>
        <v>1336420298</v>
      </c>
      <c r="E18850" t="s">
        <v>20429</v>
      </c>
    </row>
    <row r="18851" spans="1:5" x14ac:dyDescent="0.25">
      <c r="A18851" t="s">
        <v>4</v>
      </c>
      <c r="B18851" t="s">
        <v>4111</v>
      </c>
      <c r="C18851" t="s">
        <v>23490</v>
      </c>
      <c r="D18851" t="str">
        <f>HYPERLINK("https://rhld.insurance.arkansas.gov/NPILookup?Npi=1336432236","1336432236")</f>
        <v>1336432236</v>
      </c>
      <c r="E18851" t="s">
        <v>16062</v>
      </c>
    </row>
    <row r="18852" spans="1:5" x14ac:dyDescent="0.25">
      <c r="A18852" t="s">
        <v>4</v>
      </c>
      <c r="B18852" t="s">
        <v>4111</v>
      </c>
      <c r="C18852" t="s">
        <v>23490</v>
      </c>
      <c r="D18852" t="str">
        <f>HYPERLINK("https://rhld.insurance.arkansas.gov/NPILookup?Npi=1336446384","1336446384")</f>
        <v>1336446384</v>
      </c>
      <c r="E18852" t="s">
        <v>20430</v>
      </c>
    </row>
    <row r="18853" spans="1:5" x14ac:dyDescent="0.25">
      <c r="A18853" t="s">
        <v>4</v>
      </c>
      <c r="B18853" t="s">
        <v>4111</v>
      </c>
      <c r="C18853" t="s">
        <v>23490</v>
      </c>
      <c r="D18853" t="str">
        <f>HYPERLINK("https://rhld.insurance.arkansas.gov/NPILookup?Npi=1336460393","1336460393")</f>
        <v>1336460393</v>
      </c>
      <c r="E18853" t="s">
        <v>14034</v>
      </c>
    </row>
    <row r="18854" spans="1:5" x14ac:dyDescent="0.25">
      <c r="A18854" t="s">
        <v>4</v>
      </c>
      <c r="B18854" t="s">
        <v>4111</v>
      </c>
      <c r="C18854" t="s">
        <v>23490</v>
      </c>
      <c r="D18854" t="str">
        <f>HYPERLINK("https://rhld.insurance.arkansas.gov/NPILookup?Npi=1336465384","1336465384")</f>
        <v>1336465384</v>
      </c>
      <c r="E18854" t="s">
        <v>14035</v>
      </c>
    </row>
    <row r="18855" spans="1:5" x14ac:dyDescent="0.25">
      <c r="A18855" t="s">
        <v>4</v>
      </c>
      <c r="B18855" t="s">
        <v>4111</v>
      </c>
      <c r="C18855" t="s">
        <v>23490</v>
      </c>
      <c r="D18855" t="str">
        <f>HYPERLINK("https://rhld.insurance.arkansas.gov/NPILookup?Npi=1336469287","1336469287")</f>
        <v>1336469287</v>
      </c>
      <c r="E18855" t="s">
        <v>16063</v>
      </c>
    </row>
    <row r="18856" spans="1:5" x14ac:dyDescent="0.25">
      <c r="A18856" t="s">
        <v>4</v>
      </c>
      <c r="B18856" t="s">
        <v>4111</v>
      </c>
      <c r="C18856" t="s">
        <v>23490</v>
      </c>
      <c r="D18856" t="str">
        <f>HYPERLINK("https://rhld.insurance.arkansas.gov/NPILookup?Npi=1336479823","1336479823")</f>
        <v>1336479823</v>
      </c>
      <c r="E18856" t="s">
        <v>14036</v>
      </c>
    </row>
    <row r="18857" spans="1:5" x14ac:dyDescent="0.25">
      <c r="A18857" t="s">
        <v>4</v>
      </c>
      <c r="B18857" t="s">
        <v>4111</v>
      </c>
      <c r="C18857" t="s">
        <v>23490</v>
      </c>
      <c r="D18857" t="str">
        <f>HYPERLINK("https://rhld.insurance.arkansas.gov/NPILookup?Npi=1336495936","1336495936")</f>
        <v>1336495936</v>
      </c>
      <c r="E18857" t="s">
        <v>11629</v>
      </c>
    </row>
    <row r="18858" spans="1:5" x14ac:dyDescent="0.25">
      <c r="A18858" t="s">
        <v>4</v>
      </c>
      <c r="B18858" t="s">
        <v>4111</v>
      </c>
      <c r="C18858" t="s">
        <v>23490</v>
      </c>
      <c r="D18858" t="str">
        <f>HYPERLINK("https://rhld.insurance.arkansas.gov/NPILookup?Npi=1336512979","1336512979")</f>
        <v>1336512979</v>
      </c>
      <c r="E18858" t="s">
        <v>9065</v>
      </c>
    </row>
    <row r="18859" spans="1:5" x14ac:dyDescent="0.25">
      <c r="A18859" t="s">
        <v>4</v>
      </c>
      <c r="B18859" t="s">
        <v>4111</v>
      </c>
      <c r="C18859" t="s">
        <v>23490</v>
      </c>
      <c r="D18859" t="str">
        <f>HYPERLINK("https://rhld.insurance.arkansas.gov/NPILookup?Npi=1336516897","1336516897")</f>
        <v>1336516897</v>
      </c>
      <c r="E18859" t="s">
        <v>14037</v>
      </c>
    </row>
    <row r="18860" spans="1:5" x14ac:dyDescent="0.25">
      <c r="A18860" t="s">
        <v>4</v>
      </c>
      <c r="B18860" t="s">
        <v>4111</v>
      </c>
      <c r="C18860" t="s">
        <v>23490</v>
      </c>
      <c r="D18860" t="str">
        <f>HYPERLINK("https://rhld.insurance.arkansas.gov/NPILookup?Npi=1336519925","1336519925")</f>
        <v>1336519925</v>
      </c>
      <c r="E18860" t="s">
        <v>9066</v>
      </c>
    </row>
    <row r="18861" spans="1:5" x14ac:dyDescent="0.25">
      <c r="A18861" t="s">
        <v>4</v>
      </c>
      <c r="B18861" t="s">
        <v>4111</v>
      </c>
      <c r="C18861" t="s">
        <v>23490</v>
      </c>
      <c r="D18861" t="str">
        <f>HYPERLINK("https://rhld.insurance.arkansas.gov/NPILookup?Npi=1336522291","1336522291")</f>
        <v>1336522291</v>
      </c>
      <c r="E18861" t="s">
        <v>13117</v>
      </c>
    </row>
    <row r="18862" spans="1:5" x14ac:dyDescent="0.25">
      <c r="A18862" t="s">
        <v>4</v>
      </c>
      <c r="B18862" t="s">
        <v>4111</v>
      </c>
      <c r="C18862" t="s">
        <v>23490</v>
      </c>
      <c r="D18862" t="str">
        <f>HYPERLINK("https://rhld.insurance.arkansas.gov/NPILookup?Npi=1336530575","1336530575")</f>
        <v>1336530575</v>
      </c>
      <c r="E18862" t="s">
        <v>14038</v>
      </c>
    </row>
    <row r="18863" spans="1:5" x14ac:dyDescent="0.25">
      <c r="A18863" t="s">
        <v>4</v>
      </c>
      <c r="B18863" t="s">
        <v>4111</v>
      </c>
      <c r="C18863" t="s">
        <v>23490</v>
      </c>
      <c r="D18863" t="str">
        <f>HYPERLINK("https://rhld.insurance.arkansas.gov/NPILookup?Npi=1336546068","1336546068")</f>
        <v>1336546068</v>
      </c>
      <c r="E18863" t="s">
        <v>14039</v>
      </c>
    </row>
    <row r="18864" spans="1:5" x14ac:dyDescent="0.25">
      <c r="A18864" t="s">
        <v>4</v>
      </c>
      <c r="B18864" t="s">
        <v>4111</v>
      </c>
      <c r="C18864" t="s">
        <v>23490</v>
      </c>
      <c r="D18864" t="str">
        <f>HYPERLINK("https://rhld.insurance.arkansas.gov/NPILookup?Npi=1336555309","1336555309")</f>
        <v>1336555309</v>
      </c>
      <c r="E18864" t="s">
        <v>11630</v>
      </c>
    </row>
    <row r="18865" spans="1:5" x14ac:dyDescent="0.25">
      <c r="A18865" t="s">
        <v>4</v>
      </c>
      <c r="B18865" t="s">
        <v>4111</v>
      </c>
      <c r="C18865" t="s">
        <v>23490</v>
      </c>
      <c r="D18865" t="str">
        <f>HYPERLINK("https://rhld.insurance.arkansas.gov/NPILookup?Npi=1336559699","1336559699")</f>
        <v>1336559699</v>
      </c>
      <c r="E18865" t="s">
        <v>23082</v>
      </c>
    </row>
    <row r="18866" spans="1:5" x14ac:dyDescent="0.25">
      <c r="A18866" t="s">
        <v>4</v>
      </c>
      <c r="B18866" t="s">
        <v>4111</v>
      </c>
      <c r="C18866" t="s">
        <v>23490</v>
      </c>
      <c r="D18866" t="str">
        <f>HYPERLINK("https://rhld.insurance.arkansas.gov/NPILookup?Npi=1336566009","1336566009")</f>
        <v>1336566009</v>
      </c>
      <c r="E18866" t="s">
        <v>18326</v>
      </c>
    </row>
    <row r="18867" spans="1:5" x14ac:dyDescent="0.25">
      <c r="A18867" t="s">
        <v>4</v>
      </c>
      <c r="B18867" t="s">
        <v>4111</v>
      </c>
      <c r="C18867" t="s">
        <v>23490</v>
      </c>
      <c r="D18867" t="str">
        <f>HYPERLINK("https://rhld.insurance.arkansas.gov/NPILookup?Npi=1336596931","1336596931")</f>
        <v>1336596931</v>
      </c>
      <c r="E18867" t="s">
        <v>14040</v>
      </c>
    </row>
    <row r="18868" spans="1:5" x14ac:dyDescent="0.25">
      <c r="A18868" t="s">
        <v>4</v>
      </c>
      <c r="B18868" t="s">
        <v>4111</v>
      </c>
      <c r="C18868" t="s">
        <v>23490</v>
      </c>
      <c r="D18868" t="str">
        <f>HYPERLINK("https://rhld.insurance.arkansas.gov/NPILookup?Npi=1336598903","1336598903")</f>
        <v>1336598903</v>
      </c>
      <c r="E18868" t="s">
        <v>6246</v>
      </c>
    </row>
    <row r="18869" spans="1:5" x14ac:dyDescent="0.25">
      <c r="A18869" t="s">
        <v>4</v>
      </c>
      <c r="B18869" t="s">
        <v>4111</v>
      </c>
      <c r="C18869" t="s">
        <v>23490</v>
      </c>
      <c r="D18869" t="str">
        <f>HYPERLINK("https://rhld.insurance.arkansas.gov/NPILookup?Npi=1336630052","1336630052")</f>
        <v>1336630052</v>
      </c>
      <c r="E18869" t="s">
        <v>14041</v>
      </c>
    </row>
    <row r="18870" spans="1:5" x14ac:dyDescent="0.25">
      <c r="A18870" t="s">
        <v>4</v>
      </c>
      <c r="B18870" t="s">
        <v>4111</v>
      </c>
      <c r="C18870" t="s">
        <v>23490</v>
      </c>
      <c r="D18870" t="str">
        <f>HYPERLINK("https://rhld.insurance.arkansas.gov/NPILookup?Npi=1336630425","1336630425")</f>
        <v>1336630425</v>
      </c>
      <c r="E18870" t="s">
        <v>18327</v>
      </c>
    </row>
    <row r="18871" spans="1:5" x14ac:dyDescent="0.25">
      <c r="A18871" t="s">
        <v>4</v>
      </c>
      <c r="B18871" t="s">
        <v>4111</v>
      </c>
      <c r="C18871" t="s">
        <v>23490</v>
      </c>
      <c r="D18871" t="str">
        <f>HYPERLINK("https://rhld.insurance.arkansas.gov/NPILookup?Npi=1336650589","1336650589")</f>
        <v>1336650589</v>
      </c>
      <c r="E18871" t="s">
        <v>16064</v>
      </c>
    </row>
    <row r="18872" spans="1:5" x14ac:dyDescent="0.25">
      <c r="A18872" t="s">
        <v>4</v>
      </c>
      <c r="B18872" t="s">
        <v>4111</v>
      </c>
      <c r="C18872" t="s">
        <v>23490</v>
      </c>
      <c r="D18872" t="str">
        <f>HYPERLINK("https://rhld.insurance.arkansas.gov/NPILookup?Npi=1336660935","1336660935")</f>
        <v>1336660935</v>
      </c>
      <c r="E18872" t="s">
        <v>17150</v>
      </c>
    </row>
    <row r="18873" spans="1:5" x14ac:dyDescent="0.25">
      <c r="A18873" t="s">
        <v>4</v>
      </c>
      <c r="B18873" t="s">
        <v>4111</v>
      </c>
      <c r="C18873" t="s">
        <v>23490</v>
      </c>
      <c r="D18873" t="str">
        <f>HYPERLINK("https://rhld.insurance.arkansas.gov/NPILookup?Npi=1336668102","1336668102")</f>
        <v>1336668102</v>
      </c>
      <c r="E18873" t="s">
        <v>20431</v>
      </c>
    </row>
    <row r="18874" spans="1:5" x14ac:dyDescent="0.25">
      <c r="A18874" t="s">
        <v>4</v>
      </c>
      <c r="B18874" t="s">
        <v>4111</v>
      </c>
      <c r="C18874" t="s">
        <v>23490</v>
      </c>
      <c r="D18874" t="str">
        <f>HYPERLINK("https://rhld.insurance.arkansas.gov/NPILookup?Npi=1336680719","1336680719")</f>
        <v>1336680719</v>
      </c>
      <c r="E18874" t="s">
        <v>10848</v>
      </c>
    </row>
    <row r="18875" spans="1:5" x14ac:dyDescent="0.25">
      <c r="A18875" t="s">
        <v>4</v>
      </c>
      <c r="B18875" t="s">
        <v>4111</v>
      </c>
      <c r="C18875" t="s">
        <v>23490</v>
      </c>
      <c r="D18875" t="str">
        <f>HYPERLINK("https://rhld.insurance.arkansas.gov/NPILookup?Npi=1336693258","1336693258")</f>
        <v>1336693258</v>
      </c>
      <c r="E18875" t="s">
        <v>14042</v>
      </c>
    </row>
    <row r="18876" spans="1:5" x14ac:dyDescent="0.25">
      <c r="A18876" t="s">
        <v>4</v>
      </c>
      <c r="B18876" t="s">
        <v>4111</v>
      </c>
      <c r="C18876" t="s">
        <v>23490</v>
      </c>
      <c r="D18876" t="str">
        <f>HYPERLINK("https://rhld.insurance.arkansas.gov/NPILookup?Npi=1336737774","1336737774")</f>
        <v>1336737774</v>
      </c>
      <c r="E18876" t="s">
        <v>18328</v>
      </c>
    </row>
    <row r="18877" spans="1:5" x14ac:dyDescent="0.25">
      <c r="A18877" t="s">
        <v>4</v>
      </c>
      <c r="B18877" t="s">
        <v>4111</v>
      </c>
      <c r="C18877" t="s">
        <v>23490</v>
      </c>
      <c r="D18877" t="str">
        <f>HYPERLINK("https://rhld.insurance.arkansas.gov/NPILookup?Npi=1336762855","1336762855")</f>
        <v>1336762855</v>
      </c>
      <c r="E18877" t="s">
        <v>20432</v>
      </c>
    </row>
    <row r="18878" spans="1:5" x14ac:dyDescent="0.25">
      <c r="A18878" t="s">
        <v>4</v>
      </c>
      <c r="B18878" t="s">
        <v>4111</v>
      </c>
      <c r="C18878" t="s">
        <v>23490</v>
      </c>
      <c r="D18878" t="str">
        <f>HYPERLINK("https://rhld.insurance.arkansas.gov/NPILookup?Npi=1336796960","1336796960")</f>
        <v>1336796960</v>
      </c>
      <c r="E18878" t="s">
        <v>21985</v>
      </c>
    </row>
    <row r="18879" spans="1:5" x14ac:dyDescent="0.25">
      <c r="A18879" t="s">
        <v>4</v>
      </c>
      <c r="B18879" t="s">
        <v>4111</v>
      </c>
      <c r="C18879" t="s">
        <v>23490</v>
      </c>
      <c r="D18879" t="str">
        <f>HYPERLINK("https://rhld.insurance.arkansas.gov/NPILookup?Npi=1336804467","1336804467")</f>
        <v>1336804467</v>
      </c>
      <c r="E18879" t="s">
        <v>21986</v>
      </c>
    </row>
    <row r="18880" spans="1:5" x14ac:dyDescent="0.25">
      <c r="A18880" t="s">
        <v>4</v>
      </c>
      <c r="B18880" t="s">
        <v>4111</v>
      </c>
      <c r="C18880" t="s">
        <v>23490</v>
      </c>
      <c r="D18880" t="str">
        <f>HYPERLINK("https://rhld.insurance.arkansas.gov/NPILookup?Npi=1336852243","1336852243")</f>
        <v>1336852243</v>
      </c>
      <c r="E18880" t="s">
        <v>21987</v>
      </c>
    </row>
    <row r="18881" spans="1:5" x14ac:dyDescent="0.25">
      <c r="A18881" t="s">
        <v>4</v>
      </c>
      <c r="B18881" t="s">
        <v>4111</v>
      </c>
      <c r="C18881" t="s">
        <v>23490</v>
      </c>
      <c r="D18881" t="str">
        <f>HYPERLINK("https://rhld.insurance.arkansas.gov/NPILookup?Npi=1336865492","1336865492")</f>
        <v>1336865492</v>
      </c>
      <c r="E18881" t="s">
        <v>21988</v>
      </c>
    </row>
    <row r="18882" spans="1:5" x14ac:dyDescent="0.25">
      <c r="A18882" t="s">
        <v>4</v>
      </c>
      <c r="B18882" t="s">
        <v>4111</v>
      </c>
      <c r="C18882" t="s">
        <v>23490</v>
      </c>
      <c r="D18882" t="str">
        <f>HYPERLINK("https://rhld.insurance.arkansas.gov/NPILookup?Npi=1336894492","1336894492")</f>
        <v>1336894492</v>
      </c>
      <c r="E18882" t="s">
        <v>20433</v>
      </c>
    </row>
    <row r="18883" spans="1:5" x14ac:dyDescent="0.25">
      <c r="A18883" t="s">
        <v>4</v>
      </c>
      <c r="B18883" t="s">
        <v>4111</v>
      </c>
      <c r="C18883" t="s">
        <v>23490</v>
      </c>
      <c r="D18883" t="str">
        <f>HYPERLINK("https://rhld.insurance.arkansas.gov/NPILookup?Npi=1346215324","1346215324")</f>
        <v>1346215324</v>
      </c>
      <c r="E18883" t="s">
        <v>4757</v>
      </c>
    </row>
    <row r="18884" spans="1:5" x14ac:dyDescent="0.25">
      <c r="A18884" t="s">
        <v>4</v>
      </c>
      <c r="B18884" t="s">
        <v>4111</v>
      </c>
      <c r="C18884" t="s">
        <v>23490</v>
      </c>
      <c r="D18884" t="str">
        <f>HYPERLINK("https://rhld.insurance.arkansas.gov/NPILookup?Npi=1346219599","1346219599")</f>
        <v>1346219599</v>
      </c>
      <c r="E18884" t="s">
        <v>4758</v>
      </c>
    </row>
    <row r="18885" spans="1:5" x14ac:dyDescent="0.25">
      <c r="A18885" t="s">
        <v>4</v>
      </c>
      <c r="B18885" t="s">
        <v>4111</v>
      </c>
      <c r="C18885" t="s">
        <v>23490</v>
      </c>
      <c r="D18885" t="str">
        <f>HYPERLINK("https://rhld.insurance.arkansas.gov/NPILookup?Npi=1346251592","1346251592")</f>
        <v>1346251592</v>
      </c>
      <c r="E18885" t="s">
        <v>4759</v>
      </c>
    </row>
    <row r="18886" spans="1:5" x14ac:dyDescent="0.25">
      <c r="A18886" t="s">
        <v>4</v>
      </c>
      <c r="B18886" t="s">
        <v>4111</v>
      </c>
      <c r="C18886" t="s">
        <v>23490</v>
      </c>
      <c r="D18886" t="str">
        <f>HYPERLINK("https://rhld.insurance.arkansas.gov/NPILookup?Npi=1346293974","1346293974")</f>
        <v>1346293974</v>
      </c>
      <c r="E18886" t="s">
        <v>4760</v>
      </c>
    </row>
    <row r="18887" spans="1:5" x14ac:dyDescent="0.25">
      <c r="A18887" t="s">
        <v>4</v>
      </c>
      <c r="B18887" t="s">
        <v>4111</v>
      </c>
      <c r="C18887" t="s">
        <v>23490</v>
      </c>
      <c r="D18887" t="str">
        <f>HYPERLINK("https://rhld.insurance.arkansas.gov/NPILookup?Npi=1346295318","1346295318")</f>
        <v>1346295318</v>
      </c>
      <c r="E18887" t="s">
        <v>17151</v>
      </c>
    </row>
    <row r="18888" spans="1:5" x14ac:dyDescent="0.25">
      <c r="A18888" t="s">
        <v>4</v>
      </c>
      <c r="B18888" t="s">
        <v>4111</v>
      </c>
      <c r="C18888" t="s">
        <v>23490</v>
      </c>
      <c r="D18888" t="str">
        <f>HYPERLINK("https://rhld.insurance.arkansas.gov/NPILookup?Npi=1346329711","1346329711")</f>
        <v>1346329711</v>
      </c>
      <c r="E18888" t="s">
        <v>16065</v>
      </c>
    </row>
    <row r="18889" spans="1:5" x14ac:dyDescent="0.25">
      <c r="A18889" t="s">
        <v>4</v>
      </c>
      <c r="B18889" t="s">
        <v>4111</v>
      </c>
      <c r="C18889" t="s">
        <v>23490</v>
      </c>
      <c r="D18889" t="str">
        <f>HYPERLINK("https://rhld.insurance.arkansas.gov/NPILookup?Npi=1346339066","1346339066")</f>
        <v>1346339066</v>
      </c>
      <c r="E18889" t="s">
        <v>19637</v>
      </c>
    </row>
    <row r="18890" spans="1:5" x14ac:dyDescent="0.25">
      <c r="A18890" t="s">
        <v>4</v>
      </c>
      <c r="B18890" t="s">
        <v>4111</v>
      </c>
      <c r="C18890" t="s">
        <v>23490</v>
      </c>
      <c r="D18890" t="str">
        <f>HYPERLINK("https://rhld.insurance.arkansas.gov/NPILookup?Npi=1346360245","1346360245")</f>
        <v>1346360245</v>
      </c>
      <c r="E18890" t="s">
        <v>13118</v>
      </c>
    </row>
    <row r="18891" spans="1:5" x14ac:dyDescent="0.25">
      <c r="A18891" t="s">
        <v>4</v>
      </c>
      <c r="B18891" t="s">
        <v>4111</v>
      </c>
      <c r="C18891" t="s">
        <v>23490</v>
      </c>
      <c r="D18891" t="str">
        <f>HYPERLINK("https://rhld.insurance.arkansas.gov/NPILookup?Npi=1346368339","1346368339")</f>
        <v>1346368339</v>
      </c>
      <c r="E18891" t="s">
        <v>4761</v>
      </c>
    </row>
    <row r="18892" spans="1:5" x14ac:dyDescent="0.25">
      <c r="A18892" t="s">
        <v>4</v>
      </c>
      <c r="B18892" t="s">
        <v>4111</v>
      </c>
      <c r="C18892" t="s">
        <v>23490</v>
      </c>
      <c r="D18892" t="str">
        <f>HYPERLINK("https://rhld.insurance.arkansas.gov/NPILookup?Npi=1346375672","1346375672")</f>
        <v>1346375672</v>
      </c>
      <c r="E18892" t="s">
        <v>14043</v>
      </c>
    </row>
    <row r="18893" spans="1:5" x14ac:dyDescent="0.25">
      <c r="A18893" t="s">
        <v>4</v>
      </c>
      <c r="B18893" t="s">
        <v>4111</v>
      </c>
      <c r="C18893" t="s">
        <v>23490</v>
      </c>
      <c r="D18893" t="str">
        <f>HYPERLINK("https://rhld.insurance.arkansas.gov/NPILookup?Npi=1346406311","1346406311")</f>
        <v>1346406311</v>
      </c>
      <c r="E18893" t="s">
        <v>4762</v>
      </c>
    </row>
    <row r="18894" spans="1:5" x14ac:dyDescent="0.25">
      <c r="A18894" t="s">
        <v>4</v>
      </c>
      <c r="B18894" t="s">
        <v>4111</v>
      </c>
      <c r="C18894" t="s">
        <v>23490</v>
      </c>
      <c r="D18894" t="str">
        <f>HYPERLINK("https://rhld.insurance.arkansas.gov/NPILookup?Npi=1346410628","1346410628")</f>
        <v>1346410628</v>
      </c>
      <c r="E18894" t="s">
        <v>4763</v>
      </c>
    </row>
    <row r="18895" spans="1:5" x14ac:dyDescent="0.25">
      <c r="A18895" t="s">
        <v>4</v>
      </c>
      <c r="B18895" t="s">
        <v>4111</v>
      </c>
      <c r="C18895" t="s">
        <v>23490</v>
      </c>
      <c r="D18895" t="str">
        <f>HYPERLINK("https://rhld.insurance.arkansas.gov/NPILookup?Npi=1346418514","1346418514")</f>
        <v>1346418514</v>
      </c>
      <c r="E18895" t="s">
        <v>14044</v>
      </c>
    </row>
    <row r="18896" spans="1:5" x14ac:dyDescent="0.25">
      <c r="A18896" t="s">
        <v>4</v>
      </c>
      <c r="B18896" t="s">
        <v>4111</v>
      </c>
      <c r="C18896" t="s">
        <v>23490</v>
      </c>
      <c r="D18896" t="str">
        <f>HYPERLINK("https://rhld.insurance.arkansas.gov/NPILookup?Npi=1346419603","1346419603")</f>
        <v>1346419603</v>
      </c>
      <c r="E18896" t="s">
        <v>4764</v>
      </c>
    </row>
    <row r="18897" spans="1:5" x14ac:dyDescent="0.25">
      <c r="A18897" t="s">
        <v>4</v>
      </c>
      <c r="B18897" t="s">
        <v>4111</v>
      </c>
      <c r="C18897" t="s">
        <v>23490</v>
      </c>
      <c r="D18897" t="str">
        <f>HYPERLINK("https://rhld.insurance.arkansas.gov/NPILookup?Npi=1346427093","1346427093")</f>
        <v>1346427093</v>
      </c>
      <c r="E18897" t="s">
        <v>14045</v>
      </c>
    </row>
    <row r="18898" spans="1:5" x14ac:dyDescent="0.25">
      <c r="A18898" t="s">
        <v>4</v>
      </c>
      <c r="B18898" t="s">
        <v>4111</v>
      </c>
      <c r="C18898" t="s">
        <v>23490</v>
      </c>
      <c r="D18898" t="str">
        <f>HYPERLINK("https://rhld.insurance.arkansas.gov/NPILookup?Npi=1346427549","1346427549")</f>
        <v>1346427549</v>
      </c>
      <c r="E18898" t="s">
        <v>14046</v>
      </c>
    </row>
    <row r="18899" spans="1:5" x14ac:dyDescent="0.25">
      <c r="A18899" t="s">
        <v>4</v>
      </c>
      <c r="B18899" t="s">
        <v>4111</v>
      </c>
      <c r="C18899" t="s">
        <v>23490</v>
      </c>
      <c r="D18899" t="str">
        <f>HYPERLINK("https://rhld.insurance.arkansas.gov/NPILookup?Npi=1346429446","1346429446")</f>
        <v>1346429446</v>
      </c>
      <c r="E18899" t="s">
        <v>11631</v>
      </c>
    </row>
    <row r="18900" spans="1:5" x14ac:dyDescent="0.25">
      <c r="A18900" t="s">
        <v>4</v>
      </c>
      <c r="B18900" t="s">
        <v>4111</v>
      </c>
      <c r="C18900" t="s">
        <v>23490</v>
      </c>
      <c r="D18900" t="str">
        <f>HYPERLINK("https://rhld.insurance.arkansas.gov/NPILookup?Npi=1346447539","1346447539")</f>
        <v>1346447539</v>
      </c>
      <c r="E18900" t="s">
        <v>4765</v>
      </c>
    </row>
    <row r="18901" spans="1:5" x14ac:dyDescent="0.25">
      <c r="A18901" t="s">
        <v>4</v>
      </c>
      <c r="B18901" t="s">
        <v>4111</v>
      </c>
      <c r="C18901" t="s">
        <v>23490</v>
      </c>
      <c r="D18901" t="str">
        <f>HYPERLINK("https://rhld.insurance.arkansas.gov/NPILookup?Npi=1346455169","1346455169")</f>
        <v>1346455169</v>
      </c>
      <c r="E18901" t="s">
        <v>14047</v>
      </c>
    </row>
    <row r="18902" spans="1:5" x14ac:dyDescent="0.25">
      <c r="A18902" t="s">
        <v>4</v>
      </c>
      <c r="B18902" t="s">
        <v>4111</v>
      </c>
      <c r="C18902" t="s">
        <v>23490</v>
      </c>
      <c r="D18902" t="str">
        <f>HYPERLINK("https://rhld.insurance.arkansas.gov/NPILookup?Npi=1346459765","1346459765")</f>
        <v>1346459765</v>
      </c>
      <c r="E18902" t="s">
        <v>4766</v>
      </c>
    </row>
    <row r="18903" spans="1:5" x14ac:dyDescent="0.25">
      <c r="A18903" t="s">
        <v>4</v>
      </c>
      <c r="B18903" t="s">
        <v>4111</v>
      </c>
      <c r="C18903" t="s">
        <v>23490</v>
      </c>
      <c r="D18903" t="str">
        <f>HYPERLINK("https://rhld.insurance.arkansas.gov/NPILookup?Npi=1346466877","1346466877")</f>
        <v>1346466877</v>
      </c>
      <c r="E18903" t="s">
        <v>4767</v>
      </c>
    </row>
    <row r="18904" spans="1:5" x14ac:dyDescent="0.25">
      <c r="A18904" t="s">
        <v>4</v>
      </c>
      <c r="B18904" t="s">
        <v>4111</v>
      </c>
      <c r="C18904" t="s">
        <v>23490</v>
      </c>
      <c r="D18904" t="str">
        <f>HYPERLINK("https://rhld.insurance.arkansas.gov/NPILookup?Npi=1346472941","1346472941")</f>
        <v>1346472941</v>
      </c>
      <c r="E18904" t="s">
        <v>10851</v>
      </c>
    </row>
    <row r="18905" spans="1:5" x14ac:dyDescent="0.25">
      <c r="A18905" t="s">
        <v>4</v>
      </c>
      <c r="B18905" t="s">
        <v>4111</v>
      </c>
      <c r="C18905" t="s">
        <v>23490</v>
      </c>
      <c r="D18905" t="str">
        <f>HYPERLINK("https://rhld.insurance.arkansas.gov/NPILookup?Npi=1346476165","1346476165")</f>
        <v>1346476165</v>
      </c>
      <c r="E18905" t="s">
        <v>4768</v>
      </c>
    </row>
    <row r="18906" spans="1:5" x14ac:dyDescent="0.25">
      <c r="A18906" t="s">
        <v>4</v>
      </c>
      <c r="B18906" t="s">
        <v>4111</v>
      </c>
      <c r="C18906" t="s">
        <v>23490</v>
      </c>
      <c r="D18906" t="str">
        <f>HYPERLINK("https://rhld.insurance.arkansas.gov/NPILookup?Npi=1346491321","1346491321")</f>
        <v>1346491321</v>
      </c>
      <c r="E18906" t="s">
        <v>4769</v>
      </c>
    </row>
    <row r="18907" spans="1:5" x14ac:dyDescent="0.25">
      <c r="A18907" t="s">
        <v>4</v>
      </c>
      <c r="B18907" t="s">
        <v>4111</v>
      </c>
      <c r="C18907" t="s">
        <v>23490</v>
      </c>
      <c r="D18907" t="str">
        <f>HYPERLINK("https://rhld.insurance.arkansas.gov/NPILookup?Npi=1346492691","1346492691")</f>
        <v>1346492691</v>
      </c>
      <c r="E18907" t="s">
        <v>4770</v>
      </c>
    </row>
    <row r="18908" spans="1:5" x14ac:dyDescent="0.25">
      <c r="A18908" t="s">
        <v>4</v>
      </c>
      <c r="B18908" t="s">
        <v>4111</v>
      </c>
      <c r="C18908" t="s">
        <v>23490</v>
      </c>
      <c r="D18908" t="str">
        <f>HYPERLINK("https://rhld.insurance.arkansas.gov/NPILookup?Npi=1346501327","1346501327")</f>
        <v>1346501327</v>
      </c>
      <c r="E18908" t="s">
        <v>13119</v>
      </c>
    </row>
    <row r="18909" spans="1:5" x14ac:dyDescent="0.25">
      <c r="A18909" t="s">
        <v>4</v>
      </c>
      <c r="B18909" t="s">
        <v>4111</v>
      </c>
      <c r="C18909" t="s">
        <v>23490</v>
      </c>
      <c r="D18909" t="str">
        <f>HYPERLINK("https://rhld.insurance.arkansas.gov/NPILookup?Npi=1346501624","1346501624")</f>
        <v>1346501624</v>
      </c>
      <c r="E18909" t="s">
        <v>20434</v>
      </c>
    </row>
    <row r="18910" spans="1:5" x14ac:dyDescent="0.25">
      <c r="A18910" t="s">
        <v>4</v>
      </c>
      <c r="B18910" t="s">
        <v>4111</v>
      </c>
      <c r="C18910" t="s">
        <v>23490</v>
      </c>
      <c r="D18910" t="str">
        <f>HYPERLINK("https://rhld.insurance.arkansas.gov/NPILookup?Npi=1346506474","1346506474")</f>
        <v>1346506474</v>
      </c>
      <c r="E18910" t="s">
        <v>9067</v>
      </c>
    </row>
    <row r="18911" spans="1:5" x14ac:dyDescent="0.25">
      <c r="A18911" t="s">
        <v>4</v>
      </c>
      <c r="B18911" t="s">
        <v>4111</v>
      </c>
      <c r="C18911" t="s">
        <v>23490</v>
      </c>
      <c r="D18911" t="str">
        <f>HYPERLINK("https://rhld.insurance.arkansas.gov/NPILookup?Npi=1346508439","1346508439")</f>
        <v>1346508439</v>
      </c>
      <c r="E18911" t="s">
        <v>11632</v>
      </c>
    </row>
    <row r="18912" spans="1:5" x14ac:dyDescent="0.25">
      <c r="A18912" t="s">
        <v>4</v>
      </c>
      <c r="B18912" t="s">
        <v>4111</v>
      </c>
      <c r="C18912" t="s">
        <v>23490</v>
      </c>
      <c r="D18912" t="str">
        <f>HYPERLINK("https://rhld.insurance.arkansas.gov/NPILookup?Npi=1346510583","1346510583")</f>
        <v>1346510583</v>
      </c>
      <c r="E18912" t="s">
        <v>4771</v>
      </c>
    </row>
    <row r="18913" spans="1:5" x14ac:dyDescent="0.25">
      <c r="A18913" t="s">
        <v>4</v>
      </c>
      <c r="B18913" t="s">
        <v>4111</v>
      </c>
      <c r="C18913" t="s">
        <v>23490</v>
      </c>
      <c r="D18913" t="str">
        <f>HYPERLINK("https://rhld.insurance.arkansas.gov/NPILookup?Npi=1346514668","1346514668")</f>
        <v>1346514668</v>
      </c>
      <c r="E18913" t="s">
        <v>9068</v>
      </c>
    </row>
    <row r="18914" spans="1:5" x14ac:dyDescent="0.25">
      <c r="A18914" t="s">
        <v>4</v>
      </c>
      <c r="B18914" t="s">
        <v>4111</v>
      </c>
      <c r="C18914" t="s">
        <v>23490</v>
      </c>
      <c r="D18914" t="str">
        <f>HYPERLINK("https://rhld.insurance.arkansas.gov/NPILookup?Npi=1346522935","1346522935")</f>
        <v>1346522935</v>
      </c>
      <c r="E18914" t="s">
        <v>4772</v>
      </c>
    </row>
    <row r="18915" spans="1:5" x14ac:dyDescent="0.25">
      <c r="A18915" t="s">
        <v>4</v>
      </c>
      <c r="B18915" t="s">
        <v>4111</v>
      </c>
      <c r="C18915" t="s">
        <v>23490</v>
      </c>
      <c r="D18915" t="str">
        <f>HYPERLINK("https://rhld.insurance.arkansas.gov/NPILookup?Npi=1346524808","1346524808")</f>
        <v>1346524808</v>
      </c>
      <c r="E18915" t="s">
        <v>4499</v>
      </c>
    </row>
    <row r="18916" spans="1:5" x14ac:dyDescent="0.25">
      <c r="A18916" t="s">
        <v>4</v>
      </c>
      <c r="B18916" t="s">
        <v>4111</v>
      </c>
      <c r="C18916" t="s">
        <v>23490</v>
      </c>
      <c r="D18916" t="str">
        <f>HYPERLINK("https://rhld.insurance.arkansas.gov/NPILookup?Npi=1346525060","1346525060")</f>
        <v>1346525060</v>
      </c>
      <c r="E18916" t="s">
        <v>4773</v>
      </c>
    </row>
    <row r="18917" spans="1:5" x14ac:dyDescent="0.25">
      <c r="A18917" t="s">
        <v>4</v>
      </c>
      <c r="B18917" t="s">
        <v>4111</v>
      </c>
      <c r="C18917" t="s">
        <v>23490</v>
      </c>
      <c r="D18917" t="str">
        <f>HYPERLINK("https://rhld.insurance.arkansas.gov/NPILookup?Npi=1346552627","1346552627")</f>
        <v>1346552627</v>
      </c>
      <c r="E18917" t="s">
        <v>4774</v>
      </c>
    </row>
    <row r="18918" spans="1:5" x14ac:dyDescent="0.25">
      <c r="A18918" t="s">
        <v>4</v>
      </c>
      <c r="B18918" t="s">
        <v>4111</v>
      </c>
      <c r="C18918" t="s">
        <v>23490</v>
      </c>
      <c r="D18918" t="str">
        <f>HYPERLINK("https://rhld.insurance.arkansas.gov/NPILookup?Npi=1346555851","1346555851")</f>
        <v>1346555851</v>
      </c>
      <c r="E18918" t="s">
        <v>18971</v>
      </c>
    </row>
    <row r="18919" spans="1:5" x14ac:dyDescent="0.25">
      <c r="A18919" t="s">
        <v>4</v>
      </c>
      <c r="B18919" t="s">
        <v>4111</v>
      </c>
      <c r="C18919" t="s">
        <v>23490</v>
      </c>
      <c r="D18919" t="str">
        <f>HYPERLINK("https://rhld.insurance.arkansas.gov/NPILookup?Npi=1346564523","1346564523")</f>
        <v>1346564523</v>
      </c>
      <c r="E18919" t="s">
        <v>9069</v>
      </c>
    </row>
    <row r="18920" spans="1:5" x14ac:dyDescent="0.25">
      <c r="A18920" t="s">
        <v>4</v>
      </c>
      <c r="B18920" t="s">
        <v>4111</v>
      </c>
      <c r="C18920" t="s">
        <v>23490</v>
      </c>
      <c r="D18920" t="str">
        <f>HYPERLINK("https://rhld.insurance.arkansas.gov/NPILookup?Npi=1346564648","1346564648")</f>
        <v>1346564648</v>
      </c>
      <c r="E18920" t="s">
        <v>4775</v>
      </c>
    </row>
    <row r="18921" spans="1:5" x14ac:dyDescent="0.25">
      <c r="A18921" t="s">
        <v>4</v>
      </c>
      <c r="B18921" t="s">
        <v>4111</v>
      </c>
      <c r="C18921" t="s">
        <v>23490</v>
      </c>
      <c r="D18921" t="str">
        <f>HYPERLINK("https://rhld.insurance.arkansas.gov/NPILookup?Npi=1346564937","1346564937")</f>
        <v>1346564937</v>
      </c>
      <c r="E18921" t="s">
        <v>21989</v>
      </c>
    </row>
    <row r="18922" spans="1:5" x14ac:dyDescent="0.25">
      <c r="A18922" t="s">
        <v>4</v>
      </c>
      <c r="B18922" t="s">
        <v>4111</v>
      </c>
      <c r="C18922" t="s">
        <v>8427</v>
      </c>
      <c r="D18922" t="str">
        <f>HYPERLINK("https://rhld.insurance.arkansas.gov/NPILookup?Npi=1346566502","1346566502")</f>
        <v>1346566502</v>
      </c>
      <c r="E18922" t="s">
        <v>23083</v>
      </c>
    </row>
    <row r="18923" spans="1:5" x14ac:dyDescent="0.25">
      <c r="A18923" t="s">
        <v>4</v>
      </c>
      <c r="B18923" t="s">
        <v>4111</v>
      </c>
      <c r="C18923" t="s">
        <v>23490</v>
      </c>
      <c r="D18923" t="str">
        <f>HYPERLINK("https://rhld.insurance.arkansas.gov/NPILookup?Npi=1346597531","1346597531")</f>
        <v>1346597531</v>
      </c>
      <c r="E18923" t="s">
        <v>13120</v>
      </c>
    </row>
    <row r="18924" spans="1:5" x14ac:dyDescent="0.25">
      <c r="A18924" t="s">
        <v>4</v>
      </c>
      <c r="B18924" t="s">
        <v>4111</v>
      </c>
      <c r="C18924" t="s">
        <v>23490</v>
      </c>
      <c r="D18924" t="str">
        <f>HYPERLINK("https://rhld.insurance.arkansas.gov/NPILookup?Npi=1346607082","1346607082")</f>
        <v>1346607082</v>
      </c>
      <c r="E18924" t="s">
        <v>21990</v>
      </c>
    </row>
    <row r="18925" spans="1:5" x14ac:dyDescent="0.25">
      <c r="A18925" t="s">
        <v>4</v>
      </c>
      <c r="B18925" t="s">
        <v>4111</v>
      </c>
      <c r="C18925" t="s">
        <v>23490</v>
      </c>
      <c r="D18925" t="str">
        <f>HYPERLINK("https://rhld.insurance.arkansas.gov/NPILookup?Npi=1346618709","1346618709")</f>
        <v>1346618709</v>
      </c>
      <c r="E18925" t="s">
        <v>17567</v>
      </c>
    </row>
    <row r="18926" spans="1:5" x14ac:dyDescent="0.25">
      <c r="A18926" t="s">
        <v>4</v>
      </c>
      <c r="B18926" t="s">
        <v>4111</v>
      </c>
      <c r="C18926" t="s">
        <v>23490</v>
      </c>
      <c r="D18926" t="str">
        <f>HYPERLINK("https://rhld.insurance.arkansas.gov/NPILookup?Npi=1346644721","1346644721")</f>
        <v>1346644721</v>
      </c>
      <c r="E18926" t="s">
        <v>11633</v>
      </c>
    </row>
    <row r="18927" spans="1:5" x14ac:dyDescent="0.25">
      <c r="A18927" t="s">
        <v>4</v>
      </c>
      <c r="B18927" t="s">
        <v>4111</v>
      </c>
      <c r="C18927" t="s">
        <v>23490</v>
      </c>
      <c r="D18927" t="str">
        <f>HYPERLINK("https://rhld.insurance.arkansas.gov/NPILookup?Npi=1346664968","1346664968")</f>
        <v>1346664968</v>
      </c>
      <c r="E18927" t="s">
        <v>16066</v>
      </c>
    </row>
    <row r="18928" spans="1:5" x14ac:dyDescent="0.25">
      <c r="A18928" t="s">
        <v>4</v>
      </c>
      <c r="B18928" t="s">
        <v>4111</v>
      </c>
      <c r="C18928" t="s">
        <v>23490</v>
      </c>
      <c r="D18928" t="str">
        <f>HYPERLINK("https://rhld.insurance.arkansas.gov/NPILookup?Npi=1346667383","1346667383")</f>
        <v>1346667383</v>
      </c>
      <c r="E18928" t="s">
        <v>16067</v>
      </c>
    </row>
    <row r="18929" spans="1:5" x14ac:dyDescent="0.25">
      <c r="A18929" t="s">
        <v>4</v>
      </c>
      <c r="B18929" t="s">
        <v>4111</v>
      </c>
      <c r="C18929" t="s">
        <v>23490</v>
      </c>
      <c r="D18929" t="str">
        <f>HYPERLINK("https://rhld.insurance.arkansas.gov/NPILookup?Npi=1346668795","1346668795")</f>
        <v>1346668795</v>
      </c>
      <c r="E18929" t="s">
        <v>16068</v>
      </c>
    </row>
    <row r="18930" spans="1:5" x14ac:dyDescent="0.25">
      <c r="A18930" t="s">
        <v>4</v>
      </c>
      <c r="B18930" t="s">
        <v>4111</v>
      </c>
      <c r="C18930" t="s">
        <v>23490</v>
      </c>
      <c r="D18930" t="str">
        <f>HYPERLINK("https://rhld.insurance.arkansas.gov/NPILookup?Npi=1346706678","1346706678")</f>
        <v>1346706678</v>
      </c>
      <c r="E18930" t="s">
        <v>14048</v>
      </c>
    </row>
    <row r="18931" spans="1:5" x14ac:dyDescent="0.25">
      <c r="A18931" t="s">
        <v>4</v>
      </c>
      <c r="B18931" t="s">
        <v>4111</v>
      </c>
      <c r="C18931" t="s">
        <v>23490</v>
      </c>
      <c r="D18931" t="str">
        <f>HYPERLINK("https://rhld.insurance.arkansas.gov/NPILookup?Npi=1346721545","1346721545")</f>
        <v>1346721545</v>
      </c>
      <c r="E18931" t="s">
        <v>14049</v>
      </c>
    </row>
    <row r="18932" spans="1:5" x14ac:dyDescent="0.25">
      <c r="A18932" t="s">
        <v>4</v>
      </c>
      <c r="B18932" t="s">
        <v>4111</v>
      </c>
      <c r="C18932" t="s">
        <v>23490</v>
      </c>
      <c r="D18932" t="str">
        <f>HYPERLINK("https://rhld.insurance.arkansas.gov/NPILookup?Npi=1346722287","1346722287")</f>
        <v>1346722287</v>
      </c>
      <c r="E18932" t="s">
        <v>20435</v>
      </c>
    </row>
    <row r="18933" spans="1:5" x14ac:dyDescent="0.25">
      <c r="A18933" t="s">
        <v>4</v>
      </c>
      <c r="B18933" t="s">
        <v>4111</v>
      </c>
      <c r="C18933" t="s">
        <v>23490</v>
      </c>
      <c r="D18933" t="str">
        <f>HYPERLINK("https://rhld.insurance.arkansas.gov/NPILookup?Npi=1346727799","1346727799")</f>
        <v>1346727799</v>
      </c>
      <c r="E18933" t="s">
        <v>20436</v>
      </c>
    </row>
    <row r="18934" spans="1:5" x14ac:dyDescent="0.25">
      <c r="A18934" t="s">
        <v>4</v>
      </c>
      <c r="B18934" t="s">
        <v>4111</v>
      </c>
      <c r="C18934" t="s">
        <v>23490</v>
      </c>
      <c r="D18934" t="str">
        <f>HYPERLINK("https://rhld.insurance.arkansas.gov/NPILookup?Npi=1346727880","1346727880")</f>
        <v>1346727880</v>
      </c>
      <c r="E18934" t="s">
        <v>16069</v>
      </c>
    </row>
    <row r="18935" spans="1:5" x14ac:dyDescent="0.25">
      <c r="A18935" t="s">
        <v>4</v>
      </c>
      <c r="B18935" t="s">
        <v>4111</v>
      </c>
      <c r="C18935" t="s">
        <v>23490</v>
      </c>
      <c r="D18935" t="str">
        <f>HYPERLINK("https://rhld.insurance.arkansas.gov/NPILookup?Npi=1346760071","1346760071")</f>
        <v>1346760071</v>
      </c>
      <c r="E18935" t="s">
        <v>16070</v>
      </c>
    </row>
    <row r="18936" spans="1:5" x14ac:dyDescent="0.25">
      <c r="A18936" t="s">
        <v>4</v>
      </c>
      <c r="B18936" t="s">
        <v>4111</v>
      </c>
      <c r="C18936" t="s">
        <v>23490</v>
      </c>
      <c r="D18936" t="str">
        <f>HYPERLINK("https://rhld.insurance.arkansas.gov/NPILookup?Npi=1346785383","1346785383")</f>
        <v>1346785383</v>
      </c>
      <c r="E18936" t="s">
        <v>20437</v>
      </c>
    </row>
    <row r="18937" spans="1:5" x14ac:dyDescent="0.25">
      <c r="A18937" t="s">
        <v>4</v>
      </c>
      <c r="B18937" t="s">
        <v>4111</v>
      </c>
      <c r="C18937" t="s">
        <v>8427</v>
      </c>
      <c r="D18937" t="str">
        <f>HYPERLINK("https://rhld.insurance.arkansas.gov/NPILookup?Npi=1346800745","1346800745")</f>
        <v>1346800745</v>
      </c>
      <c r="E18937" t="s">
        <v>23084</v>
      </c>
    </row>
    <row r="18938" spans="1:5" x14ac:dyDescent="0.25">
      <c r="A18938" t="s">
        <v>4</v>
      </c>
      <c r="B18938" t="s">
        <v>4111</v>
      </c>
      <c r="C18938" t="s">
        <v>23490</v>
      </c>
      <c r="D18938" t="str">
        <f>HYPERLINK("https://rhld.insurance.arkansas.gov/NPILookup?Npi=1346812690","1346812690")</f>
        <v>1346812690</v>
      </c>
      <c r="E18938" t="s">
        <v>21991</v>
      </c>
    </row>
    <row r="18939" spans="1:5" x14ac:dyDescent="0.25">
      <c r="A18939" t="s">
        <v>4</v>
      </c>
      <c r="B18939" t="s">
        <v>4111</v>
      </c>
      <c r="C18939" t="s">
        <v>23490</v>
      </c>
      <c r="D18939" t="str">
        <f>HYPERLINK("https://rhld.insurance.arkansas.gov/NPILookup?Npi=1346835758","1346835758")</f>
        <v>1346835758</v>
      </c>
      <c r="E18939" t="s">
        <v>18329</v>
      </c>
    </row>
    <row r="18940" spans="1:5" x14ac:dyDescent="0.25">
      <c r="A18940" t="s">
        <v>4</v>
      </c>
      <c r="B18940" t="s">
        <v>4111</v>
      </c>
      <c r="C18940" t="s">
        <v>8427</v>
      </c>
      <c r="D18940" t="str">
        <f>HYPERLINK("https://rhld.insurance.arkansas.gov/NPILookup?Npi=1346847290","1346847290")</f>
        <v>1346847290</v>
      </c>
      <c r="E18940" t="s">
        <v>23085</v>
      </c>
    </row>
    <row r="18941" spans="1:5" x14ac:dyDescent="0.25">
      <c r="A18941" t="s">
        <v>4</v>
      </c>
      <c r="B18941" t="s">
        <v>4111</v>
      </c>
      <c r="C18941" t="s">
        <v>23490</v>
      </c>
      <c r="D18941" t="str">
        <f>HYPERLINK("https://rhld.insurance.arkansas.gov/NPILookup?Npi=1346854239","1346854239")</f>
        <v>1346854239</v>
      </c>
      <c r="E18941" t="s">
        <v>21992</v>
      </c>
    </row>
    <row r="18942" spans="1:5" x14ac:dyDescent="0.25">
      <c r="A18942" t="s">
        <v>4</v>
      </c>
      <c r="B18942" t="s">
        <v>4111</v>
      </c>
      <c r="C18942" t="s">
        <v>23490</v>
      </c>
      <c r="D18942" t="str">
        <f>HYPERLINK("https://rhld.insurance.arkansas.gov/NPILookup?Npi=1346876174","1346876174")</f>
        <v>1346876174</v>
      </c>
      <c r="E18942" t="s">
        <v>17152</v>
      </c>
    </row>
    <row r="18943" spans="1:5" x14ac:dyDescent="0.25">
      <c r="A18943" t="s">
        <v>4</v>
      </c>
      <c r="B18943" t="s">
        <v>4111</v>
      </c>
      <c r="C18943" t="s">
        <v>23490</v>
      </c>
      <c r="D18943" t="str">
        <f>HYPERLINK("https://rhld.insurance.arkansas.gov/NPILookup?Npi=1346881935","1346881935")</f>
        <v>1346881935</v>
      </c>
      <c r="E18943" t="s">
        <v>21993</v>
      </c>
    </row>
    <row r="18944" spans="1:5" x14ac:dyDescent="0.25">
      <c r="A18944" t="s">
        <v>4</v>
      </c>
      <c r="B18944" t="s">
        <v>4111</v>
      </c>
      <c r="C18944" t="s">
        <v>8427</v>
      </c>
      <c r="D18944" t="str">
        <f>HYPERLINK("https://rhld.insurance.arkansas.gov/NPILookup?Npi=1346950094","1346950094")</f>
        <v>1346950094</v>
      </c>
      <c r="E18944" t="s">
        <v>23086</v>
      </c>
    </row>
    <row r="18945" spans="1:5" x14ac:dyDescent="0.25">
      <c r="A18945" t="s">
        <v>4</v>
      </c>
      <c r="B18945" t="s">
        <v>4111</v>
      </c>
      <c r="C18945" t="s">
        <v>23490</v>
      </c>
      <c r="D18945" t="str">
        <f>HYPERLINK("https://rhld.insurance.arkansas.gov/NPILookup?Npi=1346958782","1346958782")</f>
        <v>1346958782</v>
      </c>
      <c r="E18945" t="s">
        <v>21994</v>
      </c>
    </row>
    <row r="18946" spans="1:5" x14ac:dyDescent="0.25">
      <c r="A18946" t="s">
        <v>4</v>
      </c>
      <c r="B18946" t="s">
        <v>4111</v>
      </c>
      <c r="C18946" t="s">
        <v>23490</v>
      </c>
      <c r="D18946" t="str">
        <f>HYPERLINK("https://rhld.insurance.arkansas.gov/NPILookup?Npi=1346976503","1346976503")</f>
        <v>1346976503</v>
      </c>
      <c r="E18946" t="s">
        <v>21995</v>
      </c>
    </row>
    <row r="18947" spans="1:5" x14ac:dyDescent="0.25">
      <c r="A18947" t="s">
        <v>4</v>
      </c>
      <c r="B18947" t="s">
        <v>4111</v>
      </c>
      <c r="C18947" t="s">
        <v>23490</v>
      </c>
      <c r="D18947" t="str">
        <f>HYPERLINK("https://rhld.insurance.arkansas.gov/NPILookup?Npi=1346994043","1346994043")</f>
        <v>1346994043</v>
      </c>
      <c r="E18947" t="s">
        <v>19645</v>
      </c>
    </row>
    <row r="18948" spans="1:5" x14ac:dyDescent="0.25">
      <c r="A18948" t="s">
        <v>4</v>
      </c>
      <c r="B18948" t="s">
        <v>4111</v>
      </c>
      <c r="C18948" t="s">
        <v>23490</v>
      </c>
      <c r="D18948" t="str">
        <f>HYPERLINK("https://rhld.insurance.arkansas.gov/NPILookup?Npi=1346997681","1346997681")</f>
        <v>1346997681</v>
      </c>
      <c r="E18948" t="s">
        <v>19647</v>
      </c>
    </row>
    <row r="18949" spans="1:5" x14ac:dyDescent="0.25">
      <c r="A18949" t="s">
        <v>4</v>
      </c>
      <c r="B18949" t="s">
        <v>4111</v>
      </c>
      <c r="C18949" t="s">
        <v>8427</v>
      </c>
      <c r="D18949" t="str">
        <f>HYPERLINK("https://rhld.insurance.arkansas.gov/NPILookup?Npi=1356009906","1356009906")</f>
        <v>1356009906</v>
      </c>
      <c r="E18949" t="s">
        <v>23087</v>
      </c>
    </row>
    <row r="18950" spans="1:5" x14ac:dyDescent="0.25">
      <c r="A18950" t="s">
        <v>4</v>
      </c>
      <c r="B18950" t="s">
        <v>4111</v>
      </c>
      <c r="C18950" t="s">
        <v>23490</v>
      </c>
      <c r="D18950" t="str">
        <f>HYPERLINK("https://rhld.insurance.arkansas.gov/NPILookup?Npi=1356095947","1356095947")</f>
        <v>1356095947</v>
      </c>
      <c r="E18950" t="s">
        <v>20438</v>
      </c>
    </row>
    <row r="18951" spans="1:5" x14ac:dyDescent="0.25">
      <c r="A18951" t="s">
        <v>4</v>
      </c>
      <c r="B18951" t="s">
        <v>4111</v>
      </c>
      <c r="C18951" t="s">
        <v>23490</v>
      </c>
      <c r="D18951" t="str">
        <f>HYPERLINK("https://rhld.insurance.arkansas.gov/NPILookup?Npi=1356307953","1356307953")</f>
        <v>1356307953</v>
      </c>
      <c r="E18951" t="s">
        <v>4776</v>
      </c>
    </row>
    <row r="18952" spans="1:5" x14ac:dyDescent="0.25">
      <c r="A18952" t="s">
        <v>4</v>
      </c>
      <c r="B18952" t="s">
        <v>4111</v>
      </c>
      <c r="C18952" t="s">
        <v>23490</v>
      </c>
      <c r="D18952" t="str">
        <f>HYPERLINK("https://rhld.insurance.arkansas.gov/NPILookup?Npi=1356313670","1356313670")</f>
        <v>1356313670</v>
      </c>
      <c r="E18952" t="s">
        <v>4777</v>
      </c>
    </row>
    <row r="18953" spans="1:5" x14ac:dyDescent="0.25">
      <c r="A18953" t="s">
        <v>4</v>
      </c>
      <c r="B18953" t="s">
        <v>4111</v>
      </c>
      <c r="C18953" t="s">
        <v>23490</v>
      </c>
      <c r="D18953" t="str">
        <f>HYPERLINK("https://rhld.insurance.arkansas.gov/NPILookup?Npi=1356357883","1356357883")</f>
        <v>1356357883</v>
      </c>
      <c r="E18953" t="s">
        <v>4778</v>
      </c>
    </row>
    <row r="18954" spans="1:5" x14ac:dyDescent="0.25">
      <c r="A18954" t="s">
        <v>4</v>
      </c>
      <c r="B18954" t="s">
        <v>4111</v>
      </c>
      <c r="C18954" t="s">
        <v>23490</v>
      </c>
      <c r="D18954" t="str">
        <f>HYPERLINK("https://rhld.insurance.arkansas.gov/NPILookup?Npi=1356411086","1356411086")</f>
        <v>1356411086</v>
      </c>
      <c r="E18954" t="s">
        <v>4779</v>
      </c>
    </row>
    <row r="18955" spans="1:5" x14ac:dyDescent="0.25">
      <c r="A18955" t="s">
        <v>4</v>
      </c>
      <c r="B18955" t="s">
        <v>4111</v>
      </c>
      <c r="C18955" t="s">
        <v>23490</v>
      </c>
      <c r="D18955" t="str">
        <f>HYPERLINK("https://rhld.insurance.arkansas.gov/NPILookup?Npi=1356414858","1356414858")</f>
        <v>1356414858</v>
      </c>
      <c r="E18955" t="s">
        <v>4780</v>
      </c>
    </row>
    <row r="18956" spans="1:5" x14ac:dyDescent="0.25">
      <c r="A18956" t="s">
        <v>4</v>
      </c>
      <c r="B18956" t="s">
        <v>4111</v>
      </c>
      <c r="C18956" t="s">
        <v>23490</v>
      </c>
      <c r="D18956" t="str">
        <f>HYPERLINK("https://rhld.insurance.arkansas.gov/NPILookup?Npi=1356422273","1356422273")</f>
        <v>1356422273</v>
      </c>
      <c r="E18956" t="s">
        <v>4781</v>
      </c>
    </row>
    <row r="18957" spans="1:5" x14ac:dyDescent="0.25">
      <c r="A18957" t="s">
        <v>4</v>
      </c>
      <c r="B18957" t="s">
        <v>4111</v>
      </c>
      <c r="C18957" t="s">
        <v>23490</v>
      </c>
      <c r="D18957" t="str">
        <f>HYPERLINK("https://rhld.insurance.arkansas.gov/NPILookup?Npi=1356429708","1356429708")</f>
        <v>1356429708</v>
      </c>
      <c r="E18957" t="s">
        <v>4782</v>
      </c>
    </row>
    <row r="18958" spans="1:5" x14ac:dyDescent="0.25">
      <c r="A18958" t="s">
        <v>4</v>
      </c>
      <c r="B18958" t="s">
        <v>4111</v>
      </c>
      <c r="C18958" t="s">
        <v>23490</v>
      </c>
      <c r="D18958" t="str">
        <f>HYPERLINK("https://rhld.insurance.arkansas.gov/NPILookup?Npi=1356431928","1356431928")</f>
        <v>1356431928</v>
      </c>
      <c r="E18958" t="s">
        <v>4783</v>
      </c>
    </row>
    <row r="18959" spans="1:5" x14ac:dyDescent="0.25">
      <c r="A18959" t="s">
        <v>4</v>
      </c>
      <c r="B18959" t="s">
        <v>4111</v>
      </c>
      <c r="C18959" t="s">
        <v>23490</v>
      </c>
      <c r="D18959" t="str">
        <f>HYPERLINK("https://rhld.insurance.arkansas.gov/NPILookup?Npi=1356451751","1356451751")</f>
        <v>1356451751</v>
      </c>
      <c r="E18959" t="s">
        <v>4784</v>
      </c>
    </row>
    <row r="18960" spans="1:5" x14ac:dyDescent="0.25">
      <c r="A18960" t="s">
        <v>4</v>
      </c>
      <c r="B18960" t="s">
        <v>4111</v>
      </c>
      <c r="C18960" t="s">
        <v>23490</v>
      </c>
      <c r="D18960" t="str">
        <f>HYPERLINK("https://rhld.insurance.arkansas.gov/NPILookup?Npi=1356458269","1356458269")</f>
        <v>1356458269</v>
      </c>
      <c r="E18960" t="s">
        <v>4785</v>
      </c>
    </row>
    <row r="18961" spans="1:5" x14ac:dyDescent="0.25">
      <c r="A18961" t="s">
        <v>4</v>
      </c>
      <c r="B18961" t="s">
        <v>4111</v>
      </c>
      <c r="C18961" t="s">
        <v>23490</v>
      </c>
      <c r="D18961" t="str">
        <f>HYPERLINK("https://rhld.insurance.arkansas.gov/NPILookup?Npi=1356490205","1356490205")</f>
        <v>1356490205</v>
      </c>
      <c r="E18961" t="s">
        <v>4786</v>
      </c>
    </row>
    <row r="18962" spans="1:5" x14ac:dyDescent="0.25">
      <c r="A18962" t="s">
        <v>4</v>
      </c>
      <c r="B18962" t="s">
        <v>4111</v>
      </c>
      <c r="C18962" t="s">
        <v>23490</v>
      </c>
      <c r="D18962" t="str">
        <f>HYPERLINK("https://rhld.insurance.arkansas.gov/NPILookup?Npi=1356504260","1356504260")</f>
        <v>1356504260</v>
      </c>
      <c r="E18962" t="s">
        <v>16071</v>
      </c>
    </row>
    <row r="18963" spans="1:5" x14ac:dyDescent="0.25">
      <c r="A18963" t="s">
        <v>4</v>
      </c>
      <c r="B18963" t="s">
        <v>4111</v>
      </c>
      <c r="C18963" t="s">
        <v>23490</v>
      </c>
      <c r="D18963" t="str">
        <f>HYPERLINK("https://rhld.insurance.arkansas.gov/NPILookup?Npi=1356516058","1356516058")</f>
        <v>1356516058</v>
      </c>
      <c r="E18963" t="s">
        <v>4787</v>
      </c>
    </row>
    <row r="18964" spans="1:5" x14ac:dyDescent="0.25">
      <c r="A18964" t="s">
        <v>4</v>
      </c>
      <c r="B18964" t="s">
        <v>4111</v>
      </c>
      <c r="C18964" t="s">
        <v>23490</v>
      </c>
      <c r="D18964" t="str">
        <f>HYPERLINK("https://rhld.insurance.arkansas.gov/NPILookup?Npi=1356517981","1356517981")</f>
        <v>1356517981</v>
      </c>
      <c r="E18964" t="s">
        <v>4788</v>
      </c>
    </row>
    <row r="18965" spans="1:5" x14ac:dyDescent="0.25">
      <c r="A18965" t="s">
        <v>4</v>
      </c>
      <c r="B18965" t="s">
        <v>4111</v>
      </c>
      <c r="C18965" t="s">
        <v>23490</v>
      </c>
      <c r="D18965" t="str">
        <f>HYPERLINK("https://rhld.insurance.arkansas.gov/NPILookup?Npi=1356533053","1356533053")</f>
        <v>1356533053</v>
      </c>
      <c r="E18965" t="s">
        <v>4789</v>
      </c>
    </row>
    <row r="18966" spans="1:5" x14ac:dyDescent="0.25">
      <c r="A18966" t="s">
        <v>4</v>
      </c>
      <c r="B18966" t="s">
        <v>4111</v>
      </c>
      <c r="C18966" t="s">
        <v>23490</v>
      </c>
      <c r="D18966" t="str">
        <f>HYPERLINK("https://rhld.insurance.arkansas.gov/NPILookup?Npi=1356535991","1356535991")</f>
        <v>1356535991</v>
      </c>
      <c r="E18966" t="s">
        <v>18972</v>
      </c>
    </row>
    <row r="18967" spans="1:5" x14ac:dyDescent="0.25">
      <c r="A18967" t="s">
        <v>4</v>
      </c>
      <c r="B18967" t="s">
        <v>4111</v>
      </c>
      <c r="C18967" t="s">
        <v>23490</v>
      </c>
      <c r="D18967" t="str">
        <f>HYPERLINK("https://rhld.insurance.arkansas.gov/NPILookup?Npi=1356537823","1356537823")</f>
        <v>1356537823</v>
      </c>
      <c r="E18967" t="s">
        <v>4790</v>
      </c>
    </row>
    <row r="18968" spans="1:5" x14ac:dyDescent="0.25">
      <c r="A18968" t="s">
        <v>4</v>
      </c>
      <c r="B18968" t="s">
        <v>4111</v>
      </c>
      <c r="C18968" t="s">
        <v>23490</v>
      </c>
      <c r="D18968" t="str">
        <f>HYPERLINK("https://rhld.insurance.arkansas.gov/NPILookup?Npi=1356539027","1356539027")</f>
        <v>1356539027</v>
      </c>
      <c r="E18968" t="s">
        <v>9070</v>
      </c>
    </row>
    <row r="18969" spans="1:5" x14ac:dyDescent="0.25">
      <c r="A18969" t="s">
        <v>4</v>
      </c>
      <c r="B18969" t="s">
        <v>4111</v>
      </c>
      <c r="C18969" t="s">
        <v>23490</v>
      </c>
      <c r="D18969" t="str">
        <f>HYPERLINK("https://rhld.insurance.arkansas.gov/NPILookup?Npi=1356547442","1356547442")</f>
        <v>1356547442</v>
      </c>
      <c r="E18969" t="s">
        <v>4791</v>
      </c>
    </row>
    <row r="18970" spans="1:5" x14ac:dyDescent="0.25">
      <c r="A18970" t="s">
        <v>4</v>
      </c>
      <c r="B18970" t="s">
        <v>4111</v>
      </c>
      <c r="C18970" t="s">
        <v>23490</v>
      </c>
      <c r="D18970" t="str">
        <f>HYPERLINK("https://rhld.insurance.arkansas.gov/NPILookup?Npi=1356578298","1356578298")</f>
        <v>1356578298</v>
      </c>
      <c r="E18970" t="s">
        <v>11634</v>
      </c>
    </row>
    <row r="18971" spans="1:5" x14ac:dyDescent="0.25">
      <c r="A18971" t="s">
        <v>4</v>
      </c>
      <c r="B18971" t="s">
        <v>4111</v>
      </c>
      <c r="C18971" t="s">
        <v>23490</v>
      </c>
      <c r="D18971" t="str">
        <f>HYPERLINK("https://rhld.insurance.arkansas.gov/NPILookup?Npi=1356580666","1356580666")</f>
        <v>1356580666</v>
      </c>
      <c r="E18971" t="s">
        <v>9417</v>
      </c>
    </row>
    <row r="18972" spans="1:5" x14ac:dyDescent="0.25">
      <c r="A18972" t="s">
        <v>4</v>
      </c>
      <c r="B18972" t="s">
        <v>4111</v>
      </c>
      <c r="C18972" t="s">
        <v>23490</v>
      </c>
      <c r="D18972" t="str">
        <f>HYPERLINK("https://rhld.insurance.arkansas.gov/NPILookup?Npi=1356589360","1356589360")</f>
        <v>1356589360</v>
      </c>
      <c r="E18972" t="s">
        <v>17568</v>
      </c>
    </row>
    <row r="18973" spans="1:5" x14ac:dyDescent="0.25">
      <c r="A18973" t="s">
        <v>4</v>
      </c>
      <c r="B18973" t="s">
        <v>4111</v>
      </c>
      <c r="C18973" t="s">
        <v>23490</v>
      </c>
      <c r="D18973" t="str">
        <f>HYPERLINK("https://rhld.insurance.arkansas.gov/NPILookup?Npi=1356592679","1356592679")</f>
        <v>1356592679</v>
      </c>
      <c r="E18973" t="s">
        <v>14050</v>
      </c>
    </row>
    <row r="18974" spans="1:5" x14ac:dyDescent="0.25">
      <c r="A18974" t="s">
        <v>4</v>
      </c>
      <c r="B18974" t="s">
        <v>4111</v>
      </c>
      <c r="C18974" t="s">
        <v>23490</v>
      </c>
      <c r="D18974" t="str">
        <f>HYPERLINK("https://rhld.insurance.arkansas.gov/NPILookup?Npi=1356592687","1356592687")</f>
        <v>1356592687</v>
      </c>
      <c r="E18974" t="s">
        <v>4792</v>
      </c>
    </row>
    <row r="18975" spans="1:5" x14ac:dyDescent="0.25">
      <c r="A18975" t="s">
        <v>4</v>
      </c>
      <c r="B18975" t="s">
        <v>4111</v>
      </c>
      <c r="C18975" t="s">
        <v>23490</v>
      </c>
      <c r="D18975" t="str">
        <f>HYPERLINK("https://rhld.insurance.arkansas.gov/NPILookup?Npi=1356595540","1356595540")</f>
        <v>1356595540</v>
      </c>
      <c r="E18975" t="s">
        <v>11635</v>
      </c>
    </row>
    <row r="18976" spans="1:5" x14ac:dyDescent="0.25">
      <c r="A18976" t="s">
        <v>4</v>
      </c>
      <c r="B18976" t="s">
        <v>4111</v>
      </c>
      <c r="C18976" t="s">
        <v>23490</v>
      </c>
      <c r="D18976" t="str">
        <f>HYPERLINK("https://rhld.insurance.arkansas.gov/NPILookup?Npi=1356598783","1356598783")</f>
        <v>1356598783</v>
      </c>
      <c r="E18976" t="s">
        <v>16072</v>
      </c>
    </row>
    <row r="18977" spans="1:5" x14ac:dyDescent="0.25">
      <c r="A18977" t="s">
        <v>4</v>
      </c>
      <c r="B18977" t="s">
        <v>4111</v>
      </c>
      <c r="C18977" t="s">
        <v>23490</v>
      </c>
      <c r="D18977" t="str">
        <f>HYPERLINK("https://rhld.insurance.arkansas.gov/NPILookup?Npi=1356618623","1356618623")</f>
        <v>1356618623</v>
      </c>
      <c r="E18977" t="s">
        <v>13121</v>
      </c>
    </row>
    <row r="18978" spans="1:5" x14ac:dyDescent="0.25">
      <c r="A18978" t="s">
        <v>4</v>
      </c>
      <c r="B18978" t="s">
        <v>4111</v>
      </c>
      <c r="C18978" t="s">
        <v>23490</v>
      </c>
      <c r="D18978" t="str">
        <f>HYPERLINK("https://rhld.insurance.arkansas.gov/NPILookup?Npi=1356620082","1356620082")</f>
        <v>1356620082</v>
      </c>
      <c r="E18978" t="s">
        <v>4793</v>
      </c>
    </row>
    <row r="18979" spans="1:5" x14ac:dyDescent="0.25">
      <c r="A18979" t="s">
        <v>4</v>
      </c>
      <c r="B18979" t="s">
        <v>4111</v>
      </c>
      <c r="C18979" t="s">
        <v>23490</v>
      </c>
      <c r="D18979" t="str">
        <f>HYPERLINK("https://rhld.insurance.arkansas.gov/NPILookup?Npi=1356622807","1356622807")</f>
        <v>1356622807</v>
      </c>
      <c r="E18979" t="s">
        <v>18330</v>
      </c>
    </row>
    <row r="18980" spans="1:5" x14ac:dyDescent="0.25">
      <c r="A18980" t="s">
        <v>4</v>
      </c>
      <c r="B18980" t="s">
        <v>4111</v>
      </c>
      <c r="C18980" t="s">
        <v>23490</v>
      </c>
      <c r="D18980" t="str">
        <f>HYPERLINK("https://rhld.insurance.arkansas.gov/NPILookup?Npi=1356641625","1356641625")</f>
        <v>1356641625</v>
      </c>
      <c r="E18980" t="s">
        <v>4794</v>
      </c>
    </row>
    <row r="18981" spans="1:5" x14ac:dyDescent="0.25">
      <c r="A18981" t="s">
        <v>4</v>
      </c>
      <c r="B18981" t="s">
        <v>4111</v>
      </c>
      <c r="C18981" t="s">
        <v>23490</v>
      </c>
      <c r="D18981" t="str">
        <f>HYPERLINK("https://rhld.insurance.arkansas.gov/NPILookup?Npi=1356644801","1356644801")</f>
        <v>1356644801</v>
      </c>
      <c r="E18981" t="s">
        <v>21996</v>
      </c>
    </row>
    <row r="18982" spans="1:5" x14ac:dyDescent="0.25">
      <c r="A18982" t="s">
        <v>4</v>
      </c>
      <c r="B18982" t="s">
        <v>4111</v>
      </c>
      <c r="C18982" t="s">
        <v>23490</v>
      </c>
      <c r="D18982" t="str">
        <f>HYPERLINK("https://rhld.insurance.arkansas.gov/NPILookup?Npi=1356645436","1356645436")</f>
        <v>1356645436</v>
      </c>
      <c r="E18982" t="s">
        <v>11636</v>
      </c>
    </row>
    <row r="18983" spans="1:5" x14ac:dyDescent="0.25">
      <c r="A18983" t="s">
        <v>4</v>
      </c>
      <c r="B18983" t="s">
        <v>4111</v>
      </c>
      <c r="C18983" t="s">
        <v>23490</v>
      </c>
      <c r="D18983" t="str">
        <f>HYPERLINK("https://rhld.insurance.arkansas.gov/NPILookup?Npi=1356649420","1356649420")</f>
        <v>1356649420</v>
      </c>
      <c r="E18983" t="s">
        <v>17153</v>
      </c>
    </row>
    <row r="18984" spans="1:5" x14ac:dyDescent="0.25">
      <c r="A18984" t="s">
        <v>4</v>
      </c>
      <c r="B18984" t="s">
        <v>4111</v>
      </c>
      <c r="C18984" t="s">
        <v>23490</v>
      </c>
      <c r="D18984" t="str">
        <f>HYPERLINK("https://rhld.insurance.arkansas.gov/NPILookup?Npi=1356659098","1356659098")</f>
        <v>1356659098</v>
      </c>
      <c r="E18984" t="s">
        <v>4795</v>
      </c>
    </row>
    <row r="18985" spans="1:5" x14ac:dyDescent="0.25">
      <c r="A18985" t="s">
        <v>4</v>
      </c>
      <c r="B18985" t="s">
        <v>4111</v>
      </c>
      <c r="C18985" t="s">
        <v>23490</v>
      </c>
      <c r="D18985" t="str">
        <f>HYPERLINK("https://rhld.insurance.arkansas.gov/NPILookup?Npi=1356665533","1356665533")</f>
        <v>1356665533</v>
      </c>
      <c r="E18985" t="s">
        <v>9071</v>
      </c>
    </row>
    <row r="18986" spans="1:5" x14ac:dyDescent="0.25">
      <c r="A18986" t="s">
        <v>4</v>
      </c>
      <c r="B18986" t="s">
        <v>4111</v>
      </c>
      <c r="C18986" t="s">
        <v>23490</v>
      </c>
      <c r="D18986" t="str">
        <f>HYPERLINK("https://rhld.insurance.arkansas.gov/NPILookup?Npi=1356665988","1356665988")</f>
        <v>1356665988</v>
      </c>
      <c r="E18986" t="s">
        <v>4796</v>
      </c>
    </row>
    <row r="18987" spans="1:5" x14ac:dyDescent="0.25">
      <c r="A18987" t="s">
        <v>4</v>
      </c>
      <c r="B18987" t="s">
        <v>4111</v>
      </c>
      <c r="C18987" t="s">
        <v>23490</v>
      </c>
      <c r="D18987" t="str">
        <f>HYPERLINK("https://rhld.insurance.arkansas.gov/NPILookup?Npi=1356679336","1356679336")</f>
        <v>1356679336</v>
      </c>
      <c r="E18987" t="s">
        <v>11637</v>
      </c>
    </row>
    <row r="18988" spans="1:5" x14ac:dyDescent="0.25">
      <c r="A18988" t="s">
        <v>4</v>
      </c>
      <c r="B18988" t="s">
        <v>4111</v>
      </c>
      <c r="C18988" t="s">
        <v>23490</v>
      </c>
      <c r="D18988" t="str">
        <f>HYPERLINK("https://rhld.insurance.arkansas.gov/NPILookup?Npi=1356682165","1356682165")</f>
        <v>1356682165</v>
      </c>
      <c r="E18988" t="s">
        <v>20439</v>
      </c>
    </row>
    <row r="18989" spans="1:5" x14ac:dyDescent="0.25">
      <c r="A18989" t="s">
        <v>4</v>
      </c>
      <c r="B18989" t="s">
        <v>4111</v>
      </c>
      <c r="C18989" t="s">
        <v>23490</v>
      </c>
      <c r="D18989" t="str">
        <f>HYPERLINK("https://rhld.insurance.arkansas.gov/NPILookup?Npi=1356696694","1356696694")</f>
        <v>1356696694</v>
      </c>
      <c r="E18989" t="s">
        <v>21997</v>
      </c>
    </row>
    <row r="18990" spans="1:5" x14ac:dyDescent="0.25">
      <c r="A18990" t="s">
        <v>4</v>
      </c>
      <c r="B18990" t="s">
        <v>4111</v>
      </c>
      <c r="C18990" t="s">
        <v>23490</v>
      </c>
      <c r="D18990" t="str">
        <f>HYPERLINK("https://rhld.insurance.arkansas.gov/NPILookup?Npi=1356706238","1356706238")</f>
        <v>1356706238</v>
      </c>
      <c r="E18990" t="s">
        <v>11638</v>
      </c>
    </row>
    <row r="18991" spans="1:5" x14ac:dyDescent="0.25">
      <c r="A18991" t="s">
        <v>4</v>
      </c>
      <c r="B18991" t="s">
        <v>4111</v>
      </c>
      <c r="C18991" t="s">
        <v>23490</v>
      </c>
      <c r="D18991" t="str">
        <f>HYPERLINK("https://rhld.insurance.arkansas.gov/NPILookup?Npi=1356712616","1356712616")</f>
        <v>1356712616</v>
      </c>
      <c r="E18991" t="s">
        <v>17154</v>
      </c>
    </row>
    <row r="18992" spans="1:5" x14ac:dyDescent="0.25">
      <c r="A18992" t="s">
        <v>4</v>
      </c>
      <c r="B18992" t="s">
        <v>4111</v>
      </c>
      <c r="C18992" t="s">
        <v>23490</v>
      </c>
      <c r="D18992" t="str">
        <f>HYPERLINK("https://rhld.insurance.arkansas.gov/NPILookup?Npi=1356717888","1356717888")</f>
        <v>1356717888</v>
      </c>
      <c r="E18992" t="s">
        <v>18331</v>
      </c>
    </row>
    <row r="18993" spans="1:5" x14ac:dyDescent="0.25">
      <c r="A18993" t="s">
        <v>4</v>
      </c>
      <c r="B18993" t="s">
        <v>4111</v>
      </c>
      <c r="C18993" t="s">
        <v>23490</v>
      </c>
      <c r="D18993" t="str">
        <f>HYPERLINK("https://rhld.insurance.arkansas.gov/NPILookup?Npi=1356742464","1356742464")</f>
        <v>1356742464</v>
      </c>
      <c r="E18993" t="s">
        <v>18332</v>
      </c>
    </row>
    <row r="18994" spans="1:5" x14ac:dyDescent="0.25">
      <c r="A18994" t="s">
        <v>4</v>
      </c>
      <c r="B18994" t="s">
        <v>4111</v>
      </c>
      <c r="C18994" t="s">
        <v>23490</v>
      </c>
      <c r="D18994" t="str">
        <f>HYPERLINK("https://rhld.insurance.arkansas.gov/NPILookup?Npi=1356745707","1356745707")</f>
        <v>1356745707</v>
      </c>
      <c r="E18994" t="s">
        <v>17569</v>
      </c>
    </row>
    <row r="18995" spans="1:5" x14ac:dyDescent="0.25">
      <c r="A18995" t="s">
        <v>4</v>
      </c>
      <c r="B18995" t="s">
        <v>4111</v>
      </c>
      <c r="C18995" t="s">
        <v>23490</v>
      </c>
      <c r="D18995" t="str">
        <f>HYPERLINK("https://rhld.insurance.arkansas.gov/NPILookup?Npi=1356756183","1356756183")</f>
        <v>1356756183</v>
      </c>
      <c r="E18995" t="s">
        <v>11639</v>
      </c>
    </row>
    <row r="18996" spans="1:5" x14ac:dyDescent="0.25">
      <c r="A18996" t="s">
        <v>4</v>
      </c>
      <c r="B18996" t="s">
        <v>4111</v>
      </c>
      <c r="C18996" t="s">
        <v>23490</v>
      </c>
      <c r="D18996" t="str">
        <f>HYPERLINK("https://rhld.insurance.arkansas.gov/NPILookup?Npi=1356813034","1356813034")</f>
        <v>1356813034</v>
      </c>
      <c r="E18996" t="s">
        <v>11323</v>
      </c>
    </row>
    <row r="18997" spans="1:5" x14ac:dyDescent="0.25">
      <c r="A18997" t="s">
        <v>4</v>
      </c>
      <c r="B18997" t="s">
        <v>4111</v>
      </c>
      <c r="C18997" t="s">
        <v>23490</v>
      </c>
      <c r="D18997" t="str">
        <f>HYPERLINK("https://rhld.insurance.arkansas.gov/NPILookup?Npi=1356827380","1356827380")</f>
        <v>1356827380</v>
      </c>
      <c r="E18997" t="s">
        <v>18973</v>
      </c>
    </row>
    <row r="18998" spans="1:5" x14ac:dyDescent="0.25">
      <c r="A18998" t="s">
        <v>4</v>
      </c>
      <c r="B18998" t="s">
        <v>4111</v>
      </c>
      <c r="C18998" t="s">
        <v>23490</v>
      </c>
      <c r="D18998" t="str">
        <f>HYPERLINK("https://rhld.insurance.arkansas.gov/NPILookup?Npi=1356830293","1356830293")</f>
        <v>1356830293</v>
      </c>
      <c r="E18998" t="s">
        <v>14051</v>
      </c>
    </row>
    <row r="18999" spans="1:5" x14ac:dyDescent="0.25">
      <c r="A18999" t="s">
        <v>4</v>
      </c>
      <c r="B18999" t="s">
        <v>4111</v>
      </c>
      <c r="C18999" t="s">
        <v>23490</v>
      </c>
      <c r="D18999" t="str">
        <f>HYPERLINK("https://rhld.insurance.arkansas.gov/NPILookup?Npi=1356831424","1356831424")</f>
        <v>1356831424</v>
      </c>
      <c r="E18999" t="s">
        <v>18974</v>
      </c>
    </row>
    <row r="19000" spans="1:5" x14ac:dyDescent="0.25">
      <c r="A19000" t="s">
        <v>4</v>
      </c>
      <c r="B19000" t="s">
        <v>4111</v>
      </c>
      <c r="C19000" t="s">
        <v>23490</v>
      </c>
      <c r="D19000" t="str">
        <f>HYPERLINK("https://rhld.insurance.arkansas.gov/NPILookup?Npi=1356836332","1356836332")</f>
        <v>1356836332</v>
      </c>
      <c r="E19000" t="s">
        <v>16073</v>
      </c>
    </row>
    <row r="19001" spans="1:5" x14ac:dyDescent="0.25">
      <c r="A19001" t="s">
        <v>4</v>
      </c>
      <c r="B19001" t="s">
        <v>4111</v>
      </c>
      <c r="C19001" t="s">
        <v>23490</v>
      </c>
      <c r="D19001" t="str">
        <f>HYPERLINK("https://rhld.insurance.arkansas.gov/NPILookup?Npi=1356865596","1356865596")</f>
        <v>1356865596</v>
      </c>
      <c r="E19001" t="s">
        <v>6778</v>
      </c>
    </row>
    <row r="19002" spans="1:5" x14ac:dyDescent="0.25">
      <c r="A19002" t="s">
        <v>4</v>
      </c>
      <c r="B19002" t="s">
        <v>4111</v>
      </c>
      <c r="C19002" t="s">
        <v>23490</v>
      </c>
      <c r="D19002" t="str">
        <f>HYPERLINK("https://rhld.insurance.arkansas.gov/NPILookup?Npi=1356869911","1356869911")</f>
        <v>1356869911</v>
      </c>
      <c r="E19002" t="s">
        <v>14052</v>
      </c>
    </row>
    <row r="19003" spans="1:5" x14ac:dyDescent="0.25">
      <c r="A19003" t="s">
        <v>4</v>
      </c>
      <c r="B19003" t="s">
        <v>4111</v>
      </c>
      <c r="C19003" t="s">
        <v>23490</v>
      </c>
      <c r="D19003" t="str">
        <f>HYPERLINK("https://rhld.insurance.arkansas.gov/NPILookup?Npi=1356889943","1356889943")</f>
        <v>1356889943</v>
      </c>
      <c r="E19003" t="s">
        <v>21125</v>
      </c>
    </row>
    <row r="19004" spans="1:5" x14ac:dyDescent="0.25">
      <c r="A19004" t="s">
        <v>4</v>
      </c>
      <c r="B19004" t="s">
        <v>4111</v>
      </c>
      <c r="C19004" t="s">
        <v>23490</v>
      </c>
      <c r="D19004" t="str">
        <f>HYPERLINK("https://rhld.insurance.arkansas.gov/NPILookup?Npi=1356902779","1356902779")</f>
        <v>1356902779</v>
      </c>
      <c r="E19004" t="s">
        <v>21998</v>
      </c>
    </row>
    <row r="19005" spans="1:5" x14ac:dyDescent="0.25">
      <c r="A19005" t="s">
        <v>4</v>
      </c>
      <c r="B19005" t="s">
        <v>4111</v>
      </c>
      <c r="C19005" t="s">
        <v>23490</v>
      </c>
      <c r="D19005" t="str">
        <f>HYPERLINK("https://rhld.insurance.arkansas.gov/NPILookup?Npi=1356930671","1356930671")</f>
        <v>1356930671</v>
      </c>
      <c r="E19005" t="s">
        <v>21999</v>
      </c>
    </row>
    <row r="19006" spans="1:5" x14ac:dyDescent="0.25">
      <c r="A19006" t="s">
        <v>4</v>
      </c>
      <c r="B19006" t="s">
        <v>4111</v>
      </c>
      <c r="C19006" t="s">
        <v>23490</v>
      </c>
      <c r="D19006" t="str">
        <f>HYPERLINK("https://rhld.insurance.arkansas.gov/NPILookup?Npi=1356934723","1356934723")</f>
        <v>1356934723</v>
      </c>
      <c r="E19006" t="s">
        <v>22000</v>
      </c>
    </row>
    <row r="19007" spans="1:5" x14ac:dyDescent="0.25">
      <c r="A19007" t="s">
        <v>4</v>
      </c>
      <c r="B19007" t="s">
        <v>4111</v>
      </c>
      <c r="C19007" t="s">
        <v>23490</v>
      </c>
      <c r="D19007" t="str">
        <f>HYPERLINK("https://rhld.insurance.arkansas.gov/NPILookup?Npi=1356936934","1356936934")</f>
        <v>1356936934</v>
      </c>
      <c r="E19007" t="s">
        <v>18755</v>
      </c>
    </row>
    <row r="19008" spans="1:5" x14ac:dyDescent="0.25">
      <c r="A19008" t="s">
        <v>4</v>
      </c>
      <c r="B19008" t="s">
        <v>4111</v>
      </c>
      <c r="C19008" t="s">
        <v>23490</v>
      </c>
      <c r="D19008" t="str">
        <f>HYPERLINK("https://rhld.insurance.arkansas.gov/NPILookup?Npi=1356956197","1356956197")</f>
        <v>1356956197</v>
      </c>
      <c r="E19008" t="s">
        <v>21126</v>
      </c>
    </row>
    <row r="19009" spans="1:5" x14ac:dyDescent="0.25">
      <c r="A19009" t="s">
        <v>4</v>
      </c>
      <c r="B19009" t="s">
        <v>4111</v>
      </c>
      <c r="C19009" t="s">
        <v>8427</v>
      </c>
      <c r="D19009" t="str">
        <f>HYPERLINK("https://rhld.insurance.arkansas.gov/NPILookup?Npi=1356991343","1356991343")</f>
        <v>1356991343</v>
      </c>
      <c r="E19009" t="s">
        <v>23088</v>
      </c>
    </row>
    <row r="19010" spans="1:5" x14ac:dyDescent="0.25">
      <c r="A19010" t="s">
        <v>4</v>
      </c>
      <c r="B19010" t="s">
        <v>4111</v>
      </c>
      <c r="C19010" t="s">
        <v>23490</v>
      </c>
      <c r="D19010" t="str">
        <f>HYPERLINK("https://rhld.insurance.arkansas.gov/NPILookup?Npi=1356996540","1356996540")</f>
        <v>1356996540</v>
      </c>
      <c r="E19010" t="s">
        <v>20440</v>
      </c>
    </row>
    <row r="19011" spans="1:5" x14ac:dyDescent="0.25">
      <c r="A19011" t="s">
        <v>4</v>
      </c>
      <c r="B19011" t="s">
        <v>4111</v>
      </c>
      <c r="C19011" t="s">
        <v>23490</v>
      </c>
      <c r="D19011" t="str">
        <f>HYPERLINK("https://rhld.insurance.arkansas.gov/NPILookup?Npi=1366017626","1366017626")</f>
        <v>1366017626</v>
      </c>
      <c r="E19011" t="s">
        <v>22001</v>
      </c>
    </row>
    <row r="19012" spans="1:5" x14ac:dyDescent="0.25">
      <c r="A19012" t="s">
        <v>4</v>
      </c>
      <c r="B19012" t="s">
        <v>4111</v>
      </c>
      <c r="C19012" t="s">
        <v>23490</v>
      </c>
      <c r="D19012" t="str">
        <f>HYPERLINK("https://rhld.insurance.arkansas.gov/NPILookup?Npi=1366037749","1366037749")</f>
        <v>1366037749</v>
      </c>
      <c r="E19012" t="s">
        <v>21127</v>
      </c>
    </row>
    <row r="19013" spans="1:5" x14ac:dyDescent="0.25">
      <c r="A19013" t="s">
        <v>4</v>
      </c>
      <c r="B19013" t="s">
        <v>4111</v>
      </c>
      <c r="C19013" t="s">
        <v>8427</v>
      </c>
      <c r="D19013" t="str">
        <f>HYPERLINK("https://rhld.insurance.arkansas.gov/NPILookup?Npi=1366055014","1366055014")</f>
        <v>1366055014</v>
      </c>
      <c r="E19013" t="s">
        <v>23089</v>
      </c>
    </row>
    <row r="19014" spans="1:5" x14ac:dyDescent="0.25">
      <c r="A19014" t="s">
        <v>4</v>
      </c>
      <c r="B19014" t="s">
        <v>4111</v>
      </c>
      <c r="C19014" t="s">
        <v>23490</v>
      </c>
      <c r="D19014" t="str">
        <f>HYPERLINK("https://rhld.insurance.arkansas.gov/NPILookup?Npi=1366055840","1366055840")</f>
        <v>1366055840</v>
      </c>
      <c r="E19014" t="s">
        <v>22002</v>
      </c>
    </row>
    <row r="19015" spans="1:5" x14ac:dyDescent="0.25">
      <c r="A19015" t="s">
        <v>4</v>
      </c>
      <c r="B19015" t="s">
        <v>4111</v>
      </c>
      <c r="C19015" t="s">
        <v>23490</v>
      </c>
      <c r="D19015" t="str">
        <f>HYPERLINK("https://rhld.insurance.arkansas.gov/NPILookup?Npi=1366115529","1366115529")</f>
        <v>1366115529</v>
      </c>
      <c r="E19015" t="s">
        <v>20441</v>
      </c>
    </row>
    <row r="19016" spans="1:5" x14ac:dyDescent="0.25">
      <c r="A19016" t="s">
        <v>4</v>
      </c>
      <c r="B19016" t="s">
        <v>4111</v>
      </c>
      <c r="C19016" t="s">
        <v>23490</v>
      </c>
      <c r="D19016" t="str">
        <f>HYPERLINK("https://rhld.insurance.arkansas.gov/NPILookup?Npi=1366198798","1366198798")</f>
        <v>1366198798</v>
      </c>
      <c r="E19016" t="s">
        <v>19658</v>
      </c>
    </row>
    <row r="19017" spans="1:5" x14ac:dyDescent="0.25">
      <c r="A19017" t="s">
        <v>4</v>
      </c>
      <c r="B19017" t="s">
        <v>4111</v>
      </c>
      <c r="C19017" t="s">
        <v>23490</v>
      </c>
      <c r="D19017" t="str">
        <f>HYPERLINK("https://rhld.insurance.arkansas.gov/NPILookup?Npi=1366410516","1366410516")</f>
        <v>1366410516</v>
      </c>
      <c r="E19017" t="s">
        <v>4797</v>
      </c>
    </row>
    <row r="19018" spans="1:5" x14ac:dyDescent="0.25">
      <c r="A19018" t="s">
        <v>4</v>
      </c>
      <c r="B19018" t="s">
        <v>4111</v>
      </c>
      <c r="C19018" t="s">
        <v>23490</v>
      </c>
      <c r="D19018" t="str">
        <f>HYPERLINK("https://rhld.insurance.arkansas.gov/NPILookup?Npi=1366417164","1366417164")</f>
        <v>1366417164</v>
      </c>
      <c r="E19018" t="s">
        <v>4798</v>
      </c>
    </row>
    <row r="19019" spans="1:5" x14ac:dyDescent="0.25">
      <c r="A19019" t="s">
        <v>4</v>
      </c>
      <c r="B19019" t="s">
        <v>4111</v>
      </c>
      <c r="C19019" t="s">
        <v>23490</v>
      </c>
      <c r="D19019" t="str">
        <f>HYPERLINK("https://rhld.insurance.arkansas.gov/NPILookup?Npi=1366479669","1366479669")</f>
        <v>1366479669</v>
      </c>
      <c r="E19019" t="s">
        <v>11640</v>
      </c>
    </row>
    <row r="19020" spans="1:5" x14ac:dyDescent="0.25">
      <c r="A19020" t="s">
        <v>4</v>
      </c>
      <c r="B19020" t="s">
        <v>4111</v>
      </c>
      <c r="C19020" t="s">
        <v>23490</v>
      </c>
      <c r="D19020" t="str">
        <f>HYPERLINK("https://rhld.insurance.arkansas.gov/NPILookup?Npi=1366500795","1366500795")</f>
        <v>1366500795</v>
      </c>
      <c r="E19020" t="s">
        <v>17155</v>
      </c>
    </row>
    <row r="19021" spans="1:5" x14ac:dyDescent="0.25">
      <c r="A19021" t="s">
        <v>4</v>
      </c>
      <c r="B19021" t="s">
        <v>4111</v>
      </c>
      <c r="C19021" t="s">
        <v>23490</v>
      </c>
      <c r="D19021" t="str">
        <f>HYPERLINK("https://rhld.insurance.arkansas.gov/NPILookup?Npi=1366509705","1366509705")</f>
        <v>1366509705</v>
      </c>
      <c r="E19021" t="s">
        <v>4799</v>
      </c>
    </row>
    <row r="19022" spans="1:5" x14ac:dyDescent="0.25">
      <c r="A19022" t="s">
        <v>4</v>
      </c>
      <c r="B19022" t="s">
        <v>4111</v>
      </c>
      <c r="C19022" t="s">
        <v>23490</v>
      </c>
      <c r="D19022" t="str">
        <f>HYPERLINK("https://rhld.insurance.arkansas.gov/NPILookup?Npi=1366532939","1366532939")</f>
        <v>1366532939</v>
      </c>
      <c r="E19022" t="s">
        <v>4800</v>
      </c>
    </row>
    <row r="19023" spans="1:5" x14ac:dyDescent="0.25">
      <c r="A19023" t="s">
        <v>4</v>
      </c>
      <c r="B19023" t="s">
        <v>4111</v>
      </c>
      <c r="C19023" t="s">
        <v>23490</v>
      </c>
      <c r="D19023" t="str">
        <f>HYPERLINK("https://rhld.insurance.arkansas.gov/NPILookup?Npi=1366533499","1366533499")</f>
        <v>1366533499</v>
      </c>
      <c r="E19023" t="s">
        <v>4801</v>
      </c>
    </row>
    <row r="19024" spans="1:5" x14ac:dyDescent="0.25">
      <c r="A19024" t="s">
        <v>4</v>
      </c>
      <c r="B19024" t="s">
        <v>4111</v>
      </c>
      <c r="C19024" t="s">
        <v>23490</v>
      </c>
      <c r="D19024" t="str">
        <f>HYPERLINK("https://rhld.insurance.arkansas.gov/NPILookup?Npi=1366535577","1366535577")</f>
        <v>1366535577</v>
      </c>
      <c r="E19024" t="s">
        <v>4802</v>
      </c>
    </row>
    <row r="19025" spans="1:5" x14ac:dyDescent="0.25">
      <c r="A19025" t="s">
        <v>4</v>
      </c>
      <c r="B19025" t="s">
        <v>4111</v>
      </c>
      <c r="C19025" t="s">
        <v>23490</v>
      </c>
      <c r="D19025" t="str">
        <f>HYPERLINK("https://rhld.insurance.arkansas.gov/NPILookup?Npi=1366555146","1366555146")</f>
        <v>1366555146</v>
      </c>
      <c r="E19025" t="s">
        <v>4803</v>
      </c>
    </row>
    <row r="19026" spans="1:5" x14ac:dyDescent="0.25">
      <c r="A19026" t="s">
        <v>4</v>
      </c>
      <c r="B19026" t="s">
        <v>4111</v>
      </c>
      <c r="C19026" t="s">
        <v>23490</v>
      </c>
      <c r="D19026" t="str">
        <f>HYPERLINK("https://rhld.insurance.arkansas.gov/NPILookup?Npi=1366630378","1366630378")</f>
        <v>1366630378</v>
      </c>
      <c r="E19026" t="s">
        <v>11641</v>
      </c>
    </row>
    <row r="19027" spans="1:5" x14ac:dyDescent="0.25">
      <c r="A19027" t="s">
        <v>4</v>
      </c>
      <c r="B19027" t="s">
        <v>4111</v>
      </c>
      <c r="C19027" t="s">
        <v>23490</v>
      </c>
      <c r="D19027" t="str">
        <f>HYPERLINK("https://rhld.insurance.arkansas.gov/NPILookup?Npi=1366639684","1366639684")</f>
        <v>1366639684</v>
      </c>
      <c r="E19027" t="s">
        <v>18333</v>
      </c>
    </row>
    <row r="19028" spans="1:5" x14ac:dyDescent="0.25">
      <c r="A19028" t="s">
        <v>4</v>
      </c>
      <c r="B19028" t="s">
        <v>4111</v>
      </c>
      <c r="C19028" t="s">
        <v>23490</v>
      </c>
      <c r="D19028" t="str">
        <f>HYPERLINK("https://rhld.insurance.arkansas.gov/NPILookup?Npi=1366645079","1366645079")</f>
        <v>1366645079</v>
      </c>
      <c r="E19028" t="s">
        <v>16074</v>
      </c>
    </row>
    <row r="19029" spans="1:5" x14ac:dyDescent="0.25">
      <c r="A19029" t="s">
        <v>4</v>
      </c>
      <c r="B19029" t="s">
        <v>4111</v>
      </c>
      <c r="C19029" t="s">
        <v>23490</v>
      </c>
      <c r="D19029" t="str">
        <f>HYPERLINK("https://rhld.insurance.arkansas.gov/NPILookup?Npi=1366645905","1366645905")</f>
        <v>1366645905</v>
      </c>
      <c r="E19029" t="s">
        <v>11642</v>
      </c>
    </row>
    <row r="19030" spans="1:5" x14ac:dyDescent="0.25">
      <c r="A19030" t="s">
        <v>4</v>
      </c>
      <c r="B19030" t="s">
        <v>4111</v>
      </c>
      <c r="C19030" t="s">
        <v>23490</v>
      </c>
      <c r="D19030" t="str">
        <f>HYPERLINK("https://rhld.insurance.arkansas.gov/NPILookup?Npi=1366651036","1366651036")</f>
        <v>1366651036</v>
      </c>
      <c r="E19030" t="s">
        <v>4804</v>
      </c>
    </row>
    <row r="19031" spans="1:5" x14ac:dyDescent="0.25">
      <c r="A19031" t="s">
        <v>4</v>
      </c>
      <c r="B19031" t="s">
        <v>4111</v>
      </c>
      <c r="C19031" t="s">
        <v>23490</v>
      </c>
      <c r="D19031" t="str">
        <f>HYPERLINK("https://rhld.insurance.arkansas.gov/NPILookup?Npi=1366676751","1366676751")</f>
        <v>1366676751</v>
      </c>
      <c r="E19031" t="s">
        <v>4805</v>
      </c>
    </row>
    <row r="19032" spans="1:5" x14ac:dyDescent="0.25">
      <c r="A19032" t="s">
        <v>4</v>
      </c>
      <c r="B19032" t="s">
        <v>4111</v>
      </c>
      <c r="C19032" t="s">
        <v>23490</v>
      </c>
      <c r="D19032" t="str">
        <f>HYPERLINK("https://rhld.insurance.arkansas.gov/NPILookup?Npi=1366679144","1366679144")</f>
        <v>1366679144</v>
      </c>
      <c r="E19032" t="s">
        <v>9072</v>
      </c>
    </row>
    <row r="19033" spans="1:5" x14ac:dyDescent="0.25">
      <c r="A19033" t="s">
        <v>4</v>
      </c>
      <c r="B19033" t="s">
        <v>4111</v>
      </c>
      <c r="C19033" t="s">
        <v>23490</v>
      </c>
      <c r="D19033" t="str">
        <f>HYPERLINK("https://rhld.insurance.arkansas.gov/NPILookup?Npi=1366680662","1366680662")</f>
        <v>1366680662</v>
      </c>
      <c r="E19033" t="s">
        <v>4806</v>
      </c>
    </row>
    <row r="19034" spans="1:5" x14ac:dyDescent="0.25">
      <c r="A19034" t="s">
        <v>4</v>
      </c>
      <c r="B19034" t="s">
        <v>4111</v>
      </c>
      <c r="C19034" t="s">
        <v>23490</v>
      </c>
      <c r="D19034" t="str">
        <f>HYPERLINK("https://rhld.insurance.arkansas.gov/NPILookup?Npi=1366682494","1366682494")</f>
        <v>1366682494</v>
      </c>
      <c r="E19034" t="s">
        <v>8638</v>
      </c>
    </row>
    <row r="19035" spans="1:5" x14ac:dyDescent="0.25">
      <c r="A19035" t="s">
        <v>4</v>
      </c>
      <c r="B19035" t="s">
        <v>4111</v>
      </c>
      <c r="C19035" t="s">
        <v>23490</v>
      </c>
      <c r="D19035" t="str">
        <f>HYPERLINK("https://rhld.insurance.arkansas.gov/NPILookup?Npi=1366685315","1366685315")</f>
        <v>1366685315</v>
      </c>
      <c r="E19035" t="s">
        <v>4807</v>
      </c>
    </row>
    <row r="19036" spans="1:5" x14ac:dyDescent="0.25">
      <c r="A19036" t="s">
        <v>4</v>
      </c>
      <c r="B19036" t="s">
        <v>4111</v>
      </c>
      <c r="C19036" t="s">
        <v>23490</v>
      </c>
      <c r="D19036" t="str">
        <f>HYPERLINK("https://rhld.insurance.arkansas.gov/NPILookup?Npi=1366690505","1366690505")</f>
        <v>1366690505</v>
      </c>
      <c r="E19036" t="s">
        <v>11643</v>
      </c>
    </row>
    <row r="19037" spans="1:5" x14ac:dyDescent="0.25">
      <c r="A19037" t="s">
        <v>4</v>
      </c>
      <c r="B19037" t="s">
        <v>4111</v>
      </c>
      <c r="C19037" t="s">
        <v>23490</v>
      </c>
      <c r="D19037" t="str">
        <f>HYPERLINK("https://rhld.insurance.arkansas.gov/NPILookup?Npi=1366690513","1366690513")</f>
        <v>1366690513</v>
      </c>
      <c r="E19037" t="s">
        <v>4808</v>
      </c>
    </row>
    <row r="19038" spans="1:5" x14ac:dyDescent="0.25">
      <c r="A19038" t="s">
        <v>4</v>
      </c>
      <c r="B19038" t="s">
        <v>4111</v>
      </c>
      <c r="C19038" t="s">
        <v>23490</v>
      </c>
      <c r="D19038" t="str">
        <f>HYPERLINK("https://rhld.insurance.arkansas.gov/NPILookup?Npi=1366691180","1366691180")</f>
        <v>1366691180</v>
      </c>
      <c r="E19038" t="s">
        <v>4809</v>
      </c>
    </row>
    <row r="19039" spans="1:5" x14ac:dyDescent="0.25">
      <c r="A19039" t="s">
        <v>4</v>
      </c>
      <c r="B19039" t="s">
        <v>4111</v>
      </c>
      <c r="C19039" t="s">
        <v>23490</v>
      </c>
      <c r="D19039" t="str">
        <f>HYPERLINK("https://rhld.insurance.arkansas.gov/NPILookup?Npi=1366692014","1366692014")</f>
        <v>1366692014</v>
      </c>
      <c r="E19039" t="s">
        <v>9073</v>
      </c>
    </row>
    <row r="19040" spans="1:5" x14ac:dyDescent="0.25">
      <c r="A19040" t="s">
        <v>4</v>
      </c>
      <c r="B19040" t="s">
        <v>4111</v>
      </c>
      <c r="C19040" t="s">
        <v>23490</v>
      </c>
      <c r="D19040" t="str">
        <f>HYPERLINK("https://rhld.insurance.arkansas.gov/NPILookup?Npi=1366702102","1366702102")</f>
        <v>1366702102</v>
      </c>
      <c r="E19040" t="s">
        <v>4810</v>
      </c>
    </row>
    <row r="19041" spans="1:5" x14ac:dyDescent="0.25">
      <c r="A19041" t="s">
        <v>4</v>
      </c>
      <c r="B19041" t="s">
        <v>4111</v>
      </c>
      <c r="C19041" t="s">
        <v>23490</v>
      </c>
      <c r="D19041" t="str">
        <f>HYPERLINK("https://rhld.insurance.arkansas.gov/NPILookup?Npi=1366702516","1366702516")</f>
        <v>1366702516</v>
      </c>
      <c r="E19041" t="s">
        <v>13122</v>
      </c>
    </row>
    <row r="19042" spans="1:5" x14ac:dyDescent="0.25">
      <c r="A19042" t="s">
        <v>4</v>
      </c>
      <c r="B19042" t="s">
        <v>4111</v>
      </c>
      <c r="C19042" t="s">
        <v>23490</v>
      </c>
      <c r="D19042" t="str">
        <f>HYPERLINK("https://rhld.insurance.arkansas.gov/NPILookup?Npi=1366703936","1366703936")</f>
        <v>1366703936</v>
      </c>
      <c r="E19042" t="s">
        <v>16075</v>
      </c>
    </row>
    <row r="19043" spans="1:5" x14ac:dyDescent="0.25">
      <c r="A19043" t="s">
        <v>4</v>
      </c>
      <c r="B19043" t="s">
        <v>4111</v>
      </c>
      <c r="C19043" t="s">
        <v>23490</v>
      </c>
      <c r="D19043" t="str">
        <f>HYPERLINK("https://rhld.insurance.arkansas.gov/NPILookup?Npi=1366709131","1366709131")</f>
        <v>1366709131</v>
      </c>
      <c r="E19043" t="s">
        <v>20442</v>
      </c>
    </row>
    <row r="19044" spans="1:5" x14ac:dyDescent="0.25">
      <c r="A19044" t="s">
        <v>4</v>
      </c>
      <c r="B19044" t="s">
        <v>4111</v>
      </c>
      <c r="C19044" t="s">
        <v>23490</v>
      </c>
      <c r="D19044" t="str">
        <f>HYPERLINK("https://rhld.insurance.arkansas.gov/NPILookup?Npi=1366709347","1366709347")</f>
        <v>1366709347</v>
      </c>
      <c r="E19044" t="s">
        <v>16076</v>
      </c>
    </row>
    <row r="19045" spans="1:5" x14ac:dyDescent="0.25">
      <c r="A19045" t="s">
        <v>4</v>
      </c>
      <c r="B19045" t="s">
        <v>4111</v>
      </c>
      <c r="C19045" t="s">
        <v>23490</v>
      </c>
      <c r="D19045" t="str">
        <f>HYPERLINK("https://rhld.insurance.arkansas.gov/NPILookup?Npi=1366713877","1366713877")</f>
        <v>1366713877</v>
      </c>
      <c r="E19045" t="s">
        <v>20443</v>
      </c>
    </row>
    <row r="19046" spans="1:5" x14ac:dyDescent="0.25">
      <c r="A19046" t="s">
        <v>4</v>
      </c>
      <c r="B19046" t="s">
        <v>4111</v>
      </c>
      <c r="C19046" t="s">
        <v>23490</v>
      </c>
      <c r="D19046" t="str">
        <f>HYPERLINK("https://rhld.insurance.arkansas.gov/NPILookup?Npi=1366725657","1366725657")</f>
        <v>1366725657</v>
      </c>
      <c r="E19046" t="s">
        <v>20444</v>
      </c>
    </row>
    <row r="19047" spans="1:5" x14ac:dyDescent="0.25">
      <c r="A19047" t="s">
        <v>4</v>
      </c>
      <c r="B19047" t="s">
        <v>4111</v>
      </c>
      <c r="C19047" t="s">
        <v>23490</v>
      </c>
      <c r="D19047" t="str">
        <f>HYPERLINK("https://rhld.insurance.arkansas.gov/NPILookup?Npi=1366747834","1366747834")</f>
        <v>1366747834</v>
      </c>
      <c r="E19047" t="s">
        <v>4811</v>
      </c>
    </row>
    <row r="19048" spans="1:5" x14ac:dyDescent="0.25">
      <c r="A19048" t="s">
        <v>4</v>
      </c>
      <c r="B19048" t="s">
        <v>4111</v>
      </c>
      <c r="C19048" t="s">
        <v>23490</v>
      </c>
      <c r="D19048" t="str">
        <f>HYPERLINK("https://rhld.insurance.arkansas.gov/NPILookup?Npi=1366747842","1366747842")</f>
        <v>1366747842</v>
      </c>
      <c r="E19048" t="s">
        <v>16077</v>
      </c>
    </row>
    <row r="19049" spans="1:5" x14ac:dyDescent="0.25">
      <c r="A19049" t="s">
        <v>4</v>
      </c>
      <c r="B19049" t="s">
        <v>4111</v>
      </c>
      <c r="C19049" t="s">
        <v>23490</v>
      </c>
      <c r="D19049" t="str">
        <f>HYPERLINK("https://rhld.insurance.arkansas.gov/NPILookup?Npi=1366762387","1366762387")</f>
        <v>1366762387</v>
      </c>
      <c r="E19049" t="s">
        <v>9074</v>
      </c>
    </row>
    <row r="19050" spans="1:5" x14ac:dyDescent="0.25">
      <c r="A19050" t="s">
        <v>4</v>
      </c>
      <c r="B19050" t="s">
        <v>4111</v>
      </c>
      <c r="C19050" t="s">
        <v>23490</v>
      </c>
      <c r="D19050" t="str">
        <f>HYPERLINK("https://rhld.insurance.arkansas.gov/NPILookup?Npi=1366763443","1366763443")</f>
        <v>1366763443</v>
      </c>
      <c r="E19050" t="s">
        <v>4812</v>
      </c>
    </row>
    <row r="19051" spans="1:5" x14ac:dyDescent="0.25">
      <c r="A19051" t="s">
        <v>4</v>
      </c>
      <c r="B19051" t="s">
        <v>4111</v>
      </c>
      <c r="C19051" t="s">
        <v>23490</v>
      </c>
      <c r="D19051" t="str">
        <f>HYPERLINK("https://rhld.insurance.arkansas.gov/NPILookup?Npi=1366764029","1366764029")</f>
        <v>1366764029</v>
      </c>
      <c r="E19051" t="s">
        <v>20445</v>
      </c>
    </row>
    <row r="19052" spans="1:5" x14ac:dyDescent="0.25">
      <c r="A19052" t="s">
        <v>4</v>
      </c>
      <c r="B19052" t="s">
        <v>4111</v>
      </c>
      <c r="C19052" t="s">
        <v>23490</v>
      </c>
      <c r="D19052" t="str">
        <f>HYPERLINK("https://rhld.insurance.arkansas.gov/NPILookup?Npi=1366772386","1366772386")</f>
        <v>1366772386</v>
      </c>
      <c r="E19052" t="s">
        <v>13123</v>
      </c>
    </row>
    <row r="19053" spans="1:5" x14ac:dyDescent="0.25">
      <c r="A19053" t="s">
        <v>4</v>
      </c>
      <c r="B19053" t="s">
        <v>4111</v>
      </c>
      <c r="C19053" t="s">
        <v>23490</v>
      </c>
      <c r="D19053" t="str">
        <f>HYPERLINK("https://rhld.insurance.arkansas.gov/NPILookup?Npi=1366773913","1366773913")</f>
        <v>1366773913</v>
      </c>
      <c r="E19053" t="s">
        <v>20446</v>
      </c>
    </row>
    <row r="19054" spans="1:5" x14ac:dyDescent="0.25">
      <c r="A19054" t="s">
        <v>4</v>
      </c>
      <c r="B19054" t="s">
        <v>4111</v>
      </c>
      <c r="C19054" t="s">
        <v>23490</v>
      </c>
      <c r="D19054" t="str">
        <f>HYPERLINK("https://rhld.insurance.arkansas.gov/NPILookup?Npi=1366784381","1366784381")</f>
        <v>1366784381</v>
      </c>
      <c r="E19054" t="s">
        <v>20447</v>
      </c>
    </row>
    <row r="19055" spans="1:5" x14ac:dyDescent="0.25">
      <c r="A19055" t="s">
        <v>4</v>
      </c>
      <c r="B19055" t="s">
        <v>4111</v>
      </c>
      <c r="C19055" t="s">
        <v>23490</v>
      </c>
      <c r="D19055" t="str">
        <f>HYPERLINK("https://rhld.insurance.arkansas.gov/NPILookup?Npi=1366785909","1366785909")</f>
        <v>1366785909</v>
      </c>
      <c r="E19055" t="s">
        <v>11644</v>
      </c>
    </row>
    <row r="19056" spans="1:5" x14ac:dyDescent="0.25">
      <c r="A19056" t="s">
        <v>4</v>
      </c>
      <c r="B19056" t="s">
        <v>4111</v>
      </c>
      <c r="C19056" t="s">
        <v>23490</v>
      </c>
      <c r="D19056" t="str">
        <f>HYPERLINK("https://rhld.insurance.arkansas.gov/NPILookup?Npi=1366787459","1366787459")</f>
        <v>1366787459</v>
      </c>
      <c r="E19056" t="s">
        <v>4813</v>
      </c>
    </row>
    <row r="19057" spans="1:5" x14ac:dyDescent="0.25">
      <c r="A19057" t="s">
        <v>4</v>
      </c>
      <c r="B19057" t="s">
        <v>4111</v>
      </c>
      <c r="C19057" t="s">
        <v>23490</v>
      </c>
      <c r="D19057" t="str">
        <f>HYPERLINK("https://rhld.insurance.arkansas.gov/NPILookup?Npi=1366797474","1366797474")</f>
        <v>1366797474</v>
      </c>
      <c r="E19057" t="s">
        <v>22003</v>
      </c>
    </row>
    <row r="19058" spans="1:5" x14ac:dyDescent="0.25">
      <c r="A19058" t="s">
        <v>4</v>
      </c>
      <c r="B19058" t="s">
        <v>4111</v>
      </c>
      <c r="C19058" t="s">
        <v>8427</v>
      </c>
      <c r="D19058" t="str">
        <f>HYPERLINK("https://rhld.insurance.arkansas.gov/NPILookup?Npi=1366803702","1366803702")</f>
        <v>1366803702</v>
      </c>
      <c r="E19058" t="s">
        <v>23090</v>
      </c>
    </row>
    <row r="19059" spans="1:5" x14ac:dyDescent="0.25">
      <c r="A19059" t="s">
        <v>4</v>
      </c>
      <c r="B19059" t="s">
        <v>4111</v>
      </c>
      <c r="C19059" t="s">
        <v>23490</v>
      </c>
      <c r="D19059" t="str">
        <f>HYPERLINK("https://rhld.insurance.arkansas.gov/NPILookup?Npi=1366804700","1366804700")</f>
        <v>1366804700</v>
      </c>
      <c r="E19059" t="s">
        <v>11645</v>
      </c>
    </row>
    <row r="19060" spans="1:5" x14ac:dyDescent="0.25">
      <c r="A19060" t="s">
        <v>4</v>
      </c>
      <c r="B19060" t="s">
        <v>4111</v>
      </c>
      <c r="C19060" t="s">
        <v>23490</v>
      </c>
      <c r="D19060" t="str">
        <f>HYPERLINK("https://rhld.insurance.arkansas.gov/NPILookup?Npi=1366822645","1366822645")</f>
        <v>1366822645</v>
      </c>
      <c r="E19060" t="s">
        <v>22004</v>
      </c>
    </row>
    <row r="19061" spans="1:5" x14ac:dyDescent="0.25">
      <c r="A19061" t="s">
        <v>4</v>
      </c>
      <c r="B19061" t="s">
        <v>4111</v>
      </c>
      <c r="C19061" t="s">
        <v>23490</v>
      </c>
      <c r="D19061" t="str">
        <f>HYPERLINK("https://rhld.insurance.arkansas.gov/NPILookup?Npi=1366865685","1366865685")</f>
        <v>1366865685</v>
      </c>
      <c r="E19061" t="s">
        <v>11646</v>
      </c>
    </row>
    <row r="19062" spans="1:5" x14ac:dyDescent="0.25">
      <c r="A19062" t="s">
        <v>4</v>
      </c>
      <c r="B19062" t="s">
        <v>4111</v>
      </c>
      <c r="C19062" t="s">
        <v>23490</v>
      </c>
      <c r="D19062" t="str">
        <f>HYPERLINK("https://rhld.insurance.arkansas.gov/NPILookup?Npi=1366872996","1366872996")</f>
        <v>1366872996</v>
      </c>
      <c r="E19062" t="s">
        <v>4814</v>
      </c>
    </row>
    <row r="19063" spans="1:5" x14ac:dyDescent="0.25">
      <c r="A19063" t="s">
        <v>4</v>
      </c>
      <c r="B19063" t="s">
        <v>4111</v>
      </c>
      <c r="C19063" t="s">
        <v>23490</v>
      </c>
      <c r="D19063" t="str">
        <f>HYPERLINK("https://rhld.insurance.arkansas.gov/NPILookup?Npi=1366876633","1366876633")</f>
        <v>1366876633</v>
      </c>
      <c r="E19063" t="s">
        <v>11647</v>
      </c>
    </row>
    <row r="19064" spans="1:5" x14ac:dyDescent="0.25">
      <c r="A19064" t="s">
        <v>4</v>
      </c>
      <c r="B19064" t="s">
        <v>4111</v>
      </c>
      <c r="C19064" t="s">
        <v>23490</v>
      </c>
      <c r="D19064" t="str">
        <f>HYPERLINK("https://rhld.insurance.arkansas.gov/NPILookup?Npi=1366877623","1366877623")</f>
        <v>1366877623</v>
      </c>
      <c r="E19064" t="s">
        <v>18975</v>
      </c>
    </row>
    <row r="19065" spans="1:5" x14ac:dyDescent="0.25">
      <c r="A19065" t="s">
        <v>4</v>
      </c>
      <c r="B19065" t="s">
        <v>4111</v>
      </c>
      <c r="C19065" t="s">
        <v>23490</v>
      </c>
      <c r="D19065" t="str">
        <f>HYPERLINK("https://rhld.insurance.arkansas.gov/NPILookup?Npi=1366889198","1366889198")</f>
        <v>1366889198</v>
      </c>
      <c r="E19065" t="s">
        <v>9075</v>
      </c>
    </row>
    <row r="19066" spans="1:5" x14ac:dyDescent="0.25">
      <c r="A19066" t="s">
        <v>4</v>
      </c>
      <c r="B19066" t="s">
        <v>4111</v>
      </c>
      <c r="C19066" t="s">
        <v>23490</v>
      </c>
      <c r="D19066" t="str">
        <f>HYPERLINK("https://rhld.insurance.arkansas.gov/NPILookup?Npi=1366889578","1366889578")</f>
        <v>1366889578</v>
      </c>
      <c r="E19066" t="s">
        <v>9076</v>
      </c>
    </row>
    <row r="19067" spans="1:5" x14ac:dyDescent="0.25">
      <c r="A19067" t="s">
        <v>4</v>
      </c>
      <c r="B19067" t="s">
        <v>4111</v>
      </c>
      <c r="C19067" t="s">
        <v>23490</v>
      </c>
      <c r="D19067" t="str">
        <f>HYPERLINK("https://rhld.insurance.arkansas.gov/NPILookup?Npi=1366893869","1366893869")</f>
        <v>1366893869</v>
      </c>
      <c r="E19067" t="s">
        <v>22005</v>
      </c>
    </row>
    <row r="19068" spans="1:5" x14ac:dyDescent="0.25">
      <c r="A19068" t="s">
        <v>4</v>
      </c>
      <c r="B19068" t="s">
        <v>4111</v>
      </c>
      <c r="C19068" t="s">
        <v>23490</v>
      </c>
      <c r="D19068" t="str">
        <f>HYPERLINK("https://rhld.insurance.arkansas.gov/NPILookup?Npi=1366930802","1366930802")</f>
        <v>1366930802</v>
      </c>
      <c r="E19068" t="s">
        <v>22006</v>
      </c>
    </row>
    <row r="19069" spans="1:5" x14ac:dyDescent="0.25">
      <c r="A19069" t="s">
        <v>4</v>
      </c>
      <c r="B19069" t="s">
        <v>4111</v>
      </c>
      <c r="C19069" t="s">
        <v>23490</v>
      </c>
      <c r="D19069" t="str">
        <f>HYPERLINK("https://rhld.insurance.arkansas.gov/NPILookup?Npi=1366947384","1366947384")</f>
        <v>1366947384</v>
      </c>
      <c r="E19069" t="s">
        <v>22007</v>
      </c>
    </row>
    <row r="19070" spans="1:5" x14ac:dyDescent="0.25">
      <c r="A19070" t="s">
        <v>4</v>
      </c>
      <c r="B19070" t="s">
        <v>4111</v>
      </c>
      <c r="C19070" t="s">
        <v>23490</v>
      </c>
      <c r="D19070" t="str">
        <f>HYPERLINK("https://rhld.insurance.arkansas.gov/NPILookup?Npi=1366961658","1366961658")</f>
        <v>1366961658</v>
      </c>
      <c r="E19070" t="s">
        <v>20448</v>
      </c>
    </row>
    <row r="19071" spans="1:5" x14ac:dyDescent="0.25">
      <c r="A19071" t="s">
        <v>4</v>
      </c>
      <c r="B19071" t="s">
        <v>4111</v>
      </c>
      <c r="C19071" t="s">
        <v>23490</v>
      </c>
      <c r="D19071" t="str">
        <f>HYPERLINK("https://rhld.insurance.arkansas.gov/NPILookup?Npi=1366965196","1366965196")</f>
        <v>1366965196</v>
      </c>
      <c r="E19071" t="s">
        <v>17156</v>
      </c>
    </row>
    <row r="19072" spans="1:5" x14ac:dyDescent="0.25">
      <c r="A19072" t="s">
        <v>4</v>
      </c>
      <c r="B19072" t="s">
        <v>4111</v>
      </c>
      <c r="C19072" t="s">
        <v>23490</v>
      </c>
      <c r="D19072" t="str">
        <f>HYPERLINK("https://rhld.insurance.arkansas.gov/NPILookup?Npi=1366974008","1366974008")</f>
        <v>1366974008</v>
      </c>
      <c r="E19072" t="s">
        <v>20449</v>
      </c>
    </row>
    <row r="19073" spans="1:5" x14ac:dyDescent="0.25">
      <c r="A19073" t="s">
        <v>4</v>
      </c>
      <c r="B19073" t="s">
        <v>4111</v>
      </c>
      <c r="C19073" t="s">
        <v>23490</v>
      </c>
      <c r="D19073" t="str">
        <f>HYPERLINK("https://rhld.insurance.arkansas.gov/NPILookup?Npi=1366984056","1366984056")</f>
        <v>1366984056</v>
      </c>
      <c r="E19073" t="s">
        <v>17157</v>
      </c>
    </row>
    <row r="19074" spans="1:5" x14ac:dyDescent="0.25">
      <c r="A19074" t="s">
        <v>4</v>
      </c>
      <c r="B19074" t="s">
        <v>4111</v>
      </c>
      <c r="C19074" t="s">
        <v>23490</v>
      </c>
      <c r="D19074" t="str">
        <f>HYPERLINK("https://rhld.insurance.arkansas.gov/NPILookup?Npi=1366987703","1366987703")</f>
        <v>1366987703</v>
      </c>
      <c r="E19074" t="s">
        <v>11648</v>
      </c>
    </row>
    <row r="19075" spans="1:5" x14ac:dyDescent="0.25">
      <c r="A19075" t="s">
        <v>4</v>
      </c>
      <c r="B19075" t="s">
        <v>4111</v>
      </c>
      <c r="C19075" t="s">
        <v>23490</v>
      </c>
      <c r="D19075" t="str">
        <f>HYPERLINK("https://rhld.insurance.arkansas.gov/NPILookup?Npi=1366990343","1366990343")</f>
        <v>1366990343</v>
      </c>
      <c r="E19075" t="s">
        <v>10873</v>
      </c>
    </row>
    <row r="19076" spans="1:5" x14ac:dyDescent="0.25">
      <c r="A19076" t="s">
        <v>4</v>
      </c>
      <c r="B19076" t="s">
        <v>4111</v>
      </c>
      <c r="C19076" t="s">
        <v>23490</v>
      </c>
      <c r="D19076" t="str">
        <f>HYPERLINK("https://rhld.insurance.arkansas.gov/NPILookup?Npi=1366998676","1366998676")</f>
        <v>1366998676</v>
      </c>
      <c r="E19076" t="s">
        <v>22008</v>
      </c>
    </row>
    <row r="19077" spans="1:5" x14ac:dyDescent="0.25">
      <c r="A19077" t="s">
        <v>4</v>
      </c>
      <c r="B19077" t="s">
        <v>4111</v>
      </c>
      <c r="C19077" t="s">
        <v>23490</v>
      </c>
      <c r="D19077" t="str">
        <f>HYPERLINK("https://rhld.insurance.arkansas.gov/NPILookup?Npi=1376020966","1376020966")</f>
        <v>1376020966</v>
      </c>
      <c r="E19077" t="s">
        <v>20450</v>
      </c>
    </row>
    <row r="19078" spans="1:5" x14ac:dyDescent="0.25">
      <c r="A19078" t="s">
        <v>4</v>
      </c>
      <c r="B19078" t="s">
        <v>4111</v>
      </c>
      <c r="C19078" t="s">
        <v>23490</v>
      </c>
      <c r="D19078" t="str">
        <f>HYPERLINK("https://rhld.insurance.arkansas.gov/NPILookup?Npi=1376051508","1376051508")</f>
        <v>1376051508</v>
      </c>
      <c r="E19078" t="s">
        <v>16078</v>
      </c>
    </row>
    <row r="19079" spans="1:5" x14ac:dyDescent="0.25">
      <c r="A19079" t="s">
        <v>4</v>
      </c>
      <c r="B19079" t="s">
        <v>4111</v>
      </c>
      <c r="C19079" t="s">
        <v>23490</v>
      </c>
      <c r="D19079" t="str">
        <f>HYPERLINK("https://rhld.insurance.arkansas.gov/NPILookup?Npi=1376073759","1376073759")</f>
        <v>1376073759</v>
      </c>
      <c r="E19079" t="s">
        <v>22009</v>
      </c>
    </row>
    <row r="19080" spans="1:5" x14ac:dyDescent="0.25">
      <c r="A19080" t="s">
        <v>4</v>
      </c>
      <c r="B19080" t="s">
        <v>4111</v>
      </c>
      <c r="C19080" t="s">
        <v>23490</v>
      </c>
      <c r="D19080" t="str">
        <f>HYPERLINK("https://rhld.insurance.arkansas.gov/NPILookup?Npi=1376104927","1376104927")</f>
        <v>1376104927</v>
      </c>
      <c r="E19080" t="s">
        <v>20451</v>
      </c>
    </row>
    <row r="19081" spans="1:5" x14ac:dyDescent="0.25">
      <c r="A19081" t="s">
        <v>4</v>
      </c>
      <c r="B19081" t="s">
        <v>4111</v>
      </c>
      <c r="C19081" t="s">
        <v>23490</v>
      </c>
      <c r="D19081" t="str">
        <f>HYPERLINK("https://rhld.insurance.arkansas.gov/NPILookup?Npi=1376121442","1376121442")</f>
        <v>1376121442</v>
      </c>
      <c r="E19081" t="s">
        <v>22010</v>
      </c>
    </row>
    <row r="19082" spans="1:5" x14ac:dyDescent="0.25">
      <c r="A19082" t="s">
        <v>4</v>
      </c>
      <c r="B19082" t="s">
        <v>4111</v>
      </c>
      <c r="C19082" t="s">
        <v>23490</v>
      </c>
      <c r="D19082" t="str">
        <f>HYPERLINK("https://rhld.insurance.arkansas.gov/NPILookup?Npi=1376122622","1376122622")</f>
        <v>1376122622</v>
      </c>
      <c r="E19082" t="s">
        <v>22011</v>
      </c>
    </row>
    <row r="19083" spans="1:5" x14ac:dyDescent="0.25">
      <c r="A19083" t="s">
        <v>4</v>
      </c>
      <c r="B19083" t="s">
        <v>4111</v>
      </c>
      <c r="C19083" t="s">
        <v>23490</v>
      </c>
      <c r="D19083" t="str">
        <f>HYPERLINK("https://rhld.insurance.arkansas.gov/NPILookup?Npi=1376137463","1376137463")</f>
        <v>1376137463</v>
      </c>
      <c r="E19083" t="s">
        <v>22012</v>
      </c>
    </row>
    <row r="19084" spans="1:5" x14ac:dyDescent="0.25">
      <c r="A19084" t="s">
        <v>4</v>
      </c>
      <c r="B19084" t="s">
        <v>4111</v>
      </c>
      <c r="C19084" t="s">
        <v>23490</v>
      </c>
      <c r="D19084" t="str">
        <f>HYPERLINK("https://rhld.insurance.arkansas.gov/NPILookup?Npi=1376144816","1376144816")</f>
        <v>1376144816</v>
      </c>
      <c r="E19084" t="s">
        <v>22013</v>
      </c>
    </row>
    <row r="19085" spans="1:5" x14ac:dyDescent="0.25">
      <c r="A19085" t="s">
        <v>4</v>
      </c>
      <c r="B19085" t="s">
        <v>4111</v>
      </c>
      <c r="C19085" t="s">
        <v>23490</v>
      </c>
      <c r="D19085" t="str">
        <f>HYPERLINK("https://rhld.insurance.arkansas.gov/NPILookup?Npi=1376175984","1376175984")</f>
        <v>1376175984</v>
      </c>
      <c r="E19085" t="s">
        <v>22014</v>
      </c>
    </row>
    <row r="19086" spans="1:5" x14ac:dyDescent="0.25">
      <c r="A19086" t="s">
        <v>4</v>
      </c>
      <c r="B19086" t="s">
        <v>4111</v>
      </c>
      <c r="C19086" t="s">
        <v>8427</v>
      </c>
      <c r="D19086" t="str">
        <f>HYPERLINK("https://rhld.insurance.arkansas.gov/NPILookup?Npi=1376191502","1376191502")</f>
        <v>1376191502</v>
      </c>
      <c r="E19086" t="s">
        <v>23091</v>
      </c>
    </row>
    <row r="19087" spans="1:5" x14ac:dyDescent="0.25">
      <c r="A19087" t="s">
        <v>4</v>
      </c>
      <c r="B19087" t="s">
        <v>4111</v>
      </c>
      <c r="C19087" t="s">
        <v>23490</v>
      </c>
      <c r="D19087" t="str">
        <f>HYPERLINK("https://rhld.insurance.arkansas.gov/NPILookup?Npi=1376213124","1376213124")</f>
        <v>1376213124</v>
      </c>
      <c r="E19087" t="s">
        <v>20452</v>
      </c>
    </row>
    <row r="19088" spans="1:5" x14ac:dyDescent="0.25">
      <c r="A19088" t="s">
        <v>4</v>
      </c>
      <c r="B19088" t="s">
        <v>4111</v>
      </c>
      <c r="C19088" t="s">
        <v>23490</v>
      </c>
      <c r="D19088" t="str">
        <f>HYPERLINK("https://rhld.insurance.arkansas.gov/NPILookup?Npi=1376239137","1376239137")</f>
        <v>1376239137</v>
      </c>
      <c r="E19088" t="s">
        <v>22015</v>
      </c>
    </row>
    <row r="19089" spans="1:5" x14ac:dyDescent="0.25">
      <c r="A19089" t="s">
        <v>4</v>
      </c>
      <c r="B19089" t="s">
        <v>4111</v>
      </c>
      <c r="C19089" t="s">
        <v>23490</v>
      </c>
      <c r="D19089" t="str">
        <f>HYPERLINK("https://rhld.insurance.arkansas.gov/NPILookup?Npi=1376260455","1376260455")</f>
        <v>1376260455</v>
      </c>
      <c r="E19089" t="s">
        <v>22016</v>
      </c>
    </row>
    <row r="19090" spans="1:5" x14ac:dyDescent="0.25">
      <c r="A19090" t="s">
        <v>4</v>
      </c>
      <c r="B19090" t="s">
        <v>4111</v>
      </c>
      <c r="C19090" t="s">
        <v>23490</v>
      </c>
      <c r="D19090" t="str">
        <f>HYPERLINK("https://rhld.insurance.arkansas.gov/NPILookup?Npi=1376285205","1376285205")</f>
        <v>1376285205</v>
      </c>
      <c r="E19090" t="s">
        <v>20453</v>
      </c>
    </row>
    <row r="19091" spans="1:5" x14ac:dyDescent="0.25">
      <c r="A19091" t="s">
        <v>4</v>
      </c>
      <c r="B19091" t="s">
        <v>4111</v>
      </c>
      <c r="C19091" t="s">
        <v>23490</v>
      </c>
      <c r="D19091" t="str">
        <f>HYPERLINK("https://rhld.insurance.arkansas.gov/NPILookup?Npi=1376291278","1376291278")</f>
        <v>1376291278</v>
      </c>
      <c r="E19091" t="s">
        <v>22017</v>
      </c>
    </row>
    <row r="19092" spans="1:5" x14ac:dyDescent="0.25">
      <c r="A19092" t="s">
        <v>4</v>
      </c>
      <c r="B19092" t="s">
        <v>4111</v>
      </c>
      <c r="C19092" t="s">
        <v>23490</v>
      </c>
      <c r="D19092" t="str">
        <f>HYPERLINK("https://rhld.insurance.arkansas.gov/NPILookup?Npi=1376501593","1376501593")</f>
        <v>1376501593</v>
      </c>
      <c r="E19092" t="s">
        <v>4815</v>
      </c>
    </row>
    <row r="19093" spans="1:5" x14ac:dyDescent="0.25">
      <c r="A19093" t="s">
        <v>4</v>
      </c>
      <c r="B19093" t="s">
        <v>4111</v>
      </c>
      <c r="C19093" t="s">
        <v>23490</v>
      </c>
      <c r="D19093" t="str">
        <f>HYPERLINK("https://rhld.insurance.arkansas.gov/NPILookup?Npi=1376511121","1376511121")</f>
        <v>1376511121</v>
      </c>
      <c r="E19093" t="s">
        <v>4816</v>
      </c>
    </row>
    <row r="19094" spans="1:5" x14ac:dyDescent="0.25">
      <c r="A19094" t="s">
        <v>4</v>
      </c>
      <c r="B19094" t="s">
        <v>4111</v>
      </c>
      <c r="C19094" t="s">
        <v>23490</v>
      </c>
      <c r="D19094" t="str">
        <f>HYPERLINK("https://rhld.insurance.arkansas.gov/NPILookup?Npi=1376516898","1376516898")</f>
        <v>1376516898</v>
      </c>
      <c r="E19094" t="s">
        <v>4817</v>
      </c>
    </row>
    <row r="19095" spans="1:5" x14ac:dyDescent="0.25">
      <c r="A19095" t="s">
        <v>4</v>
      </c>
      <c r="B19095" t="s">
        <v>4111</v>
      </c>
      <c r="C19095" t="s">
        <v>23490</v>
      </c>
      <c r="D19095" t="str">
        <f>HYPERLINK("https://rhld.insurance.arkansas.gov/NPILookup?Npi=1376518589","1376518589")</f>
        <v>1376518589</v>
      </c>
      <c r="E19095" t="s">
        <v>4819</v>
      </c>
    </row>
    <row r="19096" spans="1:5" x14ac:dyDescent="0.25">
      <c r="A19096" t="s">
        <v>4</v>
      </c>
      <c r="B19096" t="s">
        <v>4111</v>
      </c>
      <c r="C19096" t="s">
        <v>23490</v>
      </c>
      <c r="D19096" t="str">
        <f>HYPERLINK("https://rhld.insurance.arkansas.gov/NPILookup?Npi=1376540765","1376540765")</f>
        <v>1376540765</v>
      </c>
      <c r="E19096" t="s">
        <v>4820</v>
      </c>
    </row>
    <row r="19097" spans="1:5" x14ac:dyDescent="0.25">
      <c r="A19097" t="s">
        <v>4</v>
      </c>
      <c r="B19097" t="s">
        <v>4111</v>
      </c>
      <c r="C19097" t="s">
        <v>23490</v>
      </c>
      <c r="D19097" t="str">
        <f>HYPERLINK("https://rhld.insurance.arkansas.gov/NPILookup?Npi=1376559468","1376559468")</f>
        <v>1376559468</v>
      </c>
      <c r="E19097" t="s">
        <v>4821</v>
      </c>
    </row>
    <row r="19098" spans="1:5" x14ac:dyDescent="0.25">
      <c r="A19098" t="s">
        <v>4</v>
      </c>
      <c r="B19098" t="s">
        <v>4111</v>
      </c>
      <c r="C19098" t="s">
        <v>23490</v>
      </c>
      <c r="D19098" t="str">
        <f>HYPERLINK("https://rhld.insurance.arkansas.gov/NPILookup?Npi=1376560953","1376560953")</f>
        <v>1376560953</v>
      </c>
      <c r="E19098" t="s">
        <v>4822</v>
      </c>
    </row>
    <row r="19099" spans="1:5" x14ac:dyDescent="0.25">
      <c r="A19099" t="s">
        <v>4</v>
      </c>
      <c r="B19099" t="s">
        <v>4111</v>
      </c>
      <c r="C19099" t="s">
        <v>23490</v>
      </c>
      <c r="D19099" t="str">
        <f>HYPERLINK("https://rhld.insurance.arkansas.gov/NPILookup?Npi=1376568139","1376568139")</f>
        <v>1376568139</v>
      </c>
      <c r="E19099" t="s">
        <v>4823</v>
      </c>
    </row>
    <row r="19100" spans="1:5" x14ac:dyDescent="0.25">
      <c r="A19100" t="s">
        <v>4</v>
      </c>
      <c r="B19100" t="s">
        <v>4111</v>
      </c>
      <c r="C19100" t="s">
        <v>23490</v>
      </c>
      <c r="D19100" t="str">
        <f>HYPERLINK("https://rhld.insurance.arkansas.gov/NPILookup?Npi=1376579599","1376579599")</f>
        <v>1376579599</v>
      </c>
      <c r="E19100" t="s">
        <v>16079</v>
      </c>
    </row>
    <row r="19101" spans="1:5" x14ac:dyDescent="0.25">
      <c r="A19101" t="s">
        <v>4</v>
      </c>
      <c r="B19101" t="s">
        <v>4111</v>
      </c>
      <c r="C19101" t="s">
        <v>23490</v>
      </c>
      <c r="D19101" t="str">
        <f>HYPERLINK("https://rhld.insurance.arkansas.gov/NPILookup?Npi=1376581348","1376581348")</f>
        <v>1376581348</v>
      </c>
      <c r="E19101" t="s">
        <v>4824</v>
      </c>
    </row>
    <row r="19102" spans="1:5" x14ac:dyDescent="0.25">
      <c r="A19102" t="s">
        <v>4</v>
      </c>
      <c r="B19102" t="s">
        <v>4111</v>
      </c>
      <c r="C19102" t="s">
        <v>23490</v>
      </c>
      <c r="D19102" t="str">
        <f>HYPERLINK("https://rhld.insurance.arkansas.gov/NPILookup?Npi=1376582601","1376582601")</f>
        <v>1376582601</v>
      </c>
      <c r="E19102" t="s">
        <v>4825</v>
      </c>
    </row>
    <row r="19103" spans="1:5" x14ac:dyDescent="0.25">
      <c r="A19103" t="s">
        <v>4</v>
      </c>
      <c r="B19103" t="s">
        <v>4111</v>
      </c>
      <c r="C19103" t="s">
        <v>23490</v>
      </c>
      <c r="D19103" t="str">
        <f>HYPERLINK("https://rhld.insurance.arkansas.gov/NPILookup?Npi=1376586297","1376586297")</f>
        <v>1376586297</v>
      </c>
      <c r="E19103" t="s">
        <v>4826</v>
      </c>
    </row>
    <row r="19104" spans="1:5" x14ac:dyDescent="0.25">
      <c r="A19104" t="s">
        <v>4</v>
      </c>
      <c r="B19104" t="s">
        <v>4111</v>
      </c>
      <c r="C19104" t="s">
        <v>23490</v>
      </c>
      <c r="D19104" t="str">
        <f>HYPERLINK("https://rhld.insurance.arkansas.gov/NPILookup?Npi=1376591891","1376591891")</f>
        <v>1376591891</v>
      </c>
      <c r="E19104" t="s">
        <v>1548</v>
      </c>
    </row>
    <row r="19105" spans="1:5" x14ac:dyDescent="0.25">
      <c r="A19105" t="s">
        <v>4</v>
      </c>
      <c r="B19105" t="s">
        <v>4111</v>
      </c>
      <c r="C19105" t="s">
        <v>23490</v>
      </c>
      <c r="D19105" t="str">
        <f>HYPERLINK("https://rhld.insurance.arkansas.gov/NPILookup?Npi=1376609602","1376609602")</f>
        <v>1376609602</v>
      </c>
      <c r="E19105" t="s">
        <v>4827</v>
      </c>
    </row>
    <row r="19106" spans="1:5" x14ac:dyDescent="0.25">
      <c r="A19106" t="s">
        <v>4</v>
      </c>
      <c r="B19106" t="s">
        <v>4111</v>
      </c>
      <c r="C19106" t="s">
        <v>23490</v>
      </c>
      <c r="D19106" t="str">
        <f>HYPERLINK("https://rhld.insurance.arkansas.gov/NPILookup?Npi=1376650481","1376650481")</f>
        <v>1376650481</v>
      </c>
      <c r="E19106" t="s">
        <v>4828</v>
      </c>
    </row>
    <row r="19107" spans="1:5" x14ac:dyDescent="0.25">
      <c r="A19107" t="s">
        <v>4</v>
      </c>
      <c r="B19107" t="s">
        <v>4111</v>
      </c>
      <c r="C19107" t="s">
        <v>23490</v>
      </c>
      <c r="D19107" t="str">
        <f>HYPERLINK("https://rhld.insurance.arkansas.gov/NPILookup?Npi=1376653519","1376653519")</f>
        <v>1376653519</v>
      </c>
      <c r="E19107" t="s">
        <v>20454</v>
      </c>
    </row>
    <row r="19108" spans="1:5" x14ac:dyDescent="0.25">
      <c r="A19108" t="s">
        <v>4</v>
      </c>
      <c r="B19108" t="s">
        <v>4111</v>
      </c>
      <c r="C19108" t="s">
        <v>23490</v>
      </c>
      <c r="D19108" t="str">
        <f>HYPERLINK("https://rhld.insurance.arkansas.gov/NPILookup?Npi=1376658062","1376658062")</f>
        <v>1376658062</v>
      </c>
      <c r="E19108" t="s">
        <v>4154</v>
      </c>
    </row>
    <row r="19109" spans="1:5" x14ac:dyDescent="0.25">
      <c r="A19109" t="s">
        <v>4</v>
      </c>
      <c r="B19109" t="s">
        <v>4111</v>
      </c>
      <c r="C19109" t="s">
        <v>23490</v>
      </c>
      <c r="D19109" t="str">
        <f>HYPERLINK("https://rhld.insurance.arkansas.gov/NPILookup?Npi=1376661157","1376661157")</f>
        <v>1376661157</v>
      </c>
      <c r="E19109" t="s">
        <v>13124</v>
      </c>
    </row>
    <row r="19110" spans="1:5" x14ac:dyDescent="0.25">
      <c r="A19110" t="s">
        <v>4</v>
      </c>
      <c r="B19110" t="s">
        <v>4111</v>
      </c>
      <c r="C19110" t="s">
        <v>23490</v>
      </c>
      <c r="D19110" t="str">
        <f>HYPERLINK("https://rhld.insurance.arkansas.gov/NPILookup?Npi=1376664342","1376664342")</f>
        <v>1376664342</v>
      </c>
      <c r="E19110" t="s">
        <v>9077</v>
      </c>
    </row>
    <row r="19111" spans="1:5" x14ac:dyDescent="0.25">
      <c r="A19111" t="s">
        <v>4</v>
      </c>
      <c r="B19111" t="s">
        <v>4111</v>
      </c>
      <c r="C19111" t="s">
        <v>23490</v>
      </c>
      <c r="D19111" t="str">
        <f>HYPERLINK("https://rhld.insurance.arkansas.gov/NPILookup?Npi=1376669580","1376669580")</f>
        <v>1376669580</v>
      </c>
      <c r="E19111" t="s">
        <v>11649</v>
      </c>
    </row>
    <row r="19112" spans="1:5" x14ac:dyDescent="0.25">
      <c r="A19112" t="s">
        <v>4</v>
      </c>
      <c r="B19112" t="s">
        <v>4111</v>
      </c>
      <c r="C19112" t="s">
        <v>23490</v>
      </c>
      <c r="D19112" t="str">
        <f>HYPERLINK("https://rhld.insurance.arkansas.gov/NPILookup?Npi=1376676692","1376676692")</f>
        <v>1376676692</v>
      </c>
      <c r="E19112" t="s">
        <v>23092</v>
      </c>
    </row>
    <row r="19113" spans="1:5" x14ac:dyDescent="0.25">
      <c r="A19113" t="s">
        <v>4</v>
      </c>
      <c r="B19113" t="s">
        <v>4111</v>
      </c>
      <c r="C19113" t="s">
        <v>23490</v>
      </c>
      <c r="D19113" t="str">
        <f>HYPERLINK("https://rhld.insurance.arkansas.gov/NPILookup?Npi=1376708271","1376708271")</f>
        <v>1376708271</v>
      </c>
      <c r="E19113" t="s">
        <v>16080</v>
      </c>
    </row>
    <row r="19114" spans="1:5" x14ac:dyDescent="0.25">
      <c r="A19114" t="s">
        <v>4</v>
      </c>
      <c r="B19114" t="s">
        <v>4111</v>
      </c>
      <c r="C19114" t="s">
        <v>23490</v>
      </c>
      <c r="D19114" t="str">
        <f>HYPERLINK("https://rhld.insurance.arkansas.gov/NPILookup?Npi=1376711762","1376711762")</f>
        <v>1376711762</v>
      </c>
      <c r="E19114" t="s">
        <v>4829</v>
      </c>
    </row>
    <row r="19115" spans="1:5" x14ac:dyDescent="0.25">
      <c r="A19115" t="s">
        <v>4</v>
      </c>
      <c r="B19115" t="s">
        <v>4111</v>
      </c>
      <c r="C19115" t="s">
        <v>23490</v>
      </c>
      <c r="D19115" t="str">
        <f>HYPERLINK("https://rhld.insurance.arkansas.gov/NPILookup?Npi=1376720243","1376720243")</f>
        <v>1376720243</v>
      </c>
      <c r="E19115" t="s">
        <v>4830</v>
      </c>
    </row>
    <row r="19116" spans="1:5" x14ac:dyDescent="0.25">
      <c r="A19116" t="s">
        <v>4</v>
      </c>
      <c r="B19116" t="s">
        <v>4111</v>
      </c>
      <c r="C19116" t="s">
        <v>23490</v>
      </c>
      <c r="D19116" t="str">
        <f>HYPERLINK("https://rhld.insurance.arkansas.gov/NPILookup?Npi=1376731539","1376731539")</f>
        <v>1376731539</v>
      </c>
      <c r="E19116" t="s">
        <v>13125</v>
      </c>
    </row>
    <row r="19117" spans="1:5" x14ac:dyDescent="0.25">
      <c r="A19117" t="s">
        <v>4</v>
      </c>
      <c r="B19117" t="s">
        <v>4111</v>
      </c>
      <c r="C19117" t="s">
        <v>23490</v>
      </c>
      <c r="D19117" t="str">
        <f>HYPERLINK("https://rhld.insurance.arkansas.gov/NPILookup?Npi=1376744771","1376744771")</f>
        <v>1376744771</v>
      </c>
      <c r="E19117" t="s">
        <v>4831</v>
      </c>
    </row>
    <row r="19118" spans="1:5" x14ac:dyDescent="0.25">
      <c r="A19118" t="s">
        <v>4</v>
      </c>
      <c r="B19118" t="s">
        <v>4111</v>
      </c>
      <c r="C19118" t="s">
        <v>23490</v>
      </c>
      <c r="D19118" t="str">
        <f>HYPERLINK("https://rhld.insurance.arkansas.gov/NPILookup?Npi=1376749333","1376749333")</f>
        <v>1376749333</v>
      </c>
      <c r="E19118" t="s">
        <v>18976</v>
      </c>
    </row>
    <row r="19119" spans="1:5" x14ac:dyDescent="0.25">
      <c r="A19119" t="s">
        <v>4</v>
      </c>
      <c r="B19119" t="s">
        <v>4111</v>
      </c>
      <c r="C19119" t="s">
        <v>23490</v>
      </c>
      <c r="D19119" t="str">
        <f>HYPERLINK("https://rhld.insurance.arkansas.gov/NPILookup?Npi=1376756098","1376756098")</f>
        <v>1376756098</v>
      </c>
      <c r="E19119" t="s">
        <v>4832</v>
      </c>
    </row>
    <row r="19120" spans="1:5" x14ac:dyDescent="0.25">
      <c r="A19120" t="s">
        <v>4</v>
      </c>
      <c r="B19120" t="s">
        <v>4111</v>
      </c>
      <c r="C19120" t="s">
        <v>23490</v>
      </c>
      <c r="D19120" t="str">
        <f>HYPERLINK("https://rhld.insurance.arkansas.gov/NPILookup?Npi=1376774216","1376774216")</f>
        <v>1376774216</v>
      </c>
      <c r="E19120" t="s">
        <v>4833</v>
      </c>
    </row>
    <row r="19121" spans="1:5" x14ac:dyDescent="0.25">
      <c r="A19121" t="s">
        <v>4</v>
      </c>
      <c r="B19121" t="s">
        <v>4111</v>
      </c>
      <c r="C19121" t="s">
        <v>23490</v>
      </c>
      <c r="D19121" t="str">
        <f>HYPERLINK("https://rhld.insurance.arkansas.gov/NPILookup?Npi=1376792796","1376792796")</f>
        <v>1376792796</v>
      </c>
      <c r="E19121" t="s">
        <v>4834</v>
      </c>
    </row>
    <row r="19122" spans="1:5" x14ac:dyDescent="0.25">
      <c r="A19122" t="s">
        <v>4</v>
      </c>
      <c r="B19122" t="s">
        <v>4111</v>
      </c>
      <c r="C19122" t="s">
        <v>23490</v>
      </c>
      <c r="D19122" t="str">
        <f>HYPERLINK("https://rhld.insurance.arkansas.gov/NPILookup?Npi=1376794503","1376794503")</f>
        <v>1376794503</v>
      </c>
      <c r="E19122" t="s">
        <v>4835</v>
      </c>
    </row>
    <row r="19123" spans="1:5" x14ac:dyDescent="0.25">
      <c r="A19123" t="s">
        <v>4</v>
      </c>
      <c r="B19123" t="s">
        <v>4111</v>
      </c>
      <c r="C19123" t="s">
        <v>23490</v>
      </c>
      <c r="D19123" t="str">
        <f>HYPERLINK("https://rhld.insurance.arkansas.gov/NPILookup?Npi=1376796185","1376796185")</f>
        <v>1376796185</v>
      </c>
      <c r="E19123" t="s">
        <v>4836</v>
      </c>
    </row>
    <row r="19124" spans="1:5" x14ac:dyDescent="0.25">
      <c r="A19124" t="s">
        <v>4</v>
      </c>
      <c r="B19124" t="s">
        <v>4111</v>
      </c>
      <c r="C19124" t="s">
        <v>23490</v>
      </c>
      <c r="D19124" t="str">
        <f>HYPERLINK("https://rhld.insurance.arkansas.gov/NPILookup?Npi=1376800920","1376800920")</f>
        <v>1376800920</v>
      </c>
      <c r="E19124" t="s">
        <v>4837</v>
      </c>
    </row>
    <row r="19125" spans="1:5" x14ac:dyDescent="0.25">
      <c r="A19125" t="s">
        <v>4</v>
      </c>
      <c r="B19125" t="s">
        <v>4111</v>
      </c>
      <c r="C19125" t="s">
        <v>23490</v>
      </c>
      <c r="D19125" t="str">
        <f>HYPERLINK("https://rhld.insurance.arkansas.gov/NPILookup?Npi=1376802504","1376802504")</f>
        <v>1376802504</v>
      </c>
      <c r="E19125" t="s">
        <v>9078</v>
      </c>
    </row>
    <row r="19126" spans="1:5" x14ac:dyDescent="0.25">
      <c r="A19126" t="s">
        <v>4</v>
      </c>
      <c r="B19126" t="s">
        <v>4111</v>
      </c>
      <c r="C19126" t="s">
        <v>23490</v>
      </c>
      <c r="D19126" t="str">
        <f>HYPERLINK("https://rhld.insurance.arkansas.gov/NPILookup?Npi=1376818674","1376818674")</f>
        <v>1376818674</v>
      </c>
      <c r="E19126" t="s">
        <v>13126</v>
      </c>
    </row>
    <row r="19127" spans="1:5" x14ac:dyDescent="0.25">
      <c r="A19127" t="s">
        <v>4</v>
      </c>
      <c r="B19127" t="s">
        <v>4111</v>
      </c>
      <c r="C19127" t="s">
        <v>23490</v>
      </c>
      <c r="D19127" t="str">
        <f>HYPERLINK("https://rhld.insurance.arkansas.gov/NPILookup?Npi=1376824441","1376824441")</f>
        <v>1376824441</v>
      </c>
      <c r="E19127" t="s">
        <v>22018</v>
      </c>
    </row>
    <row r="19128" spans="1:5" x14ac:dyDescent="0.25">
      <c r="A19128" t="s">
        <v>4</v>
      </c>
      <c r="B19128" t="s">
        <v>4111</v>
      </c>
      <c r="C19128" t="s">
        <v>23490</v>
      </c>
      <c r="D19128" t="str">
        <f>HYPERLINK("https://rhld.insurance.arkansas.gov/NPILookup?Npi=1376841247","1376841247")</f>
        <v>1376841247</v>
      </c>
      <c r="E19128" t="s">
        <v>1352</v>
      </c>
    </row>
    <row r="19129" spans="1:5" x14ac:dyDescent="0.25">
      <c r="A19129" t="s">
        <v>4</v>
      </c>
      <c r="B19129" t="s">
        <v>4111</v>
      </c>
      <c r="C19129" t="s">
        <v>23490</v>
      </c>
      <c r="D19129" t="str">
        <f>HYPERLINK("https://rhld.insurance.arkansas.gov/NPILookup?Npi=1376842344","1376842344")</f>
        <v>1376842344</v>
      </c>
      <c r="E19129" t="s">
        <v>9079</v>
      </c>
    </row>
    <row r="19130" spans="1:5" x14ac:dyDescent="0.25">
      <c r="A19130" t="s">
        <v>4</v>
      </c>
      <c r="B19130" t="s">
        <v>4111</v>
      </c>
      <c r="C19130" t="s">
        <v>23490</v>
      </c>
      <c r="D19130" t="str">
        <f>HYPERLINK("https://rhld.insurance.arkansas.gov/NPILookup?Npi=1376854273","1376854273")</f>
        <v>1376854273</v>
      </c>
      <c r="E19130" t="s">
        <v>4839</v>
      </c>
    </row>
    <row r="19131" spans="1:5" x14ac:dyDescent="0.25">
      <c r="A19131" t="s">
        <v>4</v>
      </c>
      <c r="B19131" t="s">
        <v>4111</v>
      </c>
      <c r="C19131" t="s">
        <v>23490</v>
      </c>
      <c r="D19131" t="str">
        <f>HYPERLINK("https://rhld.insurance.arkansas.gov/NPILookup?Npi=1376862136","1376862136")</f>
        <v>1376862136</v>
      </c>
      <c r="E19131" t="s">
        <v>21128</v>
      </c>
    </row>
    <row r="19132" spans="1:5" x14ac:dyDescent="0.25">
      <c r="A19132" t="s">
        <v>4</v>
      </c>
      <c r="B19132" t="s">
        <v>4111</v>
      </c>
      <c r="C19132" t="s">
        <v>23490</v>
      </c>
      <c r="D19132" t="str">
        <f>HYPERLINK("https://rhld.insurance.arkansas.gov/NPILookup?Npi=1376871459","1376871459")</f>
        <v>1376871459</v>
      </c>
      <c r="E19132" t="s">
        <v>4840</v>
      </c>
    </row>
    <row r="19133" spans="1:5" x14ac:dyDescent="0.25">
      <c r="A19133" t="s">
        <v>4</v>
      </c>
      <c r="B19133" t="s">
        <v>4111</v>
      </c>
      <c r="C19133" t="s">
        <v>23490</v>
      </c>
      <c r="D19133" t="str">
        <f>HYPERLINK("https://rhld.insurance.arkansas.gov/NPILookup?Npi=1376900662","1376900662")</f>
        <v>1376900662</v>
      </c>
      <c r="E19133" t="s">
        <v>22019</v>
      </c>
    </row>
    <row r="19134" spans="1:5" x14ac:dyDescent="0.25">
      <c r="A19134" t="s">
        <v>4</v>
      </c>
      <c r="B19134" t="s">
        <v>4111</v>
      </c>
      <c r="C19134" t="s">
        <v>23490</v>
      </c>
      <c r="D19134" t="str">
        <f>HYPERLINK("https://rhld.insurance.arkansas.gov/NPILookup?Npi=1376914630","1376914630")</f>
        <v>1376914630</v>
      </c>
      <c r="E19134" t="s">
        <v>19245</v>
      </c>
    </row>
    <row r="19135" spans="1:5" x14ac:dyDescent="0.25">
      <c r="A19135" t="s">
        <v>4</v>
      </c>
      <c r="B19135" t="s">
        <v>4111</v>
      </c>
      <c r="C19135" t="s">
        <v>23490</v>
      </c>
      <c r="D19135" t="str">
        <f>HYPERLINK("https://rhld.insurance.arkansas.gov/NPILookup?Npi=1376915215","1376915215")</f>
        <v>1376915215</v>
      </c>
      <c r="E19135" t="s">
        <v>11650</v>
      </c>
    </row>
    <row r="19136" spans="1:5" x14ac:dyDescent="0.25">
      <c r="A19136" t="s">
        <v>4</v>
      </c>
      <c r="B19136" t="s">
        <v>4111</v>
      </c>
      <c r="C19136" t="s">
        <v>23490</v>
      </c>
      <c r="D19136" t="str">
        <f>HYPERLINK("https://rhld.insurance.arkansas.gov/NPILookup?Npi=1376936690","1376936690")</f>
        <v>1376936690</v>
      </c>
      <c r="E19136" t="s">
        <v>13127</v>
      </c>
    </row>
    <row r="19137" spans="1:5" x14ac:dyDescent="0.25">
      <c r="A19137" t="s">
        <v>4</v>
      </c>
      <c r="B19137" t="s">
        <v>4111</v>
      </c>
      <c r="C19137" t="s">
        <v>23490</v>
      </c>
      <c r="D19137" t="str">
        <f>HYPERLINK("https://rhld.insurance.arkansas.gov/NPILookup?Npi=1376949875","1376949875")</f>
        <v>1376949875</v>
      </c>
      <c r="E19137" t="s">
        <v>17158</v>
      </c>
    </row>
    <row r="19138" spans="1:5" x14ac:dyDescent="0.25">
      <c r="A19138" t="s">
        <v>4</v>
      </c>
      <c r="B19138" t="s">
        <v>4111</v>
      </c>
      <c r="C19138" t="s">
        <v>23490</v>
      </c>
      <c r="D19138" t="str">
        <f>HYPERLINK("https://rhld.insurance.arkansas.gov/NPILookup?Npi=1376959122","1376959122")</f>
        <v>1376959122</v>
      </c>
      <c r="E19138" t="s">
        <v>11651</v>
      </c>
    </row>
    <row r="19139" spans="1:5" x14ac:dyDescent="0.25">
      <c r="A19139" t="s">
        <v>4</v>
      </c>
      <c r="B19139" t="s">
        <v>4111</v>
      </c>
      <c r="C19139" t="s">
        <v>23490</v>
      </c>
      <c r="D19139" t="str">
        <f>HYPERLINK("https://rhld.insurance.arkansas.gov/NPILookup?Npi=1376964213","1376964213")</f>
        <v>1376964213</v>
      </c>
      <c r="E19139" t="s">
        <v>12797</v>
      </c>
    </row>
    <row r="19140" spans="1:5" x14ac:dyDescent="0.25">
      <c r="A19140" t="s">
        <v>4</v>
      </c>
      <c r="B19140" t="s">
        <v>4111</v>
      </c>
      <c r="C19140" t="s">
        <v>23490</v>
      </c>
      <c r="D19140" t="str">
        <f>HYPERLINK("https://rhld.insurance.arkansas.gov/NPILookup?Npi=1376994756","1376994756")</f>
        <v>1376994756</v>
      </c>
      <c r="E19140" t="s">
        <v>17570</v>
      </c>
    </row>
    <row r="19141" spans="1:5" x14ac:dyDescent="0.25">
      <c r="A19141" t="s">
        <v>4</v>
      </c>
      <c r="B19141" t="s">
        <v>4111</v>
      </c>
      <c r="C19141" t="s">
        <v>23490</v>
      </c>
      <c r="D19141" t="str">
        <f>HYPERLINK("https://rhld.insurance.arkansas.gov/NPILookup?Npi=1386009074","1386009074")</f>
        <v>1386009074</v>
      </c>
      <c r="E19141" t="s">
        <v>22020</v>
      </c>
    </row>
    <row r="19142" spans="1:5" x14ac:dyDescent="0.25">
      <c r="A19142" t="s">
        <v>4</v>
      </c>
      <c r="B19142" t="s">
        <v>4111</v>
      </c>
      <c r="C19142" t="s">
        <v>23490</v>
      </c>
      <c r="D19142" t="str">
        <f>HYPERLINK("https://rhld.insurance.arkansas.gov/NPILookup?Npi=1386010536","1386010536")</f>
        <v>1386010536</v>
      </c>
      <c r="E19142" t="s">
        <v>13128</v>
      </c>
    </row>
    <row r="19143" spans="1:5" x14ac:dyDescent="0.25">
      <c r="A19143" t="s">
        <v>4</v>
      </c>
      <c r="B19143" t="s">
        <v>4111</v>
      </c>
      <c r="C19143" t="s">
        <v>23490</v>
      </c>
      <c r="D19143" t="str">
        <f>HYPERLINK("https://rhld.insurance.arkansas.gov/NPILookup?Npi=1386036382","1386036382")</f>
        <v>1386036382</v>
      </c>
      <c r="E19143" t="s">
        <v>11652</v>
      </c>
    </row>
    <row r="19144" spans="1:5" x14ac:dyDescent="0.25">
      <c r="A19144" t="s">
        <v>4</v>
      </c>
      <c r="B19144" t="s">
        <v>4111</v>
      </c>
      <c r="C19144" t="s">
        <v>23490</v>
      </c>
      <c r="D19144" t="str">
        <f>HYPERLINK("https://rhld.insurance.arkansas.gov/NPILookup?Npi=1386039899","1386039899")</f>
        <v>1386039899</v>
      </c>
      <c r="E19144" t="s">
        <v>20455</v>
      </c>
    </row>
    <row r="19145" spans="1:5" x14ac:dyDescent="0.25">
      <c r="A19145" t="s">
        <v>4</v>
      </c>
      <c r="B19145" t="s">
        <v>4111</v>
      </c>
      <c r="C19145" t="s">
        <v>23490</v>
      </c>
      <c r="D19145" t="str">
        <f>HYPERLINK("https://rhld.insurance.arkansas.gov/NPILookup?Npi=1386043537","1386043537")</f>
        <v>1386043537</v>
      </c>
      <c r="E19145" t="s">
        <v>13129</v>
      </c>
    </row>
    <row r="19146" spans="1:5" x14ac:dyDescent="0.25">
      <c r="A19146" t="s">
        <v>4</v>
      </c>
      <c r="B19146" t="s">
        <v>4111</v>
      </c>
      <c r="C19146" t="s">
        <v>23490</v>
      </c>
      <c r="D19146" t="str">
        <f>HYPERLINK("https://rhld.insurance.arkansas.gov/NPILookup?Npi=1386049534","1386049534")</f>
        <v>1386049534</v>
      </c>
      <c r="E19146" t="s">
        <v>4841</v>
      </c>
    </row>
    <row r="19147" spans="1:5" x14ac:dyDescent="0.25">
      <c r="A19147" t="s">
        <v>4</v>
      </c>
      <c r="B19147" t="s">
        <v>4111</v>
      </c>
      <c r="C19147" t="s">
        <v>23490</v>
      </c>
      <c r="D19147" t="str">
        <f>HYPERLINK("https://rhld.insurance.arkansas.gov/NPILookup?Npi=1386065712","1386065712")</f>
        <v>1386065712</v>
      </c>
      <c r="E19147" t="s">
        <v>4842</v>
      </c>
    </row>
    <row r="19148" spans="1:5" x14ac:dyDescent="0.25">
      <c r="A19148" t="s">
        <v>4</v>
      </c>
      <c r="B19148" t="s">
        <v>4111</v>
      </c>
      <c r="C19148" t="s">
        <v>23490</v>
      </c>
      <c r="D19148" t="str">
        <f>HYPERLINK("https://rhld.insurance.arkansas.gov/NPILookup?Npi=1386069961","1386069961")</f>
        <v>1386069961</v>
      </c>
      <c r="E19148" t="s">
        <v>11653</v>
      </c>
    </row>
    <row r="19149" spans="1:5" x14ac:dyDescent="0.25">
      <c r="A19149" t="s">
        <v>4</v>
      </c>
      <c r="B19149" t="s">
        <v>4111</v>
      </c>
      <c r="C19149" t="s">
        <v>23490</v>
      </c>
      <c r="D19149" t="str">
        <f>HYPERLINK("https://rhld.insurance.arkansas.gov/NPILookup?Npi=1386085728","1386085728")</f>
        <v>1386085728</v>
      </c>
      <c r="E19149" t="s">
        <v>17571</v>
      </c>
    </row>
    <row r="19150" spans="1:5" x14ac:dyDescent="0.25">
      <c r="A19150" t="s">
        <v>4</v>
      </c>
      <c r="B19150" t="s">
        <v>4111</v>
      </c>
      <c r="C19150" t="s">
        <v>23490</v>
      </c>
      <c r="D19150" t="str">
        <f>HYPERLINK("https://rhld.insurance.arkansas.gov/NPILookup?Npi=1386110807","1386110807")</f>
        <v>1386110807</v>
      </c>
      <c r="E19150" t="s">
        <v>20456</v>
      </c>
    </row>
    <row r="19151" spans="1:5" x14ac:dyDescent="0.25">
      <c r="A19151" t="s">
        <v>4</v>
      </c>
      <c r="B19151" t="s">
        <v>4111</v>
      </c>
      <c r="C19151" t="s">
        <v>23490</v>
      </c>
      <c r="D19151" t="str">
        <f>HYPERLINK("https://rhld.insurance.arkansas.gov/NPILookup?Npi=1386126639","1386126639")</f>
        <v>1386126639</v>
      </c>
      <c r="E19151" t="s">
        <v>14053</v>
      </c>
    </row>
    <row r="19152" spans="1:5" x14ac:dyDescent="0.25">
      <c r="A19152" t="s">
        <v>4</v>
      </c>
      <c r="B19152" t="s">
        <v>4111</v>
      </c>
      <c r="C19152" t="s">
        <v>23490</v>
      </c>
      <c r="D19152" t="str">
        <f>HYPERLINK("https://rhld.insurance.arkansas.gov/NPILookup?Npi=1386127850","1386127850")</f>
        <v>1386127850</v>
      </c>
      <c r="E19152" t="s">
        <v>18334</v>
      </c>
    </row>
    <row r="19153" spans="1:5" x14ac:dyDescent="0.25">
      <c r="A19153" t="s">
        <v>4</v>
      </c>
      <c r="B19153" t="s">
        <v>4111</v>
      </c>
      <c r="C19153" t="s">
        <v>23490</v>
      </c>
      <c r="D19153" t="str">
        <f>HYPERLINK("https://rhld.insurance.arkansas.gov/NPILookup?Npi=1386129476","1386129476")</f>
        <v>1386129476</v>
      </c>
      <c r="E19153" t="s">
        <v>18335</v>
      </c>
    </row>
    <row r="19154" spans="1:5" x14ac:dyDescent="0.25">
      <c r="A19154" t="s">
        <v>4</v>
      </c>
      <c r="B19154" t="s">
        <v>4111</v>
      </c>
      <c r="C19154" t="s">
        <v>23490</v>
      </c>
      <c r="D19154" t="str">
        <f>HYPERLINK("https://rhld.insurance.arkansas.gov/NPILookup?Npi=1386153393","1386153393")</f>
        <v>1386153393</v>
      </c>
      <c r="E19154" t="s">
        <v>18336</v>
      </c>
    </row>
    <row r="19155" spans="1:5" x14ac:dyDescent="0.25">
      <c r="A19155" t="s">
        <v>4</v>
      </c>
      <c r="B19155" t="s">
        <v>4111</v>
      </c>
      <c r="C19155" t="s">
        <v>23490</v>
      </c>
      <c r="D19155" t="str">
        <f>HYPERLINK("https://rhld.insurance.arkansas.gov/NPILookup?Npi=1386166783","1386166783")</f>
        <v>1386166783</v>
      </c>
      <c r="E19155" t="s">
        <v>11654</v>
      </c>
    </row>
    <row r="19156" spans="1:5" x14ac:dyDescent="0.25">
      <c r="A19156" t="s">
        <v>4</v>
      </c>
      <c r="B19156" t="s">
        <v>4111</v>
      </c>
      <c r="C19156" t="s">
        <v>23490</v>
      </c>
      <c r="D19156" t="str">
        <f>HYPERLINK("https://rhld.insurance.arkansas.gov/NPILookup?Npi=1386169399","1386169399")</f>
        <v>1386169399</v>
      </c>
      <c r="E19156" t="s">
        <v>18337</v>
      </c>
    </row>
    <row r="19157" spans="1:5" x14ac:dyDescent="0.25">
      <c r="A19157" t="s">
        <v>4</v>
      </c>
      <c r="B19157" t="s">
        <v>4111</v>
      </c>
      <c r="C19157" t="s">
        <v>23490</v>
      </c>
      <c r="D19157" t="str">
        <f>HYPERLINK("https://rhld.insurance.arkansas.gov/NPILookup?Npi=1386193209","1386193209")</f>
        <v>1386193209</v>
      </c>
      <c r="E19157" t="s">
        <v>11655</v>
      </c>
    </row>
    <row r="19158" spans="1:5" x14ac:dyDescent="0.25">
      <c r="A19158" t="s">
        <v>4</v>
      </c>
      <c r="B19158" t="s">
        <v>4111</v>
      </c>
      <c r="C19158" t="s">
        <v>23490</v>
      </c>
      <c r="D19158" t="str">
        <f>HYPERLINK("https://rhld.insurance.arkansas.gov/NPILookup?Npi=1386216901","1386216901")</f>
        <v>1386216901</v>
      </c>
      <c r="E19158" t="s">
        <v>22021</v>
      </c>
    </row>
    <row r="19159" spans="1:5" x14ac:dyDescent="0.25">
      <c r="A19159" t="s">
        <v>4</v>
      </c>
      <c r="B19159" t="s">
        <v>4111</v>
      </c>
      <c r="C19159" t="s">
        <v>23490</v>
      </c>
      <c r="D19159" t="str">
        <f>HYPERLINK("https://rhld.insurance.arkansas.gov/NPILookup?Npi=1386230449","1386230449")</f>
        <v>1386230449</v>
      </c>
      <c r="E19159" t="s">
        <v>19682</v>
      </c>
    </row>
    <row r="19160" spans="1:5" x14ac:dyDescent="0.25">
      <c r="A19160" t="s">
        <v>4</v>
      </c>
      <c r="B19160" t="s">
        <v>4111</v>
      </c>
      <c r="C19160" t="s">
        <v>23490</v>
      </c>
      <c r="D19160" t="str">
        <f>HYPERLINK("https://rhld.insurance.arkansas.gov/NPILookup?Npi=1386278844","1386278844")</f>
        <v>1386278844</v>
      </c>
      <c r="E19160" t="s">
        <v>17572</v>
      </c>
    </row>
    <row r="19161" spans="1:5" x14ac:dyDescent="0.25">
      <c r="A19161" t="s">
        <v>4</v>
      </c>
      <c r="B19161" t="s">
        <v>4111</v>
      </c>
      <c r="C19161" t="s">
        <v>23490</v>
      </c>
      <c r="D19161" t="str">
        <f>HYPERLINK("https://rhld.insurance.arkansas.gov/NPILookup?Npi=1386279263","1386279263")</f>
        <v>1386279263</v>
      </c>
      <c r="E19161" t="s">
        <v>20457</v>
      </c>
    </row>
    <row r="19162" spans="1:5" x14ac:dyDescent="0.25">
      <c r="A19162" t="s">
        <v>4</v>
      </c>
      <c r="B19162" t="s">
        <v>4111</v>
      </c>
      <c r="C19162" t="s">
        <v>23490</v>
      </c>
      <c r="D19162" t="str">
        <f>HYPERLINK("https://rhld.insurance.arkansas.gov/NPILookup?Npi=1386290443","1386290443")</f>
        <v>1386290443</v>
      </c>
      <c r="E19162" t="s">
        <v>22022</v>
      </c>
    </row>
    <row r="19163" spans="1:5" x14ac:dyDescent="0.25">
      <c r="A19163" t="s">
        <v>4</v>
      </c>
      <c r="B19163" t="s">
        <v>4111</v>
      </c>
      <c r="C19163" t="s">
        <v>23490</v>
      </c>
      <c r="D19163" t="str">
        <f>HYPERLINK("https://rhld.insurance.arkansas.gov/NPILookup?Npi=1386291219","1386291219")</f>
        <v>1386291219</v>
      </c>
      <c r="E19163" t="s">
        <v>22023</v>
      </c>
    </row>
    <row r="19164" spans="1:5" x14ac:dyDescent="0.25">
      <c r="A19164" t="s">
        <v>4</v>
      </c>
      <c r="B19164" t="s">
        <v>4111</v>
      </c>
      <c r="C19164" t="s">
        <v>23490</v>
      </c>
      <c r="D19164" t="str">
        <f>HYPERLINK("https://rhld.insurance.arkansas.gov/NPILookup?Npi=1386307239","1386307239")</f>
        <v>1386307239</v>
      </c>
      <c r="E19164" t="s">
        <v>22024</v>
      </c>
    </row>
    <row r="19165" spans="1:5" x14ac:dyDescent="0.25">
      <c r="A19165" t="s">
        <v>4</v>
      </c>
      <c r="B19165" t="s">
        <v>4111</v>
      </c>
      <c r="C19165" t="s">
        <v>23490</v>
      </c>
      <c r="D19165" t="str">
        <f>HYPERLINK("https://rhld.insurance.arkansas.gov/NPILookup?Npi=1386360121","1386360121")</f>
        <v>1386360121</v>
      </c>
      <c r="E19165" t="s">
        <v>22025</v>
      </c>
    </row>
    <row r="19166" spans="1:5" x14ac:dyDescent="0.25">
      <c r="A19166" t="s">
        <v>4</v>
      </c>
      <c r="B19166" t="s">
        <v>4111</v>
      </c>
      <c r="C19166" t="s">
        <v>23490</v>
      </c>
      <c r="D19166" t="str">
        <f>HYPERLINK("https://rhld.insurance.arkansas.gov/NPILookup?Npi=1386397651","1386397651")</f>
        <v>1386397651</v>
      </c>
      <c r="E19166" t="s">
        <v>19686</v>
      </c>
    </row>
    <row r="19167" spans="1:5" x14ac:dyDescent="0.25">
      <c r="A19167" t="s">
        <v>4</v>
      </c>
      <c r="B19167" t="s">
        <v>4111</v>
      </c>
      <c r="C19167" t="s">
        <v>23490</v>
      </c>
      <c r="D19167" t="str">
        <f>HYPERLINK("https://rhld.insurance.arkansas.gov/NPILookup?Npi=1386612042","1386612042")</f>
        <v>1386612042</v>
      </c>
      <c r="E19167" t="s">
        <v>4843</v>
      </c>
    </row>
    <row r="19168" spans="1:5" x14ac:dyDescent="0.25">
      <c r="A19168" t="s">
        <v>4</v>
      </c>
      <c r="B19168" t="s">
        <v>4111</v>
      </c>
      <c r="C19168" t="s">
        <v>23490</v>
      </c>
      <c r="D19168" t="str">
        <f>HYPERLINK("https://rhld.insurance.arkansas.gov/NPILookup?Npi=1386618254","1386618254")</f>
        <v>1386618254</v>
      </c>
      <c r="E19168" t="s">
        <v>22026</v>
      </c>
    </row>
    <row r="19169" spans="1:5" x14ac:dyDescent="0.25">
      <c r="A19169" t="s">
        <v>4</v>
      </c>
      <c r="B19169" t="s">
        <v>4111</v>
      </c>
      <c r="C19169" t="s">
        <v>23490</v>
      </c>
      <c r="D19169" t="str">
        <f>HYPERLINK("https://rhld.insurance.arkansas.gov/NPILookup?Npi=1386653723","1386653723")</f>
        <v>1386653723</v>
      </c>
      <c r="E19169" t="s">
        <v>4846</v>
      </c>
    </row>
    <row r="19170" spans="1:5" x14ac:dyDescent="0.25">
      <c r="A19170" t="s">
        <v>4</v>
      </c>
      <c r="B19170" t="s">
        <v>4111</v>
      </c>
      <c r="C19170" t="s">
        <v>23490</v>
      </c>
      <c r="D19170" t="str">
        <f>HYPERLINK("https://rhld.insurance.arkansas.gov/NPILookup?Npi=1386657922","1386657922")</f>
        <v>1386657922</v>
      </c>
      <c r="E19170" t="s">
        <v>4847</v>
      </c>
    </row>
    <row r="19171" spans="1:5" x14ac:dyDescent="0.25">
      <c r="A19171" t="s">
        <v>4</v>
      </c>
      <c r="B19171" t="s">
        <v>4111</v>
      </c>
      <c r="C19171" t="s">
        <v>23490</v>
      </c>
      <c r="D19171" t="str">
        <f>HYPERLINK("https://rhld.insurance.arkansas.gov/NPILookup?Npi=1386671352","1386671352")</f>
        <v>1386671352</v>
      </c>
      <c r="E19171" t="s">
        <v>4848</v>
      </c>
    </row>
    <row r="19172" spans="1:5" x14ac:dyDescent="0.25">
      <c r="A19172" t="s">
        <v>4</v>
      </c>
      <c r="B19172" t="s">
        <v>4111</v>
      </c>
      <c r="C19172" t="s">
        <v>23490</v>
      </c>
      <c r="D19172" t="str">
        <f>HYPERLINK("https://rhld.insurance.arkansas.gov/NPILookup?Npi=1386672756","1386672756")</f>
        <v>1386672756</v>
      </c>
      <c r="E19172" t="s">
        <v>4849</v>
      </c>
    </row>
    <row r="19173" spans="1:5" x14ac:dyDescent="0.25">
      <c r="A19173" t="s">
        <v>4</v>
      </c>
      <c r="B19173" t="s">
        <v>4111</v>
      </c>
      <c r="C19173" t="s">
        <v>23490</v>
      </c>
      <c r="D19173" t="str">
        <f>HYPERLINK("https://rhld.insurance.arkansas.gov/NPILookup?Npi=1386676583","1386676583")</f>
        <v>1386676583</v>
      </c>
      <c r="E19173" t="s">
        <v>4850</v>
      </c>
    </row>
    <row r="19174" spans="1:5" x14ac:dyDescent="0.25">
      <c r="A19174" t="s">
        <v>4</v>
      </c>
      <c r="B19174" t="s">
        <v>4111</v>
      </c>
      <c r="C19174" t="s">
        <v>23490</v>
      </c>
      <c r="D19174" t="str">
        <f>HYPERLINK("https://rhld.insurance.arkansas.gov/NPILookup?Npi=1386680528","1386680528")</f>
        <v>1386680528</v>
      </c>
      <c r="E19174" t="s">
        <v>4851</v>
      </c>
    </row>
    <row r="19175" spans="1:5" x14ac:dyDescent="0.25">
      <c r="A19175" t="s">
        <v>4</v>
      </c>
      <c r="B19175" t="s">
        <v>4111</v>
      </c>
      <c r="C19175" t="s">
        <v>23490</v>
      </c>
      <c r="D19175" t="str">
        <f>HYPERLINK("https://rhld.insurance.arkansas.gov/NPILookup?Npi=1386698231","1386698231")</f>
        <v>1386698231</v>
      </c>
      <c r="E19175" t="s">
        <v>20458</v>
      </c>
    </row>
    <row r="19176" spans="1:5" x14ac:dyDescent="0.25">
      <c r="A19176" t="s">
        <v>4</v>
      </c>
      <c r="B19176" t="s">
        <v>4111</v>
      </c>
      <c r="C19176" t="s">
        <v>23490</v>
      </c>
      <c r="D19176" t="str">
        <f>HYPERLINK("https://rhld.insurance.arkansas.gov/NPILookup?Npi=1386702660","1386702660")</f>
        <v>1386702660</v>
      </c>
      <c r="E19176" t="s">
        <v>9080</v>
      </c>
    </row>
    <row r="19177" spans="1:5" x14ac:dyDescent="0.25">
      <c r="A19177" t="s">
        <v>4</v>
      </c>
      <c r="B19177" t="s">
        <v>4111</v>
      </c>
      <c r="C19177" t="s">
        <v>23490</v>
      </c>
      <c r="D19177" t="str">
        <f>HYPERLINK("https://rhld.insurance.arkansas.gov/NPILookup?Npi=1386718849","1386718849")</f>
        <v>1386718849</v>
      </c>
      <c r="E19177" t="s">
        <v>20459</v>
      </c>
    </row>
    <row r="19178" spans="1:5" x14ac:dyDescent="0.25">
      <c r="A19178" t="s">
        <v>4</v>
      </c>
      <c r="B19178" t="s">
        <v>4111</v>
      </c>
      <c r="C19178" t="s">
        <v>23490</v>
      </c>
      <c r="D19178" t="str">
        <f>HYPERLINK("https://rhld.insurance.arkansas.gov/NPILookup?Npi=1386734945","1386734945")</f>
        <v>1386734945</v>
      </c>
      <c r="E19178" t="s">
        <v>4852</v>
      </c>
    </row>
    <row r="19179" spans="1:5" x14ac:dyDescent="0.25">
      <c r="A19179" t="s">
        <v>4</v>
      </c>
      <c r="B19179" t="s">
        <v>4111</v>
      </c>
      <c r="C19179" t="s">
        <v>23490</v>
      </c>
      <c r="D19179" t="str">
        <f>HYPERLINK("https://rhld.insurance.arkansas.gov/NPILookup?Npi=1386752400","1386752400")</f>
        <v>1386752400</v>
      </c>
      <c r="E19179" t="s">
        <v>11656</v>
      </c>
    </row>
    <row r="19180" spans="1:5" x14ac:dyDescent="0.25">
      <c r="A19180" t="s">
        <v>4</v>
      </c>
      <c r="B19180" t="s">
        <v>4111</v>
      </c>
      <c r="C19180" t="s">
        <v>23490</v>
      </c>
      <c r="D19180" t="str">
        <f>HYPERLINK("https://rhld.insurance.arkansas.gov/NPILookup?Npi=1386762854","1386762854")</f>
        <v>1386762854</v>
      </c>
      <c r="E19180" t="s">
        <v>11657</v>
      </c>
    </row>
    <row r="19181" spans="1:5" x14ac:dyDescent="0.25">
      <c r="A19181" t="s">
        <v>4</v>
      </c>
      <c r="B19181" t="s">
        <v>4111</v>
      </c>
      <c r="C19181" t="s">
        <v>23490</v>
      </c>
      <c r="D19181" t="str">
        <f>HYPERLINK("https://rhld.insurance.arkansas.gov/NPILookup?Npi=1386785871","1386785871")</f>
        <v>1386785871</v>
      </c>
      <c r="E19181" t="s">
        <v>4853</v>
      </c>
    </row>
    <row r="19182" spans="1:5" x14ac:dyDescent="0.25">
      <c r="A19182" t="s">
        <v>4</v>
      </c>
      <c r="B19182" t="s">
        <v>4111</v>
      </c>
      <c r="C19182" t="s">
        <v>23490</v>
      </c>
      <c r="D19182" t="str">
        <f>HYPERLINK("https://rhld.insurance.arkansas.gov/NPILookup?Npi=1386809218","1386809218")</f>
        <v>1386809218</v>
      </c>
      <c r="E19182" t="s">
        <v>17159</v>
      </c>
    </row>
    <row r="19183" spans="1:5" x14ac:dyDescent="0.25">
      <c r="A19183" t="s">
        <v>4</v>
      </c>
      <c r="B19183" t="s">
        <v>4111</v>
      </c>
      <c r="C19183" t="s">
        <v>23490</v>
      </c>
      <c r="D19183" t="str">
        <f>HYPERLINK("https://rhld.insurance.arkansas.gov/NPILookup?Npi=1386810448","1386810448")</f>
        <v>1386810448</v>
      </c>
      <c r="E19183" t="s">
        <v>4854</v>
      </c>
    </row>
    <row r="19184" spans="1:5" x14ac:dyDescent="0.25">
      <c r="A19184" t="s">
        <v>4</v>
      </c>
      <c r="B19184" t="s">
        <v>4111</v>
      </c>
      <c r="C19184" t="s">
        <v>23490</v>
      </c>
      <c r="D19184" t="str">
        <f>HYPERLINK("https://rhld.insurance.arkansas.gov/NPILookup?Npi=1386811461","1386811461")</f>
        <v>1386811461</v>
      </c>
      <c r="E19184" t="s">
        <v>11658</v>
      </c>
    </row>
    <row r="19185" spans="1:5" x14ac:dyDescent="0.25">
      <c r="A19185" t="s">
        <v>4</v>
      </c>
      <c r="B19185" t="s">
        <v>4111</v>
      </c>
      <c r="C19185" t="s">
        <v>23490</v>
      </c>
      <c r="D19185" t="str">
        <f>HYPERLINK("https://rhld.insurance.arkansas.gov/NPILookup?Npi=1386811800","1386811800")</f>
        <v>1386811800</v>
      </c>
      <c r="E19185" t="s">
        <v>4855</v>
      </c>
    </row>
    <row r="19186" spans="1:5" x14ac:dyDescent="0.25">
      <c r="A19186" t="s">
        <v>4</v>
      </c>
      <c r="B19186" t="s">
        <v>4111</v>
      </c>
      <c r="C19186" t="s">
        <v>23490</v>
      </c>
      <c r="D19186" t="str">
        <f>HYPERLINK("https://rhld.insurance.arkansas.gov/NPILookup?Npi=1386819373","1386819373")</f>
        <v>1386819373</v>
      </c>
      <c r="E19186" t="s">
        <v>9081</v>
      </c>
    </row>
    <row r="19187" spans="1:5" x14ac:dyDescent="0.25">
      <c r="A19187" t="s">
        <v>4</v>
      </c>
      <c r="B19187" t="s">
        <v>4111</v>
      </c>
      <c r="C19187" t="s">
        <v>23490</v>
      </c>
      <c r="D19187" t="str">
        <f>HYPERLINK("https://rhld.insurance.arkansas.gov/NPILookup?Npi=1386828622","1386828622")</f>
        <v>1386828622</v>
      </c>
      <c r="E19187" t="s">
        <v>11659</v>
      </c>
    </row>
    <row r="19188" spans="1:5" x14ac:dyDescent="0.25">
      <c r="A19188" t="s">
        <v>4</v>
      </c>
      <c r="B19188" t="s">
        <v>4111</v>
      </c>
      <c r="C19188" t="s">
        <v>23490</v>
      </c>
      <c r="D19188" t="str">
        <f>HYPERLINK("https://rhld.insurance.arkansas.gov/NPILookup?Npi=1386840924","1386840924")</f>
        <v>1386840924</v>
      </c>
      <c r="E19188" t="s">
        <v>22898</v>
      </c>
    </row>
    <row r="19189" spans="1:5" x14ac:dyDescent="0.25">
      <c r="A19189" t="s">
        <v>4</v>
      </c>
      <c r="B19189" t="s">
        <v>4111</v>
      </c>
      <c r="C19189" t="s">
        <v>23490</v>
      </c>
      <c r="D19189" t="str">
        <f>HYPERLINK("https://rhld.insurance.arkansas.gov/NPILookup?Npi=1386857084","1386857084")</f>
        <v>1386857084</v>
      </c>
      <c r="E19189" t="s">
        <v>17573</v>
      </c>
    </row>
    <row r="19190" spans="1:5" x14ac:dyDescent="0.25">
      <c r="A19190" t="s">
        <v>4</v>
      </c>
      <c r="B19190" t="s">
        <v>4111</v>
      </c>
      <c r="C19190" t="s">
        <v>23490</v>
      </c>
      <c r="D19190" t="str">
        <f>HYPERLINK("https://rhld.insurance.arkansas.gov/NPILookup?Npi=1386870525","1386870525")</f>
        <v>1386870525</v>
      </c>
      <c r="E19190" t="s">
        <v>23093</v>
      </c>
    </row>
    <row r="19191" spans="1:5" x14ac:dyDescent="0.25">
      <c r="A19191" t="s">
        <v>4</v>
      </c>
      <c r="B19191" t="s">
        <v>4111</v>
      </c>
      <c r="C19191" t="s">
        <v>23490</v>
      </c>
      <c r="D19191" t="str">
        <f>HYPERLINK("https://rhld.insurance.arkansas.gov/NPILookup?Npi=1386900561","1386900561")</f>
        <v>1386900561</v>
      </c>
      <c r="E19191" t="s">
        <v>16081</v>
      </c>
    </row>
    <row r="19192" spans="1:5" x14ac:dyDescent="0.25">
      <c r="A19192" t="s">
        <v>4</v>
      </c>
      <c r="B19192" t="s">
        <v>4111</v>
      </c>
      <c r="C19192" t="s">
        <v>23490</v>
      </c>
      <c r="D19192" t="str">
        <f>HYPERLINK("https://rhld.insurance.arkansas.gov/NPILookup?Npi=1386902856","1386902856")</f>
        <v>1386902856</v>
      </c>
      <c r="E19192" t="s">
        <v>11660</v>
      </c>
    </row>
    <row r="19193" spans="1:5" x14ac:dyDescent="0.25">
      <c r="A19193" t="s">
        <v>4</v>
      </c>
      <c r="B19193" t="s">
        <v>4111</v>
      </c>
      <c r="C19193" t="s">
        <v>23490</v>
      </c>
      <c r="D19193" t="str">
        <f>HYPERLINK("https://rhld.insurance.arkansas.gov/NPILookup?Npi=1386949006","1386949006")</f>
        <v>1386949006</v>
      </c>
      <c r="E19193" t="s">
        <v>11661</v>
      </c>
    </row>
    <row r="19194" spans="1:5" x14ac:dyDescent="0.25">
      <c r="A19194" t="s">
        <v>4</v>
      </c>
      <c r="B19194" t="s">
        <v>4111</v>
      </c>
      <c r="C19194" t="s">
        <v>23490</v>
      </c>
      <c r="D19194" t="str">
        <f>HYPERLINK("https://rhld.insurance.arkansas.gov/NPILookup?Npi=1386950590","1386950590")</f>
        <v>1386950590</v>
      </c>
      <c r="E19194" t="s">
        <v>20460</v>
      </c>
    </row>
    <row r="19195" spans="1:5" x14ac:dyDescent="0.25">
      <c r="A19195" t="s">
        <v>4</v>
      </c>
      <c r="B19195" t="s">
        <v>4111</v>
      </c>
      <c r="C19195" t="s">
        <v>23490</v>
      </c>
      <c r="D19195" t="str">
        <f>HYPERLINK("https://rhld.insurance.arkansas.gov/NPILookup?Npi=1396002333","1396002333")</f>
        <v>1396002333</v>
      </c>
      <c r="E19195" t="s">
        <v>4856</v>
      </c>
    </row>
    <row r="19196" spans="1:5" x14ac:dyDescent="0.25">
      <c r="A19196" t="s">
        <v>4</v>
      </c>
      <c r="B19196" t="s">
        <v>4111</v>
      </c>
      <c r="C19196" t="s">
        <v>23490</v>
      </c>
      <c r="D19196" t="str">
        <f>HYPERLINK("https://rhld.insurance.arkansas.gov/NPILookup?Npi=1396021267","1396021267")</f>
        <v>1396021267</v>
      </c>
      <c r="E19196" t="s">
        <v>22027</v>
      </c>
    </row>
    <row r="19197" spans="1:5" x14ac:dyDescent="0.25">
      <c r="A19197" t="s">
        <v>4</v>
      </c>
      <c r="B19197" t="s">
        <v>4111</v>
      </c>
      <c r="C19197" t="s">
        <v>23490</v>
      </c>
      <c r="D19197" t="str">
        <f>HYPERLINK("https://rhld.insurance.arkansas.gov/NPILookup?Npi=1396026431","1396026431")</f>
        <v>1396026431</v>
      </c>
      <c r="E19197" t="s">
        <v>17574</v>
      </c>
    </row>
    <row r="19198" spans="1:5" x14ac:dyDescent="0.25">
      <c r="A19198" t="s">
        <v>4</v>
      </c>
      <c r="B19198" t="s">
        <v>4111</v>
      </c>
      <c r="C19198" t="s">
        <v>23490</v>
      </c>
      <c r="D19198" t="str">
        <f>HYPERLINK("https://rhld.insurance.arkansas.gov/NPILookup?Npi=1396053526","1396053526")</f>
        <v>1396053526</v>
      </c>
      <c r="E19198" t="s">
        <v>4857</v>
      </c>
    </row>
    <row r="19199" spans="1:5" x14ac:dyDescent="0.25">
      <c r="A19199" t="s">
        <v>4</v>
      </c>
      <c r="B19199" t="s">
        <v>4111</v>
      </c>
      <c r="C19199" t="s">
        <v>23490</v>
      </c>
      <c r="D19199" t="str">
        <f>HYPERLINK("https://rhld.insurance.arkansas.gov/NPILookup?Npi=1396059374","1396059374")</f>
        <v>1396059374</v>
      </c>
      <c r="E19199" t="s">
        <v>14054</v>
      </c>
    </row>
    <row r="19200" spans="1:5" x14ac:dyDescent="0.25">
      <c r="A19200" t="s">
        <v>4</v>
      </c>
      <c r="B19200" t="s">
        <v>4111</v>
      </c>
      <c r="C19200" t="s">
        <v>23490</v>
      </c>
      <c r="D19200" t="str">
        <f>HYPERLINK("https://rhld.insurance.arkansas.gov/NPILookup?Npi=1396074886","1396074886")</f>
        <v>1396074886</v>
      </c>
      <c r="E19200" t="s">
        <v>9082</v>
      </c>
    </row>
    <row r="19201" spans="1:5" x14ac:dyDescent="0.25">
      <c r="A19201" t="s">
        <v>4</v>
      </c>
      <c r="B19201" t="s">
        <v>4111</v>
      </c>
      <c r="C19201" t="s">
        <v>23490</v>
      </c>
      <c r="D19201" t="str">
        <f>HYPERLINK("https://rhld.insurance.arkansas.gov/NPILookup?Npi=1396084596","1396084596")</f>
        <v>1396084596</v>
      </c>
      <c r="E19201" t="s">
        <v>11662</v>
      </c>
    </row>
    <row r="19202" spans="1:5" x14ac:dyDescent="0.25">
      <c r="A19202" t="s">
        <v>4</v>
      </c>
      <c r="B19202" t="s">
        <v>4111</v>
      </c>
      <c r="C19202" t="s">
        <v>23490</v>
      </c>
      <c r="D19202" t="str">
        <f>HYPERLINK("https://rhld.insurance.arkansas.gov/NPILookup?Npi=1396092474","1396092474")</f>
        <v>1396092474</v>
      </c>
      <c r="E19202" t="s">
        <v>4858</v>
      </c>
    </row>
    <row r="19203" spans="1:5" x14ac:dyDescent="0.25">
      <c r="A19203" t="s">
        <v>4</v>
      </c>
      <c r="B19203" t="s">
        <v>4111</v>
      </c>
      <c r="C19203" t="s">
        <v>23490</v>
      </c>
      <c r="D19203" t="str">
        <f>HYPERLINK("https://rhld.insurance.arkansas.gov/NPILookup?Npi=1396116653","1396116653")</f>
        <v>1396116653</v>
      </c>
      <c r="E19203" t="s">
        <v>17575</v>
      </c>
    </row>
    <row r="19204" spans="1:5" x14ac:dyDescent="0.25">
      <c r="A19204" t="s">
        <v>4</v>
      </c>
      <c r="B19204" t="s">
        <v>4111</v>
      </c>
      <c r="C19204" t="s">
        <v>23490</v>
      </c>
      <c r="D19204" t="str">
        <f>HYPERLINK("https://rhld.insurance.arkansas.gov/NPILookup?Npi=1396134474","1396134474")</f>
        <v>1396134474</v>
      </c>
      <c r="E19204" t="s">
        <v>11663</v>
      </c>
    </row>
    <row r="19205" spans="1:5" x14ac:dyDescent="0.25">
      <c r="A19205" t="s">
        <v>4</v>
      </c>
      <c r="B19205" t="s">
        <v>4111</v>
      </c>
      <c r="C19205" t="s">
        <v>23490</v>
      </c>
      <c r="D19205" t="str">
        <f>HYPERLINK("https://rhld.insurance.arkansas.gov/NPILookup?Npi=1396139275","1396139275")</f>
        <v>1396139275</v>
      </c>
      <c r="E19205" t="s">
        <v>11664</v>
      </c>
    </row>
    <row r="19206" spans="1:5" x14ac:dyDescent="0.25">
      <c r="A19206" t="s">
        <v>4</v>
      </c>
      <c r="B19206" t="s">
        <v>4111</v>
      </c>
      <c r="C19206" t="s">
        <v>23490</v>
      </c>
      <c r="D19206" t="str">
        <f>HYPERLINK("https://rhld.insurance.arkansas.gov/NPILookup?Npi=1396139366","1396139366")</f>
        <v>1396139366</v>
      </c>
      <c r="E19206" t="s">
        <v>18977</v>
      </c>
    </row>
    <row r="19207" spans="1:5" x14ac:dyDescent="0.25">
      <c r="A19207" t="s">
        <v>4</v>
      </c>
      <c r="B19207" t="s">
        <v>4111</v>
      </c>
      <c r="C19207" t="s">
        <v>23490</v>
      </c>
      <c r="D19207" t="str">
        <f>HYPERLINK("https://rhld.insurance.arkansas.gov/NPILookup?Npi=1396144986","1396144986")</f>
        <v>1396144986</v>
      </c>
      <c r="E19207" t="s">
        <v>11665</v>
      </c>
    </row>
    <row r="19208" spans="1:5" x14ac:dyDescent="0.25">
      <c r="A19208" t="s">
        <v>4</v>
      </c>
      <c r="B19208" t="s">
        <v>4111</v>
      </c>
      <c r="C19208" t="s">
        <v>23490</v>
      </c>
      <c r="D19208" t="str">
        <f>HYPERLINK("https://rhld.insurance.arkansas.gov/NPILookup?Npi=1396149951","1396149951")</f>
        <v>1396149951</v>
      </c>
      <c r="E19208" t="s">
        <v>9083</v>
      </c>
    </row>
    <row r="19209" spans="1:5" x14ac:dyDescent="0.25">
      <c r="A19209" t="s">
        <v>4</v>
      </c>
      <c r="B19209" t="s">
        <v>4111</v>
      </c>
      <c r="C19209" t="s">
        <v>23490</v>
      </c>
      <c r="D19209" t="str">
        <f>HYPERLINK("https://rhld.insurance.arkansas.gov/NPILookup?Npi=1396158564","1396158564")</f>
        <v>1396158564</v>
      </c>
      <c r="E19209" t="s">
        <v>4859</v>
      </c>
    </row>
    <row r="19210" spans="1:5" x14ac:dyDescent="0.25">
      <c r="A19210" t="s">
        <v>4</v>
      </c>
      <c r="B19210" t="s">
        <v>4111</v>
      </c>
      <c r="C19210" t="s">
        <v>23490</v>
      </c>
      <c r="D19210" t="str">
        <f>HYPERLINK("https://rhld.insurance.arkansas.gov/NPILookup?Npi=1396177531","1396177531")</f>
        <v>1396177531</v>
      </c>
      <c r="E19210" t="s">
        <v>13130</v>
      </c>
    </row>
    <row r="19211" spans="1:5" x14ac:dyDescent="0.25">
      <c r="A19211" t="s">
        <v>4</v>
      </c>
      <c r="B19211" t="s">
        <v>4111</v>
      </c>
      <c r="C19211" t="s">
        <v>23490</v>
      </c>
      <c r="D19211" t="str">
        <f>HYPERLINK("https://rhld.insurance.arkansas.gov/NPILookup?Npi=1396181491","1396181491")</f>
        <v>1396181491</v>
      </c>
      <c r="E19211" t="s">
        <v>16082</v>
      </c>
    </row>
    <row r="19212" spans="1:5" x14ac:dyDescent="0.25">
      <c r="A19212" t="s">
        <v>4</v>
      </c>
      <c r="B19212" t="s">
        <v>4111</v>
      </c>
      <c r="C19212" t="s">
        <v>23490</v>
      </c>
      <c r="D19212" t="str">
        <f>HYPERLINK("https://rhld.insurance.arkansas.gov/NPILookup?Npi=1396183091","1396183091")</f>
        <v>1396183091</v>
      </c>
      <c r="E19212" t="s">
        <v>9084</v>
      </c>
    </row>
    <row r="19213" spans="1:5" x14ac:dyDescent="0.25">
      <c r="A19213" t="s">
        <v>4</v>
      </c>
      <c r="B19213" t="s">
        <v>4111</v>
      </c>
      <c r="C19213" t="s">
        <v>23490</v>
      </c>
      <c r="D19213" t="str">
        <f>HYPERLINK("https://rhld.insurance.arkansas.gov/NPILookup?Npi=1396195723","1396195723")</f>
        <v>1396195723</v>
      </c>
      <c r="E19213" t="s">
        <v>6975</v>
      </c>
    </row>
    <row r="19214" spans="1:5" x14ac:dyDescent="0.25">
      <c r="A19214" t="s">
        <v>4</v>
      </c>
      <c r="B19214" t="s">
        <v>4111</v>
      </c>
      <c r="C19214" t="s">
        <v>23490</v>
      </c>
      <c r="D19214" t="str">
        <f>HYPERLINK("https://rhld.insurance.arkansas.gov/NPILookup?Npi=1396200978","1396200978")</f>
        <v>1396200978</v>
      </c>
      <c r="E19214" t="s">
        <v>17973</v>
      </c>
    </row>
    <row r="19215" spans="1:5" x14ac:dyDescent="0.25">
      <c r="A19215" t="s">
        <v>4</v>
      </c>
      <c r="B19215" t="s">
        <v>4111</v>
      </c>
      <c r="C19215" t="s">
        <v>23490</v>
      </c>
      <c r="D19215" t="str">
        <f>HYPERLINK("https://rhld.insurance.arkansas.gov/NPILookup?Npi=1396220836","1396220836")</f>
        <v>1396220836</v>
      </c>
      <c r="E19215" t="s">
        <v>16083</v>
      </c>
    </row>
    <row r="19216" spans="1:5" x14ac:dyDescent="0.25">
      <c r="A19216" t="s">
        <v>4</v>
      </c>
      <c r="B19216" t="s">
        <v>4111</v>
      </c>
      <c r="C19216" t="s">
        <v>23490</v>
      </c>
      <c r="D19216" t="str">
        <f>HYPERLINK("https://rhld.insurance.arkansas.gov/NPILookup?Npi=1396224002","1396224002")</f>
        <v>1396224002</v>
      </c>
      <c r="E19216" t="s">
        <v>23094</v>
      </c>
    </row>
    <row r="19217" spans="1:5" x14ac:dyDescent="0.25">
      <c r="A19217" t="s">
        <v>4</v>
      </c>
      <c r="B19217" t="s">
        <v>4111</v>
      </c>
      <c r="C19217" t="s">
        <v>23490</v>
      </c>
      <c r="D19217" t="str">
        <f>HYPERLINK("https://rhld.insurance.arkansas.gov/NPILookup?Npi=1396247375","1396247375")</f>
        <v>1396247375</v>
      </c>
      <c r="E19217" t="s">
        <v>17160</v>
      </c>
    </row>
    <row r="19218" spans="1:5" x14ac:dyDescent="0.25">
      <c r="A19218" t="s">
        <v>4</v>
      </c>
      <c r="B19218" t="s">
        <v>4111</v>
      </c>
      <c r="C19218" t="s">
        <v>23490</v>
      </c>
      <c r="D19218" t="str">
        <f>HYPERLINK("https://rhld.insurance.arkansas.gov/NPILookup?Npi=1396247474","1396247474")</f>
        <v>1396247474</v>
      </c>
      <c r="E19218" t="s">
        <v>17576</v>
      </c>
    </row>
    <row r="19219" spans="1:5" x14ac:dyDescent="0.25">
      <c r="A19219" t="s">
        <v>4</v>
      </c>
      <c r="B19219" t="s">
        <v>4111</v>
      </c>
      <c r="C19219" t="s">
        <v>23490</v>
      </c>
      <c r="D19219" t="str">
        <f>HYPERLINK("https://rhld.insurance.arkansas.gov/NPILookup?Npi=1396256061","1396256061")</f>
        <v>1396256061</v>
      </c>
      <c r="E19219" t="s">
        <v>13131</v>
      </c>
    </row>
    <row r="19220" spans="1:5" x14ac:dyDescent="0.25">
      <c r="A19220" t="s">
        <v>4</v>
      </c>
      <c r="B19220" t="s">
        <v>4111</v>
      </c>
      <c r="C19220" t="s">
        <v>23490</v>
      </c>
      <c r="D19220" t="str">
        <f>HYPERLINK("https://rhld.insurance.arkansas.gov/NPILookup?Npi=1396261475","1396261475")</f>
        <v>1396261475</v>
      </c>
      <c r="E19220" t="s">
        <v>17577</v>
      </c>
    </row>
    <row r="19221" spans="1:5" x14ac:dyDescent="0.25">
      <c r="A19221" t="s">
        <v>4</v>
      </c>
      <c r="B19221" t="s">
        <v>4111</v>
      </c>
      <c r="C19221" t="s">
        <v>23490</v>
      </c>
      <c r="D19221" t="str">
        <f>HYPERLINK("https://rhld.insurance.arkansas.gov/NPILookup?Npi=1396273850","1396273850")</f>
        <v>1396273850</v>
      </c>
      <c r="E19221" t="s">
        <v>14055</v>
      </c>
    </row>
    <row r="19222" spans="1:5" x14ac:dyDescent="0.25">
      <c r="A19222" t="s">
        <v>4</v>
      </c>
      <c r="B19222" t="s">
        <v>4111</v>
      </c>
      <c r="C19222" t="s">
        <v>23490</v>
      </c>
      <c r="D19222" t="str">
        <f>HYPERLINK("https://rhld.insurance.arkansas.gov/NPILookup?Npi=1396283875","1396283875")</f>
        <v>1396283875</v>
      </c>
      <c r="E19222" t="s">
        <v>16084</v>
      </c>
    </row>
    <row r="19223" spans="1:5" x14ac:dyDescent="0.25">
      <c r="A19223" t="s">
        <v>4</v>
      </c>
      <c r="B19223" t="s">
        <v>4111</v>
      </c>
      <c r="C19223" t="s">
        <v>23490</v>
      </c>
      <c r="D19223" t="str">
        <f>HYPERLINK("https://rhld.insurance.arkansas.gov/NPILookup?Npi=1396301495","1396301495")</f>
        <v>1396301495</v>
      </c>
      <c r="E19223" t="s">
        <v>21129</v>
      </c>
    </row>
    <row r="19224" spans="1:5" x14ac:dyDescent="0.25">
      <c r="A19224" t="s">
        <v>4</v>
      </c>
      <c r="B19224" t="s">
        <v>4111</v>
      </c>
      <c r="C19224" t="s">
        <v>23490</v>
      </c>
      <c r="D19224" t="str">
        <f>HYPERLINK("https://rhld.insurance.arkansas.gov/NPILookup?Npi=1396317558","1396317558")</f>
        <v>1396317558</v>
      </c>
      <c r="E19224" t="s">
        <v>22028</v>
      </c>
    </row>
    <row r="19225" spans="1:5" x14ac:dyDescent="0.25">
      <c r="A19225" t="s">
        <v>4</v>
      </c>
      <c r="B19225" t="s">
        <v>4111</v>
      </c>
      <c r="C19225" t="s">
        <v>23490</v>
      </c>
      <c r="D19225" t="str">
        <f>HYPERLINK("https://rhld.insurance.arkansas.gov/NPILookup?Npi=1396320321","1396320321")</f>
        <v>1396320321</v>
      </c>
      <c r="E19225" t="s">
        <v>22029</v>
      </c>
    </row>
    <row r="19226" spans="1:5" x14ac:dyDescent="0.25">
      <c r="A19226" t="s">
        <v>4</v>
      </c>
      <c r="B19226" t="s">
        <v>4111</v>
      </c>
      <c r="C19226" t="s">
        <v>23490</v>
      </c>
      <c r="D19226" t="str">
        <f>HYPERLINK("https://rhld.insurance.arkansas.gov/NPILookup?Npi=1396381927","1396381927")</f>
        <v>1396381927</v>
      </c>
      <c r="E19226" t="s">
        <v>22030</v>
      </c>
    </row>
    <row r="19227" spans="1:5" x14ac:dyDescent="0.25">
      <c r="A19227" t="s">
        <v>4</v>
      </c>
      <c r="B19227" t="s">
        <v>4111</v>
      </c>
      <c r="C19227" t="s">
        <v>23490</v>
      </c>
      <c r="D19227" t="str">
        <f>HYPERLINK("https://rhld.insurance.arkansas.gov/NPILookup?Npi=1396464194","1396464194")</f>
        <v>1396464194</v>
      </c>
      <c r="E19227" t="s">
        <v>22031</v>
      </c>
    </row>
    <row r="19228" spans="1:5" x14ac:dyDescent="0.25">
      <c r="A19228" t="s">
        <v>4</v>
      </c>
      <c r="B19228" t="s">
        <v>4111</v>
      </c>
      <c r="C19228" t="s">
        <v>23490</v>
      </c>
      <c r="D19228" t="str">
        <f>HYPERLINK("https://rhld.insurance.arkansas.gov/NPILookup?Npi=1396471298","1396471298")</f>
        <v>1396471298</v>
      </c>
      <c r="E19228" t="s">
        <v>22032</v>
      </c>
    </row>
    <row r="19229" spans="1:5" x14ac:dyDescent="0.25">
      <c r="A19229" t="s">
        <v>4</v>
      </c>
      <c r="B19229" t="s">
        <v>4111</v>
      </c>
      <c r="C19229" t="s">
        <v>23490</v>
      </c>
      <c r="D19229" t="str">
        <f>HYPERLINK("https://rhld.insurance.arkansas.gov/NPILookup?Npi=1396483822","1396483822")</f>
        <v>1396483822</v>
      </c>
      <c r="E19229" t="s">
        <v>20461</v>
      </c>
    </row>
    <row r="19230" spans="1:5" x14ac:dyDescent="0.25">
      <c r="A19230" t="s">
        <v>4</v>
      </c>
      <c r="B19230" t="s">
        <v>4111</v>
      </c>
      <c r="C19230" t="s">
        <v>23490</v>
      </c>
      <c r="D19230" t="str">
        <f>HYPERLINK("https://rhld.insurance.arkansas.gov/NPILookup?Npi=1396486353","1396486353")</f>
        <v>1396486353</v>
      </c>
      <c r="E19230" t="s">
        <v>22033</v>
      </c>
    </row>
    <row r="19231" spans="1:5" x14ac:dyDescent="0.25">
      <c r="A19231" t="s">
        <v>4</v>
      </c>
      <c r="B19231" t="s">
        <v>4111</v>
      </c>
      <c r="C19231" t="s">
        <v>23490</v>
      </c>
      <c r="D19231" t="str">
        <f>HYPERLINK("https://rhld.insurance.arkansas.gov/NPILookup?Npi=1396492393","1396492393")</f>
        <v>1396492393</v>
      </c>
      <c r="E19231" t="s">
        <v>22034</v>
      </c>
    </row>
    <row r="19232" spans="1:5" x14ac:dyDescent="0.25">
      <c r="A19232" t="s">
        <v>4</v>
      </c>
      <c r="B19232" t="s">
        <v>4111</v>
      </c>
      <c r="C19232" t="s">
        <v>23490</v>
      </c>
      <c r="D19232" t="str">
        <f>HYPERLINK("https://rhld.insurance.arkansas.gov/NPILookup?Npi=1396736401","1396736401")</f>
        <v>1396736401</v>
      </c>
      <c r="E19232" t="s">
        <v>11666</v>
      </c>
    </row>
    <row r="19233" spans="1:5" x14ac:dyDescent="0.25">
      <c r="A19233" t="s">
        <v>4</v>
      </c>
      <c r="B19233" t="s">
        <v>4111</v>
      </c>
      <c r="C19233" t="s">
        <v>23490</v>
      </c>
      <c r="D19233" t="str">
        <f>HYPERLINK("https://rhld.insurance.arkansas.gov/NPILookup?Npi=1396742706","1396742706")</f>
        <v>1396742706</v>
      </c>
      <c r="E19233" t="s">
        <v>4860</v>
      </c>
    </row>
    <row r="19234" spans="1:5" x14ac:dyDescent="0.25">
      <c r="A19234" t="s">
        <v>4</v>
      </c>
      <c r="B19234" t="s">
        <v>4111</v>
      </c>
      <c r="C19234" t="s">
        <v>23490</v>
      </c>
      <c r="D19234" t="str">
        <f>HYPERLINK("https://rhld.insurance.arkansas.gov/NPILookup?Npi=1396745329","1396745329")</f>
        <v>1396745329</v>
      </c>
      <c r="E19234" t="s">
        <v>4861</v>
      </c>
    </row>
    <row r="19235" spans="1:5" x14ac:dyDescent="0.25">
      <c r="A19235" t="s">
        <v>4</v>
      </c>
      <c r="B19235" t="s">
        <v>4111</v>
      </c>
      <c r="C19235" t="s">
        <v>23490</v>
      </c>
      <c r="D19235" t="str">
        <f>HYPERLINK("https://rhld.insurance.arkansas.gov/NPILookup?Npi=1396751954","1396751954")</f>
        <v>1396751954</v>
      </c>
      <c r="E19235" t="s">
        <v>4862</v>
      </c>
    </row>
    <row r="19236" spans="1:5" x14ac:dyDescent="0.25">
      <c r="A19236" t="s">
        <v>4</v>
      </c>
      <c r="B19236" t="s">
        <v>4111</v>
      </c>
      <c r="C19236" t="s">
        <v>23490</v>
      </c>
      <c r="D19236" t="str">
        <f>HYPERLINK("https://rhld.insurance.arkansas.gov/NPILookup?Npi=1396757860","1396757860")</f>
        <v>1396757860</v>
      </c>
      <c r="E19236" t="s">
        <v>16085</v>
      </c>
    </row>
    <row r="19237" spans="1:5" x14ac:dyDescent="0.25">
      <c r="A19237" t="s">
        <v>4</v>
      </c>
      <c r="B19237" t="s">
        <v>4111</v>
      </c>
      <c r="C19237" t="s">
        <v>23490</v>
      </c>
      <c r="D19237" t="str">
        <f>HYPERLINK("https://rhld.insurance.arkansas.gov/NPILookup?Npi=1396762977","1396762977")</f>
        <v>1396762977</v>
      </c>
      <c r="E19237" t="s">
        <v>4863</v>
      </c>
    </row>
    <row r="19238" spans="1:5" x14ac:dyDescent="0.25">
      <c r="A19238" t="s">
        <v>4</v>
      </c>
      <c r="B19238" t="s">
        <v>4111</v>
      </c>
      <c r="C19238" t="s">
        <v>23490</v>
      </c>
      <c r="D19238" t="str">
        <f>HYPERLINK("https://rhld.insurance.arkansas.gov/NPILookup?Npi=1396779336","1396779336")</f>
        <v>1396779336</v>
      </c>
      <c r="E19238" t="s">
        <v>9085</v>
      </c>
    </row>
    <row r="19239" spans="1:5" x14ac:dyDescent="0.25">
      <c r="A19239" t="s">
        <v>4</v>
      </c>
      <c r="B19239" t="s">
        <v>4111</v>
      </c>
      <c r="C19239" t="s">
        <v>23490</v>
      </c>
      <c r="D19239" t="str">
        <f>HYPERLINK("https://rhld.insurance.arkansas.gov/NPILookup?Npi=1396781399","1396781399")</f>
        <v>1396781399</v>
      </c>
      <c r="E19239" t="s">
        <v>22035</v>
      </c>
    </row>
    <row r="19240" spans="1:5" x14ac:dyDescent="0.25">
      <c r="A19240" t="s">
        <v>4</v>
      </c>
      <c r="B19240" t="s">
        <v>4111</v>
      </c>
      <c r="C19240" t="s">
        <v>23490</v>
      </c>
      <c r="D19240" t="str">
        <f>HYPERLINK("https://rhld.insurance.arkansas.gov/NPILookup?Npi=1396786075","1396786075")</f>
        <v>1396786075</v>
      </c>
      <c r="E19240" t="s">
        <v>4864</v>
      </c>
    </row>
    <row r="19241" spans="1:5" x14ac:dyDescent="0.25">
      <c r="A19241" t="s">
        <v>4</v>
      </c>
      <c r="B19241" t="s">
        <v>4111</v>
      </c>
      <c r="C19241" t="s">
        <v>23490</v>
      </c>
      <c r="D19241" t="str">
        <f>HYPERLINK("https://rhld.insurance.arkansas.gov/NPILookup?Npi=1396797247","1396797247")</f>
        <v>1396797247</v>
      </c>
      <c r="E19241" t="s">
        <v>4865</v>
      </c>
    </row>
    <row r="19242" spans="1:5" x14ac:dyDescent="0.25">
      <c r="A19242" t="s">
        <v>4</v>
      </c>
      <c r="B19242" t="s">
        <v>4111</v>
      </c>
      <c r="C19242" t="s">
        <v>23490</v>
      </c>
      <c r="D19242" t="str">
        <f>HYPERLINK("https://rhld.insurance.arkansas.gov/NPILookup?Npi=1396808044","1396808044")</f>
        <v>1396808044</v>
      </c>
      <c r="E19242" t="s">
        <v>4866</v>
      </c>
    </row>
    <row r="19243" spans="1:5" x14ac:dyDescent="0.25">
      <c r="A19243" t="s">
        <v>4</v>
      </c>
      <c r="B19243" t="s">
        <v>4111</v>
      </c>
      <c r="C19243" t="s">
        <v>23490</v>
      </c>
      <c r="D19243" t="str">
        <f>HYPERLINK("https://rhld.insurance.arkansas.gov/NPILookup?Npi=1396815627","1396815627")</f>
        <v>1396815627</v>
      </c>
      <c r="E19243" t="s">
        <v>4867</v>
      </c>
    </row>
    <row r="19244" spans="1:5" x14ac:dyDescent="0.25">
      <c r="A19244" t="s">
        <v>4</v>
      </c>
      <c r="B19244" t="s">
        <v>4111</v>
      </c>
      <c r="C19244" t="s">
        <v>23490</v>
      </c>
      <c r="D19244" t="str">
        <f>HYPERLINK("https://rhld.insurance.arkansas.gov/NPILookup?Npi=1396820338","1396820338")</f>
        <v>1396820338</v>
      </c>
      <c r="E19244" t="s">
        <v>20462</v>
      </c>
    </row>
    <row r="19245" spans="1:5" x14ac:dyDescent="0.25">
      <c r="A19245" t="s">
        <v>4</v>
      </c>
      <c r="B19245" t="s">
        <v>4111</v>
      </c>
      <c r="C19245" t="s">
        <v>23490</v>
      </c>
      <c r="D19245" t="str">
        <f>HYPERLINK("https://rhld.insurance.arkansas.gov/NPILookup?Npi=1396822292","1396822292")</f>
        <v>1396822292</v>
      </c>
      <c r="E19245" t="s">
        <v>4868</v>
      </c>
    </row>
    <row r="19246" spans="1:5" x14ac:dyDescent="0.25">
      <c r="A19246" t="s">
        <v>4</v>
      </c>
      <c r="B19246" t="s">
        <v>4111</v>
      </c>
      <c r="C19246" t="s">
        <v>23490</v>
      </c>
      <c r="D19246" t="str">
        <f>HYPERLINK("https://rhld.insurance.arkansas.gov/NPILookup?Npi=1396836409","1396836409")</f>
        <v>1396836409</v>
      </c>
      <c r="E19246" t="s">
        <v>4869</v>
      </c>
    </row>
    <row r="19247" spans="1:5" x14ac:dyDescent="0.25">
      <c r="A19247" t="s">
        <v>4</v>
      </c>
      <c r="B19247" t="s">
        <v>4111</v>
      </c>
      <c r="C19247" t="s">
        <v>23490</v>
      </c>
      <c r="D19247" t="str">
        <f>HYPERLINK("https://rhld.insurance.arkansas.gov/NPILookup?Npi=1396841565","1396841565")</f>
        <v>1396841565</v>
      </c>
      <c r="E19247" t="s">
        <v>4870</v>
      </c>
    </row>
    <row r="19248" spans="1:5" x14ac:dyDescent="0.25">
      <c r="A19248" t="s">
        <v>4</v>
      </c>
      <c r="B19248" t="s">
        <v>4111</v>
      </c>
      <c r="C19248" t="s">
        <v>23490</v>
      </c>
      <c r="D19248" t="str">
        <f>HYPERLINK("https://rhld.insurance.arkansas.gov/NPILookup?Npi=1396870721","1396870721")</f>
        <v>1396870721</v>
      </c>
      <c r="E19248" t="s">
        <v>4871</v>
      </c>
    </row>
    <row r="19249" spans="1:5" x14ac:dyDescent="0.25">
      <c r="A19249" t="s">
        <v>4</v>
      </c>
      <c r="B19249" t="s">
        <v>4111</v>
      </c>
      <c r="C19249" t="s">
        <v>23490</v>
      </c>
      <c r="D19249" t="str">
        <f>HYPERLINK("https://rhld.insurance.arkansas.gov/NPILookup?Npi=1396896320","1396896320")</f>
        <v>1396896320</v>
      </c>
      <c r="E19249" t="s">
        <v>4872</v>
      </c>
    </row>
    <row r="19250" spans="1:5" x14ac:dyDescent="0.25">
      <c r="A19250" t="s">
        <v>4</v>
      </c>
      <c r="B19250" t="s">
        <v>4111</v>
      </c>
      <c r="C19250" t="s">
        <v>23490</v>
      </c>
      <c r="D19250" t="str">
        <f>HYPERLINK("https://rhld.insurance.arkansas.gov/NPILookup?Npi=1396910360","1396910360")</f>
        <v>1396910360</v>
      </c>
      <c r="E19250" t="s">
        <v>11667</v>
      </c>
    </row>
    <row r="19251" spans="1:5" x14ac:dyDescent="0.25">
      <c r="A19251" t="s">
        <v>4</v>
      </c>
      <c r="B19251" t="s">
        <v>4111</v>
      </c>
      <c r="C19251" t="s">
        <v>23490</v>
      </c>
      <c r="D19251" t="str">
        <f>HYPERLINK("https://rhld.insurance.arkansas.gov/NPILookup?Npi=1396941282","1396941282")</f>
        <v>1396941282</v>
      </c>
      <c r="E19251" t="s">
        <v>9086</v>
      </c>
    </row>
    <row r="19252" spans="1:5" x14ac:dyDescent="0.25">
      <c r="A19252" t="s">
        <v>4</v>
      </c>
      <c r="B19252" t="s">
        <v>4111</v>
      </c>
      <c r="C19252" t="s">
        <v>23490</v>
      </c>
      <c r="D19252" t="str">
        <f>HYPERLINK("https://rhld.insurance.arkansas.gov/NPILookup?Npi=1396949517","1396949517")</f>
        <v>1396949517</v>
      </c>
      <c r="E19252" t="s">
        <v>4873</v>
      </c>
    </row>
    <row r="19253" spans="1:5" x14ac:dyDescent="0.25">
      <c r="A19253" t="s">
        <v>4</v>
      </c>
      <c r="B19253" t="s">
        <v>4111</v>
      </c>
      <c r="C19253" t="s">
        <v>23490</v>
      </c>
      <c r="D19253" t="str">
        <f>HYPERLINK("https://rhld.insurance.arkansas.gov/NPILookup?Npi=1396969440","1396969440")</f>
        <v>1396969440</v>
      </c>
      <c r="E19253" t="s">
        <v>4874</v>
      </c>
    </row>
    <row r="19254" spans="1:5" x14ac:dyDescent="0.25">
      <c r="A19254" t="s">
        <v>4</v>
      </c>
      <c r="B19254" t="s">
        <v>4111</v>
      </c>
      <c r="C19254" t="s">
        <v>23490</v>
      </c>
      <c r="D19254" t="str">
        <f>HYPERLINK("https://rhld.insurance.arkansas.gov/NPILookup?Npi=1396998910","1396998910")</f>
        <v>1396998910</v>
      </c>
      <c r="E19254" t="s">
        <v>4875</v>
      </c>
    </row>
    <row r="19255" spans="1:5" x14ac:dyDescent="0.25">
      <c r="A19255" t="s">
        <v>4</v>
      </c>
      <c r="B19255" t="s">
        <v>4111</v>
      </c>
      <c r="C19255" t="s">
        <v>23490</v>
      </c>
      <c r="D19255" t="str">
        <f>HYPERLINK("https://rhld.insurance.arkansas.gov/NPILookup?Npi=1407000516","1407000516")</f>
        <v>1407000516</v>
      </c>
      <c r="E19255" t="s">
        <v>4876</v>
      </c>
    </row>
    <row r="19256" spans="1:5" x14ac:dyDescent="0.25">
      <c r="A19256" t="s">
        <v>4</v>
      </c>
      <c r="B19256" t="s">
        <v>4111</v>
      </c>
      <c r="C19256" t="s">
        <v>23490</v>
      </c>
      <c r="D19256" t="str">
        <f>HYPERLINK("https://rhld.insurance.arkansas.gov/NPILookup?Npi=1407006703","1407006703")</f>
        <v>1407006703</v>
      </c>
      <c r="E19256" t="s">
        <v>16086</v>
      </c>
    </row>
    <row r="19257" spans="1:5" x14ac:dyDescent="0.25">
      <c r="A19257" t="s">
        <v>4</v>
      </c>
      <c r="B19257" t="s">
        <v>4111</v>
      </c>
      <c r="C19257" t="s">
        <v>23490</v>
      </c>
      <c r="D19257" t="str">
        <f>HYPERLINK("https://rhld.insurance.arkansas.gov/NPILookup?Npi=1407007750","1407007750")</f>
        <v>1407007750</v>
      </c>
      <c r="E19257" t="s">
        <v>14056</v>
      </c>
    </row>
    <row r="19258" spans="1:5" x14ac:dyDescent="0.25">
      <c r="A19258" t="s">
        <v>4</v>
      </c>
      <c r="B19258" t="s">
        <v>4111</v>
      </c>
      <c r="C19258" t="s">
        <v>23490</v>
      </c>
      <c r="D19258" t="str">
        <f>HYPERLINK("https://rhld.insurance.arkansas.gov/NPILookup?Npi=1407010218","1407010218")</f>
        <v>1407010218</v>
      </c>
      <c r="E19258" t="s">
        <v>14057</v>
      </c>
    </row>
    <row r="19259" spans="1:5" x14ac:dyDescent="0.25">
      <c r="A19259" t="s">
        <v>4</v>
      </c>
      <c r="B19259" t="s">
        <v>4111</v>
      </c>
      <c r="C19259" t="s">
        <v>23490</v>
      </c>
      <c r="D19259" t="str">
        <f>HYPERLINK("https://rhld.insurance.arkansas.gov/NPILookup?Npi=1407018534","1407018534")</f>
        <v>1407018534</v>
      </c>
      <c r="E19259" t="s">
        <v>22036</v>
      </c>
    </row>
    <row r="19260" spans="1:5" x14ac:dyDescent="0.25">
      <c r="A19260" t="s">
        <v>4</v>
      </c>
      <c r="B19260" t="s">
        <v>4111</v>
      </c>
      <c r="C19260" t="s">
        <v>23490</v>
      </c>
      <c r="D19260" t="str">
        <f>HYPERLINK("https://rhld.insurance.arkansas.gov/NPILookup?Npi=1407021330","1407021330")</f>
        <v>1407021330</v>
      </c>
      <c r="E19260" t="s">
        <v>4877</v>
      </c>
    </row>
    <row r="19261" spans="1:5" x14ac:dyDescent="0.25">
      <c r="A19261" t="s">
        <v>4</v>
      </c>
      <c r="B19261" t="s">
        <v>4111</v>
      </c>
      <c r="C19261" t="s">
        <v>23490</v>
      </c>
      <c r="D19261" t="str">
        <f>HYPERLINK("https://rhld.insurance.arkansas.gov/NPILookup?Npi=1407029606","1407029606")</f>
        <v>1407029606</v>
      </c>
      <c r="E19261" t="s">
        <v>17578</v>
      </c>
    </row>
    <row r="19262" spans="1:5" x14ac:dyDescent="0.25">
      <c r="A19262" t="s">
        <v>4</v>
      </c>
      <c r="B19262" t="s">
        <v>4111</v>
      </c>
      <c r="C19262" t="s">
        <v>23490</v>
      </c>
      <c r="D19262" t="str">
        <f>HYPERLINK("https://rhld.insurance.arkansas.gov/NPILookup?Npi=1407048648","1407048648")</f>
        <v>1407048648</v>
      </c>
      <c r="E19262" t="s">
        <v>20463</v>
      </c>
    </row>
    <row r="19263" spans="1:5" x14ac:dyDescent="0.25">
      <c r="A19263" t="s">
        <v>4</v>
      </c>
      <c r="B19263" t="s">
        <v>4111</v>
      </c>
      <c r="C19263" t="s">
        <v>23490</v>
      </c>
      <c r="D19263" t="str">
        <f>HYPERLINK("https://rhld.insurance.arkansas.gov/NPILookup?Npi=1407078744","1407078744")</f>
        <v>1407078744</v>
      </c>
      <c r="E19263" t="s">
        <v>4878</v>
      </c>
    </row>
    <row r="19264" spans="1:5" x14ac:dyDescent="0.25">
      <c r="A19264" t="s">
        <v>4</v>
      </c>
      <c r="B19264" t="s">
        <v>4111</v>
      </c>
      <c r="C19264" t="s">
        <v>23490</v>
      </c>
      <c r="D19264" t="str">
        <f>HYPERLINK("https://rhld.insurance.arkansas.gov/NPILookup?Npi=1407080542","1407080542")</f>
        <v>1407080542</v>
      </c>
      <c r="E19264" t="s">
        <v>4879</v>
      </c>
    </row>
    <row r="19265" spans="1:5" x14ac:dyDescent="0.25">
      <c r="A19265" t="s">
        <v>4</v>
      </c>
      <c r="B19265" t="s">
        <v>4111</v>
      </c>
      <c r="C19265" t="s">
        <v>23490</v>
      </c>
      <c r="D19265" t="str">
        <f>HYPERLINK("https://rhld.insurance.arkansas.gov/NPILookup?Npi=1407087190","1407087190")</f>
        <v>1407087190</v>
      </c>
      <c r="E19265" t="s">
        <v>22037</v>
      </c>
    </row>
    <row r="19266" spans="1:5" x14ac:dyDescent="0.25">
      <c r="A19266" t="s">
        <v>4</v>
      </c>
      <c r="B19266" t="s">
        <v>4111</v>
      </c>
      <c r="C19266" t="s">
        <v>23490</v>
      </c>
      <c r="D19266" t="str">
        <f>HYPERLINK("https://rhld.insurance.arkansas.gov/NPILookup?Npi=1407098254","1407098254")</f>
        <v>1407098254</v>
      </c>
      <c r="E19266" t="s">
        <v>18338</v>
      </c>
    </row>
    <row r="19267" spans="1:5" x14ac:dyDescent="0.25">
      <c r="A19267" t="s">
        <v>4</v>
      </c>
      <c r="B19267" t="s">
        <v>4111</v>
      </c>
      <c r="C19267" t="s">
        <v>23490</v>
      </c>
      <c r="D19267" t="str">
        <f>HYPERLINK("https://rhld.insurance.arkansas.gov/NPILookup?Npi=1407109358","1407109358")</f>
        <v>1407109358</v>
      </c>
      <c r="E19267" t="s">
        <v>22038</v>
      </c>
    </row>
    <row r="19268" spans="1:5" x14ac:dyDescent="0.25">
      <c r="A19268" t="s">
        <v>4</v>
      </c>
      <c r="B19268" t="s">
        <v>4111</v>
      </c>
      <c r="C19268" t="s">
        <v>23490</v>
      </c>
      <c r="D19268" t="str">
        <f>HYPERLINK("https://rhld.insurance.arkansas.gov/NPILookup?Npi=1407115579","1407115579")</f>
        <v>1407115579</v>
      </c>
      <c r="E19268" t="s">
        <v>9087</v>
      </c>
    </row>
    <row r="19269" spans="1:5" x14ac:dyDescent="0.25">
      <c r="A19269" t="s">
        <v>4</v>
      </c>
      <c r="B19269" t="s">
        <v>4111</v>
      </c>
      <c r="C19269" t="s">
        <v>23490</v>
      </c>
      <c r="D19269" t="str">
        <f>HYPERLINK("https://rhld.insurance.arkansas.gov/NPILookup?Npi=1407120801","1407120801")</f>
        <v>1407120801</v>
      </c>
      <c r="E19269" t="s">
        <v>8940</v>
      </c>
    </row>
    <row r="19270" spans="1:5" x14ac:dyDescent="0.25">
      <c r="A19270" t="s">
        <v>4</v>
      </c>
      <c r="B19270" t="s">
        <v>4111</v>
      </c>
      <c r="C19270" t="s">
        <v>23490</v>
      </c>
      <c r="D19270" t="str">
        <f>HYPERLINK("https://rhld.insurance.arkansas.gov/NPILookup?Npi=1407132434","1407132434")</f>
        <v>1407132434</v>
      </c>
      <c r="E19270" t="s">
        <v>4880</v>
      </c>
    </row>
    <row r="19271" spans="1:5" x14ac:dyDescent="0.25">
      <c r="A19271" t="s">
        <v>4</v>
      </c>
      <c r="B19271" t="s">
        <v>4111</v>
      </c>
      <c r="C19271" t="s">
        <v>23490</v>
      </c>
      <c r="D19271" t="str">
        <f>HYPERLINK("https://rhld.insurance.arkansas.gov/NPILookup?Npi=1407137029","1407137029")</f>
        <v>1407137029</v>
      </c>
      <c r="E19271" t="s">
        <v>4881</v>
      </c>
    </row>
    <row r="19272" spans="1:5" x14ac:dyDescent="0.25">
      <c r="A19272" t="s">
        <v>4</v>
      </c>
      <c r="B19272" t="s">
        <v>4111</v>
      </c>
      <c r="C19272" t="s">
        <v>23490</v>
      </c>
      <c r="D19272" t="str">
        <f>HYPERLINK("https://rhld.insurance.arkansas.gov/NPILookup?Npi=1407163322","1407163322")</f>
        <v>1407163322</v>
      </c>
      <c r="E19272" t="s">
        <v>4882</v>
      </c>
    </row>
    <row r="19273" spans="1:5" x14ac:dyDescent="0.25">
      <c r="A19273" t="s">
        <v>4</v>
      </c>
      <c r="B19273" t="s">
        <v>4111</v>
      </c>
      <c r="C19273" t="s">
        <v>23490</v>
      </c>
      <c r="D19273" t="str">
        <f>HYPERLINK("https://rhld.insurance.arkansas.gov/NPILookup?Npi=1407173685","1407173685")</f>
        <v>1407173685</v>
      </c>
      <c r="E19273" t="s">
        <v>11668</v>
      </c>
    </row>
    <row r="19274" spans="1:5" x14ac:dyDescent="0.25">
      <c r="A19274" t="s">
        <v>4</v>
      </c>
      <c r="B19274" t="s">
        <v>4111</v>
      </c>
      <c r="C19274" t="s">
        <v>23490</v>
      </c>
      <c r="D19274" t="str">
        <f>HYPERLINK("https://rhld.insurance.arkansas.gov/NPILookup?Npi=1407176100","1407176100")</f>
        <v>1407176100</v>
      </c>
      <c r="E19274" t="s">
        <v>4883</v>
      </c>
    </row>
    <row r="19275" spans="1:5" x14ac:dyDescent="0.25">
      <c r="A19275" t="s">
        <v>4</v>
      </c>
      <c r="B19275" t="s">
        <v>4111</v>
      </c>
      <c r="C19275" t="s">
        <v>23490</v>
      </c>
      <c r="D19275" t="str">
        <f>HYPERLINK("https://rhld.insurance.arkansas.gov/NPILookup?Npi=1407176795","1407176795")</f>
        <v>1407176795</v>
      </c>
      <c r="E19275" t="s">
        <v>11669</v>
      </c>
    </row>
    <row r="19276" spans="1:5" x14ac:dyDescent="0.25">
      <c r="A19276" t="s">
        <v>4</v>
      </c>
      <c r="B19276" t="s">
        <v>4111</v>
      </c>
      <c r="C19276" t="s">
        <v>23490</v>
      </c>
      <c r="D19276" t="str">
        <f>HYPERLINK("https://rhld.insurance.arkansas.gov/NPILookup?Npi=1407178189","1407178189")</f>
        <v>1407178189</v>
      </c>
      <c r="E19276" t="s">
        <v>22039</v>
      </c>
    </row>
    <row r="19277" spans="1:5" x14ac:dyDescent="0.25">
      <c r="A19277" t="s">
        <v>4</v>
      </c>
      <c r="B19277" t="s">
        <v>4111</v>
      </c>
      <c r="C19277" t="s">
        <v>23490</v>
      </c>
      <c r="D19277" t="str">
        <f>HYPERLINK("https://rhld.insurance.arkansas.gov/NPILookup?Npi=1407182272","1407182272")</f>
        <v>1407182272</v>
      </c>
      <c r="E19277" t="s">
        <v>11670</v>
      </c>
    </row>
    <row r="19278" spans="1:5" x14ac:dyDescent="0.25">
      <c r="A19278" t="s">
        <v>4</v>
      </c>
      <c r="B19278" t="s">
        <v>4111</v>
      </c>
      <c r="C19278" t="s">
        <v>23490</v>
      </c>
      <c r="D19278" t="str">
        <f>HYPERLINK("https://rhld.insurance.arkansas.gov/NPILookup?Npi=1407182280","1407182280")</f>
        <v>1407182280</v>
      </c>
      <c r="E19278" t="s">
        <v>20464</v>
      </c>
    </row>
    <row r="19279" spans="1:5" x14ac:dyDescent="0.25">
      <c r="A19279" t="s">
        <v>4</v>
      </c>
      <c r="B19279" t="s">
        <v>4111</v>
      </c>
      <c r="C19279" t="s">
        <v>23490</v>
      </c>
      <c r="D19279" t="str">
        <f>HYPERLINK("https://rhld.insurance.arkansas.gov/NPILookup?Npi=1407182470","1407182470")</f>
        <v>1407182470</v>
      </c>
      <c r="E19279" t="s">
        <v>16087</v>
      </c>
    </row>
    <row r="19280" spans="1:5" x14ac:dyDescent="0.25">
      <c r="A19280" t="s">
        <v>4</v>
      </c>
      <c r="B19280" t="s">
        <v>4111</v>
      </c>
      <c r="C19280" t="s">
        <v>23490</v>
      </c>
      <c r="D19280" t="str">
        <f>HYPERLINK("https://rhld.insurance.arkansas.gov/NPILookup?Npi=1407182603","1407182603")</f>
        <v>1407182603</v>
      </c>
      <c r="E19280" t="s">
        <v>14058</v>
      </c>
    </row>
    <row r="19281" spans="1:5" x14ac:dyDescent="0.25">
      <c r="A19281" t="s">
        <v>4</v>
      </c>
      <c r="B19281" t="s">
        <v>4111</v>
      </c>
      <c r="C19281" t="s">
        <v>23490</v>
      </c>
      <c r="D19281" t="str">
        <f>HYPERLINK("https://rhld.insurance.arkansas.gov/NPILookup?Npi=1407185275","1407185275")</f>
        <v>1407185275</v>
      </c>
      <c r="E19281" t="s">
        <v>23095</v>
      </c>
    </row>
    <row r="19282" spans="1:5" x14ac:dyDescent="0.25">
      <c r="A19282" t="s">
        <v>4</v>
      </c>
      <c r="B19282" t="s">
        <v>4111</v>
      </c>
      <c r="C19282" t="s">
        <v>23490</v>
      </c>
      <c r="D19282" t="str">
        <f>HYPERLINK("https://rhld.insurance.arkansas.gov/NPILookup?Npi=1407190200","1407190200")</f>
        <v>1407190200</v>
      </c>
      <c r="E19282" t="s">
        <v>13132</v>
      </c>
    </row>
    <row r="19283" spans="1:5" x14ac:dyDescent="0.25">
      <c r="A19283" t="s">
        <v>4</v>
      </c>
      <c r="B19283" t="s">
        <v>4111</v>
      </c>
      <c r="C19283" t="s">
        <v>23490</v>
      </c>
      <c r="D19283" t="str">
        <f>HYPERLINK("https://rhld.insurance.arkansas.gov/NPILookup?Npi=1407213135","1407213135")</f>
        <v>1407213135</v>
      </c>
      <c r="E19283" t="s">
        <v>11671</v>
      </c>
    </row>
    <row r="19284" spans="1:5" x14ac:dyDescent="0.25">
      <c r="A19284" t="s">
        <v>4</v>
      </c>
      <c r="B19284" t="s">
        <v>4111</v>
      </c>
      <c r="C19284" t="s">
        <v>23490</v>
      </c>
      <c r="D19284" t="str">
        <f>HYPERLINK("https://rhld.insurance.arkansas.gov/NPILookup?Npi=1407214521","1407214521")</f>
        <v>1407214521</v>
      </c>
      <c r="E19284" t="s">
        <v>14059</v>
      </c>
    </row>
    <row r="19285" spans="1:5" x14ac:dyDescent="0.25">
      <c r="A19285" t="s">
        <v>4</v>
      </c>
      <c r="B19285" t="s">
        <v>4111</v>
      </c>
      <c r="C19285" t="s">
        <v>23490</v>
      </c>
      <c r="D19285" t="str">
        <f>HYPERLINK("https://rhld.insurance.arkansas.gov/NPILookup?Npi=1407216138","1407216138")</f>
        <v>1407216138</v>
      </c>
      <c r="E19285" t="s">
        <v>16088</v>
      </c>
    </row>
    <row r="19286" spans="1:5" x14ac:dyDescent="0.25">
      <c r="A19286" t="s">
        <v>4</v>
      </c>
      <c r="B19286" t="s">
        <v>4111</v>
      </c>
      <c r="C19286" t="s">
        <v>23490</v>
      </c>
      <c r="D19286" t="str">
        <f>HYPERLINK("https://rhld.insurance.arkansas.gov/NPILookup?Npi=1407217532","1407217532")</f>
        <v>1407217532</v>
      </c>
      <c r="E19286" t="s">
        <v>18978</v>
      </c>
    </row>
    <row r="19287" spans="1:5" x14ac:dyDescent="0.25">
      <c r="A19287" t="s">
        <v>4</v>
      </c>
      <c r="B19287" t="s">
        <v>4111</v>
      </c>
      <c r="C19287" t="s">
        <v>23490</v>
      </c>
      <c r="D19287" t="str">
        <f>HYPERLINK("https://rhld.insurance.arkansas.gov/NPILookup?Npi=1407226327","1407226327")</f>
        <v>1407226327</v>
      </c>
      <c r="E19287" t="s">
        <v>20465</v>
      </c>
    </row>
    <row r="19288" spans="1:5" x14ac:dyDescent="0.25">
      <c r="A19288" t="s">
        <v>4</v>
      </c>
      <c r="B19288" t="s">
        <v>4111</v>
      </c>
      <c r="C19288" t="s">
        <v>23490</v>
      </c>
      <c r="D19288" t="str">
        <f>HYPERLINK("https://rhld.insurance.arkansas.gov/NPILookup?Npi=1407238074","1407238074")</f>
        <v>1407238074</v>
      </c>
      <c r="E19288" t="s">
        <v>17579</v>
      </c>
    </row>
    <row r="19289" spans="1:5" x14ac:dyDescent="0.25">
      <c r="A19289" t="s">
        <v>4</v>
      </c>
      <c r="B19289" t="s">
        <v>4111</v>
      </c>
      <c r="C19289" t="s">
        <v>23490</v>
      </c>
      <c r="D19289" t="str">
        <f>HYPERLINK("https://rhld.insurance.arkansas.gov/NPILookup?Npi=1407248933","1407248933")</f>
        <v>1407248933</v>
      </c>
      <c r="E19289" t="s">
        <v>11672</v>
      </c>
    </row>
    <row r="19290" spans="1:5" x14ac:dyDescent="0.25">
      <c r="A19290" t="s">
        <v>4</v>
      </c>
      <c r="B19290" t="s">
        <v>4111</v>
      </c>
      <c r="C19290" t="s">
        <v>23490</v>
      </c>
      <c r="D19290" t="str">
        <f>HYPERLINK("https://rhld.insurance.arkansas.gov/NPILookup?Npi=1407250525","1407250525")</f>
        <v>1407250525</v>
      </c>
      <c r="E19290" t="s">
        <v>23096</v>
      </c>
    </row>
    <row r="19291" spans="1:5" x14ac:dyDescent="0.25">
      <c r="A19291" t="s">
        <v>4</v>
      </c>
      <c r="B19291" t="s">
        <v>4111</v>
      </c>
      <c r="C19291" t="s">
        <v>23490</v>
      </c>
      <c r="D19291" t="str">
        <f>HYPERLINK("https://rhld.insurance.arkansas.gov/NPILookup?Npi=1407253222","1407253222")</f>
        <v>1407253222</v>
      </c>
      <c r="E19291" t="s">
        <v>20466</v>
      </c>
    </row>
    <row r="19292" spans="1:5" x14ac:dyDescent="0.25">
      <c r="A19292" t="s">
        <v>4</v>
      </c>
      <c r="B19292" t="s">
        <v>4111</v>
      </c>
      <c r="C19292" t="s">
        <v>23490</v>
      </c>
      <c r="D19292" t="str">
        <f>HYPERLINK("https://rhld.insurance.arkansas.gov/NPILookup?Npi=1407291305","1407291305")</f>
        <v>1407291305</v>
      </c>
      <c r="E19292" t="s">
        <v>17161</v>
      </c>
    </row>
    <row r="19293" spans="1:5" x14ac:dyDescent="0.25">
      <c r="A19293" t="s">
        <v>4</v>
      </c>
      <c r="B19293" t="s">
        <v>4111</v>
      </c>
      <c r="C19293" t="s">
        <v>23490</v>
      </c>
      <c r="D19293" t="str">
        <f>HYPERLINK("https://rhld.insurance.arkansas.gov/NPILookup?Npi=1407301708","1407301708")</f>
        <v>1407301708</v>
      </c>
      <c r="E19293" t="s">
        <v>16089</v>
      </c>
    </row>
    <row r="19294" spans="1:5" x14ac:dyDescent="0.25">
      <c r="A19294" t="s">
        <v>4</v>
      </c>
      <c r="B19294" t="s">
        <v>4111</v>
      </c>
      <c r="C19294" t="s">
        <v>23490</v>
      </c>
      <c r="D19294" t="str">
        <f>HYPERLINK("https://rhld.insurance.arkansas.gov/NPILookup?Npi=1407331523","1407331523")</f>
        <v>1407331523</v>
      </c>
      <c r="E19294" t="s">
        <v>6925</v>
      </c>
    </row>
    <row r="19295" spans="1:5" x14ac:dyDescent="0.25">
      <c r="A19295" t="s">
        <v>4</v>
      </c>
      <c r="B19295" t="s">
        <v>4111</v>
      </c>
      <c r="C19295" t="s">
        <v>23490</v>
      </c>
      <c r="D19295" t="str">
        <f>HYPERLINK("https://rhld.insurance.arkansas.gov/NPILookup?Npi=1407333586","1407333586")</f>
        <v>1407333586</v>
      </c>
      <c r="E19295" t="s">
        <v>16090</v>
      </c>
    </row>
    <row r="19296" spans="1:5" x14ac:dyDescent="0.25">
      <c r="A19296" t="s">
        <v>4</v>
      </c>
      <c r="B19296" t="s">
        <v>4111</v>
      </c>
      <c r="C19296" t="s">
        <v>23490</v>
      </c>
      <c r="D19296" t="str">
        <f>HYPERLINK("https://rhld.insurance.arkansas.gov/NPILookup?Npi=1407351562","1407351562")</f>
        <v>1407351562</v>
      </c>
      <c r="E19296" t="s">
        <v>20467</v>
      </c>
    </row>
    <row r="19297" spans="1:5" x14ac:dyDescent="0.25">
      <c r="A19297" t="s">
        <v>4</v>
      </c>
      <c r="B19297" t="s">
        <v>4111</v>
      </c>
      <c r="C19297" t="s">
        <v>23490</v>
      </c>
      <c r="D19297" t="str">
        <f>HYPERLINK("https://rhld.insurance.arkansas.gov/NPILookup?Npi=1407384860","1407384860")</f>
        <v>1407384860</v>
      </c>
      <c r="E19297" t="s">
        <v>13133</v>
      </c>
    </row>
    <row r="19298" spans="1:5" x14ac:dyDescent="0.25">
      <c r="A19298" t="s">
        <v>4</v>
      </c>
      <c r="B19298" t="s">
        <v>4111</v>
      </c>
      <c r="C19298" t="s">
        <v>23490</v>
      </c>
      <c r="D19298" t="str">
        <f>HYPERLINK("https://rhld.insurance.arkansas.gov/NPILookup?Npi=1407399876","1407399876")</f>
        <v>1407399876</v>
      </c>
      <c r="E19298" t="s">
        <v>16091</v>
      </c>
    </row>
    <row r="19299" spans="1:5" x14ac:dyDescent="0.25">
      <c r="A19299" t="s">
        <v>4</v>
      </c>
      <c r="B19299" t="s">
        <v>4111</v>
      </c>
      <c r="C19299" t="s">
        <v>23490</v>
      </c>
      <c r="D19299" t="str">
        <f>HYPERLINK("https://rhld.insurance.arkansas.gov/NPILookup?Npi=1407413032","1407413032")</f>
        <v>1407413032</v>
      </c>
      <c r="E19299" t="s">
        <v>18979</v>
      </c>
    </row>
    <row r="19300" spans="1:5" x14ac:dyDescent="0.25">
      <c r="A19300" t="s">
        <v>4</v>
      </c>
      <c r="B19300" t="s">
        <v>4111</v>
      </c>
      <c r="C19300" t="s">
        <v>23490</v>
      </c>
      <c r="D19300" t="str">
        <f>HYPERLINK("https://rhld.insurance.arkansas.gov/NPILookup?Npi=1407462583","1407462583")</f>
        <v>1407462583</v>
      </c>
      <c r="E19300" t="s">
        <v>22041</v>
      </c>
    </row>
    <row r="19301" spans="1:5" x14ac:dyDescent="0.25">
      <c r="A19301" t="s">
        <v>4</v>
      </c>
      <c r="B19301" t="s">
        <v>4111</v>
      </c>
      <c r="C19301" t="s">
        <v>23490</v>
      </c>
      <c r="D19301" t="str">
        <f>HYPERLINK("https://rhld.insurance.arkansas.gov/NPILookup?Npi=1407480825","1407480825")</f>
        <v>1407480825</v>
      </c>
      <c r="E19301" t="s">
        <v>22042</v>
      </c>
    </row>
    <row r="19302" spans="1:5" x14ac:dyDescent="0.25">
      <c r="A19302" t="s">
        <v>4</v>
      </c>
      <c r="B19302" t="s">
        <v>4111</v>
      </c>
      <c r="C19302" t="s">
        <v>23490</v>
      </c>
      <c r="D19302" t="str">
        <f>HYPERLINK("https://rhld.insurance.arkansas.gov/NPILookup?Npi=1407502487","1407502487")</f>
        <v>1407502487</v>
      </c>
      <c r="E19302" t="s">
        <v>22043</v>
      </c>
    </row>
    <row r="19303" spans="1:5" x14ac:dyDescent="0.25">
      <c r="A19303" t="s">
        <v>4</v>
      </c>
      <c r="B19303" t="s">
        <v>4111</v>
      </c>
      <c r="C19303" t="s">
        <v>23490</v>
      </c>
      <c r="D19303" t="str">
        <f>HYPERLINK("https://rhld.insurance.arkansas.gov/NPILookup?Npi=1407526957","1407526957")</f>
        <v>1407526957</v>
      </c>
      <c r="E19303" t="s">
        <v>20468</v>
      </c>
    </row>
    <row r="19304" spans="1:5" x14ac:dyDescent="0.25">
      <c r="A19304" t="s">
        <v>4</v>
      </c>
      <c r="B19304" t="s">
        <v>4111</v>
      </c>
      <c r="C19304" t="s">
        <v>23490</v>
      </c>
      <c r="D19304" t="str">
        <f>HYPERLINK("https://rhld.insurance.arkansas.gov/NPILookup?Npi=1407566755","1407566755")</f>
        <v>1407566755</v>
      </c>
      <c r="E19304" t="s">
        <v>21537</v>
      </c>
    </row>
    <row r="19305" spans="1:5" x14ac:dyDescent="0.25">
      <c r="A19305" t="s">
        <v>4</v>
      </c>
      <c r="B19305" t="s">
        <v>4111</v>
      </c>
      <c r="C19305" t="s">
        <v>23490</v>
      </c>
      <c r="D19305" t="str">
        <f>HYPERLINK("https://rhld.insurance.arkansas.gov/NPILookup?Npi=1407599376","1407599376")</f>
        <v>1407599376</v>
      </c>
      <c r="E19305" t="s">
        <v>22044</v>
      </c>
    </row>
    <row r="19306" spans="1:5" x14ac:dyDescent="0.25">
      <c r="A19306" t="s">
        <v>4</v>
      </c>
      <c r="B19306" t="s">
        <v>4111</v>
      </c>
      <c r="C19306" t="s">
        <v>23490</v>
      </c>
      <c r="D19306" t="str">
        <f>HYPERLINK("https://rhld.insurance.arkansas.gov/NPILookup?Npi=1407815590","1407815590")</f>
        <v>1407815590</v>
      </c>
      <c r="E19306" t="s">
        <v>4884</v>
      </c>
    </row>
    <row r="19307" spans="1:5" x14ac:dyDescent="0.25">
      <c r="A19307" t="s">
        <v>4</v>
      </c>
      <c r="B19307" t="s">
        <v>4111</v>
      </c>
      <c r="C19307" t="s">
        <v>23490</v>
      </c>
      <c r="D19307" t="str">
        <f>HYPERLINK("https://rhld.insurance.arkansas.gov/NPILookup?Npi=1407817695","1407817695")</f>
        <v>1407817695</v>
      </c>
      <c r="E19307" t="s">
        <v>4885</v>
      </c>
    </row>
    <row r="19308" spans="1:5" x14ac:dyDescent="0.25">
      <c r="A19308" t="s">
        <v>4</v>
      </c>
      <c r="B19308" t="s">
        <v>4111</v>
      </c>
      <c r="C19308" t="s">
        <v>23490</v>
      </c>
      <c r="D19308" t="str">
        <f>HYPERLINK("https://rhld.insurance.arkansas.gov/NPILookup?Npi=1407836661","1407836661")</f>
        <v>1407836661</v>
      </c>
      <c r="E19308" t="s">
        <v>4886</v>
      </c>
    </row>
    <row r="19309" spans="1:5" x14ac:dyDescent="0.25">
      <c r="A19309" t="s">
        <v>4</v>
      </c>
      <c r="B19309" t="s">
        <v>4111</v>
      </c>
      <c r="C19309" t="s">
        <v>23490</v>
      </c>
      <c r="D19309" t="str">
        <f>HYPERLINK("https://rhld.insurance.arkansas.gov/NPILookup?Npi=1407843386","1407843386")</f>
        <v>1407843386</v>
      </c>
      <c r="E19309" t="s">
        <v>4887</v>
      </c>
    </row>
    <row r="19310" spans="1:5" x14ac:dyDescent="0.25">
      <c r="A19310" t="s">
        <v>4</v>
      </c>
      <c r="B19310" t="s">
        <v>4111</v>
      </c>
      <c r="C19310" t="s">
        <v>23490</v>
      </c>
      <c r="D19310" t="str">
        <f>HYPERLINK("https://rhld.insurance.arkansas.gov/NPILookup?Npi=1407878564","1407878564")</f>
        <v>1407878564</v>
      </c>
      <c r="E19310" t="s">
        <v>4888</v>
      </c>
    </row>
    <row r="19311" spans="1:5" x14ac:dyDescent="0.25">
      <c r="A19311" t="s">
        <v>4</v>
      </c>
      <c r="B19311" t="s">
        <v>4111</v>
      </c>
      <c r="C19311" t="s">
        <v>23490</v>
      </c>
      <c r="D19311" t="str">
        <f>HYPERLINK("https://rhld.insurance.arkansas.gov/NPILookup?Npi=1407881774","1407881774")</f>
        <v>1407881774</v>
      </c>
      <c r="E19311" t="s">
        <v>4889</v>
      </c>
    </row>
    <row r="19312" spans="1:5" x14ac:dyDescent="0.25">
      <c r="A19312" t="s">
        <v>4</v>
      </c>
      <c r="B19312" t="s">
        <v>4111</v>
      </c>
      <c r="C19312" t="s">
        <v>23490</v>
      </c>
      <c r="D19312" t="str">
        <f>HYPERLINK("https://rhld.insurance.arkansas.gov/NPILookup?Npi=1407887136","1407887136")</f>
        <v>1407887136</v>
      </c>
      <c r="E19312" t="s">
        <v>4890</v>
      </c>
    </row>
    <row r="19313" spans="1:5" x14ac:dyDescent="0.25">
      <c r="A19313" t="s">
        <v>4</v>
      </c>
      <c r="B19313" t="s">
        <v>4111</v>
      </c>
      <c r="C19313" t="s">
        <v>23490</v>
      </c>
      <c r="D19313" t="str">
        <f>HYPERLINK("https://rhld.insurance.arkansas.gov/NPILookup?Npi=1407888662","1407888662")</f>
        <v>1407888662</v>
      </c>
      <c r="E19313" t="s">
        <v>4891</v>
      </c>
    </row>
    <row r="19314" spans="1:5" x14ac:dyDescent="0.25">
      <c r="A19314" t="s">
        <v>4</v>
      </c>
      <c r="B19314" t="s">
        <v>4111</v>
      </c>
      <c r="C19314" t="s">
        <v>23490</v>
      </c>
      <c r="D19314" t="str">
        <f>HYPERLINK("https://rhld.insurance.arkansas.gov/NPILookup?Npi=1407897390","1407897390")</f>
        <v>1407897390</v>
      </c>
      <c r="E19314" t="s">
        <v>4892</v>
      </c>
    </row>
    <row r="19315" spans="1:5" x14ac:dyDescent="0.25">
      <c r="A19315" t="s">
        <v>4</v>
      </c>
      <c r="B19315" t="s">
        <v>4111</v>
      </c>
      <c r="C19315" t="s">
        <v>23490</v>
      </c>
      <c r="D19315" t="str">
        <f>HYPERLINK("https://rhld.insurance.arkansas.gov/NPILookup?Npi=1407899099","1407899099")</f>
        <v>1407899099</v>
      </c>
      <c r="E19315" t="s">
        <v>20469</v>
      </c>
    </row>
    <row r="19316" spans="1:5" x14ac:dyDescent="0.25">
      <c r="A19316" t="s">
        <v>4</v>
      </c>
      <c r="B19316" t="s">
        <v>4111</v>
      </c>
      <c r="C19316" t="s">
        <v>23490</v>
      </c>
      <c r="D19316" t="str">
        <f>HYPERLINK("https://rhld.insurance.arkansas.gov/NPILookup?Npi=1407907843","1407907843")</f>
        <v>1407907843</v>
      </c>
      <c r="E19316" t="s">
        <v>4893</v>
      </c>
    </row>
    <row r="19317" spans="1:5" x14ac:dyDescent="0.25">
      <c r="A19317" t="s">
        <v>4</v>
      </c>
      <c r="B19317" t="s">
        <v>4111</v>
      </c>
      <c r="C19317" t="s">
        <v>23490</v>
      </c>
      <c r="D19317" t="str">
        <f>HYPERLINK("https://rhld.insurance.arkansas.gov/NPILookup?Npi=1407912926","1407912926")</f>
        <v>1407912926</v>
      </c>
      <c r="E19317" t="s">
        <v>4894</v>
      </c>
    </row>
    <row r="19318" spans="1:5" x14ac:dyDescent="0.25">
      <c r="A19318" t="s">
        <v>4</v>
      </c>
      <c r="B19318" t="s">
        <v>4111</v>
      </c>
      <c r="C19318" t="s">
        <v>23490</v>
      </c>
      <c r="D19318" t="str">
        <f>HYPERLINK("https://rhld.insurance.arkansas.gov/NPILookup?Npi=1407914039","1407914039")</f>
        <v>1407914039</v>
      </c>
      <c r="E19318" t="s">
        <v>4895</v>
      </c>
    </row>
    <row r="19319" spans="1:5" x14ac:dyDescent="0.25">
      <c r="A19319" t="s">
        <v>4</v>
      </c>
      <c r="B19319" t="s">
        <v>4111</v>
      </c>
      <c r="C19319" t="s">
        <v>23490</v>
      </c>
      <c r="D19319" t="str">
        <f>HYPERLINK("https://rhld.insurance.arkansas.gov/NPILookup?Npi=1407921059","1407921059")</f>
        <v>1407921059</v>
      </c>
      <c r="E19319" t="s">
        <v>4896</v>
      </c>
    </row>
    <row r="19320" spans="1:5" x14ac:dyDescent="0.25">
      <c r="A19320" t="s">
        <v>4</v>
      </c>
      <c r="B19320" t="s">
        <v>4111</v>
      </c>
      <c r="C19320" t="s">
        <v>23490</v>
      </c>
      <c r="D19320" t="str">
        <f>HYPERLINK("https://rhld.insurance.arkansas.gov/NPILookup?Npi=1407936560","1407936560")</f>
        <v>1407936560</v>
      </c>
      <c r="E19320" t="s">
        <v>4897</v>
      </c>
    </row>
    <row r="19321" spans="1:5" x14ac:dyDescent="0.25">
      <c r="A19321" t="s">
        <v>4</v>
      </c>
      <c r="B19321" t="s">
        <v>4111</v>
      </c>
      <c r="C19321" t="s">
        <v>23490</v>
      </c>
      <c r="D19321" t="str">
        <f>HYPERLINK("https://rhld.insurance.arkansas.gov/NPILookup?Npi=1407945785","1407945785")</f>
        <v>1407945785</v>
      </c>
      <c r="E19321" t="s">
        <v>22045</v>
      </c>
    </row>
    <row r="19322" spans="1:5" x14ac:dyDescent="0.25">
      <c r="A19322" t="s">
        <v>4</v>
      </c>
      <c r="B19322" t="s">
        <v>4111</v>
      </c>
      <c r="C19322" t="s">
        <v>23490</v>
      </c>
      <c r="D19322" t="str">
        <f>HYPERLINK("https://rhld.insurance.arkansas.gov/NPILookup?Npi=1407946999","1407946999")</f>
        <v>1407946999</v>
      </c>
      <c r="E19322" t="s">
        <v>4898</v>
      </c>
    </row>
    <row r="19323" spans="1:5" x14ac:dyDescent="0.25">
      <c r="A19323" t="s">
        <v>4</v>
      </c>
      <c r="B19323" t="s">
        <v>4111</v>
      </c>
      <c r="C19323" t="s">
        <v>23490</v>
      </c>
      <c r="D19323" t="str">
        <f>HYPERLINK("https://rhld.insurance.arkansas.gov/NPILookup?Npi=1407951247","1407951247")</f>
        <v>1407951247</v>
      </c>
      <c r="E19323" t="s">
        <v>4899</v>
      </c>
    </row>
    <row r="19324" spans="1:5" x14ac:dyDescent="0.25">
      <c r="A19324" t="s">
        <v>4</v>
      </c>
      <c r="B19324" t="s">
        <v>4111</v>
      </c>
      <c r="C19324" t="s">
        <v>23490</v>
      </c>
      <c r="D19324" t="str">
        <f>HYPERLINK("https://rhld.insurance.arkansas.gov/NPILookup?Npi=1407953912","1407953912")</f>
        <v>1407953912</v>
      </c>
      <c r="E19324" t="s">
        <v>4900</v>
      </c>
    </row>
    <row r="19325" spans="1:5" x14ac:dyDescent="0.25">
      <c r="A19325" t="s">
        <v>4</v>
      </c>
      <c r="B19325" t="s">
        <v>4111</v>
      </c>
      <c r="C19325" t="s">
        <v>23490</v>
      </c>
      <c r="D19325" t="str">
        <f>HYPERLINK("https://rhld.insurance.arkansas.gov/NPILookup?Npi=1407953953","1407953953")</f>
        <v>1407953953</v>
      </c>
      <c r="E19325" t="s">
        <v>4901</v>
      </c>
    </row>
    <row r="19326" spans="1:5" x14ac:dyDescent="0.25">
      <c r="A19326" t="s">
        <v>4</v>
      </c>
      <c r="B19326" t="s">
        <v>4111</v>
      </c>
      <c r="C19326" t="s">
        <v>23490</v>
      </c>
      <c r="D19326" t="str">
        <f>HYPERLINK("https://rhld.insurance.arkansas.gov/NPILookup?Npi=1407958028","1407958028")</f>
        <v>1407958028</v>
      </c>
      <c r="E19326" t="s">
        <v>4902</v>
      </c>
    </row>
    <row r="19327" spans="1:5" x14ac:dyDescent="0.25">
      <c r="A19327" t="s">
        <v>4</v>
      </c>
      <c r="B19327" t="s">
        <v>4111</v>
      </c>
      <c r="C19327" t="s">
        <v>23490</v>
      </c>
      <c r="D19327" t="str">
        <f>HYPERLINK("https://rhld.insurance.arkansas.gov/NPILookup?Npi=1407963515","1407963515")</f>
        <v>1407963515</v>
      </c>
      <c r="E19327" t="s">
        <v>4903</v>
      </c>
    </row>
    <row r="19328" spans="1:5" x14ac:dyDescent="0.25">
      <c r="A19328" t="s">
        <v>4</v>
      </c>
      <c r="B19328" t="s">
        <v>4111</v>
      </c>
      <c r="C19328" t="s">
        <v>23490</v>
      </c>
      <c r="D19328" t="str">
        <f>HYPERLINK("https://rhld.insurance.arkansas.gov/NPILookup?Npi=1407976632","1407976632")</f>
        <v>1407976632</v>
      </c>
      <c r="E19328" t="s">
        <v>14060</v>
      </c>
    </row>
    <row r="19329" spans="1:5" x14ac:dyDescent="0.25">
      <c r="A19329" t="s">
        <v>4</v>
      </c>
      <c r="B19329" t="s">
        <v>4111</v>
      </c>
      <c r="C19329" t="s">
        <v>23490</v>
      </c>
      <c r="D19329" t="str">
        <f>HYPERLINK("https://rhld.insurance.arkansas.gov/NPILookup?Npi=1407977648","1407977648")</f>
        <v>1407977648</v>
      </c>
      <c r="E19329" t="s">
        <v>18339</v>
      </c>
    </row>
    <row r="19330" spans="1:5" x14ac:dyDescent="0.25">
      <c r="A19330" t="s">
        <v>4</v>
      </c>
      <c r="B19330" t="s">
        <v>4111</v>
      </c>
      <c r="C19330" t="s">
        <v>23490</v>
      </c>
      <c r="D19330" t="str">
        <f>HYPERLINK("https://rhld.insurance.arkansas.gov/NPILookup?Npi=1407998370","1407998370")</f>
        <v>1407998370</v>
      </c>
      <c r="E19330" t="s">
        <v>4904</v>
      </c>
    </row>
    <row r="19331" spans="1:5" x14ac:dyDescent="0.25">
      <c r="A19331" t="s">
        <v>4</v>
      </c>
      <c r="B19331" t="s">
        <v>4111</v>
      </c>
      <c r="C19331" t="s">
        <v>23490</v>
      </c>
      <c r="D19331" t="str">
        <f>HYPERLINK("https://rhld.insurance.arkansas.gov/NPILookup?Npi=1417027079","1417027079")</f>
        <v>1417027079</v>
      </c>
      <c r="E19331" t="s">
        <v>4905</v>
      </c>
    </row>
    <row r="19332" spans="1:5" x14ac:dyDescent="0.25">
      <c r="A19332" t="s">
        <v>4</v>
      </c>
      <c r="B19332" t="s">
        <v>4111</v>
      </c>
      <c r="C19332" t="s">
        <v>23490</v>
      </c>
      <c r="D19332" t="str">
        <f>HYPERLINK("https://rhld.insurance.arkansas.gov/NPILookup?Npi=1417029414","1417029414")</f>
        <v>1417029414</v>
      </c>
      <c r="E19332" t="s">
        <v>4906</v>
      </c>
    </row>
    <row r="19333" spans="1:5" x14ac:dyDescent="0.25">
      <c r="A19333" t="s">
        <v>4</v>
      </c>
      <c r="B19333" t="s">
        <v>4111</v>
      </c>
      <c r="C19333" t="s">
        <v>23490</v>
      </c>
      <c r="D19333" t="str">
        <f>HYPERLINK("https://rhld.insurance.arkansas.gov/NPILookup?Npi=1417042573","1417042573")</f>
        <v>1417042573</v>
      </c>
      <c r="E19333" t="s">
        <v>4907</v>
      </c>
    </row>
    <row r="19334" spans="1:5" x14ac:dyDescent="0.25">
      <c r="A19334" t="s">
        <v>4</v>
      </c>
      <c r="B19334" t="s">
        <v>4111</v>
      </c>
      <c r="C19334" t="s">
        <v>23490</v>
      </c>
      <c r="D19334" t="str">
        <f>HYPERLINK("https://rhld.insurance.arkansas.gov/NPILookup?Npi=1417076456","1417076456")</f>
        <v>1417076456</v>
      </c>
      <c r="E19334" t="s">
        <v>4908</v>
      </c>
    </row>
    <row r="19335" spans="1:5" x14ac:dyDescent="0.25">
      <c r="A19335" t="s">
        <v>4</v>
      </c>
      <c r="B19335" t="s">
        <v>4111</v>
      </c>
      <c r="C19335" t="s">
        <v>23490</v>
      </c>
      <c r="D19335" t="str">
        <f>HYPERLINK("https://rhld.insurance.arkansas.gov/NPILookup?Npi=1417077819","1417077819")</f>
        <v>1417077819</v>
      </c>
      <c r="E19335" t="s">
        <v>4909</v>
      </c>
    </row>
    <row r="19336" spans="1:5" x14ac:dyDescent="0.25">
      <c r="A19336" t="s">
        <v>4</v>
      </c>
      <c r="B19336" t="s">
        <v>4111</v>
      </c>
      <c r="C19336" t="s">
        <v>23490</v>
      </c>
      <c r="D19336" t="str">
        <f>HYPERLINK("https://rhld.insurance.arkansas.gov/NPILookup?Npi=1417139049","1417139049")</f>
        <v>1417139049</v>
      </c>
      <c r="E19336" t="s">
        <v>4910</v>
      </c>
    </row>
    <row r="19337" spans="1:5" x14ac:dyDescent="0.25">
      <c r="A19337" t="s">
        <v>4</v>
      </c>
      <c r="B19337" t="s">
        <v>4111</v>
      </c>
      <c r="C19337" t="s">
        <v>23490</v>
      </c>
      <c r="D19337" t="str">
        <f>HYPERLINK("https://rhld.insurance.arkansas.gov/NPILookup?Npi=1417141656","1417141656")</f>
        <v>1417141656</v>
      </c>
      <c r="E19337" t="s">
        <v>18980</v>
      </c>
    </row>
    <row r="19338" spans="1:5" x14ac:dyDescent="0.25">
      <c r="A19338" t="s">
        <v>4</v>
      </c>
      <c r="B19338" t="s">
        <v>4111</v>
      </c>
      <c r="C19338" t="s">
        <v>23490</v>
      </c>
      <c r="D19338" t="str">
        <f>HYPERLINK("https://rhld.insurance.arkansas.gov/NPILookup?Npi=1417142456","1417142456")</f>
        <v>1417142456</v>
      </c>
      <c r="E19338" t="s">
        <v>16092</v>
      </c>
    </row>
    <row r="19339" spans="1:5" x14ac:dyDescent="0.25">
      <c r="A19339" t="s">
        <v>4</v>
      </c>
      <c r="B19339" t="s">
        <v>4111</v>
      </c>
      <c r="C19339" t="s">
        <v>23490</v>
      </c>
      <c r="D19339" t="str">
        <f>HYPERLINK("https://rhld.insurance.arkansas.gov/NPILookup?Npi=1417145756","1417145756")</f>
        <v>1417145756</v>
      </c>
      <c r="E19339" t="s">
        <v>11673</v>
      </c>
    </row>
    <row r="19340" spans="1:5" x14ac:dyDescent="0.25">
      <c r="A19340" t="s">
        <v>4</v>
      </c>
      <c r="B19340" t="s">
        <v>4111</v>
      </c>
      <c r="C19340" t="s">
        <v>23490</v>
      </c>
      <c r="D19340" t="str">
        <f>HYPERLINK("https://rhld.insurance.arkansas.gov/NPILookup?Npi=1417146986","1417146986")</f>
        <v>1417146986</v>
      </c>
      <c r="E19340" t="s">
        <v>18340</v>
      </c>
    </row>
    <row r="19341" spans="1:5" x14ac:dyDescent="0.25">
      <c r="A19341" t="s">
        <v>4</v>
      </c>
      <c r="B19341" t="s">
        <v>4111</v>
      </c>
      <c r="C19341" t="s">
        <v>23490</v>
      </c>
      <c r="D19341" t="str">
        <f>HYPERLINK("https://rhld.insurance.arkansas.gov/NPILookup?Npi=1417167842","1417167842")</f>
        <v>1417167842</v>
      </c>
      <c r="E19341" t="s">
        <v>4911</v>
      </c>
    </row>
    <row r="19342" spans="1:5" x14ac:dyDescent="0.25">
      <c r="A19342" t="s">
        <v>4</v>
      </c>
      <c r="B19342" t="s">
        <v>4111</v>
      </c>
      <c r="C19342" t="s">
        <v>23490</v>
      </c>
      <c r="D19342" t="str">
        <f>HYPERLINK("https://rhld.insurance.arkansas.gov/NPILookup?Npi=1417175159","1417175159")</f>
        <v>1417175159</v>
      </c>
      <c r="E19342" t="s">
        <v>4912</v>
      </c>
    </row>
    <row r="19343" spans="1:5" x14ac:dyDescent="0.25">
      <c r="A19343" t="s">
        <v>4</v>
      </c>
      <c r="B19343" t="s">
        <v>4111</v>
      </c>
      <c r="C19343" t="s">
        <v>23490</v>
      </c>
      <c r="D19343" t="str">
        <f>HYPERLINK("https://rhld.insurance.arkansas.gov/NPILookup?Npi=1417179805","1417179805")</f>
        <v>1417179805</v>
      </c>
      <c r="E19343" t="s">
        <v>4913</v>
      </c>
    </row>
    <row r="19344" spans="1:5" x14ac:dyDescent="0.25">
      <c r="A19344" t="s">
        <v>4</v>
      </c>
      <c r="B19344" t="s">
        <v>4111</v>
      </c>
      <c r="C19344" t="s">
        <v>23490</v>
      </c>
      <c r="D19344" t="str">
        <f>HYPERLINK("https://rhld.insurance.arkansas.gov/NPILookup?Npi=1417183641","1417183641")</f>
        <v>1417183641</v>
      </c>
      <c r="E19344" t="s">
        <v>9088</v>
      </c>
    </row>
    <row r="19345" spans="1:5" x14ac:dyDescent="0.25">
      <c r="A19345" t="s">
        <v>4</v>
      </c>
      <c r="B19345" t="s">
        <v>4111</v>
      </c>
      <c r="C19345" t="s">
        <v>23490</v>
      </c>
      <c r="D19345" t="str">
        <f>HYPERLINK("https://rhld.insurance.arkansas.gov/NPILookup?Npi=1417207085","1417207085")</f>
        <v>1417207085</v>
      </c>
      <c r="E19345" t="s">
        <v>20470</v>
      </c>
    </row>
    <row r="19346" spans="1:5" x14ac:dyDescent="0.25">
      <c r="A19346" t="s">
        <v>4</v>
      </c>
      <c r="B19346" t="s">
        <v>4111</v>
      </c>
      <c r="C19346" t="s">
        <v>23490</v>
      </c>
      <c r="D19346" t="str">
        <f>HYPERLINK("https://rhld.insurance.arkansas.gov/NPILookup?Npi=1417216631","1417216631")</f>
        <v>1417216631</v>
      </c>
      <c r="E19346" t="s">
        <v>4914</v>
      </c>
    </row>
    <row r="19347" spans="1:5" x14ac:dyDescent="0.25">
      <c r="A19347" t="s">
        <v>4</v>
      </c>
      <c r="B19347" t="s">
        <v>4111</v>
      </c>
      <c r="C19347" t="s">
        <v>23490</v>
      </c>
      <c r="D19347" t="str">
        <f>HYPERLINK("https://rhld.insurance.arkansas.gov/NPILookup?Npi=1417238981","1417238981")</f>
        <v>1417238981</v>
      </c>
      <c r="E19347" t="s">
        <v>10904</v>
      </c>
    </row>
    <row r="19348" spans="1:5" x14ac:dyDescent="0.25">
      <c r="A19348" t="s">
        <v>4</v>
      </c>
      <c r="B19348" t="s">
        <v>4111</v>
      </c>
      <c r="C19348" t="s">
        <v>23490</v>
      </c>
      <c r="D19348" t="str">
        <f>HYPERLINK("https://rhld.insurance.arkansas.gov/NPILookup?Npi=1417243361","1417243361")</f>
        <v>1417243361</v>
      </c>
      <c r="E19348" t="s">
        <v>17580</v>
      </c>
    </row>
    <row r="19349" spans="1:5" x14ac:dyDescent="0.25">
      <c r="A19349" t="s">
        <v>4</v>
      </c>
      <c r="B19349" t="s">
        <v>4111</v>
      </c>
      <c r="C19349" t="s">
        <v>23490</v>
      </c>
      <c r="D19349" t="str">
        <f>HYPERLINK("https://rhld.insurance.arkansas.gov/NPILookup?Npi=1417278474","1417278474")</f>
        <v>1417278474</v>
      </c>
      <c r="E19349" t="s">
        <v>16093</v>
      </c>
    </row>
    <row r="19350" spans="1:5" x14ac:dyDescent="0.25">
      <c r="A19350" t="s">
        <v>4</v>
      </c>
      <c r="B19350" t="s">
        <v>4111</v>
      </c>
      <c r="C19350" t="s">
        <v>23490</v>
      </c>
      <c r="D19350" t="str">
        <f>HYPERLINK("https://rhld.insurance.arkansas.gov/NPILookup?Npi=1417286691","1417286691")</f>
        <v>1417286691</v>
      </c>
      <c r="E19350" t="s">
        <v>14061</v>
      </c>
    </row>
    <row r="19351" spans="1:5" x14ac:dyDescent="0.25">
      <c r="A19351" t="s">
        <v>4</v>
      </c>
      <c r="B19351" t="s">
        <v>4111</v>
      </c>
      <c r="C19351" t="s">
        <v>23490</v>
      </c>
      <c r="D19351" t="str">
        <f>HYPERLINK("https://rhld.insurance.arkansas.gov/NPILookup?Npi=1417293440","1417293440")</f>
        <v>1417293440</v>
      </c>
      <c r="E19351" t="s">
        <v>16094</v>
      </c>
    </row>
    <row r="19352" spans="1:5" x14ac:dyDescent="0.25">
      <c r="A19352" t="s">
        <v>4</v>
      </c>
      <c r="B19352" t="s">
        <v>4111</v>
      </c>
      <c r="C19352" t="s">
        <v>23490</v>
      </c>
      <c r="D19352" t="str">
        <f>HYPERLINK("https://rhld.insurance.arkansas.gov/NPILookup?Npi=1417307018","1417307018")</f>
        <v>1417307018</v>
      </c>
      <c r="E19352" t="s">
        <v>17581</v>
      </c>
    </row>
    <row r="19353" spans="1:5" x14ac:dyDescent="0.25">
      <c r="A19353" t="s">
        <v>4</v>
      </c>
      <c r="B19353" t="s">
        <v>4111</v>
      </c>
      <c r="C19353" t="s">
        <v>23490</v>
      </c>
      <c r="D19353" t="str">
        <f>HYPERLINK("https://rhld.insurance.arkansas.gov/NPILookup?Npi=1417311770","1417311770")</f>
        <v>1417311770</v>
      </c>
      <c r="E19353" t="s">
        <v>18981</v>
      </c>
    </row>
    <row r="19354" spans="1:5" x14ac:dyDescent="0.25">
      <c r="A19354" t="s">
        <v>4</v>
      </c>
      <c r="B19354" t="s">
        <v>4111</v>
      </c>
      <c r="C19354" t="s">
        <v>23490</v>
      </c>
      <c r="D19354" t="str">
        <f>HYPERLINK("https://rhld.insurance.arkansas.gov/NPILookup?Npi=1417333170","1417333170")</f>
        <v>1417333170</v>
      </c>
      <c r="E19354" t="s">
        <v>18341</v>
      </c>
    </row>
    <row r="19355" spans="1:5" x14ac:dyDescent="0.25">
      <c r="A19355" t="s">
        <v>4</v>
      </c>
      <c r="B19355" t="s">
        <v>4111</v>
      </c>
      <c r="C19355" t="s">
        <v>23490</v>
      </c>
      <c r="D19355" t="str">
        <f>HYPERLINK("https://rhld.insurance.arkansas.gov/NPILookup?Npi=1417336348","1417336348")</f>
        <v>1417336348</v>
      </c>
      <c r="E19355" t="s">
        <v>19707</v>
      </c>
    </row>
    <row r="19356" spans="1:5" x14ac:dyDescent="0.25">
      <c r="A19356" t="s">
        <v>4</v>
      </c>
      <c r="B19356" t="s">
        <v>4111</v>
      </c>
      <c r="C19356" t="s">
        <v>23490</v>
      </c>
      <c r="D19356" t="str">
        <f>HYPERLINK("https://rhld.insurance.arkansas.gov/NPILookup?Npi=1417338435","1417338435")</f>
        <v>1417338435</v>
      </c>
      <c r="E19356" t="s">
        <v>22046</v>
      </c>
    </row>
    <row r="19357" spans="1:5" x14ac:dyDescent="0.25">
      <c r="A19357" t="s">
        <v>4</v>
      </c>
      <c r="B19357" t="s">
        <v>4111</v>
      </c>
      <c r="C19357" t="s">
        <v>23490</v>
      </c>
      <c r="D19357" t="str">
        <f>HYPERLINK("https://rhld.insurance.arkansas.gov/NPILookup?Npi=1417342031","1417342031")</f>
        <v>1417342031</v>
      </c>
      <c r="E19357" t="s">
        <v>16095</v>
      </c>
    </row>
    <row r="19358" spans="1:5" x14ac:dyDescent="0.25">
      <c r="A19358" t="s">
        <v>4</v>
      </c>
      <c r="B19358" t="s">
        <v>4111</v>
      </c>
      <c r="C19358" t="s">
        <v>23490</v>
      </c>
      <c r="D19358" t="str">
        <f>HYPERLINK("https://rhld.insurance.arkansas.gov/NPILookup?Npi=1417350968","1417350968")</f>
        <v>1417350968</v>
      </c>
      <c r="E19358" t="s">
        <v>16458</v>
      </c>
    </row>
    <row r="19359" spans="1:5" x14ac:dyDescent="0.25">
      <c r="A19359" t="s">
        <v>4</v>
      </c>
      <c r="B19359" t="s">
        <v>4111</v>
      </c>
      <c r="C19359" t="s">
        <v>23490</v>
      </c>
      <c r="D19359" t="str">
        <f>HYPERLINK("https://rhld.insurance.arkansas.gov/NPILookup?Npi=1417356734","1417356734")</f>
        <v>1417356734</v>
      </c>
      <c r="E19359" t="s">
        <v>11674</v>
      </c>
    </row>
    <row r="19360" spans="1:5" x14ac:dyDescent="0.25">
      <c r="A19360" t="s">
        <v>4</v>
      </c>
      <c r="B19360" t="s">
        <v>4111</v>
      </c>
      <c r="C19360" t="s">
        <v>23490</v>
      </c>
      <c r="D19360" t="str">
        <f>HYPERLINK("https://rhld.insurance.arkansas.gov/NPILookup?Npi=1417361536","1417361536")</f>
        <v>1417361536</v>
      </c>
      <c r="E19360" t="s">
        <v>4915</v>
      </c>
    </row>
    <row r="19361" spans="1:5" x14ac:dyDescent="0.25">
      <c r="A19361" t="s">
        <v>4</v>
      </c>
      <c r="B19361" t="s">
        <v>4111</v>
      </c>
      <c r="C19361" t="s">
        <v>23490</v>
      </c>
      <c r="D19361" t="str">
        <f>HYPERLINK("https://rhld.insurance.arkansas.gov/NPILookup?Npi=1417378043","1417378043")</f>
        <v>1417378043</v>
      </c>
      <c r="E19361" t="s">
        <v>22047</v>
      </c>
    </row>
    <row r="19362" spans="1:5" x14ac:dyDescent="0.25">
      <c r="A19362" t="s">
        <v>4</v>
      </c>
      <c r="B19362" t="s">
        <v>4111</v>
      </c>
      <c r="C19362" t="s">
        <v>23490</v>
      </c>
      <c r="D19362" t="str">
        <f>HYPERLINK("https://rhld.insurance.arkansas.gov/NPILookup?Npi=1417379751","1417379751")</f>
        <v>1417379751</v>
      </c>
      <c r="E19362" t="s">
        <v>14062</v>
      </c>
    </row>
    <row r="19363" spans="1:5" x14ac:dyDescent="0.25">
      <c r="A19363" t="s">
        <v>4</v>
      </c>
      <c r="B19363" t="s">
        <v>4111</v>
      </c>
      <c r="C19363" t="s">
        <v>23490</v>
      </c>
      <c r="D19363" t="str">
        <f>HYPERLINK("https://rhld.insurance.arkansas.gov/NPILookup?Npi=1417386731","1417386731")</f>
        <v>1417386731</v>
      </c>
      <c r="E19363" t="s">
        <v>18342</v>
      </c>
    </row>
    <row r="19364" spans="1:5" x14ac:dyDescent="0.25">
      <c r="A19364" t="s">
        <v>4</v>
      </c>
      <c r="B19364" t="s">
        <v>4111</v>
      </c>
      <c r="C19364" t="s">
        <v>23490</v>
      </c>
      <c r="D19364" t="str">
        <f>HYPERLINK("https://rhld.insurance.arkansas.gov/NPILookup?Npi=1417390915","1417390915")</f>
        <v>1417390915</v>
      </c>
      <c r="E19364" t="s">
        <v>11675</v>
      </c>
    </row>
    <row r="19365" spans="1:5" x14ac:dyDescent="0.25">
      <c r="A19365" t="s">
        <v>4</v>
      </c>
      <c r="B19365" t="s">
        <v>4111</v>
      </c>
      <c r="C19365" t="s">
        <v>23490</v>
      </c>
      <c r="D19365" t="str">
        <f>HYPERLINK("https://rhld.insurance.arkansas.gov/NPILookup?Npi=1417402892","1417402892")</f>
        <v>1417402892</v>
      </c>
      <c r="E19365" t="s">
        <v>14063</v>
      </c>
    </row>
    <row r="19366" spans="1:5" x14ac:dyDescent="0.25">
      <c r="A19366" t="s">
        <v>4</v>
      </c>
      <c r="B19366" t="s">
        <v>4111</v>
      </c>
      <c r="C19366" t="s">
        <v>23490</v>
      </c>
      <c r="D19366" t="str">
        <f>HYPERLINK("https://rhld.insurance.arkansas.gov/NPILookup?Npi=1417405986","1417405986")</f>
        <v>1417405986</v>
      </c>
      <c r="E19366" t="s">
        <v>11676</v>
      </c>
    </row>
    <row r="19367" spans="1:5" x14ac:dyDescent="0.25">
      <c r="A19367" t="s">
        <v>4</v>
      </c>
      <c r="B19367" t="s">
        <v>4111</v>
      </c>
      <c r="C19367" t="s">
        <v>23490</v>
      </c>
      <c r="D19367" t="str">
        <f>HYPERLINK("https://rhld.insurance.arkansas.gov/NPILookup?Npi=1417406588","1417406588")</f>
        <v>1417406588</v>
      </c>
      <c r="E19367" t="s">
        <v>17162</v>
      </c>
    </row>
    <row r="19368" spans="1:5" x14ac:dyDescent="0.25">
      <c r="A19368" t="s">
        <v>4</v>
      </c>
      <c r="B19368" t="s">
        <v>4111</v>
      </c>
      <c r="C19368" t="s">
        <v>23490</v>
      </c>
      <c r="D19368" t="str">
        <f>HYPERLINK("https://rhld.insurance.arkansas.gov/NPILookup?Npi=1417413832","1417413832")</f>
        <v>1417413832</v>
      </c>
      <c r="E19368" t="s">
        <v>18343</v>
      </c>
    </row>
    <row r="19369" spans="1:5" x14ac:dyDescent="0.25">
      <c r="A19369" t="s">
        <v>4</v>
      </c>
      <c r="B19369" t="s">
        <v>4111</v>
      </c>
      <c r="C19369" t="s">
        <v>23490</v>
      </c>
      <c r="D19369" t="str">
        <f>HYPERLINK("https://rhld.insurance.arkansas.gov/NPILookup?Npi=1417422106","1417422106")</f>
        <v>1417422106</v>
      </c>
      <c r="E19369" t="s">
        <v>14064</v>
      </c>
    </row>
    <row r="19370" spans="1:5" x14ac:dyDescent="0.25">
      <c r="A19370" t="s">
        <v>4</v>
      </c>
      <c r="B19370" t="s">
        <v>4111</v>
      </c>
      <c r="C19370" t="s">
        <v>23490</v>
      </c>
      <c r="D19370" t="str">
        <f>HYPERLINK("https://rhld.insurance.arkansas.gov/NPILookup?Npi=1417430596","1417430596")</f>
        <v>1417430596</v>
      </c>
      <c r="E19370" t="s">
        <v>18344</v>
      </c>
    </row>
    <row r="19371" spans="1:5" x14ac:dyDescent="0.25">
      <c r="A19371" t="s">
        <v>4</v>
      </c>
      <c r="B19371" t="s">
        <v>4111</v>
      </c>
      <c r="C19371" t="s">
        <v>23490</v>
      </c>
      <c r="D19371" t="str">
        <f>HYPERLINK("https://rhld.insurance.arkansas.gov/NPILookup?Npi=1417435637","1417435637")</f>
        <v>1417435637</v>
      </c>
      <c r="E19371" t="s">
        <v>23097</v>
      </c>
    </row>
    <row r="19372" spans="1:5" x14ac:dyDescent="0.25">
      <c r="A19372" t="s">
        <v>4</v>
      </c>
      <c r="B19372" t="s">
        <v>4111</v>
      </c>
      <c r="C19372" t="s">
        <v>23490</v>
      </c>
      <c r="D19372" t="str">
        <f>HYPERLINK("https://rhld.insurance.arkansas.gov/NPILookup?Npi=1417468661","1417468661")</f>
        <v>1417468661</v>
      </c>
      <c r="E19372" t="s">
        <v>17163</v>
      </c>
    </row>
    <row r="19373" spans="1:5" x14ac:dyDescent="0.25">
      <c r="A19373" t="s">
        <v>4</v>
      </c>
      <c r="B19373" t="s">
        <v>4111</v>
      </c>
      <c r="C19373" t="s">
        <v>23490</v>
      </c>
      <c r="D19373" t="str">
        <f>HYPERLINK("https://rhld.insurance.arkansas.gov/NPILookup?Npi=1417489600","1417489600")</f>
        <v>1417489600</v>
      </c>
      <c r="E19373" t="s">
        <v>20471</v>
      </c>
    </row>
    <row r="19374" spans="1:5" x14ac:dyDescent="0.25">
      <c r="A19374" t="s">
        <v>4</v>
      </c>
      <c r="B19374" t="s">
        <v>4111</v>
      </c>
      <c r="C19374" t="s">
        <v>23490</v>
      </c>
      <c r="D19374" t="str">
        <f>HYPERLINK("https://rhld.insurance.arkansas.gov/NPILookup?Npi=1417491549","1417491549")</f>
        <v>1417491549</v>
      </c>
      <c r="E19374" t="s">
        <v>17582</v>
      </c>
    </row>
    <row r="19375" spans="1:5" x14ac:dyDescent="0.25">
      <c r="A19375" t="s">
        <v>4</v>
      </c>
      <c r="B19375" t="s">
        <v>4111</v>
      </c>
      <c r="C19375" t="s">
        <v>23490</v>
      </c>
      <c r="D19375" t="str">
        <f>HYPERLINK("https://rhld.insurance.arkansas.gov/NPILookup?Npi=1417495193","1417495193")</f>
        <v>1417495193</v>
      </c>
      <c r="E19375" t="s">
        <v>11677</v>
      </c>
    </row>
    <row r="19376" spans="1:5" x14ac:dyDescent="0.25">
      <c r="A19376" t="s">
        <v>4</v>
      </c>
      <c r="B19376" t="s">
        <v>4111</v>
      </c>
      <c r="C19376" t="s">
        <v>23490</v>
      </c>
      <c r="D19376" t="str">
        <f>HYPERLINK("https://rhld.insurance.arkansas.gov/NPILookup?Npi=1417496605","1417496605")</f>
        <v>1417496605</v>
      </c>
      <c r="E19376" t="s">
        <v>18345</v>
      </c>
    </row>
    <row r="19377" spans="1:5" x14ac:dyDescent="0.25">
      <c r="A19377" t="s">
        <v>4</v>
      </c>
      <c r="B19377" t="s">
        <v>4111</v>
      </c>
      <c r="C19377" t="s">
        <v>23490</v>
      </c>
      <c r="D19377" t="str">
        <f>HYPERLINK("https://rhld.insurance.arkansas.gov/NPILookup?Npi=1417506197","1417506197")</f>
        <v>1417506197</v>
      </c>
      <c r="E19377" t="s">
        <v>22048</v>
      </c>
    </row>
    <row r="19378" spans="1:5" x14ac:dyDescent="0.25">
      <c r="A19378" t="s">
        <v>4</v>
      </c>
      <c r="B19378" t="s">
        <v>4111</v>
      </c>
      <c r="C19378" t="s">
        <v>23490</v>
      </c>
      <c r="D19378" t="str">
        <f>HYPERLINK("https://rhld.insurance.arkansas.gov/NPILookup?Npi=1417535246","1417535246")</f>
        <v>1417535246</v>
      </c>
      <c r="E19378" t="s">
        <v>23098</v>
      </c>
    </row>
    <row r="19379" spans="1:5" x14ac:dyDescent="0.25">
      <c r="A19379" t="s">
        <v>4</v>
      </c>
      <c r="B19379" t="s">
        <v>4111</v>
      </c>
      <c r="C19379" t="s">
        <v>23490</v>
      </c>
      <c r="D19379" t="str">
        <f>HYPERLINK("https://rhld.insurance.arkansas.gov/NPILookup?Npi=1417568718","1417568718")</f>
        <v>1417568718</v>
      </c>
      <c r="E19379" t="s">
        <v>18274</v>
      </c>
    </row>
    <row r="19380" spans="1:5" x14ac:dyDescent="0.25">
      <c r="A19380" t="s">
        <v>4</v>
      </c>
      <c r="B19380" t="s">
        <v>4111</v>
      </c>
      <c r="C19380" t="s">
        <v>23490</v>
      </c>
      <c r="D19380" t="str">
        <f>HYPERLINK("https://rhld.insurance.arkansas.gov/NPILookup?Npi=1417579202","1417579202")</f>
        <v>1417579202</v>
      </c>
      <c r="E19380" t="s">
        <v>22049</v>
      </c>
    </row>
    <row r="19381" spans="1:5" x14ac:dyDescent="0.25">
      <c r="A19381" t="s">
        <v>4</v>
      </c>
      <c r="B19381" t="s">
        <v>4111</v>
      </c>
      <c r="C19381" t="s">
        <v>23490</v>
      </c>
      <c r="D19381" t="str">
        <f>HYPERLINK("https://rhld.insurance.arkansas.gov/NPILookup?Npi=1417582321","1417582321")</f>
        <v>1417582321</v>
      </c>
      <c r="E19381" t="s">
        <v>17164</v>
      </c>
    </row>
    <row r="19382" spans="1:5" x14ac:dyDescent="0.25">
      <c r="A19382" t="s">
        <v>4</v>
      </c>
      <c r="B19382" t="s">
        <v>4111</v>
      </c>
      <c r="C19382" t="s">
        <v>23490</v>
      </c>
      <c r="D19382" t="str">
        <f>HYPERLINK("https://rhld.insurance.arkansas.gov/NPILookup?Npi=1417596974","1417596974")</f>
        <v>1417596974</v>
      </c>
      <c r="E19382" t="s">
        <v>20472</v>
      </c>
    </row>
    <row r="19383" spans="1:5" x14ac:dyDescent="0.25">
      <c r="A19383" t="s">
        <v>4</v>
      </c>
      <c r="B19383" t="s">
        <v>4111</v>
      </c>
      <c r="C19383" t="s">
        <v>23490</v>
      </c>
      <c r="D19383" t="str">
        <f>HYPERLINK("https://rhld.insurance.arkansas.gov/NPILookup?Npi=1417616830","1417616830")</f>
        <v>1417616830</v>
      </c>
      <c r="E19383" t="s">
        <v>22050</v>
      </c>
    </row>
    <row r="19384" spans="1:5" x14ac:dyDescent="0.25">
      <c r="A19384" t="s">
        <v>4</v>
      </c>
      <c r="B19384" t="s">
        <v>4111</v>
      </c>
      <c r="C19384" t="s">
        <v>23490</v>
      </c>
      <c r="D19384" t="str">
        <f>HYPERLINK("https://rhld.insurance.arkansas.gov/NPILookup?Npi=1417626292","1417626292")</f>
        <v>1417626292</v>
      </c>
      <c r="E19384" t="s">
        <v>22051</v>
      </c>
    </row>
    <row r="19385" spans="1:5" x14ac:dyDescent="0.25">
      <c r="A19385" t="s">
        <v>4</v>
      </c>
      <c r="B19385" t="s">
        <v>4111</v>
      </c>
      <c r="C19385" t="s">
        <v>23490</v>
      </c>
      <c r="D19385" t="str">
        <f>HYPERLINK("https://rhld.insurance.arkansas.gov/NPILookup?Npi=1417902123","1417902123")</f>
        <v>1417902123</v>
      </c>
      <c r="E19385" t="s">
        <v>4916</v>
      </c>
    </row>
    <row r="19386" spans="1:5" x14ac:dyDescent="0.25">
      <c r="A19386" t="s">
        <v>4</v>
      </c>
      <c r="B19386" t="s">
        <v>4111</v>
      </c>
      <c r="C19386" t="s">
        <v>23490</v>
      </c>
      <c r="D19386" t="str">
        <f>HYPERLINK("https://rhld.insurance.arkansas.gov/NPILookup?Npi=1417922261","1417922261")</f>
        <v>1417922261</v>
      </c>
      <c r="E19386" t="s">
        <v>4917</v>
      </c>
    </row>
    <row r="19387" spans="1:5" x14ac:dyDescent="0.25">
      <c r="A19387" t="s">
        <v>4</v>
      </c>
      <c r="B19387" t="s">
        <v>4111</v>
      </c>
      <c r="C19387" t="s">
        <v>23490</v>
      </c>
      <c r="D19387" t="str">
        <f>HYPERLINK("https://rhld.insurance.arkansas.gov/NPILookup?Npi=1417936147","1417936147")</f>
        <v>1417936147</v>
      </c>
      <c r="E19387" t="s">
        <v>4918</v>
      </c>
    </row>
    <row r="19388" spans="1:5" x14ac:dyDescent="0.25">
      <c r="A19388" t="s">
        <v>4</v>
      </c>
      <c r="B19388" t="s">
        <v>4111</v>
      </c>
      <c r="C19388" t="s">
        <v>23490</v>
      </c>
      <c r="D19388" t="str">
        <f>HYPERLINK("https://rhld.insurance.arkansas.gov/NPILookup?Npi=1427013168","1427013168")</f>
        <v>1427013168</v>
      </c>
      <c r="E19388" t="s">
        <v>4919</v>
      </c>
    </row>
    <row r="19389" spans="1:5" x14ac:dyDescent="0.25">
      <c r="A19389" t="s">
        <v>4</v>
      </c>
      <c r="B19389" t="s">
        <v>4111</v>
      </c>
      <c r="C19389" t="s">
        <v>23490</v>
      </c>
      <c r="D19389" t="str">
        <f>HYPERLINK("https://rhld.insurance.arkansas.gov/NPILookup?Npi=1427013846","1427013846")</f>
        <v>1427013846</v>
      </c>
      <c r="E19389" t="s">
        <v>4920</v>
      </c>
    </row>
    <row r="19390" spans="1:5" x14ac:dyDescent="0.25">
      <c r="A19390" t="s">
        <v>4</v>
      </c>
      <c r="B19390" t="s">
        <v>4111</v>
      </c>
      <c r="C19390" t="s">
        <v>23490</v>
      </c>
      <c r="D19390" t="str">
        <f>HYPERLINK("https://rhld.insurance.arkansas.gov/NPILookup?Npi=1427015437","1427015437")</f>
        <v>1427015437</v>
      </c>
      <c r="E19390" t="s">
        <v>4921</v>
      </c>
    </row>
    <row r="19391" spans="1:5" x14ac:dyDescent="0.25">
      <c r="A19391" t="s">
        <v>4</v>
      </c>
      <c r="B19391" t="s">
        <v>4111</v>
      </c>
      <c r="C19391" t="s">
        <v>23490</v>
      </c>
      <c r="D19391" t="str">
        <f>HYPERLINK("https://rhld.insurance.arkansas.gov/NPILookup?Npi=1427019371","1427019371")</f>
        <v>1427019371</v>
      </c>
      <c r="E19391" t="s">
        <v>4922</v>
      </c>
    </row>
    <row r="19392" spans="1:5" x14ac:dyDescent="0.25">
      <c r="A19392" t="s">
        <v>4</v>
      </c>
      <c r="B19392" t="s">
        <v>4111</v>
      </c>
      <c r="C19392" t="s">
        <v>23490</v>
      </c>
      <c r="D19392" t="str">
        <f>HYPERLINK("https://rhld.insurance.arkansas.gov/NPILookup?Npi=1427025808","1427025808")</f>
        <v>1427025808</v>
      </c>
      <c r="E19392" t="s">
        <v>4923</v>
      </c>
    </row>
    <row r="19393" spans="1:5" x14ac:dyDescent="0.25">
      <c r="A19393" t="s">
        <v>4</v>
      </c>
      <c r="B19393" t="s">
        <v>4111</v>
      </c>
      <c r="C19393" t="s">
        <v>23490</v>
      </c>
      <c r="D19393" t="str">
        <f>HYPERLINK("https://rhld.insurance.arkansas.gov/NPILookup?Npi=1427026541","1427026541")</f>
        <v>1427026541</v>
      </c>
      <c r="E19393" t="s">
        <v>3206</v>
      </c>
    </row>
    <row r="19394" spans="1:5" x14ac:dyDescent="0.25">
      <c r="A19394" t="s">
        <v>4</v>
      </c>
      <c r="B19394" t="s">
        <v>4111</v>
      </c>
      <c r="C19394" t="s">
        <v>23490</v>
      </c>
      <c r="D19394" t="str">
        <f>HYPERLINK("https://rhld.insurance.arkansas.gov/NPILookup?Npi=1427029438","1427029438")</f>
        <v>1427029438</v>
      </c>
      <c r="E19394" t="s">
        <v>4924</v>
      </c>
    </row>
    <row r="19395" spans="1:5" x14ac:dyDescent="0.25">
      <c r="A19395" t="s">
        <v>4</v>
      </c>
      <c r="B19395" t="s">
        <v>4111</v>
      </c>
      <c r="C19395" t="s">
        <v>23490</v>
      </c>
      <c r="D19395" t="str">
        <f>HYPERLINK("https://rhld.insurance.arkansas.gov/NPILookup?Npi=1427038728","1427038728")</f>
        <v>1427038728</v>
      </c>
      <c r="E19395" t="s">
        <v>4925</v>
      </c>
    </row>
    <row r="19396" spans="1:5" x14ac:dyDescent="0.25">
      <c r="A19396" t="s">
        <v>4</v>
      </c>
      <c r="B19396" t="s">
        <v>4111</v>
      </c>
      <c r="C19396" t="s">
        <v>23490</v>
      </c>
      <c r="D19396" t="str">
        <f>HYPERLINK("https://rhld.insurance.arkansas.gov/NPILookup?Npi=1427048677","1427048677")</f>
        <v>1427048677</v>
      </c>
      <c r="E19396" t="s">
        <v>4926</v>
      </c>
    </row>
    <row r="19397" spans="1:5" x14ac:dyDescent="0.25">
      <c r="A19397" t="s">
        <v>4</v>
      </c>
      <c r="B19397" t="s">
        <v>4111</v>
      </c>
      <c r="C19397" t="s">
        <v>23490</v>
      </c>
      <c r="D19397" t="str">
        <f>HYPERLINK("https://rhld.insurance.arkansas.gov/NPILookup?Npi=1427051663","1427051663")</f>
        <v>1427051663</v>
      </c>
      <c r="E19397" t="s">
        <v>4927</v>
      </c>
    </row>
    <row r="19398" spans="1:5" x14ac:dyDescent="0.25">
      <c r="A19398" t="s">
        <v>4</v>
      </c>
      <c r="B19398" t="s">
        <v>4111</v>
      </c>
      <c r="C19398" t="s">
        <v>23490</v>
      </c>
      <c r="D19398" t="str">
        <f>HYPERLINK("https://rhld.insurance.arkansas.gov/NPILookup?Npi=1427058494","1427058494")</f>
        <v>1427058494</v>
      </c>
      <c r="E19398" t="s">
        <v>4928</v>
      </c>
    </row>
    <row r="19399" spans="1:5" x14ac:dyDescent="0.25">
      <c r="A19399" t="s">
        <v>4</v>
      </c>
      <c r="B19399" t="s">
        <v>4111</v>
      </c>
      <c r="C19399" t="s">
        <v>23490</v>
      </c>
      <c r="D19399" t="str">
        <f>HYPERLINK("https://rhld.insurance.arkansas.gov/NPILookup?Npi=1427061175","1427061175")</f>
        <v>1427061175</v>
      </c>
      <c r="E19399" t="s">
        <v>4929</v>
      </c>
    </row>
    <row r="19400" spans="1:5" x14ac:dyDescent="0.25">
      <c r="A19400" t="s">
        <v>4</v>
      </c>
      <c r="B19400" t="s">
        <v>4111</v>
      </c>
      <c r="C19400" t="s">
        <v>23490</v>
      </c>
      <c r="D19400" t="str">
        <f>HYPERLINK("https://rhld.insurance.arkansas.gov/NPILookup?Npi=1427062645","1427062645")</f>
        <v>1427062645</v>
      </c>
      <c r="E19400" t="s">
        <v>16096</v>
      </c>
    </row>
    <row r="19401" spans="1:5" x14ac:dyDescent="0.25">
      <c r="A19401" t="s">
        <v>4</v>
      </c>
      <c r="B19401" t="s">
        <v>4111</v>
      </c>
      <c r="C19401" t="s">
        <v>23490</v>
      </c>
      <c r="D19401" t="str">
        <f>HYPERLINK("https://rhld.insurance.arkansas.gov/NPILookup?Npi=1427067230","1427067230")</f>
        <v>1427067230</v>
      </c>
      <c r="E19401" t="s">
        <v>16097</v>
      </c>
    </row>
    <row r="19402" spans="1:5" x14ac:dyDescent="0.25">
      <c r="A19402" t="s">
        <v>4</v>
      </c>
      <c r="B19402" t="s">
        <v>4111</v>
      </c>
      <c r="C19402" t="s">
        <v>23490</v>
      </c>
      <c r="D19402" t="str">
        <f>HYPERLINK("https://rhld.insurance.arkansas.gov/NPILookup?Npi=1427081454","1427081454")</f>
        <v>1427081454</v>
      </c>
      <c r="E19402" t="s">
        <v>4930</v>
      </c>
    </row>
    <row r="19403" spans="1:5" x14ac:dyDescent="0.25">
      <c r="A19403" t="s">
        <v>4</v>
      </c>
      <c r="B19403" t="s">
        <v>4111</v>
      </c>
      <c r="C19403" t="s">
        <v>23490</v>
      </c>
      <c r="D19403" t="str">
        <f>HYPERLINK("https://rhld.insurance.arkansas.gov/NPILookup?Npi=1427102649","1427102649")</f>
        <v>1427102649</v>
      </c>
      <c r="E19403" t="s">
        <v>4931</v>
      </c>
    </row>
    <row r="19404" spans="1:5" x14ac:dyDescent="0.25">
      <c r="A19404" t="s">
        <v>4</v>
      </c>
      <c r="B19404" t="s">
        <v>4111</v>
      </c>
      <c r="C19404" t="s">
        <v>23490</v>
      </c>
      <c r="D19404" t="str">
        <f>HYPERLINK("https://rhld.insurance.arkansas.gov/NPILookup?Npi=1427111434","1427111434")</f>
        <v>1427111434</v>
      </c>
      <c r="E19404" t="s">
        <v>4932</v>
      </c>
    </row>
    <row r="19405" spans="1:5" x14ac:dyDescent="0.25">
      <c r="A19405" t="s">
        <v>4</v>
      </c>
      <c r="B19405" t="s">
        <v>4111</v>
      </c>
      <c r="C19405" t="s">
        <v>23490</v>
      </c>
      <c r="D19405" t="str">
        <f>HYPERLINK("https://rhld.insurance.arkansas.gov/NPILookup?Npi=1427141985","1427141985")</f>
        <v>1427141985</v>
      </c>
      <c r="E19405" t="s">
        <v>14065</v>
      </c>
    </row>
    <row r="19406" spans="1:5" x14ac:dyDescent="0.25">
      <c r="A19406" t="s">
        <v>4</v>
      </c>
      <c r="B19406" t="s">
        <v>4111</v>
      </c>
      <c r="C19406" t="s">
        <v>23490</v>
      </c>
      <c r="D19406" t="str">
        <f>HYPERLINK("https://rhld.insurance.arkansas.gov/NPILookup?Npi=1427160910","1427160910")</f>
        <v>1427160910</v>
      </c>
      <c r="E19406" t="s">
        <v>13531</v>
      </c>
    </row>
    <row r="19407" spans="1:5" x14ac:dyDescent="0.25">
      <c r="A19407" t="s">
        <v>4</v>
      </c>
      <c r="B19407" t="s">
        <v>4111</v>
      </c>
      <c r="C19407" t="s">
        <v>23490</v>
      </c>
      <c r="D19407" t="str">
        <f>HYPERLINK("https://rhld.insurance.arkansas.gov/NPILookup?Npi=1427186493","1427186493")</f>
        <v>1427186493</v>
      </c>
      <c r="E19407" t="s">
        <v>4933</v>
      </c>
    </row>
    <row r="19408" spans="1:5" x14ac:dyDescent="0.25">
      <c r="A19408" t="s">
        <v>4</v>
      </c>
      <c r="B19408" t="s">
        <v>4111</v>
      </c>
      <c r="C19408" t="s">
        <v>23490</v>
      </c>
      <c r="D19408" t="str">
        <f>HYPERLINK("https://rhld.insurance.arkansas.gov/NPILookup?Npi=1427192632","1427192632")</f>
        <v>1427192632</v>
      </c>
      <c r="E19408" t="s">
        <v>4934</v>
      </c>
    </row>
    <row r="19409" spans="1:5" x14ac:dyDescent="0.25">
      <c r="A19409" t="s">
        <v>4</v>
      </c>
      <c r="B19409" t="s">
        <v>4111</v>
      </c>
      <c r="C19409" t="s">
        <v>23490</v>
      </c>
      <c r="D19409" t="str">
        <f>HYPERLINK("https://rhld.insurance.arkansas.gov/NPILookup?Npi=1427204643","1427204643")</f>
        <v>1427204643</v>
      </c>
      <c r="E19409" t="s">
        <v>18346</v>
      </c>
    </row>
    <row r="19410" spans="1:5" x14ac:dyDescent="0.25">
      <c r="A19410" t="s">
        <v>4</v>
      </c>
      <c r="B19410" t="s">
        <v>4111</v>
      </c>
      <c r="C19410" t="s">
        <v>23490</v>
      </c>
      <c r="D19410" t="str">
        <f>HYPERLINK("https://rhld.insurance.arkansas.gov/NPILookup?Npi=1427206374","1427206374")</f>
        <v>1427206374</v>
      </c>
      <c r="E19410" t="s">
        <v>14066</v>
      </c>
    </row>
    <row r="19411" spans="1:5" x14ac:dyDescent="0.25">
      <c r="A19411" t="s">
        <v>4</v>
      </c>
      <c r="B19411" t="s">
        <v>4111</v>
      </c>
      <c r="C19411" t="s">
        <v>23490</v>
      </c>
      <c r="D19411" t="str">
        <f>HYPERLINK("https://rhld.insurance.arkansas.gov/NPILookup?Npi=1427208016","1427208016")</f>
        <v>1427208016</v>
      </c>
      <c r="E19411" t="s">
        <v>9089</v>
      </c>
    </row>
    <row r="19412" spans="1:5" x14ac:dyDescent="0.25">
      <c r="A19412" t="s">
        <v>4</v>
      </c>
      <c r="B19412" t="s">
        <v>4111</v>
      </c>
      <c r="C19412" t="s">
        <v>23490</v>
      </c>
      <c r="D19412" t="str">
        <f>HYPERLINK("https://rhld.insurance.arkansas.gov/NPILookup?Npi=1427224435","1427224435")</f>
        <v>1427224435</v>
      </c>
      <c r="E19412" t="s">
        <v>4935</v>
      </c>
    </row>
    <row r="19413" spans="1:5" x14ac:dyDescent="0.25">
      <c r="A19413" t="s">
        <v>4</v>
      </c>
      <c r="B19413" t="s">
        <v>4111</v>
      </c>
      <c r="C19413" t="s">
        <v>23490</v>
      </c>
      <c r="D19413" t="str">
        <f>HYPERLINK("https://rhld.insurance.arkansas.gov/NPILookup?Npi=1427226497","1427226497")</f>
        <v>1427226497</v>
      </c>
      <c r="E19413" t="s">
        <v>4936</v>
      </c>
    </row>
    <row r="19414" spans="1:5" x14ac:dyDescent="0.25">
      <c r="A19414" t="s">
        <v>4</v>
      </c>
      <c r="B19414" t="s">
        <v>4111</v>
      </c>
      <c r="C19414" t="s">
        <v>23490</v>
      </c>
      <c r="D19414" t="str">
        <f>HYPERLINK("https://rhld.insurance.arkansas.gov/NPILookup?Npi=1427253970","1427253970")</f>
        <v>1427253970</v>
      </c>
      <c r="E19414" t="s">
        <v>9090</v>
      </c>
    </row>
    <row r="19415" spans="1:5" x14ac:dyDescent="0.25">
      <c r="A19415" t="s">
        <v>4</v>
      </c>
      <c r="B19415" t="s">
        <v>4111</v>
      </c>
      <c r="C19415" t="s">
        <v>23490</v>
      </c>
      <c r="D19415" t="str">
        <f>HYPERLINK("https://rhld.insurance.arkansas.gov/NPILookup?Npi=1427268838","1427268838")</f>
        <v>1427268838</v>
      </c>
      <c r="E19415" t="s">
        <v>4937</v>
      </c>
    </row>
    <row r="19416" spans="1:5" x14ac:dyDescent="0.25">
      <c r="A19416" t="s">
        <v>4</v>
      </c>
      <c r="B19416" t="s">
        <v>4111</v>
      </c>
      <c r="C19416" t="s">
        <v>23490</v>
      </c>
      <c r="D19416" t="str">
        <f>HYPERLINK("https://rhld.insurance.arkansas.gov/NPILookup?Npi=1427276823","1427276823")</f>
        <v>1427276823</v>
      </c>
      <c r="E19416" t="s">
        <v>4938</v>
      </c>
    </row>
    <row r="19417" spans="1:5" x14ac:dyDescent="0.25">
      <c r="A19417" t="s">
        <v>4</v>
      </c>
      <c r="B19417" t="s">
        <v>4111</v>
      </c>
      <c r="C19417" t="s">
        <v>23490</v>
      </c>
      <c r="D19417" t="str">
        <f>HYPERLINK("https://rhld.insurance.arkansas.gov/NPILookup?Npi=1427300532","1427300532")</f>
        <v>1427300532</v>
      </c>
      <c r="E19417" t="s">
        <v>4939</v>
      </c>
    </row>
    <row r="19418" spans="1:5" x14ac:dyDescent="0.25">
      <c r="A19418" t="s">
        <v>4</v>
      </c>
      <c r="B19418" t="s">
        <v>4111</v>
      </c>
      <c r="C19418" t="s">
        <v>23490</v>
      </c>
      <c r="D19418" t="str">
        <f>HYPERLINK("https://rhld.insurance.arkansas.gov/NPILookup?Npi=1427305663","1427305663")</f>
        <v>1427305663</v>
      </c>
      <c r="E19418" t="s">
        <v>4940</v>
      </c>
    </row>
    <row r="19419" spans="1:5" x14ac:dyDescent="0.25">
      <c r="A19419" t="s">
        <v>4</v>
      </c>
      <c r="B19419" t="s">
        <v>4111</v>
      </c>
      <c r="C19419" t="s">
        <v>23490</v>
      </c>
      <c r="D19419" t="str">
        <f>HYPERLINK("https://rhld.insurance.arkansas.gov/NPILookup?Npi=1427306208","1427306208")</f>
        <v>1427306208</v>
      </c>
      <c r="E19419" t="s">
        <v>13134</v>
      </c>
    </row>
    <row r="19420" spans="1:5" x14ac:dyDescent="0.25">
      <c r="A19420" t="s">
        <v>4</v>
      </c>
      <c r="B19420" t="s">
        <v>4111</v>
      </c>
      <c r="C19420" t="s">
        <v>23490</v>
      </c>
      <c r="D19420" t="str">
        <f>HYPERLINK("https://rhld.insurance.arkansas.gov/NPILookup?Npi=1427313667","1427313667")</f>
        <v>1427313667</v>
      </c>
      <c r="E19420" t="s">
        <v>4941</v>
      </c>
    </row>
    <row r="19421" spans="1:5" x14ac:dyDescent="0.25">
      <c r="A19421" t="s">
        <v>4</v>
      </c>
      <c r="B19421" t="s">
        <v>4111</v>
      </c>
      <c r="C19421" t="s">
        <v>23490</v>
      </c>
      <c r="D19421" t="str">
        <f>HYPERLINK("https://rhld.insurance.arkansas.gov/NPILookup?Npi=1427320258","1427320258")</f>
        <v>1427320258</v>
      </c>
      <c r="E19421" t="s">
        <v>11678</v>
      </c>
    </row>
    <row r="19422" spans="1:5" x14ac:dyDescent="0.25">
      <c r="A19422" t="s">
        <v>4</v>
      </c>
      <c r="B19422" t="s">
        <v>4111</v>
      </c>
      <c r="C19422" t="s">
        <v>23490</v>
      </c>
      <c r="D19422" t="str">
        <f>HYPERLINK("https://rhld.insurance.arkansas.gov/NPILookup?Npi=1427327782","1427327782")</f>
        <v>1427327782</v>
      </c>
      <c r="E19422" t="s">
        <v>11679</v>
      </c>
    </row>
    <row r="19423" spans="1:5" x14ac:dyDescent="0.25">
      <c r="A19423" t="s">
        <v>4</v>
      </c>
      <c r="B19423" t="s">
        <v>4111</v>
      </c>
      <c r="C19423" t="s">
        <v>23490</v>
      </c>
      <c r="D19423" t="str">
        <f>HYPERLINK("https://rhld.insurance.arkansas.gov/NPILookup?Npi=1427335975","1427335975")</f>
        <v>1427335975</v>
      </c>
      <c r="E19423" t="s">
        <v>17583</v>
      </c>
    </row>
    <row r="19424" spans="1:5" x14ac:dyDescent="0.25">
      <c r="A19424" t="s">
        <v>4</v>
      </c>
      <c r="B19424" t="s">
        <v>4111</v>
      </c>
      <c r="C19424" t="s">
        <v>23490</v>
      </c>
      <c r="D19424" t="str">
        <f>HYPERLINK("https://rhld.insurance.arkansas.gov/NPILookup?Npi=1427369073","1427369073")</f>
        <v>1427369073</v>
      </c>
      <c r="E19424" t="s">
        <v>16098</v>
      </c>
    </row>
    <row r="19425" spans="1:5" x14ac:dyDescent="0.25">
      <c r="A19425" t="s">
        <v>4</v>
      </c>
      <c r="B19425" t="s">
        <v>4111</v>
      </c>
      <c r="C19425" t="s">
        <v>23490</v>
      </c>
      <c r="D19425" t="str">
        <f>HYPERLINK("https://rhld.insurance.arkansas.gov/NPILookup?Npi=1427375484","1427375484")</f>
        <v>1427375484</v>
      </c>
      <c r="E19425" t="s">
        <v>4942</v>
      </c>
    </row>
    <row r="19426" spans="1:5" x14ac:dyDescent="0.25">
      <c r="A19426" t="s">
        <v>4</v>
      </c>
      <c r="B19426" t="s">
        <v>4111</v>
      </c>
      <c r="C19426" t="s">
        <v>23490</v>
      </c>
      <c r="D19426" t="str">
        <f>HYPERLINK("https://rhld.insurance.arkansas.gov/NPILookup?Npi=1427377191","1427377191")</f>
        <v>1427377191</v>
      </c>
      <c r="E19426" t="s">
        <v>14067</v>
      </c>
    </row>
    <row r="19427" spans="1:5" x14ac:dyDescent="0.25">
      <c r="A19427" t="s">
        <v>4</v>
      </c>
      <c r="B19427" t="s">
        <v>4111</v>
      </c>
      <c r="C19427" t="s">
        <v>23490</v>
      </c>
      <c r="D19427" t="str">
        <f>HYPERLINK("https://rhld.insurance.arkansas.gov/NPILookup?Npi=1427390293","1427390293")</f>
        <v>1427390293</v>
      </c>
      <c r="E19427" t="s">
        <v>16099</v>
      </c>
    </row>
    <row r="19428" spans="1:5" x14ac:dyDescent="0.25">
      <c r="A19428" t="s">
        <v>4</v>
      </c>
      <c r="B19428" t="s">
        <v>4111</v>
      </c>
      <c r="C19428" t="s">
        <v>23490</v>
      </c>
      <c r="D19428" t="str">
        <f>HYPERLINK("https://rhld.insurance.arkansas.gov/NPILookup?Npi=1427401884","1427401884")</f>
        <v>1427401884</v>
      </c>
      <c r="E19428" t="s">
        <v>17584</v>
      </c>
    </row>
    <row r="19429" spans="1:5" x14ac:dyDescent="0.25">
      <c r="A19429" t="s">
        <v>4</v>
      </c>
      <c r="B19429" t="s">
        <v>4111</v>
      </c>
      <c r="C19429" t="s">
        <v>23490</v>
      </c>
      <c r="D19429" t="str">
        <f>HYPERLINK("https://rhld.insurance.arkansas.gov/NPILookup?Npi=1427417443","1427417443")</f>
        <v>1427417443</v>
      </c>
      <c r="E19429" t="s">
        <v>22052</v>
      </c>
    </row>
    <row r="19430" spans="1:5" x14ac:dyDescent="0.25">
      <c r="A19430" t="s">
        <v>4</v>
      </c>
      <c r="B19430" t="s">
        <v>4111</v>
      </c>
      <c r="C19430" t="s">
        <v>23490</v>
      </c>
      <c r="D19430" t="str">
        <f>HYPERLINK("https://rhld.insurance.arkansas.gov/NPILookup?Npi=1427417823","1427417823")</f>
        <v>1427417823</v>
      </c>
      <c r="E19430" t="s">
        <v>14068</v>
      </c>
    </row>
    <row r="19431" spans="1:5" x14ac:dyDescent="0.25">
      <c r="A19431" t="s">
        <v>4</v>
      </c>
      <c r="B19431" t="s">
        <v>4111</v>
      </c>
      <c r="C19431" t="s">
        <v>23490</v>
      </c>
      <c r="D19431" t="str">
        <f>HYPERLINK("https://rhld.insurance.arkansas.gov/NPILookup?Npi=1427420637","1427420637")</f>
        <v>1427420637</v>
      </c>
      <c r="E19431" t="s">
        <v>6956</v>
      </c>
    </row>
    <row r="19432" spans="1:5" x14ac:dyDescent="0.25">
      <c r="A19432" t="s">
        <v>4</v>
      </c>
      <c r="B19432" t="s">
        <v>4111</v>
      </c>
      <c r="C19432" t="s">
        <v>23490</v>
      </c>
      <c r="D19432" t="str">
        <f>HYPERLINK("https://rhld.insurance.arkansas.gov/NPILookup?Npi=1427427368","1427427368")</f>
        <v>1427427368</v>
      </c>
      <c r="E19432" t="s">
        <v>4943</v>
      </c>
    </row>
    <row r="19433" spans="1:5" x14ac:dyDescent="0.25">
      <c r="A19433" t="s">
        <v>4</v>
      </c>
      <c r="B19433" t="s">
        <v>4111</v>
      </c>
      <c r="C19433" t="s">
        <v>23490</v>
      </c>
      <c r="D19433" t="str">
        <f>HYPERLINK("https://rhld.insurance.arkansas.gov/NPILookup?Npi=1427432640","1427432640")</f>
        <v>1427432640</v>
      </c>
      <c r="E19433" t="s">
        <v>14069</v>
      </c>
    </row>
    <row r="19434" spans="1:5" x14ac:dyDescent="0.25">
      <c r="A19434" t="s">
        <v>4</v>
      </c>
      <c r="B19434" t="s">
        <v>4111</v>
      </c>
      <c r="C19434" t="s">
        <v>23490</v>
      </c>
      <c r="D19434" t="str">
        <f>HYPERLINK("https://rhld.insurance.arkansas.gov/NPILookup?Npi=1427440254","1427440254")</f>
        <v>1427440254</v>
      </c>
      <c r="E19434" t="s">
        <v>14070</v>
      </c>
    </row>
    <row r="19435" spans="1:5" x14ac:dyDescent="0.25">
      <c r="A19435" t="s">
        <v>4</v>
      </c>
      <c r="B19435" t="s">
        <v>4111</v>
      </c>
      <c r="C19435" t="s">
        <v>23490</v>
      </c>
      <c r="D19435" t="str">
        <f>HYPERLINK("https://rhld.insurance.arkansas.gov/NPILookup?Npi=1427449651","1427449651")</f>
        <v>1427449651</v>
      </c>
      <c r="E19435" t="s">
        <v>16100</v>
      </c>
    </row>
    <row r="19436" spans="1:5" x14ac:dyDescent="0.25">
      <c r="A19436" t="s">
        <v>4</v>
      </c>
      <c r="B19436" t="s">
        <v>4111</v>
      </c>
      <c r="C19436" t="s">
        <v>23490</v>
      </c>
      <c r="D19436" t="str">
        <f>HYPERLINK("https://rhld.insurance.arkansas.gov/NPILookup?Npi=1427458272","1427458272")</f>
        <v>1427458272</v>
      </c>
      <c r="E19436" t="s">
        <v>4944</v>
      </c>
    </row>
    <row r="19437" spans="1:5" x14ac:dyDescent="0.25">
      <c r="A19437" t="s">
        <v>4</v>
      </c>
      <c r="B19437" t="s">
        <v>4111</v>
      </c>
      <c r="C19437" t="s">
        <v>23490</v>
      </c>
      <c r="D19437" t="str">
        <f>HYPERLINK("https://rhld.insurance.arkansas.gov/NPILookup?Npi=1427479427","1427479427")</f>
        <v>1427479427</v>
      </c>
      <c r="E19437" t="s">
        <v>9091</v>
      </c>
    </row>
    <row r="19438" spans="1:5" x14ac:dyDescent="0.25">
      <c r="A19438" t="s">
        <v>4</v>
      </c>
      <c r="B19438" t="s">
        <v>4111</v>
      </c>
      <c r="C19438" t="s">
        <v>23490</v>
      </c>
      <c r="D19438" t="str">
        <f>HYPERLINK("https://rhld.insurance.arkansas.gov/NPILookup?Npi=1427480011","1427480011")</f>
        <v>1427480011</v>
      </c>
      <c r="E19438" t="s">
        <v>16101</v>
      </c>
    </row>
    <row r="19439" spans="1:5" x14ac:dyDescent="0.25">
      <c r="A19439" t="s">
        <v>4</v>
      </c>
      <c r="B19439" t="s">
        <v>4111</v>
      </c>
      <c r="C19439" t="s">
        <v>23490</v>
      </c>
      <c r="D19439" t="str">
        <f>HYPERLINK("https://rhld.insurance.arkansas.gov/NPILookup?Npi=1427480847","1427480847")</f>
        <v>1427480847</v>
      </c>
      <c r="E19439" t="s">
        <v>9092</v>
      </c>
    </row>
    <row r="19440" spans="1:5" x14ac:dyDescent="0.25">
      <c r="A19440" t="s">
        <v>4</v>
      </c>
      <c r="B19440" t="s">
        <v>4111</v>
      </c>
      <c r="C19440" t="s">
        <v>23490</v>
      </c>
      <c r="D19440" t="str">
        <f>HYPERLINK("https://rhld.insurance.arkansas.gov/NPILookup?Npi=1427503028","1427503028")</f>
        <v>1427503028</v>
      </c>
      <c r="E19440" t="s">
        <v>11680</v>
      </c>
    </row>
    <row r="19441" spans="1:5" x14ac:dyDescent="0.25">
      <c r="A19441" t="s">
        <v>4</v>
      </c>
      <c r="B19441" t="s">
        <v>4111</v>
      </c>
      <c r="C19441" t="s">
        <v>23490</v>
      </c>
      <c r="D19441" t="str">
        <f>HYPERLINK("https://rhld.insurance.arkansas.gov/NPILookup?Npi=1427509652","1427509652")</f>
        <v>1427509652</v>
      </c>
      <c r="E19441" t="s">
        <v>22053</v>
      </c>
    </row>
    <row r="19442" spans="1:5" x14ac:dyDescent="0.25">
      <c r="A19442" t="s">
        <v>4</v>
      </c>
      <c r="B19442" t="s">
        <v>4111</v>
      </c>
      <c r="C19442" t="s">
        <v>23490</v>
      </c>
      <c r="D19442" t="str">
        <f>HYPERLINK("https://rhld.insurance.arkansas.gov/NPILookup?Npi=1427512128","1427512128")</f>
        <v>1427512128</v>
      </c>
      <c r="E19442" t="s">
        <v>17585</v>
      </c>
    </row>
    <row r="19443" spans="1:5" x14ac:dyDescent="0.25">
      <c r="A19443" t="s">
        <v>4</v>
      </c>
      <c r="B19443" t="s">
        <v>4111</v>
      </c>
      <c r="C19443" t="s">
        <v>8427</v>
      </c>
      <c r="D19443" t="str">
        <f>HYPERLINK("https://rhld.insurance.arkansas.gov/NPILookup?Npi=1427535202","1427535202")</f>
        <v>1427535202</v>
      </c>
      <c r="E19443" t="s">
        <v>23099</v>
      </c>
    </row>
    <row r="19444" spans="1:5" x14ac:dyDescent="0.25">
      <c r="A19444" t="s">
        <v>4</v>
      </c>
      <c r="B19444" t="s">
        <v>4111</v>
      </c>
      <c r="C19444" t="s">
        <v>23490</v>
      </c>
      <c r="D19444" t="str">
        <f>HYPERLINK("https://rhld.insurance.arkansas.gov/NPILookup?Npi=1427577089","1427577089")</f>
        <v>1427577089</v>
      </c>
      <c r="E19444" t="s">
        <v>21130</v>
      </c>
    </row>
    <row r="19445" spans="1:5" x14ac:dyDescent="0.25">
      <c r="A19445" t="s">
        <v>4</v>
      </c>
      <c r="B19445" t="s">
        <v>4111</v>
      </c>
      <c r="C19445" t="s">
        <v>23490</v>
      </c>
      <c r="D19445" t="str">
        <f>HYPERLINK("https://rhld.insurance.arkansas.gov/NPILookup?Npi=1427595495","1427595495")</f>
        <v>1427595495</v>
      </c>
      <c r="E19445" t="s">
        <v>13135</v>
      </c>
    </row>
    <row r="19446" spans="1:5" x14ac:dyDescent="0.25">
      <c r="A19446" t="s">
        <v>4</v>
      </c>
      <c r="B19446" t="s">
        <v>4111</v>
      </c>
      <c r="C19446" t="s">
        <v>23490</v>
      </c>
      <c r="D19446" t="str">
        <f>HYPERLINK("https://rhld.insurance.arkansas.gov/NPILookup?Npi=1427611433","1427611433")</f>
        <v>1427611433</v>
      </c>
      <c r="E19446" t="s">
        <v>22054</v>
      </c>
    </row>
    <row r="19447" spans="1:5" x14ac:dyDescent="0.25">
      <c r="A19447" t="s">
        <v>4</v>
      </c>
      <c r="B19447" t="s">
        <v>4111</v>
      </c>
      <c r="C19447" t="s">
        <v>8427</v>
      </c>
      <c r="D19447" t="str">
        <f>HYPERLINK("https://rhld.insurance.arkansas.gov/NPILookup?Npi=1427631084","1427631084")</f>
        <v>1427631084</v>
      </c>
      <c r="E19447" t="s">
        <v>23100</v>
      </c>
    </row>
    <row r="19448" spans="1:5" x14ac:dyDescent="0.25">
      <c r="A19448" t="s">
        <v>4</v>
      </c>
      <c r="B19448" t="s">
        <v>4111</v>
      </c>
      <c r="C19448" t="s">
        <v>23490</v>
      </c>
      <c r="D19448" t="str">
        <f>HYPERLINK("https://rhld.insurance.arkansas.gov/NPILookup?Npi=1427633163","1427633163")</f>
        <v>1427633163</v>
      </c>
      <c r="E19448" t="s">
        <v>22055</v>
      </c>
    </row>
    <row r="19449" spans="1:5" x14ac:dyDescent="0.25">
      <c r="A19449" t="s">
        <v>4</v>
      </c>
      <c r="B19449" t="s">
        <v>4111</v>
      </c>
      <c r="C19449" t="s">
        <v>23490</v>
      </c>
      <c r="D19449" t="str">
        <f>HYPERLINK("https://rhld.insurance.arkansas.gov/NPILookup?Npi=1427653575","1427653575")</f>
        <v>1427653575</v>
      </c>
      <c r="E19449" t="s">
        <v>22056</v>
      </c>
    </row>
    <row r="19450" spans="1:5" x14ac:dyDescent="0.25">
      <c r="A19450" t="s">
        <v>4</v>
      </c>
      <c r="B19450" t="s">
        <v>4111</v>
      </c>
      <c r="C19450" t="s">
        <v>23490</v>
      </c>
      <c r="D19450" t="str">
        <f>HYPERLINK("https://rhld.insurance.arkansas.gov/NPILookup?Npi=1427691641","1427691641")</f>
        <v>1427691641</v>
      </c>
      <c r="E19450" t="s">
        <v>20473</v>
      </c>
    </row>
    <row r="19451" spans="1:5" x14ac:dyDescent="0.25">
      <c r="A19451" t="s">
        <v>4</v>
      </c>
      <c r="B19451" t="s">
        <v>4111</v>
      </c>
      <c r="C19451" t="s">
        <v>23490</v>
      </c>
      <c r="D19451" t="str">
        <f>HYPERLINK("https://rhld.insurance.arkansas.gov/NPILookup?Npi=1427709203","1427709203")</f>
        <v>1427709203</v>
      </c>
      <c r="E19451" t="s">
        <v>20474</v>
      </c>
    </row>
    <row r="19452" spans="1:5" x14ac:dyDescent="0.25">
      <c r="A19452" t="s">
        <v>4</v>
      </c>
      <c r="B19452" t="s">
        <v>4111</v>
      </c>
      <c r="C19452" t="s">
        <v>23490</v>
      </c>
      <c r="D19452" t="str">
        <f>HYPERLINK("https://rhld.insurance.arkansas.gov/NPILookup?Npi=1427779610","1427779610")</f>
        <v>1427779610</v>
      </c>
      <c r="E19452" t="s">
        <v>22057</v>
      </c>
    </row>
    <row r="19453" spans="1:5" x14ac:dyDescent="0.25">
      <c r="A19453" t="s">
        <v>4</v>
      </c>
      <c r="B19453" t="s">
        <v>4111</v>
      </c>
      <c r="C19453" t="s">
        <v>23490</v>
      </c>
      <c r="D19453" t="str">
        <f>HYPERLINK("https://rhld.insurance.arkansas.gov/NPILookup?Npi=1427792340","1427792340")</f>
        <v>1427792340</v>
      </c>
      <c r="E19453" t="s">
        <v>21400</v>
      </c>
    </row>
    <row r="19454" spans="1:5" x14ac:dyDescent="0.25">
      <c r="A19454" t="s">
        <v>4</v>
      </c>
      <c r="B19454" t="s">
        <v>4111</v>
      </c>
      <c r="C19454" t="s">
        <v>23490</v>
      </c>
      <c r="D19454" t="str">
        <f>HYPERLINK("https://rhld.insurance.arkansas.gov/NPILookup?Npi=1427792548","1427792548")</f>
        <v>1427792548</v>
      </c>
      <c r="E19454" t="s">
        <v>22058</v>
      </c>
    </row>
    <row r="19455" spans="1:5" x14ac:dyDescent="0.25">
      <c r="A19455" t="s">
        <v>4</v>
      </c>
      <c r="B19455" t="s">
        <v>4111</v>
      </c>
      <c r="C19455" t="s">
        <v>23490</v>
      </c>
      <c r="D19455" t="str">
        <f>HYPERLINK("https://rhld.insurance.arkansas.gov/NPILookup?Npi=1437114980","1437114980")</f>
        <v>1437114980</v>
      </c>
      <c r="E19455" t="s">
        <v>4945</v>
      </c>
    </row>
    <row r="19456" spans="1:5" x14ac:dyDescent="0.25">
      <c r="A19456" t="s">
        <v>4</v>
      </c>
      <c r="B19456" t="s">
        <v>4111</v>
      </c>
      <c r="C19456" t="s">
        <v>23490</v>
      </c>
      <c r="D19456" t="str">
        <f>HYPERLINK("https://rhld.insurance.arkansas.gov/NPILookup?Npi=1437121373","1437121373")</f>
        <v>1437121373</v>
      </c>
      <c r="E19456" t="s">
        <v>4946</v>
      </c>
    </row>
    <row r="19457" spans="1:5" x14ac:dyDescent="0.25">
      <c r="A19457" t="s">
        <v>4</v>
      </c>
      <c r="B19457" t="s">
        <v>4111</v>
      </c>
      <c r="C19457" t="s">
        <v>23490</v>
      </c>
      <c r="D19457" t="str">
        <f>HYPERLINK("https://rhld.insurance.arkansas.gov/NPILookup?Npi=1437162047","1437162047")</f>
        <v>1437162047</v>
      </c>
      <c r="E19457" t="s">
        <v>4947</v>
      </c>
    </row>
    <row r="19458" spans="1:5" x14ac:dyDescent="0.25">
      <c r="A19458" t="s">
        <v>4</v>
      </c>
      <c r="B19458" t="s">
        <v>4111</v>
      </c>
      <c r="C19458" t="s">
        <v>23490</v>
      </c>
      <c r="D19458" t="str">
        <f>HYPERLINK("https://rhld.insurance.arkansas.gov/NPILookup?Npi=1437182649","1437182649")</f>
        <v>1437182649</v>
      </c>
      <c r="E19458" t="s">
        <v>17165</v>
      </c>
    </row>
    <row r="19459" spans="1:5" x14ac:dyDescent="0.25">
      <c r="A19459" t="s">
        <v>4</v>
      </c>
      <c r="B19459" t="s">
        <v>4111</v>
      </c>
      <c r="C19459" t="s">
        <v>23490</v>
      </c>
      <c r="D19459" t="str">
        <f>HYPERLINK("https://rhld.insurance.arkansas.gov/NPILookup?Npi=1437185451","1437185451")</f>
        <v>1437185451</v>
      </c>
      <c r="E19459" t="s">
        <v>14071</v>
      </c>
    </row>
    <row r="19460" spans="1:5" x14ac:dyDescent="0.25">
      <c r="A19460" t="s">
        <v>4</v>
      </c>
      <c r="B19460" t="s">
        <v>4111</v>
      </c>
      <c r="C19460" t="s">
        <v>23490</v>
      </c>
      <c r="D19460" t="str">
        <f>HYPERLINK("https://rhld.insurance.arkansas.gov/NPILookup?Npi=1437190360","1437190360")</f>
        <v>1437190360</v>
      </c>
      <c r="E19460" t="s">
        <v>14072</v>
      </c>
    </row>
    <row r="19461" spans="1:5" x14ac:dyDescent="0.25">
      <c r="A19461" t="s">
        <v>4</v>
      </c>
      <c r="B19461" t="s">
        <v>4111</v>
      </c>
      <c r="C19461" t="s">
        <v>23490</v>
      </c>
      <c r="D19461" t="str">
        <f>HYPERLINK("https://rhld.insurance.arkansas.gov/NPILookup?Npi=1437191228","1437191228")</f>
        <v>1437191228</v>
      </c>
      <c r="E19461" t="s">
        <v>13136</v>
      </c>
    </row>
    <row r="19462" spans="1:5" x14ac:dyDescent="0.25">
      <c r="A19462" t="s">
        <v>4</v>
      </c>
      <c r="B19462" t="s">
        <v>4111</v>
      </c>
      <c r="C19462" t="s">
        <v>23490</v>
      </c>
      <c r="D19462" t="str">
        <f>HYPERLINK("https://rhld.insurance.arkansas.gov/NPILookup?Npi=1437212073","1437212073")</f>
        <v>1437212073</v>
      </c>
      <c r="E19462" t="s">
        <v>2436</v>
      </c>
    </row>
    <row r="19463" spans="1:5" x14ac:dyDescent="0.25">
      <c r="A19463" t="s">
        <v>4</v>
      </c>
      <c r="B19463" t="s">
        <v>4111</v>
      </c>
      <c r="C19463" t="s">
        <v>23490</v>
      </c>
      <c r="D19463" t="str">
        <f>HYPERLINK("https://rhld.insurance.arkansas.gov/NPILookup?Npi=1437212818","1437212818")</f>
        <v>1437212818</v>
      </c>
      <c r="E19463" t="s">
        <v>4948</v>
      </c>
    </row>
    <row r="19464" spans="1:5" x14ac:dyDescent="0.25">
      <c r="A19464" t="s">
        <v>4</v>
      </c>
      <c r="B19464" t="s">
        <v>4111</v>
      </c>
      <c r="C19464" t="s">
        <v>23490</v>
      </c>
      <c r="D19464" t="str">
        <f>HYPERLINK("https://rhld.insurance.arkansas.gov/NPILookup?Npi=1437213113","1437213113")</f>
        <v>1437213113</v>
      </c>
      <c r="E19464" t="s">
        <v>4949</v>
      </c>
    </row>
    <row r="19465" spans="1:5" x14ac:dyDescent="0.25">
      <c r="A19465" t="s">
        <v>4</v>
      </c>
      <c r="B19465" t="s">
        <v>4111</v>
      </c>
      <c r="C19465" t="s">
        <v>23490</v>
      </c>
      <c r="D19465" t="str">
        <f>HYPERLINK("https://rhld.insurance.arkansas.gov/NPILookup?Npi=1437217791","1437217791")</f>
        <v>1437217791</v>
      </c>
      <c r="E19465" t="s">
        <v>4950</v>
      </c>
    </row>
    <row r="19466" spans="1:5" x14ac:dyDescent="0.25">
      <c r="A19466" t="s">
        <v>4</v>
      </c>
      <c r="B19466" t="s">
        <v>4111</v>
      </c>
      <c r="C19466" t="s">
        <v>23490</v>
      </c>
      <c r="D19466" t="str">
        <f>HYPERLINK("https://rhld.insurance.arkansas.gov/NPILookup?Npi=1437228814","1437228814")</f>
        <v>1437228814</v>
      </c>
      <c r="E19466" t="s">
        <v>13137</v>
      </c>
    </row>
    <row r="19467" spans="1:5" x14ac:dyDescent="0.25">
      <c r="A19467" t="s">
        <v>4</v>
      </c>
      <c r="B19467" t="s">
        <v>4111</v>
      </c>
      <c r="C19467" t="s">
        <v>23490</v>
      </c>
      <c r="D19467" t="str">
        <f>HYPERLINK("https://rhld.insurance.arkansas.gov/NPILookup?Npi=1437229549","1437229549")</f>
        <v>1437229549</v>
      </c>
      <c r="E19467" t="s">
        <v>20475</v>
      </c>
    </row>
    <row r="19468" spans="1:5" x14ac:dyDescent="0.25">
      <c r="A19468" t="s">
        <v>4</v>
      </c>
      <c r="B19468" t="s">
        <v>4111</v>
      </c>
      <c r="C19468" t="s">
        <v>23490</v>
      </c>
      <c r="D19468" t="str">
        <f>HYPERLINK("https://rhld.insurance.arkansas.gov/NPILookup?Npi=1437234630","1437234630")</f>
        <v>1437234630</v>
      </c>
      <c r="E19468" t="s">
        <v>13138</v>
      </c>
    </row>
    <row r="19469" spans="1:5" x14ac:dyDescent="0.25">
      <c r="A19469" t="s">
        <v>4</v>
      </c>
      <c r="B19469" t="s">
        <v>4111</v>
      </c>
      <c r="C19469" t="s">
        <v>23490</v>
      </c>
      <c r="D19469" t="str">
        <f>HYPERLINK("https://rhld.insurance.arkansas.gov/NPILookup?Npi=1437249000","1437249000")</f>
        <v>1437249000</v>
      </c>
      <c r="E19469" t="s">
        <v>2920</v>
      </c>
    </row>
    <row r="19470" spans="1:5" x14ac:dyDescent="0.25">
      <c r="A19470" t="s">
        <v>4</v>
      </c>
      <c r="B19470" t="s">
        <v>4111</v>
      </c>
      <c r="C19470" t="s">
        <v>23490</v>
      </c>
      <c r="D19470" t="str">
        <f>HYPERLINK("https://rhld.insurance.arkansas.gov/NPILookup?Npi=1437300761","1437300761")</f>
        <v>1437300761</v>
      </c>
      <c r="E19470" t="s">
        <v>4951</v>
      </c>
    </row>
    <row r="19471" spans="1:5" x14ac:dyDescent="0.25">
      <c r="A19471" t="s">
        <v>4</v>
      </c>
      <c r="B19471" t="s">
        <v>4111</v>
      </c>
      <c r="C19471" t="s">
        <v>23490</v>
      </c>
      <c r="D19471" t="str">
        <f>HYPERLINK("https://rhld.insurance.arkansas.gov/NPILookup?Npi=1437301835","1437301835")</f>
        <v>1437301835</v>
      </c>
      <c r="E19471" t="s">
        <v>11681</v>
      </c>
    </row>
    <row r="19472" spans="1:5" x14ac:dyDescent="0.25">
      <c r="A19472" t="s">
        <v>4</v>
      </c>
      <c r="B19472" t="s">
        <v>4111</v>
      </c>
      <c r="C19472" t="s">
        <v>23490</v>
      </c>
      <c r="D19472" t="str">
        <f>HYPERLINK("https://rhld.insurance.arkansas.gov/NPILookup?Npi=1437306719","1437306719")</f>
        <v>1437306719</v>
      </c>
      <c r="E19472" t="s">
        <v>11682</v>
      </c>
    </row>
    <row r="19473" spans="1:5" x14ac:dyDescent="0.25">
      <c r="A19473" t="s">
        <v>4</v>
      </c>
      <c r="B19473" t="s">
        <v>4111</v>
      </c>
      <c r="C19473" t="s">
        <v>23490</v>
      </c>
      <c r="D19473" t="str">
        <f>HYPERLINK("https://rhld.insurance.arkansas.gov/NPILookup?Npi=1437306800","1437306800")</f>
        <v>1437306800</v>
      </c>
      <c r="E19473" t="s">
        <v>10714</v>
      </c>
    </row>
    <row r="19474" spans="1:5" x14ac:dyDescent="0.25">
      <c r="A19474" t="s">
        <v>4</v>
      </c>
      <c r="B19474" t="s">
        <v>4111</v>
      </c>
      <c r="C19474" t="s">
        <v>23490</v>
      </c>
      <c r="D19474" t="str">
        <f>HYPERLINK("https://rhld.insurance.arkansas.gov/NPILookup?Npi=1437318912","1437318912")</f>
        <v>1437318912</v>
      </c>
      <c r="E19474" t="s">
        <v>4952</v>
      </c>
    </row>
    <row r="19475" spans="1:5" x14ac:dyDescent="0.25">
      <c r="A19475" t="s">
        <v>4</v>
      </c>
      <c r="B19475" t="s">
        <v>4111</v>
      </c>
      <c r="C19475" t="s">
        <v>23490</v>
      </c>
      <c r="D19475" t="str">
        <f>HYPERLINK("https://rhld.insurance.arkansas.gov/NPILookup?Npi=1437328960","1437328960")</f>
        <v>1437328960</v>
      </c>
      <c r="E19475" t="s">
        <v>18347</v>
      </c>
    </row>
    <row r="19476" spans="1:5" x14ac:dyDescent="0.25">
      <c r="A19476" t="s">
        <v>4</v>
      </c>
      <c r="B19476" t="s">
        <v>4111</v>
      </c>
      <c r="C19476" t="s">
        <v>23490</v>
      </c>
      <c r="D19476" t="str">
        <f>HYPERLINK("https://rhld.insurance.arkansas.gov/NPILookup?Npi=1437339157","1437339157")</f>
        <v>1437339157</v>
      </c>
      <c r="E19476" t="s">
        <v>4953</v>
      </c>
    </row>
    <row r="19477" spans="1:5" x14ac:dyDescent="0.25">
      <c r="A19477" t="s">
        <v>4</v>
      </c>
      <c r="B19477" t="s">
        <v>4111</v>
      </c>
      <c r="C19477" t="s">
        <v>23490</v>
      </c>
      <c r="D19477" t="str">
        <f>HYPERLINK("https://rhld.insurance.arkansas.gov/NPILookup?Npi=1437342268","1437342268")</f>
        <v>1437342268</v>
      </c>
      <c r="E19477" t="s">
        <v>4954</v>
      </c>
    </row>
    <row r="19478" spans="1:5" x14ac:dyDescent="0.25">
      <c r="A19478" t="s">
        <v>4</v>
      </c>
      <c r="B19478" t="s">
        <v>4111</v>
      </c>
      <c r="C19478" t="s">
        <v>23490</v>
      </c>
      <c r="D19478" t="str">
        <f>HYPERLINK("https://rhld.insurance.arkansas.gov/NPILookup?Npi=1437349206","1437349206")</f>
        <v>1437349206</v>
      </c>
      <c r="E19478" t="s">
        <v>23101</v>
      </c>
    </row>
    <row r="19479" spans="1:5" x14ac:dyDescent="0.25">
      <c r="A19479" t="s">
        <v>4</v>
      </c>
      <c r="B19479" t="s">
        <v>4111</v>
      </c>
      <c r="C19479" t="s">
        <v>23490</v>
      </c>
      <c r="D19479" t="str">
        <f>HYPERLINK("https://rhld.insurance.arkansas.gov/NPILookup?Npi=1437362019","1437362019")</f>
        <v>1437362019</v>
      </c>
      <c r="E19479" t="s">
        <v>4955</v>
      </c>
    </row>
    <row r="19480" spans="1:5" x14ac:dyDescent="0.25">
      <c r="A19480" t="s">
        <v>4</v>
      </c>
      <c r="B19480" t="s">
        <v>4111</v>
      </c>
      <c r="C19480" t="s">
        <v>23490</v>
      </c>
      <c r="D19480" t="str">
        <f>HYPERLINK("https://rhld.insurance.arkansas.gov/NPILookup?Npi=1437362803","1437362803")</f>
        <v>1437362803</v>
      </c>
      <c r="E19480" t="s">
        <v>4956</v>
      </c>
    </row>
    <row r="19481" spans="1:5" x14ac:dyDescent="0.25">
      <c r="A19481" t="s">
        <v>4</v>
      </c>
      <c r="B19481" t="s">
        <v>4111</v>
      </c>
      <c r="C19481" t="s">
        <v>23490</v>
      </c>
      <c r="D19481" t="str">
        <f>HYPERLINK("https://rhld.insurance.arkansas.gov/NPILookup?Npi=1437379955","1437379955")</f>
        <v>1437379955</v>
      </c>
      <c r="E19481" t="s">
        <v>4957</v>
      </c>
    </row>
    <row r="19482" spans="1:5" x14ac:dyDescent="0.25">
      <c r="A19482" t="s">
        <v>4</v>
      </c>
      <c r="B19482" t="s">
        <v>4111</v>
      </c>
      <c r="C19482" t="s">
        <v>23490</v>
      </c>
      <c r="D19482" t="str">
        <f>HYPERLINK("https://rhld.insurance.arkansas.gov/NPILookup?Npi=1437388204","1437388204")</f>
        <v>1437388204</v>
      </c>
      <c r="E19482" t="s">
        <v>4958</v>
      </c>
    </row>
    <row r="19483" spans="1:5" x14ac:dyDescent="0.25">
      <c r="A19483" t="s">
        <v>4</v>
      </c>
      <c r="B19483" t="s">
        <v>4111</v>
      </c>
      <c r="C19483" t="s">
        <v>23490</v>
      </c>
      <c r="D19483" t="str">
        <f>HYPERLINK("https://rhld.insurance.arkansas.gov/NPILookup?Npi=1437398518","1437398518")</f>
        <v>1437398518</v>
      </c>
      <c r="E19483" t="s">
        <v>4959</v>
      </c>
    </row>
    <row r="19484" spans="1:5" x14ac:dyDescent="0.25">
      <c r="A19484" t="s">
        <v>4</v>
      </c>
      <c r="B19484" t="s">
        <v>4111</v>
      </c>
      <c r="C19484" t="s">
        <v>23490</v>
      </c>
      <c r="D19484" t="str">
        <f>HYPERLINK("https://rhld.insurance.arkansas.gov/NPILookup?Npi=1437406485","1437406485")</f>
        <v>1437406485</v>
      </c>
      <c r="E19484" t="s">
        <v>17166</v>
      </c>
    </row>
    <row r="19485" spans="1:5" x14ac:dyDescent="0.25">
      <c r="A19485" t="s">
        <v>4</v>
      </c>
      <c r="B19485" t="s">
        <v>4111</v>
      </c>
      <c r="C19485" t="s">
        <v>23490</v>
      </c>
      <c r="D19485" t="str">
        <f>HYPERLINK("https://rhld.insurance.arkansas.gov/NPILookup?Npi=1437414059","1437414059")</f>
        <v>1437414059</v>
      </c>
      <c r="E19485" t="s">
        <v>11683</v>
      </c>
    </row>
    <row r="19486" spans="1:5" x14ac:dyDescent="0.25">
      <c r="A19486" t="s">
        <v>4</v>
      </c>
      <c r="B19486" t="s">
        <v>4111</v>
      </c>
      <c r="C19486" t="s">
        <v>23490</v>
      </c>
      <c r="D19486" t="str">
        <f>HYPERLINK("https://rhld.insurance.arkansas.gov/NPILookup?Npi=1437416021","1437416021")</f>
        <v>1437416021</v>
      </c>
      <c r="E19486" t="s">
        <v>16102</v>
      </c>
    </row>
    <row r="19487" spans="1:5" x14ac:dyDescent="0.25">
      <c r="A19487" t="s">
        <v>4</v>
      </c>
      <c r="B19487" t="s">
        <v>4111</v>
      </c>
      <c r="C19487" t="s">
        <v>23490</v>
      </c>
      <c r="D19487" t="str">
        <f>HYPERLINK("https://rhld.insurance.arkansas.gov/NPILookup?Npi=1437419538","1437419538")</f>
        <v>1437419538</v>
      </c>
      <c r="E19487" t="s">
        <v>11684</v>
      </c>
    </row>
    <row r="19488" spans="1:5" x14ac:dyDescent="0.25">
      <c r="A19488" t="s">
        <v>4</v>
      </c>
      <c r="B19488" t="s">
        <v>4111</v>
      </c>
      <c r="C19488" t="s">
        <v>23490</v>
      </c>
      <c r="D19488" t="str">
        <f>HYPERLINK("https://rhld.insurance.arkansas.gov/NPILookup?Npi=1437422458","1437422458")</f>
        <v>1437422458</v>
      </c>
      <c r="E19488" t="s">
        <v>4960</v>
      </c>
    </row>
    <row r="19489" spans="1:5" x14ac:dyDescent="0.25">
      <c r="A19489" t="s">
        <v>4</v>
      </c>
      <c r="B19489" t="s">
        <v>4111</v>
      </c>
      <c r="C19489" t="s">
        <v>23490</v>
      </c>
      <c r="D19489" t="str">
        <f>HYPERLINK("https://rhld.insurance.arkansas.gov/NPILookup?Npi=1437429818","1437429818")</f>
        <v>1437429818</v>
      </c>
      <c r="E19489" t="s">
        <v>4961</v>
      </c>
    </row>
    <row r="19490" spans="1:5" x14ac:dyDescent="0.25">
      <c r="A19490" t="s">
        <v>4</v>
      </c>
      <c r="B19490" t="s">
        <v>4111</v>
      </c>
      <c r="C19490" t="s">
        <v>23490</v>
      </c>
      <c r="D19490" t="str">
        <f>HYPERLINK("https://rhld.insurance.arkansas.gov/NPILookup?Npi=1437455417","1437455417")</f>
        <v>1437455417</v>
      </c>
      <c r="E19490" t="s">
        <v>16103</v>
      </c>
    </row>
    <row r="19491" spans="1:5" x14ac:dyDescent="0.25">
      <c r="A19491" t="s">
        <v>4</v>
      </c>
      <c r="B19491" t="s">
        <v>4111</v>
      </c>
      <c r="C19491" t="s">
        <v>23490</v>
      </c>
      <c r="D19491" t="str">
        <f>HYPERLINK("https://rhld.insurance.arkansas.gov/NPILookup?Npi=1437460615","1437460615")</f>
        <v>1437460615</v>
      </c>
      <c r="E19491" t="s">
        <v>4962</v>
      </c>
    </row>
    <row r="19492" spans="1:5" x14ac:dyDescent="0.25">
      <c r="A19492" t="s">
        <v>4</v>
      </c>
      <c r="B19492" t="s">
        <v>4111</v>
      </c>
      <c r="C19492" t="s">
        <v>23490</v>
      </c>
      <c r="D19492" t="str">
        <f>HYPERLINK("https://rhld.insurance.arkansas.gov/NPILookup?Npi=1437462348","1437462348")</f>
        <v>1437462348</v>
      </c>
      <c r="E19492" t="s">
        <v>17167</v>
      </c>
    </row>
    <row r="19493" spans="1:5" x14ac:dyDescent="0.25">
      <c r="A19493" t="s">
        <v>4</v>
      </c>
      <c r="B19493" t="s">
        <v>4111</v>
      </c>
      <c r="C19493" t="s">
        <v>23490</v>
      </c>
      <c r="D19493" t="str">
        <f>HYPERLINK("https://rhld.insurance.arkansas.gov/NPILookup?Npi=1437471299","1437471299")</f>
        <v>1437471299</v>
      </c>
      <c r="E19493" t="s">
        <v>4963</v>
      </c>
    </row>
    <row r="19494" spans="1:5" x14ac:dyDescent="0.25">
      <c r="A19494" t="s">
        <v>4</v>
      </c>
      <c r="B19494" t="s">
        <v>4111</v>
      </c>
      <c r="C19494" t="s">
        <v>23490</v>
      </c>
      <c r="D19494" t="str">
        <f>HYPERLINK("https://rhld.insurance.arkansas.gov/NPILookup?Npi=1437478740","1437478740")</f>
        <v>1437478740</v>
      </c>
      <c r="E19494" t="s">
        <v>1561</v>
      </c>
    </row>
    <row r="19495" spans="1:5" x14ac:dyDescent="0.25">
      <c r="A19495" t="s">
        <v>4</v>
      </c>
      <c r="B19495" t="s">
        <v>4111</v>
      </c>
      <c r="C19495" t="s">
        <v>23490</v>
      </c>
      <c r="D19495" t="str">
        <f>HYPERLINK("https://rhld.insurance.arkansas.gov/NPILookup?Npi=1437483724","1437483724")</f>
        <v>1437483724</v>
      </c>
      <c r="E19495" t="s">
        <v>14073</v>
      </c>
    </row>
    <row r="19496" spans="1:5" x14ac:dyDescent="0.25">
      <c r="A19496" t="s">
        <v>4</v>
      </c>
      <c r="B19496" t="s">
        <v>4111</v>
      </c>
      <c r="C19496" t="s">
        <v>23490</v>
      </c>
      <c r="D19496" t="str">
        <f>HYPERLINK("https://rhld.insurance.arkansas.gov/NPILookup?Npi=1437493822","1437493822")</f>
        <v>1437493822</v>
      </c>
      <c r="E19496" t="s">
        <v>17168</v>
      </c>
    </row>
    <row r="19497" spans="1:5" x14ac:dyDescent="0.25">
      <c r="A19497" t="s">
        <v>4</v>
      </c>
      <c r="B19497" t="s">
        <v>4111</v>
      </c>
      <c r="C19497" t="s">
        <v>23490</v>
      </c>
      <c r="D19497" t="str">
        <f>HYPERLINK("https://rhld.insurance.arkansas.gov/NPILookup?Npi=1437496718","1437496718")</f>
        <v>1437496718</v>
      </c>
      <c r="E19497" t="s">
        <v>11685</v>
      </c>
    </row>
    <row r="19498" spans="1:5" x14ac:dyDescent="0.25">
      <c r="A19498" t="s">
        <v>4</v>
      </c>
      <c r="B19498" t="s">
        <v>4111</v>
      </c>
      <c r="C19498" t="s">
        <v>23490</v>
      </c>
      <c r="D19498" t="str">
        <f>HYPERLINK("https://rhld.insurance.arkansas.gov/NPILookup?Npi=1437504479","1437504479")</f>
        <v>1437504479</v>
      </c>
      <c r="E19498" t="s">
        <v>9093</v>
      </c>
    </row>
    <row r="19499" spans="1:5" x14ac:dyDescent="0.25">
      <c r="A19499" t="s">
        <v>4</v>
      </c>
      <c r="B19499" t="s">
        <v>4111</v>
      </c>
      <c r="C19499" t="s">
        <v>23490</v>
      </c>
      <c r="D19499" t="str">
        <f>HYPERLINK("https://rhld.insurance.arkansas.gov/NPILookup?Npi=1437536059","1437536059")</f>
        <v>1437536059</v>
      </c>
      <c r="E19499" t="s">
        <v>16104</v>
      </c>
    </row>
    <row r="19500" spans="1:5" x14ac:dyDescent="0.25">
      <c r="A19500" t="s">
        <v>4</v>
      </c>
      <c r="B19500" t="s">
        <v>4111</v>
      </c>
      <c r="C19500" t="s">
        <v>23490</v>
      </c>
      <c r="D19500" t="str">
        <f>HYPERLINK("https://rhld.insurance.arkansas.gov/NPILookup?Npi=1437538402","1437538402")</f>
        <v>1437538402</v>
      </c>
      <c r="E19500" t="s">
        <v>4964</v>
      </c>
    </row>
    <row r="19501" spans="1:5" x14ac:dyDescent="0.25">
      <c r="A19501" t="s">
        <v>4</v>
      </c>
      <c r="B19501" t="s">
        <v>4111</v>
      </c>
      <c r="C19501" t="s">
        <v>23490</v>
      </c>
      <c r="D19501" t="str">
        <f>HYPERLINK("https://rhld.insurance.arkansas.gov/NPILookup?Npi=1437540846","1437540846")</f>
        <v>1437540846</v>
      </c>
      <c r="E19501" t="s">
        <v>4965</v>
      </c>
    </row>
    <row r="19502" spans="1:5" x14ac:dyDescent="0.25">
      <c r="A19502" t="s">
        <v>4</v>
      </c>
      <c r="B19502" t="s">
        <v>4111</v>
      </c>
      <c r="C19502" t="s">
        <v>23490</v>
      </c>
      <c r="D19502" t="str">
        <f>HYPERLINK("https://rhld.insurance.arkansas.gov/NPILookup?Npi=1437551454","1437551454")</f>
        <v>1437551454</v>
      </c>
      <c r="E19502" t="s">
        <v>22059</v>
      </c>
    </row>
    <row r="19503" spans="1:5" x14ac:dyDescent="0.25">
      <c r="A19503" t="s">
        <v>4</v>
      </c>
      <c r="B19503" t="s">
        <v>4111</v>
      </c>
      <c r="C19503" t="s">
        <v>23490</v>
      </c>
      <c r="D19503" t="str">
        <f>HYPERLINK("https://rhld.insurance.arkansas.gov/NPILookup?Npi=1437552296","1437552296")</f>
        <v>1437552296</v>
      </c>
      <c r="E19503" t="s">
        <v>4966</v>
      </c>
    </row>
    <row r="19504" spans="1:5" x14ac:dyDescent="0.25">
      <c r="A19504" t="s">
        <v>4</v>
      </c>
      <c r="B19504" t="s">
        <v>4111</v>
      </c>
      <c r="C19504" t="s">
        <v>23490</v>
      </c>
      <c r="D19504" t="str">
        <f>HYPERLINK("https://rhld.insurance.arkansas.gov/NPILookup?Npi=1437559200","1437559200")</f>
        <v>1437559200</v>
      </c>
      <c r="E19504" t="s">
        <v>22060</v>
      </c>
    </row>
    <row r="19505" spans="1:5" x14ac:dyDescent="0.25">
      <c r="A19505" t="s">
        <v>4</v>
      </c>
      <c r="B19505" t="s">
        <v>4111</v>
      </c>
      <c r="C19505" t="s">
        <v>23490</v>
      </c>
      <c r="D19505" t="str">
        <f>HYPERLINK("https://rhld.insurance.arkansas.gov/NPILookup?Npi=1437560679","1437560679")</f>
        <v>1437560679</v>
      </c>
      <c r="E19505" t="s">
        <v>11686</v>
      </c>
    </row>
    <row r="19506" spans="1:5" x14ac:dyDescent="0.25">
      <c r="A19506" t="s">
        <v>4</v>
      </c>
      <c r="B19506" t="s">
        <v>4111</v>
      </c>
      <c r="C19506" t="s">
        <v>23490</v>
      </c>
      <c r="D19506" t="str">
        <f>HYPERLINK("https://rhld.insurance.arkansas.gov/NPILookup?Npi=1437563988","1437563988")</f>
        <v>1437563988</v>
      </c>
      <c r="E19506" t="s">
        <v>11687</v>
      </c>
    </row>
    <row r="19507" spans="1:5" x14ac:dyDescent="0.25">
      <c r="A19507" t="s">
        <v>4</v>
      </c>
      <c r="B19507" t="s">
        <v>4111</v>
      </c>
      <c r="C19507" t="s">
        <v>23490</v>
      </c>
      <c r="D19507" t="str">
        <f>HYPERLINK("https://rhld.insurance.arkansas.gov/NPILookup?Npi=1437587995","1437587995")</f>
        <v>1437587995</v>
      </c>
      <c r="E19507" t="s">
        <v>22061</v>
      </c>
    </row>
    <row r="19508" spans="1:5" x14ac:dyDescent="0.25">
      <c r="A19508" t="s">
        <v>4</v>
      </c>
      <c r="B19508" t="s">
        <v>4111</v>
      </c>
      <c r="C19508" t="s">
        <v>23490</v>
      </c>
      <c r="D19508" t="str">
        <f>HYPERLINK("https://rhld.insurance.arkansas.gov/NPILookup?Npi=1437589777","1437589777")</f>
        <v>1437589777</v>
      </c>
      <c r="E19508" t="s">
        <v>16105</v>
      </c>
    </row>
    <row r="19509" spans="1:5" x14ac:dyDescent="0.25">
      <c r="A19509" t="s">
        <v>4</v>
      </c>
      <c r="B19509" t="s">
        <v>4111</v>
      </c>
      <c r="C19509" t="s">
        <v>23490</v>
      </c>
      <c r="D19509" t="str">
        <f>HYPERLINK("https://rhld.insurance.arkansas.gov/NPILookup?Npi=1437599743","1437599743")</f>
        <v>1437599743</v>
      </c>
      <c r="E19509" t="s">
        <v>14074</v>
      </c>
    </row>
    <row r="19510" spans="1:5" x14ac:dyDescent="0.25">
      <c r="A19510" t="s">
        <v>4</v>
      </c>
      <c r="B19510" t="s">
        <v>4111</v>
      </c>
      <c r="C19510" t="s">
        <v>23490</v>
      </c>
      <c r="D19510" t="str">
        <f>HYPERLINK("https://rhld.insurance.arkansas.gov/NPILookup?Npi=1437613148","1437613148")</f>
        <v>1437613148</v>
      </c>
      <c r="E19510" t="s">
        <v>22062</v>
      </c>
    </row>
    <row r="19511" spans="1:5" x14ac:dyDescent="0.25">
      <c r="A19511" t="s">
        <v>4</v>
      </c>
      <c r="B19511" t="s">
        <v>4111</v>
      </c>
      <c r="C19511" t="s">
        <v>23490</v>
      </c>
      <c r="D19511" t="str">
        <f>HYPERLINK("https://rhld.insurance.arkansas.gov/NPILookup?Npi=1437615507","1437615507")</f>
        <v>1437615507</v>
      </c>
      <c r="E19511" t="s">
        <v>23102</v>
      </c>
    </row>
    <row r="19512" spans="1:5" x14ac:dyDescent="0.25">
      <c r="A19512" t="s">
        <v>4</v>
      </c>
      <c r="B19512" t="s">
        <v>4111</v>
      </c>
      <c r="C19512" t="s">
        <v>23490</v>
      </c>
      <c r="D19512" t="str">
        <f>HYPERLINK("https://rhld.insurance.arkansas.gov/NPILookup?Npi=1437655040","1437655040")</f>
        <v>1437655040</v>
      </c>
      <c r="E19512" t="s">
        <v>22063</v>
      </c>
    </row>
    <row r="19513" spans="1:5" x14ac:dyDescent="0.25">
      <c r="A19513" t="s">
        <v>4</v>
      </c>
      <c r="B19513" t="s">
        <v>4111</v>
      </c>
      <c r="C19513" t="s">
        <v>23490</v>
      </c>
      <c r="D19513" t="str">
        <f>HYPERLINK("https://rhld.insurance.arkansas.gov/NPILookup?Npi=1437658838","1437658838")</f>
        <v>1437658838</v>
      </c>
      <c r="E19513" t="s">
        <v>23103</v>
      </c>
    </row>
    <row r="19514" spans="1:5" x14ac:dyDescent="0.25">
      <c r="A19514" t="s">
        <v>4</v>
      </c>
      <c r="B19514" t="s">
        <v>4111</v>
      </c>
      <c r="C19514" t="s">
        <v>23490</v>
      </c>
      <c r="D19514" t="str">
        <f>HYPERLINK("https://rhld.insurance.arkansas.gov/NPILookup?Npi=1437660925","1437660925")</f>
        <v>1437660925</v>
      </c>
      <c r="E19514" t="s">
        <v>17169</v>
      </c>
    </row>
    <row r="19515" spans="1:5" x14ac:dyDescent="0.25">
      <c r="A19515" t="s">
        <v>4</v>
      </c>
      <c r="B19515" t="s">
        <v>4111</v>
      </c>
      <c r="C19515" t="s">
        <v>23490</v>
      </c>
      <c r="D19515" t="str">
        <f>HYPERLINK("https://rhld.insurance.arkansas.gov/NPILookup?Npi=1437674603","1437674603")</f>
        <v>1437674603</v>
      </c>
      <c r="E19515" t="s">
        <v>22064</v>
      </c>
    </row>
    <row r="19516" spans="1:5" x14ac:dyDescent="0.25">
      <c r="A19516" t="s">
        <v>4</v>
      </c>
      <c r="B19516" t="s">
        <v>4111</v>
      </c>
      <c r="C19516" t="s">
        <v>23490</v>
      </c>
      <c r="D19516" t="str">
        <f>HYPERLINK("https://rhld.insurance.arkansas.gov/NPILookup?Npi=1437692720","1437692720")</f>
        <v>1437692720</v>
      </c>
      <c r="E19516" t="s">
        <v>23104</v>
      </c>
    </row>
    <row r="19517" spans="1:5" x14ac:dyDescent="0.25">
      <c r="A19517" t="s">
        <v>4</v>
      </c>
      <c r="B19517" t="s">
        <v>4111</v>
      </c>
      <c r="C19517" t="s">
        <v>23490</v>
      </c>
      <c r="D19517" t="str">
        <f>HYPERLINK("https://rhld.insurance.arkansas.gov/NPILookup?Npi=1437696168","1437696168")</f>
        <v>1437696168</v>
      </c>
      <c r="E19517" t="s">
        <v>14075</v>
      </c>
    </row>
    <row r="19518" spans="1:5" x14ac:dyDescent="0.25">
      <c r="A19518" t="s">
        <v>4</v>
      </c>
      <c r="B19518" t="s">
        <v>4111</v>
      </c>
      <c r="C19518" t="s">
        <v>8427</v>
      </c>
      <c r="D19518" t="str">
        <f>HYPERLINK("https://rhld.insurance.arkansas.gov/NPILookup?Npi=1437698461","1437698461")</f>
        <v>1437698461</v>
      </c>
      <c r="E19518" t="s">
        <v>23105</v>
      </c>
    </row>
    <row r="19519" spans="1:5" x14ac:dyDescent="0.25">
      <c r="A19519" t="s">
        <v>4</v>
      </c>
      <c r="B19519" t="s">
        <v>4111</v>
      </c>
      <c r="C19519" t="s">
        <v>23490</v>
      </c>
      <c r="D19519" t="str">
        <f>HYPERLINK("https://rhld.insurance.arkansas.gov/NPILookup?Npi=1437706884","1437706884")</f>
        <v>1437706884</v>
      </c>
      <c r="E19519" t="s">
        <v>20476</v>
      </c>
    </row>
    <row r="19520" spans="1:5" x14ac:dyDescent="0.25">
      <c r="A19520" t="s">
        <v>4</v>
      </c>
      <c r="B19520" t="s">
        <v>4111</v>
      </c>
      <c r="C19520" t="s">
        <v>23490</v>
      </c>
      <c r="D19520" t="str">
        <f>HYPERLINK("https://rhld.insurance.arkansas.gov/NPILookup?Npi=1437740180","1437740180")</f>
        <v>1437740180</v>
      </c>
      <c r="E19520" t="s">
        <v>19724</v>
      </c>
    </row>
    <row r="19521" spans="1:5" x14ac:dyDescent="0.25">
      <c r="A19521" t="s">
        <v>4</v>
      </c>
      <c r="B19521" t="s">
        <v>4111</v>
      </c>
      <c r="C19521" t="s">
        <v>8427</v>
      </c>
      <c r="D19521" t="str">
        <f>HYPERLINK("https://rhld.insurance.arkansas.gov/NPILookup?Npi=1437803814","1437803814")</f>
        <v>1437803814</v>
      </c>
      <c r="E19521" t="s">
        <v>23106</v>
      </c>
    </row>
    <row r="19522" spans="1:5" x14ac:dyDescent="0.25">
      <c r="A19522" t="s">
        <v>4</v>
      </c>
      <c r="B19522" t="s">
        <v>4111</v>
      </c>
      <c r="C19522" t="s">
        <v>23490</v>
      </c>
      <c r="D19522" t="str">
        <f>HYPERLINK("https://rhld.insurance.arkansas.gov/NPILookup?Npi=1437874781","1437874781")</f>
        <v>1437874781</v>
      </c>
      <c r="E19522" t="s">
        <v>22065</v>
      </c>
    </row>
    <row r="19523" spans="1:5" x14ac:dyDescent="0.25">
      <c r="A19523" t="s">
        <v>4</v>
      </c>
      <c r="B19523" t="s">
        <v>4111</v>
      </c>
      <c r="C19523" t="s">
        <v>23490</v>
      </c>
      <c r="D19523" t="str">
        <f>HYPERLINK("https://rhld.insurance.arkansas.gov/NPILookup?Npi=1437886157","1437886157")</f>
        <v>1437886157</v>
      </c>
      <c r="E19523" t="s">
        <v>21131</v>
      </c>
    </row>
    <row r="19524" spans="1:5" x14ac:dyDescent="0.25">
      <c r="A19524" t="s">
        <v>4</v>
      </c>
      <c r="B19524" t="s">
        <v>4111</v>
      </c>
      <c r="C19524" t="s">
        <v>23490</v>
      </c>
      <c r="D19524" t="str">
        <f>HYPERLINK("https://rhld.insurance.arkansas.gov/NPILookup?Npi=1447240387","1447240387")</f>
        <v>1447240387</v>
      </c>
      <c r="E19524" t="s">
        <v>4967</v>
      </c>
    </row>
    <row r="19525" spans="1:5" x14ac:dyDescent="0.25">
      <c r="A19525" t="s">
        <v>4</v>
      </c>
      <c r="B19525" t="s">
        <v>4111</v>
      </c>
      <c r="C19525" t="s">
        <v>23490</v>
      </c>
      <c r="D19525" t="str">
        <f>HYPERLINK("https://rhld.insurance.arkansas.gov/NPILookup?Npi=1447316765","1447316765")</f>
        <v>1447316765</v>
      </c>
      <c r="E19525" t="s">
        <v>11688</v>
      </c>
    </row>
    <row r="19526" spans="1:5" x14ac:dyDescent="0.25">
      <c r="A19526" t="s">
        <v>4</v>
      </c>
      <c r="B19526" t="s">
        <v>4111</v>
      </c>
      <c r="C19526" t="s">
        <v>23490</v>
      </c>
      <c r="D19526" t="str">
        <f>HYPERLINK("https://rhld.insurance.arkansas.gov/NPILookup?Npi=1447328695","1447328695")</f>
        <v>1447328695</v>
      </c>
      <c r="E19526" t="s">
        <v>4968</v>
      </c>
    </row>
    <row r="19527" spans="1:5" x14ac:dyDescent="0.25">
      <c r="A19527" t="s">
        <v>4</v>
      </c>
      <c r="B19527" t="s">
        <v>4111</v>
      </c>
      <c r="C19527" t="s">
        <v>23490</v>
      </c>
      <c r="D19527" t="str">
        <f>HYPERLINK("https://rhld.insurance.arkansas.gov/NPILookup?Npi=1447335906","1447335906")</f>
        <v>1447335906</v>
      </c>
      <c r="E19527" t="s">
        <v>17586</v>
      </c>
    </row>
    <row r="19528" spans="1:5" x14ac:dyDescent="0.25">
      <c r="A19528" t="s">
        <v>4</v>
      </c>
      <c r="B19528" t="s">
        <v>4111</v>
      </c>
      <c r="C19528" t="s">
        <v>23490</v>
      </c>
      <c r="D19528" t="str">
        <f>HYPERLINK("https://rhld.insurance.arkansas.gov/NPILookup?Npi=1447340013","1447340013")</f>
        <v>1447340013</v>
      </c>
      <c r="E19528" t="s">
        <v>4969</v>
      </c>
    </row>
    <row r="19529" spans="1:5" x14ac:dyDescent="0.25">
      <c r="A19529" t="s">
        <v>4</v>
      </c>
      <c r="B19529" t="s">
        <v>4111</v>
      </c>
      <c r="C19529" t="s">
        <v>23490</v>
      </c>
      <c r="D19529" t="str">
        <f>HYPERLINK("https://rhld.insurance.arkansas.gov/NPILookup?Npi=1447350541","1447350541")</f>
        <v>1447350541</v>
      </c>
      <c r="E19529" t="s">
        <v>16106</v>
      </c>
    </row>
    <row r="19530" spans="1:5" x14ac:dyDescent="0.25">
      <c r="A19530" t="s">
        <v>4</v>
      </c>
      <c r="B19530" t="s">
        <v>4111</v>
      </c>
      <c r="C19530" t="s">
        <v>23490</v>
      </c>
      <c r="D19530" t="str">
        <f>HYPERLINK("https://rhld.insurance.arkansas.gov/NPILookup?Npi=1447370044","1447370044")</f>
        <v>1447370044</v>
      </c>
      <c r="E19530" t="s">
        <v>9094</v>
      </c>
    </row>
    <row r="19531" spans="1:5" x14ac:dyDescent="0.25">
      <c r="A19531" t="s">
        <v>4</v>
      </c>
      <c r="B19531" t="s">
        <v>4111</v>
      </c>
      <c r="C19531" t="s">
        <v>23490</v>
      </c>
      <c r="D19531" t="str">
        <f>HYPERLINK("https://rhld.insurance.arkansas.gov/NPILookup?Npi=1447376546","1447376546")</f>
        <v>1447376546</v>
      </c>
      <c r="E19531" t="s">
        <v>4970</v>
      </c>
    </row>
    <row r="19532" spans="1:5" x14ac:dyDescent="0.25">
      <c r="A19532" t="s">
        <v>4</v>
      </c>
      <c r="B19532" t="s">
        <v>4111</v>
      </c>
      <c r="C19532" t="s">
        <v>23490</v>
      </c>
      <c r="D19532" t="str">
        <f>HYPERLINK("https://rhld.insurance.arkansas.gov/NPILookup?Npi=1447381686","1447381686")</f>
        <v>1447381686</v>
      </c>
      <c r="E19532" t="s">
        <v>4971</v>
      </c>
    </row>
    <row r="19533" spans="1:5" x14ac:dyDescent="0.25">
      <c r="A19533" t="s">
        <v>4</v>
      </c>
      <c r="B19533" t="s">
        <v>4111</v>
      </c>
      <c r="C19533" t="s">
        <v>23490</v>
      </c>
      <c r="D19533" t="str">
        <f>HYPERLINK("https://rhld.insurance.arkansas.gov/NPILookup?Npi=1447386149","1447386149")</f>
        <v>1447386149</v>
      </c>
      <c r="E19533" t="s">
        <v>13139</v>
      </c>
    </row>
    <row r="19534" spans="1:5" x14ac:dyDescent="0.25">
      <c r="A19534" t="s">
        <v>4</v>
      </c>
      <c r="B19534" t="s">
        <v>4111</v>
      </c>
      <c r="C19534" t="s">
        <v>23490</v>
      </c>
      <c r="D19534" t="str">
        <f>HYPERLINK("https://rhld.insurance.arkansas.gov/NPILookup?Npi=1447393335","1447393335")</f>
        <v>1447393335</v>
      </c>
      <c r="E19534" t="s">
        <v>16107</v>
      </c>
    </row>
    <row r="19535" spans="1:5" x14ac:dyDescent="0.25">
      <c r="A19535" t="s">
        <v>4</v>
      </c>
      <c r="B19535" t="s">
        <v>4111</v>
      </c>
      <c r="C19535" t="s">
        <v>23490</v>
      </c>
      <c r="D19535" t="str">
        <f>HYPERLINK("https://rhld.insurance.arkansas.gov/NPILookup?Npi=1447399878","1447399878")</f>
        <v>1447399878</v>
      </c>
      <c r="E19535" t="s">
        <v>4972</v>
      </c>
    </row>
    <row r="19536" spans="1:5" x14ac:dyDescent="0.25">
      <c r="A19536" t="s">
        <v>4</v>
      </c>
      <c r="B19536" t="s">
        <v>4111</v>
      </c>
      <c r="C19536" t="s">
        <v>23490</v>
      </c>
      <c r="D19536" t="str">
        <f>HYPERLINK("https://rhld.insurance.arkansas.gov/NPILookup?Npi=1447413968","1447413968")</f>
        <v>1447413968</v>
      </c>
      <c r="E19536" t="s">
        <v>22066</v>
      </c>
    </row>
    <row r="19537" spans="1:5" x14ac:dyDescent="0.25">
      <c r="A19537" t="s">
        <v>4</v>
      </c>
      <c r="B19537" t="s">
        <v>4111</v>
      </c>
      <c r="C19537" t="s">
        <v>23490</v>
      </c>
      <c r="D19537" t="str">
        <f>HYPERLINK("https://rhld.insurance.arkansas.gov/NPILookup?Npi=1447416599","1447416599")</f>
        <v>1447416599</v>
      </c>
      <c r="E19537" t="s">
        <v>20477</v>
      </c>
    </row>
    <row r="19538" spans="1:5" x14ac:dyDescent="0.25">
      <c r="A19538" t="s">
        <v>4</v>
      </c>
      <c r="B19538" t="s">
        <v>4111</v>
      </c>
      <c r="C19538" t="s">
        <v>23490</v>
      </c>
      <c r="D19538" t="str">
        <f>HYPERLINK("https://rhld.insurance.arkansas.gov/NPILookup?Npi=1447426580","1447426580")</f>
        <v>1447426580</v>
      </c>
      <c r="E19538" t="s">
        <v>11689</v>
      </c>
    </row>
    <row r="19539" spans="1:5" x14ac:dyDescent="0.25">
      <c r="A19539" t="s">
        <v>4</v>
      </c>
      <c r="B19539" t="s">
        <v>4111</v>
      </c>
      <c r="C19539" t="s">
        <v>23490</v>
      </c>
      <c r="D19539" t="str">
        <f>HYPERLINK("https://rhld.insurance.arkansas.gov/NPILookup?Npi=1447428990","1447428990")</f>
        <v>1447428990</v>
      </c>
      <c r="E19539" t="s">
        <v>11690</v>
      </c>
    </row>
    <row r="19540" spans="1:5" x14ac:dyDescent="0.25">
      <c r="A19540" t="s">
        <v>4</v>
      </c>
      <c r="B19540" t="s">
        <v>4111</v>
      </c>
      <c r="C19540" t="s">
        <v>23490</v>
      </c>
      <c r="D19540" t="str">
        <f>HYPERLINK("https://rhld.insurance.arkansas.gov/NPILookup?Npi=1447468129","1447468129")</f>
        <v>1447468129</v>
      </c>
      <c r="E19540" t="s">
        <v>17587</v>
      </c>
    </row>
    <row r="19541" spans="1:5" x14ac:dyDescent="0.25">
      <c r="A19541" t="s">
        <v>4</v>
      </c>
      <c r="B19541" t="s">
        <v>4111</v>
      </c>
      <c r="C19541" t="s">
        <v>8427</v>
      </c>
      <c r="D19541" t="str">
        <f>HYPERLINK("https://rhld.insurance.arkansas.gov/NPILookup?Npi=1447469606","1447469606")</f>
        <v>1447469606</v>
      </c>
      <c r="E19541" t="s">
        <v>23107</v>
      </c>
    </row>
    <row r="19542" spans="1:5" x14ac:dyDescent="0.25">
      <c r="A19542" t="s">
        <v>4</v>
      </c>
      <c r="B19542" t="s">
        <v>4111</v>
      </c>
      <c r="C19542" t="s">
        <v>23490</v>
      </c>
      <c r="D19542" t="str">
        <f>HYPERLINK("https://rhld.insurance.arkansas.gov/NPILookup?Npi=1447473517","1447473517")</f>
        <v>1447473517</v>
      </c>
      <c r="E19542" t="s">
        <v>4974</v>
      </c>
    </row>
    <row r="19543" spans="1:5" x14ac:dyDescent="0.25">
      <c r="A19543" t="s">
        <v>4</v>
      </c>
      <c r="B19543" t="s">
        <v>4111</v>
      </c>
      <c r="C19543" t="s">
        <v>23490</v>
      </c>
      <c r="D19543" t="str">
        <f>HYPERLINK("https://rhld.insurance.arkansas.gov/NPILookup?Npi=1447481072","1447481072")</f>
        <v>1447481072</v>
      </c>
      <c r="E19543" t="s">
        <v>1591</v>
      </c>
    </row>
    <row r="19544" spans="1:5" x14ac:dyDescent="0.25">
      <c r="A19544" t="s">
        <v>4</v>
      </c>
      <c r="B19544" t="s">
        <v>4111</v>
      </c>
      <c r="C19544" t="s">
        <v>23490</v>
      </c>
      <c r="D19544" t="str">
        <f>HYPERLINK("https://rhld.insurance.arkansas.gov/NPILookup?Npi=1447495510","1447495510")</f>
        <v>1447495510</v>
      </c>
      <c r="E19544" t="s">
        <v>9095</v>
      </c>
    </row>
    <row r="19545" spans="1:5" x14ac:dyDescent="0.25">
      <c r="A19545" t="s">
        <v>4</v>
      </c>
      <c r="B19545" t="s">
        <v>4111</v>
      </c>
      <c r="C19545" t="s">
        <v>23490</v>
      </c>
      <c r="D19545" t="str">
        <f>HYPERLINK("https://rhld.insurance.arkansas.gov/NPILookup?Npi=1447515804","1447515804")</f>
        <v>1447515804</v>
      </c>
      <c r="E19545" t="s">
        <v>2928</v>
      </c>
    </row>
    <row r="19546" spans="1:5" x14ac:dyDescent="0.25">
      <c r="A19546" t="s">
        <v>4</v>
      </c>
      <c r="B19546" t="s">
        <v>4111</v>
      </c>
      <c r="C19546" t="s">
        <v>23490</v>
      </c>
      <c r="D19546" t="str">
        <f>HYPERLINK("https://rhld.insurance.arkansas.gov/NPILookup?Npi=1447537741","1447537741")</f>
        <v>1447537741</v>
      </c>
      <c r="E19546" t="s">
        <v>4975</v>
      </c>
    </row>
    <row r="19547" spans="1:5" x14ac:dyDescent="0.25">
      <c r="A19547" t="s">
        <v>4</v>
      </c>
      <c r="B19547" t="s">
        <v>4111</v>
      </c>
      <c r="C19547" t="s">
        <v>23490</v>
      </c>
      <c r="D19547" t="str">
        <f>HYPERLINK("https://rhld.insurance.arkansas.gov/NPILookup?Npi=1447547781","1447547781")</f>
        <v>1447547781</v>
      </c>
      <c r="E19547" t="s">
        <v>11691</v>
      </c>
    </row>
    <row r="19548" spans="1:5" x14ac:dyDescent="0.25">
      <c r="A19548" t="s">
        <v>4</v>
      </c>
      <c r="B19548" t="s">
        <v>4111</v>
      </c>
      <c r="C19548" t="s">
        <v>23490</v>
      </c>
      <c r="D19548" t="str">
        <f>HYPERLINK("https://rhld.insurance.arkansas.gov/NPILookup?Npi=1447579693","1447579693")</f>
        <v>1447579693</v>
      </c>
      <c r="E19548" t="s">
        <v>4976</v>
      </c>
    </row>
    <row r="19549" spans="1:5" x14ac:dyDescent="0.25">
      <c r="A19549" t="s">
        <v>4</v>
      </c>
      <c r="B19549" t="s">
        <v>4111</v>
      </c>
      <c r="C19549" t="s">
        <v>23490</v>
      </c>
      <c r="D19549" t="str">
        <f>HYPERLINK("https://rhld.insurance.arkansas.gov/NPILookup?Npi=1447589510","1447589510")</f>
        <v>1447589510</v>
      </c>
      <c r="E19549" t="s">
        <v>13140</v>
      </c>
    </row>
    <row r="19550" spans="1:5" x14ac:dyDescent="0.25">
      <c r="A19550" t="s">
        <v>4</v>
      </c>
      <c r="B19550" t="s">
        <v>4111</v>
      </c>
      <c r="C19550" t="s">
        <v>23490</v>
      </c>
      <c r="D19550" t="str">
        <f>HYPERLINK("https://rhld.insurance.arkansas.gov/NPILookup?Npi=1447607205","1447607205")</f>
        <v>1447607205</v>
      </c>
      <c r="E19550" t="s">
        <v>9179</v>
      </c>
    </row>
    <row r="19551" spans="1:5" x14ac:dyDescent="0.25">
      <c r="A19551" t="s">
        <v>4</v>
      </c>
      <c r="B19551" t="s">
        <v>4111</v>
      </c>
      <c r="C19551" t="s">
        <v>23490</v>
      </c>
      <c r="D19551" t="str">
        <f>HYPERLINK("https://rhld.insurance.arkansas.gov/NPILookup?Npi=1447620844","1447620844")</f>
        <v>1447620844</v>
      </c>
      <c r="E19551" t="s">
        <v>23108</v>
      </c>
    </row>
    <row r="19552" spans="1:5" x14ac:dyDescent="0.25">
      <c r="A19552" t="s">
        <v>4</v>
      </c>
      <c r="B19552" t="s">
        <v>4111</v>
      </c>
      <c r="C19552" t="s">
        <v>23490</v>
      </c>
      <c r="D19552" t="str">
        <f>HYPERLINK("https://rhld.insurance.arkansas.gov/NPILookup?Npi=1447658786","1447658786")</f>
        <v>1447658786</v>
      </c>
      <c r="E19552" t="s">
        <v>11692</v>
      </c>
    </row>
    <row r="19553" spans="1:5" x14ac:dyDescent="0.25">
      <c r="A19553" t="s">
        <v>4</v>
      </c>
      <c r="B19553" t="s">
        <v>4111</v>
      </c>
      <c r="C19553" t="s">
        <v>23490</v>
      </c>
      <c r="D19553" t="str">
        <f>HYPERLINK("https://rhld.insurance.arkansas.gov/NPILookup?Npi=1447661459","1447661459")</f>
        <v>1447661459</v>
      </c>
      <c r="E19553" t="s">
        <v>22067</v>
      </c>
    </row>
    <row r="19554" spans="1:5" x14ac:dyDescent="0.25">
      <c r="A19554" t="s">
        <v>4</v>
      </c>
      <c r="B19554" t="s">
        <v>4111</v>
      </c>
      <c r="C19554" t="s">
        <v>23490</v>
      </c>
      <c r="D19554" t="str">
        <f>HYPERLINK("https://rhld.insurance.arkansas.gov/NPILookup?Npi=1447679030","1447679030")</f>
        <v>1447679030</v>
      </c>
      <c r="E19554" t="s">
        <v>11693</v>
      </c>
    </row>
    <row r="19555" spans="1:5" x14ac:dyDescent="0.25">
      <c r="A19555" t="s">
        <v>4</v>
      </c>
      <c r="B19555" t="s">
        <v>4111</v>
      </c>
      <c r="C19555" t="s">
        <v>23490</v>
      </c>
      <c r="D19555" t="str">
        <f>HYPERLINK("https://rhld.insurance.arkansas.gov/NPILookup?Npi=1447695770","1447695770")</f>
        <v>1447695770</v>
      </c>
      <c r="E19555" t="s">
        <v>13141</v>
      </c>
    </row>
    <row r="19556" spans="1:5" x14ac:dyDescent="0.25">
      <c r="A19556" t="s">
        <v>4</v>
      </c>
      <c r="B19556" t="s">
        <v>4111</v>
      </c>
      <c r="C19556" t="s">
        <v>23490</v>
      </c>
      <c r="D19556" t="str">
        <f>HYPERLINK("https://rhld.insurance.arkansas.gov/NPILookup?Npi=1447724604","1447724604")</f>
        <v>1447724604</v>
      </c>
      <c r="E19556" t="s">
        <v>2734</v>
      </c>
    </row>
    <row r="19557" spans="1:5" x14ac:dyDescent="0.25">
      <c r="A19557" t="s">
        <v>4</v>
      </c>
      <c r="B19557" t="s">
        <v>4111</v>
      </c>
      <c r="C19557" t="s">
        <v>23490</v>
      </c>
      <c r="D19557" t="str">
        <f>HYPERLINK("https://rhld.insurance.arkansas.gov/NPILookup?Npi=1447740915","1447740915")</f>
        <v>1447740915</v>
      </c>
      <c r="E19557" t="s">
        <v>20478</v>
      </c>
    </row>
    <row r="19558" spans="1:5" x14ac:dyDescent="0.25">
      <c r="A19558" t="s">
        <v>4</v>
      </c>
      <c r="B19558" t="s">
        <v>4111</v>
      </c>
      <c r="C19558" t="s">
        <v>23490</v>
      </c>
      <c r="D19558" t="str">
        <f>HYPERLINK("https://rhld.insurance.arkansas.gov/NPILookup?Npi=1447842646","1447842646")</f>
        <v>1447842646</v>
      </c>
      <c r="E19558" t="s">
        <v>18348</v>
      </c>
    </row>
    <row r="19559" spans="1:5" x14ac:dyDescent="0.25">
      <c r="A19559" t="s">
        <v>4</v>
      </c>
      <c r="B19559" t="s">
        <v>4111</v>
      </c>
      <c r="C19559" t="s">
        <v>23490</v>
      </c>
      <c r="D19559" t="str">
        <f>HYPERLINK("https://rhld.insurance.arkansas.gov/NPILookup?Npi=1447859046","1447859046")</f>
        <v>1447859046</v>
      </c>
      <c r="E19559" t="s">
        <v>22068</v>
      </c>
    </row>
    <row r="19560" spans="1:5" x14ac:dyDescent="0.25">
      <c r="A19560" t="s">
        <v>4</v>
      </c>
      <c r="B19560" t="s">
        <v>4111</v>
      </c>
      <c r="C19560" t="s">
        <v>23490</v>
      </c>
      <c r="D19560" t="str">
        <f>HYPERLINK("https://rhld.insurance.arkansas.gov/NPILookup?Npi=1447876677","1447876677")</f>
        <v>1447876677</v>
      </c>
      <c r="E19560" t="s">
        <v>20479</v>
      </c>
    </row>
    <row r="19561" spans="1:5" x14ac:dyDescent="0.25">
      <c r="A19561" t="s">
        <v>4</v>
      </c>
      <c r="B19561" t="s">
        <v>4111</v>
      </c>
      <c r="C19561" t="s">
        <v>23490</v>
      </c>
      <c r="D19561" t="str">
        <f>HYPERLINK("https://rhld.insurance.arkansas.gov/NPILookup?Npi=1447922935","1447922935")</f>
        <v>1447922935</v>
      </c>
      <c r="E19561" t="s">
        <v>22069</v>
      </c>
    </row>
    <row r="19562" spans="1:5" x14ac:dyDescent="0.25">
      <c r="A19562" t="s">
        <v>4</v>
      </c>
      <c r="B19562" t="s">
        <v>4111</v>
      </c>
      <c r="C19562" t="s">
        <v>23490</v>
      </c>
      <c r="D19562" t="str">
        <f>HYPERLINK("https://rhld.insurance.arkansas.gov/NPILookup?Npi=1457014722","1457014722")</f>
        <v>1457014722</v>
      </c>
      <c r="E19562" t="s">
        <v>20480</v>
      </c>
    </row>
    <row r="19563" spans="1:5" x14ac:dyDescent="0.25">
      <c r="A19563" t="s">
        <v>4</v>
      </c>
      <c r="B19563" t="s">
        <v>4111</v>
      </c>
      <c r="C19563" t="s">
        <v>23490</v>
      </c>
      <c r="D19563" t="str">
        <f>HYPERLINK("https://rhld.insurance.arkansas.gov/NPILookup?Npi=1457076853","1457076853")</f>
        <v>1457076853</v>
      </c>
      <c r="E19563" t="s">
        <v>21549</v>
      </c>
    </row>
    <row r="19564" spans="1:5" x14ac:dyDescent="0.25">
      <c r="A19564" t="s">
        <v>4</v>
      </c>
      <c r="B19564" t="s">
        <v>4111</v>
      </c>
      <c r="C19564" t="s">
        <v>23490</v>
      </c>
      <c r="D19564" t="str">
        <f>HYPERLINK("https://rhld.insurance.arkansas.gov/NPILookup?Npi=1457080574","1457080574")</f>
        <v>1457080574</v>
      </c>
      <c r="E19564" t="s">
        <v>21132</v>
      </c>
    </row>
    <row r="19565" spans="1:5" x14ac:dyDescent="0.25">
      <c r="A19565" t="s">
        <v>4</v>
      </c>
      <c r="B19565" t="s">
        <v>4111</v>
      </c>
      <c r="C19565" t="s">
        <v>23490</v>
      </c>
      <c r="D19565" t="str">
        <f>HYPERLINK("https://rhld.insurance.arkansas.gov/NPILookup?Npi=1457085433","1457085433")</f>
        <v>1457085433</v>
      </c>
      <c r="E19565" t="s">
        <v>21133</v>
      </c>
    </row>
    <row r="19566" spans="1:5" x14ac:dyDescent="0.25">
      <c r="A19566" t="s">
        <v>4</v>
      </c>
      <c r="B19566" t="s">
        <v>4111</v>
      </c>
      <c r="C19566" t="s">
        <v>23490</v>
      </c>
      <c r="D19566" t="str">
        <f>HYPERLINK("https://rhld.insurance.arkansas.gov/NPILookup?Npi=1457368300","1457368300")</f>
        <v>1457368300</v>
      </c>
      <c r="E19566" t="s">
        <v>13142</v>
      </c>
    </row>
    <row r="19567" spans="1:5" x14ac:dyDescent="0.25">
      <c r="A19567" t="s">
        <v>4</v>
      </c>
      <c r="B19567" t="s">
        <v>4111</v>
      </c>
      <c r="C19567" t="s">
        <v>23490</v>
      </c>
      <c r="D19567" t="str">
        <f>HYPERLINK("https://rhld.insurance.arkansas.gov/NPILookup?Npi=1457368912","1457368912")</f>
        <v>1457368912</v>
      </c>
      <c r="E19567" t="s">
        <v>4977</v>
      </c>
    </row>
    <row r="19568" spans="1:5" x14ac:dyDescent="0.25">
      <c r="A19568" t="s">
        <v>4</v>
      </c>
      <c r="B19568" t="s">
        <v>4111</v>
      </c>
      <c r="C19568" t="s">
        <v>23490</v>
      </c>
      <c r="D19568" t="str">
        <f>HYPERLINK("https://rhld.insurance.arkansas.gov/NPILookup?Npi=1457381386","1457381386")</f>
        <v>1457381386</v>
      </c>
      <c r="E19568" t="s">
        <v>4978</v>
      </c>
    </row>
    <row r="19569" spans="1:5" x14ac:dyDescent="0.25">
      <c r="A19569" t="s">
        <v>4</v>
      </c>
      <c r="B19569" t="s">
        <v>4111</v>
      </c>
      <c r="C19569" t="s">
        <v>23490</v>
      </c>
      <c r="D19569" t="str">
        <f>HYPERLINK("https://rhld.insurance.arkansas.gov/NPILookup?Npi=1457395857","1457395857")</f>
        <v>1457395857</v>
      </c>
      <c r="E19569" t="s">
        <v>16108</v>
      </c>
    </row>
    <row r="19570" spans="1:5" x14ac:dyDescent="0.25">
      <c r="A19570" t="s">
        <v>4</v>
      </c>
      <c r="B19570" t="s">
        <v>4111</v>
      </c>
      <c r="C19570" t="s">
        <v>23490</v>
      </c>
      <c r="D19570" t="str">
        <f>HYPERLINK("https://rhld.insurance.arkansas.gov/NPILookup?Npi=1457402893","1457402893")</f>
        <v>1457402893</v>
      </c>
      <c r="E19570" t="s">
        <v>4979</v>
      </c>
    </row>
    <row r="19571" spans="1:5" x14ac:dyDescent="0.25">
      <c r="A19571" t="s">
        <v>4</v>
      </c>
      <c r="B19571" t="s">
        <v>4111</v>
      </c>
      <c r="C19571" t="s">
        <v>23490</v>
      </c>
      <c r="D19571" t="str">
        <f>HYPERLINK("https://rhld.insurance.arkansas.gov/NPILookup?Npi=1457415416","1457415416")</f>
        <v>1457415416</v>
      </c>
      <c r="E19571" t="s">
        <v>17170</v>
      </c>
    </row>
    <row r="19572" spans="1:5" x14ac:dyDescent="0.25">
      <c r="A19572" t="s">
        <v>4</v>
      </c>
      <c r="B19572" t="s">
        <v>4111</v>
      </c>
      <c r="C19572" t="s">
        <v>23490</v>
      </c>
      <c r="D19572" t="str">
        <f>HYPERLINK("https://rhld.insurance.arkansas.gov/NPILookup?Npi=1457425449","1457425449")</f>
        <v>1457425449</v>
      </c>
      <c r="E19572" t="s">
        <v>4980</v>
      </c>
    </row>
    <row r="19573" spans="1:5" x14ac:dyDescent="0.25">
      <c r="A19573" t="s">
        <v>4</v>
      </c>
      <c r="B19573" t="s">
        <v>4111</v>
      </c>
      <c r="C19573" t="s">
        <v>23490</v>
      </c>
      <c r="D19573" t="str">
        <f>HYPERLINK("https://rhld.insurance.arkansas.gov/NPILookup?Npi=1457441024","1457441024")</f>
        <v>1457441024</v>
      </c>
      <c r="E19573" t="s">
        <v>4981</v>
      </c>
    </row>
    <row r="19574" spans="1:5" x14ac:dyDescent="0.25">
      <c r="A19574" t="s">
        <v>4</v>
      </c>
      <c r="B19574" t="s">
        <v>4111</v>
      </c>
      <c r="C19574" t="s">
        <v>23490</v>
      </c>
      <c r="D19574" t="str">
        <f>HYPERLINK("https://rhld.insurance.arkansas.gov/NPILookup?Npi=1457452161","1457452161")</f>
        <v>1457452161</v>
      </c>
      <c r="E19574" t="s">
        <v>4982</v>
      </c>
    </row>
    <row r="19575" spans="1:5" x14ac:dyDescent="0.25">
      <c r="A19575" t="s">
        <v>4</v>
      </c>
      <c r="B19575" t="s">
        <v>4111</v>
      </c>
      <c r="C19575" t="s">
        <v>23490</v>
      </c>
      <c r="D19575" t="str">
        <f>HYPERLINK("https://rhld.insurance.arkansas.gov/NPILookup?Npi=1457473183","1457473183")</f>
        <v>1457473183</v>
      </c>
      <c r="E19575" t="s">
        <v>14076</v>
      </c>
    </row>
    <row r="19576" spans="1:5" x14ac:dyDescent="0.25">
      <c r="A19576" t="s">
        <v>4</v>
      </c>
      <c r="B19576" t="s">
        <v>4111</v>
      </c>
      <c r="C19576" t="s">
        <v>23490</v>
      </c>
      <c r="D19576" t="str">
        <f>HYPERLINK("https://rhld.insurance.arkansas.gov/NPILookup?Npi=1457484891","1457484891")</f>
        <v>1457484891</v>
      </c>
      <c r="E19576" t="s">
        <v>4983</v>
      </c>
    </row>
    <row r="19577" spans="1:5" x14ac:dyDescent="0.25">
      <c r="A19577" t="s">
        <v>4</v>
      </c>
      <c r="B19577" t="s">
        <v>4111</v>
      </c>
      <c r="C19577" t="s">
        <v>23490</v>
      </c>
      <c r="D19577" t="str">
        <f>HYPERLINK("https://rhld.insurance.arkansas.gov/NPILookup?Npi=1457499824","1457499824")</f>
        <v>1457499824</v>
      </c>
      <c r="E19577" t="s">
        <v>4984</v>
      </c>
    </row>
    <row r="19578" spans="1:5" x14ac:dyDescent="0.25">
      <c r="A19578" t="s">
        <v>4</v>
      </c>
      <c r="B19578" t="s">
        <v>4111</v>
      </c>
      <c r="C19578" t="s">
        <v>23490</v>
      </c>
      <c r="D19578" t="str">
        <f>HYPERLINK("https://rhld.insurance.arkansas.gov/NPILookup?Npi=1457501595","1457501595")</f>
        <v>1457501595</v>
      </c>
      <c r="E19578" t="s">
        <v>4985</v>
      </c>
    </row>
    <row r="19579" spans="1:5" x14ac:dyDescent="0.25">
      <c r="A19579" t="s">
        <v>4</v>
      </c>
      <c r="B19579" t="s">
        <v>4111</v>
      </c>
      <c r="C19579" t="s">
        <v>23490</v>
      </c>
      <c r="D19579" t="str">
        <f>HYPERLINK("https://rhld.insurance.arkansas.gov/NPILookup?Npi=1457504797","1457504797")</f>
        <v>1457504797</v>
      </c>
      <c r="E19579" t="s">
        <v>4986</v>
      </c>
    </row>
    <row r="19580" spans="1:5" x14ac:dyDescent="0.25">
      <c r="A19580" t="s">
        <v>4</v>
      </c>
      <c r="B19580" t="s">
        <v>4111</v>
      </c>
      <c r="C19580" t="s">
        <v>23490</v>
      </c>
      <c r="D19580" t="str">
        <f>HYPERLINK("https://rhld.insurance.arkansas.gov/NPILookup?Npi=1457515108","1457515108")</f>
        <v>1457515108</v>
      </c>
      <c r="E19580" t="s">
        <v>4987</v>
      </c>
    </row>
    <row r="19581" spans="1:5" x14ac:dyDescent="0.25">
      <c r="A19581" t="s">
        <v>4</v>
      </c>
      <c r="B19581" t="s">
        <v>4111</v>
      </c>
      <c r="C19581" t="s">
        <v>23490</v>
      </c>
      <c r="D19581" t="str">
        <f>HYPERLINK("https://rhld.insurance.arkansas.gov/NPILookup?Npi=1457520538","1457520538")</f>
        <v>1457520538</v>
      </c>
      <c r="E19581" t="s">
        <v>9096</v>
      </c>
    </row>
    <row r="19582" spans="1:5" x14ac:dyDescent="0.25">
      <c r="A19582" t="s">
        <v>4</v>
      </c>
      <c r="B19582" t="s">
        <v>4111</v>
      </c>
      <c r="C19582" t="s">
        <v>23490</v>
      </c>
      <c r="D19582" t="str">
        <f>HYPERLINK("https://rhld.insurance.arkansas.gov/NPILookup?Npi=1457581282","1457581282")</f>
        <v>1457581282</v>
      </c>
      <c r="E19582" t="s">
        <v>4988</v>
      </c>
    </row>
    <row r="19583" spans="1:5" x14ac:dyDescent="0.25">
      <c r="A19583" t="s">
        <v>4</v>
      </c>
      <c r="B19583" t="s">
        <v>4111</v>
      </c>
      <c r="C19583" t="s">
        <v>23490</v>
      </c>
      <c r="D19583" t="str">
        <f>HYPERLINK("https://rhld.insurance.arkansas.gov/NPILookup?Npi=1457594848","1457594848")</f>
        <v>1457594848</v>
      </c>
      <c r="E19583" t="s">
        <v>13143</v>
      </c>
    </row>
    <row r="19584" spans="1:5" x14ac:dyDescent="0.25">
      <c r="A19584" t="s">
        <v>4</v>
      </c>
      <c r="B19584" t="s">
        <v>4111</v>
      </c>
      <c r="C19584" t="s">
        <v>23490</v>
      </c>
      <c r="D19584" t="str">
        <f>HYPERLINK("https://rhld.insurance.arkansas.gov/NPILookup?Npi=1457642688","1457642688")</f>
        <v>1457642688</v>
      </c>
      <c r="E19584" t="s">
        <v>4989</v>
      </c>
    </row>
    <row r="19585" spans="1:5" x14ac:dyDescent="0.25">
      <c r="A19585" t="s">
        <v>4</v>
      </c>
      <c r="B19585" t="s">
        <v>4111</v>
      </c>
      <c r="C19585" t="s">
        <v>23490</v>
      </c>
      <c r="D19585" t="str">
        <f>HYPERLINK("https://rhld.insurance.arkansas.gov/NPILookup?Npi=1457646481","1457646481")</f>
        <v>1457646481</v>
      </c>
      <c r="E19585" t="s">
        <v>17588</v>
      </c>
    </row>
    <row r="19586" spans="1:5" x14ac:dyDescent="0.25">
      <c r="A19586" t="s">
        <v>4</v>
      </c>
      <c r="B19586" t="s">
        <v>4111</v>
      </c>
      <c r="C19586" t="s">
        <v>23490</v>
      </c>
      <c r="D19586" t="str">
        <f>HYPERLINK("https://rhld.insurance.arkansas.gov/NPILookup?Npi=1457658767","1457658767")</f>
        <v>1457658767</v>
      </c>
      <c r="E19586" t="s">
        <v>4990</v>
      </c>
    </row>
    <row r="19587" spans="1:5" x14ac:dyDescent="0.25">
      <c r="A19587" t="s">
        <v>4</v>
      </c>
      <c r="B19587" t="s">
        <v>4111</v>
      </c>
      <c r="C19587" t="s">
        <v>23490</v>
      </c>
      <c r="D19587" t="str">
        <f>HYPERLINK("https://rhld.insurance.arkansas.gov/NPILookup?Npi=1457661621","1457661621")</f>
        <v>1457661621</v>
      </c>
      <c r="E19587" t="s">
        <v>4991</v>
      </c>
    </row>
    <row r="19588" spans="1:5" x14ac:dyDescent="0.25">
      <c r="A19588" t="s">
        <v>4</v>
      </c>
      <c r="B19588" t="s">
        <v>4111</v>
      </c>
      <c r="C19588" t="s">
        <v>23490</v>
      </c>
      <c r="D19588" t="str">
        <f>HYPERLINK("https://rhld.insurance.arkansas.gov/NPILookup?Npi=1457663379","1457663379")</f>
        <v>1457663379</v>
      </c>
      <c r="E19588" t="s">
        <v>14077</v>
      </c>
    </row>
    <row r="19589" spans="1:5" x14ac:dyDescent="0.25">
      <c r="A19589" t="s">
        <v>4</v>
      </c>
      <c r="B19589" t="s">
        <v>4111</v>
      </c>
      <c r="C19589" t="s">
        <v>23490</v>
      </c>
      <c r="D19589" t="str">
        <f>HYPERLINK("https://rhld.insurance.arkansas.gov/NPILookup?Npi=1457667289","1457667289")</f>
        <v>1457667289</v>
      </c>
      <c r="E19589" t="s">
        <v>13144</v>
      </c>
    </row>
    <row r="19590" spans="1:5" x14ac:dyDescent="0.25">
      <c r="A19590" t="s">
        <v>4</v>
      </c>
      <c r="B19590" t="s">
        <v>4111</v>
      </c>
      <c r="C19590" t="s">
        <v>23490</v>
      </c>
      <c r="D19590" t="str">
        <f>HYPERLINK("https://rhld.insurance.arkansas.gov/NPILookup?Npi=1457676801","1457676801")</f>
        <v>1457676801</v>
      </c>
      <c r="E19590" t="s">
        <v>4992</v>
      </c>
    </row>
    <row r="19591" spans="1:5" x14ac:dyDescent="0.25">
      <c r="A19591" t="s">
        <v>4</v>
      </c>
      <c r="B19591" t="s">
        <v>4111</v>
      </c>
      <c r="C19591" t="s">
        <v>23490</v>
      </c>
      <c r="D19591" t="str">
        <f>HYPERLINK("https://rhld.insurance.arkansas.gov/NPILookup?Npi=1457679011","1457679011")</f>
        <v>1457679011</v>
      </c>
      <c r="E19591" t="s">
        <v>4993</v>
      </c>
    </row>
    <row r="19592" spans="1:5" x14ac:dyDescent="0.25">
      <c r="A19592" t="s">
        <v>4</v>
      </c>
      <c r="B19592" t="s">
        <v>4111</v>
      </c>
      <c r="C19592" t="s">
        <v>23490</v>
      </c>
      <c r="D19592" t="str">
        <f>HYPERLINK("https://rhld.insurance.arkansas.gov/NPILookup?Npi=1457691073","1457691073")</f>
        <v>1457691073</v>
      </c>
      <c r="E19592" t="s">
        <v>4994</v>
      </c>
    </row>
    <row r="19593" spans="1:5" x14ac:dyDescent="0.25">
      <c r="A19593" t="s">
        <v>4</v>
      </c>
      <c r="B19593" t="s">
        <v>4111</v>
      </c>
      <c r="C19593" t="s">
        <v>23490</v>
      </c>
      <c r="D19593" t="str">
        <f>HYPERLINK("https://rhld.insurance.arkansas.gov/NPILookup?Npi=1457707457","1457707457")</f>
        <v>1457707457</v>
      </c>
      <c r="E19593" t="s">
        <v>17589</v>
      </c>
    </row>
    <row r="19594" spans="1:5" x14ac:dyDescent="0.25">
      <c r="A19594" t="s">
        <v>4</v>
      </c>
      <c r="B19594" t="s">
        <v>4111</v>
      </c>
      <c r="C19594" t="s">
        <v>23490</v>
      </c>
      <c r="D19594" t="str">
        <f>HYPERLINK("https://rhld.insurance.arkansas.gov/NPILookup?Npi=1457723462","1457723462")</f>
        <v>1457723462</v>
      </c>
      <c r="E19594" t="s">
        <v>16109</v>
      </c>
    </row>
    <row r="19595" spans="1:5" x14ac:dyDescent="0.25">
      <c r="A19595" t="s">
        <v>4</v>
      </c>
      <c r="B19595" t="s">
        <v>4111</v>
      </c>
      <c r="C19595" t="s">
        <v>23490</v>
      </c>
      <c r="D19595" t="str">
        <f>HYPERLINK("https://rhld.insurance.arkansas.gov/NPILookup?Npi=1457735102","1457735102")</f>
        <v>1457735102</v>
      </c>
      <c r="E19595" t="s">
        <v>4995</v>
      </c>
    </row>
    <row r="19596" spans="1:5" x14ac:dyDescent="0.25">
      <c r="A19596" t="s">
        <v>4</v>
      </c>
      <c r="B19596" t="s">
        <v>4111</v>
      </c>
      <c r="C19596" t="s">
        <v>23490</v>
      </c>
      <c r="D19596" t="str">
        <f>HYPERLINK("https://rhld.insurance.arkansas.gov/NPILookup?Npi=1457739898","1457739898")</f>
        <v>1457739898</v>
      </c>
      <c r="E19596" t="s">
        <v>14078</v>
      </c>
    </row>
    <row r="19597" spans="1:5" x14ac:dyDescent="0.25">
      <c r="A19597" t="s">
        <v>4</v>
      </c>
      <c r="B19597" t="s">
        <v>4111</v>
      </c>
      <c r="C19597" t="s">
        <v>23490</v>
      </c>
      <c r="D19597" t="str">
        <f>HYPERLINK("https://rhld.insurance.arkansas.gov/NPILookup?Npi=1457749251","1457749251")</f>
        <v>1457749251</v>
      </c>
      <c r="E19597" t="s">
        <v>4996</v>
      </c>
    </row>
    <row r="19598" spans="1:5" x14ac:dyDescent="0.25">
      <c r="A19598" t="s">
        <v>4</v>
      </c>
      <c r="B19598" t="s">
        <v>4111</v>
      </c>
      <c r="C19598" t="s">
        <v>23490</v>
      </c>
      <c r="D19598" t="str">
        <f>HYPERLINK("https://rhld.insurance.arkansas.gov/NPILookup?Npi=1457751109","1457751109")</f>
        <v>1457751109</v>
      </c>
      <c r="E19598" t="s">
        <v>4997</v>
      </c>
    </row>
    <row r="19599" spans="1:5" x14ac:dyDescent="0.25">
      <c r="A19599" t="s">
        <v>4</v>
      </c>
      <c r="B19599" t="s">
        <v>4111</v>
      </c>
      <c r="C19599" t="s">
        <v>23490</v>
      </c>
      <c r="D19599" t="str">
        <f>HYPERLINK("https://rhld.insurance.arkansas.gov/NPILookup?Npi=1457783417","1457783417")</f>
        <v>1457783417</v>
      </c>
      <c r="E19599" t="s">
        <v>9097</v>
      </c>
    </row>
    <row r="19600" spans="1:5" x14ac:dyDescent="0.25">
      <c r="A19600" t="s">
        <v>4</v>
      </c>
      <c r="B19600" t="s">
        <v>4111</v>
      </c>
      <c r="C19600" t="s">
        <v>23490</v>
      </c>
      <c r="D19600" t="str">
        <f>HYPERLINK("https://rhld.insurance.arkansas.gov/NPILookup?Npi=1457802696","1457802696")</f>
        <v>1457802696</v>
      </c>
      <c r="E19600" t="s">
        <v>16110</v>
      </c>
    </row>
    <row r="19601" spans="1:5" x14ac:dyDescent="0.25">
      <c r="A19601" t="s">
        <v>4</v>
      </c>
      <c r="B19601" t="s">
        <v>4111</v>
      </c>
      <c r="C19601" t="s">
        <v>23490</v>
      </c>
      <c r="D19601" t="str">
        <f>HYPERLINK("https://rhld.insurance.arkansas.gov/NPILookup?Npi=1457813081","1457813081")</f>
        <v>1457813081</v>
      </c>
      <c r="E19601" t="s">
        <v>22070</v>
      </c>
    </row>
    <row r="19602" spans="1:5" x14ac:dyDescent="0.25">
      <c r="A19602" t="s">
        <v>4</v>
      </c>
      <c r="B19602" t="s">
        <v>4111</v>
      </c>
      <c r="C19602" t="s">
        <v>23490</v>
      </c>
      <c r="D19602" t="str">
        <f>HYPERLINK("https://rhld.insurance.arkansas.gov/NPILookup?Npi=1457828535","1457828535")</f>
        <v>1457828535</v>
      </c>
      <c r="E19602" t="s">
        <v>22071</v>
      </c>
    </row>
    <row r="19603" spans="1:5" x14ac:dyDescent="0.25">
      <c r="A19603" t="s">
        <v>4</v>
      </c>
      <c r="B19603" t="s">
        <v>4111</v>
      </c>
      <c r="C19603" t="s">
        <v>23490</v>
      </c>
      <c r="D19603" t="str">
        <f>HYPERLINK("https://rhld.insurance.arkansas.gov/NPILookup?Npi=1457834533","1457834533")</f>
        <v>1457834533</v>
      </c>
      <c r="E19603" t="s">
        <v>17590</v>
      </c>
    </row>
    <row r="19604" spans="1:5" x14ac:dyDescent="0.25">
      <c r="A19604" t="s">
        <v>4</v>
      </c>
      <c r="B19604" t="s">
        <v>4111</v>
      </c>
      <c r="C19604" t="s">
        <v>23490</v>
      </c>
      <c r="D19604" t="str">
        <f>HYPERLINK("https://rhld.insurance.arkansas.gov/NPILookup?Npi=1457835464","1457835464")</f>
        <v>1457835464</v>
      </c>
      <c r="E19604" t="s">
        <v>17591</v>
      </c>
    </row>
    <row r="19605" spans="1:5" x14ac:dyDescent="0.25">
      <c r="A19605" t="s">
        <v>4</v>
      </c>
      <c r="B19605" t="s">
        <v>4111</v>
      </c>
      <c r="C19605" t="s">
        <v>23490</v>
      </c>
      <c r="D19605" t="str">
        <f>HYPERLINK("https://rhld.insurance.arkansas.gov/NPILookup?Npi=1457838187","1457838187")</f>
        <v>1457838187</v>
      </c>
      <c r="E19605" t="s">
        <v>20481</v>
      </c>
    </row>
    <row r="19606" spans="1:5" x14ac:dyDescent="0.25">
      <c r="A19606" t="s">
        <v>4</v>
      </c>
      <c r="B19606" t="s">
        <v>4111</v>
      </c>
      <c r="C19606" t="s">
        <v>23490</v>
      </c>
      <c r="D19606" t="str">
        <f>HYPERLINK("https://rhld.insurance.arkansas.gov/NPILookup?Npi=1457850265","1457850265")</f>
        <v>1457850265</v>
      </c>
      <c r="E19606" t="s">
        <v>17592</v>
      </c>
    </row>
    <row r="19607" spans="1:5" x14ac:dyDescent="0.25">
      <c r="A19607" t="s">
        <v>4</v>
      </c>
      <c r="B19607" t="s">
        <v>4111</v>
      </c>
      <c r="C19607" t="s">
        <v>23490</v>
      </c>
      <c r="D19607" t="str">
        <f>HYPERLINK("https://rhld.insurance.arkansas.gov/NPILookup?Npi=1457850489","1457850489")</f>
        <v>1457850489</v>
      </c>
      <c r="E19607" t="s">
        <v>22072</v>
      </c>
    </row>
    <row r="19608" spans="1:5" x14ac:dyDescent="0.25">
      <c r="A19608" t="s">
        <v>4</v>
      </c>
      <c r="B19608" t="s">
        <v>4111</v>
      </c>
      <c r="C19608" t="s">
        <v>23490</v>
      </c>
      <c r="D19608" t="str">
        <f>HYPERLINK("https://rhld.insurance.arkansas.gov/NPILookup?Npi=1457851883","1457851883")</f>
        <v>1457851883</v>
      </c>
      <c r="E19608" t="s">
        <v>17593</v>
      </c>
    </row>
    <row r="19609" spans="1:5" x14ac:dyDescent="0.25">
      <c r="A19609" t="s">
        <v>4</v>
      </c>
      <c r="B19609" t="s">
        <v>4111</v>
      </c>
      <c r="C19609" t="s">
        <v>23490</v>
      </c>
      <c r="D19609" t="str">
        <f>HYPERLINK("https://rhld.insurance.arkansas.gov/NPILookup?Npi=1457889081","1457889081")</f>
        <v>1457889081</v>
      </c>
      <c r="E19609" t="s">
        <v>20482</v>
      </c>
    </row>
    <row r="19610" spans="1:5" x14ac:dyDescent="0.25">
      <c r="A19610" t="s">
        <v>4</v>
      </c>
      <c r="B19610" t="s">
        <v>4111</v>
      </c>
      <c r="C19610" t="s">
        <v>23490</v>
      </c>
      <c r="D19610" t="str">
        <f>HYPERLINK("https://rhld.insurance.arkansas.gov/NPILookup?Npi=1457990590","1457990590")</f>
        <v>1457990590</v>
      </c>
      <c r="E19610" t="s">
        <v>17171</v>
      </c>
    </row>
    <row r="19611" spans="1:5" x14ac:dyDescent="0.25">
      <c r="A19611" t="s">
        <v>4</v>
      </c>
      <c r="B19611" t="s">
        <v>4111</v>
      </c>
      <c r="C19611" t="s">
        <v>23490</v>
      </c>
      <c r="D19611" t="str">
        <f>HYPERLINK("https://rhld.insurance.arkansas.gov/NPILookup?Npi=1467020909","1467020909")</f>
        <v>1467020909</v>
      </c>
      <c r="E19611" t="s">
        <v>22073</v>
      </c>
    </row>
    <row r="19612" spans="1:5" x14ac:dyDescent="0.25">
      <c r="A19612" t="s">
        <v>4</v>
      </c>
      <c r="B19612" t="s">
        <v>4111</v>
      </c>
      <c r="C19612" t="s">
        <v>23490</v>
      </c>
      <c r="D19612" t="str">
        <f>HYPERLINK("https://rhld.insurance.arkansas.gov/NPILookup?Npi=1467028704","1467028704")</f>
        <v>1467028704</v>
      </c>
      <c r="E19612" t="s">
        <v>22074</v>
      </c>
    </row>
    <row r="19613" spans="1:5" x14ac:dyDescent="0.25">
      <c r="A19613" t="s">
        <v>4</v>
      </c>
      <c r="B19613" t="s">
        <v>4111</v>
      </c>
      <c r="C19613" t="s">
        <v>8427</v>
      </c>
      <c r="D19613" t="str">
        <f>HYPERLINK("https://rhld.insurance.arkansas.gov/NPILookup?Npi=1467028795","1467028795")</f>
        <v>1467028795</v>
      </c>
      <c r="E19613" t="s">
        <v>23109</v>
      </c>
    </row>
    <row r="19614" spans="1:5" x14ac:dyDescent="0.25">
      <c r="A19614" t="s">
        <v>4</v>
      </c>
      <c r="B19614" t="s">
        <v>4111</v>
      </c>
      <c r="C19614" t="s">
        <v>23490</v>
      </c>
      <c r="D19614" t="str">
        <f>HYPERLINK("https://rhld.insurance.arkansas.gov/NPILookup?Npi=1467040394","1467040394")</f>
        <v>1467040394</v>
      </c>
      <c r="E19614" t="s">
        <v>17991</v>
      </c>
    </row>
    <row r="19615" spans="1:5" x14ac:dyDescent="0.25">
      <c r="A19615" t="s">
        <v>4</v>
      </c>
      <c r="B19615" t="s">
        <v>4111</v>
      </c>
      <c r="C19615" t="s">
        <v>23490</v>
      </c>
      <c r="D19615" t="str">
        <f>HYPERLINK("https://rhld.insurance.arkansas.gov/NPILookup?Npi=1467084384","1467084384")</f>
        <v>1467084384</v>
      </c>
      <c r="E19615" t="s">
        <v>6098</v>
      </c>
    </row>
    <row r="19616" spans="1:5" x14ac:dyDescent="0.25">
      <c r="A19616" t="s">
        <v>4</v>
      </c>
      <c r="B19616" t="s">
        <v>4111</v>
      </c>
      <c r="C19616" t="s">
        <v>23490</v>
      </c>
      <c r="D19616" t="str">
        <f>HYPERLINK("https://rhld.insurance.arkansas.gov/NPILookup?Npi=1467123869","1467123869")</f>
        <v>1467123869</v>
      </c>
      <c r="E19616" t="s">
        <v>22075</v>
      </c>
    </row>
    <row r="19617" spans="1:5" x14ac:dyDescent="0.25">
      <c r="A19617" t="s">
        <v>4</v>
      </c>
      <c r="B19617" t="s">
        <v>4111</v>
      </c>
      <c r="C19617" t="s">
        <v>23490</v>
      </c>
      <c r="D19617" t="str">
        <f>HYPERLINK("https://rhld.insurance.arkansas.gov/NPILookup?Npi=1467164418","1467164418")</f>
        <v>1467164418</v>
      </c>
      <c r="E19617" t="s">
        <v>6778</v>
      </c>
    </row>
    <row r="19618" spans="1:5" x14ac:dyDescent="0.25">
      <c r="A19618" t="s">
        <v>4</v>
      </c>
      <c r="B19618" t="s">
        <v>4111</v>
      </c>
      <c r="C19618" t="s">
        <v>23490</v>
      </c>
      <c r="D19618" t="str">
        <f>HYPERLINK("https://rhld.insurance.arkansas.gov/NPILookup?Npi=1467173690","1467173690")</f>
        <v>1467173690</v>
      </c>
      <c r="E19618" t="s">
        <v>22076</v>
      </c>
    </row>
    <row r="19619" spans="1:5" x14ac:dyDescent="0.25">
      <c r="A19619" t="s">
        <v>4</v>
      </c>
      <c r="B19619" t="s">
        <v>4111</v>
      </c>
      <c r="C19619" t="s">
        <v>23490</v>
      </c>
      <c r="D19619" t="str">
        <f>HYPERLINK("https://rhld.insurance.arkansas.gov/NPILookup?Npi=1467188565","1467188565")</f>
        <v>1467188565</v>
      </c>
      <c r="E19619" t="s">
        <v>22077</v>
      </c>
    </row>
    <row r="19620" spans="1:5" x14ac:dyDescent="0.25">
      <c r="A19620" t="s">
        <v>4</v>
      </c>
      <c r="B19620" t="s">
        <v>4111</v>
      </c>
      <c r="C19620" t="s">
        <v>23490</v>
      </c>
      <c r="D19620" t="str">
        <f>HYPERLINK("https://rhld.insurance.arkansas.gov/NPILookup?Npi=1467408880","1467408880")</f>
        <v>1467408880</v>
      </c>
      <c r="E19620" t="s">
        <v>4998</v>
      </c>
    </row>
    <row r="19621" spans="1:5" x14ac:dyDescent="0.25">
      <c r="A19621" t="s">
        <v>4</v>
      </c>
      <c r="B19621" t="s">
        <v>4111</v>
      </c>
      <c r="C19621" t="s">
        <v>23490</v>
      </c>
      <c r="D19621" t="str">
        <f>HYPERLINK("https://rhld.insurance.arkansas.gov/NPILookup?Npi=1467432054","1467432054")</f>
        <v>1467432054</v>
      </c>
      <c r="E19621" t="s">
        <v>4999</v>
      </c>
    </row>
    <row r="19622" spans="1:5" x14ac:dyDescent="0.25">
      <c r="A19622" t="s">
        <v>4</v>
      </c>
      <c r="B19622" t="s">
        <v>4111</v>
      </c>
      <c r="C19622" t="s">
        <v>23490</v>
      </c>
      <c r="D19622" t="str">
        <f>HYPERLINK("https://rhld.insurance.arkansas.gov/NPILookup?Npi=1467463331","1467463331")</f>
        <v>1467463331</v>
      </c>
      <c r="E19622" t="s">
        <v>5000</v>
      </c>
    </row>
    <row r="19623" spans="1:5" x14ac:dyDescent="0.25">
      <c r="A19623" t="s">
        <v>4</v>
      </c>
      <c r="B19623" t="s">
        <v>4111</v>
      </c>
      <c r="C19623" t="s">
        <v>23490</v>
      </c>
      <c r="D19623" t="str">
        <f>HYPERLINK("https://rhld.insurance.arkansas.gov/NPILookup?Npi=1467465047","1467465047")</f>
        <v>1467465047</v>
      </c>
      <c r="E19623" t="s">
        <v>5001</v>
      </c>
    </row>
    <row r="19624" spans="1:5" x14ac:dyDescent="0.25">
      <c r="A19624" t="s">
        <v>4</v>
      </c>
      <c r="B19624" t="s">
        <v>4111</v>
      </c>
      <c r="C19624" t="s">
        <v>23490</v>
      </c>
      <c r="D19624" t="str">
        <f>HYPERLINK("https://rhld.insurance.arkansas.gov/NPILookup?Npi=1467477604","1467477604")</f>
        <v>1467477604</v>
      </c>
      <c r="E19624" t="s">
        <v>5002</v>
      </c>
    </row>
    <row r="19625" spans="1:5" x14ac:dyDescent="0.25">
      <c r="A19625" t="s">
        <v>4</v>
      </c>
      <c r="B19625" t="s">
        <v>4111</v>
      </c>
      <c r="C19625" t="s">
        <v>23490</v>
      </c>
      <c r="D19625" t="str">
        <f>HYPERLINK("https://rhld.insurance.arkansas.gov/NPILookup?Npi=1467478842","1467478842")</f>
        <v>1467478842</v>
      </c>
      <c r="E19625" t="s">
        <v>5003</v>
      </c>
    </row>
    <row r="19626" spans="1:5" x14ac:dyDescent="0.25">
      <c r="A19626" t="s">
        <v>4</v>
      </c>
      <c r="B19626" t="s">
        <v>4111</v>
      </c>
      <c r="C19626" t="s">
        <v>23490</v>
      </c>
      <c r="D19626" t="str">
        <f>HYPERLINK("https://rhld.insurance.arkansas.gov/NPILookup?Npi=1467481622","1467481622")</f>
        <v>1467481622</v>
      </c>
      <c r="E19626" t="s">
        <v>5004</v>
      </c>
    </row>
    <row r="19627" spans="1:5" x14ac:dyDescent="0.25">
      <c r="A19627" t="s">
        <v>4</v>
      </c>
      <c r="B19627" t="s">
        <v>4111</v>
      </c>
      <c r="C19627" t="s">
        <v>23490</v>
      </c>
      <c r="D19627" t="str">
        <f>HYPERLINK("https://rhld.insurance.arkansas.gov/NPILookup?Npi=1467489450","1467489450")</f>
        <v>1467489450</v>
      </c>
      <c r="E19627" t="s">
        <v>16111</v>
      </c>
    </row>
    <row r="19628" spans="1:5" x14ac:dyDescent="0.25">
      <c r="A19628" t="s">
        <v>4</v>
      </c>
      <c r="B19628" t="s">
        <v>4111</v>
      </c>
      <c r="C19628" t="s">
        <v>23490</v>
      </c>
      <c r="D19628" t="str">
        <f>HYPERLINK("https://rhld.insurance.arkansas.gov/NPILookup?Npi=1467497099","1467497099")</f>
        <v>1467497099</v>
      </c>
      <c r="E19628" t="s">
        <v>5005</v>
      </c>
    </row>
    <row r="19629" spans="1:5" x14ac:dyDescent="0.25">
      <c r="A19629" t="s">
        <v>4</v>
      </c>
      <c r="B19629" t="s">
        <v>4111</v>
      </c>
      <c r="C19629" t="s">
        <v>23490</v>
      </c>
      <c r="D19629" t="str">
        <f>HYPERLINK("https://rhld.insurance.arkansas.gov/NPILookup?Npi=1467519777","1467519777")</f>
        <v>1467519777</v>
      </c>
      <c r="E19629" t="s">
        <v>5006</v>
      </c>
    </row>
    <row r="19630" spans="1:5" x14ac:dyDescent="0.25">
      <c r="A19630" t="s">
        <v>4</v>
      </c>
      <c r="B19630" t="s">
        <v>4111</v>
      </c>
      <c r="C19630" t="s">
        <v>23490</v>
      </c>
      <c r="D19630" t="str">
        <f>HYPERLINK("https://rhld.insurance.arkansas.gov/NPILookup?Npi=1467542035","1467542035")</f>
        <v>1467542035</v>
      </c>
      <c r="E19630" t="s">
        <v>5007</v>
      </c>
    </row>
    <row r="19631" spans="1:5" x14ac:dyDescent="0.25">
      <c r="A19631" t="s">
        <v>4</v>
      </c>
      <c r="B19631" t="s">
        <v>4111</v>
      </c>
      <c r="C19631" t="s">
        <v>23490</v>
      </c>
      <c r="D19631" t="str">
        <f>HYPERLINK("https://rhld.insurance.arkansas.gov/NPILookup?Npi=1467555201","1467555201")</f>
        <v>1467555201</v>
      </c>
      <c r="E19631" t="s">
        <v>5008</v>
      </c>
    </row>
    <row r="19632" spans="1:5" x14ac:dyDescent="0.25">
      <c r="A19632" t="s">
        <v>4</v>
      </c>
      <c r="B19632" t="s">
        <v>4111</v>
      </c>
      <c r="C19632" t="s">
        <v>23490</v>
      </c>
      <c r="D19632" t="str">
        <f>HYPERLINK("https://rhld.insurance.arkansas.gov/NPILookup?Npi=1467576504","1467576504")</f>
        <v>1467576504</v>
      </c>
      <c r="E19632" t="s">
        <v>5009</v>
      </c>
    </row>
    <row r="19633" spans="1:5" x14ac:dyDescent="0.25">
      <c r="A19633" t="s">
        <v>4</v>
      </c>
      <c r="B19633" t="s">
        <v>4111</v>
      </c>
      <c r="C19633" t="s">
        <v>23490</v>
      </c>
      <c r="D19633" t="str">
        <f>HYPERLINK("https://rhld.insurance.arkansas.gov/NPILookup?Npi=1467578088","1467578088")</f>
        <v>1467578088</v>
      </c>
      <c r="E19633" t="s">
        <v>22078</v>
      </c>
    </row>
    <row r="19634" spans="1:5" x14ac:dyDescent="0.25">
      <c r="A19634" t="s">
        <v>4</v>
      </c>
      <c r="B19634" t="s">
        <v>4111</v>
      </c>
      <c r="C19634" t="s">
        <v>23490</v>
      </c>
      <c r="D19634" t="str">
        <f>HYPERLINK("https://rhld.insurance.arkansas.gov/NPILookup?Npi=1467580647","1467580647")</f>
        <v>1467580647</v>
      </c>
      <c r="E19634" t="s">
        <v>9098</v>
      </c>
    </row>
    <row r="19635" spans="1:5" x14ac:dyDescent="0.25">
      <c r="A19635" t="s">
        <v>4</v>
      </c>
      <c r="B19635" t="s">
        <v>4111</v>
      </c>
      <c r="C19635" t="s">
        <v>23490</v>
      </c>
      <c r="D19635" t="str">
        <f>HYPERLINK("https://rhld.insurance.arkansas.gov/NPILookup?Npi=1467584656","1467584656")</f>
        <v>1467584656</v>
      </c>
      <c r="E19635" t="s">
        <v>5010</v>
      </c>
    </row>
    <row r="19636" spans="1:5" x14ac:dyDescent="0.25">
      <c r="A19636" t="s">
        <v>4</v>
      </c>
      <c r="B19636" t="s">
        <v>4111</v>
      </c>
      <c r="C19636" t="s">
        <v>23490</v>
      </c>
      <c r="D19636" t="str">
        <f>HYPERLINK("https://rhld.insurance.arkansas.gov/NPILookup?Npi=1467587527","1467587527")</f>
        <v>1467587527</v>
      </c>
      <c r="E19636" t="s">
        <v>9099</v>
      </c>
    </row>
    <row r="19637" spans="1:5" x14ac:dyDescent="0.25">
      <c r="A19637" t="s">
        <v>4</v>
      </c>
      <c r="B19637" t="s">
        <v>4111</v>
      </c>
      <c r="C19637" t="s">
        <v>23490</v>
      </c>
      <c r="D19637" t="str">
        <f>HYPERLINK("https://rhld.insurance.arkansas.gov/NPILookup?Npi=1467588707","1467588707")</f>
        <v>1467588707</v>
      </c>
      <c r="E19637" t="s">
        <v>11694</v>
      </c>
    </row>
    <row r="19638" spans="1:5" x14ac:dyDescent="0.25">
      <c r="A19638" t="s">
        <v>4</v>
      </c>
      <c r="B19638" t="s">
        <v>4111</v>
      </c>
      <c r="C19638" t="s">
        <v>23490</v>
      </c>
      <c r="D19638" t="str">
        <f>HYPERLINK("https://rhld.insurance.arkansas.gov/NPILookup?Npi=1467592600","1467592600")</f>
        <v>1467592600</v>
      </c>
      <c r="E19638" t="s">
        <v>5011</v>
      </c>
    </row>
    <row r="19639" spans="1:5" x14ac:dyDescent="0.25">
      <c r="A19639" t="s">
        <v>4</v>
      </c>
      <c r="B19639" t="s">
        <v>4111</v>
      </c>
      <c r="C19639" t="s">
        <v>23490</v>
      </c>
      <c r="D19639" t="str">
        <f>HYPERLINK("https://rhld.insurance.arkansas.gov/NPILookup?Npi=1467602136","1467602136")</f>
        <v>1467602136</v>
      </c>
      <c r="E19639" t="s">
        <v>5012</v>
      </c>
    </row>
    <row r="19640" spans="1:5" x14ac:dyDescent="0.25">
      <c r="A19640" t="s">
        <v>4</v>
      </c>
      <c r="B19640" t="s">
        <v>4111</v>
      </c>
      <c r="C19640" t="s">
        <v>23490</v>
      </c>
      <c r="D19640" t="str">
        <f>HYPERLINK("https://rhld.insurance.arkansas.gov/NPILookup?Npi=1467643783","1467643783")</f>
        <v>1467643783</v>
      </c>
      <c r="E19640" t="s">
        <v>5013</v>
      </c>
    </row>
    <row r="19641" spans="1:5" x14ac:dyDescent="0.25">
      <c r="A19641" t="s">
        <v>4</v>
      </c>
      <c r="B19641" t="s">
        <v>4111</v>
      </c>
      <c r="C19641" t="s">
        <v>23490</v>
      </c>
      <c r="D19641" t="str">
        <f>HYPERLINK("https://rhld.insurance.arkansas.gov/NPILookup?Npi=1467657577","1467657577")</f>
        <v>1467657577</v>
      </c>
      <c r="E19641" t="s">
        <v>5014</v>
      </c>
    </row>
    <row r="19642" spans="1:5" x14ac:dyDescent="0.25">
      <c r="A19642" t="s">
        <v>4</v>
      </c>
      <c r="B19642" t="s">
        <v>4111</v>
      </c>
      <c r="C19642" t="s">
        <v>23490</v>
      </c>
      <c r="D19642" t="str">
        <f>HYPERLINK("https://rhld.insurance.arkansas.gov/NPILookup?Npi=1467659755","1467659755")</f>
        <v>1467659755</v>
      </c>
      <c r="E19642" t="s">
        <v>5015</v>
      </c>
    </row>
    <row r="19643" spans="1:5" x14ac:dyDescent="0.25">
      <c r="A19643" t="s">
        <v>4</v>
      </c>
      <c r="B19643" t="s">
        <v>4111</v>
      </c>
      <c r="C19643" t="s">
        <v>23490</v>
      </c>
      <c r="D19643" t="str">
        <f>HYPERLINK("https://rhld.insurance.arkansas.gov/NPILookup?Npi=1467673640","1467673640")</f>
        <v>1467673640</v>
      </c>
      <c r="E19643" t="s">
        <v>14079</v>
      </c>
    </row>
    <row r="19644" spans="1:5" x14ac:dyDescent="0.25">
      <c r="A19644" t="s">
        <v>4</v>
      </c>
      <c r="B19644" t="s">
        <v>4111</v>
      </c>
      <c r="C19644" t="s">
        <v>23490</v>
      </c>
      <c r="D19644" t="str">
        <f>HYPERLINK("https://rhld.insurance.arkansas.gov/NPILookup?Npi=1467731877","1467731877")</f>
        <v>1467731877</v>
      </c>
      <c r="E19644" t="s">
        <v>5016</v>
      </c>
    </row>
    <row r="19645" spans="1:5" x14ac:dyDescent="0.25">
      <c r="A19645" t="s">
        <v>4</v>
      </c>
      <c r="B19645" t="s">
        <v>4111</v>
      </c>
      <c r="C19645" t="s">
        <v>23490</v>
      </c>
      <c r="D19645" t="str">
        <f>HYPERLINK("https://rhld.insurance.arkansas.gov/NPILookup?Npi=1467732172","1467732172")</f>
        <v>1467732172</v>
      </c>
      <c r="E19645" t="s">
        <v>5017</v>
      </c>
    </row>
    <row r="19646" spans="1:5" x14ac:dyDescent="0.25">
      <c r="A19646" t="s">
        <v>4</v>
      </c>
      <c r="B19646" t="s">
        <v>4111</v>
      </c>
      <c r="C19646" t="s">
        <v>23490</v>
      </c>
      <c r="D19646" t="str">
        <f>HYPERLINK("https://rhld.insurance.arkansas.gov/NPILookup?Npi=1467742445","1467742445")</f>
        <v>1467742445</v>
      </c>
      <c r="E19646" t="s">
        <v>11695</v>
      </c>
    </row>
    <row r="19647" spans="1:5" x14ac:dyDescent="0.25">
      <c r="A19647" t="s">
        <v>4</v>
      </c>
      <c r="B19647" t="s">
        <v>4111</v>
      </c>
      <c r="C19647" t="s">
        <v>23490</v>
      </c>
      <c r="D19647" t="str">
        <f>HYPERLINK("https://rhld.insurance.arkansas.gov/NPILookup?Npi=1467745299","1467745299")</f>
        <v>1467745299</v>
      </c>
      <c r="E19647" t="s">
        <v>22079</v>
      </c>
    </row>
    <row r="19648" spans="1:5" x14ac:dyDescent="0.25">
      <c r="A19648" t="s">
        <v>4</v>
      </c>
      <c r="B19648" t="s">
        <v>4111</v>
      </c>
      <c r="C19648" t="s">
        <v>23490</v>
      </c>
      <c r="D19648" t="str">
        <f>HYPERLINK("https://rhld.insurance.arkansas.gov/NPILookup?Npi=1467764183","1467764183")</f>
        <v>1467764183</v>
      </c>
      <c r="E19648" t="s">
        <v>5018</v>
      </c>
    </row>
    <row r="19649" spans="1:5" x14ac:dyDescent="0.25">
      <c r="A19649" t="s">
        <v>4</v>
      </c>
      <c r="B19649" t="s">
        <v>4111</v>
      </c>
      <c r="C19649" t="s">
        <v>23490</v>
      </c>
      <c r="D19649" t="str">
        <f>HYPERLINK("https://rhld.insurance.arkansas.gov/NPILookup?Npi=1467776815","1467776815")</f>
        <v>1467776815</v>
      </c>
      <c r="E19649" t="s">
        <v>9100</v>
      </c>
    </row>
    <row r="19650" spans="1:5" x14ac:dyDescent="0.25">
      <c r="A19650" t="s">
        <v>4</v>
      </c>
      <c r="B19650" t="s">
        <v>4111</v>
      </c>
      <c r="C19650" t="s">
        <v>23490</v>
      </c>
      <c r="D19650" t="str">
        <f>HYPERLINK("https://rhld.insurance.arkansas.gov/NPILookup?Npi=1467778175","1467778175")</f>
        <v>1467778175</v>
      </c>
      <c r="E19650" t="s">
        <v>5019</v>
      </c>
    </row>
    <row r="19651" spans="1:5" x14ac:dyDescent="0.25">
      <c r="A19651" t="s">
        <v>4</v>
      </c>
      <c r="B19651" t="s">
        <v>4111</v>
      </c>
      <c r="C19651" t="s">
        <v>23490</v>
      </c>
      <c r="D19651" t="str">
        <f>HYPERLINK("https://rhld.insurance.arkansas.gov/NPILookup?Npi=1467780833","1467780833")</f>
        <v>1467780833</v>
      </c>
      <c r="E19651" t="s">
        <v>20483</v>
      </c>
    </row>
    <row r="19652" spans="1:5" x14ac:dyDescent="0.25">
      <c r="A19652" t="s">
        <v>4</v>
      </c>
      <c r="B19652" t="s">
        <v>4111</v>
      </c>
      <c r="C19652" t="s">
        <v>23490</v>
      </c>
      <c r="D19652" t="str">
        <f>HYPERLINK("https://rhld.insurance.arkansas.gov/NPILookup?Npi=1467793984","1467793984")</f>
        <v>1467793984</v>
      </c>
      <c r="E19652" t="s">
        <v>5020</v>
      </c>
    </row>
    <row r="19653" spans="1:5" x14ac:dyDescent="0.25">
      <c r="A19653" t="s">
        <v>4</v>
      </c>
      <c r="B19653" t="s">
        <v>4111</v>
      </c>
      <c r="C19653" t="s">
        <v>23490</v>
      </c>
      <c r="D19653" t="str">
        <f>HYPERLINK("https://rhld.insurance.arkansas.gov/NPILookup?Npi=1467805655","1467805655")</f>
        <v>1467805655</v>
      </c>
      <c r="E19653" t="s">
        <v>17172</v>
      </c>
    </row>
    <row r="19654" spans="1:5" x14ac:dyDescent="0.25">
      <c r="A19654" t="s">
        <v>4</v>
      </c>
      <c r="B19654" t="s">
        <v>4111</v>
      </c>
      <c r="C19654" t="s">
        <v>23490</v>
      </c>
      <c r="D19654" t="str">
        <f>HYPERLINK("https://rhld.insurance.arkansas.gov/NPILookup?Npi=1467826552","1467826552")</f>
        <v>1467826552</v>
      </c>
      <c r="E19654" t="s">
        <v>16112</v>
      </c>
    </row>
    <row r="19655" spans="1:5" x14ac:dyDescent="0.25">
      <c r="A19655" t="s">
        <v>4</v>
      </c>
      <c r="B19655" t="s">
        <v>4111</v>
      </c>
      <c r="C19655" t="s">
        <v>23490</v>
      </c>
      <c r="D19655" t="str">
        <f>HYPERLINK("https://rhld.insurance.arkansas.gov/NPILookup?Npi=1467840538","1467840538")</f>
        <v>1467840538</v>
      </c>
      <c r="E19655" t="s">
        <v>11696</v>
      </c>
    </row>
    <row r="19656" spans="1:5" x14ac:dyDescent="0.25">
      <c r="A19656" t="s">
        <v>4</v>
      </c>
      <c r="B19656" t="s">
        <v>4111</v>
      </c>
      <c r="C19656" t="s">
        <v>23490</v>
      </c>
      <c r="D19656" t="str">
        <f>HYPERLINK("https://rhld.insurance.arkansas.gov/NPILookup?Npi=1467851253","1467851253")</f>
        <v>1467851253</v>
      </c>
      <c r="E19656" t="s">
        <v>14080</v>
      </c>
    </row>
    <row r="19657" spans="1:5" x14ac:dyDescent="0.25">
      <c r="A19657" t="s">
        <v>4</v>
      </c>
      <c r="B19657" t="s">
        <v>4111</v>
      </c>
      <c r="C19657" t="s">
        <v>23490</v>
      </c>
      <c r="D19657" t="str">
        <f>HYPERLINK("https://rhld.insurance.arkansas.gov/NPILookup?Npi=1467861385","1467861385")</f>
        <v>1467861385</v>
      </c>
      <c r="E19657" t="s">
        <v>20484</v>
      </c>
    </row>
    <row r="19658" spans="1:5" x14ac:dyDescent="0.25">
      <c r="A19658" t="s">
        <v>4</v>
      </c>
      <c r="B19658" t="s">
        <v>4111</v>
      </c>
      <c r="C19658" t="s">
        <v>23490</v>
      </c>
      <c r="D19658" t="str">
        <f>HYPERLINK("https://rhld.insurance.arkansas.gov/NPILookup?Npi=1467864173","1467864173")</f>
        <v>1467864173</v>
      </c>
      <c r="E19658" t="s">
        <v>11697</v>
      </c>
    </row>
    <row r="19659" spans="1:5" x14ac:dyDescent="0.25">
      <c r="A19659" t="s">
        <v>4</v>
      </c>
      <c r="B19659" t="s">
        <v>4111</v>
      </c>
      <c r="C19659" t="s">
        <v>8427</v>
      </c>
      <c r="D19659" t="str">
        <f>HYPERLINK("https://rhld.insurance.arkansas.gov/NPILookup?Npi=1467877654","1467877654")</f>
        <v>1467877654</v>
      </c>
      <c r="E19659" t="s">
        <v>23110</v>
      </c>
    </row>
    <row r="19660" spans="1:5" x14ac:dyDescent="0.25">
      <c r="A19660" t="s">
        <v>4</v>
      </c>
      <c r="B19660" t="s">
        <v>4111</v>
      </c>
      <c r="C19660" t="s">
        <v>23490</v>
      </c>
      <c r="D19660" t="str">
        <f>HYPERLINK("https://rhld.insurance.arkansas.gov/NPILookup?Npi=1467881128","1467881128")</f>
        <v>1467881128</v>
      </c>
      <c r="E19660" t="s">
        <v>22080</v>
      </c>
    </row>
    <row r="19661" spans="1:5" x14ac:dyDescent="0.25">
      <c r="A19661" t="s">
        <v>4</v>
      </c>
      <c r="B19661" t="s">
        <v>4111</v>
      </c>
      <c r="C19661" t="s">
        <v>23490</v>
      </c>
      <c r="D19661" t="str">
        <f>HYPERLINK("https://rhld.insurance.arkansas.gov/NPILookup?Npi=1467890756","1467890756")</f>
        <v>1467890756</v>
      </c>
      <c r="E19661" t="s">
        <v>23111</v>
      </c>
    </row>
    <row r="19662" spans="1:5" x14ac:dyDescent="0.25">
      <c r="A19662" t="s">
        <v>4</v>
      </c>
      <c r="B19662" t="s">
        <v>4111</v>
      </c>
      <c r="C19662" t="s">
        <v>23490</v>
      </c>
      <c r="D19662" t="str">
        <f>HYPERLINK("https://rhld.insurance.arkansas.gov/NPILookup?Npi=1467914507","1467914507")</f>
        <v>1467914507</v>
      </c>
      <c r="E19662" t="s">
        <v>16113</v>
      </c>
    </row>
    <row r="19663" spans="1:5" x14ac:dyDescent="0.25">
      <c r="A19663" t="s">
        <v>4</v>
      </c>
      <c r="B19663" t="s">
        <v>4111</v>
      </c>
      <c r="C19663" t="s">
        <v>23490</v>
      </c>
      <c r="D19663" t="str">
        <f>HYPERLINK("https://rhld.insurance.arkansas.gov/NPILookup?Npi=1467947721","1467947721")</f>
        <v>1467947721</v>
      </c>
      <c r="E19663" t="s">
        <v>22081</v>
      </c>
    </row>
    <row r="19664" spans="1:5" x14ac:dyDescent="0.25">
      <c r="A19664" t="s">
        <v>4</v>
      </c>
      <c r="B19664" t="s">
        <v>4111</v>
      </c>
      <c r="C19664" t="s">
        <v>23490</v>
      </c>
      <c r="D19664" t="str">
        <f>HYPERLINK("https://rhld.insurance.arkansas.gov/NPILookup?Npi=1467953364","1467953364")</f>
        <v>1467953364</v>
      </c>
      <c r="E19664" t="s">
        <v>22082</v>
      </c>
    </row>
    <row r="19665" spans="1:5" x14ac:dyDescent="0.25">
      <c r="A19665" t="s">
        <v>4</v>
      </c>
      <c r="B19665" t="s">
        <v>4111</v>
      </c>
      <c r="C19665" t="s">
        <v>23490</v>
      </c>
      <c r="D19665" t="str">
        <f>HYPERLINK("https://rhld.insurance.arkansas.gov/NPILookup?Npi=1467969659","1467969659")</f>
        <v>1467969659</v>
      </c>
      <c r="E19665" t="s">
        <v>22083</v>
      </c>
    </row>
    <row r="19666" spans="1:5" x14ac:dyDescent="0.25">
      <c r="A19666" t="s">
        <v>4</v>
      </c>
      <c r="B19666" t="s">
        <v>4111</v>
      </c>
      <c r="C19666" t="s">
        <v>23490</v>
      </c>
      <c r="D19666" t="str">
        <f>HYPERLINK("https://rhld.insurance.arkansas.gov/NPILookup?Npi=1467969824","1467969824")</f>
        <v>1467969824</v>
      </c>
      <c r="E19666" t="s">
        <v>17594</v>
      </c>
    </row>
    <row r="19667" spans="1:5" x14ac:dyDescent="0.25">
      <c r="A19667" t="s">
        <v>4</v>
      </c>
      <c r="B19667" t="s">
        <v>4111</v>
      </c>
      <c r="C19667" t="s">
        <v>23490</v>
      </c>
      <c r="D19667" t="str">
        <f>HYPERLINK("https://rhld.insurance.arkansas.gov/NPILookup?Npi=1467973990","1467973990")</f>
        <v>1467973990</v>
      </c>
      <c r="E19667" t="s">
        <v>17173</v>
      </c>
    </row>
    <row r="19668" spans="1:5" x14ac:dyDescent="0.25">
      <c r="A19668" t="s">
        <v>4</v>
      </c>
      <c r="B19668" t="s">
        <v>4111</v>
      </c>
      <c r="C19668" t="s">
        <v>23490</v>
      </c>
      <c r="D19668" t="str">
        <f>HYPERLINK("https://rhld.insurance.arkansas.gov/NPILookup?Npi=1467981456","1467981456")</f>
        <v>1467981456</v>
      </c>
      <c r="E19668" t="s">
        <v>18349</v>
      </c>
    </row>
    <row r="19669" spans="1:5" x14ac:dyDescent="0.25">
      <c r="A19669" t="s">
        <v>4</v>
      </c>
      <c r="B19669" t="s">
        <v>4111</v>
      </c>
      <c r="C19669" t="s">
        <v>23490</v>
      </c>
      <c r="D19669" t="str">
        <f>HYPERLINK("https://rhld.insurance.arkansas.gov/NPILookup?Npi=1467986422","1467986422")</f>
        <v>1467986422</v>
      </c>
      <c r="E19669" t="s">
        <v>22084</v>
      </c>
    </row>
    <row r="19670" spans="1:5" x14ac:dyDescent="0.25">
      <c r="A19670" t="s">
        <v>4</v>
      </c>
      <c r="B19670" t="s">
        <v>4111</v>
      </c>
      <c r="C19670" t="s">
        <v>23490</v>
      </c>
      <c r="D19670" t="str">
        <f>HYPERLINK("https://rhld.insurance.arkansas.gov/NPILookup?Npi=1467989970","1467989970")</f>
        <v>1467989970</v>
      </c>
      <c r="E19670" t="s">
        <v>16114</v>
      </c>
    </row>
    <row r="19671" spans="1:5" x14ac:dyDescent="0.25">
      <c r="A19671" t="s">
        <v>4</v>
      </c>
      <c r="B19671" t="s">
        <v>4111</v>
      </c>
      <c r="C19671" t="s">
        <v>23490</v>
      </c>
      <c r="D19671" t="str">
        <f>HYPERLINK("https://rhld.insurance.arkansas.gov/NPILookup?Npi=1467991588","1467991588")</f>
        <v>1467991588</v>
      </c>
      <c r="E19671" t="s">
        <v>22085</v>
      </c>
    </row>
    <row r="19672" spans="1:5" x14ac:dyDescent="0.25">
      <c r="A19672" t="s">
        <v>4</v>
      </c>
      <c r="B19672" t="s">
        <v>4111</v>
      </c>
      <c r="C19672" t="s">
        <v>23490</v>
      </c>
      <c r="D19672" t="str">
        <f>HYPERLINK("https://rhld.insurance.arkansas.gov/NPILookup?Npi=1477057156","1477057156")</f>
        <v>1477057156</v>
      </c>
      <c r="E19672" t="s">
        <v>16115</v>
      </c>
    </row>
    <row r="19673" spans="1:5" x14ac:dyDescent="0.25">
      <c r="A19673" t="s">
        <v>4</v>
      </c>
      <c r="B19673" t="s">
        <v>4111</v>
      </c>
      <c r="C19673" t="s">
        <v>23490</v>
      </c>
      <c r="D19673" t="str">
        <f>HYPERLINK("https://rhld.insurance.arkansas.gov/NPILookup?Npi=1477076222","1477076222")</f>
        <v>1477076222</v>
      </c>
      <c r="E19673" t="s">
        <v>19246</v>
      </c>
    </row>
    <row r="19674" spans="1:5" x14ac:dyDescent="0.25">
      <c r="A19674" t="s">
        <v>4</v>
      </c>
      <c r="B19674" t="s">
        <v>4111</v>
      </c>
      <c r="C19674" t="s">
        <v>23490</v>
      </c>
      <c r="D19674" t="str">
        <f>HYPERLINK("https://rhld.insurance.arkansas.gov/NPILookup?Npi=1477100253","1477100253")</f>
        <v>1477100253</v>
      </c>
      <c r="E19674" t="s">
        <v>22086</v>
      </c>
    </row>
    <row r="19675" spans="1:5" x14ac:dyDescent="0.25">
      <c r="A19675" t="s">
        <v>4</v>
      </c>
      <c r="B19675" t="s">
        <v>4111</v>
      </c>
      <c r="C19675" t="s">
        <v>23490</v>
      </c>
      <c r="D19675" t="str">
        <f>HYPERLINK("https://rhld.insurance.arkansas.gov/NPILookup?Npi=1477110633","1477110633")</f>
        <v>1477110633</v>
      </c>
      <c r="E19675" t="s">
        <v>18982</v>
      </c>
    </row>
    <row r="19676" spans="1:5" x14ac:dyDescent="0.25">
      <c r="A19676" t="s">
        <v>4</v>
      </c>
      <c r="B19676" t="s">
        <v>4111</v>
      </c>
      <c r="C19676" t="s">
        <v>23490</v>
      </c>
      <c r="D19676" t="str">
        <f>HYPERLINK("https://rhld.insurance.arkansas.gov/NPILookup?Npi=1477113900","1477113900")</f>
        <v>1477113900</v>
      </c>
      <c r="E19676" t="s">
        <v>16116</v>
      </c>
    </row>
    <row r="19677" spans="1:5" x14ac:dyDescent="0.25">
      <c r="A19677" t="s">
        <v>4</v>
      </c>
      <c r="B19677" t="s">
        <v>4111</v>
      </c>
      <c r="C19677" t="s">
        <v>23490</v>
      </c>
      <c r="D19677" t="str">
        <f>HYPERLINK("https://rhld.insurance.arkansas.gov/NPILookup?Npi=1477167435","1477167435")</f>
        <v>1477167435</v>
      </c>
      <c r="E19677" t="s">
        <v>18350</v>
      </c>
    </row>
    <row r="19678" spans="1:5" x14ac:dyDescent="0.25">
      <c r="A19678" t="s">
        <v>4</v>
      </c>
      <c r="B19678" t="s">
        <v>4111</v>
      </c>
      <c r="C19678" t="s">
        <v>23490</v>
      </c>
      <c r="D19678" t="str">
        <f>HYPERLINK("https://rhld.insurance.arkansas.gov/NPILookup?Npi=1477171395","1477171395")</f>
        <v>1477171395</v>
      </c>
      <c r="E19678" t="s">
        <v>21134</v>
      </c>
    </row>
    <row r="19679" spans="1:5" x14ac:dyDescent="0.25">
      <c r="A19679" t="s">
        <v>4</v>
      </c>
      <c r="B19679" t="s">
        <v>4111</v>
      </c>
      <c r="C19679" t="s">
        <v>23490</v>
      </c>
      <c r="D19679" t="str">
        <f>HYPERLINK("https://rhld.insurance.arkansas.gov/NPILookup?Npi=1477195576","1477195576")</f>
        <v>1477195576</v>
      </c>
      <c r="E19679" t="s">
        <v>20485</v>
      </c>
    </row>
    <row r="19680" spans="1:5" x14ac:dyDescent="0.25">
      <c r="A19680" t="s">
        <v>4</v>
      </c>
      <c r="B19680" t="s">
        <v>4111</v>
      </c>
      <c r="C19680" t="s">
        <v>23490</v>
      </c>
      <c r="D19680" t="str">
        <f>HYPERLINK("https://rhld.insurance.arkansas.gov/NPILookup?Npi=1477199404","1477199404")</f>
        <v>1477199404</v>
      </c>
      <c r="E19680" t="s">
        <v>22087</v>
      </c>
    </row>
    <row r="19681" spans="1:5" x14ac:dyDescent="0.25">
      <c r="A19681" t="s">
        <v>4</v>
      </c>
      <c r="B19681" t="s">
        <v>4111</v>
      </c>
      <c r="C19681" t="s">
        <v>23490</v>
      </c>
      <c r="D19681" t="str">
        <f>HYPERLINK("https://rhld.insurance.arkansas.gov/NPILookup?Npi=1477199503","1477199503")</f>
        <v>1477199503</v>
      </c>
      <c r="E19681" t="s">
        <v>22088</v>
      </c>
    </row>
    <row r="19682" spans="1:5" x14ac:dyDescent="0.25">
      <c r="A19682" t="s">
        <v>4</v>
      </c>
      <c r="B19682" t="s">
        <v>4111</v>
      </c>
      <c r="C19682" t="s">
        <v>23490</v>
      </c>
      <c r="D19682" t="str">
        <f>HYPERLINK("https://rhld.insurance.arkansas.gov/NPILookup?Npi=1477267193","1477267193")</f>
        <v>1477267193</v>
      </c>
      <c r="E19682" t="s">
        <v>22089</v>
      </c>
    </row>
    <row r="19683" spans="1:5" x14ac:dyDescent="0.25">
      <c r="A19683" t="s">
        <v>4</v>
      </c>
      <c r="B19683" t="s">
        <v>4111</v>
      </c>
      <c r="C19683" t="s">
        <v>23490</v>
      </c>
      <c r="D19683" t="str">
        <f>HYPERLINK("https://rhld.insurance.arkansas.gov/NPILookup?Npi=1477283497","1477283497")</f>
        <v>1477283497</v>
      </c>
      <c r="E19683" t="s">
        <v>22090</v>
      </c>
    </row>
    <row r="19684" spans="1:5" x14ac:dyDescent="0.25">
      <c r="A19684" t="s">
        <v>4</v>
      </c>
      <c r="B19684" t="s">
        <v>4111</v>
      </c>
      <c r="C19684" t="s">
        <v>23490</v>
      </c>
      <c r="D19684" t="str">
        <f>HYPERLINK("https://rhld.insurance.arkansas.gov/NPILookup?Npi=1477533024","1477533024")</f>
        <v>1477533024</v>
      </c>
      <c r="E19684" t="s">
        <v>5021</v>
      </c>
    </row>
    <row r="19685" spans="1:5" x14ac:dyDescent="0.25">
      <c r="A19685" t="s">
        <v>4</v>
      </c>
      <c r="B19685" t="s">
        <v>4111</v>
      </c>
      <c r="C19685" t="s">
        <v>23490</v>
      </c>
      <c r="D19685" t="str">
        <f>HYPERLINK("https://rhld.insurance.arkansas.gov/NPILookup?Npi=1477565323","1477565323")</f>
        <v>1477565323</v>
      </c>
      <c r="E19685" t="s">
        <v>5022</v>
      </c>
    </row>
    <row r="19686" spans="1:5" x14ac:dyDescent="0.25">
      <c r="A19686" t="s">
        <v>4</v>
      </c>
      <c r="B19686" t="s">
        <v>4111</v>
      </c>
      <c r="C19686" t="s">
        <v>23490</v>
      </c>
      <c r="D19686" t="str">
        <f>HYPERLINK("https://rhld.insurance.arkansas.gov/NPILookup?Npi=1477582757","1477582757")</f>
        <v>1477582757</v>
      </c>
      <c r="E19686" t="s">
        <v>5023</v>
      </c>
    </row>
    <row r="19687" spans="1:5" x14ac:dyDescent="0.25">
      <c r="A19687" t="s">
        <v>4</v>
      </c>
      <c r="B19687" t="s">
        <v>4111</v>
      </c>
      <c r="C19687" t="s">
        <v>23490</v>
      </c>
      <c r="D19687" t="str">
        <f>HYPERLINK("https://rhld.insurance.arkansas.gov/NPILookup?Npi=1477585982","1477585982")</f>
        <v>1477585982</v>
      </c>
      <c r="E19687" t="s">
        <v>5024</v>
      </c>
    </row>
    <row r="19688" spans="1:5" x14ac:dyDescent="0.25">
      <c r="A19688" t="s">
        <v>4</v>
      </c>
      <c r="B19688" t="s">
        <v>4111</v>
      </c>
      <c r="C19688" t="s">
        <v>23490</v>
      </c>
      <c r="D19688" t="str">
        <f>HYPERLINK("https://rhld.insurance.arkansas.gov/NPILookup?Npi=1477587772","1477587772")</f>
        <v>1477587772</v>
      </c>
      <c r="E19688" t="s">
        <v>11698</v>
      </c>
    </row>
    <row r="19689" spans="1:5" x14ac:dyDescent="0.25">
      <c r="A19689" t="s">
        <v>4</v>
      </c>
      <c r="B19689" t="s">
        <v>4111</v>
      </c>
      <c r="C19689" t="s">
        <v>23490</v>
      </c>
      <c r="D19689" t="str">
        <f>HYPERLINK("https://rhld.insurance.arkansas.gov/NPILookup?Npi=1477588762","1477588762")</f>
        <v>1477588762</v>
      </c>
      <c r="E19689" t="s">
        <v>14081</v>
      </c>
    </row>
    <row r="19690" spans="1:5" x14ac:dyDescent="0.25">
      <c r="A19690" t="s">
        <v>4</v>
      </c>
      <c r="B19690" t="s">
        <v>4111</v>
      </c>
      <c r="C19690" t="s">
        <v>23490</v>
      </c>
      <c r="D19690" t="str">
        <f>HYPERLINK("https://rhld.insurance.arkansas.gov/NPILookup?Npi=1477591816","1477591816")</f>
        <v>1477591816</v>
      </c>
      <c r="E19690" t="s">
        <v>5025</v>
      </c>
    </row>
    <row r="19691" spans="1:5" x14ac:dyDescent="0.25">
      <c r="A19691" t="s">
        <v>4</v>
      </c>
      <c r="B19691" t="s">
        <v>4111</v>
      </c>
      <c r="C19691" t="s">
        <v>23490</v>
      </c>
      <c r="D19691" t="str">
        <f>HYPERLINK("https://rhld.insurance.arkansas.gov/NPILookup?Npi=1477604163","1477604163")</f>
        <v>1477604163</v>
      </c>
      <c r="E19691" t="s">
        <v>5026</v>
      </c>
    </row>
    <row r="19692" spans="1:5" x14ac:dyDescent="0.25">
      <c r="A19692" t="s">
        <v>4</v>
      </c>
      <c r="B19692" t="s">
        <v>4111</v>
      </c>
      <c r="C19692" t="s">
        <v>23490</v>
      </c>
      <c r="D19692" t="str">
        <f>HYPERLINK("https://rhld.insurance.arkansas.gov/NPILookup?Npi=1477614840","1477614840")</f>
        <v>1477614840</v>
      </c>
      <c r="E19692" t="s">
        <v>5027</v>
      </c>
    </row>
    <row r="19693" spans="1:5" x14ac:dyDescent="0.25">
      <c r="A19693" t="s">
        <v>4</v>
      </c>
      <c r="B19693" t="s">
        <v>4111</v>
      </c>
      <c r="C19693" t="s">
        <v>23490</v>
      </c>
      <c r="D19693" t="str">
        <f>HYPERLINK("https://rhld.insurance.arkansas.gov/NPILookup?Npi=1477617918","1477617918")</f>
        <v>1477617918</v>
      </c>
      <c r="E19693" t="s">
        <v>11699</v>
      </c>
    </row>
    <row r="19694" spans="1:5" x14ac:dyDescent="0.25">
      <c r="A19694" t="s">
        <v>4</v>
      </c>
      <c r="B19694" t="s">
        <v>4111</v>
      </c>
      <c r="C19694" t="s">
        <v>23490</v>
      </c>
      <c r="D19694" t="str">
        <f>HYPERLINK("https://rhld.insurance.arkansas.gov/NPILookup?Npi=1477618726","1477618726")</f>
        <v>1477618726</v>
      </c>
      <c r="E19694" t="s">
        <v>14082</v>
      </c>
    </row>
    <row r="19695" spans="1:5" x14ac:dyDescent="0.25">
      <c r="A19695" t="s">
        <v>4</v>
      </c>
      <c r="B19695" t="s">
        <v>4111</v>
      </c>
      <c r="C19695" t="s">
        <v>23490</v>
      </c>
      <c r="D19695" t="str">
        <f>HYPERLINK("https://rhld.insurance.arkansas.gov/NPILookup?Npi=1477630168","1477630168")</f>
        <v>1477630168</v>
      </c>
      <c r="E19695" t="s">
        <v>5028</v>
      </c>
    </row>
    <row r="19696" spans="1:5" x14ac:dyDescent="0.25">
      <c r="A19696" t="s">
        <v>4</v>
      </c>
      <c r="B19696" t="s">
        <v>4111</v>
      </c>
      <c r="C19696" t="s">
        <v>23490</v>
      </c>
      <c r="D19696" t="str">
        <f>HYPERLINK("https://rhld.insurance.arkansas.gov/NPILookup?Npi=1477643039","1477643039")</f>
        <v>1477643039</v>
      </c>
      <c r="E19696" t="s">
        <v>4163</v>
      </c>
    </row>
    <row r="19697" spans="1:5" x14ac:dyDescent="0.25">
      <c r="A19697" t="s">
        <v>4</v>
      </c>
      <c r="B19697" t="s">
        <v>4111</v>
      </c>
      <c r="C19697" t="s">
        <v>23490</v>
      </c>
      <c r="D19697" t="str">
        <f>HYPERLINK("https://rhld.insurance.arkansas.gov/NPILookup?Npi=1477643831","1477643831")</f>
        <v>1477643831</v>
      </c>
      <c r="E19697" t="s">
        <v>9101</v>
      </c>
    </row>
    <row r="19698" spans="1:5" x14ac:dyDescent="0.25">
      <c r="A19698" t="s">
        <v>4</v>
      </c>
      <c r="B19698" t="s">
        <v>4111</v>
      </c>
      <c r="C19698" t="s">
        <v>23490</v>
      </c>
      <c r="D19698" t="str">
        <f>HYPERLINK("https://rhld.insurance.arkansas.gov/NPILookup?Npi=1477649168","1477649168")</f>
        <v>1477649168</v>
      </c>
      <c r="E19698" t="s">
        <v>22091</v>
      </c>
    </row>
    <row r="19699" spans="1:5" x14ac:dyDescent="0.25">
      <c r="A19699" t="s">
        <v>4</v>
      </c>
      <c r="B19699" t="s">
        <v>4111</v>
      </c>
      <c r="C19699" t="s">
        <v>23490</v>
      </c>
      <c r="D19699" t="str">
        <f>HYPERLINK("https://rhld.insurance.arkansas.gov/NPILookup?Npi=1477693968","1477693968")</f>
        <v>1477693968</v>
      </c>
      <c r="E19699" t="s">
        <v>5029</v>
      </c>
    </row>
    <row r="19700" spans="1:5" x14ac:dyDescent="0.25">
      <c r="A19700" t="s">
        <v>4</v>
      </c>
      <c r="B19700" t="s">
        <v>4111</v>
      </c>
      <c r="C19700" t="s">
        <v>8427</v>
      </c>
      <c r="D19700" t="str">
        <f>HYPERLINK("https://rhld.insurance.arkansas.gov/NPILookup?Npi=1477700391","1477700391")</f>
        <v>1477700391</v>
      </c>
      <c r="E19700" t="s">
        <v>23112</v>
      </c>
    </row>
    <row r="19701" spans="1:5" x14ac:dyDescent="0.25">
      <c r="A19701" t="s">
        <v>4</v>
      </c>
      <c r="B19701" t="s">
        <v>4111</v>
      </c>
      <c r="C19701" t="s">
        <v>23490</v>
      </c>
      <c r="D19701" t="str">
        <f>HYPERLINK("https://rhld.insurance.arkansas.gov/NPILookup?Npi=1477701787","1477701787")</f>
        <v>1477701787</v>
      </c>
      <c r="E19701" t="s">
        <v>5030</v>
      </c>
    </row>
    <row r="19702" spans="1:5" x14ac:dyDescent="0.25">
      <c r="A19702" t="s">
        <v>4</v>
      </c>
      <c r="B19702" t="s">
        <v>4111</v>
      </c>
      <c r="C19702" t="s">
        <v>23490</v>
      </c>
      <c r="D19702" t="str">
        <f>HYPERLINK("https://rhld.insurance.arkansas.gov/NPILookup?Npi=1477702454","1477702454")</f>
        <v>1477702454</v>
      </c>
      <c r="E19702" t="s">
        <v>17174</v>
      </c>
    </row>
    <row r="19703" spans="1:5" x14ac:dyDescent="0.25">
      <c r="A19703" t="s">
        <v>4</v>
      </c>
      <c r="B19703" t="s">
        <v>4111</v>
      </c>
      <c r="C19703" t="s">
        <v>23490</v>
      </c>
      <c r="D19703" t="str">
        <f>HYPERLINK("https://rhld.insurance.arkansas.gov/NPILookup?Npi=1477702470","1477702470")</f>
        <v>1477702470</v>
      </c>
      <c r="E19703" t="s">
        <v>5031</v>
      </c>
    </row>
    <row r="19704" spans="1:5" x14ac:dyDescent="0.25">
      <c r="A19704" t="s">
        <v>4</v>
      </c>
      <c r="B19704" t="s">
        <v>4111</v>
      </c>
      <c r="C19704" t="s">
        <v>23490</v>
      </c>
      <c r="D19704" t="str">
        <f>HYPERLINK("https://rhld.insurance.arkansas.gov/NPILookup?Npi=1477702520","1477702520")</f>
        <v>1477702520</v>
      </c>
      <c r="E19704" t="s">
        <v>9102</v>
      </c>
    </row>
    <row r="19705" spans="1:5" x14ac:dyDescent="0.25">
      <c r="A19705" t="s">
        <v>4</v>
      </c>
      <c r="B19705" t="s">
        <v>4111</v>
      </c>
      <c r="C19705" t="s">
        <v>23490</v>
      </c>
      <c r="D19705" t="str">
        <f>HYPERLINK("https://rhld.insurance.arkansas.gov/NPILookup?Npi=1477713659","1477713659")</f>
        <v>1477713659</v>
      </c>
      <c r="E19705" t="s">
        <v>5032</v>
      </c>
    </row>
    <row r="19706" spans="1:5" x14ac:dyDescent="0.25">
      <c r="A19706" t="s">
        <v>4</v>
      </c>
      <c r="B19706" t="s">
        <v>4111</v>
      </c>
      <c r="C19706" t="s">
        <v>23490</v>
      </c>
      <c r="D19706" t="str">
        <f>HYPERLINK("https://rhld.insurance.arkansas.gov/NPILookup?Npi=1477720449","1477720449")</f>
        <v>1477720449</v>
      </c>
      <c r="E19706" t="s">
        <v>9103</v>
      </c>
    </row>
    <row r="19707" spans="1:5" x14ac:dyDescent="0.25">
      <c r="A19707" t="s">
        <v>4</v>
      </c>
      <c r="B19707" t="s">
        <v>4111</v>
      </c>
      <c r="C19707" t="s">
        <v>23490</v>
      </c>
      <c r="D19707" t="str">
        <f>HYPERLINK("https://rhld.insurance.arkansas.gov/NPILookup?Npi=1477720951","1477720951")</f>
        <v>1477720951</v>
      </c>
      <c r="E19707" t="s">
        <v>5033</v>
      </c>
    </row>
    <row r="19708" spans="1:5" x14ac:dyDescent="0.25">
      <c r="A19708" t="s">
        <v>4</v>
      </c>
      <c r="B19708" t="s">
        <v>4111</v>
      </c>
      <c r="C19708" t="s">
        <v>23490</v>
      </c>
      <c r="D19708" t="str">
        <f>HYPERLINK("https://rhld.insurance.arkansas.gov/NPILookup?Npi=1477730216","1477730216")</f>
        <v>1477730216</v>
      </c>
      <c r="E19708" t="s">
        <v>5034</v>
      </c>
    </row>
    <row r="19709" spans="1:5" x14ac:dyDescent="0.25">
      <c r="A19709" t="s">
        <v>4</v>
      </c>
      <c r="B19709" t="s">
        <v>4111</v>
      </c>
      <c r="C19709" t="s">
        <v>23490</v>
      </c>
      <c r="D19709" t="str">
        <f>HYPERLINK("https://rhld.insurance.arkansas.gov/NPILookup?Npi=1477733228","1477733228")</f>
        <v>1477733228</v>
      </c>
      <c r="E19709" t="s">
        <v>5035</v>
      </c>
    </row>
    <row r="19710" spans="1:5" x14ac:dyDescent="0.25">
      <c r="A19710" t="s">
        <v>4</v>
      </c>
      <c r="B19710" t="s">
        <v>4111</v>
      </c>
      <c r="C19710" t="s">
        <v>23490</v>
      </c>
      <c r="D19710" t="str">
        <f>HYPERLINK("https://rhld.insurance.arkansas.gov/NPILookup?Npi=1477752087","1477752087")</f>
        <v>1477752087</v>
      </c>
      <c r="E19710" t="s">
        <v>5036</v>
      </c>
    </row>
    <row r="19711" spans="1:5" x14ac:dyDescent="0.25">
      <c r="A19711" t="s">
        <v>4</v>
      </c>
      <c r="B19711" t="s">
        <v>4111</v>
      </c>
      <c r="C19711" t="s">
        <v>23490</v>
      </c>
      <c r="D19711" t="str">
        <f>HYPERLINK("https://rhld.insurance.arkansas.gov/NPILookup?Npi=1477758530","1477758530")</f>
        <v>1477758530</v>
      </c>
      <c r="E19711" t="s">
        <v>16117</v>
      </c>
    </row>
    <row r="19712" spans="1:5" x14ac:dyDescent="0.25">
      <c r="A19712" t="s">
        <v>4</v>
      </c>
      <c r="B19712" t="s">
        <v>4111</v>
      </c>
      <c r="C19712" t="s">
        <v>23490</v>
      </c>
      <c r="D19712" t="str">
        <f>HYPERLINK("https://rhld.insurance.arkansas.gov/NPILookup?Npi=1477763126","1477763126")</f>
        <v>1477763126</v>
      </c>
      <c r="E19712" t="s">
        <v>20486</v>
      </c>
    </row>
    <row r="19713" spans="1:5" x14ac:dyDescent="0.25">
      <c r="A19713" t="s">
        <v>4</v>
      </c>
      <c r="B19713" t="s">
        <v>4111</v>
      </c>
      <c r="C19713" t="s">
        <v>23490</v>
      </c>
      <c r="D19713" t="str">
        <f>HYPERLINK("https://rhld.insurance.arkansas.gov/NPILookup?Npi=1477766095","1477766095")</f>
        <v>1477766095</v>
      </c>
      <c r="E19713" t="s">
        <v>5037</v>
      </c>
    </row>
    <row r="19714" spans="1:5" x14ac:dyDescent="0.25">
      <c r="A19714" t="s">
        <v>4</v>
      </c>
      <c r="B19714" t="s">
        <v>4111</v>
      </c>
      <c r="C19714" t="s">
        <v>23490</v>
      </c>
      <c r="D19714" t="str">
        <f>HYPERLINK("https://rhld.insurance.arkansas.gov/NPILookup?Npi=1477823383","1477823383")</f>
        <v>1477823383</v>
      </c>
      <c r="E19714" t="s">
        <v>9104</v>
      </c>
    </row>
    <row r="19715" spans="1:5" x14ac:dyDescent="0.25">
      <c r="A19715" t="s">
        <v>4</v>
      </c>
      <c r="B19715" t="s">
        <v>4111</v>
      </c>
      <c r="C19715" t="s">
        <v>23490</v>
      </c>
      <c r="D19715" t="str">
        <f>HYPERLINK("https://rhld.insurance.arkansas.gov/NPILookup?Npi=1477826949","1477826949")</f>
        <v>1477826949</v>
      </c>
      <c r="E19715" t="s">
        <v>20487</v>
      </c>
    </row>
    <row r="19716" spans="1:5" x14ac:dyDescent="0.25">
      <c r="A19716" t="s">
        <v>4</v>
      </c>
      <c r="B19716" t="s">
        <v>4111</v>
      </c>
      <c r="C19716" t="s">
        <v>23490</v>
      </c>
      <c r="D19716" t="str">
        <f>HYPERLINK("https://rhld.insurance.arkansas.gov/NPILookup?Npi=1477841450","1477841450")</f>
        <v>1477841450</v>
      </c>
      <c r="E19716" t="s">
        <v>14083</v>
      </c>
    </row>
    <row r="19717" spans="1:5" x14ac:dyDescent="0.25">
      <c r="A19717" t="s">
        <v>4</v>
      </c>
      <c r="B19717" t="s">
        <v>4111</v>
      </c>
      <c r="C19717" t="s">
        <v>23490</v>
      </c>
      <c r="D19717" t="str">
        <f>HYPERLINK("https://rhld.insurance.arkansas.gov/NPILookup?Npi=1477844314","1477844314")</f>
        <v>1477844314</v>
      </c>
      <c r="E19717" t="s">
        <v>5038</v>
      </c>
    </row>
    <row r="19718" spans="1:5" x14ac:dyDescent="0.25">
      <c r="A19718" t="s">
        <v>4</v>
      </c>
      <c r="B19718" t="s">
        <v>4111</v>
      </c>
      <c r="C19718" t="s">
        <v>23490</v>
      </c>
      <c r="D19718" t="str">
        <f>HYPERLINK("https://rhld.insurance.arkansas.gov/NPILookup?Npi=1477867075","1477867075")</f>
        <v>1477867075</v>
      </c>
      <c r="E19718" t="s">
        <v>11700</v>
      </c>
    </row>
    <row r="19719" spans="1:5" x14ac:dyDescent="0.25">
      <c r="A19719" t="s">
        <v>4</v>
      </c>
      <c r="B19719" t="s">
        <v>4111</v>
      </c>
      <c r="C19719" t="s">
        <v>23490</v>
      </c>
      <c r="D19719" t="str">
        <f>HYPERLINK("https://rhld.insurance.arkansas.gov/NPILookup?Npi=1477871424","1477871424")</f>
        <v>1477871424</v>
      </c>
      <c r="E19719" t="s">
        <v>5039</v>
      </c>
    </row>
    <row r="19720" spans="1:5" x14ac:dyDescent="0.25">
      <c r="A19720" t="s">
        <v>4</v>
      </c>
      <c r="B19720" t="s">
        <v>4111</v>
      </c>
      <c r="C19720" t="s">
        <v>23490</v>
      </c>
      <c r="D19720" t="str">
        <f>HYPERLINK("https://rhld.insurance.arkansas.gov/NPILookup?Npi=1477883619","1477883619")</f>
        <v>1477883619</v>
      </c>
      <c r="E19720" t="s">
        <v>5040</v>
      </c>
    </row>
    <row r="19721" spans="1:5" x14ac:dyDescent="0.25">
      <c r="A19721" t="s">
        <v>4</v>
      </c>
      <c r="B19721" t="s">
        <v>4111</v>
      </c>
      <c r="C19721" t="s">
        <v>23490</v>
      </c>
      <c r="D19721" t="str">
        <f>HYPERLINK("https://rhld.insurance.arkansas.gov/NPILookup?Npi=1477886489","1477886489")</f>
        <v>1477886489</v>
      </c>
      <c r="E19721" t="s">
        <v>5041</v>
      </c>
    </row>
    <row r="19722" spans="1:5" x14ac:dyDescent="0.25">
      <c r="A19722" t="s">
        <v>4</v>
      </c>
      <c r="B19722" t="s">
        <v>4111</v>
      </c>
      <c r="C19722" t="s">
        <v>23490</v>
      </c>
      <c r="D19722" t="str">
        <f>HYPERLINK("https://rhld.insurance.arkansas.gov/NPILookup?Npi=1477888337","1477888337")</f>
        <v>1477888337</v>
      </c>
      <c r="E19722" t="s">
        <v>17175</v>
      </c>
    </row>
    <row r="19723" spans="1:5" x14ac:dyDescent="0.25">
      <c r="A19723" t="s">
        <v>4</v>
      </c>
      <c r="B19723" t="s">
        <v>4111</v>
      </c>
      <c r="C19723" t="s">
        <v>23490</v>
      </c>
      <c r="D19723" t="str">
        <f>HYPERLINK("https://rhld.insurance.arkansas.gov/NPILookup?Npi=1477888741","1477888741")</f>
        <v>1477888741</v>
      </c>
      <c r="E19723" t="s">
        <v>6868</v>
      </c>
    </row>
    <row r="19724" spans="1:5" x14ac:dyDescent="0.25">
      <c r="A19724" t="s">
        <v>4</v>
      </c>
      <c r="B19724" t="s">
        <v>4111</v>
      </c>
      <c r="C19724" t="s">
        <v>23490</v>
      </c>
      <c r="D19724" t="str">
        <f>HYPERLINK("https://rhld.insurance.arkansas.gov/NPILookup?Npi=1477892818","1477892818")</f>
        <v>1477892818</v>
      </c>
      <c r="E19724" t="s">
        <v>11701</v>
      </c>
    </row>
    <row r="19725" spans="1:5" x14ac:dyDescent="0.25">
      <c r="A19725" t="s">
        <v>4</v>
      </c>
      <c r="B19725" t="s">
        <v>4111</v>
      </c>
      <c r="C19725" t="s">
        <v>23490</v>
      </c>
      <c r="D19725" t="str">
        <f>HYPERLINK("https://rhld.insurance.arkansas.gov/NPILookup?Npi=1477907673","1477907673")</f>
        <v>1477907673</v>
      </c>
      <c r="E19725" t="s">
        <v>17595</v>
      </c>
    </row>
    <row r="19726" spans="1:5" x14ac:dyDescent="0.25">
      <c r="A19726" t="s">
        <v>4</v>
      </c>
      <c r="B19726" t="s">
        <v>4111</v>
      </c>
      <c r="C19726" t="s">
        <v>23490</v>
      </c>
      <c r="D19726" t="str">
        <f>HYPERLINK("https://rhld.insurance.arkansas.gov/NPILookup?Npi=1477911196","1477911196")</f>
        <v>1477911196</v>
      </c>
      <c r="E19726" t="s">
        <v>20488</v>
      </c>
    </row>
    <row r="19727" spans="1:5" x14ac:dyDescent="0.25">
      <c r="A19727" t="s">
        <v>4</v>
      </c>
      <c r="B19727" t="s">
        <v>4111</v>
      </c>
      <c r="C19727" t="s">
        <v>23490</v>
      </c>
      <c r="D19727" t="str">
        <f>HYPERLINK("https://rhld.insurance.arkansas.gov/NPILookup?Npi=1477922524","1477922524")</f>
        <v>1477922524</v>
      </c>
      <c r="E19727" t="s">
        <v>22092</v>
      </c>
    </row>
    <row r="19728" spans="1:5" x14ac:dyDescent="0.25">
      <c r="A19728" t="s">
        <v>4</v>
      </c>
      <c r="B19728" t="s">
        <v>4111</v>
      </c>
      <c r="C19728" t="s">
        <v>8427</v>
      </c>
      <c r="D19728" t="str">
        <f>HYPERLINK("https://rhld.insurance.arkansas.gov/NPILookup?Npi=1477923803","1477923803")</f>
        <v>1477923803</v>
      </c>
      <c r="E19728" t="s">
        <v>23113</v>
      </c>
    </row>
    <row r="19729" spans="1:5" x14ac:dyDescent="0.25">
      <c r="A19729" t="s">
        <v>4</v>
      </c>
      <c r="B19729" t="s">
        <v>4111</v>
      </c>
      <c r="C19729" t="s">
        <v>23490</v>
      </c>
      <c r="D19729" t="str">
        <f>HYPERLINK("https://rhld.insurance.arkansas.gov/NPILookup?Npi=1477936474","1477936474")</f>
        <v>1477936474</v>
      </c>
      <c r="E19729" t="s">
        <v>16118</v>
      </c>
    </row>
    <row r="19730" spans="1:5" x14ac:dyDescent="0.25">
      <c r="A19730" t="s">
        <v>4</v>
      </c>
      <c r="B19730" t="s">
        <v>4111</v>
      </c>
      <c r="C19730" t="s">
        <v>23490</v>
      </c>
      <c r="D19730" t="str">
        <f>HYPERLINK("https://rhld.insurance.arkansas.gov/NPILookup?Npi=1477945541","1477945541")</f>
        <v>1477945541</v>
      </c>
      <c r="E19730" t="s">
        <v>13145</v>
      </c>
    </row>
    <row r="19731" spans="1:5" x14ac:dyDescent="0.25">
      <c r="A19731" t="s">
        <v>4</v>
      </c>
      <c r="B19731" t="s">
        <v>4111</v>
      </c>
      <c r="C19731" t="s">
        <v>23490</v>
      </c>
      <c r="D19731" t="str">
        <f>HYPERLINK("https://rhld.insurance.arkansas.gov/NPILookup?Npi=1477952042","1477952042")</f>
        <v>1477952042</v>
      </c>
      <c r="E19731" t="s">
        <v>11702</v>
      </c>
    </row>
    <row r="19732" spans="1:5" x14ac:dyDescent="0.25">
      <c r="A19732" t="s">
        <v>4</v>
      </c>
      <c r="B19732" t="s">
        <v>4111</v>
      </c>
      <c r="C19732" t="s">
        <v>8427</v>
      </c>
      <c r="D19732" t="str">
        <f>HYPERLINK("https://rhld.insurance.arkansas.gov/NPILookup?Npi=1477952646","1477952646")</f>
        <v>1477952646</v>
      </c>
      <c r="E19732" t="s">
        <v>23114</v>
      </c>
    </row>
    <row r="19733" spans="1:5" x14ac:dyDescent="0.25">
      <c r="A19733" t="s">
        <v>4</v>
      </c>
      <c r="B19733" t="s">
        <v>4111</v>
      </c>
      <c r="C19733" t="s">
        <v>23490</v>
      </c>
      <c r="D19733" t="str">
        <f>HYPERLINK("https://rhld.insurance.arkansas.gov/NPILookup?Npi=1477965044","1477965044")</f>
        <v>1477965044</v>
      </c>
      <c r="E19733" t="s">
        <v>14084</v>
      </c>
    </row>
    <row r="19734" spans="1:5" x14ac:dyDescent="0.25">
      <c r="A19734" t="s">
        <v>4</v>
      </c>
      <c r="B19734" t="s">
        <v>4111</v>
      </c>
      <c r="C19734" t="s">
        <v>23490</v>
      </c>
      <c r="D19734" t="str">
        <f>HYPERLINK("https://rhld.insurance.arkansas.gov/NPILookup?Npi=1477968881","1477968881")</f>
        <v>1477968881</v>
      </c>
      <c r="E19734" t="s">
        <v>22093</v>
      </c>
    </row>
    <row r="19735" spans="1:5" x14ac:dyDescent="0.25">
      <c r="A19735" t="s">
        <v>4</v>
      </c>
      <c r="B19735" t="s">
        <v>4111</v>
      </c>
      <c r="C19735" t="s">
        <v>23490</v>
      </c>
      <c r="D19735" t="str">
        <f>HYPERLINK("https://rhld.insurance.arkansas.gov/NPILookup?Npi=1477976876","1477976876")</f>
        <v>1477976876</v>
      </c>
      <c r="E19735" t="s">
        <v>5042</v>
      </c>
    </row>
    <row r="19736" spans="1:5" x14ac:dyDescent="0.25">
      <c r="A19736" t="s">
        <v>4</v>
      </c>
      <c r="B19736" t="s">
        <v>4111</v>
      </c>
      <c r="C19736" t="s">
        <v>23490</v>
      </c>
      <c r="D19736" t="str">
        <f>HYPERLINK("https://rhld.insurance.arkansas.gov/NPILookup?Npi=1477980670","1477980670")</f>
        <v>1477980670</v>
      </c>
      <c r="E19736" t="s">
        <v>18351</v>
      </c>
    </row>
    <row r="19737" spans="1:5" x14ac:dyDescent="0.25">
      <c r="A19737" t="s">
        <v>4</v>
      </c>
      <c r="B19737" t="s">
        <v>4111</v>
      </c>
      <c r="C19737" t="s">
        <v>23490</v>
      </c>
      <c r="D19737" t="str">
        <f>HYPERLINK("https://rhld.insurance.arkansas.gov/NPILookup?Npi=1477980761","1477980761")</f>
        <v>1477980761</v>
      </c>
      <c r="E19737" t="s">
        <v>11703</v>
      </c>
    </row>
    <row r="19738" spans="1:5" x14ac:dyDescent="0.25">
      <c r="A19738" t="s">
        <v>4</v>
      </c>
      <c r="B19738" t="s">
        <v>4111</v>
      </c>
      <c r="C19738" t="s">
        <v>23490</v>
      </c>
      <c r="D19738" t="str">
        <f>HYPERLINK("https://rhld.insurance.arkansas.gov/NPILookup?Npi=1477993491","1477993491")</f>
        <v>1477993491</v>
      </c>
      <c r="E19738" t="s">
        <v>5043</v>
      </c>
    </row>
    <row r="19739" spans="1:5" x14ac:dyDescent="0.25">
      <c r="A19739" t="s">
        <v>4</v>
      </c>
      <c r="B19739" t="s">
        <v>4111</v>
      </c>
      <c r="C19739" t="s">
        <v>8427</v>
      </c>
      <c r="D19739" t="str">
        <f>HYPERLINK("https://rhld.insurance.arkansas.gov/NPILookup?Npi=1487000857","1487000857")</f>
        <v>1487000857</v>
      </c>
      <c r="E19739" t="s">
        <v>23115</v>
      </c>
    </row>
    <row r="19740" spans="1:5" x14ac:dyDescent="0.25">
      <c r="A19740" t="s">
        <v>4</v>
      </c>
      <c r="B19740" t="s">
        <v>4111</v>
      </c>
      <c r="C19740" t="s">
        <v>23490</v>
      </c>
      <c r="D19740" t="str">
        <f>HYPERLINK("https://rhld.insurance.arkansas.gov/NPILookup?Npi=1487006748","1487006748")</f>
        <v>1487006748</v>
      </c>
      <c r="E19740" t="s">
        <v>17596</v>
      </c>
    </row>
    <row r="19741" spans="1:5" x14ac:dyDescent="0.25">
      <c r="A19741" t="s">
        <v>4</v>
      </c>
      <c r="B19741" t="s">
        <v>4111</v>
      </c>
      <c r="C19741" t="s">
        <v>23490</v>
      </c>
      <c r="D19741" t="str">
        <f>HYPERLINK("https://rhld.insurance.arkansas.gov/NPILookup?Npi=1487007464","1487007464")</f>
        <v>1487007464</v>
      </c>
      <c r="E19741" t="s">
        <v>21842</v>
      </c>
    </row>
    <row r="19742" spans="1:5" x14ac:dyDescent="0.25">
      <c r="A19742" t="s">
        <v>4</v>
      </c>
      <c r="B19742" t="s">
        <v>4111</v>
      </c>
      <c r="C19742" t="s">
        <v>23490</v>
      </c>
      <c r="D19742" t="str">
        <f>HYPERLINK("https://rhld.insurance.arkansas.gov/NPILookup?Npi=1487039004","1487039004")</f>
        <v>1487039004</v>
      </c>
      <c r="E19742" t="s">
        <v>14085</v>
      </c>
    </row>
    <row r="19743" spans="1:5" x14ac:dyDescent="0.25">
      <c r="A19743" t="s">
        <v>4</v>
      </c>
      <c r="B19743" t="s">
        <v>4111</v>
      </c>
      <c r="C19743" t="s">
        <v>8427</v>
      </c>
      <c r="D19743" t="str">
        <f>HYPERLINK("https://rhld.insurance.arkansas.gov/NPILookup?Npi=1487039251","1487039251")</f>
        <v>1487039251</v>
      </c>
      <c r="E19743" t="s">
        <v>23116</v>
      </c>
    </row>
    <row r="19744" spans="1:5" x14ac:dyDescent="0.25">
      <c r="A19744" t="s">
        <v>4</v>
      </c>
      <c r="B19744" t="s">
        <v>4111</v>
      </c>
      <c r="C19744" t="s">
        <v>23490</v>
      </c>
      <c r="D19744" t="str">
        <f>HYPERLINK("https://rhld.insurance.arkansas.gov/NPILookup?Npi=1487066122","1487066122")</f>
        <v>1487066122</v>
      </c>
      <c r="E19744" t="s">
        <v>16119</v>
      </c>
    </row>
    <row r="19745" spans="1:5" x14ac:dyDescent="0.25">
      <c r="A19745" t="s">
        <v>4</v>
      </c>
      <c r="B19745" t="s">
        <v>4111</v>
      </c>
      <c r="C19745" t="s">
        <v>23490</v>
      </c>
      <c r="D19745" t="str">
        <f>HYPERLINK("https://rhld.insurance.arkansas.gov/NPILookup?Npi=1487068631","1487068631")</f>
        <v>1487068631</v>
      </c>
      <c r="E19745" t="s">
        <v>14086</v>
      </c>
    </row>
    <row r="19746" spans="1:5" x14ac:dyDescent="0.25">
      <c r="A19746" t="s">
        <v>4</v>
      </c>
      <c r="B19746" t="s">
        <v>4111</v>
      </c>
      <c r="C19746" t="s">
        <v>23490</v>
      </c>
      <c r="D19746" t="str">
        <f>HYPERLINK("https://rhld.insurance.arkansas.gov/NPILookup?Npi=1487084307","1487084307")</f>
        <v>1487084307</v>
      </c>
      <c r="E19746" t="s">
        <v>11704</v>
      </c>
    </row>
    <row r="19747" spans="1:5" x14ac:dyDescent="0.25">
      <c r="A19747" t="s">
        <v>4</v>
      </c>
      <c r="B19747" t="s">
        <v>4111</v>
      </c>
      <c r="C19747" t="s">
        <v>23490</v>
      </c>
      <c r="D19747" t="str">
        <f>HYPERLINK("https://rhld.insurance.arkansas.gov/NPILookup?Npi=1487092821","1487092821")</f>
        <v>1487092821</v>
      </c>
      <c r="E19747" t="s">
        <v>18352</v>
      </c>
    </row>
    <row r="19748" spans="1:5" x14ac:dyDescent="0.25">
      <c r="A19748" t="s">
        <v>4</v>
      </c>
      <c r="B19748" t="s">
        <v>4111</v>
      </c>
      <c r="C19748" t="s">
        <v>23490</v>
      </c>
      <c r="D19748" t="str">
        <f>HYPERLINK("https://rhld.insurance.arkansas.gov/NPILookup?Npi=1487102596","1487102596")</f>
        <v>1487102596</v>
      </c>
      <c r="E19748" t="s">
        <v>22094</v>
      </c>
    </row>
    <row r="19749" spans="1:5" x14ac:dyDescent="0.25">
      <c r="A19749" t="s">
        <v>4</v>
      </c>
      <c r="B19749" t="s">
        <v>4111</v>
      </c>
      <c r="C19749" t="s">
        <v>23490</v>
      </c>
      <c r="D19749" t="str">
        <f>HYPERLINK("https://rhld.insurance.arkansas.gov/NPILookup?Npi=1487185856","1487185856")</f>
        <v>1487185856</v>
      </c>
      <c r="E19749" t="s">
        <v>20489</v>
      </c>
    </row>
    <row r="19750" spans="1:5" x14ac:dyDescent="0.25">
      <c r="A19750" t="s">
        <v>4</v>
      </c>
      <c r="B19750" t="s">
        <v>4111</v>
      </c>
      <c r="C19750" t="s">
        <v>23490</v>
      </c>
      <c r="D19750" t="str">
        <f>HYPERLINK("https://rhld.insurance.arkansas.gov/NPILookup?Npi=1487193926","1487193926")</f>
        <v>1487193926</v>
      </c>
      <c r="E19750" t="s">
        <v>14087</v>
      </c>
    </row>
    <row r="19751" spans="1:5" x14ac:dyDescent="0.25">
      <c r="A19751" t="s">
        <v>4</v>
      </c>
      <c r="B19751" t="s">
        <v>4111</v>
      </c>
      <c r="C19751" t="s">
        <v>23490</v>
      </c>
      <c r="D19751" t="str">
        <f>HYPERLINK("https://rhld.insurance.arkansas.gov/NPILookup?Npi=1487276523","1487276523")</f>
        <v>1487276523</v>
      </c>
      <c r="E19751" t="s">
        <v>22095</v>
      </c>
    </row>
    <row r="19752" spans="1:5" x14ac:dyDescent="0.25">
      <c r="A19752" t="s">
        <v>4</v>
      </c>
      <c r="B19752" t="s">
        <v>4111</v>
      </c>
      <c r="C19752" t="s">
        <v>23490</v>
      </c>
      <c r="D19752" t="str">
        <f>HYPERLINK("https://rhld.insurance.arkansas.gov/NPILookup?Npi=1487296661","1487296661")</f>
        <v>1487296661</v>
      </c>
      <c r="E19752" t="s">
        <v>18353</v>
      </c>
    </row>
    <row r="19753" spans="1:5" x14ac:dyDescent="0.25">
      <c r="A19753" t="s">
        <v>4</v>
      </c>
      <c r="B19753" t="s">
        <v>4111</v>
      </c>
      <c r="C19753" t="s">
        <v>23490</v>
      </c>
      <c r="D19753" t="str">
        <f>HYPERLINK("https://rhld.insurance.arkansas.gov/NPILookup?Npi=1487299525","1487299525")</f>
        <v>1487299525</v>
      </c>
      <c r="E19753" t="s">
        <v>20490</v>
      </c>
    </row>
    <row r="19754" spans="1:5" x14ac:dyDescent="0.25">
      <c r="A19754" t="s">
        <v>4</v>
      </c>
      <c r="B19754" t="s">
        <v>4111</v>
      </c>
      <c r="C19754" t="s">
        <v>8427</v>
      </c>
      <c r="D19754" t="str">
        <f>HYPERLINK("https://rhld.insurance.arkansas.gov/NPILookup?Npi=1487323556","1487323556")</f>
        <v>1487323556</v>
      </c>
      <c r="E19754" t="s">
        <v>23117</v>
      </c>
    </row>
    <row r="19755" spans="1:5" x14ac:dyDescent="0.25">
      <c r="A19755" t="s">
        <v>4</v>
      </c>
      <c r="B19755" t="s">
        <v>4111</v>
      </c>
      <c r="C19755" t="s">
        <v>23490</v>
      </c>
      <c r="D19755" t="str">
        <f>HYPERLINK("https://rhld.insurance.arkansas.gov/NPILookup?Npi=1487324356","1487324356")</f>
        <v>1487324356</v>
      </c>
      <c r="E19755" t="s">
        <v>20491</v>
      </c>
    </row>
    <row r="19756" spans="1:5" x14ac:dyDescent="0.25">
      <c r="A19756" t="s">
        <v>4</v>
      </c>
      <c r="B19756" t="s">
        <v>4111</v>
      </c>
      <c r="C19756" t="s">
        <v>23490</v>
      </c>
      <c r="D19756" t="str">
        <f>HYPERLINK("https://rhld.insurance.arkansas.gov/NPILookup?Npi=1487325114","1487325114")</f>
        <v>1487325114</v>
      </c>
      <c r="E19756" t="s">
        <v>22096</v>
      </c>
    </row>
    <row r="19757" spans="1:5" x14ac:dyDescent="0.25">
      <c r="A19757" t="s">
        <v>4</v>
      </c>
      <c r="B19757" t="s">
        <v>4111</v>
      </c>
      <c r="C19757" t="s">
        <v>23490</v>
      </c>
      <c r="D19757" t="str">
        <f>HYPERLINK("https://rhld.insurance.arkansas.gov/NPILookup?Npi=1487326864","1487326864")</f>
        <v>1487326864</v>
      </c>
      <c r="E19757" t="s">
        <v>20492</v>
      </c>
    </row>
    <row r="19758" spans="1:5" x14ac:dyDescent="0.25">
      <c r="A19758" t="s">
        <v>4</v>
      </c>
      <c r="B19758" t="s">
        <v>4111</v>
      </c>
      <c r="C19758" t="s">
        <v>8427</v>
      </c>
      <c r="D19758" t="str">
        <f>HYPERLINK("https://rhld.insurance.arkansas.gov/NPILookup?Npi=1487342267","1487342267")</f>
        <v>1487342267</v>
      </c>
      <c r="E19758" t="s">
        <v>23118</v>
      </c>
    </row>
    <row r="19759" spans="1:5" x14ac:dyDescent="0.25">
      <c r="A19759" t="s">
        <v>4</v>
      </c>
      <c r="B19759" t="s">
        <v>4111</v>
      </c>
      <c r="C19759" t="s">
        <v>23490</v>
      </c>
      <c r="D19759" t="str">
        <f>HYPERLINK("https://rhld.insurance.arkansas.gov/NPILookup?Npi=1487380218","1487380218")</f>
        <v>1487380218</v>
      </c>
      <c r="E19759" t="s">
        <v>22097</v>
      </c>
    </row>
    <row r="19760" spans="1:5" x14ac:dyDescent="0.25">
      <c r="A19760" t="s">
        <v>4</v>
      </c>
      <c r="B19760" t="s">
        <v>4111</v>
      </c>
      <c r="C19760" t="s">
        <v>23490</v>
      </c>
      <c r="D19760" t="str">
        <f>HYPERLINK("https://rhld.insurance.arkansas.gov/NPILookup?Npi=1487388096","1487388096")</f>
        <v>1487388096</v>
      </c>
      <c r="E19760" t="s">
        <v>22098</v>
      </c>
    </row>
    <row r="19761" spans="1:5" x14ac:dyDescent="0.25">
      <c r="A19761" t="s">
        <v>4</v>
      </c>
      <c r="B19761" t="s">
        <v>4111</v>
      </c>
      <c r="C19761" t="s">
        <v>23490</v>
      </c>
      <c r="D19761" t="str">
        <f>HYPERLINK("https://rhld.insurance.arkansas.gov/NPILookup?Npi=1487623377","1487623377")</f>
        <v>1487623377</v>
      </c>
      <c r="E19761" t="s">
        <v>5044</v>
      </c>
    </row>
    <row r="19762" spans="1:5" x14ac:dyDescent="0.25">
      <c r="A19762" t="s">
        <v>4</v>
      </c>
      <c r="B19762" t="s">
        <v>4111</v>
      </c>
      <c r="C19762" t="s">
        <v>23490</v>
      </c>
      <c r="D19762" t="str">
        <f>HYPERLINK("https://rhld.insurance.arkansas.gov/NPILookup?Npi=1487632790","1487632790")</f>
        <v>1487632790</v>
      </c>
      <c r="E19762" t="s">
        <v>5045</v>
      </c>
    </row>
    <row r="19763" spans="1:5" x14ac:dyDescent="0.25">
      <c r="A19763" t="s">
        <v>4</v>
      </c>
      <c r="B19763" t="s">
        <v>4111</v>
      </c>
      <c r="C19763" t="s">
        <v>23490</v>
      </c>
      <c r="D19763" t="str">
        <f>HYPERLINK("https://rhld.insurance.arkansas.gov/NPILookup?Npi=1487634432","1487634432")</f>
        <v>1487634432</v>
      </c>
      <c r="E19763" t="s">
        <v>5046</v>
      </c>
    </row>
    <row r="19764" spans="1:5" x14ac:dyDescent="0.25">
      <c r="A19764" t="s">
        <v>4</v>
      </c>
      <c r="B19764" t="s">
        <v>4111</v>
      </c>
      <c r="C19764" t="s">
        <v>23490</v>
      </c>
      <c r="D19764" t="str">
        <f>HYPERLINK("https://rhld.insurance.arkansas.gov/NPILookup?Npi=1487657490","1487657490")</f>
        <v>1487657490</v>
      </c>
      <c r="E19764" t="s">
        <v>11705</v>
      </c>
    </row>
    <row r="19765" spans="1:5" x14ac:dyDescent="0.25">
      <c r="A19765" t="s">
        <v>4</v>
      </c>
      <c r="B19765" t="s">
        <v>4111</v>
      </c>
      <c r="C19765" t="s">
        <v>23490</v>
      </c>
      <c r="D19765" t="str">
        <f>HYPERLINK("https://rhld.insurance.arkansas.gov/NPILookup?Npi=1487662318","1487662318")</f>
        <v>1487662318</v>
      </c>
      <c r="E19765" t="s">
        <v>5047</v>
      </c>
    </row>
    <row r="19766" spans="1:5" x14ac:dyDescent="0.25">
      <c r="A19766" t="s">
        <v>4</v>
      </c>
      <c r="B19766" t="s">
        <v>4111</v>
      </c>
      <c r="C19766" t="s">
        <v>23490</v>
      </c>
      <c r="D19766" t="str">
        <f>HYPERLINK("https://rhld.insurance.arkansas.gov/NPILookup?Npi=1487675229","1487675229")</f>
        <v>1487675229</v>
      </c>
      <c r="E19766" t="s">
        <v>5048</v>
      </c>
    </row>
    <row r="19767" spans="1:5" x14ac:dyDescent="0.25">
      <c r="A19767" t="s">
        <v>4</v>
      </c>
      <c r="B19767" t="s">
        <v>4111</v>
      </c>
      <c r="C19767" t="s">
        <v>23490</v>
      </c>
      <c r="D19767" t="str">
        <f>HYPERLINK("https://rhld.insurance.arkansas.gov/NPILookup?Npi=1487684437","1487684437")</f>
        <v>1487684437</v>
      </c>
      <c r="E19767" t="s">
        <v>5049</v>
      </c>
    </row>
    <row r="19768" spans="1:5" x14ac:dyDescent="0.25">
      <c r="A19768" t="s">
        <v>4</v>
      </c>
      <c r="B19768" t="s">
        <v>4111</v>
      </c>
      <c r="C19768" t="s">
        <v>23490</v>
      </c>
      <c r="D19768" t="str">
        <f>HYPERLINK("https://rhld.insurance.arkansas.gov/NPILookup?Npi=1487686143","1487686143")</f>
        <v>1487686143</v>
      </c>
      <c r="E19768" t="s">
        <v>16120</v>
      </c>
    </row>
    <row r="19769" spans="1:5" x14ac:dyDescent="0.25">
      <c r="A19769" t="s">
        <v>4</v>
      </c>
      <c r="B19769" t="s">
        <v>4111</v>
      </c>
      <c r="C19769" t="s">
        <v>23490</v>
      </c>
      <c r="D19769" t="str">
        <f>HYPERLINK("https://rhld.insurance.arkansas.gov/NPILookup?Npi=1487692992","1487692992")</f>
        <v>1487692992</v>
      </c>
      <c r="E19769" t="s">
        <v>5050</v>
      </c>
    </row>
    <row r="19770" spans="1:5" x14ac:dyDescent="0.25">
      <c r="A19770" t="s">
        <v>4</v>
      </c>
      <c r="B19770" t="s">
        <v>4111</v>
      </c>
      <c r="C19770" t="s">
        <v>23490</v>
      </c>
      <c r="D19770" t="str">
        <f>HYPERLINK("https://rhld.insurance.arkansas.gov/NPILookup?Npi=1487693891","1487693891")</f>
        <v>1487693891</v>
      </c>
      <c r="E19770" t="s">
        <v>5051</v>
      </c>
    </row>
    <row r="19771" spans="1:5" x14ac:dyDescent="0.25">
      <c r="A19771" t="s">
        <v>4</v>
      </c>
      <c r="B19771" t="s">
        <v>4111</v>
      </c>
      <c r="C19771" t="s">
        <v>23490</v>
      </c>
      <c r="D19771" t="str">
        <f>HYPERLINK("https://rhld.insurance.arkansas.gov/NPILookup?Npi=1487700720","1487700720")</f>
        <v>1487700720</v>
      </c>
      <c r="E19771" t="s">
        <v>5052</v>
      </c>
    </row>
    <row r="19772" spans="1:5" x14ac:dyDescent="0.25">
      <c r="A19772" t="s">
        <v>4</v>
      </c>
      <c r="B19772" t="s">
        <v>4111</v>
      </c>
      <c r="C19772" t="s">
        <v>23490</v>
      </c>
      <c r="D19772" t="str">
        <f>HYPERLINK("https://rhld.insurance.arkansas.gov/NPILookup?Npi=1487703542","1487703542")</f>
        <v>1487703542</v>
      </c>
      <c r="E19772" t="s">
        <v>5053</v>
      </c>
    </row>
    <row r="19773" spans="1:5" x14ac:dyDescent="0.25">
      <c r="A19773" t="s">
        <v>4</v>
      </c>
      <c r="B19773" t="s">
        <v>4111</v>
      </c>
      <c r="C19773" t="s">
        <v>23490</v>
      </c>
      <c r="D19773" t="str">
        <f>HYPERLINK("https://rhld.insurance.arkansas.gov/NPILookup?Npi=1487707022","1487707022")</f>
        <v>1487707022</v>
      </c>
      <c r="E19773" t="s">
        <v>5054</v>
      </c>
    </row>
    <row r="19774" spans="1:5" x14ac:dyDescent="0.25">
      <c r="A19774" t="s">
        <v>4</v>
      </c>
      <c r="B19774" t="s">
        <v>4111</v>
      </c>
      <c r="C19774" t="s">
        <v>23490</v>
      </c>
      <c r="D19774" t="str">
        <f>HYPERLINK("https://rhld.insurance.arkansas.gov/NPILookup?Npi=1487708079","1487708079")</f>
        <v>1487708079</v>
      </c>
      <c r="E19774" t="s">
        <v>5055</v>
      </c>
    </row>
    <row r="19775" spans="1:5" x14ac:dyDescent="0.25">
      <c r="A19775" t="s">
        <v>4</v>
      </c>
      <c r="B19775" t="s">
        <v>4111</v>
      </c>
      <c r="C19775" t="s">
        <v>23490</v>
      </c>
      <c r="D19775" t="str">
        <f>HYPERLINK("https://rhld.insurance.arkansas.gov/NPILookup?Npi=1487728580","1487728580")</f>
        <v>1487728580</v>
      </c>
      <c r="E19775" t="s">
        <v>16121</v>
      </c>
    </row>
    <row r="19776" spans="1:5" x14ac:dyDescent="0.25">
      <c r="A19776" t="s">
        <v>4</v>
      </c>
      <c r="B19776" t="s">
        <v>4111</v>
      </c>
      <c r="C19776" t="s">
        <v>23490</v>
      </c>
      <c r="D19776" t="str">
        <f>HYPERLINK("https://rhld.insurance.arkansas.gov/NPILookup?Npi=1487775458","1487775458")</f>
        <v>1487775458</v>
      </c>
      <c r="E19776" t="s">
        <v>5056</v>
      </c>
    </row>
    <row r="19777" spans="1:5" x14ac:dyDescent="0.25">
      <c r="A19777" t="s">
        <v>4</v>
      </c>
      <c r="B19777" t="s">
        <v>4111</v>
      </c>
      <c r="C19777" t="s">
        <v>23490</v>
      </c>
      <c r="D19777" t="str">
        <f>HYPERLINK("https://rhld.insurance.arkansas.gov/NPILookup?Npi=1487787453","1487787453")</f>
        <v>1487787453</v>
      </c>
      <c r="E19777" t="s">
        <v>11706</v>
      </c>
    </row>
    <row r="19778" spans="1:5" x14ac:dyDescent="0.25">
      <c r="A19778" t="s">
        <v>4</v>
      </c>
      <c r="B19778" t="s">
        <v>4111</v>
      </c>
      <c r="C19778" t="s">
        <v>23490</v>
      </c>
      <c r="D19778" t="str">
        <f>HYPERLINK("https://rhld.insurance.arkansas.gov/NPILookup?Npi=1487802005","1487802005")</f>
        <v>1487802005</v>
      </c>
      <c r="E19778" t="s">
        <v>14088</v>
      </c>
    </row>
    <row r="19779" spans="1:5" x14ac:dyDescent="0.25">
      <c r="A19779" t="s">
        <v>4</v>
      </c>
      <c r="B19779" t="s">
        <v>4111</v>
      </c>
      <c r="C19779" t="s">
        <v>23490</v>
      </c>
      <c r="D19779" t="str">
        <f>HYPERLINK("https://rhld.insurance.arkansas.gov/NPILookup?Npi=1487805917","1487805917")</f>
        <v>1487805917</v>
      </c>
      <c r="E19779" t="s">
        <v>5057</v>
      </c>
    </row>
    <row r="19780" spans="1:5" x14ac:dyDescent="0.25">
      <c r="A19780" t="s">
        <v>4</v>
      </c>
      <c r="B19780" t="s">
        <v>4111</v>
      </c>
      <c r="C19780" t="s">
        <v>23490</v>
      </c>
      <c r="D19780" t="str">
        <f>HYPERLINK("https://rhld.insurance.arkansas.gov/NPILookup?Npi=1487810396","1487810396")</f>
        <v>1487810396</v>
      </c>
      <c r="E19780" t="s">
        <v>5058</v>
      </c>
    </row>
    <row r="19781" spans="1:5" x14ac:dyDescent="0.25">
      <c r="A19781" t="s">
        <v>4</v>
      </c>
      <c r="B19781" t="s">
        <v>4111</v>
      </c>
      <c r="C19781" t="s">
        <v>23490</v>
      </c>
      <c r="D19781" t="str">
        <f>HYPERLINK("https://rhld.insurance.arkansas.gov/NPILookup?Npi=1487820791","1487820791")</f>
        <v>1487820791</v>
      </c>
      <c r="E19781" t="s">
        <v>5059</v>
      </c>
    </row>
    <row r="19782" spans="1:5" x14ac:dyDescent="0.25">
      <c r="A19782" t="s">
        <v>4</v>
      </c>
      <c r="B19782" t="s">
        <v>4111</v>
      </c>
      <c r="C19782" t="s">
        <v>23490</v>
      </c>
      <c r="D19782" t="str">
        <f>HYPERLINK("https://rhld.insurance.arkansas.gov/NPILookup?Npi=1487828828","1487828828")</f>
        <v>1487828828</v>
      </c>
      <c r="E19782" t="s">
        <v>9105</v>
      </c>
    </row>
    <row r="19783" spans="1:5" x14ac:dyDescent="0.25">
      <c r="A19783" t="s">
        <v>4</v>
      </c>
      <c r="B19783" t="s">
        <v>4111</v>
      </c>
      <c r="C19783" t="s">
        <v>23490</v>
      </c>
      <c r="D19783" t="str">
        <f>HYPERLINK("https://rhld.insurance.arkansas.gov/NPILookup?Npi=1487830022","1487830022")</f>
        <v>1487830022</v>
      </c>
      <c r="E19783" t="s">
        <v>22099</v>
      </c>
    </row>
    <row r="19784" spans="1:5" x14ac:dyDescent="0.25">
      <c r="A19784" t="s">
        <v>4</v>
      </c>
      <c r="B19784" t="s">
        <v>4111</v>
      </c>
      <c r="C19784" t="s">
        <v>23490</v>
      </c>
      <c r="D19784" t="str">
        <f>HYPERLINK("https://rhld.insurance.arkansas.gov/NPILookup?Npi=1487835674","1487835674")</f>
        <v>1487835674</v>
      </c>
      <c r="E19784" t="s">
        <v>16122</v>
      </c>
    </row>
    <row r="19785" spans="1:5" x14ac:dyDescent="0.25">
      <c r="A19785" t="s">
        <v>4</v>
      </c>
      <c r="B19785" t="s">
        <v>4111</v>
      </c>
      <c r="C19785" t="s">
        <v>23490</v>
      </c>
      <c r="D19785" t="str">
        <f>HYPERLINK("https://rhld.insurance.arkansas.gov/NPILookup?Npi=1487843967","1487843967")</f>
        <v>1487843967</v>
      </c>
      <c r="E19785" t="s">
        <v>5060</v>
      </c>
    </row>
    <row r="19786" spans="1:5" x14ac:dyDescent="0.25">
      <c r="A19786" t="s">
        <v>4</v>
      </c>
      <c r="B19786" t="s">
        <v>4111</v>
      </c>
      <c r="C19786" t="s">
        <v>23490</v>
      </c>
      <c r="D19786" t="str">
        <f>HYPERLINK("https://rhld.insurance.arkansas.gov/NPILookup?Npi=1487881942","1487881942")</f>
        <v>1487881942</v>
      </c>
      <c r="E19786" t="s">
        <v>5061</v>
      </c>
    </row>
    <row r="19787" spans="1:5" x14ac:dyDescent="0.25">
      <c r="A19787" t="s">
        <v>4</v>
      </c>
      <c r="B19787" t="s">
        <v>4111</v>
      </c>
      <c r="C19787" t="s">
        <v>23490</v>
      </c>
      <c r="D19787" t="str">
        <f>HYPERLINK("https://rhld.insurance.arkansas.gov/NPILookup?Npi=1487895900","1487895900")</f>
        <v>1487895900</v>
      </c>
      <c r="E19787" t="s">
        <v>23119</v>
      </c>
    </row>
    <row r="19788" spans="1:5" x14ac:dyDescent="0.25">
      <c r="A19788" t="s">
        <v>4</v>
      </c>
      <c r="B19788" t="s">
        <v>4111</v>
      </c>
      <c r="C19788" t="s">
        <v>23490</v>
      </c>
      <c r="D19788" t="str">
        <f>HYPERLINK("https://rhld.insurance.arkansas.gov/NPILookup?Npi=1487930038","1487930038")</f>
        <v>1487930038</v>
      </c>
      <c r="E19788" t="s">
        <v>5062</v>
      </c>
    </row>
    <row r="19789" spans="1:5" x14ac:dyDescent="0.25">
      <c r="A19789" t="s">
        <v>4</v>
      </c>
      <c r="B19789" t="s">
        <v>4111</v>
      </c>
      <c r="C19789" t="s">
        <v>23490</v>
      </c>
      <c r="D19789" t="str">
        <f>HYPERLINK("https://rhld.insurance.arkansas.gov/NPILookup?Npi=1487934766","1487934766")</f>
        <v>1487934766</v>
      </c>
      <c r="E19789" t="s">
        <v>17176</v>
      </c>
    </row>
    <row r="19790" spans="1:5" x14ac:dyDescent="0.25">
      <c r="A19790" t="s">
        <v>4</v>
      </c>
      <c r="B19790" t="s">
        <v>4111</v>
      </c>
      <c r="C19790" t="s">
        <v>23490</v>
      </c>
      <c r="D19790" t="str">
        <f>HYPERLINK("https://rhld.insurance.arkansas.gov/NPILookup?Npi=1487947867","1487947867")</f>
        <v>1487947867</v>
      </c>
      <c r="E19790" t="s">
        <v>11707</v>
      </c>
    </row>
    <row r="19791" spans="1:5" x14ac:dyDescent="0.25">
      <c r="A19791" t="s">
        <v>4</v>
      </c>
      <c r="B19791" t="s">
        <v>4111</v>
      </c>
      <c r="C19791" t="s">
        <v>23490</v>
      </c>
      <c r="D19791" t="str">
        <f>HYPERLINK("https://rhld.insurance.arkansas.gov/NPILookup?Npi=1487955217","1487955217")</f>
        <v>1487955217</v>
      </c>
      <c r="E19791" t="s">
        <v>3002</v>
      </c>
    </row>
    <row r="19792" spans="1:5" x14ac:dyDescent="0.25">
      <c r="A19792" t="s">
        <v>4</v>
      </c>
      <c r="B19792" t="s">
        <v>4111</v>
      </c>
      <c r="C19792" t="s">
        <v>23490</v>
      </c>
      <c r="D19792" t="str">
        <f>HYPERLINK("https://rhld.insurance.arkansas.gov/NPILookup?Npi=1487957635","1487957635")</f>
        <v>1487957635</v>
      </c>
      <c r="E19792" t="s">
        <v>5063</v>
      </c>
    </row>
    <row r="19793" spans="1:5" x14ac:dyDescent="0.25">
      <c r="A19793" t="s">
        <v>4</v>
      </c>
      <c r="B19793" t="s">
        <v>4111</v>
      </c>
      <c r="C19793" t="s">
        <v>23490</v>
      </c>
      <c r="D19793" t="str">
        <f>HYPERLINK("https://rhld.insurance.arkansas.gov/NPILookup?Npi=1487961751","1487961751")</f>
        <v>1487961751</v>
      </c>
      <c r="E19793" t="s">
        <v>5064</v>
      </c>
    </row>
    <row r="19794" spans="1:5" x14ac:dyDescent="0.25">
      <c r="A19794" t="s">
        <v>4</v>
      </c>
      <c r="B19794" t="s">
        <v>4111</v>
      </c>
      <c r="C19794" t="s">
        <v>23490</v>
      </c>
      <c r="D19794" t="str">
        <f>HYPERLINK("https://rhld.insurance.arkansas.gov/NPILookup?Npi=1487963716","1487963716")</f>
        <v>1487963716</v>
      </c>
      <c r="E19794" t="s">
        <v>5065</v>
      </c>
    </row>
    <row r="19795" spans="1:5" x14ac:dyDescent="0.25">
      <c r="A19795" t="s">
        <v>4</v>
      </c>
      <c r="B19795" t="s">
        <v>4111</v>
      </c>
      <c r="C19795" t="s">
        <v>23490</v>
      </c>
      <c r="D19795" t="str">
        <f>HYPERLINK("https://rhld.insurance.arkansas.gov/NPILookup?Npi=1487969929","1487969929")</f>
        <v>1487969929</v>
      </c>
      <c r="E19795" t="s">
        <v>13146</v>
      </c>
    </row>
    <row r="19796" spans="1:5" x14ac:dyDescent="0.25">
      <c r="A19796" t="s">
        <v>4</v>
      </c>
      <c r="B19796" t="s">
        <v>4111</v>
      </c>
      <c r="C19796" t="s">
        <v>23490</v>
      </c>
      <c r="D19796" t="str">
        <f>HYPERLINK("https://rhld.insurance.arkansas.gov/NPILookup?Npi=1487971115","1487971115")</f>
        <v>1487971115</v>
      </c>
      <c r="E19796" t="s">
        <v>13147</v>
      </c>
    </row>
    <row r="19797" spans="1:5" x14ac:dyDescent="0.25">
      <c r="A19797" t="s">
        <v>4</v>
      </c>
      <c r="B19797" t="s">
        <v>4111</v>
      </c>
      <c r="C19797" t="s">
        <v>23490</v>
      </c>
      <c r="D19797" t="str">
        <f>HYPERLINK("https://rhld.insurance.arkansas.gov/NPILookup?Npi=1487975538","1487975538")</f>
        <v>1487975538</v>
      </c>
      <c r="E19797" t="s">
        <v>17597</v>
      </c>
    </row>
    <row r="19798" spans="1:5" x14ac:dyDescent="0.25">
      <c r="A19798" t="s">
        <v>4</v>
      </c>
      <c r="B19798" t="s">
        <v>4111</v>
      </c>
      <c r="C19798" t="s">
        <v>23490</v>
      </c>
      <c r="D19798" t="str">
        <f>HYPERLINK("https://rhld.insurance.arkansas.gov/NPILookup?Npi=1487987822","1487987822")</f>
        <v>1487987822</v>
      </c>
      <c r="E19798" t="s">
        <v>13148</v>
      </c>
    </row>
    <row r="19799" spans="1:5" x14ac:dyDescent="0.25">
      <c r="A19799" t="s">
        <v>4</v>
      </c>
      <c r="B19799" t="s">
        <v>4111</v>
      </c>
      <c r="C19799" t="s">
        <v>8427</v>
      </c>
      <c r="D19799" t="str">
        <f>HYPERLINK("https://rhld.insurance.arkansas.gov/NPILookup?Npi=1497008007","1497008007")</f>
        <v>1497008007</v>
      </c>
      <c r="E19799" t="s">
        <v>23120</v>
      </c>
    </row>
    <row r="19800" spans="1:5" x14ac:dyDescent="0.25">
      <c r="A19800" t="s">
        <v>4</v>
      </c>
      <c r="B19800" t="s">
        <v>4111</v>
      </c>
      <c r="C19800" t="s">
        <v>23490</v>
      </c>
      <c r="D19800" t="str">
        <f>HYPERLINK("https://rhld.insurance.arkansas.gov/NPILookup?Npi=1497012264","1497012264")</f>
        <v>1497012264</v>
      </c>
      <c r="E19800" t="s">
        <v>11708</v>
      </c>
    </row>
    <row r="19801" spans="1:5" x14ac:dyDescent="0.25">
      <c r="A19801" t="s">
        <v>4</v>
      </c>
      <c r="B19801" t="s">
        <v>4111</v>
      </c>
      <c r="C19801" t="s">
        <v>23490</v>
      </c>
      <c r="D19801" t="str">
        <f>HYPERLINK("https://rhld.insurance.arkansas.gov/NPILookup?Npi=1497017404","1497017404")</f>
        <v>1497017404</v>
      </c>
      <c r="E19801" t="s">
        <v>5066</v>
      </c>
    </row>
    <row r="19802" spans="1:5" x14ac:dyDescent="0.25">
      <c r="A19802" t="s">
        <v>4</v>
      </c>
      <c r="B19802" t="s">
        <v>4111</v>
      </c>
      <c r="C19802" t="s">
        <v>23490</v>
      </c>
      <c r="D19802" t="str">
        <f>HYPERLINK("https://rhld.insurance.arkansas.gov/NPILookup?Npi=1497041321","1497041321")</f>
        <v>1497041321</v>
      </c>
      <c r="E19802" t="s">
        <v>17598</v>
      </c>
    </row>
    <row r="19803" spans="1:5" x14ac:dyDescent="0.25">
      <c r="A19803" t="s">
        <v>4</v>
      </c>
      <c r="B19803" t="s">
        <v>4111</v>
      </c>
      <c r="C19803" t="s">
        <v>23490</v>
      </c>
      <c r="D19803" t="str">
        <f>HYPERLINK("https://rhld.insurance.arkansas.gov/NPILookup?Npi=1497058374","1497058374")</f>
        <v>1497058374</v>
      </c>
      <c r="E19803" t="s">
        <v>9106</v>
      </c>
    </row>
    <row r="19804" spans="1:5" x14ac:dyDescent="0.25">
      <c r="A19804" t="s">
        <v>4</v>
      </c>
      <c r="B19804" t="s">
        <v>4111</v>
      </c>
      <c r="C19804" t="s">
        <v>23490</v>
      </c>
      <c r="D19804" t="str">
        <f>HYPERLINK("https://rhld.insurance.arkansas.gov/NPILookup?Npi=1497063432","1497063432")</f>
        <v>1497063432</v>
      </c>
      <c r="E19804" t="s">
        <v>2777</v>
      </c>
    </row>
    <row r="19805" spans="1:5" x14ac:dyDescent="0.25">
      <c r="A19805" t="s">
        <v>4</v>
      </c>
      <c r="B19805" t="s">
        <v>4111</v>
      </c>
      <c r="C19805" t="s">
        <v>23490</v>
      </c>
      <c r="D19805" t="str">
        <f>HYPERLINK("https://rhld.insurance.arkansas.gov/NPILookup?Npi=1497068456","1497068456")</f>
        <v>1497068456</v>
      </c>
      <c r="E19805" t="s">
        <v>5068</v>
      </c>
    </row>
    <row r="19806" spans="1:5" x14ac:dyDescent="0.25">
      <c r="A19806" t="s">
        <v>4</v>
      </c>
      <c r="B19806" t="s">
        <v>4111</v>
      </c>
      <c r="C19806" t="s">
        <v>23490</v>
      </c>
      <c r="D19806" t="str">
        <f>HYPERLINK("https://rhld.insurance.arkansas.gov/NPILookup?Npi=1497074165","1497074165")</f>
        <v>1497074165</v>
      </c>
      <c r="E19806" t="s">
        <v>20493</v>
      </c>
    </row>
    <row r="19807" spans="1:5" x14ac:dyDescent="0.25">
      <c r="A19807" t="s">
        <v>4</v>
      </c>
      <c r="B19807" t="s">
        <v>4111</v>
      </c>
      <c r="C19807" t="s">
        <v>23490</v>
      </c>
      <c r="D19807" t="str">
        <f>HYPERLINK("https://rhld.insurance.arkansas.gov/NPILookup?Npi=1497084974","1497084974")</f>
        <v>1497084974</v>
      </c>
      <c r="E19807" t="s">
        <v>11709</v>
      </c>
    </row>
    <row r="19808" spans="1:5" x14ac:dyDescent="0.25">
      <c r="A19808" t="s">
        <v>4</v>
      </c>
      <c r="B19808" t="s">
        <v>4111</v>
      </c>
      <c r="C19808" t="s">
        <v>23490</v>
      </c>
      <c r="D19808" t="str">
        <f>HYPERLINK("https://rhld.insurance.arkansas.gov/NPILookup?Npi=1497091508","1497091508")</f>
        <v>1497091508</v>
      </c>
      <c r="E19808" t="s">
        <v>11710</v>
      </c>
    </row>
    <row r="19809" spans="1:5" x14ac:dyDescent="0.25">
      <c r="A19809" t="s">
        <v>4</v>
      </c>
      <c r="B19809" t="s">
        <v>4111</v>
      </c>
      <c r="C19809" t="s">
        <v>23490</v>
      </c>
      <c r="D19809" t="str">
        <f>HYPERLINK("https://rhld.insurance.arkansas.gov/NPILookup?Npi=1497094007","1497094007")</f>
        <v>1497094007</v>
      </c>
      <c r="E19809" t="s">
        <v>14089</v>
      </c>
    </row>
    <row r="19810" spans="1:5" x14ac:dyDescent="0.25">
      <c r="A19810" t="s">
        <v>4</v>
      </c>
      <c r="B19810" t="s">
        <v>4111</v>
      </c>
      <c r="C19810" t="s">
        <v>23490</v>
      </c>
      <c r="D19810" t="str">
        <f>HYPERLINK("https://rhld.insurance.arkansas.gov/NPILookup?Npi=1497094833","1497094833")</f>
        <v>1497094833</v>
      </c>
      <c r="E19810" t="s">
        <v>11711</v>
      </c>
    </row>
    <row r="19811" spans="1:5" x14ac:dyDescent="0.25">
      <c r="A19811" t="s">
        <v>4</v>
      </c>
      <c r="B19811" t="s">
        <v>4111</v>
      </c>
      <c r="C19811" t="s">
        <v>23490</v>
      </c>
      <c r="D19811" t="str">
        <f>HYPERLINK("https://rhld.insurance.arkansas.gov/NPILookup?Npi=1497095517","1497095517")</f>
        <v>1497095517</v>
      </c>
      <c r="E19811" t="s">
        <v>14090</v>
      </c>
    </row>
    <row r="19812" spans="1:5" x14ac:dyDescent="0.25">
      <c r="A19812" t="s">
        <v>4</v>
      </c>
      <c r="B19812" t="s">
        <v>4111</v>
      </c>
      <c r="C19812" t="s">
        <v>23490</v>
      </c>
      <c r="D19812" t="str">
        <f>HYPERLINK("https://rhld.insurance.arkansas.gov/NPILookup?Npi=1497095954","1497095954")</f>
        <v>1497095954</v>
      </c>
      <c r="E19812" t="s">
        <v>23121</v>
      </c>
    </row>
    <row r="19813" spans="1:5" x14ac:dyDescent="0.25">
      <c r="A19813" t="s">
        <v>4</v>
      </c>
      <c r="B19813" t="s">
        <v>4111</v>
      </c>
      <c r="C19813" t="s">
        <v>23490</v>
      </c>
      <c r="D19813" t="str">
        <f>HYPERLINK("https://rhld.insurance.arkansas.gov/NPILookup?Npi=1497101497","1497101497")</f>
        <v>1497101497</v>
      </c>
      <c r="E19813" t="s">
        <v>21135</v>
      </c>
    </row>
    <row r="19814" spans="1:5" x14ac:dyDescent="0.25">
      <c r="A19814" t="s">
        <v>4</v>
      </c>
      <c r="B19814" t="s">
        <v>4111</v>
      </c>
      <c r="C19814" t="s">
        <v>23490</v>
      </c>
      <c r="D19814" t="str">
        <f>HYPERLINK("https://rhld.insurance.arkansas.gov/NPILookup?Npi=1497103469","1497103469")</f>
        <v>1497103469</v>
      </c>
      <c r="E19814" t="s">
        <v>16123</v>
      </c>
    </row>
    <row r="19815" spans="1:5" x14ac:dyDescent="0.25">
      <c r="A19815" t="s">
        <v>4</v>
      </c>
      <c r="B19815" t="s">
        <v>4111</v>
      </c>
      <c r="C19815" t="s">
        <v>23490</v>
      </c>
      <c r="D19815" t="str">
        <f>HYPERLINK("https://rhld.insurance.arkansas.gov/NPILookup?Npi=1497110043","1497110043")</f>
        <v>1497110043</v>
      </c>
      <c r="E19815" t="s">
        <v>9107</v>
      </c>
    </row>
    <row r="19816" spans="1:5" x14ac:dyDescent="0.25">
      <c r="A19816" t="s">
        <v>4</v>
      </c>
      <c r="B19816" t="s">
        <v>4111</v>
      </c>
      <c r="C19816" t="s">
        <v>23490</v>
      </c>
      <c r="D19816" t="str">
        <f>HYPERLINK("https://rhld.insurance.arkansas.gov/NPILookup?Npi=1497116586","1497116586")</f>
        <v>1497116586</v>
      </c>
      <c r="E19816" t="s">
        <v>14091</v>
      </c>
    </row>
    <row r="19817" spans="1:5" x14ac:dyDescent="0.25">
      <c r="A19817" t="s">
        <v>4</v>
      </c>
      <c r="B19817" t="s">
        <v>4111</v>
      </c>
      <c r="C19817" t="s">
        <v>23490</v>
      </c>
      <c r="D19817" t="str">
        <f>HYPERLINK("https://rhld.insurance.arkansas.gov/NPILookup?Npi=1497121842","1497121842")</f>
        <v>1497121842</v>
      </c>
      <c r="E19817" t="s">
        <v>14092</v>
      </c>
    </row>
    <row r="19818" spans="1:5" x14ac:dyDescent="0.25">
      <c r="A19818" t="s">
        <v>4</v>
      </c>
      <c r="B19818" t="s">
        <v>4111</v>
      </c>
      <c r="C19818" t="s">
        <v>23490</v>
      </c>
      <c r="D19818" t="str">
        <f>HYPERLINK("https://rhld.insurance.arkansas.gov/NPILookup?Npi=1497138887","1497138887")</f>
        <v>1497138887</v>
      </c>
      <c r="E19818" t="s">
        <v>19769</v>
      </c>
    </row>
    <row r="19819" spans="1:5" x14ac:dyDescent="0.25">
      <c r="A19819" t="s">
        <v>4</v>
      </c>
      <c r="B19819" t="s">
        <v>4111</v>
      </c>
      <c r="C19819" t="s">
        <v>23490</v>
      </c>
      <c r="D19819" t="str">
        <f>HYPERLINK("https://rhld.insurance.arkansas.gov/NPILookup?Npi=1497144992","1497144992")</f>
        <v>1497144992</v>
      </c>
      <c r="E19819" t="s">
        <v>20494</v>
      </c>
    </row>
    <row r="19820" spans="1:5" x14ac:dyDescent="0.25">
      <c r="A19820" t="s">
        <v>4</v>
      </c>
      <c r="B19820" t="s">
        <v>4111</v>
      </c>
      <c r="C19820" t="s">
        <v>23490</v>
      </c>
      <c r="D19820" t="str">
        <f>HYPERLINK("https://rhld.insurance.arkansas.gov/NPILookup?Npi=1497152094","1497152094")</f>
        <v>1497152094</v>
      </c>
      <c r="E19820" t="s">
        <v>5069</v>
      </c>
    </row>
    <row r="19821" spans="1:5" x14ac:dyDescent="0.25">
      <c r="A19821" t="s">
        <v>4</v>
      </c>
      <c r="B19821" t="s">
        <v>4111</v>
      </c>
      <c r="C19821" t="s">
        <v>23490</v>
      </c>
      <c r="D19821" t="str">
        <f>HYPERLINK("https://rhld.insurance.arkansas.gov/NPILookup?Npi=1497154918","1497154918")</f>
        <v>1497154918</v>
      </c>
      <c r="E19821" t="s">
        <v>11712</v>
      </c>
    </row>
    <row r="19822" spans="1:5" x14ac:dyDescent="0.25">
      <c r="A19822" t="s">
        <v>4</v>
      </c>
      <c r="B19822" t="s">
        <v>4111</v>
      </c>
      <c r="C19822" t="s">
        <v>23490</v>
      </c>
      <c r="D19822" t="str">
        <f>HYPERLINK("https://rhld.insurance.arkansas.gov/NPILookup?Npi=1497158976","1497158976")</f>
        <v>1497158976</v>
      </c>
      <c r="E19822" t="s">
        <v>17599</v>
      </c>
    </row>
    <row r="19823" spans="1:5" x14ac:dyDescent="0.25">
      <c r="A19823" t="s">
        <v>4</v>
      </c>
      <c r="B19823" t="s">
        <v>4111</v>
      </c>
      <c r="C19823" t="s">
        <v>23490</v>
      </c>
      <c r="D19823" t="str">
        <f>HYPERLINK("https://rhld.insurance.arkansas.gov/NPILookup?Npi=1497163356","1497163356")</f>
        <v>1497163356</v>
      </c>
      <c r="E19823" t="s">
        <v>18354</v>
      </c>
    </row>
    <row r="19824" spans="1:5" x14ac:dyDescent="0.25">
      <c r="A19824" t="s">
        <v>4</v>
      </c>
      <c r="B19824" t="s">
        <v>4111</v>
      </c>
      <c r="C19824" t="s">
        <v>23490</v>
      </c>
      <c r="D19824" t="str">
        <f>HYPERLINK("https://rhld.insurance.arkansas.gov/NPILookup?Npi=1497176093","1497176093")</f>
        <v>1497176093</v>
      </c>
      <c r="E19824" t="s">
        <v>841</v>
      </c>
    </row>
    <row r="19825" spans="1:5" x14ac:dyDescent="0.25">
      <c r="A19825" t="s">
        <v>4</v>
      </c>
      <c r="B19825" t="s">
        <v>4111</v>
      </c>
      <c r="C19825" t="s">
        <v>23490</v>
      </c>
      <c r="D19825" t="str">
        <f>HYPERLINK("https://rhld.insurance.arkansas.gov/NPILookup?Npi=1497183982","1497183982")</f>
        <v>1497183982</v>
      </c>
      <c r="E19825" t="s">
        <v>14093</v>
      </c>
    </row>
    <row r="19826" spans="1:5" x14ac:dyDescent="0.25">
      <c r="A19826" t="s">
        <v>4</v>
      </c>
      <c r="B19826" t="s">
        <v>4111</v>
      </c>
      <c r="C19826" t="s">
        <v>23490</v>
      </c>
      <c r="D19826" t="str">
        <f>HYPERLINK("https://rhld.insurance.arkansas.gov/NPILookup?Npi=1497184535","1497184535")</f>
        <v>1497184535</v>
      </c>
      <c r="E19826" t="s">
        <v>23122</v>
      </c>
    </row>
    <row r="19827" spans="1:5" x14ac:dyDescent="0.25">
      <c r="A19827" t="s">
        <v>4</v>
      </c>
      <c r="B19827" t="s">
        <v>4111</v>
      </c>
      <c r="C19827" t="s">
        <v>23490</v>
      </c>
      <c r="D19827" t="str">
        <f>HYPERLINK("https://rhld.insurance.arkansas.gov/NPILookup?Npi=1497209530","1497209530")</f>
        <v>1497209530</v>
      </c>
      <c r="E19827" t="s">
        <v>22100</v>
      </c>
    </row>
    <row r="19828" spans="1:5" x14ac:dyDescent="0.25">
      <c r="A19828" t="s">
        <v>4</v>
      </c>
      <c r="B19828" t="s">
        <v>4111</v>
      </c>
      <c r="C19828" t="s">
        <v>23490</v>
      </c>
      <c r="D19828" t="str">
        <f>HYPERLINK("https://rhld.insurance.arkansas.gov/NPILookup?Npi=1497223085","1497223085")</f>
        <v>1497223085</v>
      </c>
      <c r="E19828" t="s">
        <v>18355</v>
      </c>
    </row>
    <row r="19829" spans="1:5" x14ac:dyDescent="0.25">
      <c r="A19829" t="s">
        <v>4</v>
      </c>
      <c r="B19829" t="s">
        <v>4111</v>
      </c>
      <c r="C19829" t="s">
        <v>23490</v>
      </c>
      <c r="D19829" t="str">
        <f>HYPERLINK("https://rhld.insurance.arkansas.gov/NPILookup?Npi=1497232631","1497232631")</f>
        <v>1497232631</v>
      </c>
      <c r="E19829" t="s">
        <v>22101</v>
      </c>
    </row>
    <row r="19830" spans="1:5" x14ac:dyDescent="0.25">
      <c r="A19830" t="s">
        <v>4</v>
      </c>
      <c r="B19830" t="s">
        <v>4111</v>
      </c>
      <c r="C19830" t="s">
        <v>23490</v>
      </c>
      <c r="D19830" t="str">
        <f>HYPERLINK("https://rhld.insurance.arkansas.gov/NPILookup?Npi=1497241798","1497241798")</f>
        <v>1497241798</v>
      </c>
      <c r="E19830" t="s">
        <v>16124</v>
      </c>
    </row>
    <row r="19831" spans="1:5" x14ac:dyDescent="0.25">
      <c r="A19831" t="s">
        <v>4</v>
      </c>
      <c r="B19831" t="s">
        <v>4111</v>
      </c>
      <c r="C19831" t="s">
        <v>8427</v>
      </c>
      <c r="D19831" t="str">
        <f>HYPERLINK("https://rhld.insurance.arkansas.gov/NPILookup?Npi=1497261101","1497261101")</f>
        <v>1497261101</v>
      </c>
      <c r="E19831" t="s">
        <v>23123</v>
      </c>
    </row>
    <row r="19832" spans="1:5" x14ac:dyDescent="0.25">
      <c r="A19832" t="s">
        <v>4</v>
      </c>
      <c r="B19832" t="s">
        <v>4111</v>
      </c>
      <c r="C19832" t="s">
        <v>23490</v>
      </c>
      <c r="D19832" t="str">
        <f>HYPERLINK("https://rhld.insurance.arkansas.gov/NPILookup?Npi=1497278253","1497278253")</f>
        <v>1497278253</v>
      </c>
      <c r="E19832" t="s">
        <v>18356</v>
      </c>
    </row>
    <row r="19833" spans="1:5" x14ac:dyDescent="0.25">
      <c r="A19833" t="s">
        <v>4</v>
      </c>
      <c r="B19833" t="s">
        <v>4111</v>
      </c>
      <c r="C19833" t="s">
        <v>23490</v>
      </c>
      <c r="D19833" t="str">
        <f>HYPERLINK("https://rhld.insurance.arkansas.gov/NPILookup?Npi=1497306757","1497306757")</f>
        <v>1497306757</v>
      </c>
      <c r="E19833" t="s">
        <v>20495</v>
      </c>
    </row>
    <row r="19834" spans="1:5" x14ac:dyDescent="0.25">
      <c r="A19834" t="s">
        <v>4</v>
      </c>
      <c r="B19834" t="s">
        <v>4111</v>
      </c>
      <c r="C19834" t="s">
        <v>23490</v>
      </c>
      <c r="D19834" t="str">
        <f>HYPERLINK("https://rhld.insurance.arkansas.gov/NPILookup?Npi=1497309074","1497309074")</f>
        <v>1497309074</v>
      </c>
      <c r="E19834" t="s">
        <v>17177</v>
      </c>
    </row>
    <row r="19835" spans="1:5" x14ac:dyDescent="0.25">
      <c r="A19835" t="s">
        <v>4</v>
      </c>
      <c r="B19835" t="s">
        <v>4111</v>
      </c>
      <c r="C19835" t="s">
        <v>23490</v>
      </c>
      <c r="D19835" t="str">
        <f>HYPERLINK("https://rhld.insurance.arkansas.gov/NPILookup?Npi=1497330302","1497330302")</f>
        <v>1497330302</v>
      </c>
      <c r="E19835" t="s">
        <v>22102</v>
      </c>
    </row>
    <row r="19836" spans="1:5" x14ac:dyDescent="0.25">
      <c r="A19836" t="s">
        <v>4</v>
      </c>
      <c r="B19836" t="s">
        <v>4111</v>
      </c>
      <c r="C19836" t="s">
        <v>23490</v>
      </c>
      <c r="D19836" t="str">
        <f>HYPERLINK("https://rhld.insurance.arkansas.gov/NPILookup?Npi=1497332761","1497332761")</f>
        <v>1497332761</v>
      </c>
      <c r="E19836" t="s">
        <v>22103</v>
      </c>
    </row>
    <row r="19837" spans="1:5" x14ac:dyDescent="0.25">
      <c r="A19837" t="s">
        <v>4</v>
      </c>
      <c r="B19837" t="s">
        <v>4111</v>
      </c>
      <c r="C19837" t="s">
        <v>23490</v>
      </c>
      <c r="D19837" t="str">
        <f>HYPERLINK("https://rhld.insurance.arkansas.gov/NPILookup?Npi=1497367346","1497367346")</f>
        <v>1497367346</v>
      </c>
      <c r="E19837" t="s">
        <v>22104</v>
      </c>
    </row>
    <row r="19838" spans="1:5" x14ac:dyDescent="0.25">
      <c r="A19838" t="s">
        <v>4</v>
      </c>
      <c r="B19838" t="s">
        <v>4111</v>
      </c>
      <c r="C19838" t="s">
        <v>23490</v>
      </c>
      <c r="D19838" t="str">
        <f>HYPERLINK("https://rhld.insurance.arkansas.gov/NPILookup?Npi=1497380414","1497380414")</f>
        <v>1497380414</v>
      </c>
      <c r="E19838" t="s">
        <v>18009</v>
      </c>
    </row>
    <row r="19839" spans="1:5" x14ac:dyDescent="0.25">
      <c r="A19839" t="s">
        <v>4</v>
      </c>
      <c r="B19839" t="s">
        <v>4111</v>
      </c>
      <c r="C19839" t="s">
        <v>23490</v>
      </c>
      <c r="D19839" t="str">
        <f>HYPERLINK("https://rhld.insurance.arkansas.gov/NPILookup?Npi=1497385009","1497385009")</f>
        <v>1497385009</v>
      </c>
      <c r="E19839" t="s">
        <v>20496</v>
      </c>
    </row>
    <row r="19840" spans="1:5" x14ac:dyDescent="0.25">
      <c r="A19840" t="s">
        <v>4</v>
      </c>
      <c r="B19840" t="s">
        <v>4111</v>
      </c>
      <c r="C19840" t="s">
        <v>23490</v>
      </c>
      <c r="D19840" t="str">
        <f>HYPERLINK("https://rhld.insurance.arkansas.gov/NPILookup?Npi=1497387013","1497387013")</f>
        <v>1497387013</v>
      </c>
      <c r="E19840" t="s">
        <v>18357</v>
      </c>
    </row>
    <row r="19841" spans="1:5" x14ac:dyDescent="0.25">
      <c r="A19841" t="s">
        <v>4</v>
      </c>
      <c r="B19841" t="s">
        <v>4111</v>
      </c>
      <c r="C19841" t="s">
        <v>23490</v>
      </c>
      <c r="D19841" t="str">
        <f>HYPERLINK("https://rhld.insurance.arkansas.gov/NPILookup?Npi=1497387542","1497387542")</f>
        <v>1497387542</v>
      </c>
      <c r="E19841" t="s">
        <v>22105</v>
      </c>
    </row>
    <row r="19842" spans="1:5" x14ac:dyDescent="0.25">
      <c r="A19842" t="s">
        <v>4</v>
      </c>
      <c r="B19842" t="s">
        <v>4111</v>
      </c>
      <c r="C19842" t="s">
        <v>23490</v>
      </c>
      <c r="D19842" t="str">
        <f>HYPERLINK("https://rhld.insurance.arkansas.gov/NPILookup?Npi=1497415277","1497415277")</f>
        <v>1497415277</v>
      </c>
      <c r="E19842" t="s">
        <v>20497</v>
      </c>
    </row>
    <row r="19843" spans="1:5" x14ac:dyDescent="0.25">
      <c r="A19843" t="s">
        <v>4</v>
      </c>
      <c r="B19843" t="s">
        <v>4111</v>
      </c>
      <c r="C19843" t="s">
        <v>23490</v>
      </c>
      <c r="D19843" t="str">
        <f>HYPERLINK("https://rhld.insurance.arkansas.gov/NPILookup?Npi=1497419774","1497419774")</f>
        <v>1497419774</v>
      </c>
      <c r="E19843" t="s">
        <v>19782</v>
      </c>
    </row>
    <row r="19844" spans="1:5" x14ac:dyDescent="0.25">
      <c r="A19844" t="s">
        <v>4</v>
      </c>
      <c r="B19844" t="s">
        <v>4111</v>
      </c>
      <c r="C19844" t="s">
        <v>23490</v>
      </c>
      <c r="D19844" t="str">
        <f>HYPERLINK("https://rhld.insurance.arkansas.gov/NPILookup?Npi=1497701692","1497701692")</f>
        <v>1497701692</v>
      </c>
      <c r="E19844" t="s">
        <v>9108</v>
      </c>
    </row>
    <row r="19845" spans="1:5" x14ac:dyDescent="0.25">
      <c r="A19845" t="s">
        <v>4</v>
      </c>
      <c r="B19845" t="s">
        <v>4111</v>
      </c>
      <c r="C19845" t="s">
        <v>23490</v>
      </c>
      <c r="D19845" t="str">
        <f>HYPERLINK("https://rhld.insurance.arkansas.gov/NPILookup?Npi=1497710743","1497710743")</f>
        <v>1497710743</v>
      </c>
      <c r="E19845" t="s">
        <v>21136</v>
      </c>
    </row>
    <row r="19846" spans="1:5" x14ac:dyDescent="0.25">
      <c r="A19846" t="s">
        <v>4</v>
      </c>
      <c r="B19846" t="s">
        <v>4111</v>
      </c>
      <c r="C19846" t="s">
        <v>23490</v>
      </c>
      <c r="D19846" t="str">
        <f>HYPERLINK("https://rhld.insurance.arkansas.gov/NPILookup?Npi=1497725147","1497725147")</f>
        <v>1497725147</v>
      </c>
      <c r="E19846" t="s">
        <v>16125</v>
      </c>
    </row>
    <row r="19847" spans="1:5" x14ac:dyDescent="0.25">
      <c r="A19847" t="s">
        <v>4</v>
      </c>
      <c r="B19847" t="s">
        <v>4111</v>
      </c>
      <c r="C19847" t="s">
        <v>23490</v>
      </c>
      <c r="D19847" t="str">
        <f>HYPERLINK("https://rhld.insurance.arkansas.gov/NPILookup?Npi=1497743306","1497743306")</f>
        <v>1497743306</v>
      </c>
      <c r="E19847" t="s">
        <v>5070</v>
      </c>
    </row>
    <row r="19848" spans="1:5" x14ac:dyDescent="0.25">
      <c r="A19848" t="s">
        <v>4</v>
      </c>
      <c r="B19848" t="s">
        <v>4111</v>
      </c>
      <c r="C19848" t="s">
        <v>23490</v>
      </c>
      <c r="D19848" t="str">
        <f>HYPERLINK("https://rhld.insurance.arkansas.gov/NPILookup?Npi=1497755979","1497755979")</f>
        <v>1497755979</v>
      </c>
      <c r="E19848" t="s">
        <v>5071</v>
      </c>
    </row>
    <row r="19849" spans="1:5" x14ac:dyDescent="0.25">
      <c r="A19849" t="s">
        <v>4</v>
      </c>
      <c r="B19849" t="s">
        <v>4111</v>
      </c>
      <c r="C19849" t="s">
        <v>23490</v>
      </c>
      <c r="D19849" t="str">
        <f>HYPERLINK("https://rhld.insurance.arkansas.gov/NPILookup?Npi=1497772073","1497772073")</f>
        <v>1497772073</v>
      </c>
      <c r="E19849" t="s">
        <v>5072</v>
      </c>
    </row>
    <row r="19850" spans="1:5" x14ac:dyDescent="0.25">
      <c r="A19850" t="s">
        <v>4</v>
      </c>
      <c r="B19850" t="s">
        <v>4111</v>
      </c>
      <c r="C19850" t="s">
        <v>23490</v>
      </c>
      <c r="D19850" t="str">
        <f>HYPERLINK("https://rhld.insurance.arkansas.gov/NPILookup?Npi=1497784748","1497784748")</f>
        <v>1497784748</v>
      </c>
      <c r="E19850" t="s">
        <v>5073</v>
      </c>
    </row>
    <row r="19851" spans="1:5" x14ac:dyDescent="0.25">
      <c r="A19851" t="s">
        <v>4</v>
      </c>
      <c r="B19851" t="s">
        <v>4111</v>
      </c>
      <c r="C19851" t="s">
        <v>23490</v>
      </c>
      <c r="D19851" t="str">
        <f>HYPERLINK("https://rhld.insurance.arkansas.gov/NPILookup?Npi=1497800486","1497800486")</f>
        <v>1497800486</v>
      </c>
      <c r="E19851" t="s">
        <v>11713</v>
      </c>
    </row>
    <row r="19852" spans="1:5" x14ac:dyDescent="0.25">
      <c r="A19852" t="s">
        <v>4</v>
      </c>
      <c r="B19852" t="s">
        <v>4111</v>
      </c>
      <c r="C19852" t="s">
        <v>23490</v>
      </c>
      <c r="D19852" t="str">
        <f>HYPERLINK("https://rhld.insurance.arkansas.gov/NPILookup?Npi=1497812135","1497812135")</f>
        <v>1497812135</v>
      </c>
      <c r="E19852" t="s">
        <v>5074</v>
      </c>
    </row>
    <row r="19853" spans="1:5" x14ac:dyDescent="0.25">
      <c r="A19853" t="s">
        <v>4</v>
      </c>
      <c r="B19853" t="s">
        <v>4111</v>
      </c>
      <c r="C19853" t="s">
        <v>23490</v>
      </c>
      <c r="D19853" t="str">
        <f>HYPERLINK("https://rhld.insurance.arkansas.gov/NPILookup?Npi=1497839591","1497839591")</f>
        <v>1497839591</v>
      </c>
      <c r="E19853" t="s">
        <v>5075</v>
      </c>
    </row>
    <row r="19854" spans="1:5" x14ac:dyDescent="0.25">
      <c r="A19854" t="s">
        <v>4</v>
      </c>
      <c r="B19854" t="s">
        <v>4111</v>
      </c>
      <c r="C19854" t="s">
        <v>23490</v>
      </c>
      <c r="D19854" t="str">
        <f>HYPERLINK("https://rhld.insurance.arkansas.gov/NPILookup?Npi=1497903330","1497903330")</f>
        <v>1497903330</v>
      </c>
      <c r="E19854" t="s">
        <v>5076</v>
      </c>
    </row>
    <row r="19855" spans="1:5" x14ac:dyDescent="0.25">
      <c r="A19855" t="s">
        <v>4</v>
      </c>
      <c r="B19855" t="s">
        <v>4111</v>
      </c>
      <c r="C19855" t="s">
        <v>8427</v>
      </c>
      <c r="D19855" t="str">
        <f>HYPERLINK("https://rhld.insurance.arkansas.gov/NPILookup?Npi=1497909147","1497909147")</f>
        <v>1497909147</v>
      </c>
      <c r="E19855" t="s">
        <v>23124</v>
      </c>
    </row>
    <row r="19856" spans="1:5" x14ac:dyDescent="0.25">
      <c r="A19856" t="s">
        <v>4</v>
      </c>
      <c r="B19856" t="s">
        <v>4111</v>
      </c>
      <c r="C19856" t="s">
        <v>23490</v>
      </c>
      <c r="D19856" t="str">
        <f>HYPERLINK("https://rhld.insurance.arkansas.gov/NPILookup?Npi=1497915045","1497915045")</f>
        <v>1497915045</v>
      </c>
      <c r="E19856" t="s">
        <v>11714</v>
      </c>
    </row>
    <row r="19857" spans="1:5" x14ac:dyDescent="0.25">
      <c r="A19857" t="s">
        <v>4</v>
      </c>
      <c r="B19857" t="s">
        <v>4111</v>
      </c>
      <c r="C19857" t="s">
        <v>23490</v>
      </c>
      <c r="D19857" t="str">
        <f>HYPERLINK("https://rhld.insurance.arkansas.gov/NPILookup?Npi=1497922769","1497922769")</f>
        <v>1497922769</v>
      </c>
      <c r="E19857" t="s">
        <v>9109</v>
      </c>
    </row>
    <row r="19858" spans="1:5" x14ac:dyDescent="0.25">
      <c r="A19858" t="s">
        <v>4</v>
      </c>
      <c r="B19858" t="s">
        <v>4111</v>
      </c>
      <c r="C19858" t="s">
        <v>23490</v>
      </c>
      <c r="D19858" t="str">
        <f>HYPERLINK("https://rhld.insurance.arkansas.gov/NPILookup?Npi=1497923577","1497923577")</f>
        <v>1497923577</v>
      </c>
      <c r="E19858" t="s">
        <v>20498</v>
      </c>
    </row>
    <row r="19859" spans="1:5" x14ac:dyDescent="0.25">
      <c r="A19859" t="s">
        <v>4</v>
      </c>
      <c r="B19859" t="s">
        <v>4111</v>
      </c>
      <c r="C19859" t="s">
        <v>23490</v>
      </c>
      <c r="D19859" t="str">
        <f>HYPERLINK("https://rhld.insurance.arkansas.gov/NPILookup?Npi=1497924757","1497924757")</f>
        <v>1497924757</v>
      </c>
      <c r="E19859" t="s">
        <v>14094</v>
      </c>
    </row>
    <row r="19860" spans="1:5" x14ac:dyDescent="0.25">
      <c r="A19860" t="s">
        <v>4</v>
      </c>
      <c r="B19860" t="s">
        <v>4111</v>
      </c>
      <c r="C19860" t="s">
        <v>23490</v>
      </c>
      <c r="D19860" t="str">
        <f>HYPERLINK("https://rhld.insurance.arkansas.gov/NPILookup?Npi=1497941249","1497941249")</f>
        <v>1497941249</v>
      </c>
      <c r="E19860" t="s">
        <v>17178</v>
      </c>
    </row>
    <row r="19861" spans="1:5" x14ac:dyDescent="0.25">
      <c r="A19861" t="s">
        <v>4</v>
      </c>
      <c r="B19861" t="s">
        <v>4111</v>
      </c>
      <c r="C19861" t="s">
        <v>23490</v>
      </c>
      <c r="D19861" t="str">
        <f>HYPERLINK("https://rhld.insurance.arkansas.gov/NPILookup?Npi=1497942197","1497942197")</f>
        <v>1497942197</v>
      </c>
      <c r="E19861" t="s">
        <v>5077</v>
      </c>
    </row>
    <row r="19862" spans="1:5" x14ac:dyDescent="0.25">
      <c r="A19862" t="s">
        <v>4</v>
      </c>
      <c r="B19862" t="s">
        <v>4111</v>
      </c>
      <c r="C19862" t="s">
        <v>23490</v>
      </c>
      <c r="D19862" t="str">
        <f>HYPERLINK("https://rhld.insurance.arkansas.gov/NPILookup?Npi=1497959118","1497959118")</f>
        <v>1497959118</v>
      </c>
      <c r="E19862" t="s">
        <v>5078</v>
      </c>
    </row>
    <row r="19863" spans="1:5" x14ac:dyDescent="0.25">
      <c r="A19863" t="s">
        <v>4</v>
      </c>
      <c r="B19863" t="s">
        <v>4111</v>
      </c>
      <c r="C19863" t="s">
        <v>23490</v>
      </c>
      <c r="D19863" t="str">
        <f>HYPERLINK("https://rhld.insurance.arkansas.gov/NPILookup?Npi=1497959480","1497959480")</f>
        <v>1497959480</v>
      </c>
      <c r="E19863" t="s">
        <v>5079</v>
      </c>
    </row>
    <row r="19864" spans="1:5" x14ac:dyDescent="0.25">
      <c r="A19864" t="s">
        <v>4</v>
      </c>
      <c r="B19864" t="s">
        <v>4111</v>
      </c>
      <c r="C19864" t="s">
        <v>23490</v>
      </c>
      <c r="D19864" t="str">
        <f>HYPERLINK("https://rhld.insurance.arkansas.gov/NPILookup?Npi=1497966469","1497966469")</f>
        <v>1497966469</v>
      </c>
      <c r="E19864" t="s">
        <v>5080</v>
      </c>
    </row>
    <row r="19865" spans="1:5" x14ac:dyDescent="0.25">
      <c r="A19865" t="s">
        <v>4</v>
      </c>
      <c r="B19865" t="s">
        <v>4111</v>
      </c>
      <c r="C19865" t="s">
        <v>23490</v>
      </c>
      <c r="D19865" t="str">
        <f>HYPERLINK("https://rhld.insurance.arkansas.gov/NPILookup?Npi=1497968101","1497968101")</f>
        <v>1497968101</v>
      </c>
      <c r="E19865" t="s">
        <v>5081</v>
      </c>
    </row>
    <row r="19866" spans="1:5" x14ac:dyDescent="0.25">
      <c r="A19866" t="s">
        <v>4</v>
      </c>
      <c r="B19866" t="s">
        <v>4111</v>
      </c>
      <c r="C19866" t="s">
        <v>23490</v>
      </c>
      <c r="D19866" t="str">
        <f>HYPERLINK("https://rhld.insurance.arkansas.gov/NPILookup?Npi=1497978258","1497978258")</f>
        <v>1497978258</v>
      </c>
      <c r="E19866" t="s">
        <v>14095</v>
      </c>
    </row>
    <row r="19867" spans="1:5" x14ac:dyDescent="0.25">
      <c r="A19867" t="s">
        <v>4</v>
      </c>
      <c r="B19867" t="s">
        <v>4111</v>
      </c>
      <c r="C19867" t="s">
        <v>8427</v>
      </c>
      <c r="D19867" t="str">
        <f>HYPERLINK("https://rhld.insurance.arkansas.gov/NPILookup?Npi=1497980643","1497980643")</f>
        <v>1497980643</v>
      </c>
      <c r="E19867" t="s">
        <v>23125</v>
      </c>
    </row>
    <row r="19868" spans="1:5" x14ac:dyDescent="0.25">
      <c r="A19868" t="s">
        <v>4</v>
      </c>
      <c r="B19868" t="s">
        <v>4111</v>
      </c>
      <c r="C19868" t="s">
        <v>23490</v>
      </c>
      <c r="D19868" t="str">
        <f>HYPERLINK("https://rhld.insurance.arkansas.gov/NPILookup?Npi=1497982961","1497982961")</f>
        <v>1497982961</v>
      </c>
      <c r="E19868" t="s">
        <v>14096</v>
      </c>
    </row>
    <row r="19869" spans="1:5" x14ac:dyDescent="0.25">
      <c r="A19869" t="s">
        <v>4</v>
      </c>
      <c r="B19869" t="s">
        <v>4111</v>
      </c>
      <c r="C19869" t="s">
        <v>23490</v>
      </c>
      <c r="D19869" t="str">
        <f>HYPERLINK("https://rhld.insurance.arkansas.gov/NPILookup?Npi=1497989107","1497989107")</f>
        <v>1497989107</v>
      </c>
      <c r="E19869" t="s">
        <v>22106</v>
      </c>
    </row>
    <row r="19870" spans="1:5" x14ac:dyDescent="0.25">
      <c r="A19870" t="s">
        <v>4</v>
      </c>
      <c r="B19870" t="s">
        <v>4111</v>
      </c>
      <c r="C19870" t="s">
        <v>23490</v>
      </c>
      <c r="D19870" t="str">
        <f>HYPERLINK("https://rhld.insurance.arkansas.gov/NPILookup?Npi=1497992440","1497992440")</f>
        <v>1497992440</v>
      </c>
      <c r="E19870" t="s">
        <v>21137</v>
      </c>
    </row>
    <row r="19871" spans="1:5" x14ac:dyDescent="0.25">
      <c r="A19871" t="s">
        <v>4</v>
      </c>
      <c r="B19871" t="s">
        <v>4111</v>
      </c>
      <c r="C19871" t="s">
        <v>23490</v>
      </c>
      <c r="D19871" t="str">
        <f>HYPERLINK("https://rhld.insurance.arkansas.gov/NPILookup?Npi=1497996243","1497996243")</f>
        <v>1497996243</v>
      </c>
      <c r="E19871" t="s">
        <v>9110</v>
      </c>
    </row>
    <row r="19872" spans="1:5" x14ac:dyDescent="0.25">
      <c r="A19872" t="s">
        <v>4</v>
      </c>
      <c r="B19872" t="s">
        <v>4111</v>
      </c>
      <c r="C19872" t="s">
        <v>23490</v>
      </c>
      <c r="D19872" t="str">
        <f>HYPERLINK("https://rhld.insurance.arkansas.gov/NPILookup?Npi=1508010943","1508010943")</f>
        <v>1508010943</v>
      </c>
      <c r="E19872" t="s">
        <v>20499</v>
      </c>
    </row>
    <row r="19873" spans="1:5" x14ac:dyDescent="0.25">
      <c r="A19873" t="s">
        <v>4</v>
      </c>
      <c r="B19873" t="s">
        <v>4111</v>
      </c>
      <c r="C19873" t="s">
        <v>23490</v>
      </c>
      <c r="D19873" t="str">
        <f>HYPERLINK("https://rhld.insurance.arkansas.gov/NPILookup?Npi=1508011578","1508011578")</f>
        <v>1508011578</v>
      </c>
      <c r="E19873" t="s">
        <v>20500</v>
      </c>
    </row>
    <row r="19874" spans="1:5" x14ac:dyDescent="0.25">
      <c r="A19874" t="s">
        <v>4</v>
      </c>
      <c r="B19874" t="s">
        <v>4111</v>
      </c>
      <c r="C19874" t="s">
        <v>23490</v>
      </c>
      <c r="D19874" t="str">
        <f>HYPERLINK("https://rhld.insurance.arkansas.gov/NPILookup?Npi=1508032160","1508032160")</f>
        <v>1508032160</v>
      </c>
      <c r="E19874" t="s">
        <v>11715</v>
      </c>
    </row>
    <row r="19875" spans="1:5" x14ac:dyDescent="0.25">
      <c r="A19875" t="s">
        <v>4</v>
      </c>
      <c r="B19875" t="s">
        <v>4111</v>
      </c>
      <c r="C19875" t="s">
        <v>23490</v>
      </c>
      <c r="D19875" t="str">
        <f>HYPERLINK("https://rhld.insurance.arkansas.gov/NPILookup?Npi=1508041492","1508041492")</f>
        <v>1508041492</v>
      </c>
      <c r="E19875" t="s">
        <v>5082</v>
      </c>
    </row>
    <row r="19876" spans="1:5" x14ac:dyDescent="0.25">
      <c r="A19876" t="s">
        <v>4</v>
      </c>
      <c r="B19876" t="s">
        <v>4111</v>
      </c>
      <c r="C19876" t="s">
        <v>23490</v>
      </c>
      <c r="D19876" t="str">
        <f>HYPERLINK("https://rhld.insurance.arkansas.gov/NPILookup?Npi=1508047507","1508047507")</f>
        <v>1508047507</v>
      </c>
      <c r="E19876" t="s">
        <v>5083</v>
      </c>
    </row>
    <row r="19877" spans="1:5" x14ac:dyDescent="0.25">
      <c r="A19877" t="s">
        <v>4</v>
      </c>
      <c r="B19877" t="s">
        <v>4111</v>
      </c>
      <c r="C19877" t="s">
        <v>23490</v>
      </c>
      <c r="D19877" t="str">
        <f>HYPERLINK("https://rhld.insurance.arkansas.gov/NPILookup?Npi=1508059064","1508059064")</f>
        <v>1508059064</v>
      </c>
      <c r="E19877" t="s">
        <v>18358</v>
      </c>
    </row>
    <row r="19878" spans="1:5" x14ac:dyDescent="0.25">
      <c r="A19878" t="s">
        <v>4</v>
      </c>
      <c r="B19878" t="s">
        <v>4111</v>
      </c>
      <c r="C19878" t="s">
        <v>23490</v>
      </c>
      <c r="D19878" t="str">
        <f>HYPERLINK("https://rhld.insurance.arkansas.gov/NPILookup?Npi=1508079682","1508079682")</f>
        <v>1508079682</v>
      </c>
      <c r="E19878" t="s">
        <v>5084</v>
      </c>
    </row>
    <row r="19879" spans="1:5" x14ac:dyDescent="0.25">
      <c r="A19879" t="s">
        <v>4</v>
      </c>
      <c r="B19879" t="s">
        <v>4111</v>
      </c>
      <c r="C19879" t="s">
        <v>23490</v>
      </c>
      <c r="D19879" t="str">
        <f>HYPERLINK("https://rhld.insurance.arkansas.gov/NPILookup?Npi=1508086976","1508086976")</f>
        <v>1508086976</v>
      </c>
      <c r="E19879" t="s">
        <v>826</v>
      </c>
    </row>
    <row r="19880" spans="1:5" x14ac:dyDescent="0.25">
      <c r="A19880" t="s">
        <v>4</v>
      </c>
      <c r="B19880" t="s">
        <v>4111</v>
      </c>
      <c r="C19880" t="s">
        <v>23490</v>
      </c>
      <c r="D19880" t="str">
        <f>HYPERLINK("https://rhld.insurance.arkansas.gov/NPILookup?Npi=1508092867","1508092867")</f>
        <v>1508092867</v>
      </c>
      <c r="E19880" t="s">
        <v>11716</v>
      </c>
    </row>
    <row r="19881" spans="1:5" x14ac:dyDescent="0.25">
      <c r="A19881" t="s">
        <v>4</v>
      </c>
      <c r="B19881" t="s">
        <v>4111</v>
      </c>
      <c r="C19881" t="s">
        <v>23490</v>
      </c>
      <c r="D19881" t="str">
        <f>HYPERLINK("https://rhld.insurance.arkansas.gov/NPILookup?Npi=1508097858","1508097858")</f>
        <v>1508097858</v>
      </c>
      <c r="E19881" t="s">
        <v>20501</v>
      </c>
    </row>
    <row r="19882" spans="1:5" x14ac:dyDescent="0.25">
      <c r="A19882" t="s">
        <v>4</v>
      </c>
      <c r="B19882" t="s">
        <v>4111</v>
      </c>
      <c r="C19882" t="s">
        <v>23490</v>
      </c>
      <c r="D19882" t="str">
        <f>HYPERLINK("https://rhld.insurance.arkansas.gov/NPILookup?Npi=1508135625","1508135625")</f>
        <v>1508135625</v>
      </c>
      <c r="E19882" t="s">
        <v>5085</v>
      </c>
    </row>
    <row r="19883" spans="1:5" x14ac:dyDescent="0.25">
      <c r="A19883" t="s">
        <v>4</v>
      </c>
      <c r="B19883" t="s">
        <v>4111</v>
      </c>
      <c r="C19883" t="s">
        <v>23490</v>
      </c>
      <c r="D19883" t="str">
        <f>HYPERLINK("https://rhld.insurance.arkansas.gov/NPILookup?Npi=1508147174","1508147174")</f>
        <v>1508147174</v>
      </c>
      <c r="E19883" t="s">
        <v>11717</v>
      </c>
    </row>
    <row r="19884" spans="1:5" x14ac:dyDescent="0.25">
      <c r="A19884" t="s">
        <v>4</v>
      </c>
      <c r="B19884" t="s">
        <v>4111</v>
      </c>
      <c r="C19884" t="s">
        <v>23490</v>
      </c>
      <c r="D19884" t="str">
        <f>HYPERLINK("https://rhld.insurance.arkansas.gov/NPILookup?Npi=1508154071","1508154071")</f>
        <v>1508154071</v>
      </c>
      <c r="E19884" t="s">
        <v>5086</v>
      </c>
    </row>
    <row r="19885" spans="1:5" x14ac:dyDescent="0.25">
      <c r="A19885" t="s">
        <v>4</v>
      </c>
      <c r="B19885" t="s">
        <v>4111</v>
      </c>
      <c r="C19885" t="s">
        <v>23490</v>
      </c>
      <c r="D19885" t="str">
        <f>HYPERLINK("https://rhld.insurance.arkansas.gov/NPILookup?Npi=1508162066","1508162066")</f>
        <v>1508162066</v>
      </c>
      <c r="E19885" t="s">
        <v>5087</v>
      </c>
    </row>
    <row r="19886" spans="1:5" x14ac:dyDescent="0.25">
      <c r="A19886" t="s">
        <v>4</v>
      </c>
      <c r="B19886" t="s">
        <v>4111</v>
      </c>
      <c r="C19886" t="s">
        <v>23490</v>
      </c>
      <c r="D19886" t="str">
        <f>HYPERLINK("https://rhld.insurance.arkansas.gov/NPILookup?Npi=1508185307","1508185307")</f>
        <v>1508185307</v>
      </c>
      <c r="E19886" t="s">
        <v>5088</v>
      </c>
    </row>
    <row r="19887" spans="1:5" x14ac:dyDescent="0.25">
      <c r="A19887" t="s">
        <v>4</v>
      </c>
      <c r="B19887" t="s">
        <v>4111</v>
      </c>
      <c r="C19887" t="s">
        <v>23490</v>
      </c>
      <c r="D19887" t="str">
        <f>HYPERLINK("https://rhld.insurance.arkansas.gov/NPILookup?Npi=1508214651","1508214651")</f>
        <v>1508214651</v>
      </c>
      <c r="E19887" t="s">
        <v>17600</v>
      </c>
    </row>
    <row r="19888" spans="1:5" x14ac:dyDescent="0.25">
      <c r="A19888" t="s">
        <v>4</v>
      </c>
      <c r="B19888" t="s">
        <v>4111</v>
      </c>
      <c r="C19888" t="s">
        <v>23490</v>
      </c>
      <c r="D19888" t="str">
        <f>HYPERLINK("https://rhld.insurance.arkansas.gov/NPILookup?Npi=1508216300","1508216300")</f>
        <v>1508216300</v>
      </c>
      <c r="E19888" t="s">
        <v>13567</v>
      </c>
    </row>
    <row r="19889" spans="1:5" x14ac:dyDescent="0.25">
      <c r="A19889" t="s">
        <v>4</v>
      </c>
      <c r="B19889" t="s">
        <v>4111</v>
      </c>
      <c r="C19889" t="s">
        <v>23490</v>
      </c>
      <c r="D19889" t="str">
        <f>HYPERLINK("https://rhld.insurance.arkansas.gov/NPILookup?Npi=1508216664","1508216664")</f>
        <v>1508216664</v>
      </c>
      <c r="E19889" t="s">
        <v>9111</v>
      </c>
    </row>
    <row r="19890" spans="1:5" x14ac:dyDescent="0.25">
      <c r="A19890" t="s">
        <v>4</v>
      </c>
      <c r="B19890" t="s">
        <v>4111</v>
      </c>
      <c r="C19890" t="s">
        <v>23490</v>
      </c>
      <c r="D19890" t="str">
        <f>HYPERLINK("https://rhld.insurance.arkansas.gov/NPILookup?Npi=1508226788","1508226788")</f>
        <v>1508226788</v>
      </c>
      <c r="E19890" t="s">
        <v>19247</v>
      </c>
    </row>
    <row r="19891" spans="1:5" x14ac:dyDescent="0.25">
      <c r="A19891" t="s">
        <v>4</v>
      </c>
      <c r="B19891" t="s">
        <v>4111</v>
      </c>
      <c r="C19891" t="s">
        <v>23490</v>
      </c>
      <c r="D19891" t="str">
        <f>HYPERLINK("https://rhld.insurance.arkansas.gov/NPILookup?Npi=1508240003","1508240003")</f>
        <v>1508240003</v>
      </c>
      <c r="E19891" t="s">
        <v>14097</v>
      </c>
    </row>
    <row r="19892" spans="1:5" x14ac:dyDescent="0.25">
      <c r="A19892" t="s">
        <v>4</v>
      </c>
      <c r="B19892" t="s">
        <v>4111</v>
      </c>
      <c r="C19892" t="s">
        <v>23490</v>
      </c>
      <c r="D19892" t="str">
        <f>HYPERLINK("https://rhld.insurance.arkansas.gov/NPILookup?Npi=1508282831","1508282831")</f>
        <v>1508282831</v>
      </c>
      <c r="E19892" t="s">
        <v>11718</v>
      </c>
    </row>
    <row r="19893" spans="1:5" x14ac:dyDescent="0.25">
      <c r="A19893" t="s">
        <v>4</v>
      </c>
      <c r="B19893" t="s">
        <v>4111</v>
      </c>
      <c r="C19893" t="s">
        <v>23490</v>
      </c>
      <c r="D19893" t="str">
        <f>HYPERLINK("https://rhld.insurance.arkansas.gov/NPILookup?Npi=1508298845","1508298845")</f>
        <v>1508298845</v>
      </c>
      <c r="E19893" t="s">
        <v>11719</v>
      </c>
    </row>
    <row r="19894" spans="1:5" x14ac:dyDescent="0.25">
      <c r="A19894" t="s">
        <v>4</v>
      </c>
      <c r="B19894" t="s">
        <v>4111</v>
      </c>
      <c r="C19894" t="s">
        <v>23490</v>
      </c>
      <c r="D19894" t="str">
        <f>HYPERLINK("https://rhld.insurance.arkansas.gov/NPILookup?Npi=1508303322","1508303322")</f>
        <v>1508303322</v>
      </c>
      <c r="E19894" t="s">
        <v>14098</v>
      </c>
    </row>
    <row r="19895" spans="1:5" x14ac:dyDescent="0.25">
      <c r="A19895" t="s">
        <v>4</v>
      </c>
      <c r="B19895" t="s">
        <v>4111</v>
      </c>
      <c r="C19895" t="s">
        <v>23490</v>
      </c>
      <c r="D19895" t="str">
        <f>HYPERLINK("https://rhld.insurance.arkansas.gov/NPILookup?Npi=1508320565","1508320565")</f>
        <v>1508320565</v>
      </c>
      <c r="E19895" t="s">
        <v>22107</v>
      </c>
    </row>
    <row r="19896" spans="1:5" x14ac:dyDescent="0.25">
      <c r="A19896" t="s">
        <v>4</v>
      </c>
      <c r="B19896" t="s">
        <v>4111</v>
      </c>
      <c r="C19896" t="s">
        <v>8427</v>
      </c>
      <c r="D19896" t="str">
        <f>HYPERLINK("https://rhld.insurance.arkansas.gov/NPILookup?Npi=1508324724","1508324724")</f>
        <v>1508324724</v>
      </c>
      <c r="E19896" t="s">
        <v>23126</v>
      </c>
    </row>
    <row r="19897" spans="1:5" x14ac:dyDescent="0.25">
      <c r="A19897" t="s">
        <v>4</v>
      </c>
      <c r="B19897" t="s">
        <v>4111</v>
      </c>
      <c r="C19897" t="s">
        <v>23490</v>
      </c>
      <c r="D19897" t="str">
        <f>HYPERLINK("https://rhld.insurance.arkansas.gov/NPILookup?Npi=1508348319","1508348319")</f>
        <v>1508348319</v>
      </c>
      <c r="E19897" t="s">
        <v>22108</v>
      </c>
    </row>
    <row r="19898" spans="1:5" x14ac:dyDescent="0.25">
      <c r="A19898" t="s">
        <v>4</v>
      </c>
      <c r="B19898" t="s">
        <v>4111</v>
      </c>
      <c r="C19898" t="s">
        <v>23490</v>
      </c>
      <c r="D19898" t="str">
        <f>HYPERLINK("https://rhld.insurance.arkansas.gov/NPILookup?Npi=1508415316","1508415316")</f>
        <v>1508415316</v>
      </c>
      <c r="E19898" t="s">
        <v>21138</v>
      </c>
    </row>
    <row r="19899" spans="1:5" x14ac:dyDescent="0.25">
      <c r="A19899" t="s">
        <v>4</v>
      </c>
      <c r="B19899" t="s">
        <v>4111</v>
      </c>
      <c r="C19899" t="s">
        <v>23490</v>
      </c>
      <c r="D19899" t="str">
        <f>HYPERLINK("https://rhld.insurance.arkansas.gov/NPILookup?Npi=1508439456","1508439456")</f>
        <v>1508439456</v>
      </c>
      <c r="E19899" t="s">
        <v>18797</v>
      </c>
    </row>
    <row r="19900" spans="1:5" x14ac:dyDescent="0.25">
      <c r="A19900" t="s">
        <v>4</v>
      </c>
      <c r="B19900" t="s">
        <v>4111</v>
      </c>
      <c r="C19900" t="s">
        <v>23490</v>
      </c>
      <c r="D19900" t="str">
        <f>HYPERLINK("https://rhld.insurance.arkansas.gov/NPILookup?Npi=1508478066","1508478066")</f>
        <v>1508478066</v>
      </c>
      <c r="E19900" t="s">
        <v>18014</v>
      </c>
    </row>
    <row r="19901" spans="1:5" x14ac:dyDescent="0.25">
      <c r="A19901" t="s">
        <v>4</v>
      </c>
      <c r="B19901" t="s">
        <v>4111</v>
      </c>
      <c r="C19901" t="s">
        <v>23490</v>
      </c>
      <c r="D19901" t="str">
        <f>HYPERLINK("https://rhld.insurance.arkansas.gov/NPILookup?Npi=1508479312","1508479312")</f>
        <v>1508479312</v>
      </c>
      <c r="E19901" t="s">
        <v>22109</v>
      </c>
    </row>
    <row r="19902" spans="1:5" x14ac:dyDescent="0.25">
      <c r="A19902" t="s">
        <v>4</v>
      </c>
      <c r="B19902" t="s">
        <v>4111</v>
      </c>
      <c r="C19902" t="s">
        <v>23490</v>
      </c>
      <c r="D19902" t="str">
        <f>HYPERLINK("https://rhld.insurance.arkansas.gov/NPILookup?Npi=1508800897","1508800897")</f>
        <v>1508800897</v>
      </c>
      <c r="E19902" t="s">
        <v>5089</v>
      </c>
    </row>
    <row r="19903" spans="1:5" x14ac:dyDescent="0.25">
      <c r="A19903" t="s">
        <v>4</v>
      </c>
      <c r="B19903" t="s">
        <v>4111</v>
      </c>
      <c r="C19903" t="s">
        <v>23490</v>
      </c>
      <c r="D19903" t="str">
        <f>HYPERLINK("https://rhld.insurance.arkansas.gov/NPILookup?Npi=1508810615","1508810615")</f>
        <v>1508810615</v>
      </c>
      <c r="E19903" t="s">
        <v>11720</v>
      </c>
    </row>
    <row r="19904" spans="1:5" x14ac:dyDescent="0.25">
      <c r="A19904" t="s">
        <v>4</v>
      </c>
      <c r="B19904" t="s">
        <v>4111</v>
      </c>
      <c r="C19904" t="s">
        <v>23490</v>
      </c>
      <c r="D19904" t="str">
        <f>HYPERLINK("https://rhld.insurance.arkansas.gov/NPILookup?Npi=1508816422","1508816422")</f>
        <v>1508816422</v>
      </c>
      <c r="E19904" t="s">
        <v>5090</v>
      </c>
    </row>
    <row r="19905" spans="1:5" x14ac:dyDescent="0.25">
      <c r="A19905" t="s">
        <v>4</v>
      </c>
      <c r="B19905" t="s">
        <v>4111</v>
      </c>
      <c r="C19905" t="s">
        <v>23490</v>
      </c>
      <c r="D19905" t="str">
        <f>HYPERLINK("https://rhld.insurance.arkansas.gov/NPILookup?Npi=1508855164","1508855164")</f>
        <v>1508855164</v>
      </c>
      <c r="E19905" t="s">
        <v>5091</v>
      </c>
    </row>
    <row r="19906" spans="1:5" x14ac:dyDescent="0.25">
      <c r="A19906" t="s">
        <v>4</v>
      </c>
      <c r="B19906" t="s">
        <v>4111</v>
      </c>
      <c r="C19906" t="s">
        <v>23490</v>
      </c>
      <c r="D19906" t="str">
        <f>HYPERLINK("https://rhld.insurance.arkansas.gov/NPILookup?Npi=1508893660","1508893660")</f>
        <v>1508893660</v>
      </c>
      <c r="E19906" t="s">
        <v>5092</v>
      </c>
    </row>
    <row r="19907" spans="1:5" x14ac:dyDescent="0.25">
      <c r="A19907" t="s">
        <v>4</v>
      </c>
      <c r="B19907" t="s">
        <v>4111</v>
      </c>
      <c r="C19907" t="s">
        <v>23490</v>
      </c>
      <c r="D19907" t="str">
        <f>HYPERLINK("https://rhld.insurance.arkansas.gov/NPILookup?Npi=1508897307","1508897307")</f>
        <v>1508897307</v>
      </c>
      <c r="E19907" t="s">
        <v>5093</v>
      </c>
    </row>
    <row r="19908" spans="1:5" x14ac:dyDescent="0.25">
      <c r="A19908" t="s">
        <v>4</v>
      </c>
      <c r="B19908" t="s">
        <v>4111</v>
      </c>
      <c r="C19908" t="s">
        <v>23490</v>
      </c>
      <c r="D19908" t="str">
        <f>HYPERLINK("https://rhld.insurance.arkansas.gov/NPILookup?Npi=1508904459","1508904459")</f>
        <v>1508904459</v>
      </c>
      <c r="E19908" t="s">
        <v>16126</v>
      </c>
    </row>
    <row r="19909" spans="1:5" x14ac:dyDescent="0.25">
      <c r="A19909" t="s">
        <v>4</v>
      </c>
      <c r="B19909" t="s">
        <v>4111</v>
      </c>
      <c r="C19909" t="s">
        <v>23490</v>
      </c>
      <c r="D19909" t="str">
        <f>HYPERLINK("https://rhld.insurance.arkansas.gov/NPILookup?Npi=1508931072","1508931072")</f>
        <v>1508931072</v>
      </c>
      <c r="E19909" t="s">
        <v>20502</v>
      </c>
    </row>
    <row r="19910" spans="1:5" x14ac:dyDescent="0.25">
      <c r="A19910" t="s">
        <v>4</v>
      </c>
      <c r="B19910" t="s">
        <v>4111</v>
      </c>
      <c r="C19910" t="s">
        <v>23490</v>
      </c>
      <c r="D19910" t="str">
        <f>HYPERLINK("https://rhld.insurance.arkansas.gov/NPILookup?Npi=1508931395","1508931395")</f>
        <v>1508931395</v>
      </c>
      <c r="E19910" t="s">
        <v>5094</v>
      </c>
    </row>
    <row r="19911" spans="1:5" x14ac:dyDescent="0.25">
      <c r="A19911" t="s">
        <v>4</v>
      </c>
      <c r="B19911" t="s">
        <v>4111</v>
      </c>
      <c r="C19911" t="s">
        <v>23490</v>
      </c>
      <c r="D19911" t="str">
        <f>HYPERLINK("https://rhld.insurance.arkansas.gov/NPILookup?Npi=1508952193","1508952193")</f>
        <v>1508952193</v>
      </c>
      <c r="E19911" t="s">
        <v>5095</v>
      </c>
    </row>
    <row r="19912" spans="1:5" x14ac:dyDescent="0.25">
      <c r="A19912" t="s">
        <v>4</v>
      </c>
      <c r="B19912" t="s">
        <v>4111</v>
      </c>
      <c r="C19912" t="s">
        <v>23490</v>
      </c>
      <c r="D19912" t="str">
        <f>HYPERLINK("https://rhld.insurance.arkansas.gov/NPILookup?Npi=1508952417","1508952417")</f>
        <v>1508952417</v>
      </c>
      <c r="E19912" t="s">
        <v>5096</v>
      </c>
    </row>
    <row r="19913" spans="1:5" x14ac:dyDescent="0.25">
      <c r="A19913" t="s">
        <v>4</v>
      </c>
      <c r="B19913" t="s">
        <v>4111</v>
      </c>
      <c r="C19913" t="s">
        <v>23490</v>
      </c>
      <c r="D19913" t="str">
        <f>HYPERLINK("https://rhld.insurance.arkansas.gov/NPILookup?Npi=1508968140","1508968140")</f>
        <v>1508968140</v>
      </c>
      <c r="E19913" t="s">
        <v>5097</v>
      </c>
    </row>
    <row r="19914" spans="1:5" x14ac:dyDescent="0.25">
      <c r="A19914" t="s">
        <v>4</v>
      </c>
      <c r="B19914" t="s">
        <v>4111</v>
      </c>
      <c r="C19914" t="s">
        <v>23490</v>
      </c>
      <c r="D19914" t="str">
        <f>HYPERLINK("https://rhld.insurance.arkansas.gov/NPILookup?Npi=1508970328","1508970328")</f>
        <v>1508970328</v>
      </c>
      <c r="E19914" t="s">
        <v>11721</v>
      </c>
    </row>
    <row r="19915" spans="1:5" x14ac:dyDescent="0.25">
      <c r="A19915" t="s">
        <v>4</v>
      </c>
      <c r="B19915" t="s">
        <v>4111</v>
      </c>
      <c r="C19915" t="s">
        <v>23490</v>
      </c>
      <c r="D19915" t="str">
        <f>HYPERLINK("https://rhld.insurance.arkansas.gov/NPILookup?Npi=1508976291","1508976291")</f>
        <v>1508976291</v>
      </c>
      <c r="E19915" t="s">
        <v>5098</v>
      </c>
    </row>
    <row r="19916" spans="1:5" x14ac:dyDescent="0.25">
      <c r="A19916" t="s">
        <v>4</v>
      </c>
      <c r="B19916" t="s">
        <v>4111</v>
      </c>
      <c r="C19916" t="s">
        <v>23490</v>
      </c>
      <c r="D19916" t="str">
        <f>HYPERLINK("https://rhld.insurance.arkansas.gov/NPILookup?Npi=1508983602","1508983602")</f>
        <v>1508983602</v>
      </c>
      <c r="E19916" t="s">
        <v>16127</v>
      </c>
    </row>
    <row r="19917" spans="1:5" x14ac:dyDescent="0.25">
      <c r="A19917" t="s">
        <v>4</v>
      </c>
      <c r="B19917" t="s">
        <v>4111</v>
      </c>
      <c r="C19917" t="s">
        <v>23490</v>
      </c>
      <c r="D19917" t="str">
        <f>HYPERLINK("https://rhld.insurance.arkansas.gov/NPILookup?Npi=1508984725","1508984725")</f>
        <v>1508984725</v>
      </c>
      <c r="E19917" t="s">
        <v>5099</v>
      </c>
    </row>
    <row r="19918" spans="1:5" x14ac:dyDescent="0.25">
      <c r="A19918" t="s">
        <v>4</v>
      </c>
      <c r="B19918" t="s">
        <v>4111</v>
      </c>
      <c r="C19918" t="s">
        <v>23490</v>
      </c>
      <c r="D19918" t="str">
        <f>HYPERLINK("https://rhld.insurance.arkansas.gov/NPILookup?Npi=1508993205","1508993205")</f>
        <v>1508993205</v>
      </c>
      <c r="E19918" t="s">
        <v>5100</v>
      </c>
    </row>
    <row r="19919" spans="1:5" x14ac:dyDescent="0.25">
      <c r="A19919" t="s">
        <v>4</v>
      </c>
      <c r="B19919" t="s">
        <v>4111</v>
      </c>
      <c r="C19919" t="s">
        <v>23490</v>
      </c>
      <c r="D19919" t="str">
        <f>HYPERLINK("https://rhld.insurance.arkansas.gov/NPILookup?Npi=1518016450","1518016450")</f>
        <v>1518016450</v>
      </c>
      <c r="E19919" t="s">
        <v>17601</v>
      </c>
    </row>
    <row r="19920" spans="1:5" x14ac:dyDescent="0.25">
      <c r="A19920" t="s">
        <v>4</v>
      </c>
      <c r="B19920" t="s">
        <v>4111</v>
      </c>
      <c r="C19920" t="s">
        <v>23490</v>
      </c>
      <c r="D19920" t="str">
        <f>HYPERLINK("https://rhld.insurance.arkansas.gov/NPILookup?Npi=1518031699","1518031699")</f>
        <v>1518031699</v>
      </c>
      <c r="E19920" t="s">
        <v>16128</v>
      </c>
    </row>
    <row r="19921" spans="1:5" x14ac:dyDescent="0.25">
      <c r="A19921" t="s">
        <v>4</v>
      </c>
      <c r="B19921" t="s">
        <v>4111</v>
      </c>
      <c r="C19921" t="s">
        <v>23490</v>
      </c>
      <c r="D19921" t="str">
        <f>HYPERLINK("https://rhld.insurance.arkansas.gov/NPILookup?Npi=1518099613","1518099613")</f>
        <v>1518099613</v>
      </c>
      <c r="E19921" t="s">
        <v>22110</v>
      </c>
    </row>
    <row r="19922" spans="1:5" x14ac:dyDescent="0.25">
      <c r="A19922" t="s">
        <v>4</v>
      </c>
      <c r="B19922" t="s">
        <v>4111</v>
      </c>
      <c r="C19922" t="s">
        <v>23490</v>
      </c>
      <c r="D19922" t="str">
        <f>HYPERLINK("https://rhld.insurance.arkansas.gov/NPILookup?Npi=1518100411","1518100411")</f>
        <v>1518100411</v>
      </c>
      <c r="E19922" t="s">
        <v>5101</v>
      </c>
    </row>
    <row r="19923" spans="1:5" x14ac:dyDescent="0.25">
      <c r="A19923" t="s">
        <v>4</v>
      </c>
      <c r="B19923" t="s">
        <v>4111</v>
      </c>
      <c r="C19923" t="s">
        <v>23490</v>
      </c>
      <c r="D19923" t="str">
        <f>HYPERLINK("https://rhld.insurance.arkansas.gov/NPILookup?Npi=1518102755","1518102755")</f>
        <v>1518102755</v>
      </c>
      <c r="E19923" t="s">
        <v>5102</v>
      </c>
    </row>
    <row r="19924" spans="1:5" x14ac:dyDescent="0.25">
      <c r="A19924" t="s">
        <v>4</v>
      </c>
      <c r="B19924" t="s">
        <v>4111</v>
      </c>
      <c r="C19924" t="s">
        <v>23490</v>
      </c>
      <c r="D19924" t="str">
        <f>HYPERLINK("https://rhld.insurance.arkansas.gov/NPILookup?Npi=1518113463","1518113463")</f>
        <v>1518113463</v>
      </c>
      <c r="E19924" t="s">
        <v>5103</v>
      </c>
    </row>
    <row r="19925" spans="1:5" x14ac:dyDescent="0.25">
      <c r="A19925" t="s">
        <v>4</v>
      </c>
      <c r="B19925" t="s">
        <v>4111</v>
      </c>
      <c r="C19925" t="s">
        <v>23490</v>
      </c>
      <c r="D19925" t="str">
        <f>HYPERLINK("https://rhld.insurance.arkansas.gov/NPILookup?Npi=1518114990","1518114990")</f>
        <v>1518114990</v>
      </c>
      <c r="E19925" t="s">
        <v>17179</v>
      </c>
    </row>
    <row r="19926" spans="1:5" x14ac:dyDescent="0.25">
      <c r="A19926" t="s">
        <v>4</v>
      </c>
      <c r="B19926" t="s">
        <v>4111</v>
      </c>
      <c r="C19926" t="s">
        <v>23490</v>
      </c>
      <c r="D19926" t="str">
        <f>HYPERLINK("https://rhld.insurance.arkansas.gov/NPILookup?Npi=1518116649","1518116649")</f>
        <v>1518116649</v>
      </c>
      <c r="E19926" t="s">
        <v>23127</v>
      </c>
    </row>
    <row r="19927" spans="1:5" x14ac:dyDescent="0.25">
      <c r="A19927" t="s">
        <v>4</v>
      </c>
      <c r="B19927" t="s">
        <v>4111</v>
      </c>
      <c r="C19927" t="s">
        <v>23490</v>
      </c>
      <c r="D19927" t="str">
        <f>HYPERLINK("https://rhld.insurance.arkansas.gov/NPILookup?Npi=1518116987","1518116987")</f>
        <v>1518116987</v>
      </c>
      <c r="E19927" t="s">
        <v>16129</v>
      </c>
    </row>
    <row r="19928" spans="1:5" x14ac:dyDescent="0.25">
      <c r="A19928" t="s">
        <v>4</v>
      </c>
      <c r="B19928" t="s">
        <v>4111</v>
      </c>
      <c r="C19928" t="s">
        <v>23490</v>
      </c>
      <c r="D19928" t="str">
        <f>HYPERLINK("https://rhld.insurance.arkansas.gov/NPILookup?Npi=1518124825","1518124825")</f>
        <v>1518124825</v>
      </c>
      <c r="E19928" t="s">
        <v>4588</v>
      </c>
    </row>
    <row r="19929" spans="1:5" x14ac:dyDescent="0.25">
      <c r="A19929" t="s">
        <v>4</v>
      </c>
      <c r="B19929" t="s">
        <v>4111</v>
      </c>
      <c r="C19929" t="s">
        <v>23490</v>
      </c>
      <c r="D19929" t="str">
        <f>HYPERLINK("https://rhld.insurance.arkansas.gov/NPILookup?Npi=1518129618","1518129618")</f>
        <v>1518129618</v>
      </c>
      <c r="E19929" t="s">
        <v>5104</v>
      </c>
    </row>
    <row r="19930" spans="1:5" x14ac:dyDescent="0.25">
      <c r="A19930" t="s">
        <v>4</v>
      </c>
      <c r="B19930" t="s">
        <v>4111</v>
      </c>
      <c r="C19930" t="s">
        <v>23490</v>
      </c>
      <c r="D19930" t="str">
        <f>HYPERLINK("https://rhld.insurance.arkansas.gov/NPILookup?Npi=1518160589","1518160589")</f>
        <v>1518160589</v>
      </c>
      <c r="E19930" t="s">
        <v>5105</v>
      </c>
    </row>
    <row r="19931" spans="1:5" x14ac:dyDescent="0.25">
      <c r="A19931" t="s">
        <v>4</v>
      </c>
      <c r="B19931" t="s">
        <v>4111</v>
      </c>
      <c r="C19931" t="s">
        <v>23490</v>
      </c>
      <c r="D19931" t="str">
        <f>HYPERLINK("https://rhld.insurance.arkansas.gov/NPILookup?Npi=1518162981","1518162981")</f>
        <v>1518162981</v>
      </c>
      <c r="E19931" t="s">
        <v>5106</v>
      </c>
    </row>
    <row r="19932" spans="1:5" x14ac:dyDescent="0.25">
      <c r="A19932" t="s">
        <v>4</v>
      </c>
      <c r="B19932" t="s">
        <v>4111</v>
      </c>
      <c r="C19932" t="s">
        <v>23490</v>
      </c>
      <c r="D19932" t="str">
        <f>HYPERLINK("https://rhld.insurance.arkansas.gov/NPILookup?Npi=1518196005","1518196005")</f>
        <v>1518196005</v>
      </c>
      <c r="E19932" t="s">
        <v>5107</v>
      </c>
    </row>
    <row r="19933" spans="1:5" x14ac:dyDescent="0.25">
      <c r="A19933" t="s">
        <v>4</v>
      </c>
      <c r="B19933" t="s">
        <v>4111</v>
      </c>
      <c r="C19933" t="s">
        <v>23490</v>
      </c>
      <c r="D19933" t="str">
        <f>HYPERLINK("https://rhld.insurance.arkansas.gov/NPILookup?Npi=1518211473","1518211473")</f>
        <v>1518211473</v>
      </c>
      <c r="E19933" t="s">
        <v>17602</v>
      </c>
    </row>
    <row r="19934" spans="1:5" x14ac:dyDescent="0.25">
      <c r="A19934" t="s">
        <v>4</v>
      </c>
      <c r="B19934" t="s">
        <v>4111</v>
      </c>
      <c r="C19934" t="s">
        <v>23490</v>
      </c>
      <c r="D19934" t="str">
        <f>HYPERLINK("https://rhld.insurance.arkansas.gov/NPILookup?Npi=1518216209","1518216209")</f>
        <v>1518216209</v>
      </c>
      <c r="E19934" t="s">
        <v>11722</v>
      </c>
    </row>
    <row r="19935" spans="1:5" x14ac:dyDescent="0.25">
      <c r="A19935" t="s">
        <v>4</v>
      </c>
      <c r="B19935" t="s">
        <v>4111</v>
      </c>
      <c r="C19935" t="s">
        <v>23490</v>
      </c>
      <c r="D19935" t="str">
        <f>HYPERLINK("https://rhld.insurance.arkansas.gov/NPILookup?Npi=1518237346","1518237346")</f>
        <v>1518237346</v>
      </c>
      <c r="E19935" t="s">
        <v>14099</v>
      </c>
    </row>
    <row r="19936" spans="1:5" x14ac:dyDescent="0.25">
      <c r="A19936" t="s">
        <v>4</v>
      </c>
      <c r="B19936" t="s">
        <v>4111</v>
      </c>
      <c r="C19936" t="s">
        <v>23490</v>
      </c>
      <c r="D19936" t="str">
        <f>HYPERLINK("https://rhld.insurance.arkansas.gov/NPILookup?Npi=1518246438","1518246438")</f>
        <v>1518246438</v>
      </c>
      <c r="E19936" t="s">
        <v>14100</v>
      </c>
    </row>
    <row r="19937" spans="1:5" x14ac:dyDescent="0.25">
      <c r="A19937" t="s">
        <v>4</v>
      </c>
      <c r="B19937" t="s">
        <v>4111</v>
      </c>
      <c r="C19937" t="s">
        <v>23490</v>
      </c>
      <c r="D19937" t="str">
        <f>HYPERLINK("https://rhld.insurance.arkansas.gov/NPILookup?Npi=1518271477","1518271477")</f>
        <v>1518271477</v>
      </c>
      <c r="E19937" t="s">
        <v>9112</v>
      </c>
    </row>
    <row r="19938" spans="1:5" x14ac:dyDescent="0.25">
      <c r="A19938" t="s">
        <v>4</v>
      </c>
      <c r="B19938" t="s">
        <v>4111</v>
      </c>
      <c r="C19938" t="s">
        <v>23490</v>
      </c>
      <c r="D19938" t="str">
        <f>HYPERLINK("https://rhld.insurance.arkansas.gov/NPILookup?Npi=1518280585","1518280585")</f>
        <v>1518280585</v>
      </c>
      <c r="E19938" t="s">
        <v>14101</v>
      </c>
    </row>
    <row r="19939" spans="1:5" x14ac:dyDescent="0.25">
      <c r="A19939" t="s">
        <v>4</v>
      </c>
      <c r="B19939" t="s">
        <v>4111</v>
      </c>
      <c r="C19939" t="s">
        <v>23490</v>
      </c>
      <c r="D19939" t="str">
        <f>HYPERLINK("https://rhld.insurance.arkansas.gov/NPILookup?Npi=1518290535","1518290535")</f>
        <v>1518290535</v>
      </c>
      <c r="E19939" t="s">
        <v>5108</v>
      </c>
    </row>
    <row r="19940" spans="1:5" x14ac:dyDescent="0.25">
      <c r="A19940" t="s">
        <v>4</v>
      </c>
      <c r="B19940" t="s">
        <v>4111</v>
      </c>
      <c r="C19940" t="s">
        <v>23490</v>
      </c>
      <c r="D19940" t="str">
        <f>HYPERLINK("https://rhld.insurance.arkansas.gov/NPILookup?Npi=1518306158","1518306158")</f>
        <v>1518306158</v>
      </c>
      <c r="E19940" t="s">
        <v>5109</v>
      </c>
    </row>
    <row r="19941" spans="1:5" x14ac:dyDescent="0.25">
      <c r="A19941" t="s">
        <v>4</v>
      </c>
      <c r="B19941" t="s">
        <v>4111</v>
      </c>
      <c r="C19941" t="s">
        <v>23490</v>
      </c>
      <c r="D19941" t="str">
        <f>HYPERLINK("https://rhld.insurance.arkansas.gov/NPILookup?Npi=1518308014","1518308014")</f>
        <v>1518308014</v>
      </c>
      <c r="E19941" t="s">
        <v>14102</v>
      </c>
    </row>
    <row r="19942" spans="1:5" x14ac:dyDescent="0.25">
      <c r="A19942" t="s">
        <v>4</v>
      </c>
      <c r="B19942" t="s">
        <v>4111</v>
      </c>
      <c r="C19942" t="s">
        <v>23490</v>
      </c>
      <c r="D19942" t="str">
        <f>HYPERLINK("https://rhld.insurance.arkansas.gov/NPILookup?Npi=1518315886","1518315886")</f>
        <v>1518315886</v>
      </c>
      <c r="E19942" t="s">
        <v>16130</v>
      </c>
    </row>
    <row r="19943" spans="1:5" x14ac:dyDescent="0.25">
      <c r="A19943" t="s">
        <v>4</v>
      </c>
      <c r="B19943" t="s">
        <v>4111</v>
      </c>
      <c r="C19943" t="s">
        <v>23490</v>
      </c>
      <c r="D19943" t="str">
        <f>HYPERLINK("https://rhld.insurance.arkansas.gov/NPILookup?Npi=1518329267","1518329267")</f>
        <v>1518329267</v>
      </c>
      <c r="E19943" t="s">
        <v>16131</v>
      </c>
    </row>
    <row r="19944" spans="1:5" x14ac:dyDescent="0.25">
      <c r="A19944" t="s">
        <v>4</v>
      </c>
      <c r="B19944" t="s">
        <v>4111</v>
      </c>
      <c r="C19944" t="s">
        <v>23490</v>
      </c>
      <c r="D19944" t="str">
        <f>HYPERLINK("https://rhld.insurance.arkansas.gov/NPILookup?Npi=1518342773","1518342773")</f>
        <v>1518342773</v>
      </c>
      <c r="E19944" t="s">
        <v>22111</v>
      </c>
    </row>
    <row r="19945" spans="1:5" x14ac:dyDescent="0.25">
      <c r="A19945" t="s">
        <v>4</v>
      </c>
      <c r="B19945" t="s">
        <v>4111</v>
      </c>
      <c r="C19945" t="s">
        <v>23490</v>
      </c>
      <c r="D19945" t="str">
        <f>HYPERLINK("https://rhld.insurance.arkansas.gov/NPILookup?Npi=1518347269","1518347269")</f>
        <v>1518347269</v>
      </c>
      <c r="E19945" t="s">
        <v>22112</v>
      </c>
    </row>
    <row r="19946" spans="1:5" x14ac:dyDescent="0.25">
      <c r="A19946" t="s">
        <v>4</v>
      </c>
      <c r="B19946" t="s">
        <v>4111</v>
      </c>
      <c r="C19946" t="s">
        <v>23490</v>
      </c>
      <c r="D19946" t="str">
        <f>HYPERLINK("https://rhld.insurance.arkansas.gov/NPILookup?Npi=1518365469","1518365469")</f>
        <v>1518365469</v>
      </c>
      <c r="E19946" t="s">
        <v>13149</v>
      </c>
    </row>
    <row r="19947" spans="1:5" x14ac:dyDescent="0.25">
      <c r="A19947" t="s">
        <v>4</v>
      </c>
      <c r="B19947" t="s">
        <v>4111</v>
      </c>
      <c r="C19947" t="s">
        <v>23490</v>
      </c>
      <c r="D19947" t="str">
        <f>HYPERLINK("https://rhld.insurance.arkansas.gov/NPILookup?Npi=1518373802","1518373802")</f>
        <v>1518373802</v>
      </c>
      <c r="E19947" t="s">
        <v>18359</v>
      </c>
    </row>
    <row r="19948" spans="1:5" x14ac:dyDescent="0.25">
      <c r="A19948" t="s">
        <v>4</v>
      </c>
      <c r="B19948" t="s">
        <v>4111</v>
      </c>
      <c r="C19948" t="s">
        <v>23490</v>
      </c>
      <c r="D19948" t="str">
        <f>HYPERLINK("https://rhld.insurance.arkansas.gov/NPILookup?Npi=1518374289","1518374289")</f>
        <v>1518374289</v>
      </c>
      <c r="E19948" t="s">
        <v>22113</v>
      </c>
    </row>
    <row r="19949" spans="1:5" x14ac:dyDescent="0.25">
      <c r="A19949" t="s">
        <v>4</v>
      </c>
      <c r="B19949" t="s">
        <v>4111</v>
      </c>
      <c r="C19949" t="s">
        <v>23490</v>
      </c>
      <c r="D19949" t="str">
        <f>HYPERLINK("https://rhld.insurance.arkansas.gov/NPILookup?Npi=1518424472","1518424472")</f>
        <v>1518424472</v>
      </c>
      <c r="E19949" t="s">
        <v>22114</v>
      </c>
    </row>
    <row r="19950" spans="1:5" x14ac:dyDescent="0.25">
      <c r="A19950" t="s">
        <v>4</v>
      </c>
      <c r="B19950" t="s">
        <v>4111</v>
      </c>
      <c r="C19950" t="s">
        <v>23490</v>
      </c>
      <c r="D19950" t="str">
        <f>HYPERLINK("https://rhld.insurance.arkansas.gov/NPILookup?Npi=1518429182","1518429182")</f>
        <v>1518429182</v>
      </c>
      <c r="E19950" t="s">
        <v>18983</v>
      </c>
    </row>
    <row r="19951" spans="1:5" x14ac:dyDescent="0.25">
      <c r="A19951" t="s">
        <v>4</v>
      </c>
      <c r="B19951" t="s">
        <v>4111</v>
      </c>
      <c r="C19951" t="s">
        <v>23490</v>
      </c>
      <c r="D19951" t="str">
        <f>HYPERLINK("https://rhld.insurance.arkansas.gov/NPILookup?Npi=1518434745","1518434745")</f>
        <v>1518434745</v>
      </c>
      <c r="E19951" t="s">
        <v>14103</v>
      </c>
    </row>
    <row r="19952" spans="1:5" x14ac:dyDescent="0.25">
      <c r="A19952" t="s">
        <v>4</v>
      </c>
      <c r="B19952" t="s">
        <v>4111</v>
      </c>
      <c r="C19952" t="s">
        <v>23490</v>
      </c>
      <c r="D19952" t="str">
        <f>HYPERLINK("https://rhld.insurance.arkansas.gov/NPILookup?Npi=1518488022","1518488022")</f>
        <v>1518488022</v>
      </c>
      <c r="E19952" t="s">
        <v>11723</v>
      </c>
    </row>
    <row r="19953" spans="1:5" x14ac:dyDescent="0.25">
      <c r="A19953" t="s">
        <v>4</v>
      </c>
      <c r="B19953" t="s">
        <v>4111</v>
      </c>
      <c r="C19953" t="s">
        <v>23490</v>
      </c>
      <c r="D19953" t="str">
        <f>HYPERLINK("https://rhld.insurance.arkansas.gov/NPILookup?Npi=1518528975","1518528975")</f>
        <v>1518528975</v>
      </c>
      <c r="E19953" t="s">
        <v>18360</v>
      </c>
    </row>
    <row r="19954" spans="1:5" x14ac:dyDescent="0.25">
      <c r="A19954" t="s">
        <v>4</v>
      </c>
      <c r="B19954" t="s">
        <v>4111</v>
      </c>
      <c r="C19954" t="s">
        <v>23490</v>
      </c>
      <c r="D19954" t="str">
        <f>HYPERLINK("https://rhld.insurance.arkansas.gov/NPILookup?Npi=1518531938","1518531938")</f>
        <v>1518531938</v>
      </c>
      <c r="E19954" t="s">
        <v>18984</v>
      </c>
    </row>
    <row r="19955" spans="1:5" x14ac:dyDescent="0.25">
      <c r="A19955" t="s">
        <v>4</v>
      </c>
      <c r="B19955" t="s">
        <v>4111</v>
      </c>
      <c r="C19955" t="s">
        <v>23490</v>
      </c>
      <c r="D19955" t="str">
        <f>HYPERLINK("https://rhld.insurance.arkansas.gov/NPILookup?Npi=1518542935","1518542935")</f>
        <v>1518542935</v>
      </c>
      <c r="E19955" t="s">
        <v>22115</v>
      </c>
    </row>
    <row r="19956" spans="1:5" x14ac:dyDescent="0.25">
      <c r="A19956" t="s">
        <v>4</v>
      </c>
      <c r="B19956" t="s">
        <v>4111</v>
      </c>
      <c r="C19956" t="s">
        <v>23490</v>
      </c>
      <c r="D19956" t="str">
        <f>HYPERLINK("https://rhld.insurance.arkansas.gov/NPILookup?Npi=1518546027","1518546027")</f>
        <v>1518546027</v>
      </c>
      <c r="E19956" t="s">
        <v>18985</v>
      </c>
    </row>
    <row r="19957" spans="1:5" x14ac:dyDescent="0.25">
      <c r="A19957" t="s">
        <v>4</v>
      </c>
      <c r="B19957" t="s">
        <v>4111</v>
      </c>
      <c r="C19957" t="s">
        <v>23490</v>
      </c>
      <c r="D19957" t="str">
        <f>HYPERLINK("https://rhld.insurance.arkansas.gov/NPILookup?Npi=1518553304","1518553304")</f>
        <v>1518553304</v>
      </c>
      <c r="E19957" t="s">
        <v>18361</v>
      </c>
    </row>
    <row r="19958" spans="1:5" x14ac:dyDescent="0.25">
      <c r="A19958" t="s">
        <v>4</v>
      </c>
      <c r="B19958" t="s">
        <v>4111</v>
      </c>
      <c r="C19958" t="s">
        <v>23490</v>
      </c>
      <c r="D19958" t="str">
        <f>HYPERLINK("https://rhld.insurance.arkansas.gov/NPILookup?Npi=1518599091","1518599091")</f>
        <v>1518599091</v>
      </c>
      <c r="E19958" t="s">
        <v>20503</v>
      </c>
    </row>
    <row r="19959" spans="1:5" x14ac:dyDescent="0.25">
      <c r="A19959" t="s">
        <v>4</v>
      </c>
      <c r="B19959" t="s">
        <v>4111</v>
      </c>
      <c r="C19959" t="s">
        <v>8427</v>
      </c>
      <c r="D19959" t="str">
        <f>HYPERLINK("https://rhld.insurance.arkansas.gov/NPILookup?Npi=1518607340","1518607340")</f>
        <v>1518607340</v>
      </c>
      <c r="E19959" t="s">
        <v>23128</v>
      </c>
    </row>
    <row r="19960" spans="1:5" x14ac:dyDescent="0.25">
      <c r="A19960" t="s">
        <v>4</v>
      </c>
      <c r="B19960" t="s">
        <v>4111</v>
      </c>
      <c r="C19960" t="s">
        <v>23490</v>
      </c>
      <c r="D19960" t="str">
        <f>HYPERLINK("https://rhld.insurance.arkansas.gov/NPILookup?Npi=1518615459","1518615459")</f>
        <v>1518615459</v>
      </c>
      <c r="E19960" t="s">
        <v>22116</v>
      </c>
    </row>
    <row r="19961" spans="1:5" x14ac:dyDescent="0.25">
      <c r="A19961" t="s">
        <v>4</v>
      </c>
      <c r="B19961" t="s">
        <v>4111</v>
      </c>
      <c r="C19961" t="s">
        <v>23490</v>
      </c>
      <c r="D19961" t="str">
        <f>HYPERLINK("https://rhld.insurance.arkansas.gov/NPILookup?Npi=1518909605","1518909605")</f>
        <v>1518909605</v>
      </c>
      <c r="E19961" t="s">
        <v>5110</v>
      </c>
    </row>
    <row r="19962" spans="1:5" x14ac:dyDescent="0.25">
      <c r="A19962" t="s">
        <v>4</v>
      </c>
      <c r="B19962" t="s">
        <v>4111</v>
      </c>
      <c r="C19962" t="s">
        <v>23490</v>
      </c>
      <c r="D19962" t="str">
        <f>HYPERLINK("https://rhld.insurance.arkansas.gov/NPILookup?Npi=1518924471","1518924471")</f>
        <v>1518924471</v>
      </c>
      <c r="E19962" t="s">
        <v>5111</v>
      </c>
    </row>
    <row r="19963" spans="1:5" x14ac:dyDescent="0.25">
      <c r="A19963" t="s">
        <v>4</v>
      </c>
      <c r="B19963" t="s">
        <v>4111</v>
      </c>
      <c r="C19963" t="s">
        <v>23490</v>
      </c>
      <c r="D19963" t="str">
        <f>HYPERLINK("https://rhld.insurance.arkansas.gov/NPILookup?Npi=1518926336","1518926336")</f>
        <v>1518926336</v>
      </c>
      <c r="E19963" t="s">
        <v>5112</v>
      </c>
    </row>
    <row r="19964" spans="1:5" x14ac:dyDescent="0.25">
      <c r="A19964" t="s">
        <v>4</v>
      </c>
      <c r="B19964" t="s">
        <v>4111</v>
      </c>
      <c r="C19964" t="s">
        <v>23490</v>
      </c>
      <c r="D19964" t="str">
        <f>HYPERLINK("https://rhld.insurance.arkansas.gov/NPILookup?Npi=1518938224","1518938224")</f>
        <v>1518938224</v>
      </c>
      <c r="E19964" t="s">
        <v>22117</v>
      </c>
    </row>
    <row r="19965" spans="1:5" x14ac:dyDescent="0.25">
      <c r="A19965" t="s">
        <v>4</v>
      </c>
      <c r="B19965" t="s">
        <v>4111</v>
      </c>
      <c r="C19965" t="s">
        <v>23490</v>
      </c>
      <c r="D19965" t="str">
        <f>HYPERLINK("https://rhld.insurance.arkansas.gov/NPILookup?Npi=1518939784","1518939784")</f>
        <v>1518939784</v>
      </c>
      <c r="E19965" t="s">
        <v>16132</v>
      </c>
    </row>
    <row r="19966" spans="1:5" x14ac:dyDescent="0.25">
      <c r="A19966" t="s">
        <v>4</v>
      </c>
      <c r="B19966" t="s">
        <v>4111</v>
      </c>
      <c r="C19966" t="s">
        <v>23490</v>
      </c>
      <c r="D19966" t="str">
        <f>HYPERLINK("https://rhld.insurance.arkansas.gov/NPILookup?Npi=1518964501","1518964501")</f>
        <v>1518964501</v>
      </c>
      <c r="E19966" t="s">
        <v>5113</v>
      </c>
    </row>
    <row r="19967" spans="1:5" x14ac:dyDescent="0.25">
      <c r="A19967" t="s">
        <v>4</v>
      </c>
      <c r="B19967" t="s">
        <v>4111</v>
      </c>
      <c r="C19967" t="s">
        <v>23490</v>
      </c>
      <c r="D19967" t="str">
        <f>HYPERLINK("https://rhld.insurance.arkansas.gov/NPILookup?Npi=1518976646","1518976646")</f>
        <v>1518976646</v>
      </c>
      <c r="E19967" t="s">
        <v>5114</v>
      </c>
    </row>
    <row r="19968" spans="1:5" x14ac:dyDescent="0.25">
      <c r="A19968" t="s">
        <v>4</v>
      </c>
      <c r="B19968" t="s">
        <v>4111</v>
      </c>
      <c r="C19968" t="s">
        <v>23490</v>
      </c>
      <c r="D19968" t="str">
        <f>HYPERLINK("https://rhld.insurance.arkansas.gov/NPILookup?Npi=1518979293","1518979293")</f>
        <v>1518979293</v>
      </c>
      <c r="E19968" t="s">
        <v>5115</v>
      </c>
    </row>
    <row r="19969" spans="1:5" x14ac:dyDescent="0.25">
      <c r="A19969" t="s">
        <v>4</v>
      </c>
      <c r="B19969" t="s">
        <v>4111</v>
      </c>
      <c r="C19969" t="s">
        <v>23490</v>
      </c>
      <c r="D19969" t="str">
        <f>HYPERLINK("https://rhld.insurance.arkansas.gov/NPILookup?Npi=1518983196","1518983196")</f>
        <v>1518983196</v>
      </c>
      <c r="E19969" t="s">
        <v>5116</v>
      </c>
    </row>
    <row r="19970" spans="1:5" x14ac:dyDescent="0.25">
      <c r="A19970" t="s">
        <v>4</v>
      </c>
      <c r="B19970" t="s">
        <v>4111</v>
      </c>
      <c r="C19970" t="s">
        <v>23490</v>
      </c>
      <c r="D19970" t="str">
        <f>HYPERLINK("https://rhld.insurance.arkansas.gov/NPILookup?Npi=1518992163","1518992163")</f>
        <v>1518992163</v>
      </c>
      <c r="E19970" t="s">
        <v>5117</v>
      </c>
    </row>
    <row r="19971" spans="1:5" x14ac:dyDescent="0.25">
      <c r="A19971" t="s">
        <v>4</v>
      </c>
      <c r="B19971" t="s">
        <v>4111</v>
      </c>
      <c r="C19971" t="s">
        <v>23490</v>
      </c>
      <c r="D19971" t="str">
        <f>HYPERLINK("https://rhld.insurance.arkansas.gov/NPILookup?Npi=1518995208","1518995208")</f>
        <v>1518995208</v>
      </c>
      <c r="E19971" t="s">
        <v>22118</v>
      </c>
    </row>
    <row r="19972" spans="1:5" x14ac:dyDescent="0.25">
      <c r="A19972" t="s">
        <v>4</v>
      </c>
      <c r="B19972" t="s">
        <v>4111</v>
      </c>
      <c r="C19972" t="s">
        <v>23490</v>
      </c>
      <c r="D19972" t="str">
        <f>HYPERLINK("https://rhld.insurance.arkansas.gov/NPILookup?Npi=1528001955","1528001955")</f>
        <v>1528001955</v>
      </c>
      <c r="E19972" t="s">
        <v>5118</v>
      </c>
    </row>
    <row r="19973" spans="1:5" x14ac:dyDescent="0.25">
      <c r="A19973" t="s">
        <v>4</v>
      </c>
      <c r="B19973" t="s">
        <v>4111</v>
      </c>
      <c r="C19973" t="s">
        <v>23490</v>
      </c>
      <c r="D19973" t="str">
        <f>HYPERLINK("https://rhld.insurance.arkansas.gov/NPILookup?Npi=1528002078","1528002078")</f>
        <v>1528002078</v>
      </c>
      <c r="E19973" t="s">
        <v>5119</v>
      </c>
    </row>
    <row r="19974" spans="1:5" x14ac:dyDescent="0.25">
      <c r="A19974" t="s">
        <v>4</v>
      </c>
      <c r="B19974" t="s">
        <v>4111</v>
      </c>
      <c r="C19974" t="s">
        <v>23490</v>
      </c>
      <c r="D19974" t="str">
        <f>HYPERLINK("https://rhld.insurance.arkansas.gov/NPILookup?Npi=1528030723","1528030723")</f>
        <v>1528030723</v>
      </c>
      <c r="E19974" t="s">
        <v>5120</v>
      </c>
    </row>
    <row r="19975" spans="1:5" x14ac:dyDescent="0.25">
      <c r="A19975" t="s">
        <v>4</v>
      </c>
      <c r="B19975" t="s">
        <v>4111</v>
      </c>
      <c r="C19975" t="s">
        <v>23490</v>
      </c>
      <c r="D19975" t="str">
        <f>HYPERLINK("https://rhld.insurance.arkansas.gov/NPILookup?Npi=1528051687","1528051687")</f>
        <v>1528051687</v>
      </c>
      <c r="E19975" t="s">
        <v>5121</v>
      </c>
    </row>
    <row r="19976" spans="1:5" x14ac:dyDescent="0.25">
      <c r="A19976" t="s">
        <v>4</v>
      </c>
      <c r="B19976" t="s">
        <v>4111</v>
      </c>
      <c r="C19976" t="s">
        <v>23490</v>
      </c>
      <c r="D19976" t="str">
        <f>HYPERLINK("https://rhld.insurance.arkansas.gov/NPILookup?Npi=1528059516","1528059516")</f>
        <v>1528059516</v>
      </c>
      <c r="E19976" t="s">
        <v>16133</v>
      </c>
    </row>
    <row r="19977" spans="1:5" x14ac:dyDescent="0.25">
      <c r="A19977" t="s">
        <v>4</v>
      </c>
      <c r="B19977" t="s">
        <v>4111</v>
      </c>
      <c r="C19977" t="s">
        <v>23490</v>
      </c>
      <c r="D19977" t="str">
        <f>HYPERLINK("https://rhld.insurance.arkansas.gov/NPILookup?Npi=1528082096","1528082096")</f>
        <v>1528082096</v>
      </c>
      <c r="E19977" t="s">
        <v>5122</v>
      </c>
    </row>
    <row r="19978" spans="1:5" x14ac:dyDescent="0.25">
      <c r="A19978" t="s">
        <v>4</v>
      </c>
      <c r="B19978" t="s">
        <v>4111</v>
      </c>
      <c r="C19978" t="s">
        <v>8427</v>
      </c>
      <c r="D19978" t="str">
        <f>HYPERLINK("https://rhld.insurance.arkansas.gov/NPILookup?Npi=1528100146","1528100146")</f>
        <v>1528100146</v>
      </c>
      <c r="E19978" t="s">
        <v>23129</v>
      </c>
    </row>
    <row r="19979" spans="1:5" x14ac:dyDescent="0.25">
      <c r="A19979" t="s">
        <v>4</v>
      </c>
      <c r="B19979" t="s">
        <v>4111</v>
      </c>
      <c r="C19979" t="s">
        <v>23490</v>
      </c>
      <c r="D19979" t="str">
        <f>HYPERLINK("https://rhld.insurance.arkansas.gov/NPILookup?Npi=1528101888","1528101888")</f>
        <v>1528101888</v>
      </c>
      <c r="E19979" t="s">
        <v>16134</v>
      </c>
    </row>
    <row r="19980" spans="1:5" x14ac:dyDescent="0.25">
      <c r="A19980" t="s">
        <v>4</v>
      </c>
      <c r="B19980" t="s">
        <v>4111</v>
      </c>
      <c r="C19980" t="s">
        <v>23490</v>
      </c>
      <c r="D19980" t="str">
        <f>HYPERLINK("https://rhld.insurance.arkansas.gov/NPILookup?Npi=1528142817","1528142817")</f>
        <v>1528142817</v>
      </c>
      <c r="E19980" t="s">
        <v>5123</v>
      </c>
    </row>
    <row r="19981" spans="1:5" x14ac:dyDescent="0.25">
      <c r="A19981" t="s">
        <v>4</v>
      </c>
      <c r="B19981" t="s">
        <v>4111</v>
      </c>
      <c r="C19981" t="s">
        <v>23490</v>
      </c>
      <c r="D19981" t="str">
        <f>HYPERLINK("https://rhld.insurance.arkansas.gov/NPILookup?Npi=1528158706","1528158706")</f>
        <v>1528158706</v>
      </c>
      <c r="E19981" t="s">
        <v>14104</v>
      </c>
    </row>
    <row r="19982" spans="1:5" x14ac:dyDescent="0.25">
      <c r="A19982" t="s">
        <v>4</v>
      </c>
      <c r="B19982" t="s">
        <v>4111</v>
      </c>
      <c r="C19982" t="s">
        <v>23490</v>
      </c>
      <c r="D19982" t="str">
        <f>HYPERLINK("https://rhld.insurance.arkansas.gov/NPILookup?Npi=1528168200","1528168200")</f>
        <v>1528168200</v>
      </c>
      <c r="E19982" t="s">
        <v>5124</v>
      </c>
    </row>
    <row r="19983" spans="1:5" x14ac:dyDescent="0.25">
      <c r="A19983" t="s">
        <v>4</v>
      </c>
      <c r="B19983" t="s">
        <v>4111</v>
      </c>
      <c r="C19983" t="s">
        <v>23490</v>
      </c>
      <c r="D19983" t="str">
        <f>HYPERLINK("https://rhld.insurance.arkansas.gov/NPILookup?Npi=1528182953","1528182953")</f>
        <v>1528182953</v>
      </c>
      <c r="E19983" t="s">
        <v>5125</v>
      </c>
    </row>
    <row r="19984" spans="1:5" x14ac:dyDescent="0.25">
      <c r="A19984" t="s">
        <v>4</v>
      </c>
      <c r="B19984" t="s">
        <v>4111</v>
      </c>
      <c r="C19984" t="s">
        <v>23490</v>
      </c>
      <c r="D19984" t="str">
        <f>HYPERLINK("https://rhld.insurance.arkansas.gov/NPILookup?Npi=1528202736","1528202736")</f>
        <v>1528202736</v>
      </c>
      <c r="E19984" t="s">
        <v>5126</v>
      </c>
    </row>
    <row r="19985" spans="1:5" x14ac:dyDescent="0.25">
      <c r="A19985" t="s">
        <v>4</v>
      </c>
      <c r="B19985" t="s">
        <v>4111</v>
      </c>
      <c r="C19985" t="s">
        <v>23490</v>
      </c>
      <c r="D19985" t="str">
        <f>HYPERLINK("https://rhld.insurance.arkansas.gov/NPILookup?Npi=1528204369","1528204369")</f>
        <v>1528204369</v>
      </c>
      <c r="E19985" t="s">
        <v>5127</v>
      </c>
    </row>
    <row r="19986" spans="1:5" x14ac:dyDescent="0.25">
      <c r="A19986" t="s">
        <v>4</v>
      </c>
      <c r="B19986" t="s">
        <v>4111</v>
      </c>
      <c r="C19986" t="s">
        <v>23490</v>
      </c>
      <c r="D19986" t="str">
        <f>HYPERLINK("https://rhld.insurance.arkansas.gov/NPILookup?Npi=1528204906","1528204906")</f>
        <v>1528204906</v>
      </c>
      <c r="E19986" t="s">
        <v>17180</v>
      </c>
    </row>
    <row r="19987" spans="1:5" x14ac:dyDescent="0.25">
      <c r="A19987" t="s">
        <v>4</v>
      </c>
      <c r="B19987" t="s">
        <v>4111</v>
      </c>
      <c r="C19987" t="s">
        <v>23490</v>
      </c>
      <c r="D19987" t="str">
        <f>HYPERLINK("https://rhld.insurance.arkansas.gov/NPILookup?Npi=1528219839","1528219839")</f>
        <v>1528219839</v>
      </c>
      <c r="E19987" t="s">
        <v>5128</v>
      </c>
    </row>
    <row r="19988" spans="1:5" x14ac:dyDescent="0.25">
      <c r="A19988" t="s">
        <v>4</v>
      </c>
      <c r="B19988" t="s">
        <v>4111</v>
      </c>
      <c r="C19988" t="s">
        <v>23490</v>
      </c>
      <c r="D19988" t="str">
        <f>HYPERLINK("https://rhld.insurance.arkansas.gov/NPILookup?Npi=1528219854","1528219854")</f>
        <v>1528219854</v>
      </c>
      <c r="E19988" t="s">
        <v>5129</v>
      </c>
    </row>
    <row r="19989" spans="1:5" x14ac:dyDescent="0.25">
      <c r="A19989" t="s">
        <v>4</v>
      </c>
      <c r="B19989" t="s">
        <v>4111</v>
      </c>
      <c r="C19989" t="s">
        <v>23490</v>
      </c>
      <c r="D19989" t="str">
        <f>HYPERLINK("https://rhld.insurance.arkansas.gov/NPILookup?Npi=1528238862","1528238862")</f>
        <v>1528238862</v>
      </c>
      <c r="E19989" t="s">
        <v>5130</v>
      </c>
    </row>
    <row r="19990" spans="1:5" x14ac:dyDescent="0.25">
      <c r="A19990" t="s">
        <v>4</v>
      </c>
      <c r="B19990" t="s">
        <v>4111</v>
      </c>
      <c r="C19990" t="s">
        <v>23490</v>
      </c>
      <c r="D19990" t="str">
        <f>HYPERLINK("https://rhld.insurance.arkansas.gov/NPILookup?Npi=1528245370","1528245370")</f>
        <v>1528245370</v>
      </c>
      <c r="E19990" t="s">
        <v>13150</v>
      </c>
    </row>
    <row r="19991" spans="1:5" x14ac:dyDescent="0.25">
      <c r="A19991" t="s">
        <v>4</v>
      </c>
      <c r="B19991" t="s">
        <v>4111</v>
      </c>
      <c r="C19991" t="s">
        <v>23490</v>
      </c>
      <c r="D19991" t="str">
        <f>HYPERLINK("https://rhld.insurance.arkansas.gov/NPILookup?Npi=1528250719","1528250719")</f>
        <v>1528250719</v>
      </c>
      <c r="E19991" t="s">
        <v>5131</v>
      </c>
    </row>
    <row r="19992" spans="1:5" x14ac:dyDescent="0.25">
      <c r="A19992" t="s">
        <v>4</v>
      </c>
      <c r="B19992" t="s">
        <v>4111</v>
      </c>
      <c r="C19992" t="s">
        <v>23490</v>
      </c>
      <c r="D19992" t="str">
        <f>HYPERLINK("https://rhld.insurance.arkansas.gov/NPILookup?Npi=1528262755","1528262755")</f>
        <v>1528262755</v>
      </c>
      <c r="E19992" t="s">
        <v>18362</v>
      </c>
    </row>
    <row r="19993" spans="1:5" x14ac:dyDescent="0.25">
      <c r="A19993" t="s">
        <v>4</v>
      </c>
      <c r="B19993" t="s">
        <v>4111</v>
      </c>
      <c r="C19993" t="s">
        <v>23490</v>
      </c>
      <c r="D19993" t="str">
        <f>HYPERLINK("https://rhld.insurance.arkansas.gov/NPILookup?Npi=1528290020","1528290020")</f>
        <v>1528290020</v>
      </c>
      <c r="E19993" t="s">
        <v>14105</v>
      </c>
    </row>
    <row r="19994" spans="1:5" x14ac:dyDescent="0.25">
      <c r="A19994" t="s">
        <v>4</v>
      </c>
      <c r="B19994" t="s">
        <v>4111</v>
      </c>
      <c r="C19994" t="s">
        <v>23490</v>
      </c>
      <c r="D19994" t="str">
        <f>HYPERLINK("https://rhld.insurance.arkansas.gov/NPILookup?Npi=1528290863","1528290863")</f>
        <v>1528290863</v>
      </c>
      <c r="E19994" t="s">
        <v>16135</v>
      </c>
    </row>
    <row r="19995" spans="1:5" x14ac:dyDescent="0.25">
      <c r="A19995" t="s">
        <v>4</v>
      </c>
      <c r="B19995" t="s">
        <v>4111</v>
      </c>
      <c r="C19995" t="s">
        <v>23490</v>
      </c>
      <c r="D19995" t="str">
        <f>HYPERLINK("https://rhld.insurance.arkansas.gov/NPILookup?Npi=1528291358","1528291358")</f>
        <v>1528291358</v>
      </c>
      <c r="E19995" t="s">
        <v>14106</v>
      </c>
    </row>
    <row r="19996" spans="1:5" x14ac:dyDescent="0.25">
      <c r="A19996" t="s">
        <v>4</v>
      </c>
      <c r="B19996" t="s">
        <v>4111</v>
      </c>
      <c r="C19996" t="s">
        <v>23490</v>
      </c>
      <c r="D19996" t="str">
        <f>HYPERLINK("https://rhld.insurance.arkansas.gov/NPILookup?Npi=1528299013","1528299013")</f>
        <v>1528299013</v>
      </c>
      <c r="E19996" t="s">
        <v>17181</v>
      </c>
    </row>
    <row r="19997" spans="1:5" x14ac:dyDescent="0.25">
      <c r="A19997" t="s">
        <v>4</v>
      </c>
      <c r="B19997" t="s">
        <v>4111</v>
      </c>
      <c r="C19997" t="s">
        <v>23490</v>
      </c>
      <c r="D19997" t="str">
        <f>HYPERLINK("https://rhld.insurance.arkansas.gov/NPILookup?Npi=1528302213","1528302213")</f>
        <v>1528302213</v>
      </c>
      <c r="E19997" t="s">
        <v>20504</v>
      </c>
    </row>
    <row r="19998" spans="1:5" x14ac:dyDescent="0.25">
      <c r="A19998" t="s">
        <v>4</v>
      </c>
      <c r="B19998" t="s">
        <v>4111</v>
      </c>
      <c r="C19998" t="s">
        <v>23490</v>
      </c>
      <c r="D19998" t="str">
        <f>HYPERLINK("https://rhld.insurance.arkansas.gov/NPILookup?Npi=1528310752","1528310752")</f>
        <v>1528310752</v>
      </c>
      <c r="E19998" t="s">
        <v>5132</v>
      </c>
    </row>
    <row r="19999" spans="1:5" x14ac:dyDescent="0.25">
      <c r="A19999" t="s">
        <v>4</v>
      </c>
      <c r="B19999" t="s">
        <v>4111</v>
      </c>
      <c r="C19999" t="s">
        <v>23490</v>
      </c>
      <c r="D19999" t="str">
        <f>HYPERLINK("https://rhld.insurance.arkansas.gov/NPILookup?Npi=1528340767","1528340767")</f>
        <v>1528340767</v>
      </c>
      <c r="E19999" t="s">
        <v>18363</v>
      </c>
    </row>
    <row r="20000" spans="1:5" x14ac:dyDescent="0.25">
      <c r="A20000" t="s">
        <v>4</v>
      </c>
      <c r="B20000" t="s">
        <v>4111</v>
      </c>
      <c r="C20000" t="s">
        <v>23490</v>
      </c>
      <c r="D20000" t="str">
        <f>HYPERLINK("https://rhld.insurance.arkansas.gov/NPILookup?Npi=1528352366","1528352366")</f>
        <v>1528352366</v>
      </c>
      <c r="E20000" t="s">
        <v>20505</v>
      </c>
    </row>
    <row r="20001" spans="1:5" x14ac:dyDescent="0.25">
      <c r="A20001" t="s">
        <v>4</v>
      </c>
      <c r="B20001" t="s">
        <v>4111</v>
      </c>
      <c r="C20001" t="s">
        <v>23490</v>
      </c>
      <c r="D20001" t="str">
        <f>HYPERLINK("https://rhld.insurance.arkansas.gov/NPILookup?Npi=1528371127","1528371127")</f>
        <v>1528371127</v>
      </c>
      <c r="E20001" t="s">
        <v>17182</v>
      </c>
    </row>
    <row r="20002" spans="1:5" x14ac:dyDescent="0.25">
      <c r="A20002" t="s">
        <v>4</v>
      </c>
      <c r="B20002" t="s">
        <v>4111</v>
      </c>
      <c r="C20002" t="s">
        <v>23490</v>
      </c>
      <c r="D20002" t="str">
        <f>HYPERLINK("https://rhld.insurance.arkansas.gov/NPILookup?Npi=1528384377","1528384377")</f>
        <v>1528384377</v>
      </c>
      <c r="E20002" t="s">
        <v>11724</v>
      </c>
    </row>
    <row r="20003" spans="1:5" x14ac:dyDescent="0.25">
      <c r="A20003" t="s">
        <v>4</v>
      </c>
      <c r="B20003" t="s">
        <v>4111</v>
      </c>
      <c r="C20003" t="s">
        <v>23490</v>
      </c>
      <c r="D20003" t="str">
        <f>HYPERLINK("https://rhld.insurance.arkansas.gov/NPILookup?Npi=1528384526","1528384526")</f>
        <v>1528384526</v>
      </c>
      <c r="E20003" t="s">
        <v>13151</v>
      </c>
    </row>
    <row r="20004" spans="1:5" x14ac:dyDescent="0.25">
      <c r="A20004" t="s">
        <v>4</v>
      </c>
      <c r="B20004" t="s">
        <v>4111</v>
      </c>
      <c r="C20004" t="s">
        <v>23490</v>
      </c>
      <c r="D20004" t="str">
        <f>HYPERLINK("https://rhld.insurance.arkansas.gov/NPILookup?Npi=1528397726","1528397726")</f>
        <v>1528397726</v>
      </c>
      <c r="E20004" t="s">
        <v>5133</v>
      </c>
    </row>
    <row r="20005" spans="1:5" x14ac:dyDescent="0.25">
      <c r="A20005" t="s">
        <v>4</v>
      </c>
      <c r="B20005" t="s">
        <v>4111</v>
      </c>
      <c r="C20005" t="s">
        <v>23490</v>
      </c>
      <c r="D20005" t="str">
        <f>HYPERLINK("https://rhld.insurance.arkansas.gov/NPILookup?Npi=1528408747","1528408747")</f>
        <v>1528408747</v>
      </c>
      <c r="E20005" t="s">
        <v>14107</v>
      </c>
    </row>
    <row r="20006" spans="1:5" x14ac:dyDescent="0.25">
      <c r="A20006" t="s">
        <v>4</v>
      </c>
      <c r="B20006" t="s">
        <v>4111</v>
      </c>
      <c r="C20006" t="s">
        <v>23490</v>
      </c>
      <c r="D20006" t="str">
        <f>HYPERLINK("https://rhld.insurance.arkansas.gov/NPILookup?Npi=1528412269","1528412269")</f>
        <v>1528412269</v>
      </c>
      <c r="E20006" t="s">
        <v>13152</v>
      </c>
    </row>
    <row r="20007" spans="1:5" x14ac:dyDescent="0.25">
      <c r="A20007" t="s">
        <v>4</v>
      </c>
      <c r="B20007" t="s">
        <v>4111</v>
      </c>
      <c r="C20007" t="s">
        <v>23490</v>
      </c>
      <c r="D20007" t="str">
        <f>HYPERLINK("https://rhld.insurance.arkansas.gov/NPILookup?Npi=1528436540","1528436540")</f>
        <v>1528436540</v>
      </c>
      <c r="E20007" t="s">
        <v>16136</v>
      </c>
    </row>
    <row r="20008" spans="1:5" x14ac:dyDescent="0.25">
      <c r="A20008" t="s">
        <v>4</v>
      </c>
      <c r="B20008" t="s">
        <v>4111</v>
      </c>
      <c r="C20008" t="s">
        <v>23490</v>
      </c>
      <c r="D20008" t="str">
        <f>HYPERLINK("https://rhld.insurance.arkansas.gov/NPILookup?Npi=1528457256","1528457256")</f>
        <v>1528457256</v>
      </c>
      <c r="E20008" t="s">
        <v>11725</v>
      </c>
    </row>
    <row r="20009" spans="1:5" x14ac:dyDescent="0.25">
      <c r="A20009" t="s">
        <v>4</v>
      </c>
      <c r="B20009" t="s">
        <v>4111</v>
      </c>
      <c r="C20009" t="s">
        <v>23490</v>
      </c>
      <c r="D20009" t="str">
        <f>HYPERLINK("https://rhld.insurance.arkansas.gov/NPILookup?Npi=1528467040","1528467040")</f>
        <v>1528467040</v>
      </c>
      <c r="E20009" t="s">
        <v>22119</v>
      </c>
    </row>
    <row r="20010" spans="1:5" x14ac:dyDescent="0.25">
      <c r="A20010" t="s">
        <v>4</v>
      </c>
      <c r="B20010" t="s">
        <v>4111</v>
      </c>
      <c r="C20010" t="s">
        <v>23490</v>
      </c>
      <c r="D20010" t="str">
        <f>HYPERLINK("https://rhld.insurance.arkansas.gov/NPILookup?Npi=1528511151","1528511151")</f>
        <v>1528511151</v>
      </c>
      <c r="E20010" t="s">
        <v>16137</v>
      </c>
    </row>
    <row r="20011" spans="1:5" x14ac:dyDescent="0.25">
      <c r="A20011" t="s">
        <v>4</v>
      </c>
      <c r="B20011" t="s">
        <v>4111</v>
      </c>
      <c r="C20011" t="s">
        <v>23490</v>
      </c>
      <c r="D20011" t="str">
        <f>HYPERLINK("https://rhld.insurance.arkansas.gov/NPILookup?Npi=1528511441","1528511441")</f>
        <v>1528511441</v>
      </c>
      <c r="E20011" t="s">
        <v>14108</v>
      </c>
    </row>
    <row r="20012" spans="1:5" x14ac:dyDescent="0.25">
      <c r="A20012" t="s">
        <v>4</v>
      </c>
      <c r="B20012" t="s">
        <v>4111</v>
      </c>
      <c r="C20012" t="s">
        <v>23490</v>
      </c>
      <c r="D20012" t="str">
        <f>HYPERLINK("https://rhld.insurance.arkansas.gov/NPILookup?Npi=1528514395","1528514395")</f>
        <v>1528514395</v>
      </c>
      <c r="E20012" t="s">
        <v>18986</v>
      </c>
    </row>
    <row r="20013" spans="1:5" x14ac:dyDescent="0.25">
      <c r="A20013" t="s">
        <v>4</v>
      </c>
      <c r="B20013" t="s">
        <v>4111</v>
      </c>
      <c r="C20013" t="s">
        <v>23490</v>
      </c>
      <c r="D20013" t="str">
        <f>HYPERLINK("https://rhld.insurance.arkansas.gov/NPILookup?Npi=1528519576","1528519576")</f>
        <v>1528519576</v>
      </c>
      <c r="E20013" t="s">
        <v>22120</v>
      </c>
    </row>
    <row r="20014" spans="1:5" x14ac:dyDescent="0.25">
      <c r="A20014" t="s">
        <v>4</v>
      </c>
      <c r="B20014" t="s">
        <v>4111</v>
      </c>
      <c r="C20014" t="s">
        <v>23490</v>
      </c>
      <c r="D20014" t="str">
        <f>HYPERLINK("https://rhld.insurance.arkansas.gov/NPILookup?Npi=1528526282","1528526282")</f>
        <v>1528526282</v>
      </c>
      <c r="E20014" t="s">
        <v>22121</v>
      </c>
    </row>
    <row r="20015" spans="1:5" x14ac:dyDescent="0.25">
      <c r="A20015" t="s">
        <v>4</v>
      </c>
      <c r="B20015" t="s">
        <v>4111</v>
      </c>
      <c r="C20015" t="s">
        <v>23490</v>
      </c>
      <c r="D20015" t="str">
        <f>HYPERLINK("https://rhld.insurance.arkansas.gov/NPILookup?Npi=1528531092","1528531092")</f>
        <v>1528531092</v>
      </c>
      <c r="E20015" t="s">
        <v>22122</v>
      </c>
    </row>
    <row r="20016" spans="1:5" x14ac:dyDescent="0.25">
      <c r="A20016" t="s">
        <v>4</v>
      </c>
      <c r="B20016" t="s">
        <v>4111</v>
      </c>
      <c r="C20016" t="s">
        <v>8427</v>
      </c>
      <c r="D20016" t="str">
        <f>HYPERLINK("https://rhld.insurance.arkansas.gov/NPILookup?Npi=1528536729","1528536729")</f>
        <v>1528536729</v>
      </c>
      <c r="E20016" t="s">
        <v>23130</v>
      </c>
    </row>
    <row r="20017" spans="1:5" x14ac:dyDescent="0.25">
      <c r="A20017" t="s">
        <v>4</v>
      </c>
      <c r="B20017" t="s">
        <v>4111</v>
      </c>
      <c r="C20017" t="s">
        <v>23490</v>
      </c>
      <c r="D20017" t="str">
        <f>HYPERLINK("https://rhld.insurance.arkansas.gov/NPILookup?Npi=1528601135","1528601135")</f>
        <v>1528601135</v>
      </c>
      <c r="E20017" t="s">
        <v>17183</v>
      </c>
    </row>
    <row r="20018" spans="1:5" x14ac:dyDescent="0.25">
      <c r="A20018" t="s">
        <v>4</v>
      </c>
      <c r="B20018" t="s">
        <v>4111</v>
      </c>
      <c r="C20018" t="s">
        <v>23490</v>
      </c>
      <c r="D20018" t="str">
        <f>HYPERLINK("https://rhld.insurance.arkansas.gov/NPILookup?Npi=1528611654","1528611654")</f>
        <v>1528611654</v>
      </c>
      <c r="E20018" t="s">
        <v>18022</v>
      </c>
    </row>
    <row r="20019" spans="1:5" x14ac:dyDescent="0.25">
      <c r="A20019" t="s">
        <v>4</v>
      </c>
      <c r="B20019" t="s">
        <v>4111</v>
      </c>
      <c r="C20019" t="s">
        <v>23490</v>
      </c>
      <c r="D20019" t="str">
        <f>HYPERLINK("https://rhld.insurance.arkansas.gov/NPILookup?Npi=1528616927","1528616927")</f>
        <v>1528616927</v>
      </c>
      <c r="E20019" t="s">
        <v>22123</v>
      </c>
    </row>
    <row r="20020" spans="1:5" x14ac:dyDescent="0.25">
      <c r="A20020" t="s">
        <v>4</v>
      </c>
      <c r="B20020" t="s">
        <v>4111</v>
      </c>
      <c r="C20020" t="s">
        <v>23490</v>
      </c>
      <c r="D20020" t="str">
        <f>HYPERLINK("https://rhld.insurance.arkansas.gov/NPILookup?Npi=1528669983","1528669983")</f>
        <v>1528669983</v>
      </c>
      <c r="E20020" t="s">
        <v>18987</v>
      </c>
    </row>
    <row r="20021" spans="1:5" x14ac:dyDescent="0.25">
      <c r="A20021" t="s">
        <v>4</v>
      </c>
      <c r="B20021" t="s">
        <v>4111</v>
      </c>
      <c r="C20021" t="s">
        <v>23490</v>
      </c>
      <c r="D20021" t="str">
        <f>HYPERLINK("https://rhld.insurance.arkansas.gov/NPILookup?Npi=1528671336","1528671336")</f>
        <v>1528671336</v>
      </c>
      <c r="E20021" t="s">
        <v>22124</v>
      </c>
    </row>
    <row r="20022" spans="1:5" x14ac:dyDescent="0.25">
      <c r="A20022" t="s">
        <v>4</v>
      </c>
      <c r="B20022" t="s">
        <v>4111</v>
      </c>
      <c r="C20022" t="s">
        <v>23490</v>
      </c>
      <c r="D20022" t="str">
        <f>HYPERLINK("https://rhld.insurance.arkansas.gov/NPILookup?Npi=1528690138","1528690138")</f>
        <v>1528690138</v>
      </c>
      <c r="E20022" t="s">
        <v>20506</v>
      </c>
    </row>
    <row r="20023" spans="1:5" x14ac:dyDescent="0.25">
      <c r="A20023" t="s">
        <v>4</v>
      </c>
      <c r="B20023" t="s">
        <v>4111</v>
      </c>
      <c r="C20023" t="s">
        <v>23490</v>
      </c>
      <c r="D20023" t="str">
        <f>HYPERLINK("https://rhld.insurance.arkansas.gov/NPILookup?Npi=1528739000","1528739000")</f>
        <v>1528739000</v>
      </c>
      <c r="E20023" t="s">
        <v>20507</v>
      </c>
    </row>
    <row r="20024" spans="1:5" x14ac:dyDescent="0.25">
      <c r="A20024" t="s">
        <v>4</v>
      </c>
      <c r="B20024" t="s">
        <v>4111</v>
      </c>
      <c r="C20024" t="s">
        <v>23490</v>
      </c>
      <c r="D20024" t="str">
        <f>HYPERLINK("https://rhld.insurance.arkansas.gov/NPILookup?Npi=1528799723","1528799723")</f>
        <v>1528799723</v>
      </c>
      <c r="E20024" t="s">
        <v>22125</v>
      </c>
    </row>
    <row r="20025" spans="1:5" x14ac:dyDescent="0.25">
      <c r="A20025" t="s">
        <v>4</v>
      </c>
      <c r="B20025" t="s">
        <v>4111</v>
      </c>
      <c r="C20025" t="s">
        <v>23490</v>
      </c>
      <c r="D20025" t="str">
        <f>HYPERLINK("https://rhld.insurance.arkansas.gov/NPILookup?Npi=1538100573","1538100573")</f>
        <v>1538100573</v>
      </c>
      <c r="E20025" t="s">
        <v>5134</v>
      </c>
    </row>
    <row r="20026" spans="1:5" x14ac:dyDescent="0.25">
      <c r="A20026" t="s">
        <v>4</v>
      </c>
      <c r="B20026" t="s">
        <v>4111</v>
      </c>
      <c r="C20026" t="s">
        <v>23490</v>
      </c>
      <c r="D20026" t="str">
        <f>HYPERLINK("https://rhld.insurance.arkansas.gov/NPILookup?Npi=1538133418","1538133418")</f>
        <v>1538133418</v>
      </c>
      <c r="E20026" t="s">
        <v>5135</v>
      </c>
    </row>
    <row r="20027" spans="1:5" x14ac:dyDescent="0.25">
      <c r="A20027" t="s">
        <v>4</v>
      </c>
      <c r="B20027" t="s">
        <v>4111</v>
      </c>
      <c r="C20027" t="s">
        <v>23490</v>
      </c>
      <c r="D20027" t="str">
        <f>HYPERLINK("https://rhld.insurance.arkansas.gov/NPILookup?Npi=1538134424","1538134424")</f>
        <v>1538134424</v>
      </c>
      <c r="E20027" t="s">
        <v>5136</v>
      </c>
    </row>
    <row r="20028" spans="1:5" x14ac:dyDescent="0.25">
      <c r="A20028" t="s">
        <v>4</v>
      </c>
      <c r="B20028" t="s">
        <v>4111</v>
      </c>
      <c r="C20028" t="s">
        <v>23490</v>
      </c>
      <c r="D20028" t="str">
        <f>HYPERLINK("https://rhld.insurance.arkansas.gov/NPILookup?Npi=1538138615","1538138615")</f>
        <v>1538138615</v>
      </c>
      <c r="E20028" t="s">
        <v>16138</v>
      </c>
    </row>
    <row r="20029" spans="1:5" x14ac:dyDescent="0.25">
      <c r="A20029" t="s">
        <v>4</v>
      </c>
      <c r="B20029" t="s">
        <v>4111</v>
      </c>
      <c r="C20029" t="s">
        <v>23490</v>
      </c>
      <c r="D20029" t="str">
        <f>HYPERLINK("https://rhld.insurance.arkansas.gov/NPILookup?Npi=1538191275","1538191275")</f>
        <v>1538191275</v>
      </c>
      <c r="E20029" t="s">
        <v>13153</v>
      </c>
    </row>
    <row r="20030" spans="1:5" x14ac:dyDescent="0.25">
      <c r="A20030" t="s">
        <v>4</v>
      </c>
      <c r="B20030" t="s">
        <v>4111</v>
      </c>
      <c r="C20030" t="s">
        <v>8427</v>
      </c>
      <c r="D20030" t="str">
        <f>HYPERLINK("https://rhld.insurance.arkansas.gov/NPILookup?Npi=1538206800","1538206800")</f>
        <v>1538206800</v>
      </c>
      <c r="E20030" t="s">
        <v>23131</v>
      </c>
    </row>
    <row r="20031" spans="1:5" x14ac:dyDescent="0.25">
      <c r="A20031" t="s">
        <v>4</v>
      </c>
      <c r="B20031" t="s">
        <v>4111</v>
      </c>
      <c r="C20031" t="s">
        <v>23490</v>
      </c>
      <c r="D20031" t="str">
        <f>HYPERLINK("https://rhld.insurance.arkansas.gov/NPILookup?Npi=1538215470","1538215470")</f>
        <v>1538215470</v>
      </c>
      <c r="E20031" t="s">
        <v>5137</v>
      </c>
    </row>
    <row r="20032" spans="1:5" x14ac:dyDescent="0.25">
      <c r="A20032" t="s">
        <v>4</v>
      </c>
      <c r="B20032" t="s">
        <v>4111</v>
      </c>
      <c r="C20032" t="s">
        <v>23490</v>
      </c>
      <c r="D20032" t="str">
        <f>HYPERLINK("https://rhld.insurance.arkansas.gov/NPILookup?Npi=1538220744","1538220744")</f>
        <v>1538220744</v>
      </c>
      <c r="E20032" t="s">
        <v>5138</v>
      </c>
    </row>
    <row r="20033" spans="1:5" x14ac:dyDescent="0.25">
      <c r="A20033" t="s">
        <v>4</v>
      </c>
      <c r="B20033" t="s">
        <v>4111</v>
      </c>
      <c r="C20033" t="s">
        <v>23490</v>
      </c>
      <c r="D20033" t="str">
        <f>HYPERLINK("https://rhld.insurance.arkansas.gov/NPILookup?Npi=1538222112","1538222112")</f>
        <v>1538222112</v>
      </c>
      <c r="E20033" t="s">
        <v>20508</v>
      </c>
    </row>
    <row r="20034" spans="1:5" x14ac:dyDescent="0.25">
      <c r="A20034" t="s">
        <v>4</v>
      </c>
      <c r="B20034" t="s">
        <v>4111</v>
      </c>
      <c r="C20034" t="s">
        <v>23490</v>
      </c>
      <c r="D20034" t="str">
        <f>HYPERLINK("https://rhld.insurance.arkansas.gov/NPILookup?Npi=1538253059","1538253059")</f>
        <v>1538253059</v>
      </c>
      <c r="E20034" t="s">
        <v>5139</v>
      </c>
    </row>
    <row r="20035" spans="1:5" x14ac:dyDescent="0.25">
      <c r="A20035" t="s">
        <v>4</v>
      </c>
      <c r="B20035" t="s">
        <v>4111</v>
      </c>
      <c r="C20035" t="s">
        <v>23490</v>
      </c>
      <c r="D20035" t="str">
        <f>HYPERLINK("https://rhld.insurance.arkansas.gov/NPILookup?Npi=1538259023","1538259023")</f>
        <v>1538259023</v>
      </c>
      <c r="E20035" t="s">
        <v>5140</v>
      </c>
    </row>
    <row r="20036" spans="1:5" x14ac:dyDescent="0.25">
      <c r="A20036" t="s">
        <v>4</v>
      </c>
      <c r="B20036" t="s">
        <v>4111</v>
      </c>
      <c r="C20036" t="s">
        <v>23490</v>
      </c>
      <c r="D20036" t="str">
        <f>HYPERLINK("https://rhld.insurance.arkansas.gov/NPILookup?Npi=1538268081","1538268081")</f>
        <v>1538268081</v>
      </c>
      <c r="E20036" t="s">
        <v>5141</v>
      </c>
    </row>
    <row r="20037" spans="1:5" x14ac:dyDescent="0.25">
      <c r="A20037" t="s">
        <v>4</v>
      </c>
      <c r="B20037" t="s">
        <v>4111</v>
      </c>
      <c r="C20037" t="s">
        <v>23490</v>
      </c>
      <c r="D20037" t="str">
        <f>HYPERLINK("https://rhld.insurance.arkansas.gov/NPILookup?Npi=1538272083","1538272083")</f>
        <v>1538272083</v>
      </c>
      <c r="E20037" t="s">
        <v>16139</v>
      </c>
    </row>
    <row r="20038" spans="1:5" x14ac:dyDescent="0.25">
      <c r="A20038" t="s">
        <v>4</v>
      </c>
      <c r="B20038" t="s">
        <v>4111</v>
      </c>
      <c r="C20038" t="s">
        <v>23490</v>
      </c>
      <c r="D20038" t="str">
        <f>HYPERLINK("https://rhld.insurance.arkansas.gov/NPILookup?Npi=1538304175","1538304175")</f>
        <v>1538304175</v>
      </c>
      <c r="E20038" t="s">
        <v>5142</v>
      </c>
    </row>
    <row r="20039" spans="1:5" x14ac:dyDescent="0.25">
      <c r="A20039" t="s">
        <v>4</v>
      </c>
      <c r="B20039" t="s">
        <v>4111</v>
      </c>
      <c r="C20039" t="s">
        <v>23490</v>
      </c>
      <c r="D20039" t="str">
        <f>HYPERLINK("https://rhld.insurance.arkansas.gov/NPILookup?Npi=1538309281","1538309281")</f>
        <v>1538309281</v>
      </c>
      <c r="E20039" t="s">
        <v>5143</v>
      </c>
    </row>
    <row r="20040" spans="1:5" x14ac:dyDescent="0.25">
      <c r="A20040" t="s">
        <v>4</v>
      </c>
      <c r="B20040" t="s">
        <v>4111</v>
      </c>
      <c r="C20040" t="s">
        <v>23490</v>
      </c>
      <c r="D20040" t="str">
        <f>HYPERLINK("https://rhld.insurance.arkansas.gov/NPILookup?Npi=1538314281","1538314281")</f>
        <v>1538314281</v>
      </c>
      <c r="E20040" t="s">
        <v>16140</v>
      </c>
    </row>
    <row r="20041" spans="1:5" x14ac:dyDescent="0.25">
      <c r="A20041" t="s">
        <v>4</v>
      </c>
      <c r="B20041" t="s">
        <v>4111</v>
      </c>
      <c r="C20041" t="s">
        <v>23490</v>
      </c>
      <c r="D20041" t="str">
        <f>HYPERLINK("https://rhld.insurance.arkansas.gov/NPILookup?Npi=1538317482","1538317482")</f>
        <v>1538317482</v>
      </c>
      <c r="E20041" t="s">
        <v>14109</v>
      </c>
    </row>
    <row r="20042" spans="1:5" x14ac:dyDescent="0.25">
      <c r="A20042" t="s">
        <v>4</v>
      </c>
      <c r="B20042" t="s">
        <v>4111</v>
      </c>
      <c r="C20042" t="s">
        <v>23490</v>
      </c>
      <c r="D20042" t="str">
        <f>HYPERLINK("https://rhld.insurance.arkansas.gov/NPILookup?Npi=1538317789","1538317789")</f>
        <v>1538317789</v>
      </c>
      <c r="E20042" t="s">
        <v>5144</v>
      </c>
    </row>
    <row r="20043" spans="1:5" x14ac:dyDescent="0.25">
      <c r="A20043" t="s">
        <v>4</v>
      </c>
      <c r="B20043" t="s">
        <v>4111</v>
      </c>
      <c r="C20043" t="s">
        <v>23490</v>
      </c>
      <c r="D20043" t="str">
        <f>HYPERLINK("https://rhld.insurance.arkansas.gov/NPILookup?Npi=1538319363","1538319363")</f>
        <v>1538319363</v>
      </c>
      <c r="E20043" t="s">
        <v>20509</v>
      </c>
    </row>
    <row r="20044" spans="1:5" x14ac:dyDescent="0.25">
      <c r="A20044" t="s">
        <v>4</v>
      </c>
      <c r="B20044" t="s">
        <v>4111</v>
      </c>
      <c r="C20044" t="s">
        <v>23490</v>
      </c>
      <c r="D20044" t="str">
        <f>HYPERLINK("https://rhld.insurance.arkansas.gov/NPILookup?Npi=1538319777","1538319777")</f>
        <v>1538319777</v>
      </c>
      <c r="E20044" t="s">
        <v>14110</v>
      </c>
    </row>
    <row r="20045" spans="1:5" x14ac:dyDescent="0.25">
      <c r="A20045" t="s">
        <v>4</v>
      </c>
      <c r="B20045" t="s">
        <v>4111</v>
      </c>
      <c r="C20045" t="s">
        <v>23490</v>
      </c>
      <c r="D20045" t="str">
        <f>HYPERLINK("https://rhld.insurance.arkansas.gov/NPILookup?Npi=1538319900","1538319900")</f>
        <v>1538319900</v>
      </c>
      <c r="E20045" t="s">
        <v>5145</v>
      </c>
    </row>
    <row r="20046" spans="1:5" x14ac:dyDescent="0.25">
      <c r="A20046" t="s">
        <v>4</v>
      </c>
      <c r="B20046" t="s">
        <v>4111</v>
      </c>
      <c r="C20046" t="s">
        <v>23490</v>
      </c>
      <c r="D20046" t="str">
        <f>HYPERLINK("https://rhld.insurance.arkansas.gov/NPILookup?Npi=1538336102","1538336102")</f>
        <v>1538336102</v>
      </c>
      <c r="E20046" t="s">
        <v>11726</v>
      </c>
    </row>
    <row r="20047" spans="1:5" x14ac:dyDescent="0.25">
      <c r="A20047" t="s">
        <v>4</v>
      </c>
      <c r="B20047" t="s">
        <v>4111</v>
      </c>
      <c r="C20047" t="s">
        <v>23490</v>
      </c>
      <c r="D20047" t="str">
        <f>HYPERLINK("https://rhld.insurance.arkansas.gov/NPILookup?Npi=1538348347","1538348347")</f>
        <v>1538348347</v>
      </c>
      <c r="E20047" t="s">
        <v>14111</v>
      </c>
    </row>
    <row r="20048" spans="1:5" x14ac:dyDescent="0.25">
      <c r="A20048" t="s">
        <v>4</v>
      </c>
      <c r="B20048" t="s">
        <v>4111</v>
      </c>
      <c r="C20048" t="s">
        <v>23490</v>
      </c>
      <c r="D20048" t="str">
        <f>HYPERLINK("https://rhld.insurance.arkansas.gov/NPILookup?Npi=1538357546","1538357546")</f>
        <v>1538357546</v>
      </c>
      <c r="E20048" t="s">
        <v>11727</v>
      </c>
    </row>
    <row r="20049" spans="1:5" x14ac:dyDescent="0.25">
      <c r="A20049" t="s">
        <v>4</v>
      </c>
      <c r="B20049" t="s">
        <v>4111</v>
      </c>
      <c r="C20049" t="s">
        <v>23490</v>
      </c>
      <c r="D20049" t="str">
        <f>HYPERLINK("https://rhld.insurance.arkansas.gov/NPILookup?Npi=1538367479","1538367479")</f>
        <v>1538367479</v>
      </c>
      <c r="E20049" t="s">
        <v>5146</v>
      </c>
    </row>
    <row r="20050" spans="1:5" x14ac:dyDescent="0.25">
      <c r="A20050" t="s">
        <v>4</v>
      </c>
      <c r="B20050" t="s">
        <v>4111</v>
      </c>
      <c r="C20050" t="s">
        <v>23490</v>
      </c>
      <c r="D20050" t="str">
        <f>HYPERLINK("https://rhld.insurance.arkansas.gov/NPILookup?Npi=1538367891","1538367891")</f>
        <v>1538367891</v>
      </c>
      <c r="E20050" t="s">
        <v>5147</v>
      </c>
    </row>
    <row r="20051" spans="1:5" x14ac:dyDescent="0.25">
      <c r="A20051" t="s">
        <v>4</v>
      </c>
      <c r="B20051" t="s">
        <v>4111</v>
      </c>
      <c r="C20051" t="s">
        <v>23490</v>
      </c>
      <c r="D20051" t="str">
        <f>HYPERLINK("https://rhld.insurance.arkansas.gov/NPILookup?Npi=1538371190","1538371190")</f>
        <v>1538371190</v>
      </c>
      <c r="E20051" t="s">
        <v>5148</v>
      </c>
    </row>
    <row r="20052" spans="1:5" x14ac:dyDescent="0.25">
      <c r="A20052" t="s">
        <v>4</v>
      </c>
      <c r="B20052" t="s">
        <v>4111</v>
      </c>
      <c r="C20052" t="s">
        <v>23490</v>
      </c>
      <c r="D20052" t="str">
        <f>HYPERLINK("https://rhld.insurance.arkansas.gov/NPILookup?Npi=1538374228","1538374228")</f>
        <v>1538374228</v>
      </c>
      <c r="E20052" t="s">
        <v>5149</v>
      </c>
    </row>
    <row r="20053" spans="1:5" x14ac:dyDescent="0.25">
      <c r="A20053" t="s">
        <v>4</v>
      </c>
      <c r="B20053" t="s">
        <v>4111</v>
      </c>
      <c r="C20053" t="s">
        <v>23490</v>
      </c>
      <c r="D20053" t="str">
        <f>HYPERLINK("https://rhld.insurance.arkansas.gov/NPILookup?Npi=1538382585","1538382585")</f>
        <v>1538382585</v>
      </c>
      <c r="E20053" t="s">
        <v>5150</v>
      </c>
    </row>
    <row r="20054" spans="1:5" x14ac:dyDescent="0.25">
      <c r="A20054" t="s">
        <v>4</v>
      </c>
      <c r="B20054" t="s">
        <v>4111</v>
      </c>
      <c r="C20054" t="s">
        <v>23490</v>
      </c>
      <c r="D20054" t="str">
        <f>HYPERLINK("https://rhld.insurance.arkansas.gov/NPILookup?Npi=1538391008","1538391008")</f>
        <v>1538391008</v>
      </c>
      <c r="E20054" t="s">
        <v>11728</v>
      </c>
    </row>
    <row r="20055" spans="1:5" x14ac:dyDescent="0.25">
      <c r="A20055" t="s">
        <v>4</v>
      </c>
      <c r="B20055" t="s">
        <v>4111</v>
      </c>
      <c r="C20055" t="s">
        <v>23490</v>
      </c>
      <c r="D20055" t="str">
        <f>HYPERLINK("https://rhld.insurance.arkansas.gov/NPILookup?Npi=1538392154","1538392154")</f>
        <v>1538392154</v>
      </c>
      <c r="E20055" t="s">
        <v>16141</v>
      </c>
    </row>
    <row r="20056" spans="1:5" x14ac:dyDescent="0.25">
      <c r="A20056" t="s">
        <v>4</v>
      </c>
      <c r="B20056" t="s">
        <v>4111</v>
      </c>
      <c r="C20056" t="s">
        <v>23490</v>
      </c>
      <c r="D20056" t="str">
        <f>HYPERLINK("https://rhld.insurance.arkansas.gov/NPILookup?Npi=1538408406","1538408406")</f>
        <v>1538408406</v>
      </c>
      <c r="E20056" t="s">
        <v>11729</v>
      </c>
    </row>
    <row r="20057" spans="1:5" x14ac:dyDescent="0.25">
      <c r="A20057" t="s">
        <v>4</v>
      </c>
      <c r="B20057" t="s">
        <v>4111</v>
      </c>
      <c r="C20057" t="s">
        <v>23490</v>
      </c>
      <c r="D20057" t="str">
        <f>HYPERLINK("https://rhld.insurance.arkansas.gov/NPILookup?Npi=1538417639","1538417639")</f>
        <v>1538417639</v>
      </c>
      <c r="E20057" t="s">
        <v>14112</v>
      </c>
    </row>
    <row r="20058" spans="1:5" x14ac:dyDescent="0.25">
      <c r="A20058" t="s">
        <v>4</v>
      </c>
      <c r="B20058" t="s">
        <v>4111</v>
      </c>
      <c r="C20058" t="s">
        <v>23490</v>
      </c>
      <c r="D20058" t="str">
        <f>HYPERLINK("https://rhld.insurance.arkansas.gov/NPILookup?Npi=1538431556","1538431556")</f>
        <v>1538431556</v>
      </c>
      <c r="E20058" t="s">
        <v>17184</v>
      </c>
    </row>
    <row r="20059" spans="1:5" x14ac:dyDescent="0.25">
      <c r="A20059" t="s">
        <v>4</v>
      </c>
      <c r="B20059" t="s">
        <v>4111</v>
      </c>
      <c r="C20059" t="s">
        <v>23490</v>
      </c>
      <c r="D20059" t="str">
        <f>HYPERLINK("https://rhld.insurance.arkansas.gov/NPILookup?Npi=1538436308","1538436308")</f>
        <v>1538436308</v>
      </c>
      <c r="E20059" t="s">
        <v>5151</v>
      </c>
    </row>
    <row r="20060" spans="1:5" x14ac:dyDescent="0.25">
      <c r="A20060" t="s">
        <v>4</v>
      </c>
      <c r="B20060" t="s">
        <v>4111</v>
      </c>
      <c r="C20060" t="s">
        <v>23490</v>
      </c>
      <c r="D20060" t="str">
        <f>HYPERLINK("https://rhld.insurance.arkansas.gov/NPILookup?Npi=1538436902","1538436902")</f>
        <v>1538436902</v>
      </c>
      <c r="E20060" t="s">
        <v>16142</v>
      </c>
    </row>
    <row r="20061" spans="1:5" x14ac:dyDescent="0.25">
      <c r="A20061" t="s">
        <v>4</v>
      </c>
      <c r="B20061" t="s">
        <v>4111</v>
      </c>
      <c r="C20061" t="s">
        <v>23490</v>
      </c>
      <c r="D20061" t="str">
        <f>HYPERLINK("https://rhld.insurance.arkansas.gov/NPILookup?Npi=1538453642","1538453642")</f>
        <v>1538453642</v>
      </c>
      <c r="E20061" t="s">
        <v>2766</v>
      </c>
    </row>
    <row r="20062" spans="1:5" x14ac:dyDescent="0.25">
      <c r="A20062" t="s">
        <v>4</v>
      </c>
      <c r="B20062" t="s">
        <v>4111</v>
      </c>
      <c r="C20062" t="s">
        <v>23490</v>
      </c>
      <c r="D20062" t="str">
        <f>HYPERLINK("https://rhld.insurance.arkansas.gov/NPILookup?Npi=1538455217","1538455217")</f>
        <v>1538455217</v>
      </c>
      <c r="E20062" t="s">
        <v>5152</v>
      </c>
    </row>
    <row r="20063" spans="1:5" x14ac:dyDescent="0.25">
      <c r="A20063" t="s">
        <v>4</v>
      </c>
      <c r="B20063" t="s">
        <v>4111</v>
      </c>
      <c r="C20063" t="s">
        <v>23490</v>
      </c>
      <c r="D20063" t="str">
        <f>HYPERLINK("https://rhld.insurance.arkansas.gov/NPILookup?Npi=1538464631","1538464631")</f>
        <v>1538464631</v>
      </c>
      <c r="E20063" t="s">
        <v>9113</v>
      </c>
    </row>
    <row r="20064" spans="1:5" x14ac:dyDescent="0.25">
      <c r="A20064" t="s">
        <v>4</v>
      </c>
      <c r="B20064" t="s">
        <v>4111</v>
      </c>
      <c r="C20064" t="s">
        <v>23490</v>
      </c>
      <c r="D20064" t="str">
        <f>HYPERLINK("https://rhld.insurance.arkansas.gov/NPILookup?Npi=1538473624","1538473624")</f>
        <v>1538473624</v>
      </c>
      <c r="E20064" t="s">
        <v>2817</v>
      </c>
    </row>
    <row r="20065" spans="1:5" x14ac:dyDescent="0.25">
      <c r="A20065" t="s">
        <v>4</v>
      </c>
      <c r="B20065" t="s">
        <v>4111</v>
      </c>
      <c r="C20065" t="s">
        <v>23490</v>
      </c>
      <c r="D20065" t="str">
        <f>HYPERLINK("https://rhld.insurance.arkansas.gov/NPILookup?Npi=1538477369","1538477369")</f>
        <v>1538477369</v>
      </c>
      <c r="E20065" t="s">
        <v>16143</v>
      </c>
    </row>
    <row r="20066" spans="1:5" x14ac:dyDescent="0.25">
      <c r="A20066" t="s">
        <v>4</v>
      </c>
      <c r="B20066" t="s">
        <v>4111</v>
      </c>
      <c r="C20066" t="s">
        <v>23490</v>
      </c>
      <c r="D20066" t="str">
        <f>HYPERLINK("https://rhld.insurance.arkansas.gov/NPILookup?Npi=1538536891","1538536891")</f>
        <v>1538536891</v>
      </c>
      <c r="E20066" t="s">
        <v>14113</v>
      </c>
    </row>
    <row r="20067" spans="1:5" x14ac:dyDescent="0.25">
      <c r="A20067" t="s">
        <v>4</v>
      </c>
      <c r="B20067" t="s">
        <v>4111</v>
      </c>
      <c r="C20067" t="s">
        <v>23490</v>
      </c>
      <c r="D20067" t="str">
        <f>HYPERLINK("https://rhld.insurance.arkansas.gov/NPILookup?Npi=1538563416","1538563416")</f>
        <v>1538563416</v>
      </c>
      <c r="E20067" t="s">
        <v>22126</v>
      </c>
    </row>
    <row r="20068" spans="1:5" x14ac:dyDescent="0.25">
      <c r="A20068" t="s">
        <v>4</v>
      </c>
      <c r="B20068" t="s">
        <v>4111</v>
      </c>
      <c r="C20068" t="s">
        <v>23490</v>
      </c>
      <c r="D20068" t="str">
        <f>HYPERLINK("https://rhld.insurance.arkansas.gov/NPILookup?Npi=1538570288","1538570288")</f>
        <v>1538570288</v>
      </c>
      <c r="E20068" t="s">
        <v>18364</v>
      </c>
    </row>
    <row r="20069" spans="1:5" x14ac:dyDescent="0.25">
      <c r="A20069" t="s">
        <v>4</v>
      </c>
      <c r="B20069" t="s">
        <v>4111</v>
      </c>
      <c r="C20069" t="s">
        <v>23490</v>
      </c>
      <c r="D20069" t="str">
        <f>HYPERLINK("https://rhld.insurance.arkansas.gov/NPILookup?Npi=1538589205","1538589205")</f>
        <v>1538589205</v>
      </c>
      <c r="E20069" t="s">
        <v>14114</v>
      </c>
    </row>
    <row r="20070" spans="1:5" x14ac:dyDescent="0.25">
      <c r="A20070" t="s">
        <v>4</v>
      </c>
      <c r="B20070" t="s">
        <v>4111</v>
      </c>
      <c r="C20070" t="s">
        <v>23490</v>
      </c>
      <c r="D20070" t="str">
        <f>HYPERLINK("https://rhld.insurance.arkansas.gov/NPILookup?Npi=1538592365","1538592365")</f>
        <v>1538592365</v>
      </c>
      <c r="E20070" t="s">
        <v>16144</v>
      </c>
    </row>
    <row r="20071" spans="1:5" x14ac:dyDescent="0.25">
      <c r="A20071" t="s">
        <v>4</v>
      </c>
      <c r="B20071" t="s">
        <v>4111</v>
      </c>
      <c r="C20071" t="s">
        <v>23490</v>
      </c>
      <c r="D20071" t="str">
        <f>HYPERLINK("https://rhld.insurance.arkansas.gov/NPILookup?Npi=1538609417","1538609417")</f>
        <v>1538609417</v>
      </c>
      <c r="E20071" t="s">
        <v>18365</v>
      </c>
    </row>
    <row r="20072" spans="1:5" x14ac:dyDescent="0.25">
      <c r="A20072" t="s">
        <v>4</v>
      </c>
      <c r="B20072" t="s">
        <v>4111</v>
      </c>
      <c r="C20072" t="s">
        <v>23490</v>
      </c>
      <c r="D20072" t="str">
        <f>HYPERLINK("https://rhld.insurance.arkansas.gov/NPILookup?Npi=1538621933","1538621933")</f>
        <v>1538621933</v>
      </c>
      <c r="E20072" t="s">
        <v>20510</v>
      </c>
    </row>
    <row r="20073" spans="1:5" x14ac:dyDescent="0.25">
      <c r="A20073" t="s">
        <v>4</v>
      </c>
      <c r="B20073" t="s">
        <v>4111</v>
      </c>
      <c r="C20073" t="s">
        <v>23490</v>
      </c>
      <c r="D20073" t="str">
        <f>HYPERLINK("https://rhld.insurance.arkansas.gov/NPILookup?Npi=1538627781","1538627781")</f>
        <v>1538627781</v>
      </c>
      <c r="E20073" t="s">
        <v>22127</v>
      </c>
    </row>
    <row r="20074" spans="1:5" x14ac:dyDescent="0.25">
      <c r="A20074" t="s">
        <v>4</v>
      </c>
      <c r="B20074" t="s">
        <v>4111</v>
      </c>
      <c r="C20074" t="s">
        <v>23490</v>
      </c>
      <c r="D20074" t="str">
        <f>HYPERLINK("https://rhld.insurance.arkansas.gov/NPILookup?Npi=1538636238","1538636238")</f>
        <v>1538636238</v>
      </c>
      <c r="E20074" t="s">
        <v>17185</v>
      </c>
    </row>
    <row r="20075" spans="1:5" x14ac:dyDescent="0.25">
      <c r="A20075" t="s">
        <v>4</v>
      </c>
      <c r="B20075" t="s">
        <v>4111</v>
      </c>
      <c r="C20075" t="s">
        <v>23490</v>
      </c>
      <c r="D20075" t="str">
        <f>HYPERLINK("https://rhld.insurance.arkansas.gov/NPILookup?Npi=1538673140","1538673140")</f>
        <v>1538673140</v>
      </c>
      <c r="E20075" t="s">
        <v>14115</v>
      </c>
    </row>
    <row r="20076" spans="1:5" x14ac:dyDescent="0.25">
      <c r="A20076" t="s">
        <v>4</v>
      </c>
      <c r="B20076" t="s">
        <v>4111</v>
      </c>
      <c r="C20076" t="s">
        <v>23490</v>
      </c>
      <c r="D20076" t="str">
        <f>HYPERLINK("https://rhld.insurance.arkansas.gov/NPILookup?Npi=1538691076","1538691076")</f>
        <v>1538691076</v>
      </c>
      <c r="E20076" t="s">
        <v>18988</v>
      </c>
    </row>
    <row r="20077" spans="1:5" x14ac:dyDescent="0.25">
      <c r="A20077" t="s">
        <v>4</v>
      </c>
      <c r="B20077" t="s">
        <v>4111</v>
      </c>
      <c r="C20077" t="s">
        <v>23490</v>
      </c>
      <c r="D20077" t="str">
        <f>HYPERLINK("https://rhld.insurance.arkansas.gov/NPILookup?Npi=1538700109","1538700109")</f>
        <v>1538700109</v>
      </c>
      <c r="E20077" t="s">
        <v>17603</v>
      </c>
    </row>
    <row r="20078" spans="1:5" x14ac:dyDescent="0.25">
      <c r="A20078" t="s">
        <v>4</v>
      </c>
      <c r="B20078" t="s">
        <v>4111</v>
      </c>
      <c r="C20078" t="s">
        <v>23490</v>
      </c>
      <c r="D20078" t="str">
        <f>HYPERLINK("https://rhld.insurance.arkansas.gov/NPILookup?Npi=1538715180","1538715180")</f>
        <v>1538715180</v>
      </c>
      <c r="E20078" t="s">
        <v>22128</v>
      </c>
    </row>
    <row r="20079" spans="1:5" x14ac:dyDescent="0.25">
      <c r="A20079" t="s">
        <v>4</v>
      </c>
      <c r="B20079" t="s">
        <v>4111</v>
      </c>
      <c r="C20079" t="s">
        <v>23490</v>
      </c>
      <c r="D20079" t="str">
        <f>HYPERLINK("https://rhld.insurance.arkansas.gov/NPILookup?Npi=1538735840","1538735840")</f>
        <v>1538735840</v>
      </c>
      <c r="E20079" t="s">
        <v>21139</v>
      </c>
    </row>
    <row r="20080" spans="1:5" x14ac:dyDescent="0.25">
      <c r="A20080" t="s">
        <v>4</v>
      </c>
      <c r="B20080" t="s">
        <v>4111</v>
      </c>
      <c r="C20080" t="s">
        <v>23490</v>
      </c>
      <c r="D20080" t="str">
        <f>HYPERLINK("https://rhld.insurance.arkansas.gov/NPILookup?Npi=1538764865","1538764865")</f>
        <v>1538764865</v>
      </c>
      <c r="E20080" t="s">
        <v>22129</v>
      </c>
    </row>
    <row r="20081" spans="1:5" x14ac:dyDescent="0.25">
      <c r="A20081" t="s">
        <v>4</v>
      </c>
      <c r="B20081" t="s">
        <v>4111</v>
      </c>
      <c r="C20081" t="s">
        <v>8427</v>
      </c>
      <c r="D20081" t="str">
        <f>HYPERLINK("https://rhld.insurance.arkansas.gov/NPILookup?Npi=1538767652","1538767652")</f>
        <v>1538767652</v>
      </c>
      <c r="E20081" t="s">
        <v>22872</v>
      </c>
    </row>
    <row r="20082" spans="1:5" x14ac:dyDescent="0.25">
      <c r="A20082" t="s">
        <v>4</v>
      </c>
      <c r="B20082" t="s">
        <v>4111</v>
      </c>
      <c r="C20082" t="s">
        <v>23490</v>
      </c>
      <c r="D20082" t="str">
        <f>HYPERLINK("https://rhld.insurance.arkansas.gov/NPILookup?Npi=1538772355","1538772355")</f>
        <v>1538772355</v>
      </c>
      <c r="E20082" t="s">
        <v>20511</v>
      </c>
    </row>
    <row r="20083" spans="1:5" x14ac:dyDescent="0.25">
      <c r="A20083" t="s">
        <v>4</v>
      </c>
      <c r="B20083" t="s">
        <v>4111</v>
      </c>
      <c r="C20083" t="s">
        <v>23490</v>
      </c>
      <c r="D20083" t="str">
        <f>HYPERLINK("https://rhld.insurance.arkansas.gov/NPILookup?Npi=1538794367","1538794367")</f>
        <v>1538794367</v>
      </c>
      <c r="E20083" t="s">
        <v>22130</v>
      </c>
    </row>
    <row r="20084" spans="1:5" x14ac:dyDescent="0.25">
      <c r="A20084" t="s">
        <v>4</v>
      </c>
      <c r="B20084" t="s">
        <v>4111</v>
      </c>
      <c r="C20084" t="s">
        <v>8427</v>
      </c>
      <c r="D20084" t="str">
        <f>HYPERLINK("https://rhld.insurance.arkansas.gov/NPILookup?Npi=1538851183","1538851183")</f>
        <v>1538851183</v>
      </c>
      <c r="E20084" t="s">
        <v>23132</v>
      </c>
    </row>
    <row r="20085" spans="1:5" x14ac:dyDescent="0.25">
      <c r="A20085" t="s">
        <v>4</v>
      </c>
      <c r="B20085" t="s">
        <v>4111</v>
      </c>
      <c r="C20085" t="s">
        <v>23490</v>
      </c>
      <c r="D20085" t="str">
        <f>HYPERLINK("https://rhld.insurance.arkansas.gov/NPILookup?Npi=1548228307","1548228307")</f>
        <v>1548228307</v>
      </c>
      <c r="E20085" t="s">
        <v>5153</v>
      </c>
    </row>
    <row r="20086" spans="1:5" x14ac:dyDescent="0.25">
      <c r="A20086" t="s">
        <v>4</v>
      </c>
      <c r="B20086" t="s">
        <v>4111</v>
      </c>
      <c r="C20086" t="s">
        <v>23490</v>
      </c>
      <c r="D20086" t="str">
        <f>HYPERLINK("https://rhld.insurance.arkansas.gov/NPILookup?Npi=1548230550","1548230550")</f>
        <v>1548230550</v>
      </c>
      <c r="E20086" t="s">
        <v>5154</v>
      </c>
    </row>
    <row r="20087" spans="1:5" x14ac:dyDescent="0.25">
      <c r="A20087" t="s">
        <v>4</v>
      </c>
      <c r="B20087" t="s">
        <v>4111</v>
      </c>
      <c r="C20087" t="s">
        <v>23490</v>
      </c>
      <c r="D20087" t="str">
        <f>HYPERLINK("https://rhld.insurance.arkansas.gov/NPILookup?Npi=1548276363","1548276363")</f>
        <v>1548276363</v>
      </c>
      <c r="E20087" t="s">
        <v>5155</v>
      </c>
    </row>
    <row r="20088" spans="1:5" x14ac:dyDescent="0.25">
      <c r="A20088" t="s">
        <v>4</v>
      </c>
      <c r="B20088" t="s">
        <v>4111</v>
      </c>
      <c r="C20088" t="s">
        <v>23490</v>
      </c>
      <c r="D20088" t="str">
        <f>HYPERLINK("https://rhld.insurance.arkansas.gov/NPILookup?Npi=1548288046","1548288046")</f>
        <v>1548288046</v>
      </c>
      <c r="E20088" t="s">
        <v>5157</v>
      </c>
    </row>
    <row r="20089" spans="1:5" x14ac:dyDescent="0.25">
      <c r="A20089" t="s">
        <v>4</v>
      </c>
      <c r="B20089" t="s">
        <v>4111</v>
      </c>
      <c r="C20089" t="s">
        <v>23490</v>
      </c>
      <c r="D20089" t="str">
        <f>HYPERLINK("https://rhld.insurance.arkansas.gov/NPILookup?Npi=1548304215","1548304215")</f>
        <v>1548304215</v>
      </c>
      <c r="E20089" t="s">
        <v>16145</v>
      </c>
    </row>
    <row r="20090" spans="1:5" x14ac:dyDescent="0.25">
      <c r="A20090" t="s">
        <v>4</v>
      </c>
      <c r="B20090" t="s">
        <v>4111</v>
      </c>
      <c r="C20090" t="s">
        <v>23490</v>
      </c>
      <c r="D20090" t="str">
        <f>HYPERLINK("https://rhld.insurance.arkansas.gov/NPILookup?Npi=1548307853","1548307853")</f>
        <v>1548307853</v>
      </c>
      <c r="E20090" t="s">
        <v>5158</v>
      </c>
    </row>
    <row r="20091" spans="1:5" x14ac:dyDescent="0.25">
      <c r="A20091" t="s">
        <v>4</v>
      </c>
      <c r="B20091" t="s">
        <v>4111</v>
      </c>
      <c r="C20091" t="s">
        <v>23490</v>
      </c>
      <c r="D20091" t="str">
        <f>HYPERLINK("https://rhld.insurance.arkansas.gov/NPILookup?Npi=1548311442","1548311442")</f>
        <v>1548311442</v>
      </c>
      <c r="E20091" t="s">
        <v>11035</v>
      </c>
    </row>
    <row r="20092" spans="1:5" x14ac:dyDescent="0.25">
      <c r="A20092" t="s">
        <v>4</v>
      </c>
      <c r="B20092" t="s">
        <v>4111</v>
      </c>
      <c r="C20092" t="s">
        <v>23490</v>
      </c>
      <c r="D20092" t="str">
        <f>HYPERLINK("https://rhld.insurance.arkansas.gov/NPILookup?Npi=1548327414","1548327414")</f>
        <v>1548327414</v>
      </c>
      <c r="E20092" t="s">
        <v>5159</v>
      </c>
    </row>
    <row r="20093" spans="1:5" x14ac:dyDescent="0.25">
      <c r="A20093" t="s">
        <v>4</v>
      </c>
      <c r="B20093" t="s">
        <v>4111</v>
      </c>
      <c r="C20093" t="s">
        <v>23490</v>
      </c>
      <c r="D20093" t="str">
        <f>HYPERLINK("https://rhld.insurance.arkansas.gov/NPILookup?Npi=1548341019","1548341019")</f>
        <v>1548341019</v>
      </c>
      <c r="E20093" t="s">
        <v>5160</v>
      </c>
    </row>
    <row r="20094" spans="1:5" x14ac:dyDescent="0.25">
      <c r="A20094" t="s">
        <v>4</v>
      </c>
      <c r="B20094" t="s">
        <v>4111</v>
      </c>
      <c r="C20094" t="s">
        <v>23490</v>
      </c>
      <c r="D20094" t="str">
        <f>HYPERLINK("https://rhld.insurance.arkansas.gov/NPILookup?Npi=1548350119","1548350119")</f>
        <v>1548350119</v>
      </c>
      <c r="E20094" t="s">
        <v>5161</v>
      </c>
    </row>
    <row r="20095" spans="1:5" x14ac:dyDescent="0.25">
      <c r="A20095" t="s">
        <v>4</v>
      </c>
      <c r="B20095" t="s">
        <v>4111</v>
      </c>
      <c r="C20095" t="s">
        <v>23490</v>
      </c>
      <c r="D20095" t="str">
        <f>HYPERLINK("https://rhld.insurance.arkansas.gov/NPILookup?Npi=1548350457","1548350457")</f>
        <v>1548350457</v>
      </c>
      <c r="E20095" t="s">
        <v>5162</v>
      </c>
    </row>
    <row r="20096" spans="1:5" x14ac:dyDescent="0.25">
      <c r="A20096" t="s">
        <v>4</v>
      </c>
      <c r="B20096" t="s">
        <v>4111</v>
      </c>
      <c r="C20096" t="s">
        <v>23490</v>
      </c>
      <c r="D20096" t="str">
        <f>HYPERLINK("https://rhld.insurance.arkansas.gov/NPILookup?Npi=1548352677","1548352677")</f>
        <v>1548352677</v>
      </c>
      <c r="E20096" t="s">
        <v>5163</v>
      </c>
    </row>
    <row r="20097" spans="1:5" x14ac:dyDescent="0.25">
      <c r="A20097" t="s">
        <v>4</v>
      </c>
      <c r="B20097" t="s">
        <v>4111</v>
      </c>
      <c r="C20097" t="s">
        <v>23490</v>
      </c>
      <c r="D20097" t="str">
        <f>HYPERLINK("https://rhld.insurance.arkansas.gov/NPILookup?Npi=1548353451","1548353451")</f>
        <v>1548353451</v>
      </c>
      <c r="E20097" t="s">
        <v>5164</v>
      </c>
    </row>
    <row r="20098" spans="1:5" x14ac:dyDescent="0.25">
      <c r="A20098" t="s">
        <v>4</v>
      </c>
      <c r="B20098" t="s">
        <v>4111</v>
      </c>
      <c r="C20098" t="s">
        <v>23490</v>
      </c>
      <c r="D20098" t="str">
        <f>HYPERLINK("https://rhld.insurance.arkansas.gov/NPILookup?Npi=1548362353","1548362353")</f>
        <v>1548362353</v>
      </c>
      <c r="E20098" t="s">
        <v>11730</v>
      </c>
    </row>
    <row r="20099" spans="1:5" x14ac:dyDescent="0.25">
      <c r="A20099" t="s">
        <v>4</v>
      </c>
      <c r="B20099" t="s">
        <v>4111</v>
      </c>
      <c r="C20099" t="s">
        <v>23490</v>
      </c>
      <c r="D20099" t="str">
        <f>HYPERLINK("https://rhld.insurance.arkansas.gov/NPILookup?Npi=1548363021","1548363021")</f>
        <v>1548363021</v>
      </c>
      <c r="E20099" t="s">
        <v>11731</v>
      </c>
    </row>
    <row r="20100" spans="1:5" x14ac:dyDescent="0.25">
      <c r="A20100" t="s">
        <v>4</v>
      </c>
      <c r="B20100" t="s">
        <v>4111</v>
      </c>
      <c r="C20100" t="s">
        <v>23490</v>
      </c>
      <c r="D20100" t="str">
        <f>HYPERLINK("https://rhld.insurance.arkansas.gov/NPILookup?Npi=1548369218","1548369218")</f>
        <v>1548369218</v>
      </c>
      <c r="E20100" t="s">
        <v>5165</v>
      </c>
    </row>
    <row r="20101" spans="1:5" x14ac:dyDescent="0.25">
      <c r="A20101" t="s">
        <v>4</v>
      </c>
      <c r="B20101" t="s">
        <v>4111</v>
      </c>
      <c r="C20101" t="s">
        <v>23490</v>
      </c>
      <c r="D20101" t="str">
        <f>HYPERLINK("https://rhld.insurance.arkansas.gov/NPILookup?Npi=1548380991","1548380991")</f>
        <v>1548380991</v>
      </c>
      <c r="E20101" t="s">
        <v>22131</v>
      </c>
    </row>
    <row r="20102" spans="1:5" x14ac:dyDescent="0.25">
      <c r="A20102" t="s">
        <v>4</v>
      </c>
      <c r="B20102" t="s">
        <v>4111</v>
      </c>
      <c r="C20102" t="s">
        <v>23490</v>
      </c>
      <c r="D20102" t="str">
        <f>HYPERLINK("https://rhld.insurance.arkansas.gov/NPILookup?Npi=1548381510","1548381510")</f>
        <v>1548381510</v>
      </c>
      <c r="E20102" t="s">
        <v>5166</v>
      </c>
    </row>
    <row r="20103" spans="1:5" x14ac:dyDescent="0.25">
      <c r="A20103" t="s">
        <v>4</v>
      </c>
      <c r="B20103" t="s">
        <v>4111</v>
      </c>
      <c r="C20103" t="s">
        <v>23490</v>
      </c>
      <c r="D20103" t="str">
        <f>HYPERLINK("https://rhld.insurance.arkansas.gov/NPILookup?Npi=1548385222","1548385222")</f>
        <v>1548385222</v>
      </c>
      <c r="E20103" t="s">
        <v>5167</v>
      </c>
    </row>
    <row r="20104" spans="1:5" x14ac:dyDescent="0.25">
      <c r="A20104" t="s">
        <v>4</v>
      </c>
      <c r="B20104" t="s">
        <v>4111</v>
      </c>
      <c r="C20104" t="s">
        <v>23490</v>
      </c>
      <c r="D20104" t="str">
        <f>HYPERLINK("https://rhld.insurance.arkansas.gov/NPILookup?Npi=1548386584","1548386584")</f>
        <v>1548386584</v>
      </c>
      <c r="E20104" t="s">
        <v>5168</v>
      </c>
    </row>
    <row r="20105" spans="1:5" x14ac:dyDescent="0.25">
      <c r="A20105" t="s">
        <v>4</v>
      </c>
      <c r="B20105" t="s">
        <v>4111</v>
      </c>
      <c r="C20105" t="s">
        <v>23490</v>
      </c>
      <c r="D20105" t="str">
        <f>HYPERLINK("https://rhld.insurance.arkansas.gov/NPILookup?Npi=1548397193","1548397193")</f>
        <v>1548397193</v>
      </c>
      <c r="E20105" t="s">
        <v>16146</v>
      </c>
    </row>
    <row r="20106" spans="1:5" x14ac:dyDescent="0.25">
      <c r="A20106" t="s">
        <v>4</v>
      </c>
      <c r="B20106" t="s">
        <v>4111</v>
      </c>
      <c r="C20106" t="s">
        <v>23490</v>
      </c>
      <c r="D20106" t="str">
        <f>HYPERLINK("https://rhld.insurance.arkansas.gov/NPILookup?Npi=1548409774","1548409774")</f>
        <v>1548409774</v>
      </c>
      <c r="E20106" t="s">
        <v>20512</v>
      </c>
    </row>
    <row r="20107" spans="1:5" x14ac:dyDescent="0.25">
      <c r="A20107" t="s">
        <v>4</v>
      </c>
      <c r="B20107" t="s">
        <v>4111</v>
      </c>
      <c r="C20107" t="s">
        <v>23490</v>
      </c>
      <c r="D20107" t="str">
        <f>HYPERLINK("https://rhld.insurance.arkansas.gov/NPILookup?Npi=1548410194","1548410194")</f>
        <v>1548410194</v>
      </c>
      <c r="E20107" t="s">
        <v>5169</v>
      </c>
    </row>
    <row r="20108" spans="1:5" x14ac:dyDescent="0.25">
      <c r="A20108" t="s">
        <v>4</v>
      </c>
      <c r="B20108" t="s">
        <v>4111</v>
      </c>
      <c r="C20108" t="s">
        <v>23490</v>
      </c>
      <c r="D20108" t="str">
        <f>HYPERLINK("https://rhld.insurance.arkansas.gov/NPILookup?Npi=1548410210","1548410210")</f>
        <v>1548410210</v>
      </c>
      <c r="E20108" t="s">
        <v>5170</v>
      </c>
    </row>
    <row r="20109" spans="1:5" x14ac:dyDescent="0.25">
      <c r="A20109" t="s">
        <v>4</v>
      </c>
      <c r="B20109" t="s">
        <v>4111</v>
      </c>
      <c r="C20109" t="s">
        <v>23490</v>
      </c>
      <c r="D20109" t="str">
        <f>HYPERLINK("https://rhld.insurance.arkansas.gov/NPILookup?Npi=1548412653","1548412653")</f>
        <v>1548412653</v>
      </c>
      <c r="E20109" t="s">
        <v>5171</v>
      </c>
    </row>
    <row r="20110" spans="1:5" x14ac:dyDescent="0.25">
      <c r="A20110" t="s">
        <v>4</v>
      </c>
      <c r="B20110" t="s">
        <v>4111</v>
      </c>
      <c r="C20110" t="s">
        <v>23490</v>
      </c>
      <c r="D20110" t="str">
        <f>HYPERLINK("https://rhld.insurance.arkansas.gov/NPILookup?Npi=1548412703","1548412703")</f>
        <v>1548412703</v>
      </c>
      <c r="E20110" t="s">
        <v>5172</v>
      </c>
    </row>
    <row r="20111" spans="1:5" x14ac:dyDescent="0.25">
      <c r="A20111" t="s">
        <v>4</v>
      </c>
      <c r="B20111" t="s">
        <v>4111</v>
      </c>
      <c r="C20111" t="s">
        <v>23490</v>
      </c>
      <c r="D20111" t="str">
        <f>HYPERLINK("https://rhld.insurance.arkansas.gov/NPILookup?Npi=1548412893","1548412893")</f>
        <v>1548412893</v>
      </c>
      <c r="E20111" t="s">
        <v>11732</v>
      </c>
    </row>
    <row r="20112" spans="1:5" x14ac:dyDescent="0.25">
      <c r="A20112" t="s">
        <v>4</v>
      </c>
      <c r="B20112" t="s">
        <v>4111</v>
      </c>
      <c r="C20112" t="s">
        <v>23490</v>
      </c>
      <c r="D20112" t="str">
        <f>HYPERLINK("https://rhld.insurance.arkansas.gov/NPILookup?Npi=1548416662","1548416662")</f>
        <v>1548416662</v>
      </c>
      <c r="E20112" t="s">
        <v>9114</v>
      </c>
    </row>
    <row r="20113" spans="1:5" x14ac:dyDescent="0.25">
      <c r="A20113" t="s">
        <v>4</v>
      </c>
      <c r="B20113" t="s">
        <v>4111</v>
      </c>
      <c r="C20113" t="s">
        <v>23490</v>
      </c>
      <c r="D20113" t="str">
        <f>HYPERLINK("https://rhld.insurance.arkansas.gov/NPILookup?Npi=1548419377","1548419377")</f>
        <v>1548419377</v>
      </c>
      <c r="E20113" t="s">
        <v>5173</v>
      </c>
    </row>
    <row r="20114" spans="1:5" x14ac:dyDescent="0.25">
      <c r="A20114" t="s">
        <v>4</v>
      </c>
      <c r="B20114" t="s">
        <v>4111</v>
      </c>
      <c r="C20114" t="s">
        <v>23490</v>
      </c>
      <c r="D20114" t="str">
        <f>HYPERLINK("https://rhld.insurance.arkansas.gov/NPILookup?Npi=1548423718","1548423718")</f>
        <v>1548423718</v>
      </c>
      <c r="E20114" t="s">
        <v>5174</v>
      </c>
    </row>
    <row r="20115" spans="1:5" x14ac:dyDescent="0.25">
      <c r="A20115" t="s">
        <v>4</v>
      </c>
      <c r="B20115" t="s">
        <v>4111</v>
      </c>
      <c r="C20115" t="s">
        <v>23490</v>
      </c>
      <c r="D20115" t="str">
        <f>HYPERLINK("https://rhld.insurance.arkansas.gov/NPILookup?Npi=1548437890","1548437890")</f>
        <v>1548437890</v>
      </c>
      <c r="E20115" t="s">
        <v>5175</v>
      </c>
    </row>
    <row r="20116" spans="1:5" x14ac:dyDescent="0.25">
      <c r="A20116" t="s">
        <v>4</v>
      </c>
      <c r="B20116" t="s">
        <v>4111</v>
      </c>
      <c r="C20116" t="s">
        <v>23490</v>
      </c>
      <c r="D20116" t="str">
        <f>HYPERLINK("https://rhld.insurance.arkansas.gov/NPILookup?Npi=1548440514","1548440514")</f>
        <v>1548440514</v>
      </c>
      <c r="E20116" t="s">
        <v>5176</v>
      </c>
    </row>
    <row r="20117" spans="1:5" x14ac:dyDescent="0.25">
      <c r="A20117" t="s">
        <v>4</v>
      </c>
      <c r="B20117" t="s">
        <v>4111</v>
      </c>
      <c r="C20117" t="s">
        <v>23490</v>
      </c>
      <c r="D20117" t="str">
        <f>HYPERLINK("https://rhld.insurance.arkansas.gov/NPILookup?Npi=1548451131","1548451131")</f>
        <v>1548451131</v>
      </c>
      <c r="E20117" t="s">
        <v>5177</v>
      </c>
    </row>
    <row r="20118" spans="1:5" x14ac:dyDescent="0.25">
      <c r="A20118" t="s">
        <v>4</v>
      </c>
      <c r="B20118" t="s">
        <v>4111</v>
      </c>
      <c r="C20118" t="s">
        <v>23490</v>
      </c>
      <c r="D20118" t="str">
        <f>HYPERLINK("https://rhld.insurance.arkansas.gov/NPILookup?Npi=1548464852","1548464852")</f>
        <v>1548464852</v>
      </c>
      <c r="E20118" t="s">
        <v>5178</v>
      </c>
    </row>
    <row r="20119" spans="1:5" x14ac:dyDescent="0.25">
      <c r="A20119" t="s">
        <v>4</v>
      </c>
      <c r="B20119" t="s">
        <v>4111</v>
      </c>
      <c r="C20119" t="s">
        <v>23490</v>
      </c>
      <c r="D20119" t="str">
        <f>HYPERLINK("https://rhld.insurance.arkansas.gov/NPILookup?Npi=1548488711","1548488711")</f>
        <v>1548488711</v>
      </c>
      <c r="E20119" t="s">
        <v>5179</v>
      </c>
    </row>
    <row r="20120" spans="1:5" x14ac:dyDescent="0.25">
      <c r="A20120" t="s">
        <v>4</v>
      </c>
      <c r="B20120" t="s">
        <v>4111</v>
      </c>
      <c r="C20120" t="s">
        <v>23490</v>
      </c>
      <c r="D20120" t="str">
        <f>HYPERLINK("https://rhld.insurance.arkansas.gov/NPILookup?Npi=1548494487","1548494487")</f>
        <v>1548494487</v>
      </c>
      <c r="E20120" t="s">
        <v>5180</v>
      </c>
    </row>
    <row r="20121" spans="1:5" x14ac:dyDescent="0.25">
      <c r="A20121" t="s">
        <v>4</v>
      </c>
      <c r="B20121" t="s">
        <v>4111</v>
      </c>
      <c r="C20121" t="s">
        <v>23490</v>
      </c>
      <c r="D20121" t="str">
        <f>HYPERLINK("https://rhld.insurance.arkansas.gov/NPILookup?Npi=1548497100","1548497100")</f>
        <v>1548497100</v>
      </c>
      <c r="E20121" t="s">
        <v>13154</v>
      </c>
    </row>
    <row r="20122" spans="1:5" x14ac:dyDescent="0.25">
      <c r="A20122" t="s">
        <v>4</v>
      </c>
      <c r="B20122" t="s">
        <v>4111</v>
      </c>
      <c r="C20122" t="s">
        <v>23490</v>
      </c>
      <c r="D20122" t="str">
        <f>HYPERLINK("https://rhld.insurance.arkansas.gov/NPILookup?Npi=1548514839","1548514839")</f>
        <v>1548514839</v>
      </c>
      <c r="E20122" t="s">
        <v>11733</v>
      </c>
    </row>
    <row r="20123" spans="1:5" x14ac:dyDescent="0.25">
      <c r="A20123" t="s">
        <v>4</v>
      </c>
      <c r="B20123" t="s">
        <v>4111</v>
      </c>
      <c r="C20123" t="s">
        <v>23490</v>
      </c>
      <c r="D20123" t="str">
        <f>HYPERLINK("https://rhld.insurance.arkansas.gov/NPILookup?Npi=1548525413","1548525413")</f>
        <v>1548525413</v>
      </c>
      <c r="E20123" t="s">
        <v>11734</v>
      </c>
    </row>
    <row r="20124" spans="1:5" x14ac:dyDescent="0.25">
      <c r="A20124" t="s">
        <v>4</v>
      </c>
      <c r="B20124" t="s">
        <v>4111</v>
      </c>
      <c r="C20124" t="s">
        <v>23490</v>
      </c>
      <c r="D20124" t="str">
        <f>HYPERLINK("https://rhld.insurance.arkansas.gov/NPILookup?Npi=1548534134","1548534134")</f>
        <v>1548534134</v>
      </c>
      <c r="E20124" t="s">
        <v>5181</v>
      </c>
    </row>
    <row r="20125" spans="1:5" x14ac:dyDescent="0.25">
      <c r="A20125" t="s">
        <v>4</v>
      </c>
      <c r="B20125" t="s">
        <v>4111</v>
      </c>
      <c r="C20125" t="s">
        <v>23490</v>
      </c>
      <c r="D20125" t="str">
        <f>HYPERLINK("https://rhld.insurance.arkansas.gov/NPILookup?Npi=1548534217","1548534217")</f>
        <v>1548534217</v>
      </c>
      <c r="E20125" t="s">
        <v>16147</v>
      </c>
    </row>
    <row r="20126" spans="1:5" x14ac:dyDescent="0.25">
      <c r="A20126" t="s">
        <v>4</v>
      </c>
      <c r="B20126" t="s">
        <v>4111</v>
      </c>
      <c r="C20126" t="s">
        <v>23490</v>
      </c>
      <c r="D20126" t="str">
        <f>HYPERLINK("https://rhld.insurance.arkansas.gov/NPILookup?Npi=1548562002","1548562002")</f>
        <v>1548562002</v>
      </c>
      <c r="E20126" t="s">
        <v>22132</v>
      </c>
    </row>
    <row r="20127" spans="1:5" x14ac:dyDescent="0.25">
      <c r="A20127" t="s">
        <v>4</v>
      </c>
      <c r="B20127" t="s">
        <v>4111</v>
      </c>
      <c r="C20127" t="s">
        <v>23490</v>
      </c>
      <c r="D20127" t="str">
        <f>HYPERLINK("https://rhld.insurance.arkansas.gov/NPILookup?Npi=1548565724","1548565724")</f>
        <v>1548565724</v>
      </c>
      <c r="E20127" t="s">
        <v>5182</v>
      </c>
    </row>
    <row r="20128" spans="1:5" x14ac:dyDescent="0.25">
      <c r="A20128" t="s">
        <v>4</v>
      </c>
      <c r="B20128" t="s">
        <v>4111</v>
      </c>
      <c r="C20128" t="s">
        <v>23490</v>
      </c>
      <c r="D20128" t="str">
        <f>HYPERLINK("https://rhld.insurance.arkansas.gov/NPILookup?Npi=1548569163","1548569163")</f>
        <v>1548569163</v>
      </c>
      <c r="E20128" t="s">
        <v>16148</v>
      </c>
    </row>
    <row r="20129" spans="1:5" x14ac:dyDescent="0.25">
      <c r="A20129" t="s">
        <v>4</v>
      </c>
      <c r="B20129" t="s">
        <v>4111</v>
      </c>
      <c r="C20129" t="s">
        <v>23490</v>
      </c>
      <c r="D20129" t="str">
        <f>HYPERLINK("https://rhld.insurance.arkansas.gov/NPILookup?Npi=1548575731","1548575731")</f>
        <v>1548575731</v>
      </c>
      <c r="E20129" t="s">
        <v>17186</v>
      </c>
    </row>
    <row r="20130" spans="1:5" x14ac:dyDescent="0.25">
      <c r="A20130" t="s">
        <v>4</v>
      </c>
      <c r="B20130" t="s">
        <v>4111</v>
      </c>
      <c r="C20130" t="s">
        <v>23490</v>
      </c>
      <c r="D20130" t="str">
        <f>HYPERLINK("https://rhld.insurance.arkansas.gov/NPILookup?Npi=1548577521","1548577521")</f>
        <v>1548577521</v>
      </c>
      <c r="E20130" t="s">
        <v>16149</v>
      </c>
    </row>
    <row r="20131" spans="1:5" x14ac:dyDescent="0.25">
      <c r="A20131" t="s">
        <v>4</v>
      </c>
      <c r="B20131" t="s">
        <v>4111</v>
      </c>
      <c r="C20131" t="s">
        <v>23490</v>
      </c>
      <c r="D20131" t="str">
        <f>HYPERLINK("https://rhld.insurance.arkansas.gov/NPILookup?Npi=1548578537","1548578537")</f>
        <v>1548578537</v>
      </c>
      <c r="E20131" t="s">
        <v>5183</v>
      </c>
    </row>
    <row r="20132" spans="1:5" x14ac:dyDescent="0.25">
      <c r="A20132" t="s">
        <v>4</v>
      </c>
      <c r="B20132" t="s">
        <v>4111</v>
      </c>
      <c r="C20132" t="s">
        <v>23490</v>
      </c>
      <c r="D20132" t="str">
        <f>HYPERLINK("https://rhld.insurance.arkansas.gov/NPILookup?Npi=1548581275","1548581275")</f>
        <v>1548581275</v>
      </c>
      <c r="E20132" t="s">
        <v>22133</v>
      </c>
    </row>
    <row r="20133" spans="1:5" x14ac:dyDescent="0.25">
      <c r="A20133" t="s">
        <v>4</v>
      </c>
      <c r="B20133" t="s">
        <v>4111</v>
      </c>
      <c r="C20133" t="s">
        <v>23490</v>
      </c>
      <c r="D20133" t="str">
        <f>HYPERLINK("https://rhld.insurance.arkansas.gov/NPILookup?Npi=1548589906","1548589906")</f>
        <v>1548589906</v>
      </c>
      <c r="E20133" t="s">
        <v>5184</v>
      </c>
    </row>
    <row r="20134" spans="1:5" x14ac:dyDescent="0.25">
      <c r="A20134" t="s">
        <v>4</v>
      </c>
      <c r="B20134" t="s">
        <v>4111</v>
      </c>
      <c r="C20134" t="s">
        <v>23490</v>
      </c>
      <c r="D20134" t="str">
        <f>HYPERLINK("https://rhld.insurance.arkansas.gov/NPILookup?Npi=1548591563","1548591563")</f>
        <v>1548591563</v>
      </c>
      <c r="E20134" t="s">
        <v>5185</v>
      </c>
    </row>
    <row r="20135" spans="1:5" x14ac:dyDescent="0.25">
      <c r="A20135" t="s">
        <v>4</v>
      </c>
      <c r="B20135" t="s">
        <v>4111</v>
      </c>
      <c r="C20135" t="s">
        <v>23490</v>
      </c>
      <c r="D20135" t="str">
        <f>HYPERLINK("https://rhld.insurance.arkansas.gov/NPILookup?Npi=1548603764","1548603764")</f>
        <v>1548603764</v>
      </c>
      <c r="E20135" t="s">
        <v>14116</v>
      </c>
    </row>
    <row r="20136" spans="1:5" x14ac:dyDescent="0.25">
      <c r="A20136" t="s">
        <v>4</v>
      </c>
      <c r="B20136" t="s">
        <v>4111</v>
      </c>
      <c r="C20136" t="s">
        <v>23490</v>
      </c>
      <c r="D20136" t="str">
        <f>HYPERLINK("https://rhld.insurance.arkansas.gov/NPILookup?Npi=1548605645","1548605645")</f>
        <v>1548605645</v>
      </c>
      <c r="E20136" t="s">
        <v>17187</v>
      </c>
    </row>
    <row r="20137" spans="1:5" x14ac:dyDescent="0.25">
      <c r="A20137" t="s">
        <v>4</v>
      </c>
      <c r="B20137" t="s">
        <v>4111</v>
      </c>
      <c r="C20137" t="s">
        <v>23490</v>
      </c>
      <c r="D20137" t="str">
        <f>HYPERLINK("https://rhld.insurance.arkansas.gov/NPILookup?Npi=1548607161","1548607161")</f>
        <v>1548607161</v>
      </c>
      <c r="E20137" t="s">
        <v>14117</v>
      </c>
    </row>
    <row r="20138" spans="1:5" x14ac:dyDescent="0.25">
      <c r="A20138" t="s">
        <v>4</v>
      </c>
      <c r="B20138" t="s">
        <v>4111</v>
      </c>
      <c r="C20138" t="s">
        <v>23490</v>
      </c>
      <c r="D20138" t="str">
        <f>HYPERLINK("https://rhld.insurance.arkansas.gov/NPILookup?Npi=1548612468","1548612468")</f>
        <v>1548612468</v>
      </c>
      <c r="E20138" t="s">
        <v>16150</v>
      </c>
    </row>
    <row r="20139" spans="1:5" x14ac:dyDescent="0.25">
      <c r="A20139" t="s">
        <v>4</v>
      </c>
      <c r="B20139" t="s">
        <v>4111</v>
      </c>
      <c r="C20139" t="s">
        <v>23490</v>
      </c>
      <c r="D20139" t="str">
        <f>HYPERLINK("https://rhld.insurance.arkansas.gov/NPILookup?Npi=1548627565","1548627565")</f>
        <v>1548627565</v>
      </c>
      <c r="E20139" t="s">
        <v>22134</v>
      </c>
    </row>
    <row r="20140" spans="1:5" x14ac:dyDescent="0.25">
      <c r="A20140" t="s">
        <v>4</v>
      </c>
      <c r="B20140" t="s">
        <v>4111</v>
      </c>
      <c r="C20140" t="s">
        <v>23490</v>
      </c>
      <c r="D20140" t="str">
        <f>HYPERLINK("https://rhld.insurance.arkansas.gov/NPILookup?Npi=1548637531","1548637531")</f>
        <v>1548637531</v>
      </c>
      <c r="E20140" t="s">
        <v>17604</v>
      </c>
    </row>
    <row r="20141" spans="1:5" x14ac:dyDescent="0.25">
      <c r="A20141" t="s">
        <v>4</v>
      </c>
      <c r="B20141" t="s">
        <v>4111</v>
      </c>
      <c r="C20141" t="s">
        <v>23490</v>
      </c>
      <c r="D20141" t="str">
        <f>HYPERLINK("https://rhld.insurance.arkansas.gov/NPILookup?Npi=1548647381","1548647381")</f>
        <v>1548647381</v>
      </c>
      <c r="E20141" t="s">
        <v>14118</v>
      </c>
    </row>
    <row r="20142" spans="1:5" x14ac:dyDescent="0.25">
      <c r="A20142" t="s">
        <v>4</v>
      </c>
      <c r="B20142" t="s">
        <v>4111</v>
      </c>
      <c r="C20142" t="s">
        <v>23490</v>
      </c>
      <c r="D20142" t="str">
        <f>HYPERLINK("https://rhld.insurance.arkansas.gov/NPILookup?Npi=1548674252","1548674252")</f>
        <v>1548674252</v>
      </c>
      <c r="E20142" t="s">
        <v>18366</v>
      </c>
    </row>
    <row r="20143" spans="1:5" x14ac:dyDescent="0.25">
      <c r="A20143" t="s">
        <v>4</v>
      </c>
      <c r="B20143" t="s">
        <v>4111</v>
      </c>
      <c r="C20143" t="s">
        <v>23490</v>
      </c>
      <c r="D20143" t="str">
        <f>HYPERLINK("https://rhld.insurance.arkansas.gov/NPILookup?Npi=1548677693","1548677693")</f>
        <v>1548677693</v>
      </c>
      <c r="E20143" t="s">
        <v>5186</v>
      </c>
    </row>
    <row r="20144" spans="1:5" x14ac:dyDescent="0.25">
      <c r="A20144" t="s">
        <v>4</v>
      </c>
      <c r="B20144" t="s">
        <v>4111</v>
      </c>
      <c r="C20144" t="s">
        <v>23490</v>
      </c>
      <c r="D20144" t="str">
        <f>HYPERLINK("https://rhld.insurance.arkansas.gov/NPILookup?Npi=1548680093","1548680093")</f>
        <v>1548680093</v>
      </c>
      <c r="E20144" t="s">
        <v>9115</v>
      </c>
    </row>
    <row r="20145" spans="1:5" x14ac:dyDescent="0.25">
      <c r="A20145" t="s">
        <v>4</v>
      </c>
      <c r="B20145" t="s">
        <v>4111</v>
      </c>
      <c r="C20145" t="s">
        <v>23490</v>
      </c>
      <c r="D20145" t="str">
        <f>HYPERLINK("https://rhld.insurance.arkansas.gov/NPILookup?Npi=1548705577","1548705577")</f>
        <v>1548705577</v>
      </c>
      <c r="E20145" t="s">
        <v>21140</v>
      </c>
    </row>
    <row r="20146" spans="1:5" x14ac:dyDescent="0.25">
      <c r="A20146" t="s">
        <v>4</v>
      </c>
      <c r="B20146" t="s">
        <v>4111</v>
      </c>
      <c r="C20146" t="s">
        <v>23490</v>
      </c>
      <c r="D20146" t="str">
        <f>HYPERLINK("https://rhld.insurance.arkansas.gov/NPILookup?Npi=1548712052","1548712052")</f>
        <v>1548712052</v>
      </c>
      <c r="E20146" t="s">
        <v>11735</v>
      </c>
    </row>
    <row r="20147" spans="1:5" x14ac:dyDescent="0.25">
      <c r="A20147" t="s">
        <v>4</v>
      </c>
      <c r="B20147" t="s">
        <v>4111</v>
      </c>
      <c r="C20147" t="s">
        <v>23490</v>
      </c>
      <c r="D20147" t="str">
        <f>HYPERLINK("https://rhld.insurance.arkansas.gov/NPILookup?Npi=1548745706","1548745706")</f>
        <v>1548745706</v>
      </c>
      <c r="E20147" t="s">
        <v>20513</v>
      </c>
    </row>
    <row r="20148" spans="1:5" x14ac:dyDescent="0.25">
      <c r="A20148" t="s">
        <v>4</v>
      </c>
      <c r="B20148" t="s">
        <v>4111</v>
      </c>
      <c r="C20148" t="s">
        <v>23490</v>
      </c>
      <c r="D20148" t="str">
        <f>HYPERLINK("https://rhld.insurance.arkansas.gov/NPILookup?Npi=1548747462","1548747462")</f>
        <v>1548747462</v>
      </c>
      <c r="E20148" t="s">
        <v>18367</v>
      </c>
    </row>
    <row r="20149" spans="1:5" x14ac:dyDescent="0.25">
      <c r="A20149" t="s">
        <v>4</v>
      </c>
      <c r="B20149" t="s">
        <v>4111</v>
      </c>
      <c r="C20149" t="s">
        <v>23490</v>
      </c>
      <c r="D20149" t="str">
        <f>HYPERLINK("https://rhld.insurance.arkansas.gov/NPILookup?Npi=1548772361","1548772361")</f>
        <v>1548772361</v>
      </c>
      <c r="E20149" t="s">
        <v>22135</v>
      </c>
    </row>
    <row r="20150" spans="1:5" x14ac:dyDescent="0.25">
      <c r="A20150" t="s">
        <v>4</v>
      </c>
      <c r="B20150" t="s">
        <v>4111</v>
      </c>
      <c r="C20150" t="s">
        <v>23490</v>
      </c>
      <c r="D20150" t="str">
        <f>HYPERLINK("https://rhld.insurance.arkansas.gov/NPILookup?Npi=1548774250","1548774250")</f>
        <v>1548774250</v>
      </c>
      <c r="E20150" t="s">
        <v>13155</v>
      </c>
    </row>
    <row r="20151" spans="1:5" x14ac:dyDescent="0.25">
      <c r="A20151" t="s">
        <v>4</v>
      </c>
      <c r="B20151" t="s">
        <v>4111</v>
      </c>
      <c r="C20151" t="s">
        <v>23490</v>
      </c>
      <c r="D20151" t="str">
        <f>HYPERLINK("https://rhld.insurance.arkansas.gov/NPILookup?Npi=1548780471","1548780471")</f>
        <v>1548780471</v>
      </c>
      <c r="E20151" t="s">
        <v>11736</v>
      </c>
    </row>
    <row r="20152" spans="1:5" x14ac:dyDescent="0.25">
      <c r="A20152" t="s">
        <v>4</v>
      </c>
      <c r="B20152" t="s">
        <v>4111</v>
      </c>
      <c r="C20152" t="s">
        <v>23490</v>
      </c>
      <c r="D20152" t="str">
        <f>HYPERLINK("https://rhld.insurance.arkansas.gov/NPILookup?Npi=1548783327","1548783327")</f>
        <v>1548783327</v>
      </c>
      <c r="E20152" t="s">
        <v>17188</v>
      </c>
    </row>
    <row r="20153" spans="1:5" x14ac:dyDescent="0.25">
      <c r="A20153" t="s">
        <v>4</v>
      </c>
      <c r="B20153" t="s">
        <v>4111</v>
      </c>
      <c r="C20153" t="s">
        <v>23490</v>
      </c>
      <c r="D20153" t="str">
        <f>HYPERLINK("https://rhld.insurance.arkansas.gov/NPILookup?Npi=1548803588","1548803588")</f>
        <v>1548803588</v>
      </c>
      <c r="E20153" t="s">
        <v>17189</v>
      </c>
    </row>
    <row r="20154" spans="1:5" x14ac:dyDescent="0.25">
      <c r="A20154" t="s">
        <v>4</v>
      </c>
      <c r="B20154" t="s">
        <v>4111</v>
      </c>
      <c r="C20154" t="s">
        <v>23490</v>
      </c>
      <c r="D20154" t="str">
        <f>HYPERLINK("https://rhld.insurance.arkansas.gov/NPILookup?Npi=1548812472","1548812472")</f>
        <v>1548812472</v>
      </c>
      <c r="E20154" t="s">
        <v>20514</v>
      </c>
    </row>
    <row r="20155" spans="1:5" x14ac:dyDescent="0.25">
      <c r="A20155" t="s">
        <v>4</v>
      </c>
      <c r="B20155" t="s">
        <v>4111</v>
      </c>
      <c r="C20155" t="s">
        <v>23490</v>
      </c>
      <c r="D20155" t="str">
        <f>HYPERLINK("https://rhld.insurance.arkansas.gov/NPILookup?Npi=1548818677","1548818677")</f>
        <v>1548818677</v>
      </c>
      <c r="E20155" t="s">
        <v>17605</v>
      </c>
    </row>
    <row r="20156" spans="1:5" x14ac:dyDescent="0.25">
      <c r="A20156" t="s">
        <v>4</v>
      </c>
      <c r="B20156" t="s">
        <v>4111</v>
      </c>
      <c r="C20156" t="s">
        <v>23490</v>
      </c>
      <c r="D20156" t="str">
        <f>HYPERLINK("https://rhld.insurance.arkansas.gov/NPILookup?Npi=1548829781","1548829781")</f>
        <v>1548829781</v>
      </c>
      <c r="E20156" t="s">
        <v>22136</v>
      </c>
    </row>
    <row r="20157" spans="1:5" x14ac:dyDescent="0.25">
      <c r="A20157" t="s">
        <v>4</v>
      </c>
      <c r="B20157" t="s">
        <v>4111</v>
      </c>
      <c r="C20157" t="s">
        <v>23490</v>
      </c>
      <c r="D20157" t="str">
        <f>HYPERLINK("https://rhld.insurance.arkansas.gov/NPILookup?Npi=1548833759","1548833759")</f>
        <v>1548833759</v>
      </c>
      <c r="E20157" t="s">
        <v>18989</v>
      </c>
    </row>
    <row r="20158" spans="1:5" x14ac:dyDescent="0.25">
      <c r="A20158" t="s">
        <v>4</v>
      </c>
      <c r="B20158" t="s">
        <v>4111</v>
      </c>
      <c r="C20158" t="s">
        <v>23490</v>
      </c>
      <c r="D20158" t="str">
        <f>HYPERLINK("https://rhld.insurance.arkansas.gov/NPILookup?Npi=1548841745","1548841745")</f>
        <v>1548841745</v>
      </c>
      <c r="E20158" t="s">
        <v>18990</v>
      </c>
    </row>
    <row r="20159" spans="1:5" x14ac:dyDescent="0.25">
      <c r="A20159" t="s">
        <v>4</v>
      </c>
      <c r="B20159" t="s">
        <v>4111</v>
      </c>
      <c r="C20159" t="s">
        <v>23490</v>
      </c>
      <c r="D20159" t="str">
        <f>HYPERLINK("https://rhld.insurance.arkansas.gov/NPILookup?Npi=1548851942","1548851942")</f>
        <v>1548851942</v>
      </c>
      <c r="E20159" t="s">
        <v>18368</v>
      </c>
    </row>
    <row r="20160" spans="1:5" x14ac:dyDescent="0.25">
      <c r="A20160" t="s">
        <v>4</v>
      </c>
      <c r="B20160" t="s">
        <v>4111</v>
      </c>
      <c r="C20160" t="s">
        <v>23490</v>
      </c>
      <c r="D20160" t="str">
        <f>HYPERLINK("https://rhld.insurance.arkansas.gov/NPILookup?Npi=1558009563","1558009563")</f>
        <v>1558009563</v>
      </c>
      <c r="E20160" t="s">
        <v>22137</v>
      </c>
    </row>
    <row r="20161" spans="1:5" x14ac:dyDescent="0.25">
      <c r="A20161" t="s">
        <v>4</v>
      </c>
      <c r="B20161" t="s">
        <v>4111</v>
      </c>
      <c r="C20161" t="s">
        <v>8427</v>
      </c>
      <c r="D20161" t="str">
        <f>HYPERLINK("https://rhld.insurance.arkansas.gov/NPILookup?Npi=1558044040","1558044040")</f>
        <v>1558044040</v>
      </c>
      <c r="E20161" t="s">
        <v>23133</v>
      </c>
    </row>
    <row r="20162" spans="1:5" x14ac:dyDescent="0.25">
      <c r="A20162" t="s">
        <v>4</v>
      </c>
      <c r="B20162" t="s">
        <v>4111</v>
      </c>
      <c r="C20162" t="s">
        <v>23490</v>
      </c>
      <c r="D20162" t="str">
        <f>HYPERLINK("https://rhld.insurance.arkansas.gov/NPILookup?Npi=1558305003","1558305003")</f>
        <v>1558305003</v>
      </c>
      <c r="E20162" t="s">
        <v>2045</v>
      </c>
    </row>
    <row r="20163" spans="1:5" x14ac:dyDescent="0.25">
      <c r="A20163" t="s">
        <v>4</v>
      </c>
      <c r="B20163" t="s">
        <v>4111</v>
      </c>
      <c r="C20163" t="s">
        <v>23490</v>
      </c>
      <c r="D20163" t="str">
        <f>HYPERLINK("https://rhld.insurance.arkansas.gov/NPILookup?Npi=1558309641","1558309641")</f>
        <v>1558309641</v>
      </c>
      <c r="E20163" t="s">
        <v>5187</v>
      </c>
    </row>
    <row r="20164" spans="1:5" x14ac:dyDescent="0.25">
      <c r="A20164" t="s">
        <v>4</v>
      </c>
      <c r="B20164" t="s">
        <v>4111</v>
      </c>
      <c r="C20164" t="s">
        <v>23490</v>
      </c>
      <c r="D20164" t="str">
        <f>HYPERLINK("https://rhld.insurance.arkansas.gov/NPILookup?Npi=1558315549","1558315549")</f>
        <v>1558315549</v>
      </c>
      <c r="E20164" t="s">
        <v>5188</v>
      </c>
    </row>
    <row r="20165" spans="1:5" x14ac:dyDescent="0.25">
      <c r="A20165" t="s">
        <v>4</v>
      </c>
      <c r="B20165" t="s">
        <v>4111</v>
      </c>
      <c r="C20165" t="s">
        <v>23490</v>
      </c>
      <c r="D20165" t="str">
        <f>HYPERLINK("https://rhld.insurance.arkansas.gov/NPILookup?Npi=1558332569","1558332569")</f>
        <v>1558332569</v>
      </c>
      <c r="E20165" t="s">
        <v>22138</v>
      </c>
    </row>
    <row r="20166" spans="1:5" x14ac:dyDescent="0.25">
      <c r="A20166" t="s">
        <v>4</v>
      </c>
      <c r="B20166" t="s">
        <v>4111</v>
      </c>
      <c r="C20166" t="s">
        <v>23490</v>
      </c>
      <c r="D20166" t="str">
        <f>HYPERLINK("https://rhld.insurance.arkansas.gov/NPILookup?Npi=1558340612","1558340612")</f>
        <v>1558340612</v>
      </c>
      <c r="E20166" t="s">
        <v>14119</v>
      </c>
    </row>
    <row r="20167" spans="1:5" x14ac:dyDescent="0.25">
      <c r="A20167" t="s">
        <v>4</v>
      </c>
      <c r="B20167" t="s">
        <v>4111</v>
      </c>
      <c r="C20167" t="s">
        <v>23490</v>
      </c>
      <c r="D20167" t="str">
        <f>HYPERLINK("https://rhld.insurance.arkansas.gov/NPILookup?Npi=1558350306","1558350306")</f>
        <v>1558350306</v>
      </c>
      <c r="E20167" t="s">
        <v>5189</v>
      </c>
    </row>
    <row r="20168" spans="1:5" x14ac:dyDescent="0.25">
      <c r="A20168" t="s">
        <v>4</v>
      </c>
      <c r="B20168" t="s">
        <v>4111</v>
      </c>
      <c r="C20168" t="s">
        <v>23490</v>
      </c>
      <c r="D20168" t="str">
        <f>HYPERLINK("https://rhld.insurance.arkansas.gov/NPILookup?Npi=1558359463","1558359463")</f>
        <v>1558359463</v>
      </c>
      <c r="E20168" t="s">
        <v>5190</v>
      </c>
    </row>
    <row r="20169" spans="1:5" x14ac:dyDescent="0.25">
      <c r="A20169" t="s">
        <v>4</v>
      </c>
      <c r="B20169" t="s">
        <v>4111</v>
      </c>
      <c r="C20169" t="s">
        <v>23490</v>
      </c>
      <c r="D20169" t="str">
        <f>HYPERLINK("https://rhld.insurance.arkansas.gov/NPILookup?Npi=1558371674","1558371674")</f>
        <v>1558371674</v>
      </c>
      <c r="E20169" t="s">
        <v>5191</v>
      </c>
    </row>
    <row r="20170" spans="1:5" x14ac:dyDescent="0.25">
      <c r="A20170" t="s">
        <v>4</v>
      </c>
      <c r="B20170" t="s">
        <v>4111</v>
      </c>
      <c r="C20170" t="s">
        <v>23490</v>
      </c>
      <c r="D20170" t="str">
        <f>HYPERLINK("https://rhld.insurance.arkansas.gov/NPILookup?Npi=1558398883","1558398883")</f>
        <v>1558398883</v>
      </c>
      <c r="E20170" t="s">
        <v>9116</v>
      </c>
    </row>
    <row r="20171" spans="1:5" x14ac:dyDescent="0.25">
      <c r="A20171" t="s">
        <v>4</v>
      </c>
      <c r="B20171" t="s">
        <v>4111</v>
      </c>
      <c r="C20171" t="s">
        <v>23490</v>
      </c>
      <c r="D20171" t="str">
        <f>HYPERLINK("https://rhld.insurance.arkansas.gov/NPILookup?Npi=1558402487","1558402487")</f>
        <v>1558402487</v>
      </c>
      <c r="E20171" t="s">
        <v>5192</v>
      </c>
    </row>
    <row r="20172" spans="1:5" x14ac:dyDescent="0.25">
      <c r="A20172" t="s">
        <v>4</v>
      </c>
      <c r="B20172" t="s">
        <v>4111</v>
      </c>
      <c r="C20172" t="s">
        <v>23490</v>
      </c>
      <c r="D20172" t="str">
        <f>HYPERLINK("https://rhld.insurance.arkansas.gov/NPILookup?Npi=1558405761","1558405761")</f>
        <v>1558405761</v>
      </c>
      <c r="E20172" t="s">
        <v>5193</v>
      </c>
    </row>
    <row r="20173" spans="1:5" x14ac:dyDescent="0.25">
      <c r="A20173" t="s">
        <v>4</v>
      </c>
      <c r="B20173" t="s">
        <v>4111</v>
      </c>
      <c r="C20173" t="s">
        <v>23490</v>
      </c>
      <c r="D20173" t="str">
        <f>HYPERLINK("https://rhld.insurance.arkansas.gov/NPILookup?Npi=1558431684","1558431684")</f>
        <v>1558431684</v>
      </c>
      <c r="E20173" t="s">
        <v>5194</v>
      </c>
    </row>
    <row r="20174" spans="1:5" x14ac:dyDescent="0.25">
      <c r="A20174" t="s">
        <v>4</v>
      </c>
      <c r="B20174" t="s">
        <v>4111</v>
      </c>
      <c r="C20174" t="s">
        <v>23490</v>
      </c>
      <c r="D20174" t="str">
        <f>HYPERLINK("https://rhld.insurance.arkansas.gov/NPILookup?Npi=1558435842","1558435842")</f>
        <v>1558435842</v>
      </c>
      <c r="E20174" t="s">
        <v>5195</v>
      </c>
    </row>
    <row r="20175" spans="1:5" x14ac:dyDescent="0.25">
      <c r="A20175" t="s">
        <v>4</v>
      </c>
      <c r="B20175" t="s">
        <v>4111</v>
      </c>
      <c r="C20175" t="s">
        <v>23490</v>
      </c>
      <c r="D20175" t="str">
        <f>HYPERLINK("https://rhld.insurance.arkansas.gov/NPILookup?Npi=1558469163","1558469163")</f>
        <v>1558469163</v>
      </c>
      <c r="E20175" t="s">
        <v>746</v>
      </c>
    </row>
    <row r="20176" spans="1:5" x14ac:dyDescent="0.25">
      <c r="A20176" t="s">
        <v>4</v>
      </c>
      <c r="B20176" t="s">
        <v>4111</v>
      </c>
      <c r="C20176" t="s">
        <v>23490</v>
      </c>
      <c r="D20176" t="str">
        <f>HYPERLINK("https://rhld.insurance.arkansas.gov/NPILookup?Npi=1558491209","1558491209")</f>
        <v>1558491209</v>
      </c>
      <c r="E20176" t="s">
        <v>5196</v>
      </c>
    </row>
    <row r="20177" spans="1:5" x14ac:dyDescent="0.25">
      <c r="A20177" t="s">
        <v>4</v>
      </c>
      <c r="B20177" t="s">
        <v>4111</v>
      </c>
      <c r="C20177" t="s">
        <v>23490</v>
      </c>
      <c r="D20177" t="str">
        <f>HYPERLINK("https://rhld.insurance.arkansas.gov/NPILookup?Npi=1558513119","1558513119")</f>
        <v>1558513119</v>
      </c>
      <c r="E20177" t="s">
        <v>17190</v>
      </c>
    </row>
    <row r="20178" spans="1:5" x14ac:dyDescent="0.25">
      <c r="A20178" t="s">
        <v>4</v>
      </c>
      <c r="B20178" t="s">
        <v>4111</v>
      </c>
      <c r="C20178" t="s">
        <v>23490</v>
      </c>
      <c r="D20178" t="str">
        <f>HYPERLINK("https://rhld.insurance.arkansas.gov/NPILookup?Npi=1558521872","1558521872")</f>
        <v>1558521872</v>
      </c>
      <c r="E20178" t="s">
        <v>5197</v>
      </c>
    </row>
    <row r="20179" spans="1:5" x14ac:dyDescent="0.25">
      <c r="A20179" t="s">
        <v>4</v>
      </c>
      <c r="B20179" t="s">
        <v>4111</v>
      </c>
      <c r="C20179" t="s">
        <v>23490</v>
      </c>
      <c r="D20179" t="str">
        <f>HYPERLINK("https://rhld.insurance.arkansas.gov/NPILookup?Npi=1558526079","1558526079")</f>
        <v>1558526079</v>
      </c>
      <c r="E20179" t="s">
        <v>17606</v>
      </c>
    </row>
    <row r="20180" spans="1:5" x14ac:dyDescent="0.25">
      <c r="A20180" t="s">
        <v>4</v>
      </c>
      <c r="B20180" t="s">
        <v>4111</v>
      </c>
      <c r="C20180" t="s">
        <v>23490</v>
      </c>
      <c r="D20180" t="str">
        <f>HYPERLINK("https://rhld.insurance.arkansas.gov/NPILookup?Npi=1558529966","1558529966")</f>
        <v>1558529966</v>
      </c>
      <c r="E20180" t="s">
        <v>18545</v>
      </c>
    </row>
    <row r="20181" spans="1:5" x14ac:dyDescent="0.25">
      <c r="A20181" t="s">
        <v>4</v>
      </c>
      <c r="B20181" t="s">
        <v>4111</v>
      </c>
      <c r="C20181" t="s">
        <v>23490</v>
      </c>
      <c r="D20181" t="str">
        <f>HYPERLINK("https://rhld.insurance.arkansas.gov/NPILookup?Npi=1558540484","1558540484")</f>
        <v>1558540484</v>
      </c>
      <c r="E20181" t="s">
        <v>20515</v>
      </c>
    </row>
    <row r="20182" spans="1:5" x14ac:dyDescent="0.25">
      <c r="A20182" t="s">
        <v>4</v>
      </c>
      <c r="B20182" t="s">
        <v>4111</v>
      </c>
      <c r="C20182" t="s">
        <v>23490</v>
      </c>
      <c r="D20182" t="str">
        <f>HYPERLINK("https://rhld.insurance.arkansas.gov/NPILookup?Npi=1558545897","1558545897")</f>
        <v>1558545897</v>
      </c>
      <c r="E20182" t="s">
        <v>10925</v>
      </c>
    </row>
    <row r="20183" spans="1:5" x14ac:dyDescent="0.25">
      <c r="A20183" t="s">
        <v>4</v>
      </c>
      <c r="B20183" t="s">
        <v>4111</v>
      </c>
      <c r="C20183" t="s">
        <v>23490</v>
      </c>
      <c r="D20183" t="str">
        <f>HYPERLINK("https://rhld.insurance.arkansas.gov/NPILookup?Npi=1558569442","1558569442")</f>
        <v>1558569442</v>
      </c>
      <c r="E20183" t="s">
        <v>5198</v>
      </c>
    </row>
    <row r="20184" spans="1:5" x14ac:dyDescent="0.25">
      <c r="A20184" t="s">
        <v>4</v>
      </c>
      <c r="B20184" t="s">
        <v>4111</v>
      </c>
      <c r="C20184" t="s">
        <v>23490</v>
      </c>
      <c r="D20184" t="str">
        <f>HYPERLINK("https://rhld.insurance.arkansas.gov/NPILookup?Npi=1558574566","1558574566")</f>
        <v>1558574566</v>
      </c>
      <c r="E20184" t="s">
        <v>5199</v>
      </c>
    </row>
    <row r="20185" spans="1:5" x14ac:dyDescent="0.25">
      <c r="A20185" t="s">
        <v>4</v>
      </c>
      <c r="B20185" t="s">
        <v>4111</v>
      </c>
      <c r="C20185" t="s">
        <v>23490</v>
      </c>
      <c r="D20185" t="str">
        <f>HYPERLINK("https://rhld.insurance.arkansas.gov/NPILookup?Npi=1558588590","1558588590")</f>
        <v>1558588590</v>
      </c>
      <c r="E20185" t="s">
        <v>5200</v>
      </c>
    </row>
    <row r="20186" spans="1:5" x14ac:dyDescent="0.25">
      <c r="A20186" t="s">
        <v>4</v>
      </c>
      <c r="B20186" t="s">
        <v>4111</v>
      </c>
      <c r="C20186" t="s">
        <v>23490</v>
      </c>
      <c r="D20186" t="str">
        <f>HYPERLINK("https://rhld.insurance.arkansas.gov/NPILookup?Npi=1558633040","1558633040")</f>
        <v>1558633040</v>
      </c>
      <c r="E20186" t="s">
        <v>5201</v>
      </c>
    </row>
    <row r="20187" spans="1:5" x14ac:dyDescent="0.25">
      <c r="A20187" t="s">
        <v>4</v>
      </c>
      <c r="B20187" t="s">
        <v>4111</v>
      </c>
      <c r="C20187" t="s">
        <v>23490</v>
      </c>
      <c r="D20187" t="str">
        <f>HYPERLINK("https://rhld.insurance.arkansas.gov/NPILookup?Npi=1558647214","1558647214")</f>
        <v>1558647214</v>
      </c>
      <c r="E20187" t="s">
        <v>11737</v>
      </c>
    </row>
    <row r="20188" spans="1:5" x14ac:dyDescent="0.25">
      <c r="A20188" t="s">
        <v>4</v>
      </c>
      <c r="B20188" t="s">
        <v>4111</v>
      </c>
      <c r="C20188" t="s">
        <v>23490</v>
      </c>
      <c r="D20188" t="str">
        <f>HYPERLINK("https://rhld.insurance.arkansas.gov/NPILookup?Npi=1558655654","1558655654")</f>
        <v>1558655654</v>
      </c>
      <c r="E20188" t="s">
        <v>13156</v>
      </c>
    </row>
    <row r="20189" spans="1:5" x14ac:dyDescent="0.25">
      <c r="A20189" t="s">
        <v>4</v>
      </c>
      <c r="B20189" t="s">
        <v>4111</v>
      </c>
      <c r="C20189" t="s">
        <v>23490</v>
      </c>
      <c r="D20189" t="str">
        <f>HYPERLINK("https://rhld.insurance.arkansas.gov/NPILookup?Npi=1558686568","1558686568")</f>
        <v>1558686568</v>
      </c>
      <c r="E20189" t="s">
        <v>5202</v>
      </c>
    </row>
    <row r="20190" spans="1:5" x14ac:dyDescent="0.25">
      <c r="A20190" t="s">
        <v>4</v>
      </c>
      <c r="B20190" t="s">
        <v>4111</v>
      </c>
      <c r="C20190" t="s">
        <v>23490</v>
      </c>
      <c r="D20190" t="str">
        <f>HYPERLINK("https://rhld.insurance.arkansas.gov/NPILookup?Npi=1558691212","1558691212")</f>
        <v>1558691212</v>
      </c>
      <c r="E20190" t="s">
        <v>5203</v>
      </c>
    </row>
    <row r="20191" spans="1:5" x14ac:dyDescent="0.25">
      <c r="A20191" t="s">
        <v>4</v>
      </c>
      <c r="B20191" t="s">
        <v>4111</v>
      </c>
      <c r="C20191" t="s">
        <v>23490</v>
      </c>
      <c r="D20191" t="str">
        <f>HYPERLINK("https://rhld.insurance.arkansas.gov/NPILookup?Npi=1558693101","1558693101")</f>
        <v>1558693101</v>
      </c>
      <c r="E20191" t="s">
        <v>11738</v>
      </c>
    </row>
    <row r="20192" spans="1:5" x14ac:dyDescent="0.25">
      <c r="A20192" t="s">
        <v>4</v>
      </c>
      <c r="B20192" t="s">
        <v>4111</v>
      </c>
      <c r="C20192" t="s">
        <v>23490</v>
      </c>
      <c r="D20192" t="str">
        <f>HYPERLINK("https://rhld.insurance.arkansas.gov/NPILookup?Npi=1558693390","1558693390")</f>
        <v>1558693390</v>
      </c>
      <c r="E20192" t="s">
        <v>5204</v>
      </c>
    </row>
    <row r="20193" spans="1:5" x14ac:dyDescent="0.25">
      <c r="A20193" t="s">
        <v>4</v>
      </c>
      <c r="B20193" t="s">
        <v>4111</v>
      </c>
      <c r="C20193" t="s">
        <v>23490</v>
      </c>
      <c r="D20193" t="str">
        <f>HYPERLINK("https://rhld.insurance.arkansas.gov/NPILookup?Npi=1558694612","1558694612")</f>
        <v>1558694612</v>
      </c>
      <c r="E20193" t="s">
        <v>14120</v>
      </c>
    </row>
    <row r="20194" spans="1:5" x14ac:dyDescent="0.25">
      <c r="A20194" t="s">
        <v>4</v>
      </c>
      <c r="B20194" t="s">
        <v>4111</v>
      </c>
      <c r="C20194" t="s">
        <v>23490</v>
      </c>
      <c r="D20194" t="str">
        <f>HYPERLINK("https://rhld.insurance.arkansas.gov/NPILookup?Npi=1558707257","1558707257")</f>
        <v>1558707257</v>
      </c>
      <c r="E20194" t="s">
        <v>11739</v>
      </c>
    </row>
    <row r="20195" spans="1:5" x14ac:dyDescent="0.25">
      <c r="A20195" t="s">
        <v>4</v>
      </c>
      <c r="B20195" t="s">
        <v>4111</v>
      </c>
      <c r="C20195" t="s">
        <v>23490</v>
      </c>
      <c r="D20195" t="str">
        <f>HYPERLINK("https://rhld.insurance.arkansas.gov/NPILookup?Npi=1558718320","1558718320")</f>
        <v>1558718320</v>
      </c>
      <c r="E20195" t="s">
        <v>17191</v>
      </c>
    </row>
    <row r="20196" spans="1:5" x14ac:dyDescent="0.25">
      <c r="A20196" t="s">
        <v>4</v>
      </c>
      <c r="B20196" t="s">
        <v>4111</v>
      </c>
      <c r="C20196" t="s">
        <v>23490</v>
      </c>
      <c r="D20196" t="str">
        <f>HYPERLINK("https://rhld.insurance.arkansas.gov/NPILookup?Npi=1558721878","1558721878")</f>
        <v>1558721878</v>
      </c>
      <c r="E20196" t="s">
        <v>14121</v>
      </c>
    </row>
    <row r="20197" spans="1:5" x14ac:dyDescent="0.25">
      <c r="A20197" t="s">
        <v>4</v>
      </c>
      <c r="B20197" t="s">
        <v>4111</v>
      </c>
      <c r="C20197" t="s">
        <v>23490</v>
      </c>
      <c r="D20197" t="str">
        <f>HYPERLINK("https://rhld.insurance.arkansas.gov/NPILookup?Npi=1558732800","1558732800")</f>
        <v>1558732800</v>
      </c>
      <c r="E20197" t="s">
        <v>21423</v>
      </c>
    </row>
    <row r="20198" spans="1:5" x14ac:dyDescent="0.25">
      <c r="A20198" t="s">
        <v>4</v>
      </c>
      <c r="B20198" t="s">
        <v>4111</v>
      </c>
      <c r="C20198" t="s">
        <v>23490</v>
      </c>
      <c r="D20198" t="str">
        <f>HYPERLINK("https://rhld.insurance.arkansas.gov/NPILookup?Npi=1558738021","1558738021")</f>
        <v>1558738021</v>
      </c>
      <c r="E20198" t="s">
        <v>14122</v>
      </c>
    </row>
    <row r="20199" spans="1:5" x14ac:dyDescent="0.25">
      <c r="A20199" t="s">
        <v>4</v>
      </c>
      <c r="B20199" t="s">
        <v>4111</v>
      </c>
      <c r="C20199" t="s">
        <v>23490</v>
      </c>
      <c r="D20199" t="str">
        <f>HYPERLINK("https://rhld.insurance.arkansas.gov/NPILookup?Npi=1558752634","1558752634")</f>
        <v>1558752634</v>
      </c>
      <c r="E20199" t="s">
        <v>11740</v>
      </c>
    </row>
    <row r="20200" spans="1:5" x14ac:dyDescent="0.25">
      <c r="A20200" t="s">
        <v>4</v>
      </c>
      <c r="B20200" t="s">
        <v>4111</v>
      </c>
      <c r="C20200" t="s">
        <v>23490</v>
      </c>
      <c r="D20200" t="str">
        <f>HYPERLINK("https://rhld.insurance.arkansas.gov/NPILookup?Npi=1558771634","1558771634")</f>
        <v>1558771634</v>
      </c>
      <c r="E20200" t="s">
        <v>17607</v>
      </c>
    </row>
    <row r="20201" spans="1:5" x14ac:dyDescent="0.25">
      <c r="A20201" t="s">
        <v>4</v>
      </c>
      <c r="B20201" t="s">
        <v>4111</v>
      </c>
      <c r="C20201" t="s">
        <v>23490</v>
      </c>
      <c r="D20201" t="str">
        <f>HYPERLINK("https://rhld.insurance.arkansas.gov/NPILookup?Npi=1558777896","1558777896")</f>
        <v>1558777896</v>
      </c>
      <c r="E20201" t="s">
        <v>13157</v>
      </c>
    </row>
    <row r="20202" spans="1:5" x14ac:dyDescent="0.25">
      <c r="A20202" t="s">
        <v>4</v>
      </c>
      <c r="B20202" t="s">
        <v>4111</v>
      </c>
      <c r="C20202" t="s">
        <v>23490</v>
      </c>
      <c r="D20202" t="str">
        <f>HYPERLINK("https://rhld.insurance.arkansas.gov/NPILookup?Npi=1558779272","1558779272")</f>
        <v>1558779272</v>
      </c>
      <c r="E20202" t="s">
        <v>13158</v>
      </c>
    </row>
    <row r="20203" spans="1:5" x14ac:dyDescent="0.25">
      <c r="A20203" t="s">
        <v>4</v>
      </c>
      <c r="B20203" t="s">
        <v>4111</v>
      </c>
      <c r="C20203" t="s">
        <v>23490</v>
      </c>
      <c r="D20203" t="str">
        <f>HYPERLINK("https://rhld.insurance.arkansas.gov/NPILookup?Npi=1558790063","1558790063")</f>
        <v>1558790063</v>
      </c>
      <c r="E20203" t="s">
        <v>22139</v>
      </c>
    </row>
    <row r="20204" spans="1:5" x14ac:dyDescent="0.25">
      <c r="A20204" t="s">
        <v>4</v>
      </c>
      <c r="B20204" t="s">
        <v>4111</v>
      </c>
      <c r="C20204" t="s">
        <v>23490</v>
      </c>
      <c r="D20204" t="str">
        <f>HYPERLINK("https://rhld.insurance.arkansas.gov/NPILookup?Npi=1558809426","1558809426")</f>
        <v>1558809426</v>
      </c>
      <c r="E20204" t="s">
        <v>13159</v>
      </c>
    </row>
    <row r="20205" spans="1:5" x14ac:dyDescent="0.25">
      <c r="A20205" t="s">
        <v>4</v>
      </c>
      <c r="B20205" t="s">
        <v>4111</v>
      </c>
      <c r="C20205" t="s">
        <v>23490</v>
      </c>
      <c r="D20205" t="str">
        <f>HYPERLINK("https://rhld.insurance.arkansas.gov/NPILookup?Npi=1558825356","1558825356")</f>
        <v>1558825356</v>
      </c>
      <c r="E20205" t="s">
        <v>17192</v>
      </c>
    </row>
    <row r="20206" spans="1:5" x14ac:dyDescent="0.25">
      <c r="A20206" t="s">
        <v>4</v>
      </c>
      <c r="B20206" t="s">
        <v>4111</v>
      </c>
      <c r="C20206" t="s">
        <v>23490</v>
      </c>
      <c r="D20206" t="str">
        <f>HYPERLINK("https://rhld.insurance.arkansas.gov/NPILookup?Npi=1558886994","1558886994")</f>
        <v>1558886994</v>
      </c>
      <c r="E20206" t="s">
        <v>13160</v>
      </c>
    </row>
    <row r="20207" spans="1:5" x14ac:dyDescent="0.25">
      <c r="A20207" t="s">
        <v>4</v>
      </c>
      <c r="B20207" t="s">
        <v>4111</v>
      </c>
      <c r="C20207" t="s">
        <v>23490</v>
      </c>
      <c r="D20207" t="str">
        <f>HYPERLINK("https://rhld.insurance.arkansas.gov/NPILookup?Npi=1558920694","1558920694")</f>
        <v>1558920694</v>
      </c>
      <c r="E20207" t="s">
        <v>21141</v>
      </c>
    </row>
    <row r="20208" spans="1:5" x14ac:dyDescent="0.25">
      <c r="A20208" t="s">
        <v>4</v>
      </c>
      <c r="B20208" t="s">
        <v>4111</v>
      </c>
      <c r="C20208" t="s">
        <v>23490</v>
      </c>
      <c r="D20208" t="str">
        <f>HYPERLINK("https://rhld.insurance.arkansas.gov/NPILookup?Npi=1558921700","1558921700")</f>
        <v>1558921700</v>
      </c>
      <c r="E20208" t="s">
        <v>16151</v>
      </c>
    </row>
    <row r="20209" spans="1:5" x14ac:dyDescent="0.25">
      <c r="A20209" t="s">
        <v>4</v>
      </c>
      <c r="B20209" t="s">
        <v>4111</v>
      </c>
      <c r="C20209" t="s">
        <v>23490</v>
      </c>
      <c r="D20209" t="str">
        <f>HYPERLINK("https://rhld.insurance.arkansas.gov/NPILookup?Npi=1558956854","1558956854")</f>
        <v>1558956854</v>
      </c>
      <c r="E20209" t="s">
        <v>18369</v>
      </c>
    </row>
    <row r="20210" spans="1:5" x14ac:dyDescent="0.25">
      <c r="A20210" t="s">
        <v>4</v>
      </c>
      <c r="B20210" t="s">
        <v>4111</v>
      </c>
      <c r="C20210" t="s">
        <v>23490</v>
      </c>
      <c r="D20210" t="str">
        <f>HYPERLINK("https://rhld.insurance.arkansas.gov/NPILookup?Npi=1558960310","1558960310")</f>
        <v>1558960310</v>
      </c>
      <c r="E20210" t="s">
        <v>22140</v>
      </c>
    </row>
    <row r="20211" spans="1:5" x14ac:dyDescent="0.25">
      <c r="A20211" t="s">
        <v>4</v>
      </c>
      <c r="B20211" t="s">
        <v>4111</v>
      </c>
      <c r="C20211" t="s">
        <v>23490</v>
      </c>
      <c r="D20211" t="str">
        <f>HYPERLINK("https://rhld.insurance.arkansas.gov/NPILookup?Npi=1568019800","1568019800")</f>
        <v>1568019800</v>
      </c>
      <c r="E20211" t="s">
        <v>22141</v>
      </c>
    </row>
    <row r="20212" spans="1:5" x14ac:dyDescent="0.25">
      <c r="A20212" t="s">
        <v>4</v>
      </c>
      <c r="B20212" t="s">
        <v>4111</v>
      </c>
      <c r="C20212" t="s">
        <v>23490</v>
      </c>
      <c r="D20212" t="str">
        <f>HYPERLINK("https://rhld.insurance.arkansas.gov/NPILookup?Npi=1568095917","1568095917")</f>
        <v>1568095917</v>
      </c>
      <c r="E20212" t="s">
        <v>18370</v>
      </c>
    </row>
    <row r="20213" spans="1:5" x14ac:dyDescent="0.25">
      <c r="A20213" t="s">
        <v>4</v>
      </c>
      <c r="B20213" t="s">
        <v>4111</v>
      </c>
      <c r="C20213" t="s">
        <v>23490</v>
      </c>
      <c r="D20213" t="str">
        <f>HYPERLINK("https://rhld.insurance.arkansas.gov/NPILookup?Npi=1568118990","1568118990")</f>
        <v>1568118990</v>
      </c>
      <c r="E20213" t="s">
        <v>1215</v>
      </c>
    </row>
    <row r="20214" spans="1:5" x14ac:dyDescent="0.25">
      <c r="A20214" t="s">
        <v>4</v>
      </c>
      <c r="B20214" t="s">
        <v>4111</v>
      </c>
      <c r="C20214" t="s">
        <v>23490</v>
      </c>
      <c r="D20214" t="str">
        <f>HYPERLINK("https://rhld.insurance.arkansas.gov/NPILookup?Npi=1568131076","1568131076")</f>
        <v>1568131076</v>
      </c>
      <c r="E20214" t="s">
        <v>20516</v>
      </c>
    </row>
    <row r="20215" spans="1:5" x14ac:dyDescent="0.25">
      <c r="A20215" t="s">
        <v>4</v>
      </c>
      <c r="B20215" t="s">
        <v>4111</v>
      </c>
      <c r="C20215" t="s">
        <v>23490</v>
      </c>
      <c r="D20215" t="str">
        <f>HYPERLINK("https://rhld.insurance.arkansas.gov/NPILookup?Npi=1568198448","1568198448")</f>
        <v>1568198448</v>
      </c>
      <c r="E20215" t="s">
        <v>22142</v>
      </c>
    </row>
    <row r="20216" spans="1:5" x14ac:dyDescent="0.25">
      <c r="A20216" t="s">
        <v>4</v>
      </c>
      <c r="B20216" t="s">
        <v>4111</v>
      </c>
      <c r="C20216" t="s">
        <v>23490</v>
      </c>
      <c r="D20216" t="str">
        <f>HYPERLINK("https://rhld.insurance.arkansas.gov/NPILookup?Npi=1568401602","1568401602")</f>
        <v>1568401602</v>
      </c>
      <c r="E20216" t="s">
        <v>5205</v>
      </c>
    </row>
    <row r="20217" spans="1:5" x14ac:dyDescent="0.25">
      <c r="A20217" t="s">
        <v>4</v>
      </c>
      <c r="B20217" t="s">
        <v>4111</v>
      </c>
      <c r="C20217" t="s">
        <v>23490</v>
      </c>
      <c r="D20217" t="str">
        <f>HYPERLINK("https://rhld.insurance.arkansas.gov/NPILookup?Npi=1568412674","1568412674")</f>
        <v>1568412674</v>
      </c>
      <c r="E20217" t="s">
        <v>5206</v>
      </c>
    </row>
    <row r="20218" spans="1:5" x14ac:dyDescent="0.25">
      <c r="A20218" t="s">
        <v>4</v>
      </c>
      <c r="B20218" t="s">
        <v>4111</v>
      </c>
      <c r="C20218" t="s">
        <v>23490</v>
      </c>
      <c r="D20218" t="str">
        <f>HYPERLINK("https://rhld.insurance.arkansas.gov/NPILookup?Npi=1568414191","1568414191")</f>
        <v>1568414191</v>
      </c>
      <c r="E20218" t="s">
        <v>9117</v>
      </c>
    </row>
    <row r="20219" spans="1:5" x14ac:dyDescent="0.25">
      <c r="A20219" t="s">
        <v>4</v>
      </c>
      <c r="B20219" t="s">
        <v>4111</v>
      </c>
      <c r="C20219" t="s">
        <v>23490</v>
      </c>
      <c r="D20219" t="str">
        <f>HYPERLINK("https://rhld.insurance.arkansas.gov/NPILookup?Npi=1568422095","1568422095")</f>
        <v>1568422095</v>
      </c>
      <c r="E20219" t="s">
        <v>5207</v>
      </c>
    </row>
    <row r="20220" spans="1:5" x14ac:dyDescent="0.25">
      <c r="A20220" t="s">
        <v>4</v>
      </c>
      <c r="B20220" t="s">
        <v>4111</v>
      </c>
      <c r="C20220" t="s">
        <v>23490</v>
      </c>
      <c r="D20220" t="str">
        <f>HYPERLINK("https://rhld.insurance.arkansas.gov/NPILookup?Npi=1568425643","1568425643")</f>
        <v>1568425643</v>
      </c>
      <c r="E20220" t="s">
        <v>5208</v>
      </c>
    </row>
    <row r="20221" spans="1:5" x14ac:dyDescent="0.25">
      <c r="A20221" t="s">
        <v>4</v>
      </c>
      <c r="B20221" t="s">
        <v>4111</v>
      </c>
      <c r="C20221" t="s">
        <v>23490</v>
      </c>
      <c r="D20221" t="str">
        <f>HYPERLINK("https://rhld.insurance.arkansas.gov/NPILookup?Npi=1568438505","1568438505")</f>
        <v>1568438505</v>
      </c>
      <c r="E20221" t="s">
        <v>22143</v>
      </c>
    </row>
    <row r="20222" spans="1:5" x14ac:dyDescent="0.25">
      <c r="A20222" t="s">
        <v>4</v>
      </c>
      <c r="B20222" t="s">
        <v>4111</v>
      </c>
      <c r="C20222" t="s">
        <v>23490</v>
      </c>
      <c r="D20222" t="str">
        <f>HYPERLINK("https://rhld.insurance.arkansas.gov/NPILookup?Npi=1568444511","1568444511")</f>
        <v>1568444511</v>
      </c>
      <c r="E20222" t="s">
        <v>5209</v>
      </c>
    </row>
    <row r="20223" spans="1:5" x14ac:dyDescent="0.25">
      <c r="A20223" t="s">
        <v>4</v>
      </c>
      <c r="B20223" t="s">
        <v>4111</v>
      </c>
      <c r="C20223" t="s">
        <v>23490</v>
      </c>
      <c r="D20223" t="str">
        <f>HYPERLINK("https://rhld.insurance.arkansas.gov/NPILookup?Npi=1568494532","1568494532")</f>
        <v>1568494532</v>
      </c>
      <c r="E20223" t="s">
        <v>5210</v>
      </c>
    </row>
    <row r="20224" spans="1:5" x14ac:dyDescent="0.25">
      <c r="A20224" t="s">
        <v>4</v>
      </c>
      <c r="B20224" t="s">
        <v>4111</v>
      </c>
      <c r="C20224" t="s">
        <v>23490</v>
      </c>
      <c r="D20224" t="str">
        <f>HYPERLINK("https://rhld.insurance.arkansas.gov/NPILookup?Npi=1568498707","1568498707")</f>
        <v>1568498707</v>
      </c>
      <c r="E20224" t="s">
        <v>5211</v>
      </c>
    </row>
    <row r="20225" spans="1:5" x14ac:dyDescent="0.25">
      <c r="A20225" t="s">
        <v>4</v>
      </c>
      <c r="B20225" t="s">
        <v>4111</v>
      </c>
      <c r="C20225" t="s">
        <v>23490</v>
      </c>
      <c r="D20225" t="str">
        <f>HYPERLINK("https://rhld.insurance.arkansas.gov/NPILookup?Npi=1568510105","1568510105")</f>
        <v>1568510105</v>
      </c>
      <c r="E20225" t="s">
        <v>22144</v>
      </c>
    </row>
    <row r="20226" spans="1:5" x14ac:dyDescent="0.25">
      <c r="A20226" t="s">
        <v>4</v>
      </c>
      <c r="B20226" t="s">
        <v>4111</v>
      </c>
      <c r="C20226" t="s">
        <v>23490</v>
      </c>
      <c r="D20226" t="str">
        <f>HYPERLINK("https://rhld.insurance.arkansas.gov/NPILookup?Npi=1568513281","1568513281")</f>
        <v>1568513281</v>
      </c>
      <c r="E20226" t="s">
        <v>5212</v>
      </c>
    </row>
    <row r="20227" spans="1:5" x14ac:dyDescent="0.25">
      <c r="A20227" t="s">
        <v>4</v>
      </c>
      <c r="B20227" t="s">
        <v>4111</v>
      </c>
      <c r="C20227" t="s">
        <v>23490</v>
      </c>
      <c r="D20227" t="str">
        <f>HYPERLINK("https://rhld.insurance.arkansas.gov/NPILookup?Npi=1568539765","1568539765")</f>
        <v>1568539765</v>
      </c>
      <c r="E20227" t="s">
        <v>5213</v>
      </c>
    </row>
    <row r="20228" spans="1:5" x14ac:dyDescent="0.25">
      <c r="A20228" t="s">
        <v>4</v>
      </c>
      <c r="B20228" t="s">
        <v>4111</v>
      </c>
      <c r="C20228" t="s">
        <v>23490</v>
      </c>
      <c r="D20228" t="str">
        <f>HYPERLINK("https://rhld.insurance.arkansas.gov/NPILookup?Npi=1568552123","1568552123")</f>
        <v>1568552123</v>
      </c>
      <c r="E20228" t="s">
        <v>5214</v>
      </c>
    </row>
    <row r="20229" spans="1:5" x14ac:dyDescent="0.25">
      <c r="A20229" t="s">
        <v>4</v>
      </c>
      <c r="B20229" t="s">
        <v>4111</v>
      </c>
      <c r="C20229" t="s">
        <v>23490</v>
      </c>
      <c r="D20229" t="str">
        <f>HYPERLINK("https://rhld.insurance.arkansas.gov/NPILookup?Npi=1568595742","1568595742")</f>
        <v>1568595742</v>
      </c>
      <c r="E20229" t="s">
        <v>5215</v>
      </c>
    </row>
    <row r="20230" spans="1:5" x14ac:dyDescent="0.25">
      <c r="A20230" t="s">
        <v>4</v>
      </c>
      <c r="B20230" t="s">
        <v>4111</v>
      </c>
      <c r="C20230" t="s">
        <v>23490</v>
      </c>
      <c r="D20230" t="str">
        <f>HYPERLINK("https://rhld.insurance.arkansas.gov/NPILookup?Npi=1568611309","1568611309")</f>
        <v>1568611309</v>
      </c>
      <c r="E20230" t="s">
        <v>14123</v>
      </c>
    </row>
    <row r="20231" spans="1:5" x14ac:dyDescent="0.25">
      <c r="A20231" t="s">
        <v>4</v>
      </c>
      <c r="B20231" t="s">
        <v>4111</v>
      </c>
      <c r="C20231" t="s">
        <v>23490</v>
      </c>
      <c r="D20231" t="str">
        <f>HYPERLINK("https://rhld.insurance.arkansas.gov/NPILookup?Npi=1568613891","1568613891")</f>
        <v>1568613891</v>
      </c>
      <c r="E20231" t="s">
        <v>5216</v>
      </c>
    </row>
    <row r="20232" spans="1:5" x14ac:dyDescent="0.25">
      <c r="A20232" t="s">
        <v>4</v>
      </c>
      <c r="B20232" t="s">
        <v>4111</v>
      </c>
      <c r="C20232" t="s">
        <v>23490</v>
      </c>
      <c r="D20232" t="str">
        <f>HYPERLINK("https://rhld.insurance.arkansas.gov/NPILookup?Npi=1568639094","1568639094")</f>
        <v>1568639094</v>
      </c>
      <c r="E20232" t="s">
        <v>5217</v>
      </c>
    </row>
    <row r="20233" spans="1:5" x14ac:dyDescent="0.25">
      <c r="A20233" t="s">
        <v>4</v>
      </c>
      <c r="B20233" t="s">
        <v>4111</v>
      </c>
      <c r="C20233" t="s">
        <v>23490</v>
      </c>
      <c r="D20233" t="str">
        <f>HYPERLINK("https://rhld.insurance.arkansas.gov/NPILookup?Npi=1568644169","1568644169")</f>
        <v>1568644169</v>
      </c>
      <c r="E20233" t="s">
        <v>16152</v>
      </c>
    </row>
    <row r="20234" spans="1:5" x14ac:dyDescent="0.25">
      <c r="A20234" t="s">
        <v>4</v>
      </c>
      <c r="B20234" t="s">
        <v>4111</v>
      </c>
      <c r="C20234" t="s">
        <v>23490</v>
      </c>
      <c r="D20234" t="str">
        <f>HYPERLINK("https://rhld.insurance.arkansas.gov/NPILookup?Npi=1568648855","1568648855")</f>
        <v>1568648855</v>
      </c>
      <c r="E20234" t="s">
        <v>5218</v>
      </c>
    </row>
    <row r="20235" spans="1:5" x14ac:dyDescent="0.25">
      <c r="A20235" t="s">
        <v>4</v>
      </c>
      <c r="B20235" t="s">
        <v>4111</v>
      </c>
      <c r="C20235" t="s">
        <v>23490</v>
      </c>
      <c r="D20235" t="str">
        <f>HYPERLINK("https://rhld.insurance.arkansas.gov/NPILookup?Npi=1568649481","1568649481")</f>
        <v>1568649481</v>
      </c>
      <c r="E20235" t="s">
        <v>5219</v>
      </c>
    </row>
    <row r="20236" spans="1:5" x14ac:dyDescent="0.25">
      <c r="A20236" t="s">
        <v>4</v>
      </c>
      <c r="B20236" t="s">
        <v>4111</v>
      </c>
      <c r="C20236" t="s">
        <v>23490</v>
      </c>
      <c r="D20236" t="str">
        <f>HYPERLINK("https://rhld.insurance.arkansas.gov/NPILookup?Npi=1568652733","1568652733")</f>
        <v>1568652733</v>
      </c>
      <c r="E20236" t="s">
        <v>5220</v>
      </c>
    </row>
    <row r="20237" spans="1:5" x14ac:dyDescent="0.25">
      <c r="A20237" t="s">
        <v>4</v>
      </c>
      <c r="B20237" t="s">
        <v>4111</v>
      </c>
      <c r="C20237" t="s">
        <v>23490</v>
      </c>
      <c r="D20237" t="str">
        <f>HYPERLINK("https://rhld.insurance.arkansas.gov/NPILookup?Npi=1568655751","1568655751")</f>
        <v>1568655751</v>
      </c>
      <c r="E20237" t="s">
        <v>11741</v>
      </c>
    </row>
    <row r="20238" spans="1:5" x14ac:dyDescent="0.25">
      <c r="A20238" t="s">
        <v>4</v>
      </c>
      <c r="B20238" t="s">
        <v>4111</v>
      </c>
      <c r="C20238" t="s">
        <v>23490</v>
      </c>
      <c r="D20238" t="str">
        <f>HYPERLINK("https://rhld.insurance.arkansas.gov/NPILookup?Npi=1568658268","1568658268")</f>
        <v>1568658268</v>
      </c>
      <c r="E20238" t="s">
        <v>5221</v>
      </c>
    </row>
    <row r="20239" spans="1:5" x14ac:dyDescent="0.25">
      <c r="A20239" t="s">
        <v>4</v>
      </c>
      <c r="B20239" t="s">
        <v>4111</v>
      </c>
      <c r="C20239" t="s">
        <v>23490</v>
      </c>
      <c r="D20239" t="str">
        <f>HYPERLINK("https://rhld.insurance.arkansas.gov/NPILookup?Npi=1568687838","1568687838")</f>
        <v>1568687838</v>
      </c>
      <c r="E20239" t="s">
        <v>14124</v>
      </c>
    </row>
    <row r="20240" spans="1:5" x14ac:dyDescent="0.25">
      <c r="A20240" t="s">
        <v>4</v>
      </c>
      <c r="B20240" t="s">
        <v>4111</v>
      </c>
      <c r="C20240" t="s">
        <v>23490</v>
      </c>
      <c r="D20240" t="str">
        <f>HYPERLINK("https://rhld.insurance.arkansas.gov/NPILookup?Npi=1568698058","1568698058")</f>
        <v>1568698058</v>
      </c>
      <c r="E20240" t="s">
        <v>14125</v>
      </c>
    </row>
    <row r="20241" spans="1:5" x14ac:dyDescent="0.25">
      <c r="A20241" t="s">
        <v>4</v>
      </c>
      <c r="B20241" t="s">
        <v>4111</v>
      </c>
      <c r="C20241" t="s">
        <v>23490</v>
      </c>
      <c r="D20241" t="str">
        <f>HYPERLINK("https://rhld.insurance.arkansas.gov/NPILookup?Npi=1568718930","1568718930")</f>
        <v>1568718930</v>
      </c>
      <c r="E20241" t="s">
        <v>20517</v>
      </c>
    </row>
    <row r="20242" spans="1:5" x14ac:dyDescent="0.25">
      <c r="A20242" t="s">
        <v>4</v>
      </c>
      <c r="B20242" t="s">
        <v>4111</v>
      </c>
      <c r="C20242" t="s">
        <v>23490</v>
      </c>
      <c r="D20242" t="str">
        <f>HYPERLINK("https://rhld.insurance.arkansas.gov/NPILookup?Npi=1568738151","1568738151")</f>
        <v>1568738151</v>
      </c>
      <c r="E20242" t="s">
        <v>20518</v>
      </c>
    </row>
    <row r="20243" spans="1:5" x14ac:dyDescent="0.25">
      <c r="A20243" t="s">
        <v>4</v>
      </c>
      <c r="B20243" t="s">
        <v>4111</v>
      </c>
      <c r="C20243" t="s">
        <v>23490</v>
      </c>
      <c r="D20243" t="str">
        <f>HYPERLINK("https://rhld.insurance.arkansas.gov/NPILookup?Npi=1568743086","1568743086")</f>
        <v>1568743086</v>
      </c>
      <c r="E20243" t="s">
        <v>20519</v>
      </c>
    </row>
    <row r="20244" spans="1:5" x14ac:dyDescent="0.25">
      <c r="A20244" t="s">
        <v>4</v>
      </c>
      <c r="B20244" t="s">
        <v>4111</v>
      </c>
      <c r="C20244" t="s">
        <v>23490</v>
      </c>
      <c r="D20244" t="str">
        <f>HYPERLINK("https://rhld.insurance.arkansas.gov/NPILookup?Npi=1568744142","1568744142")</f>
        <v>1568744142</v>
      </c>
      <c r="E20244" t="s">
        <v>5222</v>
      </c>
    </row>
    <row r="20245" spans="1:5" x14ac:dyDescent="0.25">
      <c r="A20245" t="s">
        <v>4</v>
      </c>
      <c r="B20245" t="s">
        <v>4111</v>
      </c>
      <c r="C20245" t="s">
        <v>23490</v>
      </c>
      <c r="D20245" t="str">
        <f>HYPERLINK("https://rhld.insurance.arkansas.gov/NPILookup?Npi=1568758407","1568758407")</f>
        <v>1568758407</v>
      </c>
      <c r="E20245" t="s">
        <v>13161</v>
      </c>
    </row>
    <row r="20246" spans="1:5" x14ac:dyDescent="0.25">
      <c r="A20246" t="s">
        <v>4</v>
      </c>
      <c r="B20246" t="s">
        <v>4111</v>
      </c>
      <c r="C20246" t="s">
        <v>23490</v>
      </c>
      <c r="D20246" t="str">
        <f>HYPERLINK("https://rhld.insurance.arkansas.gov/NPILookup?Npi=1568759876","1568759876")</f>
        <v>1568759876</v>
      </c>
      <c r="E20246" t="s">
        <v>5223</v>
      </c>
    </row>
    <row r="20247" spans="1:5" x14ac:dyDescent="0.25">
      <c r="A20247" t="s">
        <v>4</v>
      </c>
      <c r="B20247" t="s">
        <v>4111</v>
      </c>
      <c r="C20247" t="s">
        <v>23490</v>
      </c>
      <c r="D20247" t="str">
        <f>HYPERLINK("https://rhld.insurance.arkansas.gov/NPILookup?Npi=1568760593","1568760593")</f>
        <v>1568760593</v>
      </c>
      <c r="E20247" t="s">
        <v>5224</v>
      </c>
    </row>
    <row r="20248" spans="1:5" x14ac:dyDescent="0.25">
      <c r="A20248" t="s">
        <v>4</v>
      </c>
      <c r="B20248" t="s">
        <v>4111</v>
      </c>
      <c r="C20248" t="s">
        <v>23490</v>
      </c>
      <c r="D20248" t="str">
        <f>HYPERLINK("https://rhld.insurance.arkansas.gov/NPILookup?Npi=1568765063","1568765063")</f>
        <v>1568765063</v>
      </c>
      <c r="E20248" t="s">
        <v>17608</v>
      </c>
    </row>
    <row r="20249" spans="1:5" x14ac:dyDescent="0.25">
      <c r="A20249" t="s">
        <v>4</v>
      </c>
      <c r="B20249" t="s">
        <v>4111</v>
      </c>
      <c r="C20249" t="s">
        <v>23490</v>
      </c>
      <c r="D20249" t="str">
        <f>HYPERLINK("https://rhld.insurance.arkansas.gov/NPILookup?Npi=1568773356","1568773356")</f>
        <v>1568773356</v>
      </c>
      <c r="E20249" t="s">
        <v>5225</v>
      </c>
    </row>
    <row r="20250" spans="1:5" x14ac:dyDescent="0.25">
      <c r="A20250" t="s">
        <v>4</v>
      </c>
      <c r="B20250" t="s">
        <v>4111</v>
      </c>
      <c r="C20250" t="s">
        <v>23490</v>
      </c>
      <c r="D20250" t="str">
        <f>HYPERLINK("https://rhld.insurance.arkansas.gov/NPILookup?Npi=1568773521","1568773521")</f>
        <v>1568773521</v>
      </c>
      <c r="E20250" t="s">
        <v>5226</v>
      </c>
    </row>
    <row r="20251" spans="1:5" x14ac:dyDescent="0.25">
      <c r="A20251" t="s">
        <v>4</v>
      </c>
      <c r="B20251" t="s">
        <v>4111</v>
      </c>
      <c r="C20251" t="s">
        <v>23490</v>
      </c>
      <c r="D20251" t="str">
        <f>HYPERLINK("https://rhld.insurance.arkansas.gov/NPILookup?Npi=1568774610","1568774610")</f>
        <v>1568774610</v>
      </c>
      <c r="E20251" t="s">
        <v>18371</v>
      </c>
    </row>
    <row r="20252" spans="1:5" x14ac:dyDescent="0.25">
      <c r="A20252" t="s">
        <v>4</v>
      </c>
      <c r="B20252" t="s">
        <v>4111</v>
      </c>
      <c r="C20252" t="s">
        <v>23490</v>
      </c>
      <c r="D20252" t="str">
        <f>HYPERLINK("https://rhld.insurance.arkansas.gov/NPILookup?Npi=1568778017","1568778017")</f>
        <v>1568778017</v>
      </c>
      <c r="E20252" t="s">
        <v>13162</v>
      </c>
    </row>
    <row r="20253" spans="1:5" x14ac:dyDescent="0.25">
      <c r="A20253" t="s">
        <v>4</v>
      </c>
      <c r="B20253" t="s">
        <v>4111</v>
      </c>
      <c r="C20253" t="s">
        <v>23490</v>
      </c>
      <c r="D20253" t="str">
        <f>HYPERLINK("https://rhld.insurance.arkansas.gov/NPILookup?Npi=1568778942","1568778942")</f>
        <v>1568778942</v>
      </c>
      <c r="E20253" t="s">
        <v>18372</v>
      </c>
    </row>
    <row r="20254" spans="1:5" x14ac:dyDescent="0.25">
      <c r="A20254" t="s">
        <v>4</v>
      </c>
      <c r="B20254" t="s">
        <v>4111</v>
      </c>
      <c r="C20254" t="s">
        <v>23490</v>
      </c>
      <c r="D20254" t="str">
        <f>HYPERLINK("https://rhld.insurance.arkansas.gov/NPILookup?Npi=1568795771","1568795771")</f>
        <v>1568795771</v>
      </c>
      <c r="E20254" t="s">
        <v>5227</v>
      </c>
    </row>
    <row r="20255" spans="1:5" x14ac:dyDescent="0.25">
      <c r="A20255" t="s">
        <v>4</v>
      </c>
      <c r="B20255" t="s">
        <v>4111</v>
      </c>
      <c r="C20255" t="s">
        <v>23490</v>
      </c>
      <c r="D20255" t="str">
        <f>HYPERLINK("https://rhld.insurance.arkansas.gov/NPILookup?Npi=1568805299","1568805299")</f>
        <v>1568805299</v>
      </c>
      <c r="E20255" t="s">
        <v>11742</v>
      </c>
    </row>
    <row r="20256" spans="1:5" x14ac:dyDescent="0.25">
      <c r="A20256" t="s">
        <v>4</v>
      </c>
      <c r="B20256" t="s">
        <v>4111</v>
      </c>
      <c r="C20256" t="s">
        <v>23490</v>
      </c>
      <c r="D20256" t="str">
        <f>HYPERLINK("https://rhld.insurance.arkansas.gov/NPILookup?Npi=1568808178","1568808178")</f>
        <v>1568808178</v>
      </c>
      <c r="E20256" t="s">
        <v>22145</v>
      </c>
    </row>
    <row r="20257" spans="1:5" x14ac:dyDescent="0.25">
      <c r="A20257" t="s">
        <v>4</v>
      </c>
      <c r="B20257" t="s">
        <v>4111</v>
      </c>
      <c r="C20257" t="s">
        <v>23490</v>
      </c>
      <c r="D20257" t="str">
        <f>HYPERLINK("https://rhld.insurance.arkansas.gov/NPILookup?Npi=1568809440","1568809440")</f>
        <v>1568809440</v>
      </c>
      <c r="E20257" t="s">
        <v>22146</v>
      </c>
    </row>
    <row r="20258" spans="1:5" x14ac:dyDescent="0.25">
      <c r="A20258" t="s">
        <v>4</v>
      </c>
      <c r="B20258" t="s">
        <v>4111</v>
      </c>
      <c r="C20258" t="s">
        <v>23490</v>
      </c>
      <c r="D20258" t="str">
        <f>HYPERLINK("https://rhld.insurance.arkansas.gov/NPILookup?Npi=1568834471","1568834471")</f>
        <v>1568834471</v>
      </c>
      <c r="E20258" t="s">
        <v>18373</v>
      </c>
    </row>
    <row r="20259" spans="1:5" x14ac:dyDescent="0.25">
      <c r="A20259" t="s">
        <v>4</v>
      </c>
      <c r="B20259" t="s">
        <v>4111</v>
      </c>
      <c r="C20259" t="s">
        <v>23490</v>
      </c>
      <c r="D20259" t="str">
        <f>HYPERLINK("https://rhld.insurance.arkansas.gov/NPILookup?Npi=1568835106","1568835106")</f>
        <v>1568835106</v>
      </c>
      <c r="E20259" t="s">
        <v>11743</v>
      </c>
    </row>
    <row r="20260" spans="1:5" x14ac:dyDescent="0.25">
      <c r="A20260" t="s">
        <v>4</v>
      </c>
      <c r="B20260" t="s">
        <v>4111</v>
      </c>
      <c r="C20260" t="s">
        <v>23490</v>
      </c>
      <c r="D20260" t="str">
        <f>HYPERLINK("https://rhld.insurance.arkansas.gov/NPILookup?Npi=1568837870","1568837870")</f>
        <v>1568837870</v>
      </c>
      <c r="E20260" t="s">
        <v>11744</v>
      </c>
    </row>
    <row r="20261" spans="1:5" x14ac:dyDescent="0.25">
      <c r="A20261" t="s">
        <v>4</v>
      </c>
      <c r="B20261" t="s">
        <v>4111</v>
      </c>
      <c r="C20261" t="s">
        <v>23490</v>
      </c>
      <c r="D20261" t="str">
        <f>HYPERLINK("https://rhld.insurance.arkansas.gov/NPILookup?Npi=1568869758","1568869758")</f>
        <v>1568869758</v>
      </c>
      <c r="E20261" t="s">
        <v>17193</v>
      </c>
    </row>
    <row r="20262" spans="1:5" x14ac:dyDescent="0.25">
      <c r="A20262" t="s">
        <v>4</v>
      </c>
      <c r="B20262" t="s">
        <v>4111</v>
      </c>
      <c r="C20262" t="s">
        <v>23490</v>
      </c>
      <c r="D20262" t="str">
        <f>HYPERLINK("https://rhld.insurance.arkansas.gov/NPILookup?Npi=1568887602","1568887602")</f>
        <v>1568887602</v>
      </c>
      <c r="E20262" t="s">
        <v>11745</v>
      </c>
    </row>
    <row r="20263" spans="1:5" x14ac:dyDescent="0.25">
      <c r="A20263" t="s">
        <v>4</v>
      </c>
      <c r="B20263" t="s">
        <v>4111</v>
      </c>
      <c r="C20263" t="s">
        <v>23490</v>
      </c>
      <c r="D20263" t="str">
        <f>HYPERLINK("https://rhld.insurance.arkansas.gov/NPILookup?Npi=1568892727","1568892727")</f>
        <v>1568892727</v>
      </c>
      <c r="E20263" t="s">
        <v>17609</v>
      </c>
    </row>
    <row r="20264" spans="1:5" x14ac:dyDescent="0.25">
      <c r="A20264" t="s">
        <v>4</v>
      </c>
      <c r="B20264" t="s">
        <v>4111</v>
      </c>
      <c r="C20264" t="s">
        <v>23490</v>
      </c>
      <c r="D20264" t="str">
        <f>HYPERLINK("https://rhld.insurance.arkansas.gov/NPILookup?Npi=1568894152","1568894152")</f>
        <v>1568894152</v>
      </c>
      <c r="E20264" t="s">
        <v>8746</v>
      </c>
    </row>
    <row r="20265" spans="1:5" x14ac:dyDescent="0.25">
      <c r="A20265" t="s">
        <v>4</v>
      </c>
      <c r="B20265" t="s">
        <v>4111</v>
      </c>
      <c r="C20265" t="s">
        <v>23490</v>
      </c>
      <c r="D20265" t="str">
        <f>HYPERLINK("https://rhld.insurance.arkansas.gov/NPILookup?Npi=1568895795","1568895795")</f>
        <v>1568895795</v>
      </c>
      <c r="E20265" t="s">
        <v>22147</v>
      </c>
    </row>
    <row r="20266" spans="1:5" x14ac:dyDescent="0.25">
      <c r="A20266" t="s">
        <v>4</v>
      </c>
      <c r="B20266" t="s">
        <v>4111</v>
      </c>
      <c r="C20266" t="s">
        <v>23490</v>
      </c>
      <c r="D20266" t="str">
        <f>HYPERLINK("https://rhld.insurance.arkansas.gov/NPILookup?Npi=1568925626","1568925626")</f>
        <v>1568925626</v>
      </c>
      <c r="E20266" t="s">
        <v>22148</v>
      </c>
    </row>
    <row r="20267" spans="1:5" x14ac:dyDescent="0.25">
      <c r="A20267" t="s">
        <v>4</v>
      </c>
      <c r="B20267" t="s">
        <v>4111</v>
      </c>
      <c r="C20267" t="s">
        <v>23490</v>
      </c>
      <c r="D20267" t="str">
        <f>HYPERLINK("https://rhld.insurance.arkansas.gov/NPILookup?Npi=1568929826","1568929826")</f>
        <v>1568929826</v>
      </c>
      <c r="E20267" t="s">
        <v>14126</v>
      </c>
    </row>
    <row r="20268" spans="1:5" x14ac:dyDescent="0.25">
      <c r="A20268" t="s">
        <v>4</v>
      </c>
      <c r="B20268" t="s">
        <v>4111</v>
      </c>
      <c r="C20268" t="s">
        <v>23490</v>
      </c>
      <c r="D20268" t="str">
        <f>HYPERLINK("https://rhld.insurance.arkansas.gov/NPILookup?Npi=1568937597","1568937597")</f>
        <v>1568937597</v>
      </c>
      <c r="E20268" t="s">
        <v>17610</v>
      </c>
    </row>
    <row r="20269" spans="1:5" x14ac:dyDescent="0.25">
      <c r="A20269" t="s">
        <v>4</v>
      </c>
      <c r="B20269" t="s">
        <v>4111</v>
      </c>
      <c r="C20269" t="s">
        <v>23490</v>
      </c>
      <c r="D20269" t="str">
        <f>HYPERLINK("https://rhld.insurance.arkansas.gov/NPILookup?Npi=1568949899","1568949899")</f>
        <v>1568949899</v>
      </c>
      <c r="E20269" t="s">
        <v>14127</v>
      </c>
    </row>
    <row r="20270" spans="1:5" x14ac:dyDescent="0.25">
      <c r="A20270" t="s">
        <v>4</v>
      </c>
      <c r="B20270" t="s">
        <v>4111</v>
      </c>
      <c r="C20270" t="s">
        <v>23490</v>
      </c>
      <c r="D20270" t="str">
        <f>HYPERLINK("https://rhld.insurance.arkansas.gov/NPILookup?Npi=1568958544","1568958544")</f>
        <v>1568958544</v>
      </c>
      <c r="E20270" t="s">
        <v>22149</v>
      </c>
    </row>
    <row r="20271" spans="1:5" x14ac:dyDescent="0.25">
      <c r="A20271" t="s">
        <v>4</v>
      </c>
      <c r="B20271" t="s">
        <v>4111</v>
      </c>
      <c r="C20271" t="s">
        <v>8427</v>
      </c>
      <c r="D20271" t="str">
        <f>HYPERLINK("https://rhld.insurance.arkansas.gov/NPILookup?Npi=1568973568","1568973568")</f>
        <v>1568973568</v>
      </c>
      <c r="E20271" t="s">
        <v>23134</v>
      </c>
    </row>
    <row r="20272" spans="1:5" x14ac:dyDescent="0.25">
      <c r="A20272" t="s">
        <v>4</v>
      </c>
      <c r="B20272" t="s">
        <v>4111</v>
      </c>
      <c r="C20272" t="s">
        <v>23490</v>
      </c>
      <c r="D20272" t="str">
        <f>HYPERLINK("https://rhld.insurance.arkansas.gov/NPILookup?Npi=1568995330","1568995330")</f>
        <v>1568995330</v>
      </c>
      <c r="E20272" t="s">
        <v>21142</v>
      </c>
    </row>
    <row r="20273" spans="1:5" x14ac:dyDescent="0.25">
      <c r="A20273" t="s">
        <v>4</v>
      </c>
      <c r="B20273" t="s">
        <v>4111</v>
      </c>
      <c r="C20273" t="s">
        <v>23490</v>
      </c>
      <c r="D20273" t="str">
        <f>HYPERLINK("https://rhld.insurance.arkansas.gov/NPILookup?Npi=1578000667","1578000667")</f>
        <v>1578000667</v>
      </c>
      <c r="E20273" t="s">
        <v>18374</v>
      </c>
    </row>
    <row r="20274" spans="1:5" x14ac:dyDescent="0.25">
      <c r="A20274" t="s">
        <v>4</v>
      </c>
      <c r="B20274" t="s">
        <v>4111</v>
      </c>
      <c r="C20274" t="s">
        <v>23490</v>
      </c>
      <c r="D20274" t="str">
        <f>HYPERLINK("https://rhld.insurance.arkansas.gov/NPILookup?Npi=1578025771","1578025771")</f>
        <v>1578025771</v>
      </c>
      <c r="E20274" t="s">
        <v>17194</v>
      </c>
    </row>
    <row r="20275" spans="1:5" x14ac:dyDescent="0.25">
      <c r="A20275" t="s">
        <v>4</v>
      </c>
      <c r="B20275" t="s">
        <v>4111</v>
      </c>
      <c r="C20275" t="s">
        <v>23490</v>
      </c>
      <c r="D20275" t="str">
        <f>HYPERLINK("https://rhld.insurance.arkansas.gov/NPILookup?Npi=1578035077","1578035077")</f>
        <v>1578035077</v>
      </c>
      <c r="E20275" t="s">
        <v>20520</v>
      </c>
    </row>
    <row r="20276" spans="1:5" x14ac:dyDescent="0.25">
      <c r="A20276" t="s">
        <v>4</v>
      </c>
      <c r="B20276" t="s">
        <v>4111</v>
      </c>
      <c r="C20276" t="s">
        <v>23490</v>
      </c>
      <c r="D20276" t="str">
        <f>HYPERLINK("https://rhld.insurance.arkansas.gov/NPILookup?Npi=1578040937","1578040937")</f>
        <v>1578040937</v>
      </c>
      <c r="E20276" t="s">
        <v>16153</v>
      </c>
    </row>
    <row r="20277" spans="1:5" x14ac:dyDescent="0.25">
      <c r="A20277" t="s">
        <v>4</v>
      </c>
      <c r="B20277" t="s">
        <v>4111</v>
      </c>
      <c r="C20277" t="s">
        <v>23490</v>
      </c>
      <c r="D20277" t="str">
        <f>HYPERLINK("https://rhld.insurance.arkansas.gov/NPILookup?Npi=1578041372","1578041372")</f>
        <v>1578041372</v>
      </c>
      <c r="E20277" t="s">
        <v>21143</v>
      </c>
    </row>
    <row r="20278" spans="1:5" x14ac:dyDescent="0.25">
      <c r="A20278" t="s">
        <v>4</v>
      </c>
      <c r="B20278" t="s">
        <v>4111</v>
      </c>
      <c r="C20278" t="s">
        <v>23490</v>
      </c>
      <c r="D20278" t="str">
        <f>HYPERLINK("https://rhld.insurance.arkansas.gov/NPILookup?Npi=1578051215","1578051215")</f>
        <v>1578051215</v>
      </c>
      <c r="E20278" t="s">
        <v>17195</v>
      </c>
    </row>
    <row r="20279" spans="1:5" x14ac:dyDescent="0.25">
      <c r="A20279" t="s">
        <v>4</v>
      </c>
      <c r="B20279" t="s">
        <v>4111</v>
      </c>
      <c r="C20279" t="s">
        <v>23490</v>
      </c>
      <c r="D20279" t="str">
        <f>HYPERLINK("https://rhld.insurance.arkansas.gov/NPILookup?Npi=1578051850","1578051850")</f>
        <v>1578051850</v>
      </c>
      <c r="E20279" t="s">
        <v>16154</v>
      </c>
    </row>
    <row r="20280" spans="1:5" x14ac:dyDescent="0.25">
      <c r="A20280" t="s">
        <v>4</v>
      </c>
      <c r="B20280" t="s">
        <v>4111</v>
      </c>
      <c r="C20280" t="s">
        <v>23490</v>
      </c>
      <c r="D20280" t="str">
        <f>HYPERLINK("https://rhld.insurance.arkansas.gov/NPILookup?Npi=1578066452","1578066452")</f>
        <v>1578066452</v>
      </c>
      <c r="E20280" t="s">
        <v>20521</v>
      </c>
    </row>
    <row r="20281" spans="1:5" x14ac:dyDescent="0.25">
      <c r="A20281" t="s">
        <v>4</v>
      </c>
      <c r="B20281" t="s">
        <v>4111</v>
      </c>
      <c r="C20281" t="s">
        <v>23490</v>
      </c>
      <c r="D20281" t="str">
        <f>HYPERLINK("https://rhld.insurance.arkansas.gov/NPILookup?Npi=1578087359","1578087359")</f>
        <v>1578087359</v>
      </c>
      <c r="E20281" t="s">
        <v>17196</v>
      </c>
    </row>
    <row r="20282" spans="1:5" x14ac:dyDescent="0.25">
      <c r="A20282" t="s">
        <v>4</v>
      </c>
      <c r="B20282" t="s">
        <v>4111</v>
      </c>
      <c r="C20282" t="s">
        <v>23490</v>
      </c>
      <c r="D20282" t="str">
        <f>HYPERLINK("https://rhld.insurance.arkansas.gov/NPILookup?Npi=1578101309","1578101309")</f>
        <v>1578101309</v>
      </c>
      <c r="E20282" t="s">
        <v>22150</v>
      </c>
    </row>
    <row r="20283" spans="1:5" x14ac:dyDescent="0.25">
      <c r="A20283" t="s">
        <v>4</v>
      </c>
      <c r="B20283" t="s">
        <v>4111</v>
      </c>
      <c r="C20283" t="s">
        <v>23490</v>
      </c>
      <c r="D20283" t="str">
        <f>HYPERLINK("https://rhld.insurance.arkansas.gov/NPILookup?Npi=1578106522","1578106522")</f>
        <v>1578106522</v>
      </c>
      <c r="E20283" t="s">
        <v>22151</v>
      </c>
    </row>
    <row r="20284" spans="1:5" x14ac:dyDescent="0.25">
      <c r="A20284" t="s">
        <v>4</v>
      </c>
      <c r="B20284" t="s">
        <v>4111</v>
      </c>
      <c r="C20284" t="s">
        <v>23490</v>
      </c>
      <c r="D20284" t="str">
        <f>HYPERLINK("https://rhld.insurance.arkansas.gov/NPILookup?Npi=1578133831","1578133831")</f>
        <v>1578133831</v>
      </c>
      <c r="E20284" t="s">
        <v>22152</v>
      </c>
    </row>
    <row r="20285" spans="1:5" x14ac:dyDescent="0.25">
      <c r="A20285" t="s">
        <v>4</v>
      </c>
      <c r="B20285" t="s">
        <v>4111</v>
      </c>
      <c r="C20285" t="s">
        <v>23490</v>
      </c>
      <c r="D20285" t="str">
        <f>HYPERLINK("https://rhld.insurance.arkansas.gov/NPILookup?Npi=1578134938","1578134938")</f>
        <v>1578134938</v>
      </c>
      <c r="E20285" t="s">
        <v>22153</v>
      </c>
    </row>
    <row r="20286" spans="1:5" x14ac:dyDescent="0.25">
      <c r="A20286" t="s">
        <v>4</v>
      </c>
      <c r="B20286" t="s">
        <v>4111</v>
      </c>
      <c r="C20286" t="s">
        <v>23490</v>
      </c>
      <c r="D20286" t="str">
        <f>HYPERLINK("https://rhld.insurance.arkansas.gov/NPILookup?Npi=1578157699","1578157699")</f>
        <v>1578157699</v>
      </c>
      <c r="E20286" t="s">
        <v>22154</v>
      </c>
    </row>
    <row r="20287" spans="1:5" x14ac:dyDescent="0.25">
      <c r="A20287" t="s">
        <v>4</v>
      </c>
      <c r="B20287" t="s">
        <v>4111</v>
      </c>
      <c r="C20287" t="s">
        <v>8427</v>
      </c>
      <c r="D20287" t="str">
        <f>HYPERLINK("https://rhld.insurance.arkansas.gov/NPILookup?Npi=1578160925","1578160925")</f>
        <v>1578160925</v>
      </c>
      <c r="E20287" t="s">
        <v>23135</v>
      </c>
    </row>
    <row r="20288" spans="1:5" x14ac:dyDescent="0.25">
      <c r="A20288" t="s">
        <v>4</v>
      </c>
      <c r="B20288" t="s">
        <v>4111</v>
      </c>
      <c r="C20288" t="s">
        <v>23490</v>
      </c>
      <c r="D20288" t="str">
        <f>HYPERLINK("https://rhld.insurance.arkansas.gov/NPILookup?Npi=1578193637","1578193637")</f>
        <v>1578193637</v>
      </c>
      <c r="E20288" t="s">
        <v>19840</v>
      </c>
    </row>
    <row r="20289" spans="1:5" x14ac:dyDescent="0.25">
      <c r="A20289" t="s">
        <v>4</v>
      </c>
      <c r="B20289" t="s">
        <v>4111</v>
      </c>
      <c r="C20289" t="s">
        <v>23490</v>
      </c>
      <c r="D20289" t="str">
        <f>HYPERLINK("https://rhld.insurance.arkansas.gov/NPILookup?Npi=1578222816","1578222816")</f>
        <v>1578222816</v>
      </c>
      <c r="E20289" t="s">
        <v>22155</v>
      </c>
    </row>
    <row r="20290" spans="1:5" x14ac:dyDescent="0.25">
      <c r="A20290" t="s">
        <v>4</v>
      </c>
      <c r="B20290" t="s">
        <v>4111</v>
      </c>
      <c r="C20290" t="s">
        <v>8427</v>
      </c>
      <c r="D20290" t="str">
        <f>HYPERLINK("https://rhld.insurance.arkansas.gov/NPILookup?Npi=1578247417","1578247417")</f>
        <v>1578247417</v>
      </c>
      <c r="E20290" t="s">
        <v>23136</v>
      </c>
    </row>
    <row r="20291" spans="1:5" x14ac:dyDescent="0.25">
      <c r="A20291" t="s">
        <v>4</v>
      </c>
      <c r="B20291" t="s">
        <v>4111</v>
      </c>
      <c r="C20291" t="s">
        <v>23490</v>
      </c>
      <c r="D20291" t="str">
        <f>HYPERLINK("https://rhld.insurance.arkansas.gov/NPILookup?Npi=1578295382","1578295382")</f>
        <v>1578295382</v>
      </c>
      <c r="E20291" t="s">
        <v>22156</v>
      </c>
    </row>
    <row r="20292" spans="1:5" x14ac:dyDescent="0.25">
      <c r="A20292" t="s">
        <v>4</v>
      </c>
      <c r="B20292" t="s">
        <v>4111</v>
      </c>
      <c r="C20292" t="s">
        <v>23490</v>
      </c>
      <c r="D20292" t="str">
        <f>HYPERLINK("https://rhld.insurance.arkansas.gov/NPILookup?Npi=1578506200","1578506200")</f>
        <v>1578506200</v>
      </c>
      <c r="E20292" t="s">
        <v>2578</v>
      </c>
    </row>
    <row r="20293" spans="1:5" x14ac:dyDescent="0.25">
      <c r="A20293" t="s">
        <v>4</v>
      </c>
      <c r="B20293" t="s">
        <v>4111</v>
      </c>
      <c r="C20293" t="s">
        <v>23490</v>
      </c>
      <c r="D20293" t="str">
        <f>HYPERLINK("https://rhld.insurance.arkansas.gov/NPILookup?Npi=1578530036","1578530036")</f>
        <v>1578530036</v>
      </c>
      <c r="E20293" t="s">
        <v>5228</v>
      </c>
    </row>
    <row r="20294" spans="1:5" x14ac:dyDescent="0.25">
      <c r="A20294" t="s">
        <v>4</v>
      </c>
      <c r="B20294" t="s">
        <v>4111</v>
      </c>
      <c r="C20294" t="s">
        <v>23490</v>
      </c>
      <c r="D20294" t="str">
        <f>HYPERLINK("https://rhld.insurance.arkansas.gov/NPILookup?Npi=1578574448","1578574448")</f>
        <v>1578574448</v>
      </c>
      <c r="E20294" t="s">
        <v>5230</v>
      </c>
    </row>
    <row r="20295" spans="1:5" x14ac:dyDescent="0.25">
      <c r="A20295" t="s">
        <v>4</v>
      </c>
      <c r="B20295" t="s">
        <v>4111</v>
      </c>
      <c r="C20295" t="s">
        <v>23490</v>
      </c>
      <c r="D20295" t="str">
        <f>HYPERLINK("https://rhld.insurance.arkansas.gov/NPILookup?Npi=1578592812","1578592812")</f>
        <v>1578592812</v>
      </c>
      <c r="E20295" t="s">
        <v>5231</v>
      </c>
    </row>
    <row r="20296" spans="1:5" x14ac:dyDescent="0.25">
      <c r="A20296" t="s">
        <v>4</v>
      </c>
      <c r="B20296" t="s">
        <v>4111</v>
      </c>
      <c r="C20296" t="s">
        <v>23490</v>
      </c>
      <c r="D20296" t="str">
        <f>HYPERLINK("https://rhld.insurance.arkansas.gov/NPILookup?Npi=1578633780","1578633780")</f>
        <v>1578633780</v>
      </c>
      <c r="E20296" t="s">
        <v>18375</v>
      </c>
    </row>
    <row r="20297" spans="1:5" x14ac:dyDescent="0.25">
      <c r="A20297" t="s">
        <v>4</v>
      </c>
      <c r="B20297" t="s">
        <v>4111</v>
      </c>
      <c r="C20297" t="s">
        <v>23490</v>
      </c>
      <c r="D20297" t="str">
        <f>HYPERLINK("https://rhld.insurance.arkansas.gov/NPILookup?Npi=1578666988","1578666988")</f>
        <v>1578666988</v>
      </c>
      <c r="E20297" t="s">
        <v>5232</v>
      </c>
    </row>
    <row r="20298" spans="1:5" x14ac:dyDescent="0.25">
      <c r="A20298" t="s">
        <v>4</v>
      </c>
      <c r="B20298" t="s">
        <v>4111</v>
      </c>
      <c r="C20298" t="s">
        <v>23490</v>
      </c>
      <c r="D20298" t="str">
        <f>HYPERLINK("https://rhld.insurance.arkansas.gov/NPILookup?Npi=1578690517","1578690517")</f>
        <v>1578690517</v>
      </c>
      <c r="E20298" t="s">
        <v>16155</v>
      </c>
    </row>
    <row r="20299" spans="1:5" x14ac:dyDescent="0.25">
      <c r="A20299" t="s">
        <v>4</v>
      </c>
      <c r="B20299" t="s">
        <v>4111</v>
      </c>
      <c r="C20299" t="s">
        <v>23490</v>
      </c>
      <c r="D20299" t="str">
        <f>HYPERLINK("https://rhld.insurance.arkansas.gov/NPILookup?Npi=1578705026","1578705026")</f>
        <v>1578705026</v>
      </c>
      <c r="E20299" t="s">
        <v>19248</v>
      </c>
    </row>
    <row r="20300" spans="1:5" x14ac:dyDescent="0.25">
      <c r="A20300" t="s">
        <v>4</v>
      </c>
      <c r="B20300" t="s">
        <v>4111</v>
      </c>
      <c r="C20300" t="s">
        <v>23490</v>
      </c>
      <c r="D20300" t="str">
        <f>HYPERLINK("https://rhld.insurance.arkansas.gov/NPILookup?Npi=1578714630","1578714630")</f>
        <v>1578714630</v>
      </c>
      <c r="E20300" t="s">
        <v>5233</v>
      </c>
    </row>
    <row r="20301" spans="1:5" x14ac:dyDescent="0.25">
      <c r="A20301" t="s">
        <v>4</v>
      </c>
      <c r="B20301" t="s">
        <v>4111</v>
      </c>
      <c r="C20301" t="s">
        <v>23490</v>
      </c>
      <c r="D20301" t="str">
        <f>HYPERLINK("https://rhld.insurance.arkansas.gov/NPILookup?Npi=1578714788","1578714788")</f>
        <v>1578714788</v>
      </c>
      <c r="E20301" t="s">
        <v>14128</v>
      </c>
    </row>
    <row r="20302" spans="1:5" x14ac:dyDescent="0.25">
      <c r="A20302" t="s">
        <v>4</v>
      </c>
      <c r="B20302" t="s">
        <v>4111</v>
      </c>
      <c r="C20302" t="s">
        <v>23490</v>
      </c>
      <c r="D20302" t="str">
        <f>HYPERLINK("https://rhld.insurance.arkansas.gov/NPILookup?Npi=1578738761","1578738761")</f>
        <v>1578738761</v>
      </c>
      <c r="E20302" t="s">
        <v>20522</v>
      </c>
    </row>
    <row r="20303" spans="1:5" x14ac:dyDescent="0.25">
      <c r="A20303" t="s">
        <v>4</v>
      </c>
      <c r="B20303" t="s">
        <v>4111</v>
      </c>
      <c r="C20303" t="s">
        <v>23490</v>
      </c>
      <c r="D20303" t="str">
        <f>HYPERLINK("https://rhld.insurance.arkansas.gov/NPILookup?Npi=1578741294","1578741294")</f>
        <v>1578741294</v>
      </c>
      <c r="E20303" t="s">
        <v>5234</v>
      </c>
    </row>
    <row r="20304" spans="1:5" x14ac:dyDescent="0.25">
      <c r="A20304" t="s">
        <v>4</v>
      </c>
      <c r="B20304" t="s">
        <v>4111</v>
      </c>
      <c r="C20304" t="s">
        <v>23490</v>
      </c>
      <c r="D20304" t="str">
        <f>HYPERLINK("https://rhld.insurance.arkansas.gov/NPILookup?Npi=1578765467","1578765467")</f>
        <v>1578765467</v>
      </c>
      <c r="E20304" t="s">
        <v>5235</v>
      </c>
    </row>
    <row r="20305" spans="1:5" x14ac:dyDescent="0.25">
      <c r="A20305" t="s">
        <v>4</v>
      </c>
      <c r="B20305" t="s">
        <v>4111</v>
      </c>
      <c r="C20305" t="s">
        <v>23490</v>
      </c>
      <c r="D20305" t="str">
        <f>HYPERLINK("https://rhld.insurance.arkansas.gov/NPILookup?Npi=1578768057","1578768057")</f>
        <v>1578768057</v>
      </c>
      <c r="E20305" t="s">
        <v>9118</v>
      </c>
    </row>
    <row r="20306" spans="1:5" x14ac:dyDescent="0.25">
      <c r="A20306" t="s">
        <v>4</v>
      </c>
      <c r="B20306" t="s">
        <v>4111</v>
      </c>
      <c r="C20306" t="s">
        <v>23490</v>
      </c>
      <c r="D20306" t="str">
        <f>HYPERLINK("https://rhld.insurance.arkansas.gov/NPILookup?Npi=1578774881","1578774881")</f>
        <v>1578774881</v>
      </c>
      <c r="E20306" t="s">
        <v>5236</v>
      </c>
    </row>
    <row r="20307" spans="1:5" x14ac:dyDescent="0.25">
      <c r="A20307" t="s">
        <v>4</v>
      </c>
      <c r="B20307" t="s">
        <v>4111</v>
      </c>
      <c r="C20307" t="s">
        <v>23490</v>
      </c>
      <c r="D20307" t="str">
        <f>HYPERLINK("https://rhld.insurance.arkansas.gov/NPILookup?Npi=1578780946","1578780946")</f>
        <v>1578780946</v>
      </c>
      <c r="E20307" t="s">
        <v>5237</v>
      </c>
    </row>
    <row r="20308" spans="1:5" x14ac:dyDescent="0.25">
      <c r="A20308" t="s">
        <v>4</v>
      </c>
      <c r="B20308" t="s">
        <v>4111</v>
      </c>
      <c r="C20308" t="s">
        <v>23490</v>
      </c>
      <c r="D20308" t="str">
        <f>HYPERLINK("https://rhld.insurance.arkansas.gov/NPILookup?Npi=1578797502","1578797502")</f>
        <v>1578797502</v>
      </c>
      <c r="E20308" t="s">
        <v>22157</v>
      </c>
    </row>
    <row r="20309" spans="1:5" x14ac:dyDescent="0.25">
      <c r="A20309" t="s">
        <v>4</v>
      </c>
      <c r="B20309" t="s">
        <v>4111</v>
      </c>
      <c r="C20309" t="s">
        <v>23490</v>
      </c>
      <c r="D20309" t="str">
        <f>HYPERLINK("https://rhld.insurance.arkansas.gov/NPILookup?Npi=1578807574","1578807574")</f>
        <v>1578807574</v>
      </c>
      <c r="E20309" t="s">
        <v>17197</v>
      </c>
    </row>
    <row r="20310" spans="1:5" x14ac:dyDescent="0.25">
      <c r="A20310" t="s">
        <v>4</v>
      </c>
      <c r="B20310" t="s">
        <v>4111</v>
      </c>
      <c r="C20310" t="s">
        <v>23490</v>
      </c>
      <c r="D20310" t="str">
        <f>HYPERLINK("https://rhld.insurance.arkansas.gov/NPILookup?Npi=1578810487","1578810487")</f>
        <v>1578810487</v>
      </c>
      <c r="E20310" t="s">
        <v>5238</v>
      </c>
    </row>
    <row r="20311" spans="1:5" x14ac:dyDescent="0.25">
      <c r="A20311" t="s">
        <v>4</v>
      </c>
      <c r="B20311" t="s">
        <v>4111</v>
      </c>
      <c r="C20311" t="s">
        <v>23490</v>
      </c>
      <c r="D20311" t="str">
        <f>HYPERLINK("https://rhld.insurance.arkansas.gov/NPILookup?Npi=1578816682","1578816682")</f>
        <v>1578816682</v>
      </c>
      <c r="E20311" t="s">
        <v>22158</v>
      </c>
    </row>
    <row r="20312" spans="1:5" x14ac:dyDescent="0.25">
      <c r="A20312" t="s">
        <v>4</v>
      </c>
      <c r="B20312" t="s">
        <v>4111</v>
      </c>
      <c r="C20312" t="s">
        <v>23490</v>
      </c>
      <c r="D20312" t="str">
        <f>HYPERLINK("https://rhld.insurance.arkansas.gov/NPILookup?Npi=1578822235","1578822235")</f>
        <v>1578822235</v>
      </c>
      <c r="E20312" t="s">
        <v>13163</v>
      </c>
    </row>
    <row r="20313" spans="1:5" x14ac:dyDescent="0.25">
      <c r="A20313" t="s">
        <v>4</v>
      </c>
      <c r="B20313" t="s">
        <v>4111</v>
      </c>
      <c r="C20313" t="s">
        <v>23490</v>
      </c>
      <c r="D20313" t="str">
        <f>HYPERLINK("https://rhld.insurance.arkansas.gov/NPILookup?Npi=1578828109","1578828109")</f>
        <v>1578828109</v>
      </c>
      <c r="E20313" t="s">
        <v>11746</v>
      </c>
    </row>
    <row r="20314" spans="1:5" x14ac:dyDescent="0.25">
      <c r="A20314" t="s">
        <v>4</v>
      </c>
      <c r="B20314" t="s">
        <v>4111</v>
      </c>
      <c r="C20314" t="s">
        <v>23490</v>
      </c>
      <c r="D20314" t="str">
        <f>HYPERLINK("https://rhld.insurance.arkansas.gov/NPILookup?Npi=1578837100","1578837100")</f>
        <v>1578837100</v>
      </c>
      <c r="E20314" t="s">
        <v>5239</v>
      </c>
    </row>
    <row r="20315" spans="1:5" x14ac:dyDescent="0.25">
      <c r="A20315" t="s">
        <v>4</v>
      </c>
      <c r="B20315" t="s">
        <v>4111</v>
      </c>
      <c r="C20315" t="s">
        <v>23490</v>
      </c>
      <c r="D20315" t="str">
        <f>HYPERLINK("https://rhld.insurance.arkansas.gov/NPILookup?Npi=1578843306","1578843306")</f>
        <v>1578843306</v>
      </c>
      <c r="E20315" t="s">
        <v>16156</v>
      </c>
    </row>
    <row r="20316" spans="1:5" x14ac:dyDescent="0.25">
      <c r="A20316" t="s">
        <v>4</v>
      </c>
      <c r="B20316" t="s">
        <v>4111</v>
      </c>
      <c r="C20316" t="s">
        <v>23490</v>
      </c>
      <c r="D20316" t="str">
        <f>HYPERLINK("https://rhld.insurance.arkansas.gov/NPILookup?Npi=1578857959","1578857959")</f>
        <v>1578857959</v>
      </c>
      <c r="E20316" t="s">
        <v>5240</v>
      </c>
    </row>
    <row r="20317" spans="1:5" x14ac:dyDescent="0.25">
      <c r="A20317" t="s">
        <v>4</v>
      </c>
      <c r="B20317" t="s">
        <v>4111</v>
      </c>
      <c r="C20317" t="s">
        <v>23490</v>
      </c>
      <c r="D20317" t="str">
        <f>HYPERLINK("https://rhld.insurance.arkansas.gov/NPILookup?Npi=1578865911","1578865911")</f>
        <v>1578865911</v>
      </c>
      <c r="E20317" t="s">
        <v>9119</v>
      </c>
    </row>
    <row r="20318" spans="1:5" x14ac:dyDescent="0.25">
      <c r="A20318" t="s">
        <v>4</v>
      </c>
      <c r="B20318" t="s">
        <v>4111</v>
      </c>
      <c r="C20318" t="s">
        <v>23490</v>
      </c>
      <c r="D20318" t="str">
        <f>HYPERLINK("https://rhld.insurance.arkansas.gov/NPILookup?Npi=1578914016","1578914016")</f>
        <v>1578914016</v>
      </c>
      <c r="E20318" t="s">
        <v>13164</v>
      </c>
    </row>
    <row r="20319" spans="1:5" x14ac:dyDescent="0.25">
      <c r="A20319" t="s">
        <v>4</v>
      </c>
      <c r="B20319" t="s">
        <v>4111</v>
      </c>
      <c r="C20319" t="s">
        <v>8427</v>
      </c>
      <c r="D20319" t="str">
        <f>HYPERLINK("https://rhld.insurance.arkansas.gov/NPILookup?Npi=1578942280","1578942280")</f>
        <v>1578942280</v>
      </c>
      <c r="E20319" t="s">
        <v>23137</v>
      </c>
    </row>
    <row r="20320" spans="1:5" x14ac:dyDescent="0.25">
      <c r="A20320" t="s">
        <v>4</v>
      </c>
      <c r="B20320" t="s">
        <v>4111</v>
      </c>
      <c r="C20320" t="s">
        <v>23490</v>
      </c>
      <c r="D20320" t="str">
        <f>HYPERLINK("https://rhld.insurance.arkansas.gov/NPILookup?Npi=1578944641","1578944641")</f>
        <v>1578944641</v>
      </c>
      <c r="E20320" t="s">
        <v>13165</v>
      </c>
    </row>
    <row r="20321" spans="1:5" x14ac:dyDescent="0.25">
      <c r="A20321" t="s">
        <v>4</v>
      </c>
      <c r="B20321" t="s">
        <v>4111</v>
      </c>
      <c r="C20321" t="s">
        <v>23490</v>
      </c>
      <c r="D20321" t="str">
        <f>HYPERLINK("https://rhld.insurance.arkansas.gov/NPILookup?Npi=1578944914","1578944914")</f>
        <v>1578944914</v>
      </c>
      <c r="E20321" t="s">
        <v>16157</v>
      </c>
    </row>
    <row r="20322" spans="1:5" x14ac:dyDescent="0.25">
      <c r="A20322" t="s">
        <v>4</v>
      </c>
      <c r="B20322" t="s">
        <v>4111</v>
      </c>
      <c r="C20322" t="s">
        <v>23490</v>
      </c>
      <c r="D20322" t="str">
        <f>HYPERLINK("https://rhld.insurance.arkansas.gov/NPILookup?Npi=1578945424","1578945424")</f>
        <v>1578945424</v>
      </c>
      <c r="E20322" t="s">
        <v>14129</v>
      </c>
    </row>
    <row r="20323" spans="1:5" x14ac:dyDescent="0.25">
      <c r="A20323" t="s">
        <v>4</v>
      </c>
      <c r="B20323" t="s">
        <v>4111</v>
      </c>
      <c r="C20323" t="s">
        <v>23490</v>
      </c>
      <c r="D20323" t="str">
        <f>HYPERLINK("https://rhld.insurance.arkansas.gov/NPILookup?Npi=1578961934","1578961934")</f>
        <v>1578961934</v>
      </c>
      <c r="E20323" t="s">
        <v>5241</v>
      </c>
    </row>
    <row r="20324" spans="1:5" x14ac:dyDescent="0.25">
      <c r="A20324" t="s">
        <v>4</v>
      </c>
      <c r="B20324" t="s">
        <v>4111</v>
      </c>
      <c r="C20324" t="s">
        <v>23490</v>
      </c>
      <c r="D20324" t="str">
        <f>HYPERLINK("https://rhld.insurance.arkansas.gov/NPILookup?Npi=1578971479","1578971479")</f>
        <v>1578971479</v>
      </c>
      <c r="E20324" t="s">
        <v>11747</v>
      </c>
    </row>
    <row r="20325" spans="1:5" x14ac:dyDescent="0.25">
      <c r="A20325" t="s">
        <v>4</v>
      </c>
      <c r="B20325" t="s">
        <v>4111</v>
      </c>
      <c r="C20325" t="s">
        <v>23490</v>
      </c>
      <c r="D20325" t="str">
        <f>HYPERLINK("https://rhld.insurance.arkansas.gov/NPILookup?Npi=1578978672","1578978672")</f>
        <v>1578978672</v>
      </c>
      <c r="E20325" t="s">
        <v>11748</v>
      </c>
    </row>
    <row r="20326" spans="1:5" x14ac:dyDescent="0.25">
      <c r="A20326" t="s">
        <v>4</v>
      </c>
      <c r="B20326" t="s">
        <v>4111</v>
      </c>
      <c r="C20326" t="s">
        <v>23490</v>
      </c>
      <c r="D20326" t="str">
        <f>HYPERLINK("https://rhld.insurance.arkansas.gov/NPILookup?Npi=1578997615","1578997615")</f>
        <v>1578997615</v>
      </c>
      <c r="E20326" t="s">
        <v>5242</v>
      </c>
    </row>
    <row r="20327" spans="1:5" x14ac:dyDescent="0.25">
      <c r="A20327" t="s">
        <v>4</v>
      </c>
      <c r="B20327" t="s">
        <v>4111</v>
      </c>
      <c r="C20327" t="s">
        <v>23490</v>
      </c>
      <c r="D20327" t="str">
        <f>HYPERLINK("https://rhld.insurance.arkansas.gov/NPILookup?Npi=1578997706","1578997706")</f>
        <v>1578997706</v>
      </c>
      <c r="E20327" t="s">
        <v>11749</v>
      </c>
    </row>
    <row r="20328" spans="1:5" x14ac:dyDescent="0.25">
      <c r="A20328" t="s">
        <v>4</v>
      </c>
      <c r="B20328" t="s">
        <v>4111</v>
      </c>
      <c r="C20328" t="s">
        <v>23490</v>
      </c>
      <c r="D20328" t="str">
        <f>HYPERLINK("https://rhld.insurance.arkansas.gov/NPILookup?Npi=1578998910","1578998910")</f>
        <v>1578998910</v>
      </c>
      <c r="E20328" t="s">
        <v>16158</v>
      </c>
    </row>
    <row r="20329" spans="1:5" x14ac:dyDescent="0.25">
      <c r="A20329" t="s">
        <v>4</v>
      </c>
      <c r="B20329" t="s">
        <v>4111</v>
      </c>
      <c r="C20329" t="s">
        <v>23490</v>
      </c>
      <c r="D20329" t="str">
        <f>HYPERLINK("https://rhld.insurance.arkansas.gov/NPILookup?Npi=1588009591","1588009591")</f>
        <v>1588009591</v>
      </c>
      <c r="E20329" t="s">
        <v>5243</v>
      </c>
    </row>
    <row r="20330" spans="1:5" x14ac:dyDescent="0.25">
      <c r="A20330" t="s">
        <v>4</v>
      </c>
      <c r="B20330" t="s">
        <v>4111</v>
      </c>
      <c r="C20330" t="s">
        <v>23490</v>
      </c>
      <c r="D20330" t="str">
        <f>HYPERLINK("https://rhld.insurance.arkansas.gov/NPILookup?Npi=1588045603","1588045603")</f>
        <v>1588045603</v>
      </c>
      <c r="E20330" t="s">
        <v>18376</v>
      </c>
    </row>
    <row r="20331" spans="1:5" x14ac:dyDescent="0.25">
      <c r="A20331" t="s">
        <v>4</v>
      </c>
      <c r="B20331" t="s">
        <v>4111</v>
      </c>
      <c r="C20331" t="s">
        <v>23490</v>
      </c>
      <c r="D20331" t="str">
        <f>HYPERLINK("https://rhld.insurance.arkansas.gov/NPILookup?Npi=1588052740","1588052740")</f>
        <v>1588052740</v>
      </c>
      <c r="E20331" t="s">
        <v>16159</v>
      </c>
    </row>
    <row r="20332" spans="1:5" x14ac:dyDescent="0.25">
      <c r="A20332" t="s">
        <v>4</v>
      </c>
      <c r="B20332" t="s">
        <v>4111</v>
      </c>
      <c r="C20332" t="s">
        <v>23490</v>
      </c>
      <c r="D20332" t="str">
        <f>HYPERLINK("https://rhld.insurance.arkansas.gov/NPILookup?Npi=1588053219","1588053219")</f>
        <v>1588053219</v>
      </c>
      <c r="E20332" t="s">
        <v>18377</v>
      </c>
    </row>
    <row r="20333" spans="1:5" x14ac:dyDescent="0.25">
      <c r="A20333" t="s">
        <v>4</v>
      </c>
      <c r="B20333" t="s">
        <v>4111</v>
      </c>
      <c r="C20333" t="s">
        <v>23490</v>
      </c>
      <c r="D20333" t="str">
        <f>HYPERLINK("https://rhld.insurance.arkansas.gov/NPILookup?Npi=1588056758","1588056758")</f>
        <v>1588056758</v>
      </c>
      <c r="E20333" t="s">
        <v>22159</v>
      </c>
    </row>
    <row r="20334" spans="1:5" x14ac:dyDescent="0.25">
      <c r="A20334" t="s">
        <v>4</v>
      </c>
      <c r="B20334" t="s">
        <v>4111</v>
      </c>
      <c r="C20334" t="s">
        <v>23490</v>
      </c>
      <c r="D20334" t="str">
        <f>HYPERLINK("https://rhld.insurance.arkansas.gov/NPILookup?Npi=1588075824","1588075824")</f>
        <v>1588075824</v>
      </c>
      <c r="E20334" t="s">
        <v>5244</v>
      </c>
    </row>
    <row r="20335" spans="1:5" x14ac:dyDescent="0.25">
      <c r="A20335" t="s">
        <v>4</v>
      </c>
      <c r="B20335" t="s">
        <v>4111</v>
      </c>
      <c r="C20335" t="s">
        <v>23490</v>
      </c>
      <c r="D20335" t="str">
        <f>HYPERLINK("https://rhld.insurance.arkansas.gov/NPILookup?Npi=1588090526","1588090526")</f>
        <v>1588090526</v>
      </c>
      <c r="E20335" t="s">
        <v>16160</v>
      </c>
    </row>
    <row r="20336" spans="1:5" x14ac:dyDescent="0.25">
      <c r="A20336" t="s">
        <v>4</v>
      </c>
      <c r="B20336" t="s">
        <v>4111</v>
      </c>
      <c r="C20336" t="s">
        <v>23490</v>
      </c>
      <c r="D20336" t="str">
        <f>HYPERLINK("https://rhld.insurance.arkansas.gov/NPILookup?Npi=1588108351","1588108351")</f>
        <v>1588108351</v>
      </c>
      <c r="E20336" t="s">
        <v>17611</v>
      </c>
    </row>
    <row r="20337" spans="1:5" x14ac:dyDescent="0.25">
      <c r="A20337" t="s">
        <v>4</v>
      </c>
      <c r="B20337" t="s">
        <v>4111</v>
      </c>
      <c r="C20337" t="s">
        <v>23490</v>
      </c>
      <c r="D20337" t="str">
        <f>HYPERLINK("https://rhld.insurance.arkansas.gov/NPILookup?Npi=1588109698","1588109698")</f>
        <v>1588109698</v>
      </c>
      <c r="E20337" t="s">
        <v>14130</v>
      </c>
    </row>
    <row r="20338" spans="1:5" x14ac:dyDescent="0.25">
      <c r="A20338" t="s">
        <v>4</v>
      </c>
      <c r="B20338" t="s">
        <v>4111</v>
      </c>
      <c r="C20338" t="s">
        <v>23490</v>
      </c>
      <c r="D20338" t="str">
        <f>HYPERLINK("https://rhld.insurance.arkansas.gov/NPILookup?Npi=1588116032","1588116032")</f>
        <v>1588116032</v>
      </c>
      <c r="E20338" t="s">
        <v>22160</v>
      </c>
    </row>
    <row r="20339" spans="1:5" x14ac:dyDescent="0.25">
      <c r="A20339" t="s">
        <v>4</v>
      </c>
      <c r="B20339" t="s">
        <v>4111</v>
      </c>
      <c r="C20339" t="s">
        <v>23490</v>
      </c>
      <c r="D20339" t="str">
        <f>HYPERLINK("https://rhld.insurance.arkansas.gov/NPILookup?Npi=1588120190","1588120190")</f>
        <v>1588120190</v>
      </c>
      <c r="E20339" t="s">
        <v>20523</v>
      </c>
    </row>
    <row r="20340" spans="1:5" x14ac:dyDescent="0.25">
      <c r="A20340" t="s">
        <v>4</v>
      </c>
      <c r="B20340" t="s">
        <v>4111</v>
      </c>
      <c r="C20340" t="s">
        <v>8427</v>
      </c>
      <c r="D20340" t="str">
        <f>HYPERLINK("https://rhld.insurance.arkansas.gov/NPILookup?Npi=1588127526","1588127526")</f>
        <v>1588127526</v>
      </c>
      <c r="E20340" t="s">
        <v>23138</v>
      </c>
    </row>
    <row r="20341" spans="1:5" x14ac:dyDescent="0.25">
      <c r="A20341" t="s">
        <v>4</v>
      </c>
      <c r="B20341" t="s">
        <v>4111</v>
      </c>
      <c r="C20341" t="s">
        <v>23490</v>
      </c>
      <c r="D20341" t="str">
        <f>HYPERLINK("https://rhld.insurance.arkansas.gov/NPILookup?Npi=1588138226","1588138226")</f>
        <v>1588138226</v>
      </c>
      <c r="E20341" t="s">
        <v>22161</v>
      </c>
    </row>
    <row r="20342" spans="1:5" x14ac:dyDescent="0.25">
      <c r="A20342" t="s">
        <v>4</v>
      </c>
      <c r="B20342" t="s">
        <v>4111</v>
      </c>
      <c r="C20342" t="s">
        <v>23490</v>
      </c>
      <c r="D20342" t="str">
        <f>HYPERLINK("https://rhld.insurance.arkansas.gov/NPILookup?Npi=1588144752","1588144752")</f>
        <v>1588144752</v>
      </c>
      <c r="E20342" t="s">
        <v>18378</v>
      </c>
    </row>
    <row r="20343" spans="1:5" x14ac:dyDescent="0.25">
      <c r="A20343" t="s">
        <v>4</v>
      </c>
      <c r="B20343" t="s">
        <v>4111</v>
      </c>
      <c r="C20343" t="s">
        <v>23490</v>
      </c>
      <c r="D20343" t="str">
        <f>HYPERLINK("https://rhld.insurance.arkansas.gov/NPILookup?Npi=1588171813","1588171813")</f>
        <v>1588171813</v>
      </c>
      <c r="E20343" t="s">
        <v>16161</v>
      </c>
    </row>
    <row r="20344" spans="1:5" x14ac:dyDescent="0.25">
      <c r="A20344" t="s">
        <v>4</v>
      </c>
      <c r="B20344" t="s">
        <v>4111</v>
      </c>
      <c r="C20344" t="s">
        <v>23490</v>
      </c>
      <c r="D20344" t="str">
        <f>HYPERLINK("https://rhld.insurance.arkansas.gov/NPILookup?Npi=1588183834","1588183834")</f>
        <v>1588183834</v>
      </c>
      <c r="E20344" t="s">
        <v>16162</v>
      </c>
    </row>
    <row r="20345" spans="1:5" x14ac:dyDescent="0.25">
      <c r="A20345" t="s">
        <v>4</v>
      </c>
      <c r="B20345" t="s">
        <v>4111</v>
      </c>
      <c r="C20345" t="s">
        <v>23490</v>
      </c>
      <c r="D20345" t="str">
        <f>HYPERLINK("https://rhld.insurance.arkansas.gov/NPILookup?Npi=1588184857","1588184857")</f>
        <v>1588184857</v>
      </c>
      <c r="E20345" t="s">
        <v>22162</v>
      </c>
    </row>
    <row r="20346" spans="1:5" x14ac:dyDescent="0.25">
      <c r="A20346" t="s">
        <v>4</v>
      </c>
      <c r="B20346" t="s">
        <v>4111</v>
      </c>
      <c r="C20346" t="s">
        <v>23490</v>
      </c>
      <c r="D20346" t="str">
        <f>HYPERLINK("https://rhld.insurance.arkansas.gov/NPILookup?Npi=1588256325","1588256325")</f>
        <v>1588256325</v>
      </c>
      <c r="E20346" t="s">
        <v>18379</v>
      </c>
    </row>
    <row r="20347" spans="1:5" x14ac:dyDescent="0.25">
      <c r="A20347" t="s">
        <v>4</v>
      </c>
      <c r="B20347" t="s">
        <v>4111</v>
      </c>
      <c r="C20347" t="s">
        <v>8427</v>
      </c>
      <c r="D20347" t="str">
        <f>HYPERLINK("https://rhld.insurance.arkansas.gov/NPILookup?Npi=1588266597","1588266597")</f>
        <v>1588266597</v>
      </c>
      <c r="E20347" t="s">
        <v>23139</v>
      </c>
    </row>
    <row r="20348" spans="1:5" x14ac:dyDescent="0.25">
      <c r="A20348" t="s">
        <v>4</v>
      </c>
      <c r="B20348" t="s">
        <v>4111</v>
      </c>
      <c r="C20348" t="s">
        <v>8427</v>
      </c>
      <c r="D20348" t="str">
        <f>HYPERLINK("https://rhld.insurance.arkansas.gov/NPILookup?Npi=1588270011","1588270011")</f>
        <v>1588270011</v>
      </c>
      <c r="E20348" t="s">
        <v>23140</v>
      </c>
    </row>
    <row r="20349" spans="1:5" x14ac:dyDescent="0.25">
      <c r="A20349" t="s">
        <v>4</v>
      </c>
      <c r="B20349" t="s">
        <v>4111</v>
      </c>
      <c r="C20349" t="s">
        <v>23490</v>
      </c>
      <c r="D20349" t="str">
        <f>HYPERLINK("https://rhld.insurance.arkansas.gov/NPILookup?Npi=1588278121","1588278121")</f>
        <v>1588278121</v>
      </c>
      <c r="E20349" t="s">
        <v>22163</v>
      </c>
    </row>
    <row r="20350" spans="1:5" x14ac:dyDescent="0.25">
      <c r="A20350" t="s">
        <v>4</v>
      </c>
      <c r="B20350" t="s">
        <v>4111</v>
      </c>
      <c r="C20350" t="s">
        <v>23490</v>
      </c>
      <c r="D20350" t="str">
        <f>HYPERLINK("https://rhld.insurance.arkansas.gov/NPILookup?Npi=1588278493","1588278493")</f>
        <v>1588278493</v>
      </c>
      <c r="E20350" t="s">
        <v>22164</v>
      </c>
    </row>
    <row r="20351" spans="1:5" x14ac:dyDescent="0.25">
      <c r="A20351" t="s">
        <v>4</v>
      </c>
      <c r="B20351" t="s">
        <v>4111</v>
      </c>
      <c r="C20351" t="s">
        <v>23490</v>
      </c>
      <c r="D20351" t="str">
        <f>HYPERLINK("https://rhld.insurance.arkansas.gov/NPILookup?Npi=1588299291","1588299291")</f>
        <v>1588299291</v>
      </c>
      <c r="E20351" t="s">
        <v>22960</v>
      </c>
    </row>
    <row r="20352" spans="1:5" x14ac:dyDescent="0.25">
      <c r="A20352" t="s">
        <v>4</v>
      </c>
      <c r="B20352" t="s">
        <v>4111</v>
      </c>
      <c r="C20352" t="s">
        <v>23490</v>
      </c>
      <c r="D20352" t="str">
        <f>HYPERLINK("https://rhld.insurance.arkansas.gov/NPILookup?Npi=1588311591","1588311591")</f>
        <v>1588311591</v>
      </c>
      <c r="E20352" t="s">
        <v>22165</v>
      </c>
    </row>
    <row r="20353" spans="1:5" x14ac:dyDescent="0.25">
      <c r="A20353" t="s">
        <v>4</v>
      </c>
      <c r="B20353" t="s">
        <v>4111</v>
      </c>
      <c r="C20353" t="s">
        <v>23490</v>
      </c>
      <c r="D20353" t="str">
        <f>HYPERLINK("https://rhld.insurance.arkansas.gov/NPILookup?Npi=1588313902","1588313902")</f>
        <v>1588313902</v>
      </c>
      <c r="E20353" t="s">
        <v>22166</v>
      </c>
    </row>
    <row r="20354" spans="1:5" x14ac:dyDescent="0.25">
      <c r="A20354" t="s">
        <v>4</v>
      </c>
      <c r="B20354" t="s">
        <v>4111</v>
      </c>
      <c r="C20354" t="s">
        <v>23490</v>
      </c>
      <c r="D20354" t="str">
        <f>HYPERLINK("https://rhld.insurance.arkansas.gov/NPILookup?Npi=1588605463","1588605463")</f>
        <v>1588605463</v>
      </c>
      <c r="E20354" t="s">
        <v>5245</v>
      </c>
    </row>
    <row r="20355" spans="1:5" x14ac:dyDescent="0.25">
      <c r="A20355" t="s">
        <v>4</v>
      </c>
      <c r="B20355" t="s">
        <v>4111</v>
      </c>
      <c r="C20355" t="s">
        <v>23490</v>
      </c>
      <c r="D20355" t="str">
        <f>HYPERLINK("https://rhld.insurance.arkansas.gov/NPILookup?Npi=1588640551","1588640551")</f>
        <v>1588640551</v>
      </c>
      <c r="E20355" t="s">
        <v>5246</v>
      </c>
    </row>
    <row r="20356" spans="1:5" x14ac:dyDescent="0.25">
      <c r="A20356" t="s">
        <v>4</v>
      </c>
      <c r="B20356" t="s">
        <v>4111</v>
      </c>
      <c r="C20356" t="s">
        <v>23490</v>
      </c>
      <c r="D20356" t="str">
        <f>HYPERLINK("https://rhld.insurance.arkansas.gov/NPILookup?Npi=1588651483","1588651483")</f>
        <v>1588651483</v>
      </c>
      <c r="E20356" t="s">
        <v>5247</v>
      </c>
    </row>
    <row r="20357" spans="1:5" x14ac:dyDescent="0.25">
      <c r="A20357" t="s">
        <v>4</v>
      </c>
      <c r="B20357" t="s">
        <v>4111</v>
      </c>
      <c r="C20357" t="s">
        <v>23490</v>
      </c>
      <c r="D20357" t="str">
        <f>HYPERLINK("https://rhld.insurance.arkansas.gov/NPILookup?Npi=1588658629","1588658629")</f>
        <v>1588658629</v>
      </c>
      <c r="E20357" t="s">
        <v>1690</v>
      </c>
    </row>
    <row r="20358" spans="1:5" x14ac:dyDescent="0.25">
      <c r="A20358" t="s">
        <v>4</v>
      </c>
      <c r="B20358" t="s">
        <v>4111</v>
      </c>
      <c r="C20358" t="s">
        <v>23490</v>
      </c>
      <c r="D20358" t="str">
        <f>HYPERLINK("https://rhld.insurance.arkansas.gov/NPILookup?Npi=1588660054","1588660054")</f>
        <v>1588660054</v>
      </c>
      <c r="E20358" t="s">
        <v>11750</v>
      </c>
    </row>
    <row r="20359" spans="1:5" x14ac:dyDescent="0.25">
      <c r="A20359" t="s">
        <v>4</v>
      </c>
      <c r="B20359" t="s">
        <v>4111</v>
      </c>
      <c r="C20359" t="s">
        <v>23490</v>
      </c>
      <c r="D20359" t="str">
        <f>HYPERLINK("https://rhld.insurance.arkansas.gov/NPILookup?Npi=1588692453","1588692453")</f>
        <v>1588692453</v>
      </c>
      <c r="E20359" t="s">
        <v>11751</v>
      </c>
    </row>
    <row r="20360" spans="1:5" x14ac:dyDescent="0.25">
      <c r="A20360" t="s">
        <v>4</v>
      </c>
      <c r="B20360" t="s">
        <v>4111</v>
      </c>
      <c r="C20360" t="s">
        <v>23490</v>
      </c>
      <c r="D20360" t="str">
        <f>HYPERLINK("https://rhld.insurance.arkansas.gov/NPILookup?Npi=1588696082","1588696082")</f>
        <v>1588696082</v>
      </c>
      <c r="E20360" t="s">
        <v>5248</v>
      </c>
    </row>
    <row r="20361" spans="1:5" x14ac:dyDescent="0.25">
      <c r="A20361" t="s">
        <v>4</v>
      </c>
      <c r="B20361" t="s">
        <v>4111</v>
      </c>
      <c r="C20361" t="s">
        <v>23490</v>
      </c>
      <c r="D20361" t="str">
        <f>HYPERLINK("https://rhld.insurance.arkansas.gov/NPILookup?Npi=1588715486","1588715486")</f>
        <v>1588715486</v>
      </c>
      <c r="E20361" t="s">
        <v>4680</v>
      </c>
    </row>
    <row r="20362" spans="1:5" x14ac:dyDescent="0.25">
      <c r="A20362" t="s">
        <v>4</v>
      </c>
      <c r="B20362" t="s">
        <v>4111</v>
      </c>
      <c r="C20362" t="s">
        <v>23490</v>
      </c>
      <c r="D20362" t="str">
        <f>HYPERLINK("https://rhld.insurance.arkansas.gov/NPILookup?Npi=1588748990","1588748990")</f>
        <v>1588748990</v>
      </c>
      <c r="E20362" t="s">
        <v>5249</v>
      </c>
    </row>
    <row r="20363" spans="1:5" x14ac:dyDescent="0.25">
      <c r="A20363" t="s">
        <v>4</v>
      </c>
      <c r="B20363" t="s">
        <v>4111</v>
      </c>
      <c r="C20363" t="s">
        <v>23490</v>
      </c>
      <c r="D20363" t="str">
        <f>HYPERLINK("https://rhld.insurance.arkansas.gov/NPILookup?Npi=1588765143","1588765143")</f>
        <v>1588765143</v>
      </c>
      <c r="E20363" t="s">
        <v>5250</v>
      </c>
    </row>
    <row r="20364" spans="1:5" x14ac:dyDescent="0.25">
      <c r="A20364" t="s">
        <v>4</v>
      </c>
      <c r="B20364" t="s">
        <v>4111</v>
      </c>
      <c r="C20364" t="s">
        <v>23490</v>
      </c>
      <c r="D20364" t="str">
        <f>HYPERLINK("https://rhld.insurance.arkansas.gov/NPILookup?Npi=1588769491","1588769491")</f>
        <v>1588769491</v>
      </c>
      <c r="E20364" t="s">
        <v>5251</v>
      </c>
    </row>
    <row r="20365" spans="1:5" x14ac:dyDescent="0.25">
      <c r="A20365" t="s">
        <v>4</v>
      </c>
      <c r="B20365" t="s">
        <v>4111</v>
      </c>
      <c r="C20365" t="s">
        <v>23490</v>
      </c>
      <c r="D20365" t="str">
        <f>HYPERLINK("https://rhld.insurance.arkansas.gov/NPILookup?Npi=1588773410","1588773410")</f>
        <v>1588773410</v>
      </c>
      <c r="E20365" t="s">
        <v>5252</v>
      </c>
    </row>
    <row r="20366" spans="1:5" x14ac:dyDescent="0.25">
      <c r="A20366" t="s">
        <v>4</v>
      </c>
      <c r="B20366" t="s">
        <v>4111</v>
      </c>
      <c r="C20366" t="s">
        <v>23490</v>
      </c>
      <c r="D20366" t="str">
        <f>HYPERLINK("https://rhld.insurance.arkansas.gov/NPILookup?Npi=1588786255","1588786255")</f>
        <v>1588786255</v>
      </c>
      <c r="E20366" t="s">
        <v>11752</v>
      </c>
    </row>
    <row r="20367" spans="1:5" x14ac:dyDescent="0.25">
      <c r="A20367" t="s">
        <v>4</v>
      </c>
      <c r="B20367" t="s">
        <v>4111</v>
      </c>
      <c r="C20367" t="s">
        <v>23490</v>
      </c>
      <c r="D20367" t="str">
        <f>HYPERLINK("https://rhld.insurance.arkansas.gov/NPILookup?Npi=1588790851","1588790851")</f>
        <v>1588790851</v>
      </c>
      <c r="E20367" t="s">
        <v>11753</v>
      </c>
    </row>
    <row r="20368" spans="1:5" x14ac:dyDescent="0.25">
      <c r="A20368" t="s">
        <v>4</v>
      </c>
      <c r="B20368" t="s">
        <v>4111</v>
      </c>
      <c r="C20368" t="s">
        <v>23490</v>
      </c>
      <c r="D20368" t="str">
        <f>HYPERLINK("https://rhld.insurance.arkansas.gov/NPILookup?Npi=1588809750","1588809750")</f>
        <v>1588809750</v>
      </c>
      <c r="E20368" t="s">
        <v>5253</v>
      </c>
    </row>
    <row r="20369" spans="1:5" x14ac:dyDescent="0.25">
      <c r="A20369" t="s">
        <v>4</v>
      </c>
      <c r="B20369" t="s">
        <v>4111</v>
      </c>
      <c r="C20369" t="s">
        <v>23490</v>
      </c>
      <c r="D20369" t="str">
        <f>HYPERLINK("https://rhld.insurance.arkansas.gov/NPILookup?Npi=1588811657","1588811657")</f>
        <v>1588811657</v>
      </c>
      <c r="E20369" t="s">
        <v>5254</v>
      </c>
    </row>
    <row r="20370" spans="1:5" x14ac:dyDescent="0.25">
      <c r="A20370" t="s">
        <v>4</v>
      </c>
      <c r="B20370" t="s">
        <v>4111</v>
      </c>
      <c r="C20370" t="s">
        <v>23490</v>
      </c>
      <c r="D20370" t="str">
        <f>HYPERLINK("https://rhld.insurance.arkansas.gov/NPILookup?Npi=1588814370","1588814370")</f>
        <v>1588814370</v>
      </c>
      <c r="E20370" t="s">
        <v>5255</v>
      </c>
    </row>
    <row r="20371" spans="1:5" x14ac:dyDescent="0.25">
      <c r="A20371" t="s">
        <v>4</v>
      </c>
      <c r="B20371" t="s">
        <v>4111</v>
      </c>
      <c r="C20371" t="s">
        <v>23490</v>
      </c>
      <c r="D20371" t="str">
        <f>HYPERLINK("https://rhld.insurance.arkansas.gov/NPILookup?Npi=1588818181","1588818181")</f>
        <v>1588818181</v>
      </c>
      <c r="E20371" t="s">
        <v>21144</v>
      </c>
    </row>
    <row r="20372" spans="1:5" x14ac:dyDescent="0.25">
      <c r="A20372" t="s">
        <v>4</v>
      </c>
      <c r="B20372" t="s">
        <v>4111</v>
      </c>
      <c r="C20372" t="s">
        <v>23490</v>
      </c>
      <c r="D20372" t="str">
        <f>HYPERLINK("https://rhld.insurance.arkansas.gov/NPILookup?Npi=1588826002","1588826002")</f>
        <v>1588826002</v>
      </c>
      <c r="E20372" t="s">
        <v>17612</v>
      </c>
    </row>
    <row r="20373" spans="1:5" x14ac:dyDescent="0.25">
      <c r="A20373" t="s">
        <v>4</v>
      </c>
      <c r="B20373" t="s">
        <v>4111</v>
      </c>
      <c r="C20373" t="s">
        <v>23490</v>
      </c>
      <c r="D20373" t="str">
        <f>HYPERLINK("https://rhld.insurance.arkansas.gov/NPILookup?Npi=1588835110","1588835110")</f>
        <v>1588835110</v>
      </c>
      <c r="E20373" t="s">
        <v>14131</v>
      </c>
    </row>
    <row r="20374" spans="1:5" x14ac:dyDescent="0.25">
      <c r="A20374" t="s">
        <v>4</v>
      </c>
      <c r="B20374" t="s">
        <v>4111</v>
      </c>
      <c r="C20374" t="s">
        <v>23490</v>
      </c>
      <c r="D20374" t="str">
        <f>HYPERLINK("https://rhld.insurance.arkansas.gov/NPILookup?Npi=1588839815","1588839815")</f>
        <v>1588839815</v>
      </c>
      <c r="E20374" t="s">
        <v>22167</v>
      </c>
    </row>
    <row r="20375" spans="1:5" x14ac:dyDescent="0.25">
      <c r="A20375" t="s">
        <v>4</v>
      </c>
      <c r="B20375" t="s">
        <v>4111</v>
      </c>
      <c r="C20375" t="s">
        <v>23490</v>
      </c>
      <c r="D20375" t="str">
        <f>HYPERLINK("https://rhld.insurance.arkansas.gov/NPILookup?Npi=1588841878","1588841878")</f>
        <v>1588841878</v>
      </c>
      <c r="E20375" t="s">
        <v>14132</v>
      </c>
    </row>
    <row r="20376" spans="1:5" x14ac:dyDescent="0.25">
      <c r="A20376" t="s">
        <v>4</v>
      </c>
      <c r="B20376" t="s">
        <v>4111</v>
      </c>
      <c r="C20376" t="s">
        <v>23490</v>
      </c>
      <c r="D20376" t="str">
        <f>HYPERLINK("https://rhld.insurance.arkansas.gov/NPILookup?Npi=1588871644","1588871644")</f>
        <v>1588871644</v>
      </c>
      <c r="E20376" t="s">
        <v>5256</v>
      </c>
    </row>
    <row r="20377" spans="1:5" x14ac:dyDescent="0.25">
      <c r="A20377" t="s">
        <v>4</v>
      </c>
      <c r="B20377" t="s">
        <v>4111</v>
      </c>
      <c r="C20377" t="s">
        <v>23490</v>
      </c>
      <c r="D20377" t="str">
        <f>HYPERLINK("https://rhld.insurance.arkansas.gov/NPILookup?Npi=1588872014","1588872014")</f>
        <v>1588872014</v>
      </c>
      <c r="E20377" t="s">
        <v>9120</v>
      </c>
    </row>
    <row r="20378" spans="1:5" x14ac:dyDescent="0.25">
      <c r="A20378" t="s">
        <v>4</v>
      </c>
      <c r="B20378" t="s">
        <v>4111</v>
      </c>
      <c r="C20378" t="s">
        <v>23490</v>
      </c>
      <c r="D20378" t="str">
        <f>HYPERLINK("https://rhld.insurance.arkansas.gov/NPILookup?Npi=1588891709","1588891709")</f>
        <v>1588891709</v>
      </c>
      <c r="E20378" t="s">
        <v>5257</v>
      </c>
    </row>
    <row r="20379" spans="1:5" x14ac:dyDescent="0.25">
      <c r="A20379" t="s">
        <v>4</v>
      </c>
      <c r="B20379" t="s">
        <v>4111</v>
      </c>
      <c r="C20379" t="s">
        <v>23490</v>
      </c>
      <c r="D20379" t="str">
        <f>HYPERLINK("https://rhld.insurance.arkansas.gov/NPILookup?Npi=1588892400","1588892400")</f>
        <v>1588892400</v>
      </c>
      <c r="E20379" t="s">
        <v>9121</v>
      </c>
    </row>
    <row r="20380" spans="1:5" x14ac:dyDescent="0.25">
      <c r="A20380" t="s">
        <v>4</v>
      </c>
      <c r="B20380" t="s">
        <v>4111</v>
      </c>
      <c r="C20380" t="s">
        <v>23490</v>
      </c>
      <c r="D20380" t="str">
        <f>HYPERLINK("https://rhld.insurance.arkansas.gov/NPILookup?Npi=1588895965","1588895965")</f>
        <v>1588895965</v>
      </c>
      <c r="E20380" t="s">
        <v>22168</v>
      </c>
    </row>
    <row r="20381" spans="1:5" x14ac:dyDescent="0.25">
      <c r="A20381" t="s">
        <v>4</v>
      </c>
      <c r="B20381" t="s">
        <v>4111</v>
      </c>
      <c r="C20381" t="s">
        <v>23490</v>
      </c>
      <c r="D20381" t="str">
        <f>HYPERLINK("https://rhld.insurance.arkansas.gov/NPILookup?Npi=1588904445","1588904445")</f>
        <v>1588904445</v>
      </c>
      <c r="E20381" t="s">
        <v>4212</v>
      </c>
    </row>
    <row r="20382" spans="1:5" x14ac:dyDescent="0.25">
      <c r="A20382" t="s">
        <v>4</v>
      </c>
      <c r="B20382" t="s">
        <v>4111</v>
      </c>
      <c r="C20382" t="s">
        <v>23490</v>
      </c>
      <c r="D20382" t="str">
        <f>HYPERLINK("https://rhld.insurance.arkansas.gov/NPILookup?Npi=1588921043","1588921043")</f>
        <v>1588921043</v>
      </c>
      <c r="E20382" t="s">
        <v>756</v>
      </c>
    </row>
    <row r="20383" spans="1:5" x14ac:dyDescent="0.25">
      <c r="A20383" t="s">
        <v>4</v>
      </c>
      <c r="B20383" t="s">
        <v>4111</v>
      </c>
      <c r="C20383" t="s">
        <v>23490</v>
      </c>
      <c r="D20383" t="str">
        <f>HYPERLINK("https://rhld.insurance.arkansas.gov/NPILookup?Npi=1588952105","1588952105")</f>
        <v>1588952105</v>
      </c>
      <c r="E20383" t="s">
        <v>9122</v>
      </c>
    </row>
    <row r="20384" spans="1:5" x14ac:dyDescent="0.25">
      <c r="A20384" t="s">
        <v>4</v>
      </c>
      <c r="B20384" t="s">
        <v>4111</v>
      </c>
      <c r="C20384" t="s">
        <v>23490</v>
      </c>
      <c r="D20384" t="str">
        <f>HYPERLINK("https://rhld.insurance.arkansas.gov/NPILookup?Npi=1588959332","1588959332")</f>
        <v>1588959332</v>
      </c>
      <c r="E20384" t="s">
        <v>5258</v>
      </c>
    </row>
    <row r="20385" spans="1:5" x14ac:dyDescent="0.25">
      <c r="A20385" t="s">
        <v>4</v>
      </c>
      <c r="B20385" t="s">
        <v>4111</v>
      </c>
      <c r="C20385" t="s">
        <v>23490</v>
      </c>
      <c r="D20385" t="str">
        <f>HYPERLINK("https://rhld.insurance.arkansas.gov/NPILookup?Npi=1588964019","1588964019")</f>
        <v>1588964019</v>
      </c>
      <c r="E20385" t="s">
        <v>11754</v>
      </c>
    </row>
    <row r="20386" spans="1:5" x14ac:dyDescent="0.25">
      <c r="A20386" t="s">
        <v>4</v>
      </c>
      <c r="B20386" t="s">
        <v>4111</v>
      </c>
      <c r="C20386" t="s">
        <v>23490</v>
      </c>
      <c r="D20386" t="str">
        <f>HYPERLINK("https://rhld.insurance.arkansas.gov/NPILookup?Npi=1588978464","1588978464")</f>
        <v>1588978464</v>
      </c>
      <c r="E20386" t="s">
        <v>5259</v>
      </c>
    </row>
    <row r="20387" spans="1:5" x14ac:dyDescent="0.25">
      <c r="A20387" t="s">
        <v>4</v>
      </c>
      <c r="B20387" t="s">
        <v>4111</v>
      </c>
      <c r="C20387" t="s">
        <v>23490</v>
      </c>
      <c r="D20387" t="str">
        <f>HYPERLINK("https://rhld.insurance.arkansas.gov/NPILookup?Npi=1588982326","1588982326")</f>
        <v>1588982326</v>
      </c>
      <c r="E20387" t="s">
        <v>2194</v>
      </c>
    </row>
    <row r="20388" spans="1:5" x14ac:dyDescent="0.25">
      <c r="A20388" t="s">
        <v>4</v>
      </c>
      <c r="B20388" t="s">
        <v>4111</v>
      </c>
      <c r="C20388" t="s">
        <v>23490</v>
      </c>
      <c r="D20388" t="str">
        <f>HYPERLINK("https://rhld.insurance.arkansas.gov/NPILookup?Npi=1588984223","1588984223")</f>
        <v>1588984223</v>
      </c>
      <c r="E20388" t="s">
        <v>22169</v>
      </c>
    </row>
    <row r="20389" spans="1:5" x14ac:dyDescent="0.25">
      <c r="A20389" t="s">
        <v>4</v>
      </c>
      <c r="B20389" t="s">
        <v>4111</v>
      </c>
      <c r="C20389" t="s">
        <v>23490</v>
      </c>
      <c r="D20389" t="str">
        <f>HYPERLINK("https://rhld.insurance.arkansas.gov/NPILookup?Npi=1588995211","1588995211")</f>
        <v>1588995211</v>
      </c>
      <c r="E20389" t="s">
        <v>22170</v>
      </c>
    </row>
    <row r="20390" spans="1:5" x14ac:dyDescent="0.25">
      <c r="A20390" t="s">
        <v>4</v>
      </c>
      <c r="B20390" t="s">
        <v>4111</v>
      </c>
      <c r="C20390" t="s">
        <v>23490</v>
      </c>
      <c r="D20390" t="str">
        <f>HYPERLINK("https://rhld.insurance.arkansas.gov/NPILookup?Npi=1598011074","1598011074")</f>
        <v>1598011074</v>
      </c>
      <c r="E20390" t="s">
        <v>5260</v>
      </c>
    </row>
    <row r="20391" spans="1:5" x14ac:dyDescent="0.25">
      <c r="A20391" t="s">
        <v>4</v>
      </c>
      <c r="B20391" t="s">
        <v>4111</v>
      </c>
      <c r="C20391" t="s">
        <v>23490</v>
      </c>
      <c r="D20391" t="str">
        <f>HYPERLINK("https://rhld.insurance.arkansas.gov/NPILookup?Npi=1598026353","1598026353")</f>
        <v>1598026353</v>
      </c>
      <c r="E20391" t="s">
        <v>16163</v>
      </c>
    </row>
    <row r="20392" spans="1:5" x14ac:dyDescent="0.25">
      <c r="A20392" t="s">
        <v>4</v>
      </c>
      <c r="B20392" t="s">
        <v>4111</v>
      </c>
      <c r="C20392" t="s">
        <v>23490</v>
      </c>
      <c r="D20392" t="str">
        <f>HYPERLINK("https://rhld.insurance.arkansas.gov/NPILookup?Npi=1598039075","1598039075")</f>
        <v>1598039075</v>
      </c>
      <c r="E20392" t="s">
        <v>11755</v>
      </c>
    </row>
    <row r="20393" spans="1:5" x14ac:dyDescent="0.25">
      <c r="A20393" t="s">
        <v>4</v>
      </c>
      <c r="B20393" t="s">
        <v>4111</v>
      </c>
      <c r="C20393" t="s">
        <v>23490</v>
      </c>
      <c r="D20393" t="str">
        <f>HYPERLINK("https://rhld.insurance.arkansas.gov/NPILookup?Npi=1598045551","1598045551")</f>
        <v>1598045551</v>
      </c>
      <c r="E20393" t="s">
        <v>22171</v>
      </c>
    </row>
    <row r="20394" spans="1:5" x14ac:dyDescent="0.25">
      <c r="A20394" t="s">
        <v>4</v>
      </c>
      <c r="B20394" t="s">
        <v>4111</v>
      </c>
      <c r="C20394" t="s">
        <v>23490</v>
      </c>
      <c r="D20394" t="str">
        <f>HYPERLINK("https://rhld.insurance.arkansas.gov/NPILookup?Npi=1598051682","1598051682")</f>
        <v>1598051682</v>
      </c>
      <c r="E20394" t="s">
        <v>16164</v>
      </c>
    </row>
    <row r="20395" spans="1:5" x14ac:dyDescent="0.25">
      <c r="A20395" t="s">
        <v>4</v>
      </c>
      <c r="B20395" t="s">
        <v>4111</v>
      </c>
      <c r="C20395" t="s">
        <v>23490</v>
      </c>
      <c r="D20395" t="str">
        <f>HYPERLINK("https://rhld.insurance.arkansas.gov/NPILookup?Npi=1598052003","1598052003")</f>
        <v>1598052003</v>
      </c>
      <c r="E20395" t="s">
        <v>14133</v>
      </c>
    </row>
    <row r="20396" spans="1:5" x14ac:dyDescent="0.25">
      <c r="A20396" t="s">
        <v>4</v>
      </c>
      <c r="B20396" t="s">
        <v>4111</v>
      </c>
      <c r="C20396" t="s">
        <v>23490</v>
      </c>
      <c r="D20396" t="str">
        <f>HYPERLINK("https://rhld.insurance.arkansas.gov/NPILookup?Npi=1598069155","1598069155")</f>
        <v>1598069155</v>
      </c>
      <c r="E20396" t="s">
        <v>11756</v>
      </c>
    </row>
    <row r="20397" spans="1:5" x14ac:dyDescent="0.25">
      <c r="A20397" t="s">
        <v>4</v>
      </c>
      <c r="B20397" t="s">
        <v>4111</v>
      </c>
      <c r="C20397" t="s">
        <v>23490</v>
      </c>
      <c r="D20397" t="str">
        <f>HYPERLINK("https://rhld.insurance.arkansas.gov/NPILookup?Npi=1598082992","1598082992")</f>
        <v>1598082992</v>
      </c>
      <c r="E20397" t="s">
        <v>9123</v>
      </c>
    </row>
    <row r="20398" spans="1:5" x14ac:dyDescent="0.25">
      <c r="A20398" t="s">
        <v>4</v>
      </c>
      <c r="B20398" t="s">
        <v>4111</v>
      </c>
      <c r="C20398" t="s">
        <v>23490</v>
      </c>
      <c r="D20398" t="str">
        <f>HYPERLINK("https://rhld.insurance.arkansas.gov/NPILookup?Npi=1598097990","1598097990")</f>
        <v>1598097990</v>
      </c>
      <c r="E20398" t="s">
        <v>9124</v>
      </c>
    </row>
    <row r="20399" spans="1:5" x14ac:dyDescent="0.25">
      <c r="A20399" t="s">
        <v>4</v>
      </c>
      <c r="B20399" t="s">
        <v>4111</v>
      </c>
      <c r="C20399" t="s">
        <v>23490</v>
      </c>
      <c r="D20399" t="str">
        <f>HYPERLINK("https://rhld.insurance.arkansas.gov/NPILookup?Npi=1598103376","1598103376")</f>
        <v>1598103376</v>
      </c>
      <c r="E20399" t="s">
        <v>13166</v>
      </c>
    </row>
    <row r="20400" spans="1:5" x14ac:dyDescent="0.25">
      <c r="A20400" t="s">
        <v>4</v>
      </c>
      <c r="B20400" t="s">
        <v>4111</v>
      </c>
      <c r="C20400" t="s">
        <v>23490</v>
      </c>
      <c r="D20400" t="str">
        <f>HYPERLINK("https://rhld.insurance.arkansas.gov/NPILookup?Npi=1598121568","1598121568")</f>
        <v>1598121568</v>
      </c>
      <c r="E20400" t="s">
        <v>11757</v>
      </c>
    </row>
    <row r="20401" spans="1:5" x14ac:dyDescent="0.25">
      <c r="A20401" t="s">
        <v>4</v>
      </c>
      <c r="B20401" t="s">
        <v>4111</v>
      </c>
      <c r="C20401" t="s">
        <v>23490</v>
      </c>
      <c r="D20401" t="str">
        <f>HYPERLINK("https://rhld.insurance.arkansas.gov/NPILookup?Npi=1598124356","1598124356")</f>
        <v>1598124356</v>
      </c>
      <c r="E20401" t="s">
        <v>16165</v>
      </c>
    </row>
    <row r="20402" spans="1:5" x14ac:dyDescent="0.25">
      <c r="A20402" t="s">
        <v>4</v>
      </c>
      <c r="B20402" t="s">
        <v>4111</v>
      </c>
      <c r="C20402" t="s">
        <v>23490</v>
      </c>
      <c r="D20402" t="str">
        <f>HYPERLINK("https://rhld.insurance.arkansas.gov/NPILookup?Npi=1598128506","1598128506")</f>
        <v>1598128506</v>
      </c>
      <c r="E20402" t="s">
        <v>22172</v>
      </c>
    </row>
    <row r="20403" spans="1:5" x14ac:dyDescent="0.25">
      <c r="A20403" t="s">
        <v>4</v>
      </c>
      <c r="B20403" t="s">
        <v>4111</v>
      </c>
      <c r="C20403" t="s">
        <v>8427</v>
      </c>
      <c r="D20403" t="str">
        <f>HYPERLINK("https://rhld.insurance.arkansas.gov/NPILookup?Npi=1598144594","1598144594")</f>
        <v>1598144594</v>
      </c>
      <c r="E20403" t="s">
        <v>23141</v>
      </c>
    </row>
    <row r="20404" spans="1:5" x14ac:dyDescent="0.25">
      <c r="A20404" t="s">
        <v>4</v>
      </c>
      <c r="B20404" t="s">
        <v>4111</v>
      </c>
      <c r="C20404" t="s">
        <v>23490</v>
      </c>
      <c r="D20404" t="str">
        <f>HYPERLINK("https://rhld.insurance.arkansas.gov/NPILookup?Npi=1598144875","1598144875")</f>
        <v>1598144875</v>
      </c>
      <c r="E20404" t="s">
        <v>18991</v>
      </c>
    </row>
    <row r="20405" spans="1:5" x14ac:dyDescent="0.25">
      <c r="A20405" t="s">
        <v>4</v>
      </c>
      <c r="B20405" t="s">
        <v>4111</v>
      </c>
      <c r="C20405" t="s">
        <v>8427</v>
      </c>
      <c r="D20405" t="str">
        <f>HYPERLINK("https://rhld.insurance.arkansas.gov/NPILookup?Npi=1598145948","1598145948")</f>
        <v>1598145948</v>
      </c>
      <c r="E20405" t="s">
        <v>23142</v>
      </c>
    </row>
    <row r="20406" spans="1:5" x14ac:dyDescent="0.25">
      <c r="A20406" t="s">
        <v>4</v>
      </c>
      <c r="B20406" t="s">
        <v>4111</v>
      </c>
      <c r="C20406" t="s">
        <v>23490</v>
      </c>
      <c r="D20406" t="str">
        <f>HYPERLINK("https://rhld.insurance.arkansas.gov/NPILookup?Npi=1598150955","1598150955")</f>
        <v>1598150955</v>
      </c>
      <c r="E20406" t="s">
        <v>18992</v>
      </c>
    </row>
    <row r="20407" spans="1:5" x14ac:dyDescent="0.25">
      <c r="A20407" t="s">
        <v>4</v>
      </c>
      <c r="B20407" t="s">
        <v>4111</v>
      </c>
      <c r="C20407" t="s">
        <v>23490</v>
      </c>
      <c r="D20407" t="str">
        <f>HYPERLINK("https://rhld.insurance.arkansas.gov/NPILookup?Npi=1598178832","1598178832")</f>
        <v>1598178832</v>
      </c>
      <c r="E20407" t="s">
        <v>11758</v>
      </c>
    </row>
    <row r="20408" spans="1:5" x14ac:dyDescent="0.25">
      <c r="A20408" t="s">
        <v>4</v>
      </c>
      <c r="B20408" t="s">
        <v>4111</v>
      </c>
      <c r="C20408" t="s">
        <v>23490</v>
      </c>
      <c r="D20408" t="str">
        <f>HYPERLINK("https://rhld.insurance.arkansas.gov/NPILookup?Npi=1598222408","1598222408")</f>
        <v>1598222408</v>
      </c>
      <c r="E20408" t="s">
        <v>20524</v>
      </c>
    </row>
    <row r="20409" spans="1:5" x14ac:dyDescent="0.25">
      <c r="A20409" t="s">
        <v>4</v>
      </c>
      <c r="B20409" t="s">
        <v>4111</v>
      </c>
      <c r="C20409" t="s">
        <v>23490</v>
      </c>
      <c r="D20409" t="str">
        <f>HYPERLINK("https://rhld.insurance.arkansas.gov/NPILookup?Npi=1598253288","1598253288")</f>
        <v>1598253288</v>
      </c>
      <c r="E20409" t="s">
        <v>16166</v>
      </c>
    </row>
    <row r="20410" spans="1:5" x14ac:dyDescent="0.25">
      <c r="A20410" t="s">
        <v>4</v>
      </c>
      <c r="B20410" t="s">
        <v>4111</v>
      </c>
      <c r="C20410" t="s">
        <v>23490</v>
      </c>
      <c r="D20410" t="str">
        <f>HYPERLINK("https://rhld.insurance.arkansas.gov/NPILookup?Npi=1598259053","1598259053")</f>
        <v>1598259053</v>
      </c>
      <c r="E20410" t="s">
        <v>20525</v>
      </c>
    </row>
    <row r="20411" spans="1:5" x14ac:dyDescent="0.25">
      <c r="A20411" t="s">
        <v>4</v>
      </c>
      <c r="B20411" t="s">
        <v>4111</v>
      </c>
      <c r="C20411" t="s">
        <v>23490</v>
      </c>
      <c r="D20411" t="str">
        <f>HYPERLINK("https://rhld.insurance.arkansas.gov/NPILookup?Npi=1598283343","1598283343")</f>
        <v>1598283343</v>
      </c>
      <c r="E20411" t="s">
        <v>22173</v>
      </c>
    </row>
    <row r="20412" spans="1:5" x14ac:dyDescent="0.25">
      <c r="A20412" t="s">
        <v>4</v>
      </c>
      <c r="B20412" t="s">
        <v>4111</v>
      </c>
      <c r="C20412" t="s">
        <v>23490</v>
      </c>
      <c r="D20412" t="str">
        <f>HYPERLINK("https://rhld.insurance.arkansas.gov/NPILookup?Npi=1598295313","1598295313")</f>
        <v>1598295313</v>
      </c>
      <c r="E20412" t="s">
        <v>18380</v>
      </c>
    </row>
    <row r="20413" spans="1:5" x14ac:dyDescent="0.25">
      <c r="A20413" t="s">
        <v>4</v>
      </c>
      <c r="B20413" t="s">
        <v>4111</v>
      </c>
      <c r="C20413" t="s">
        <v>23490</v>
      </c>
      <c r="D20413" t="str">
        <f>HYPERLINK("https://rhld.insurance.arkansas.gov/NPILookup?Npi=1598319303","1598319303")</f>
        <v>1598319303</v>
      </c>
      <c r="E20413" t="s">
        <v>22174</v>
      </c>
    </row>
    <row r="20414" spans="1:5" x14ac:dyDescent="0.25">
      <c r="A20414" t="s">
        <v>4</v>
      </c>
      <c r="B20414" t="s">
        <v>4111</v>
      </c>
      <c r="C20414" t="s">
        <v>23490</v>
      </c>
      <c r="D20414" t="str">
        <f>HYPERLINK("https://rhld.insurance.arkansas.gov/NPILookup?Npi=1598319311","1598319311")</f>
        <v>1598319311</v>
      </c>
      <c r="E20414" t="s">
        <v>20526</v>
      </c>
    </row>
    <row r="20415" spans="1:5" x14ac:dyDescent="0.25">
      <c r="A20415" t="s">
        <v>4</v>
      </c>
      <c r="B20415" t="s">
        <v>4111</v>
      </c>
      <c r="C20415" t="s">
        <v>23490</v>
      </c>
      <c r="D20415" t="str">
        <f>HYPERLINK("https://rhld.insurance.arkansas.gov/NPILookup?Npi=1598324659","1598324659")</f>
        <v>1598324659</v>
      </c>
      <c r="E20415" t="s">
        <v>18993</v>
      </c>
    </row>
    <row r="20416" spans="1:5" x14ac:dyDescent="0.25">
      <c r="A20416" t="s">
        <v>4</v>
      </c>
      <c r="B20416" t="s">
        <v>4111</v>
      </c>
      <c r="C20416" t="s">
        <v>23490</v>
      </c>
      <c r="D20416" t="str">
        <f>HYPERLINK("https://rhld.insurance.arkansas.gov/NPILookup?Npi=1598328163","1598328163")</f>
        <v>1598328163</v>
      </c>
      <c r="E20416" t="s">
        <v>16167</v>
      </c>
    </row>
    <row r="20417" spans="1:5" x14ac:dyDescent="0.25">
      <c r="A20417" t="s">
        <v>4</v>
      </c>
      <c r="B20417" t="s">
        <v>4111</v>
      </c>
      <c r="C20417" t="s">
        <v>23490</v>
      </c>
      <c r="D20417" t="str">
        <f>HYPERLINK("https://rhld.insurance.arkansas.gov/NPILookup?Npi=1598338691","1598338691")</f>
        <v>1598338691</v>
      </c>
      <c r="E20417" t="s">
        <v>20527</v>
      </c>
    </row>
    <row r="20418" spans="1:5" x14ac:dyDescent="0.25">
      <c r="A20418" t="s">
        <v>4</v>
      </c>
      <c r="B20418" t="s">
        <v>4111</v>
      </c>
      <c r="C20418" t="s">
        <v>23490</v>
      </c>
      <c r="D20418" t="str">
        <f>HYPERLINK("https://rhld.insurance.arkansas.gov/NPILookup?Npi=1598399875","1598399875")</f>
        <v>1598399875</v>
      </c>
      <c r="E20418" t="s">
        <v>20528</v>
      </c>
    </row>
    <row r="20419" spans="1:5" x14ac:dyDescent="0.25">
      <c r="A20419" t="s">
        <v>4</v>
      </c>
      <c r="B20419" t="s">
        <v>4111</v>
      </c>
      <c r="C20419" t="s">
        <v>23490</v>
      </c>
      <c r="D20419" t="str">
        <f>HYPERLINK("https://rhld.insurance.arkansas.gov/NPILookup?Npi=1598417511","1598417511")</f>
        <v>1598417511</v>
      </c>
      <c r="E20419" t="s">
        <v>17493</v>
      </c>
    </row>
    <row r="20420" spans="1:5" x14ac:dyDescent="0.25">
      <c r="A20420" t="s">
        <v>4</v>
      </c>
      <c r="B20420" t="s">
        <v>4111</v>
      </c>
      <c r="C20420" t="s">
        <v>23490</v>
      </c>
      <c r="D20420" t="str">
        <f>HYPERLINK("https://rhld.insurance.arkansas.gov/NPILookup?Npi=1598432171","1598432171")</f>
        <v>1598432171</v>
      </c>
      <c r="E20420" t="s">
        <v>22175</v>
      </c>
    </row>
    <row r="20421" spans="1:5" x14ac:dyDescent="0.25">
      <c r="A20421" t="s">
        <v>4</v>
      </c>
      <c r="B20421" t="s">
        <v>4111</v>
      </c>
      <c r="C20421" t="s">
        <v>23490</v>
      </c>
      <c r="D20421" t="str">
        <f>HYPERLINK("https://rhld.insurance.arkansas.gov/NPILookup?Npi=1598487647","1598487647")</f>
        <v>1598487647</v>
      </c>
      <c r="E20421" t="s">
        <v>22176</v>
      </c>
    </row>
    <row r="20422" spans="1:5" x14ac:dyDescent="0.25">
      <c r="A20422" t="s">
        <v>4</v>
      </c>
      <c r="B20422" t="s">
        <v>4111</v>
      </c>
      <c r="C20422" t="s">
        <v>23490</v>
      </c>
      <c r="D20422" t="str">
        <f>HYPERLINK("https://rhld.insurance.arkansas.gov/NPILookup?Npi=1598713018","1598713018")</f>
        <v>1598713018</v>
      </c>
      <c r="E20422" t="s">
        <v>5261</v>
      </c>
    </row>
    <row r="20423" spans="1:5" x14ac:dyDescent="0.25">
      <c r="A20423" t="s">
        <v>4</v>
      </c>
      <c r="B20423" t="s">
        <v>4111</v>
      </c>
      <c r="C20423" t="s">
        <v>23490</v>
      </c>
      <c r="D20423" t="str">
        <f>HYPERLINK("https://rhld.insurance.arkansas.gov/NPILookup?Npi=1598730566","1598730566")</f>
        <v>1598730566</v>
      </c>
      <c r="E20423" t="s">
        <v>5262</v>
      </c>
    </row>
    <row r="20424" spans="1:5" x14ac:dyDescent="0.25">
      <c r="A20424" t="s">
        <v>4</v>
      </c>
      <c r="B20424" t="s">
        <v>4111</v>
      </c>
      <c r="C20424" t="s">
        <v>23490</v>
      </c>
      <c r="D20424" t="str">
        <f>HYPERLINK("https://rhld.insurance.arkansas.gov/NPILookup?Npi=1598737249","1598737249")</f>
        <v>1598737249</v>
      </c>
      <c r="E20424" t="s">
        <v>5263</v>
      </c>
    </row>
    <row r="20425" spans="1:5" x14ac:dyDescent="0.25">
      <c r="A20425" t="s">
        <v>4</v>
      </c>
      <c r="B20425" t="s">
        <v>4111</v>
      </c>
      <c r="C20425" t="s">
        <v>23490</v>
      </c>
      <c r="D20425" t="str">
        <f>HYPERLINK("https://rhld.insurance.arkansas.gov/NPILookup?Npi=1598752453","1598752453")</f>
        <v>1598752453</v>
      </c>
      <c r="E20425" t="s">
        <v>5264</v>
      </c>
    </row>
    <row r="20426" spans="1:5" x14ac:dyDescent="0.25">
      <c r="A20426" t="s">
        <v>4</v>
      </c>
      <c r="B20426" t="s">
        <v>4111</v>
      </c>
      <c r="C20426" t="s">
        <v>23490</v>
      </c>
      <c r="D20426" t="str">
        <f>HYPERLINK("https://rhld.insurance.arkansas.gov/NPILookup?Npi=1598784027","1598784027")</f>
        <v>1598784027</v>
      </c>
      <c r="E20426" t="s">
        <v>5265</v>
      </c>
    </row>
    <row r="20427" spans="1:5" x14ac:dyDescent="0.25">
      <c r="A20427" t="s">
        <v>4</v>
      </c>
      <c r="B20427" t="s">
        <v>4111</v>
      </c>
      <c r="C20427" t="s">
        <v>23490</v>
      </c>
      <c r="D20427" t="str">
        <f>HYPERLINK("https://rhld.insurance.arkansas.gov/NPILookup?Npi=1598809378","1598809378")</f>
        <v>1598809378</v>
      </c>
      <c r="E20427" t="s">
        <v>16168</v>
      </c>
    </row>
    <row r="20428" spans="1:5" x14ac:dyDescent="0.25">
      <c r="A20428" t="s">
        <v>4</v>
      </c>
      <c r="B20428" t="s">
        <v>4111</v>
      </c>
      <c r="C20428" t="s">
        <v>23490</v>
      </c>
      <c r="D20428" t="str">
        <f>HYPERLINK("https://rhld.insurance.arkansas.gov/NPILookup?Npi=1598821563","1598821563")</f>
        <v>1598821563</v>
      </c>
      <c r="E20428" t="s">
        <v>5266</v>
      </c>
    </row>
    <row r="20429" spans="1:5" x14ac:dyDescent="0.25">
      <c r="A20429" t="s">
        <v>4</v>
      </c>
      <c r="B20429" t="s">
        <v>4111</v>
      </c>
      <c r="C20429" t="s">
        <v>23490</v>
      </c>
      <c r="D20429" t="str">
        <f>HYPERLINK("https://rhld.insurance.arkansas.gov/NPILookup?Npi=1598839581","1598839581")</f>
        <v>1598839581</v>
      </c>
      <c r="E20429" t="s">
        <v>22177</v>
      </c>
    </row>
    <row r="20430" spans="1:5" x14ac:dyDescent="0.25">
      <c r="A20430" t="s">
        <v>4</v>
      </c>
      <c r="B20430" t="s">
        <v>4111</v>
      </c>
      <c r="C20430" t="s">
        <v>23490</v>
      </c>
      <c r="D20430" t="str">
        <f>HYPERLINK("https://rhld.insurance.arkansas.gov/NPILookup?Npi=1598851891","1598851891")</f>
        <v>1598851891</v>
      </c>
      <c r="E20430" t="s">
        <v>5267</v>
      </c>
    </row>
    <row r="20431" spans="1:5" x14ac:dyDescent="0.25">
      <c r="A20431" t="s">
        <v>4</v>
      </c>
      <c r="B20431" t="s">
        <v>4111</v>
      </c>
      <c r="C20431" t="s">
        <v>23490</v>
      </c>
      <c r="D20431" t="str">
        <f>HYPERLINK("https://rhld.insurance.arkansas.gov/NPILookup?Npi=1598859050","1598859050")</f>
        <v>1598859050</v>
      </c>
      <c r="E20431" t="s">
        <v>9125</v>
      </c>
    </row>
    <row r="20432" spans="1:5" x14ac:dyDescent="0.25">
      <c r="A20432" t="s">
        <v>4</v>
      </c>
      <c r="B20432" t="s">
        <v>4111</v>
      </c>
      <c r="C20432" t="s">
        <v>23490</v>
      </c>
      <c r="D20432" t="str">
        <f>HYPERLINK("https://rhld.insurance.arkansas.gov/NPILookup?Npi=1598865339","1598865339")</f>
        <v>1598865339</v>
      </c>
      <c r="E20432" t="s">
        <v>5268</v>
      </c>
    </row>
    <row r="20433" spans="1:5" x14ac:dyDescent="0.25">
      <c r="A20433" t="s">
        <v>4</v>
      </c>
      <c r="B20433" t="s">
        <v>4111</v>
      </c>
      <c r="C20433" t="s">
        <v>23490</v>
      </c>
      <c r="D20433" t="str">
        <f>HYPERLINK("https://rhld.insurance.arkansas.gov/NPILookup?Npi=1598872608","1598872608")</f>
        <v>1598872608</v>
      </c>
      <c r="E20433" t="s">
        <v>5269</v>
      </c>
    </row>
    <row r="20434" spans="1:5" x14ac:dyDescent="0.25">
      <c r="A20434" t="s">
        <v>4</v>
      </c>
      <c r="B20434" t="s">
        <v>4111</v>
      </c>
      <c r="C20434" t="s">
        <v>23490</v>
      </c>
      <c r="D20434" t="str">
        <f>HYPERLINK("https://rhld.insurance.arkansas.gov/NPILookup?Npi=1598916843","1598916843")</f>
        <v>1598916843</v>
      </c>
      <c r="E20434" t="s">
        <v>5270</v>
      </c>
    </row>
    <row r="20435" spans="1:5" x14ac:dyDescent="0.25">
      <c r="A20435" t="s">
        <v>4</v>
      </c>
      <c r="B20435" t="s">
        <v>4111</v>
      </c>
      <c r="C20435" t="s">
        <v>23490</v>
      </c>
      <c r="D20435" t="str">
        <f>HYPERLINK("https://rhld.insurance.arkansas.gov/NPILookup?Npi=1598941296","1598941296")</f>
        <v>1598941296</v>
      </c>
      <c r="E20435" t="s">
        <v>5271</v>
      </c>
    </row>
    <row r="20436" spans="1:5" x14ac:dyDescent="0.25">
      <c r="A20436" t="s">
        <v>4</v>
      </c>
      <c r="B20436" t="s">
        <v>4111</v>
      </c>
      <c r="C20436" t="s">
        <v>23490</v>
      </c>
      <c r="D20436" t="str">
        <f>HYPERLINK("https://rhld.insurance.arkansas.gov/NPILookup?Npi=1598954067","1598954067")</f>
        <v>1598954067</v>
      </c>
      <c r="E20436" t="s">
        <v>5272</v>
      </c>
    </row>
    <row r="20437" spans="1:5" x14ac:dyDescent="0.25">
      <c r="A20437" t="s">
        <v>4</v>
      </c>
      <c r="B20437" t="s">
        <v>4111</v>
      </c>
      <c r="C20437" t="s">
        <v>23490</v>
      </c>
      <c r="D20437" t="str">
        <f>HYPERLINK("https://rhld.insurance.arkansas.gov/NPILookup?Npi=1598960825","1598960825")</f>
        <v>1598960825</v>
      </c>
      <c r="E20437" t="s">
        <v>20529</v>
      </c>
    </row>
    <row r="20438" spans="1:5" x14ac:dyDescent="0.25">
      <c r="A20438" t="s">
        <v>4</v>
      </c>
      <c r="B20438" t="s">
        <v>4111</v>
      </c>
      <c r="C20438" t="s">
        <v>23490</v>
      </c>
      <c r="D20438" t="str">
        <f>HYPERLINK("https://rhld.insurance.arkansas.gov/NPILookup?Npi=1598980831","1598980831")</f>
        <v>1598980831</v>
      </c>
      <c r="E20438" t="s">
        <v>5273</v>
      </c>
    </row>
    <row r="20439" spans="1:5" x14ac:dyDescent="0.25">
      <c r="A20439" t="s">
        <v>4</v>
      </c>
      <c r="B20439" t="s">
        <v>4111</v>
      </c>
      <c r="C20439" t="s">
        <v>8427</v>
      </c>
      <c r="D20439" t="str">
        <f>HYPERLINK("https://rhld.insurance.arkansas.gov/NPILookup?Npi=1609000298","1609000298")</f>
        <v>1609000298</v>
      </c>
      <c r="E20439" t="s">
        <v>23143</v>
      </c>
    </row>
    <row r="20440" spans="1:5" x14ac:dyDescent="0.25">
      <c r="A20440" t="s">
        <v>4</v>
      </c>
      <c r="B20440" t="s">
        <v>4111</v>
      </c>
      <c r="C20440" s="1" t="s">
        <v>23490</v>
      </c>
      <c r="D20440" s="1" t="str">
        <f>HYPERLINK("https://rhld.insurance.arkansas.gov/NPILookup?Npi=1609005156","1609005156")</f>
        <v>1609005156</v>
      </c>
      <c r="E20440" t="s">
        <v>5274</v>
      </c>
    </row>
    <row r="20441" spans="1:5" x14ac:dyDescent="0.25">
      <c r="A20441" t="s">
        <v>4</v>
      </c>
      <c r="B20441" t="s">
        <v>4111</v>
      </c>
      <c r="C20441" s="1" t="s">
        <v>23490</v>
      </c>
      <c r="D20441" s="1" t="str">
        <f>HYPERLINK("https://rhld.insurance.arkansas.gov/NPILookup?Npi=1609011477","1609011477")</f>
        <v>1609011477</v>
      </c>
      <c r="E20441" t="s">
        <v>5275</v>
      </c>
    </row>
    <row r="20442" spans="1:5" x14ac:dyDescent="0.25">
      <c r="A20442" t="s">
        <v>4</v>
      </c>
      <c r="B20442" t="s">
        <v>4111</v>
      </c>
      <c r="C20442" s="1" t="s">
        <v>23490</v>
      </c>
      <c r="D20442" s="1" t="str">
        <f>HYPERLINK("https://rhld.insurance.arkansas.gov/NPILookup?Npi=1609037423","1609037423")</f>
        <v>1609037423</v>
      </c>
      <c r="E20442" t="s">
        <v>5276</v>
      </c>
    </row>
    <row r="20443" spans="1:5" x14ac:dyDescent="0.25">
      <c r="A20443" t="s">
        <v>4</v>
      </c>
      <c r="B20443" t="s">
        <v>4111</v>
      </c>
      <c r="C20443" s="1" t="s">
        <v>23490</v>
      </c>
      <c r="D20443" s="1" t="str">
        <f>HYPERLINK("https://rhld.insurance.arkansas.gov/NPILookup?Npi=1609043041","1609043041")</f>
        <v>1609043041</v>
      </c>
      <c r="E20443" t="s">
        <v>5277</v>
      </c>
    </row>
    <row r="20444" spans="1:5" x14ac:dyDescent="0.25">
      <c r="A20444" t="s">
        <v>4</v>
      </c>
      <c r="B20444" t="s">
        <v>4111</v>
      </c>
      <c r="C20444" s="1" t="s">
        <v>23490</v>
      </c>
      <c r="D20444" s="1" t="str">
        <f>HYPERLINK("https://rhld.insurance.arkansas.gov/NPILookup?Npi=1609043967","1609043967")</f>
        <v>1609043967</v>
      </c>
      <c r="E20444" t="s">
        <v>9126</v>
      </c>
    </row>
    <row r="20445" spans="1:5" x14ac:dyDescent="0.25">
      <c r="A20445" t="s">
        <v>4</v>
      </c>
      <c r="B20445" t="s">
        <v>4111</v>
      </c>
      <c r="C20445" s="1" t="s">
        <v>23490</v>
      </c>
      <c r="D20445" s="1" t="str">
        <f>HYPERLINK("https://rhld.insurance.arkansas.gov/NPILookup?Npi=1609046762","1609046762")</f>
        <v>1609046762</v>
      </c>
      <c r="E20445" t="s">
        <v>14134</v>
      </c>
    </row>
    <row r="20446" spans="1:5" x14ac:dyDescent="0.25">
      <c r="A20446" t="s">
        <v>4</v>
      </c>
      <c r="B20446" t="s">
        <v>4111</v>
      </c>
      <c r="C20446" s="1" t="s">
        <v>23490</v>
      </c>
      <c r="D20446" s="1" t="str">
        <f>HYPERLINK("https://rhld.insurance.arkansas.gov/NPILookup?Npi=1609063742","1609063742")</f>
        <v>1609063742</v>
      </c>
      <c r="E20446" t="s">
        <v>9127</v>
      </c>
    </row>
    <row r="20447" spans="1:5" x14ac:dyDescent="0.25">
      <c r="A20447" t="s">
        <v>4</v>
      </c>
      <c r="B20447" t="s">
        <v>4111</v>
      </c>
      <c r="C20447" s="1" t="s">
        <v>23490</v>
      </c>
      <c r="D20447" s="1" t="str">
        <f>HYPERLINK("https://rhld.insurance.arkansas.gov/NPILookup?Npi=1609072057","1609072057")</f>
        <v>1609072057</v>
      </c>
      <c r="E20447" t="s">
        <v>9128</v>
      </c>
    </row>
    <row r="20448" spans="1:5" x14ac:dyDescent="0.25">
      <c r="A20448" t="s">
        <v>4</v>
      </c>
      <c r="B20448" t="s">
        <v>4111</v>
      </c>
      <c r="C20448" s="1" t="s">
        <v>23490</v>
      </c>
      <c r="D20448" s="1" t="str">
        <f>HYPERLINK("https://rhld.insurance.arkansas.gov/NPILookup?Npi=1609079102","1609079102")</f>
        <v>1609079102</v>
      </c>
      <c r="E20448" t="s">
        <v>5278</v>
      </c>
    </row>
    <row r="20449" spans="1:5" x14ac:dyDescent="0.25">
      <c r="A20449" t="s">
        <v>4</v>
      </c>
      <c r="B20449" t="s">
        <v>4111</v>
      </c>
      <c r="C20449" s="1" t="s">
        <v>23490</v>
      </c>
      <c r="D20449" s="1" t="str">
        <f>HYPERLINK("https://rhld.insurance.arkansas.gov/NPILookup?Npi=1609082031","1609082031")</f>
        <v>1609082031</v>
      </c>
      <c r="E20449" t="s">
        <v>5279</v>
      </c>
    </row>
    <row r="20450" spans="1:5" x14ac:dyDescent="0.25">
      <c r="A20450" t="s">
        <v>4</v>
      </c>
      <c r="B20450" t="s">
        <v>4111</v>
      </c>
      <c r="C20450" s="1" t="s">
        <v>23490</v>
      </c>
      <c r="D20450" s="1" t="str">
        <f>HYPERLINK("https://rhld.insurance.arkansas.gov/NPILookup?Npi=1609094747","1609094747")</f>
        <v>1609094747</v>
      </c>
      <c r="E20450" t="s">
        <v>16169</v>
      </c>
    </row>
    <row r="20451" spans="1:5" x14ac:dyDescent="0.25">
      <c r="A20451" t="s">
        <v>4</v>
      </c>
      <c r="B20451" t="s">
        <v>4111</v>
      </c>
      <c r="C20451" s="1" t="s">
        <v>23490</v>
      </c>
      <c r="D20451" s="1" t="str">
        <f>HYPERLINK("https://rhld.insurance.arkansas.gov/NPILookup?Npi=1609099761","1609099761")</f>
        <v>1609099761</v>
      </c>
      <c r="E20451" t="s">
        <v>5280</v>
      </c>
    </row>
    <row r="20452" spans="1:5" x14ac:dyDescent="0.25">
      <c r="A20452" t="s">
        <v>4</v>
      </c>
      <c r="B20452" t="s">
        <v>4111</v>
      </c>
      <c r="C20452" s="1" t="s">
        <v>23490</v>
      </c>
      <c r="D20452" s="1" t="str">
        <f>HYPERLINK("https://rhld.insurance.arkansas.gov/NPILookup?Npi=1609143221","1609143221")</f>
        <v>1609143221</v>
      </c>
      <c r="E20452" t="s">
        <v>5281</v>
      </c>
    </row>
    <row r="20453" spans="1:5" x14ac:dyDescent="0.25">
      <c r="A20453" t="s">
        <v>4</v>
      </c>
      <c r="B20453" t="s">
        <v>4111</v>
      </c>
      <c r="C20453" s="1" t="s">
        <v>23490</v>
      </c>
      <c r="D20453" s="1" t="str">
        <f>HYPERLINK("https://rhld.insurance.arkansas.gov/NPILookup?Npi=1609164730","1609164730")</f>
        <v>1609164730</v>
      </c>
      <c r="E20453" t="s">
        <v>17613</v>
      </c>
    </row>
    <row r="20454" spans="1:5" x14ac:dyDescent="0.25">
      <c r="A20454" t="s">
        <v>4</v>
      </c>
      <c r="B20454" t="s">
        <v>4111</v>
      </c>
      <c r="C20454" s="1" t="s">
        <v>23490</v>
      </c>
      <c r="D20454" s="1" t="str">
        <f>HYPERLINK("https://rhld.insurance.arkansas.gov/NPILookup?Npi=1609197698","1609197698")</f>
        <v>1609197698</v>
      </c>
      <c r="E20454" t="s">
        <v>22178</v>
      </c>
    </row>
    <row r="20455" spans="1:5" x14ac:dyDescent="0.25">
      <c r="A20455" t="s">
        <v>4</v>
      </c>
      <c r="B20455" t="s">
        <v>4111</v>
      </c>
      <c r="C20455" s="1" t="s">
        <v>23490</v>
      </c>
      <c r="D20455" s="1" t="str">
        <f>HYPERLINK("https://rhld.insurance.arkansas.gov/NPILookup?Npi=1609210988","1609210988")</f>
        <v>1609210988</v>
      </c>
      <c r="E20455" t="s">
        <v>11759</v>
      </c>
    </row>
    <row r="20456" spans="1:5" x14ac:dyDescent="0.25">
      <c r="A20456" t="s">
        <v>4</v>
      </c>
      <c r="B20456" t="s">
        <v>4111</v>
      </c>
      <c r="C20456" s="1" t="s">
        <v>23490</v>
      </c>
      <c r="D20456" s="1" t="str">
        <f>HYPERLINK("https://rhld.insurance.arkansas.gov/NPILookup?Npi=1609223791","1609223791")</f>
        <v>1609223791</v>
      </c>
      <c r="E20456" t="s">
        <v>12287</v>
      </c>
    </row>
    <row r="20457" spans="1:5" x14ac:dyDescent="0.25">
      <c r="A20457" t="s">
        <v>4</v>
      </c>
      <c r="B20457" t="s">
        <v>4111</v>
      </c>
      <c r="C20457" s="1" t="s">
        <v>23490</v>
      </c>
      <c r="D20457" s="1" t="str">
        <f>HYPERLINK("https://rhld.insurance.arkansas.gov/NPILookup?Npi=1609233733","1609233733")</f>
        <v>1609233733</v>
      </c>
      <c r="E20457" t="s">
        <v>9129</v>
      </c>
    </row>
    <row r="20458" spans="1:5" x14ac:dyDescent="0.25">
      <c r="A20458" t="s">
        <v>4</v>
      </c>
      <c r="B20458" t="s">
        <v>4111</v>
      </c>
      <c r="C20458" s="1" t="s">
        <v>23490</v>
      </c>
      <c r="D20458" s="1" t="str">
        <f>HYPERLINK("https://rhld.insurance.arkansas.gov/NPILookup?Npi=1609246073","1609246073")</f>
        <v>1609246073</v>
      </c>
      <c r="E20458" t="s">
        <v>18381</v>
      </c>
    </row>
    <row r="20459" spans="1:5" x14ac:dyDescent="0.25">
      <c r="A20459" t="s">
        <v>4</v>
      </c>
      <c r="B20459" t="s">
        <v>4111</v>
      </c>
      <c r="C20459" s="1" t="s">
        <v>23490</v>
      </c>
      <c r="D20459" s="1" t="str">
        <f>HYPERLINK("https://rhld.insurance.arkansas.gov/NPILookup?Npi=1609248236","1609248236")</f>
        <v>1609248236</v>
      </c>
      <c r="E20459" t="s">
        <v>17198</v>
      </c>
    </row>
    <row r="20460" spans="1:5" x14ac:dyDescent="0.25">
      <c r="A20460" t="s">
        <v>4</v>
      </c>
      <c r="B20460" t="s">
        <v>4111</v>
      </c>
      <c r="C20460" s="1" t="s">
        <v>23490</v>
      </c>
      <c r="D20460" s="1" t="str">
        <f>HYPERLINK("https://rhld.insurance.arkansas.gov/NPILookup?Npi=1609254515","1609254515")</f>
        <v>1609254515</v>
      </c>
      <c r="E20460" t="s">
        <v>13167</v>
      </c>
    </row>
    <row r="20461" spans="1:5" x14ac:dyDescent="0.25">
      <c r="A20461" t="s">
        <v>4</v>
      </c>
      <c r="B20461" t="s">
        <v>4111</v>
      </c>
      <c r="C20461" s="1" t="s">
        <v>23490</v>
      </c>
      <c r="D20461" s="1" t="str">
        <f>HYPERLINK("https://rhld.insurance.arkansas.gov/NPILookup?Npi=1609257138","1609257138")</f>
        <v>1609257138</v>
      </c>
      <c r="E20461" t="s">
        <v>20530</v>
      </c>
    </row>
    <row r="20462" spans="1:5" x14ac:dyDescent="0.25">
      <c r="A20462" t="s">
        <v>4</v>
      </c>
      <c r="B20462" t="s">
        <v>4111</v>
      </c>
      <c r="C20462" s="1" t="s">
        <v>23490</v>
      </c>
      <c r="D20462" s="1" t="str">
        <f>HYPERLINK("https://rhld.insurance.arkansas.gov/NPILookup?Npi=1609261338","1609261338")</f>
        <v>1609261338</v>
      </c>
      <c r="E20462" t="s">
        <v>16170</v>
      </c>
    </row>
    <row r="20463" spans="1:5" x14ac:dyDescent="0.25">
      <c r="A20463" t="s">
        <v>4</v>
      </c>
      <c r="B20463" t="s">
        <v>4111</v>
      </c>
      <c r="C20463" s="1" t="s">
        <v>23490</v>
      </c>
      <c r="D20463" s="1" t="str">
        <f>HYPERLINK("https://rhld.insurance.arkansas.gov/NPILookup?Npi=1609292937","1609292937")</f>
        <v>1609292937</v>
      </c>
      <c r="E20463" t="s">
        <v>11760</v>
      </c>
    </row>
    <row r="20464" spans="1:5" x14ac:dyDescent="0.25">
      <c r="A20464" t="s">
        <v>4</v>
      </c>
      <c r="B20464" t="s">
        <v>4111</v>
      </c>
      <c r="C20464" s="1" t="s">
        <v>23490</v>
      </c>
      <c r="D20464" s="1" t="str">
        <f>HYPERLINK("https://rhld.insurance.arkansas.gov/NPILookup?Npi=1609300243","1609300243")</f>
        <v>1609300243</v>
      </c>
      <c r="E20464" t="s">
        <v>22179</v>
      </c>
    </row>
    <row r="20465" spans="1:5" x14ac:dyDescent="0.25">
      <c r="A20465" t="s">
        <v>4</v>
      </c>
      <c r="B20465" t="s">
        <v>4111</v>
      </c>
      <c r="C20465" s="1" t="s">
        <v>23490</v>
      </c>
      <c r="D20465" s="1" t="str">
        <f>HYPERLINK("https://rhld.insurance.arkansas.gov/NPILookup?Npi=1609319565","1609319565")</f>
        <v>1609319565</v>
      </c>
      <c r="E20465" t="s">
        <v>11761</v>
      </c>
    </row>
    <row r="20466" spans="1:5" x14ac:dyDescent="0.25">
      <c r="A20466" t="s">
        <v>4</v>
      </c>
      <c r="B20466" t="s">
        <v>4111</v>
      </c>
      <c r="C20466" s="1" t="s">
        <v>23490</v>
      </c>
      <c r="D20466" s="1" t="str">
        <f>HYPERLINK("https://rhld.insurance.arkansas.gov/NPILookup?Npi=1609385657","1609385657")</f>
        <v>1609385657</v>
      </c>
      <c r="E20466" t="s">
        <v>17614</v>
      </c>
    </row>
    <row r="20467" spans="1:5" x14ac:dyDescent="0.25">
      <c r="A20467" t="s">
        <v>4</v>
      </c>
      <c r="B20467" t="s">
        <v>4111</v>
      </c>
      <c r="C20467" s="1" t="s">
        <v>8427</v>
      </c>
      <c r="D20467" s="1" t="str">
        <f>HYPERLINK("https://rhld.insurance.arkansas.gov/NPILookup?Npi=1609404912","1609404912")</f>
        <v>1609404912</v>
      </c>
      <c r="E20467" t="s">
        <v>23144</v>
      </c>
    </row>
    <row r="20468" spans="1:5" x14ac:dyDescent="0.25">
      <c r="A20468" t="s">
        <v>4</v>
      </c>
      <c r="B20468" t="s">
        <v>4111</v>
      </c>
      <c r="C20468" s="1" t="s">
        <v>23490</v>
      </c>
      <c r="D20468" s="1" t="str">
        <f>HYPERLINK("https://rhld.insurance.arkansas.gov/NPILookup?Npi=1609408103","1609408103")</f>
        <v>1609408103</v>
      </c>
      <c r="E20468" t="s">
        <v>20531</v>
      </c>
    </row>
    <row r="20469" spans="1:5" x14ac:dyDescent="0.25">
      <c r="A20469" t="s">
        <v>4</v>
      </c>
      <c r="B20469" t="s">
        <v>4111</v>
      </c>
      <c r="C20469" s="1" t="s">
        <v>23490</v>
      </c>
      <c r="D20469" s="1" t="str">
        <f>HYPERLINK("https://rhld.insurance.arkansas.gov/NPILookup?Npi=1609416619","1609416619")</f>
        <v>1609416619</v>
      </c>
      <c r="E20469" t="s">
        <v>17199</v>
      </c>
    </row>
    <row r="20470" spans="1:5" x14ac:dyDescent="0.25">
      <c r="A20470" t="s">
        <v>4</v>
      </c>
      <c r="B20470" t="s">
        <v>4111</v>
      </c>
      <c r="C20470" s="1" t="s">
        <v>23490</v>
      </c>
      <c r="D20470" s="1" t="str">
        <f>HYPERLINK("https://rhld.insurance.arkansas.gov/NPILookup?Npi=1609423292","1609423292")</f>
        <v>1609423292</v>
      </c>
      <c r="E20470" t="s">
        <v>21145</v>
      </c>
    </row>
    <row r="20471" spans="1:5" x14ac:dyDescent="0.25">
      <c r="A20471" t="s">
        <v>4</v>
      </c>
      <c r="B20471" t="s">
        <v>4111</v>
      </c>
      <c r="C20471" s="1" t="s">
        <v>23490</v>
      </c>
      <c r="D20471" s="1" t="str">
        <f>HYPERLINK("https://rhld.insurance.arkansas.gov/NPILookup?Npi=1609438878","1609438878")</f>
        <v>1609438878</v>
      </c>
      <c r="E20471" t="s">
        <v>22180</v>
      </c>
    </row>
    <row r="20472" spans="1:5" x14ac:dyDescent="0.25">
      <c r="A20472" t="s">
        <v>4</v>
      </c>
      <c r="B20472" t="s">
        <v>4111</v>
      </c>
      <c r="C20472" s="1" t="s">
        <v>23490</v>
      </c>
      <c r="D20472" s="1" t="str">
        <f>HYPERLINK("https://rhld.insurance.arkansas.gov/NPILookup?Npi=1609444983","1609444983")</f>
        <v>1609444983</v>
      </c>
      <c r="E20472" t="s">
        <v>22181</v>
      </c>
    </row>
    <row r="20473" spans="1:5" x14ac:dyDescent="0.25">
      <c r="A20473" t="s">
        <v>4</v>
      </c>
      <c r="B20473" t="s">
        <v>4111</v>
      </c>
      <c r="C20473" s="1" t="s">
        <v>23490</v>
      </c>
      <c r="D20473" s="1" t="str">
        <f>HYPERLINK("https://rhld.insurance.arkansas.gov/NPILookup?Npi=1609458876","1609458876")</f>
        <v>1609458876</v>
      </c>
      <c r="E20473" t="s">
        <v>18994</v>
      </c>
    </row>
    <row r="20474" spans="1:5" x14ac:dyDescent="0.25">
      <c r="A20474" t="s">
        <v>4</v>
      </c>
      <c r="B20474" t="s">
        <v>4111</v>
      </c>
      <c r="C20474" s="1" t="s">
        <v>8427</v>
      </c>
      <c r="D20474" s="1" t="str">
        <f>HYPERLINK("https://rhld.insurance.arkansas.gov/NPILookup?Npi=1609512383","1609512383")</f>
        <v>1609512383</v>
      </c>
      <c r="E20474" t="s">
        <v>23145</v>
      </c>
    </row>
    <row r="20475" spans="1:5" x14ac:dyDescent="0.25">
      <c r="A20475" t="s">
        <v>4</v>
      </c>
      <c r="B20475" t="s">
        <v>4111</v>
      </c>
      <c r="C20475" s="1" t="s">
        <v>23490</v>
      </c>
      <c r="D20475" s="1" t="str">
        <f>HYPERLINK("https://rhld.insurance.arkansas.gov/NPILookup?Npi=1609527456","1609527456")</f>
        <v>1609527456</v>
      </c>
      <c r="E20475" t="s">
        <v>22182</v>
      </c>
    </row>
    <row r="20476" spans="1:5" x14ac:dyDescent="0.25">
      <c r="A20476" t="s">
        <v>4</v>
      </c>
      <c r="B20476" t="s">
        <v>4111</v>
      </c>
      <c r="C20476" s="1" t="s">
        <v>23490</v>
      </c>
      <c r="D20476" s="1" t="str">
        <f>HYPERLINK("https://rhld.insurance.arkansas.gov/NPILookup?Npi=1609541606","1609541606")</f>
        <v>1609541606</v>
      </c>
      <c r="E20476" t="s">
        <v>22183</v>
      </c>
    </row>
    <row r="20477" spans="1:5" x14ac:dyDescent="0.25">
      <c r="A20477" t="s">
        <v>4</v>
      </c>
      <c r="B20477" t="s">
        <v>4111</v>
      </c>
      <c r="C20477" s="1" t="s">
        <v>8427</v>
      </c>
      <c r="D20477" s="1" t="str">
        <f>HYPERLINK("https://rhld.insurance.arkansas.gov/NPILookup?Npi=1609652734","1609652734")</f>
        <v>1609652734</v>
      </c>
      <c r="E20477" t="s">
        <v>23146</v>
      </c>
    </row>
    <row r="20478" spans="1:5" x14ac:dyDescent="0.25">
      <c r="A20478" t="s">
        <v>4</v>
      </c>
      <c r="B20478" t="s">
        <v>4111</v>
      </c>
      <c r="C20478" s="1" t="s">
        <v>23490</v>
      </c>
      <c r="D20478" s="1" t="str">
        <f>HYPERLINK("https://rhld.insurance.arkansas.gov/NPILookup?Npi=1609809912","1609809912")</f>
        <v>1609809912</v>
      </c>
      <c r="E20478" t="s">
        <v>5282</v>
      </c>
    </row>
    <row r="20479" spans="1:5" x14ac:dyDescent="0.25">
      <c r="A20479" t="s">
        <v>4</v>
      </c>
      <c r="B20479" t="s">
        <v>4111</v>
      </c>
      <c r="C20479" s="1" t="s">
        <v>23490</v>
      </c>
      <c r="D20479" s="1" t="str">
        <f>HYPERLINK("https://rhld.insurance.arkansas.gov/NPILookup?Npi=1609863562","1609863562")</f>
        <v>1609863562</v>
      </c>
      <c r="E20479" t="s">
        <v>5283</v>
      </c>
    </row>
    <row r="20480" spans="1:5" x14ac:dyDescent="0.25">
      <c r="A20480" t="s">
        <v>4</v>
      </c>
      <c r="B20480" t="s">
        <v>4111</v>
      </c>
      <c r="C20480" s="1" t="s">
        <v>23490</v>
      </c>
      <c r="D20480" s="1" t="str">
        <f>HYPERLINK("https://rhld.insurance.arkansas.gov/NPILookup?Npi=1609915925","1609915925")</f>
        <v>1609915925</v>
      </c>
      <c r="E20480" t="s">
        <v>5285</v>
      </c>
    </row>
    <row r="20481" spans="1:5" x14ac:dyDescent="0.25">
      <c r="A20481" t="s">
        <v>4</v>
      </c>
      <c r="B20481" t="s">
        <v>4111</v>
      </c>
      <c r="C20481" s="1" t="s">
        <v>23490</v>
      </c>
      <c r="D20481" s="1" t="str">
        <f>HYPERLINK("https://rhld.insurance.arkansas.gov/NPILookup?Npi=1609919612","1609919612")</f>
        <v>1609919612</v>
      </c>
      <c r="E20481" t="s">
        <v>5286</v>
      </c>
    </row>
    <row r="20482" spans="1:5" x14ac:dyDescent="0.25">
      <c r="A20482" t="s">
        <v>4</v>
      </c>
      <c r="B20482" t="s">
        <v>4111</v>
      </c>
      <c r="C20482" s="1" t="s">
        <v>23490</v>
      </c>
      <c r="D20482" s="1" t="str">
        <f>HYPERLINK("https://rhld.insurance.arkansas.gov/NPILookup?Npi=1609934959","1609934959")</f>
        <v>1609934959</v>
      </c>
      <c r="E20482" t="s">
        <v>5287</v>
      </c>
    </row>
    <row r="20483" spans="1:5" x14ac:dyDescent="0.25">
      <c r="A20483" t="s">
        <v>4</v>
      </c>
      <c r="B20483" t="s">
        <v>4111</v>
      </c>
      <c r="C20483" s="1" t="s">
        <v>23490</v>
      </c>
      <c r="D20483" s="1" t="str">
        <f>HYPERLINK("https://rhld.insurance.arkansas.gov/NPILookup?Npi=1609939313","1609939313")</f>
        <v>1609939313</v>
      </c>
      <c r="E20483" t="s">
        <v>5288</v>
      </c>
    </row>
    <row r="20484" spans="1:5" x14ac:dyDescent="0.25">
      <c r="A20484" t="s">
        <v>4</v>
      </c>
      <c r="B20484" t="s">
        <v>4111</v>
      </c>
      <c r="C20484" s="1" t="s">
        <v>23490</v>
      </c>
      <c r="D20484" s="1" t="str">
        <f>HYPERLINK("https://rhld.insurance.arkansas.gov/NPILookup?Npi=1609955657","1609955657")</f>
        <v>1609955657</v>
      </c>
      <c r="E20484" t="s">
        <v>5289</v>
      </c>
    </row>
    <row r="20485" spans="1:5" x14ac:dyDescent="0.25">
      <c r="A20485" t="s">
        <v>4</v>
      </c>
      <c r="B20485" t="s">
        <v>4111</v>
      </c>
      <c r="C20485" s="1" t="s">
        <v>23490</v>
      </c>
      <c r="D20485" s="1" t="str">
        <f>HYPERLINK("https://rhld.insurance.arkansas.gov/NPILookup?Npi=1609962901","1609962901")</f>
        <v>1609962901</v>
      </c>
      <c r="E20485" t="s">
        <v>1224</v>
      </c>
    </row>
    <row r="20486" spans="1:5" x14ac:dyDescent="0.25">
      <c r="A20486" t="s">
        <v>4</v>
      </c>
      <c r="B20486" t="s">
        <v>4111</v>
      </c>
      <c r="C20486" s="1" t="s">
        <v>23490</v>
      </c>
      <c r="D20486" s="1" t="str">
        <f>HYPERLINK("https://rhld.insurance.arkansas.gov/NPILookup?Npi=1609966274","1609966274")</f>
        <v>1609966274</v>
      </c>
      <c r="E20486" t="s">
        <v>5290</v>
      </c>
    </row>
    <row r="20487" spans="1:5" x14ac:dyDescent="0.25">
      <c r="A20487" t="s">
        <v>4</v>
      </c>
      <c r="B20487" t="s">
        <v>4111</v>
      </c>
      <c r="C20487" s="1" t="s">
        <v>23490</v>
      </c>
      <c r="D20487" s="1" t="str">
        <f>HYPERLINK("https://rhld.insurance.arkansas.gov/NPILookup?Npi=1609973254","1609973254")</f>
        <v>1609973254</v>
      </c>
      <c r="E20487" t="s">
        <v>5291</v>
      </c>
    </row>
    <row r="20488" spans="1:5" x14ac:dyDescent="0.25">
      <c r="A20488" t="s">
        <v>4</v>
      </c>
      <c r="B20488" t="s">
        <v>4111</v>
      </c>
      <c r="C20488" s="1" t="s">
        <v>23490</v>
      </c>
      <c r="D20488" s="1" t="str">
        <f>HYPERLINK("https://rhld.insurance.arkansas.gov/NPILookup?Npi=1609992148","1609992148")</f>
        <v>1609992148</v>
      </c>
      <c r="E20488" t="s">
        <v>5292</v>
      </c>
    </row>
    <row r="20489" spans="1:5" x14ac:dyDescent="0.25">
      <c r="A20489" t="s">
        <v>4</v>
      </c>
      <c r="B20489" t="s">
        <v>4111</v>
      </c>
      <c r="C20489" s="1" t="s">
        <v>23490</v>
      </c>
      <c r="D20489" s="1" t="str">
        <f>HYPERLINK("https://rhld.insurance.arkansas.gov/NPILookup?Npi=1619000601","1619000601")</f>
        <v>1619000601</v>
      </c>
      <c r="E20489" t="s">
        <v>5293</v>
      </c>
    </row>
    <row r="20490" spans="1:5" x14ac:dyDescent="0.25">
      <c r="A20490" t="s">
        <v>4</v>
      </c>
      <c r="B20490" t="s">
        <v>4111</v>
      </c>
      <c r="C20490" s="1" t="s">
        <v>23490</v>
      </c>
      <c r="D20490" s="1" t="str">
        <f>HYPERLINK("https://rhld.insurance.arkansas.gov/NPILookup?Npi=1619002789","1619002789")</f>
        <v>1619002789</v>
      </c>
      <c r="E20490" t="s">
        <v>5294</v>
      </c>
    </row>
    <row r="20491" spans="1:5" x14ac:dyDescent="0.25">
      <c r="A20491" t="s">
        <v>4</v>
      </c>
      <c r="B20491" t="s">
        <v>4111</v>
      </c>
      <c r="C20491" s="1" t="s">
        <v>23490</v>
      </c>
      <c r="D20491" s="1" t="str">
        <f>HYPERLINK("https://rhld.insurance.arkansas.gov/NPILookup?Npi=1619007226","1619007226")</f>
        <v>1619007226</v>
      </c>
      <c r="E20491" t="s">
        <v>5295</v>
      </c>
    </row>
    <row r="20492" spans="1:5" x14ac:dyDescent="0.25">
      <c r="A20492" t="s">
        <v>4</v>
      </c>
      <c r="B20492" t="s">
        <v>4111</v>
      </c>
      <c r="C20492" s="1" t="s">
        <v>23490</v>
      </c>
      <c r="D20492" s="1" t="str">
        <f>HYPERLINK("https://rhld.insurance.arkansas.gov/NPILookup?Npi=1619018397","1619018397")</f>
        <v>1619018397</v>
      </c>
      <c r="E20492" t="s">
        <v>9130</v>
      </c>
    </row>
    <row r="20493" spans="1:5" x14ac:dyDescent="0.25">
      <c r="A20493" t="s">
        <v>4</v>
      </c>
      <c r="B20493" t="s">
        <v>4111</v>
      </c>
      <c r="C20493" s="1" t="s">
        <v>23490</v>
      </c>
      <c r="D20493" s="1" t="str">
        <f>HYPERLINK("https://rhld.insurance.arkansas.gov/NPILookup?Npi=1619019007","1619019007")</f>
        <v>1619019007</v>
      </c>
      <c r="E20493" t="s">
        <v>5296</v>
      </c>
    </row>
    <row r="20494" spans="1:5" x14ac:dyDescent="0.25">
      <c r="A20494" t="s">
        <v>4</v>
      </c>
      <c r="B20494" t="s">
        <v>4111</v>
      </c>
      <c r="C20494" s="1" t="s">
        <v>23490</v>
      </c>
      <c r="D20494" s="1" t="str">
        <f>HYPERLINK("https://rhld.insurance.arkansas.gov/NPILookup?Npi=1619024098","1619024098")</f>
        <v>1619024098</v>
      </c>
      <c r="E20494" t="s">
        <v>5297</v>
      </c>
    </row>
    <row r="20495" spans="1:5" x14ac:dyDescent="0.25">
      <c r="A20495" t="s">
        <v>4</v>
      </c>
      <c r="B20495" t="s">
        <v>4111</v>
      </c>
      <c r="C20495" s="1" t="s">
        <v>23490</v>
      </c>
      <c r="D20495" s="1" t="str">
        <f>HYPERLINK("https://rhld.insurance.arkansas.gov/NPILookup?Npi=1619066982","1619066982")</f>
        <v>1619066982</v>
      </c>
      <c r="E20495" t="s">
        <v>14135</v>
      </c>
    </row>
    <row r="20496" spans="1:5" x14ac:dyDescent="0.25">
      <c r="A20496" t="s">
        <v>4</v>
      </c>
      <c r="B20496" t="s">
        <v>4111</v>
      </c>
      <c r="C20496" s="1" t="s">
        <v>23490</v>
      </c>
      <c r="D20496" s="1" t="str">
        <f>HYPERLINK("https://rhld.insurance.arkansas.gov/NPILookup?Npi=1619079795","1619079795")</f>
        <v>1619079795</v>
      </c>
      <c r="E20496" t="s">
        <v>5298</v>
      </c>
    </row>
    <row r="20497" spans="1:5" x14ac:dyDescent="0.25">
      <c r="A20497" t="s">
        <v>4</v>
      </c>
      <c r="B20497" t="s">
        <v>4111</v>
      </c>
      <c r="C20497" s="1" t="s">
        <v>23490</v>
      </c>
      <c r="D20497" s="1" t="str">
        <f>HYPERLINK("https://rhld.insurance.arkansas.gov/NPILookup?Npi=1619096179","1619096179")</f>
        <v>1619096179</v>
      </c>
      <c r="E20497" t="s">
        <v>5299</v>
      </c>
    </row>
    <row r="20498" spans="1:5" x14ac:dyDescent="0.25">
      <c r="A20498" t="s">
        <v>4</v>
      </c>
      <c r="B20498" t="s">
        <v>4111</v>
      </c>
      <c r="C20498" s="1" t="s">
        <v>23490</v>
      </c>
      <c r="D20498" s="1" t="str">
        <f>HYPERLINK("https://rhld.insurance.arkansas.gov/NPILookup?Npi=1619103108","1619103108")</f>
        <v>1619103108</v>
      </c>
      <c r="E20498" t="s">
        <v>20532</v>
      </c>
    </row>
    <row r="20499" spans="1:5" x14ac:dyDescent="0.25">
      <c r="A20499" t="s">
        <v>4</v>
      </c>
      <c r="B20499" t="s">
        <v>4111</v>
      </c>
      <c r="C20499" s="1" t="s">
        <v>23490</v>
      </c>
      <c r="D20499" s="1" t="str">
        <f>HYPERLINK("https://rhld.insurance.arkansas.gov/NPILookup?Npi=1619108842","1619108842")</f>
        <v>1619108842</v>
      </c>
      <c r="E20499" t="s">
        <v>16171</v>
      </c>
    </row>
    <row r="20500" spans="1:5" x14ac:dyDescent="0.25">
      <c r="A20500" t="s">
        <v>4</v>
      </c>
      <c r="B20500" t="s">
        <v>4111</v>
      </c>
      <c r="C20500" s="1" t="s">
        <v>23490</v>
      </c>
      <c r="D20500" s="1" t="str">
        <f>HYPERLINK("https://rhld.insurance.arkansas.gov/NPILookup?Npi=1619114147","1619114147")</f>
        <v>1619114147</v>
      </c>
      <c r="E20500" t="s">
        <v>5300</v>
      </c>
    </row>
    <row r="20501" spans="1:5" x14ac:dyDescent="0.25">
      <c r="A20501" t="s">
        <v>4</v>
      </c>
      <c r="B20501" t="s">
        <v>4111</v>
      </c>
      <c r="C20501" s="1" t="s">
        <v>23490</v>
      </c>
      <c r="D20501" s="1" t="str">
        <f>HYPERLINK("https://rhld.insurance.arkansas.gov/NPILookup?Npi=1619115052","1619115052")</f>
        <v>1619115052</v>
      </c>
      <c r="E20501" t="s">
        <v>14136</v>
      </c>
    </row>
    <row r="20502" spans="1:5" x14ac:dyDescent="0.25">
      <c r="A20502" t="s">
        <v>4</v>
      </c>
      <c r="B20502" t="s">
        <v>4111</v>
      </c>
      <c r="C20502" s="1" t="s">
        <v>23490</v>
      </c>
      <c r="D20502" s="1" t="str">
        <f>HYPERLINK("https://rhld.insurance.arkansas.gov/NPILookup?Npi=1619120565","1619120565")</f>
        <v>1619120565</v>
      </c>
      <c r="E20502" t="s">
        <v>14137</v>
      </c>
    </row>
    <row r="20503" spans="1:5" x14ac:dyDescent="0.25">
      <c r="A20503" t="s">
        <v>4</v>
      </c>
      <c r="B20503" t="s">
        <v>4111</v>
      </c>
      <c r="C20503" s="1" t="s">
        <v>8427</v>
      </c>
      <c r="D20503" s="1" t="str">
        <f>HYPERLINK("https://rhld.insurance.arkansas.gov/NPILookup?Npi=1619128642","1619128642")</f>
        <v>1619128642</v>
      </c>
      <c r="E20503" t="s">
        <v>23147</v>
      </c>
    </row>
    <row r="20504" spans="1:5" x14ac:dyDescent="0.25">
      <c r="A20504" t="s">
        <v>4</v>
      </c>
      <c r="B20504" t="s">
        <v>4111</v>
      </c>
      <c r="C20504" s="1" t="s">
        <v>23490</v>
      </c>
      <c r="D20504" s="1" t="str">
        <f>HYPERLINK("https://rhld.insurance.arkansas.gov/NPILookup?Npi=1619180619","1619180619")</f>
        <v>1619180619</v>
      </c>
      <c r="E20504" t="s">
        <v>5301</v>
      </c>
    </row>
    <row r="20505" spans="1:5" x14ac:dyDescent="0.25">
      <c r="A20505" t="s">
        <v>4</v>
      </c>
      <c r="B20505" t="s">
        <v>4111</v>
      </c>
      <c r="C20505" s="1" t="s">
        <v>23490</v>
      </c>
      <c r="D20505" s="1" t="str">
        <f>HYPERLINK("https://rhld.insurance.arkansas.gov/NPILookup?Npi=1619196821","1619196821")</f>
        <v>1619196821</v>
      </c>
      <c r="E20505" t="s">
        <v>23148</v>
      </c>
    </row>
    <row r="20506" spans="1:5" x14ac:dyDescent="0.25">
      <c r="A20506" t="s">
        <v>4</v>
      </c>
      <c r="B20506" t="s">
        <v>4111</v>
      </c>
      <c r="C20506" s="1" t="s">
        <v>23490</v>
      </c>
      <c r="D20506" s="1" t="str">
        <f>HYPERLINK("https://rhld.insurance.arkansas.gov/NPILookup?Npi=1619218963","1619218963")</f>
        <v>1619218963</v>
      </c>
      <c r="E20506" t="s">
        <v>5302</v>
      </c>
    </row>
    <row r="20507" spans="1:5" x14ac:dyDescent="0.25">
      <c r="A20507" t="s">
        <v>4</v>
      </c>
      <c r="B20507" t="s">
        <v>4111</v>
      </c>
      <c r="C20507" s="1" t="s">
        <v>23490</v>
      </c>
      <c r="D20507" s="1" t="str">
        <f>HYPERLINK("https://rhld.insurance.arkansas.gov/NPILookup?Npi=1619225125","1619225125")</f>
        <v>1619225125</v>
      </c>
      <c r="E20507" t="s">
        <v>5303</v>
      </c>
    </row>
    <row r="20508" spans="1:5" x14ac:dyDescent="0.25">
      <c r="A20508" t="s">
        <v>4</v>
      </c>
      <c r="B20508" t="s">
        <v>4111</v>
      </c>
      <c r="C20508" s="1" t="s">
        <v>23490</v>
      </c>
      <c r="D20508" s="1" t="str">
        <f>HYPERLINK("https://rhld.insurance.arkansas.gov/NPILookup?Npi=1619227279","1619227279")</f>
        <v>1619227279</v>
      </c>
      <c r="E20508" t="s">
        <v>14138</v>
      </c>
    </row>
    <row r="20509" spans="1:5" x14ac:dyDescent="0.25">
      <c r="A20509" t="s">
        <v>4</v>
      </c>
      <c r="B20509" t="s">
        <v>4111</v>
      </c>
      <c r="C20509" s="1" t="s">
        <v>23490</v>
      </c>
      <c r="D20509" s="1" t="str">
        <f>HYPERLINK("https://rhld.insurance.arkansas.gov/NPILookup?Npi=1619262680","1619262680")</f>
        <v>1619262680</v>
      </c>
      <c r="E20509" t="s">
        <v>9131</v>
      </c>
    </row>
    <row r="20510" spans="1:5" x14ac:dyDescent="0.25">
      <c r="A20510" t="s">
        <v>4</v>
      </c>
      <c r="B20510" t="s">
        <v>4111</v>
      </c>
      <c r="C20510" s="1" t="s">
        <v>23490</v>
      </c>
      <c r="D20510" s="1" t="str">
        <f>HYPERLINK("https://rhld.insurance.arkansas.gov/NPILookup?Npi=1619270519","1619270519")</f>
        <v>1619270519</v>
      </c>
      <c r="E20510" t="s">
        <v>11762</v>
      </c>
    </row>
    <row r="20511" spans="1:5" x14ac:dyDescent="0.25">
      <c r="A20511" t="s">
        <v>4</v>
      </c>
      <c r="B20511" t="s">
        <v>4111</v>
      </c>
      <c r="C20511" s="1" t="s">
        <v>23490</v>
      </c>
      <c r="D20511" s="1" t="str">
        <f>HYPERLINK("https://rhld.insurance.arkansas.gov/NPILookup?Npi=1619275823","1619275823")</f>
        <v>1619275823</v>
      </c>
      <c r="E20511" t="s">
        <v>9132</v>
      </c>
    </row>
    <row r="20512" spans="1:5" x14ac:dyDescent="0.25">
      <c r="A20512" t="s">
        <v>4</v>
      </c>
      <c r="B20512" t="s">
        <v>4111</v>
      </c>
      <c r="C20512" s="1" t="s">
        <v>23490</v>
      </c>
      <c r="D20512" s="1" t="str">
        <f>HYPERLINK("https://rhld.insurance.arkansas.gov/NPILookup?Npi=1619297900","1619297900")</f>
        <v>1619297900</v>
      </c>
      <c r="E20512" t="s">
        <v>5304</v>
      </c>
    </row>
    <row r="20513" spans="1:5" x14ac:dyDescent="0.25">
      <c r="A20513" t="s">
        <v>4</v>
      </c>
      <c r="B20513" t="s">
        <v>4111</v>
      </c>
      <c r="C20513" s="1" t="s">
        <v>23490</v>
      </c>
      <c r="D20513" s="1" t="str">
        <f>HYPERLINK("https://rhld.insurance.arkansas.gov/NPILookup?Npi=1619298817","1619298817")</f>
        <v>1619298817</v>
      </c>
      <c r="E20513" t="s">
        <v>14139</v>
      </c>
    </row>
    <row r="20514" spans="1:5" x14ac:dyDescent="0.25">
      <c r="A20514" t="s">
        <v>4</v>
      </c>
      <c r="B20514" t="s">
        <v>4111</v>
      </c>
      <c r="C20514" s="1" t="s">
        <v>23490</v>
      </c>
      <c r="D20514" s="1" t="str">
        <f>HYPERLINK("https://rhld.insurance.arkansas.gov/NPILookup?Npi=1619300357","1619300357")</f>
        <v>1619300357</v>
      </c>
      <c r="E20514" t="s">
        <v>16172</v>
      </c>
    </row>
    <row r="20515" spans="1:5" x14ac:dyDescent="0.25">
      <c r="A20515" t="s">
        <v>4</v>
      </c>
      <c r="B20515" t="s">
        <v>4111</v>
      </c>
      <c r="C20515" s="1" t="s">
        <v>23490</v>
      </c>
      <c r="D20515" s="1" t="str">
        <f>HYPERLINK("https://rhld.insurance.arkansas.gov/NPILookup?Npi=1619305968","1619305968")</f>
        <v>1619305968</v>
      </c>
      <c r="E20515" t="s">
        <v>5305</v>
      </c>
    </row>
    <row r="20516" spans="1:5" x14ac:dyDescent="0.25">
      <c r="A20516" t="s">
        <v>4</v>
      </c>
      <c r="B20516" t="s">
        <v>4111</v>
      </c>
      <c r="C20516" s="1" t="s">
        <v>23490</v>
      </c>
      <c r="D20516" s="1" t="str">
        <f>HYPERLINK("https://rhld.insurance.arkansas.gov/NPILookup?Npi=1619306685","1619306685")</f>
        <v>1619306685</v>
      </c>
      <c r="E20516" t="s">
        <v>5306</v>
      </c>
    </row>
    <row r="20517" spans="1:5" x14ac:dyDescent="0.25">
      <c r="A20517" t="s">
        <v>4</v>
      </c>
      <c r="B20517" t="s">
        <v>4111</v>
      </c>
      <c r="C20517" s="1" t="s">
        <v>23490</v>
      </c>
      <c r="D20517" s="1" t="str">
        <f>HYPERLINK("https://rhld.insurance.arkansas.gov/NPILookup?Npi=1619308434","1619308434")</f>
        <v>1619308434</v>
      </c>
      <c r="E20517" t="s">
        <v>21146</v>
      </c>
    </row>
    <row r="20518" spans="1:5" x14ac:dyDescent="0.25">
      <c r="A20518" t="s">
        <v>4</v>
      </c>
      <c r="B20518" t="s">
        <v>4111</v>
      </c>
      <c r="C20518" s="1" t="s">
        <v>23490</v>
      </c>
      <c r="D20518" s="1" t="str">
        <f>HYPERLINK("https://rhld.insurance.arkansas.gov/NPILookup?Npi=1619321635","1619321635")</f>
        <v>1619321635</v>
      </c>
      <c r="E20518" t="s">
        <v>22184</v>
      </c>
    </row>
    <row r="20519" spans="1:5" x14ac:dyDescent="0.25">
      <c r="A20519" t="s">
        <v>4</v>
      </c>
      <c r="B20519" t="s">
        <v>4111</v>
      </c>
      <c r="C20519" s="1" t="s">
        <v>23490</v>
      </c>
      <c r="D20519" s="1" t="str">
        <f>HYPERLINK("https://rhld.insurance.arkansas.gov/NPILookup?Npi=1619323508","1619323508")</f>
        <v>1619323508</v>
      </c>
      <c r="E20519" t="s">
        <v>22185</v>
      </c>
    </row>
    <row r="20520" spans="1:5" x14ac:dyDescent="0.25">
      <c r="A20520" t="s">
        <v>4</v>
      </c>
      <c r="B20520" t="s">
        <v>4111</v>
      </c>
      <c r="C20520" s="1" t="s">
        <v>23490</v>
      </c>
      <c r="D20520" s="1" t="str">
        <f>HYPERLINK("https://rhld.insurance.arkansas.gov/NPILookup?Npi=1619327079","1619327079")</f>
        <v>1619327079</v>
      </c>
      <c r="E20520" t="s">
        <v>22186</v>
      </c>
    </row>
    <row r="20521" spans="1:5" x14ac:dyDescent="0.25">
      <c r="A20521" t="s">
        <v>4</v>
      </c>
      <c r="B20521" t="s">
        <v>4111</v>
      </c>
      <c r="C20521" s="1" t="s">
        <v>23490</v>
      </c>
      <c r="D20521" s="1" t="str">
        <f>HYPERLINK("https://rhld.insurance.arkansas.gov/NPILookup?Npi=1619332509","1619332509")</f>
        <v>1619332509</v>
      </c>
      <c r="E20521" t="s">
        <v>17200</v>
      </c>
    </row>
    <row r="20522" spans="1:5" x14ac:dyDescent="0.25">
      <c r="A20522" t="s">
        <v>4</v>
      </c>
      <c r="B20522" t="s">
        <v>4111</v>
      </c>
      <c r="C20522" s="1" t="s">
        <v>23490</v>
      </c>
      <c r="D20522" s="1" t="str">
        <f>HYPERLINK("https://rhld.insurance.arkansas.gov/NPILookup?Npi=1619345246","1619345246")</f>
        <v>1619345246</v>
      </c>
      <c r="E20522" t="s">
        <v>20533</v>
      </c>
    </row>
    <row r="20523" spans="1:5" x14ac:dyDescent="0.25">
      <c r="A20523" t="s">
        <v>4</v>
      </c>
      <c r="B20523" t="s">
        <v>4111</v>
      </c>
      <c r="C20523" s="1" t="s">
        <v>23490</v>
      </c>
      <c r="D20523" s="1" t="str">
        <f>HYPERLINK("https://rhld.insurance.arkansas.gov/NPILookup?Npi=1619348703","1619348703")</f>
        <v>1619348703</v>
      </c>
      <c r="E20523" t="s">
        <v>23149</v>
      </c>
    </row>
    <row r="20524" spans="1:5" x14ac:dyDescent="0.25">
      <c r="A20524" t="s">
        <v>4</v>
      </c>
      <c r="B20524" t="s">
        <v>4111</v>
      </c>
      <c r="C20524" s="1" t="s">
        <v>23490</v>
      </c>
      <c r="D20524" s="1" t="str">
        <f>HYPERLINK("https://rhld.insurance.arkansas.gov/NPILookup?Npi=1619364288","1619364288")</f>
        <v>1619364288</v>
      </c>
      <c r="E20524" t="s">
        <v>18995</v>
      </c>
    </row>
    <row r="20525" spans="1:5" x14ac:dyDescent="0.25">
      <c r="A20525" t="s">
        <v>4</v>
      </c>
      <c r="B20525" t="s">
        <v>4111</v>
      </c>
      <c r="C20525" s="1" t="s">
        <v>23490</v>
      </c>
      <c r="D20525" s="1" t="str">
        <f>HYPERLINK("https://rhld.insurance.arkansas.gov/NPILookup?Npi=1619377918","1619377918")</f>
        <v>1619377918</v>
      </c>
      <c r="E20525" t="s">
        <v>14140</v>
      </c>
    </row>
    <row r="20526" spans="1:5" x14ac:dyDescent="0.25">
      <c r="A20526" t="s">
        <v>4</v>
      </c>
      <c r="B20526" t="s">
        <v>4111</v>
      </c>
      <c r="C20526" s="1" t="s">
        <v>23490</v>
      </c>
      <c r="D20526" s="1" t="str">
        <f>HYPERLINK("https://rhld.insurance.arkansas.gov/NPILookup?Npi=1619389871","1619389871")</f>
        <v>1619389871</v>
      </c>
      <c r="E20526" t="s">
        <v>11763</v>
      </c>
    </row>
    <row r="20527" spans="1:5" x14ac:dyDescent="0.25">
      <c r="A20527" t="s">
        <v>4</v>
      </c>
      <c r="B20527" t="s">
        <v>4111</v>
      </c>
      <c r="C20527" s="1" t="s">
        <v>23490</v>
      </c>
      <c r="D20527" s="1" t="str">
        <f>HYPERLINK("https://rhld.insurance.arkansas.gov/NPILookup?Npi=1619413473","1619413473")</f>
        <v>1619413473</v>
      </c>
      <c r="E20527" t="s">
        <v>16173</v>
      </c>
    </row>
    <row r="20528" spans="1:5" x14ac:dyDescent="0.25">
      <c r="A20528" t="s">
        <v>4</v>
      </c>
      <c r="B20528" t="s">
        <v>4111</v>
      </c>
      <c r="C20528" s="1" t="s">
        <v>23490</v>
      </c>
      <c r="D20528" s="1" t="str">
        <f>HYPERLINK("https://rhld.insurance.arkansas.gov/NPILookup?Npi=1619443439","1619443439")</f>
        <v>1619443439</v>
      </c>
      <c r="E20528" t="s">
        <v>21147</v>
      </c>
    </row>
    <row r="20529" spans="1:5" x14ac:dyDescent="0.25">
      <c r="A20529" t="s">
        <v>4</v>
      </c>
      <c r="B20529" t="s">
        <v>4111</v>
      </c>
      <c r="C20529" s="1" t="s">
        <v>23490</v>
      </c>
      <c r="D20529" s="1" t="str">
        <f>HYPERLINK("https://rhld.insurance.arkansas.gov/NPILookup?Npi=1619459484","1619459484")</f>
        <v>1619459484</v>
      </c>
      <c r="E20529" t="s">
        <v>20534</v>
      </c>
    </row>
    <row r="20530" spans="1:5" x14ac:dyDescent="0.25">
      <c r="A20530" t="s">
        <v>4</v>
      </c>
      <c r="B20530" t="s">
        <v>4111</v>
      </c>
      <c r="C20530" s="1" t="s">
        <v>23490</v>
      </c>
      <c r="D20530" s="1" t="str">
        <f>HYPERLINK("https://rhld.insurance.arkansas.gov/NPILookup?Npi=1619487733","1619487733")</f>
        <v>1619487733</v>
      </c>
      <c r="E20530" t="s">
        <v>11112</v>
      </c>
    </row>
    <row r="20531" spans="1:5" x14ac:dyDescent="0.25">
      <c r="A20531" t="s">
        <v>4</v>
      </c>
      <c r="B20531" t="s">
        <v>4111</v>
      </c>
      <c r="C20531" s="1" t="s">
        <v>23490</v>
      </c>
      <c r="D20531" s="1" t="str">
        <f>HYPERLINK("https://rhld.insurance.arkansas.gov/NPILookup?Npi=1619488327","1619488327")</f>
        <v>1619488327</v>
      </c>
      <c r="E20531" t="s">
        <v>18996</v>
      </c>
    </row>
    <row r="20532" spans="1:5" x14ac:dyDescent="0.25">
      <c r="A20532" t="s">
        <v>4</v>
      </c>
      <c r="B20532" t="s">
        <v>4111</v>
      </c>
      <c r="C20532" s="1" t="s">
        <v>23490</v>
      </c>
      <c r="D20532" s="1" t="str">
        <f>HYPERLINK("https://rhld.insurance.arkansas.gov/NPILookup?Npi=1619499738","1619499738")</f>
        <v>1619499738</v>
      </c>
      <c r="E20532" t="s">
        <v>20535</v>
      </c>
    </row>
    <row r="20533" spans="1:5" x14ac:dyDescent="0.25">
      <c r="A20533" t="s">
        <v>4</v>
      </c>
      <c r="B20533" t="s">
        <v>4111</v>
      </c>
      <c r="C20533" s="1" t="s">
        <v>23490</v>
      </c>
      <c r="D20533" s="1" t="str">
        <f>HYPERLINK("https://rhld.insurance.arkansas.gov/NPILookup?Npi=1619504396","1619504396")</f>
        <v>1619504396</v>
      </c>
      <c r="E20533" t="s">
        <v>17201</v>
      </c>
    </row>
    <row r="20534" spans="1:5" x14ac:dyDescent="0.25">
      <c r="A20534" t="s">
        <v>4</v>
      </c>
      <c r="B20534" t="s">
        <v>4111</v>
      </c>
      <c r="C20534" s="1" t="s">
        <v>23490</v>
      </c>
      <c r="D20534" s="1" t="str">
        <f>HYPERLINK("https://rhld.insurance.arkansas.gov/NPILookup?Npi=1619507324","1619507324")</f>
        <v>1619507324</v>
      </c>
      <c r="E20534" t="s">
        <v>20536</v>
      </c>
    </row>
    <row r="20535" spans="1:5" x14ac:dyDescent="0.25">
      <c r="A20535" t="s">
        <v>4</v>
      </c>
      <c r="B20535" t="s">
        <v>4111</v>
      </c>
      <c r="C20535" s="1" t="s">
        <v>8427</v>
      </c>
      <c r="D20535" s="1" t="str">
        <f>HYPERLINK("https://rhld.insurance.arkansas.gov/NPILookup?Npi=1619542149","1619542149")</f>
        <v>1619542149</v>
      </c>
      <c r="E20535" t="s">
        <v>23150</v>
      </c>
    </row>
    <row r="20536" spans="1:5" x14ac:dyDescent="0.25">
      <c r="A20536" t="s">
        <v>4</v>
      </c>
      <c r="B20536" t="s">
        <v>4111</v>
      </c>
      <c r="C20536" s="1" t="s">
        <v>23490</v>
      </c>
      <c r="D20536" s="1" t="str">
        <f>HYPERLINK("https://rhld.insurance.arkansas.gov/NPILookup?Npi=1619563343","1619563343")</f>
        <v>1619563343</v>
      </c>
      <c r="E20536" t="s">
        <v>20537</v>
      </c>
    </row>
    <row r="20537" spans="1:5" x14ac:dyDescent="0.25">
      <c r="A20537" t="s">
        <v>4</v>
      </c>
      <c r="B20537" t="s">
        <v>4111</v>
      </c>
      <c r="C20537" s="1" t="s">
        <v>23490</v>
      </c>
      <c r="D20537" s="1" t="str">
        <f>HYPERLINK("https://rhld.insurance.arkansas.gov/NPILookup?Npi=1619588779","1619588779")</f>
        <v>1619588779</v>
      </c>
      <c r="E20537" t="s">
        <v>17615</v>
      </c>
    </row>
    <row r="20538" spans="1:5" x14ac:dyDescent="0.25">
      <c r="A20538" t="s">
        <v>4</v>
      </c>
      <c r="B20538" t="s">
        <v>4111</v>
      </c>
      <c r="C20538" s="1" t="s">
        <v>23490</v>
      </c>
      <c r="D20538" s="1" t="str">
        <f>HYPERLINK("https://rhld.insurance.arkansas.gov/NPILookup?Npi=1619607652","1619607652")</f>
        <v>1619607652</v>
      </c>
      <c r="E20538" t="s">
        <v>22187</v>
      </c>
    </row>
    <row r="20539" spans="1:5" x14ac:dyDescent="0.25">
      <c r="A20539" t="s">
        <v>4</v>
      </c>
      <c r="B20539" t="s">
        <v>4111</v>
      </c>
      <c r="C20539" s="1" t="s">
        <v>8427</v>
      </c>
      <c r="D20539" s="1" t="str">
        <f>HYPERLINK("https://rhld.insurance.arkansas.gov/NPILookup?Npi=1619667284","1619667284")</f>
        <v>1619667284</v>
      </c>
      <c r="E20539" t="s">
        <v>23151</v>
      </c>
    </row>
    <row r="20540" spans="1:5" x14ac:dyDescent="0.25">
      <c r="A20540" t="s">
        <v>4</v>
      </c>
      <c r="B20540" t="s">
        <v>4111</v>
      </c>
      <c r="C20540" s="1" t="s">
        <v>23490</v>
      </c>
      <c r="D20540" s="1" t="str">
        <f>HYPERLINK("https://rhld.insurance.arkansas.gov/NPILookup?Npi=1619911815","1619911815")</f>
        <v>1619911815</v>
      </c>
      <c r="E20540" t="s">
        <v>13168</v>
      </c>
    </row>
    <row r="20541" spans="1:5" x14ac:dyDescent="0.25">
      <c r="A20541" t="s">
        <v>4</v>
      </c>
      <c r="B20541" t="s">
        <v>4111</v>
      </c>
      <c r="C20541" s="1" t="s">
        <v>23490</v>
      </c>
      <c r="D20541" s="1" t="str">
        <f>HYPERLINK("https://rhld.insurance.arkansas.gov/NPILookup?Npi=1619923166","1619923166")</f>
        <v>1619923166</v>
      </c>
      <c r="E20541" t="s">
        <v>5307</v>
      </c>
    </row>
    <row r="20542" spans="1:5" x14ac:dyDescent="0.25">
      <c r="A20542" t="s">
        <v>4</v>
      </c>
      <c r="B20542" t="s">
        <v>4111</v>
      </c>
      <c r="C20542" s="1" t="s">
        <v>23490</v>
      </c>
      <c r="D20542" s="1" t="str">
        <f>HYPERLINK("https://rhld.insurance.arkansas.gov/NPILookup?Npi=1619942539","1619942539")</f>
        <v>1619942539</v>
      </c>
      <c r="E20542" t="s">
        <v>5308</v>
      </c>
    </row>
    <row r="20543" spans="1:5" x14ac:dyDescent="0.25">
      <c r="A20543" t="s">
        <v>4</v>
      </c>
      <c r="B20543" t="s">
        <v>4111</v>
      </c>
      <c r="C20543" s="1" t="s">
        <v>23490</v>
      </c>
      <c r="D20543" s="1" t="str">
        <f>HYPERLINK("https://rhld.insurance.arkansas.gov/NPILookup?Npi=1619947447","1619947447")</f>
        <v>1619947447</v>
      </c>
      <c r="E20543" t="s">
        <v>5309</v>
      </c>
    </row>
    <row r="20544" spans="1:5" x14ac:dyDescent="0.25">
      <c r="A20544" t="s">
        <v>4</v>
      </c>
      <c r="B20544" t="s">
        <v>4111</v>
      </c>
      <c r="C20544" s="1" t="s">
        <v>23490</v>
      </c>
      <c r="D20544" s="1" t="str">
        <f>HYPERLINK("https://rhld.insurance.arkansas.gov/NPILookup?Npi=1619981008","1619981008")</f>
        <v>1619981008</v>
      </c>
      <c r="E20544" t="s">
        <v>5310</v>
      </c>
    </row>
    <row r="20545" spans="1:5" x14ac:dyDescent="0.25">
      <c r="A20545" t="s">
        <v>4</v>
      </c>
      <c r="B20545" t="s">
        <v>4111</v>
      </c>
      <c r="C20545" s="1" t="s">
        <v>23490</v>
      </c>
      <c r="D20545" s="1" t="str">
        <f>HYPERLINK("https://rhld.insurance.arkansas.gov/NPILookup?Npi=1619995198","1619995198")</f>
        <v>1619995198</v>
      </c>
      <c r="E20545" t="s">
        <v>3046</v>
      </c>
    </row>
    <row r="20546" spans="1:5" x14ac:dyDescent="0.25">
      <c r="A20546" t="s">
        <v>4</v>
      </c>
      <c r="B20546" t="s">
        <v>4111</v>
      </c>
      <c r="C20546" s="1" t="s">
        <v>23490</v>
      </c>
      <c r="D20546" s="1" t="str">
        <f>HYPERLINK("https://rhld.insurance.arkansas.gov/NPILookup?Npi=1629035381","1629035381")</f>
        <v>1629035381</v>
      </c>
      <c r="E20546" t="s">
        <v>5311</v>
      </c>
    </row>
    <row r="20547" spans="1:5" x14ac:dyDescent="0.25">
      <c r="A20547" t="s">
        <v>4</v>
      </c>
      <c r="B20547" t="s">
        <v>4111</v>
      </c>
      <c r="C20547" s="1" t="s">
        <v>23490</v>
      </c>
      <c r="D20547" s="1" t="str">
        <f>HYPERLINK("https://rhld.insurance.arkansas.gov/NPILookup?Npi=1629082979","1629082979")</f>
        <v>1629082979</v>
      </c>
      <c r="E20547" t="s">
        <v>5312</v>
      </c>
    </row>
    <row r="20548" spans="1:5" x14ac:dyDescent="0.25">
      <c r="A20548" t="s">
        <v>4</v>
      </c>
      <c r="B20548" t="s">
        <v>4111</v>
      </c>
      <c r="C20548" s="1" t="s">
        <v>23490</v>
      </c>
      <c r="D20548" s="1" t="str">
        <f>HYPERLINK("https://rhld.insurance.arkansas.gov/NPILookup?Npi=1629087945","1629087945")</f>
        <v>1629087945</v>
      </c>
      <c r="E20548" t="s">
        <v>5313</v>
      </c>
    </row>
    <row r="20549" spans="1:5" x14ac:dyDescent="0.25">
      <c r="A20549" t="s">
        <v>4</v>
      </c>
      <c r="B20549" t="s">
        <v>4111</v>
      </c>
      <c r="C20549" s="1" t="s">
        <v>23490</v>
      </c>
      <c r="D20549" s="1" t="str">
        <f>HYPERLINK("https://rhld.insurance.arkansas.gov/NPILookup?Npi=1629101217","1629101217")</f>
        <v>1629101217</v>
      </c>
      <c r="E20549" t="s">
        <v>5314</v>
      </c>
    </row>
    <row r="20550" spans="1:5" x14ac:dyDescent="0.25">
      <c r="A20550" t="s">
        <v>4</v>
      </c>
      <c r="B20550" t="s">
        <v>4111</v>
      </c>
      <c r="C20550" s="1" t="s">
        <v>23490</v>
      </c>
      <c r="D20550" s="1" t="str">
        <f>HYPERLINK("https://rhld.insurance.arkansas.gov/NPILookup?Npi=1629107214","1629107214")</f>
        <v>1629107214</v>
      </c>
      <c r="E20550" t="s">
        <v>5315</v>
      </c>
    </row>
    <row r="20551" spans="1:5" x14ac:dyDescent="0.25">
      <c r="A20551" t="s">
        <v>4</v>
      </c>
      <c r="B20551" t="s">
        <v>4111</v>
      </c>
      <c r="C20551" s="1" t="s">
        <v>23490</v>
      </c>
      <c r="D20551" s="1" t="str">
        <f>HYPERLINK("https://rhld.insurance.arkansas.gov/NPILookup?Npi=1629108618","1629108618")</f>
        <v>1629108618</v>
      </c>
      <c r="E20551" t="s">
        <v>13169</v>
      </c>
    </row>
    <row r="20552" spans="1:5" x14ac:dyDescent="0.25">
      <c r="A20552" t="s">
        <v>4</v>
      </c>
      <c r="B20552" t="s">
        <v>4111</v>
      </c>
      <c r="C20552" s="1" t="s">
        <v>23490</v>
      </c>
      <c r="D20552" s="1" t="str">
        <f>HYPERLINK("https://rhld.insurance.arkansas.gov/NPILookup?Npi=1629109988","1629109988")</f>
        <v>1629109988</v>
      </c>
      <c r="E20552" t="s">
        <v>11764</v>
      </c>
    </row>
    <row r="20553" spans="1:5" x14ac:dyDescent="0.25">
      <c r="A20553" t="s">
        <v>4</v>
      </c>
      <c r="B20553" t="s">
        <v>4111</v>
      </c>
      <c r="C20553" s="1" t="s">
        <v>23490</v>
      </c>
      <c r="D20553" s="1" t="str">
        <f>HYPERLINK("https://rhld.insurance.arkansas.gov/NPILookup?Npi=1629139282","1629139282")</f>
        <v>1629139282</v>
      </c>
      <c r="E20553" t="s">
        <v>5316</v>
      </c>
    </row>
    <row r="20554" spans="1:5" x14ac:dyDescent="0.25">
      <c r="A20554" t="s">
        <v>4</v>
      </c>
      <c r="B20554" t="s">
        <v>4111</v>
      </c>
      <c r="C20554" s="1" t="s">
        <v>23490</v>
      </c>
      <c r="D20554" s="1" t="str">
        <f>HYPERLINK("https://rhld.insurance.arkansas.gov/NPILookup?Npi=1629142609","1629142609")</f>
        <v>1629142609</v>
      </c>
      <c r="E20554" t="s">
        <v>5317</v>
      </c>
    </row>
    <row r="20555" spans="1:5" x14ac:dyDescent="0.25">
      <c r="A20555" t="s">
        <v>4</v>
      </c>
      <c r="B20555" t="s">
        <v>4111</v>
      </c>
      <c r="C20555" s="1" t="s">
        <v>23490</v>
      </c>
      <c r="D20555" s="1" t="str">
        <f>HYPERLINK("https://rhld.insurance.arkansas.gov/NPILookup?Npi=1629142682","1629142682")</f>
        <v>1629142682</v>
      </c>
      <c r="E20555" t="s">
        <v>5318</v>
      </c>
    </row>
    <row r="20556" spans="1:5" x14ac:dyDescent="0.25">
      <c r="A20556" t="s">
        <v>4</v>
      </c>
      <c r="B20556" t="s">
        <v>4111</v>
      </c>
      <c r="C20556" s="1" t="s">
        <v>23490</v>
      </c>
      <c r="D20556" s="1" t="str">
        <f>HYPERLINK("https://rhld.insurance.arkansas.gov/NPILookup?Npi=1629147889","1629147889")</f>
        <v>1629147889</v>
      </c>
      <c r="E20556" t="s">
        <v>18382</v>
      </c>
    </row>
    <row r="20557" spans="1:5" x14ac:dyDescent="0.25">
      <c r="A20557" t="s">
        <v>4</v>
      </c>
      <c r="B20557" t="s">
        <v>4111</v>
      </c>
      <c r="C20557" s="1" t="s">
        <v>23490</v>
      </c>
      <c r="D20557" s="1" t="str">
        <f>HYPERLINK("https://rhld.insurance.arkansas.gov/NPILookup?Npi=1629163274","1629163274")</f>
        <v>1629163274</v>
      </c>
      <c r="E20557" t="s">
        <v>5319</v>
      </c>
    </row>
    <row r="20558" spans="1:5" x14ac:dyDescent="0.25">
      <c r="A20558" t="s">
        <v>4</v>
      </c>
      <c r="B20558" t="s">
        <v>4111</v>
      </c>
      <c r="C20558" s="1" t="s">
        <v>23490</v>
      </c>
      <c r="D20558" s="1" t="str">
        <f>HYPERLINK("https://rhld.insurance.arkansas.gov/NPILookup?Npi=1629168067","1629168067")</f>
        <v>1629168067</v>
      </c>
      <c r="E20558" t="s">
        <v>5320</v>
      </c>
    </row>
    <row r="20559" spans="1:5" x14ac:dyDescent="0.25">
      <c r="A20559" t="s">
        <v>4</v>
      </c>
      <c r="B20559" t="s">
        <v>4111</v>
      </c>
      <c r="C20559" s="1" t="s">
        <v>23490</v>
      </c>
      <c r="D20559" s="1" t="str">
        <f>HYPERLINK("https://rhld.insurance.arkansas.gov/NPILookup?Npi=1629168299","1629168299")</f>
        <v>1629168299</v>
      </c>
      <c r="E20559" t="s">
        <v>5321</v>
      </c>
    </row>
    <row r="20560" spans="1:5" x14ac:dyDescent="0.25">
      <c r="A20560" t="s">
        <v>4</v>
      </c>
      <c r="B20560" t="s">
        <v>4111</v>
      </c>
      <c r="C20560" s="1" t="s">
        <v>23490</v>
      </c>
      <c r="D20560" s="1" t="str">
        <f>HYPERLINK("https://rhld.insurance.arkansas.gov/NPILookup?Npi=1629199690","1629199690")</f>
        <v>1629199690</v>
      </c>
      <c r="E20560" t="s">
        <v>5322</v>
      </c>
    </row>
    <row r="20561" spans="1:5" x14ac:dyDescent="0.25">
      <c r="A20561" t="s">
        <v>4</v>
      </c>
      <c r="B20561" t="s">
        <v>4111</v>
      </c>
      <c r="C20561" s="1" t="s">
        <v>23490</v>
      </c>
      <c r="D20561" s="1" t="str">
        <f>HYPERLINK("https://rhld.insurance.arkansas.gov/NPILookup?Npi=1629212857","1629212857")</f>
        <v>1629212857</v>
      </c>
      <c r="E20561" t="s">
        <v>17202</v>
      </c>
    </row>
    <row r="20562" spans="1:5" x14ac:dyDescent="0.25">
      <c r="A20562" t="s">
        <v>4</v>
      </c>
      <c r="B20562" t="s">
        <v>4111</v>
      </c>
      <c r="C20562" s="1" t="s">
        <v>23490</v>
      </c>
      <c r="D20562" s="1" t="str">
        <f>HYPERLINK("https://rhld.insurance.arkansas.gov/NPILookup?Npi=1629218169","1629218169")</f>
        <v>1629218169</v>
      </c>
      <c r="E20562" t="s">
        <v>5323</v>
      </c>
    </row>
    <row r="20563" spans="1:5" x14ac:dyDescent="0.25">
      <c r="A20563" t="s">
        <v>4</v>
      </c>
      <c r="B20563" t="s">
        <v>4111</v>
      </c>
      <c r="C20563" s="1" t="s">
        <v>23490</v>
      </c>
      <c r="D20563" s="1" t="str">
        <f>HYPERLINK("https://rhld.insurance.arkansas.gov/NPILookup?Npi=1629222914","1629222914")</f>
        <v>1629222914</v>
      </c>
      <c r="E20563" t="s">
        <v>17203</v>
      </c>
    </row>
    <row r="20564" spans="1:5" x14ac:dyDescent="0.25">
      <c r="A20564" t="s">
        <v>4</v>
      </c>
      <c r="B20564" t="s">
        <v>4111</v>
      </c>
      <c r="C20564" s="1" t="s">
        <v>23490</v>
      </c>
      <c r="D20564" s="1" t="str">
        <f>HYPERLINK("https://rhld.insurance.arkansas.gov/NPILookup?Npi=1629225685","1629225685")</f>
        <v>1629225685</v>
      </c>
      <c r="E20564" t="s">
        <v>5324</v>
      </c>
    </row>
    <row r="20565" spans="1:5" x14ac:dyDescent="0.25">
      <c r="A20565" t="s">
        <v>4</v>
      </c>
      <c r="B20565" t="s">
        <v>4111</v>
      </c>
      <c r="C20565" s="1" t="s">
        <v>23490</v>
      </c>
      <c r="D20565" s="1" t="str">
        <f>HYPERLINK("https://rhld.insurance.arkansas.gov/NPILookup?Npi=1629229596","1629229596")</f>
        <v>1629229596</v>
      </c>
      <c r="E20565" t="s">
        <v>11765</v>
      </c>
    </row>
    <row r="20566" spans="1:5" x14ac:dyDescent="0.25">
      <c r="A20566" t="s">
        <v>4</v>
      </c>
      <c r="B20566" t="s">
        <v>4111</v>
      </c>
      <c r="C20566" s="1" t="s">
        <v>23490</v>
      </c>
      <c r="D20566" s="1" t="str">
        <f>HYPERLINK("https://rhld.insurance.arkansas.gov/NPILookup?Npi=1629238209","1629238209")</f>
        <v>1629238209</v>
      </c>
      <c r="E20566" t="s">
        <v>18997</v>
      </c>
    </row>
    <row r="20567" spans="1:5" x14ac:dyDescent="0.25">
      <c r="A20567" t="s">
        <v>4</v>
      </c>
      <c r="B20567" t="s">
        <v>4111</v>
      </c>
      <c r="C20567" s="1" t="s">
        <v>23490</v>
      </c>
      <c r="D20567" s="1" t="str">
        <f>HYPERLINK("https://rhld.insurance.arkansas.gov/NPILookup?Npi=1629247564","1629247564")</f>
        <v>1629247564</v>
      </c>
      <c r="E20567" t="s">
        <v>5325</v>
      </c>
    </row>
    <row r="20568" spans="1:5" x14ac:dyDescent="0.25">
      <c r="A20568" t="s">
        <v>4</v>
      </c>
      <c r="B20568" t="s">
        <v>4111</v>
      </c>
      <c r="C20568" s="1" t="s">
        <v>8427</v>
      </c>
      <c r="D20568" s="1" t="str">
        <f>HYPERLINK("https://rhld.insurance.arkansas.gov/NPILookup?Npi=1629249131","1629249131")</f>
        <v>1629249131</v>
      </c>
      <c r="E20568" t="s">
        <v>23152</v>
      </c>
    </row>
    <row r="20569" spans="1:5" x14ac:dyDescent="0.25">
      <c r="A20569" t="s">
        <v>4</v>
      </c>
      <c r="B20569" t="s">
        <v>4111</v>
      </c>
      <c r="C20569" s="1" t="s">
        <v>23490</v>
      </c>
      <c r="D20569" s="1" t="str">
        <f>HYPERLINK("https://rhld.insurance.arkansas.gov/NPILookup?Npi=1629253646","1629253646")</f>
        <v>1629253646</v>
      </c>
      <c r="E20569" t="s">
        <v>14141</v>
      </c>
    </row>
    <row r="20570" spans="1:5" x14ac:dyDescent="0.25">
      <c r="A20570" t="s">
        <v>4</v>
      </c>
      <c r="B20570" t="s">
        <v>4111</v>
      </c>
      <c r="C20570" s="1" t="s">
        <v>23490</v>
      </c>
      <c r="D20570" s="1" t="str">
        <f>HYPERLINK("https://rhld.insurance.arkansas.gov/NPILookup?Npi=1629255120","1629255120")</f>
        <v>1629255120</v>
      </c>
      <c r="E20570" t="s">
        <v>5326</v>
      </c>
    </row>
    <row r="20571" spans="1:5" x14ac:dyDescent="0.25">
      <c r="A20571" t="s">
        <v>4</v>
      </c>
      <c r="B20571" t="s">
        <v>4111</v>
      </c>
      <c r="C20571" s="1" t="s">
        <v>23490</v>
      </c>
      <c r="D20571" s="1" t="str">
        <f>HYPERLINK("https://rhld.insurance.arkansas.gov/NPILookup?Npi=1629255476","1629255476")</f>
        <v>1629255476</v>
      </c>
      <c r="E20571" t="s">
        <v>5327</v>
      </c>
    </row>
    <row r="20572" spans="1:5" x14ac:dyDescent="0.25">
      <c r="A20572" t="s">
        <v>4</v>
      </c>
      <c r="B20572" t="s">
        <v>4111</v>
      </c>
      <c r="C20572" s="1" t="s">
        <v>23490</v>
      </c>
      <c r="D20572" s="1" t="str">
        <f>HYPERLINK("https://rhld.insurance.arkansas.gov/NPILookup?Npi=1629264742","1629264742")</f>
        <v>1629264742</v>
      </c>
      <c r="E20572" t="s">
        <v>11766</v>
      </c>
    </row>
    <row r="20573" spans="1:5" x14ac:dyDescent="0.25">
      <c r="A20573" t="s">
        <v>4</v>
      </c>
      <c r="B20573" t="s">
        <v>4111</v>
      </c>
      <c r="C20573" s="1" t="s">
        <v>23490</v>
      </c>
      <c r="D20573" s="1" t="str">
        <f>HYPERLINK("https://rhld.insurance.arkansas.gov/NPILookup?Npi=1629306279","1629306279")</f>
        <v>1629306279</v>
      </c>
      <c r="E20573" t="s">
        <v>5328</v>
      </c>
    </row>
    <row r="20574" spans="1:5" x14ac:dyDescent="0.25">
      <c r="A20574" t="s">
        <v>4</v>
      </c>
      <c r="B20574" t="s">
        <v>4111</v>
      </c>
      <c r="C20574" s="1" t="s">
        <v>23490</v>
      </c>
      <c r="D20574" s="1" t="str">
        <f>HYPERLINK("https://rhld.insurance.arkansas.gov/NPILookup?Npi=1629309232","1629309232")</f>
        <v>1629309232</v>
      </c>
      <c r="E20574" t="s">
        <v>5329</v>
      </c>
    </row>
    <row r="20575" spans="1:5" x14ac:dyDescent="0.25">
      <c r="A20575" t="s">
        <v>4</v>
      </c>
      <c r="B20575" t="s">
        <v>4111</v>
      </c>
      <c r="C20575" s="1" t="s">
        <v>23490</v>
      </c>
      <c r="D20575" s="1" t="str">
        <f>HYPERLINK("https://rhld.insurance.arkansas.gov/NPILookup?Npi=1629310925","1629310925")</f>
        <v>1629310925</v>
      </c>
      <c r="E20575" t="s">
        <v>5330</v>
      </c>
    </row>
    <row r="20576" spans="1:5" x14ac:dyDescent="0.25">
      <c r="A20576" t="s">
        <v>4</v>
      </c>
      <c r="B20576" t="s">
        <v>4111</v>
      </c>
      <c r="C20576" s="1" t="s">
        <v>23490</v>
      </c>
      <c r="D20576" s="1" t="str">
        <f>HYPERLINK("https://rhld.insurance.arkansas.gov/NPILookup?Npi=1629314117","1629314117")</f>
        <v>1629314117</v>
      </c>
      <c r="E20576" t="s">
        <v>16174</v>
      </c>
    </row>
    <row r="20577" spans="1:5" x14ac:dyDescent="0.25">
      <c r="A20577" t="s">
        <v>4</v>
      </c>
      <c r="B20577" t="s">
        <v>4111</v>
      </c>
      <c r="C20577" s="1" t="s">
        <v>23490</v>
      </c>
      <c r="D20577" s="1" t="str">
        <f>HYPERLINK("https://rhld.insurance.arkansas.gov/NPILookup?Npi=1629320122","1629320122")</f>
        <v>1629320122</v>
      </c>
      <c r="E20577" t="s">
        <v>17616</v>
      </c>
    </row>
    <row r="20578" spans="1:5" x14ac:dyDescent="0.25">
      <c r="A20578" t="s">
        <v>4</v>
      </c>
      <c r="B20578" t="s">
        <v>4111</v>
      </c>
      <c r="C20578" s="1" t="s">
        <v>23490</v>
      </c>
      <c r="D20578" s="1" t="str">
        <f>HYPERLINK("https://rhld.insurance.arkansas.gov/NPILookup?Npi=1629321815","1629321815")</f>
        <v>1629321815</v>
      </c>
      <c r="E20578" t="s">
        <v>5331</v>
      </c>
    </row>
    <row r="20579" spans="1:5" x14ac:dyDescent="0.25">
      <c r="A20579" t="s">
        <v>4</v>
      </c>
      <c r="B20579" t="s">
        <v>4111</v>
      </c>
      <c r="C20579" s="1" t="s">
        <v>23490</v>
      </c>
      <c r="D20579" s="1" t="str">
        <f>HYPERLINK("https://rhld.insurance.arkansas.gov/NPILookup?Npi=1629328463","1629328463")</f>
        <v>1629328463</v>
      </c>
      <c r="E20579" t="s">
        <v>16175</v>
      </c>
    </row>
    <row r="20580" spans="1:5" x14ac:dyDescent="0.25">
      <c r="A20580" t="s">
        <v>4</v>
      </c>
      <c r="B20580" t="s">
        <v>4111</v>
      </c>
      <c r="C20580" s="1" t="s">
        <v>23490</v>
      </c>
      <c r="D20580" s="1" t="str">
        <f>HYPERLINK("https://rhld.insurance.arkansas.gov/NPILookup?Npi=1629335393","1629335393")</f>
        <v>1629335393</v>
      </c>
      <c r="E20580" t="s">
        <v>5332</v>
      </c>
    </row>
    <row r="20581" spans="1:5" x14ac:dyDescent="0.25">
      <c r="A20581" t="s">
        <v>4</v>
      </c>
      <c r="B20581" t="s">
        <v>4111</v>
      </c>
      <c r="C20581" s="1" t="s">
        <v>23490</v>
      </c>
      <c r="D20581" s="1" t="str">
        <f>HYPERLINK("https://rhld.insurance.arkansas.gov/NPILookup?Npi=1629348982","1629348982")</f>
        <v>1629348982</v>
      </c>
      <c r="E20581" t="s">
        <v>22188</v>
      </c>
    </row>
    <row r="20582" spans="1:5" x14ac:dyDescent="0.25">
      <c r="A20582" t="s">
        <v>4</v>
      </c>
      <c r="B20582" t="s">
        <v>4111</v>
      </c>
      <c r="C20582" s="1" t="s">
        <v>23490</v>
      </c>
      <c r="D20582" s="1" t="str">
        <f>HYPERLINK("https://rhld.insurance.arkansas.gov/NPILookup?Npi=1629351242","1629351242")</f>
        <v>1629351242</v>
      </c>
      <c r="E20582" t="s">
        <v>22189</v>
      </c>
    </row>
    <row r="20583" spans="1:5" x14ac:dyDescent="0.25">
      <c r="A20583" t="s">
        <v>4</v>
      </c>
      <c r="B20583" t="s">
        <v>4111</v>
      </c>
      <c r="C20583" s="1" t="s">
        <v>23490</v>
      </c>
      <c r="D20583" s="1" t="str">
        <f>HYPERLINK("https://rhld.insurance.arkansas.gov/NPILookup?Npi=1629355235","1629355235")</f>
        <v>1629355235</v>
      </c>
      <c r="E20583" t="s">
        <v>13170</v>
      </c>
    </row>
    <row r="20584" spans="1:5" x14ac:dyDescent="0.25">
      <c r="A20584" t="s">
        <v>4</v>
      </c>
      <c r="B20584" t="s">
        <v>4111</v>
      </c>
      <c r="C20584" s="1" t="s">
        <v>23490</v>
      </c>
      <c r="D20584" s="1" t="str">
        <f>HYPERLINK("https://rhld.insurance.arkansas.gov/NPILookup?Npi=1629376173","1629376173")</f>
        <v>1629376173</v>
      </c>
      <c r="E20584" t="s">
        <v>17204</v>
      </c>
    </row>
    <row r="20585" spans="1:5" x14ac:dyDescent="0.25">
      <c r="A20585" t="s">
        <v>4</v>
      </c>
      <c r="B20585" t="s">
        <v>4111</v>
      </c>
      <c r="C20585" s="1" t="s">
        <v>23490</v>
      </c>
      <c r="D20585" s="1" t="str">
        <f>HYPERLINK("https://rhld.insurance.arkansas.gov/NPILookup?Npi=1629384102","1629384102")</f>
        <v>1629384102</v>
      </c>
      <c r="E20585" t="s">
        <v>5333</v>
      </c>
    </row>
    <row r="20586" spans="1:5" x14ac:dyDescent="0.25">
      <c r="A20586" t="s">
        <v>4</v>
      </c>
      <c r="B20586" t="s">
        <v>4111</v>
      </c>
      <c r="C20586" s="1" t="s">
        <v>23490</v>
      </c>
      <c r="D20586" s="1" t="str">
        <f>HYPERLINK("https://rhld.insurance.arkansas.gov/NPILookup?Npi=1629390208","1629390208")</f>
        <v>1629390208</v>
      </c>
      <c r="E20586" t="s">
        <v>13171</v>
      </c>
    </row>
    <row r="20587" spans="1:5" x14ac:dyDescent="0.25">
      <c r="A20587" t="s">
        <v>4</v>
      </c>
      <c r="B20587" t="s">
        <v>4111</v>
      </c>
      <c r="C20587" s="1" t="s">
        <v>23490</v>
      </c>
      <c r="D20587" s="1" t="str">
        <f>HYPERLINK("https://rhld.insurance.arkansas.gov/NPILookup?Npi=1629397542","1629397542")</f>
        <v>1629397542</v>
      </c>
      <c r="E20587" t="s">
        <v>13172</v>
      </c>
    </row>
    <row r="20588" spans="1:5" x14ac:dyDescent="0.25">
      <c r="A20588" t="s">
        <v>4</v>
      </c>
      <c r="B20588" t="s">
        <v>4111</v>
      </c>
      <c r="C20588" s="1" t="s">
        <v>23490</v>
      </c>
      <c r="D20588" s="1" t="str">
        <f>HYPERLINK("https://rhld.insurance.arkansas.gov/NPILookup?Npi=1629399605","1629399605")</f>
        <v>1629399605</v>
      </c>
      <c r="E20588" t="s">
        <v>11767</v>
      </c>
    </row>
    <row r="20589" spans="1:5" x14ac:dyDescent="0.25">
      <c r="A20589" t="s">
        <v>4</v>
      </c>
      <c r="B20589" t="s">
        <v>4111</v>
      </c>
      <c r="C20589" s="1" t="s">
        <v>23490</v>
      </c>
      <c r="D20589" s="1" t="str">
        <f>HYPERLINK("https://rhld.insurance.arkansas.gov/NPILookup?Npi=1629424296","1629424296")</f>
        <v>1629424296</v>
      </c>
      <c r="E20589" t="s">
        <v>14142</v>
      </c>
    </row>
    <row r="20590" spans="1:5" x14ac:dyDescent="0.25">
      <c r="A20590" t="s">
        <v>4</v>
      </c>
      <c r="B20590" t="s">
        <v>4111</v>
      </c>
      <c r="C20590" s="1" t="s">
        <v>23490</v>
      </c>
      <c r="D20590" s="1" t="str">
        <f>HYPERLINK("https://rhld.insurance.arkansas.gov/NPILookup?Npi=1629426267","1629426267")</f>
        <v>1629426267</v>
      </c>
      <c r="E20590" t="s">
        <v>14143</v>
      </c>
    </row>
    <row r="20591" spans="1:5" x14ac:dyDescent="0.25">
      <c r="A20591" t="s">
        <v>4</v>
      </c>
      <c r="B20591" t="s">
        <v>4111</v>
      </c>
      <c r="C20591" s="1" t="s">
        <v>23490</v>
      </c>
      <c r="D20591" s="1" t="str">
        <f>HYPERLINK("https://rhld.insurance.arkansas.gov/NPILookup?Npi=1629426770","1629426770")</f>
        <v>1629426770</v>
      </c>
      <c r="E20591" t="s">
        <v>11768</v>
      </c>
    </row>
    <row r="20592" spans="1:5" x14ac:dyDescent="0.25">
      <c r="A20592" t="s">
        <v>4</v>
      </c>
      <c r="B20592" t="s">
        <v>4111</v>
      </c>
      <c r="C20592" s="1" t="s">
        <v>23490</v>
      </c>
      <c r="D20592" s="1" t="str">
        <f>HYPERLINK("https://rhld.insurance.arkansas.gov/NPILookup?Npi=1629463385","1629463385")</f>
        <v>1629463385</v>
      </c>
      <c r="E20592" t="s">
        <v>17617</v>
      </c>
    </row>
    <row r="20593" spans="1:5" x14ac:dyDescent="0.25">
      <c r="A20593" t="s">
        <v>4</v>
      </c>
      <c r="B20593" t="s">
        <v>4111</v>
      </c>
      <c r="C20593" s="1" t="s">
        <v>23490</v>
      </c>
      <c r="D20593" s="1" t="str">
        <f>HYPERLINK("https://rhld.insurance.arkansas.gov/NPILookup?Npi=1629471800","1629471800")</f>
        <v>1629471800</v>
      </c>
      <c r="E20593" t="s">
        <v>13173</v>
      </c>
    </row>
    <row r="20594" spans="1:5" x14ac:dyDescent="0.25">
      <c r="A20594" t="s">
        <v>4</v>
      </c>
      <c r="B20594" t="s">
        <v>4111</v>
      </c>
      <c r="C20594" s="1" t="s">
        <v>23490</v>
      </c>
      <c r="D20594" s="1" t="str">
        <f>HYPERLINK("https://rhld.insurance.arkansas.gov/NPILookup?Npi=1629478946","1629478946")</f>
        <v>1629478946</v>
      </c>
      <c r="E20594" t="s">
        <v>14144</v>
      </c>
    </row>
    <row r="20595" spans="1:5" x14ac:dyDescent="0.25">
      <c r="A20595" t="s">
        <v>4</v>
      </c>
      <c r="B20595" t="s">
        <v>4111</v>
      </c>
      <c r="C20595" s="1" t="s">
        <v>23490</v>
      </c>
      <c r="D20595" s="1" t="str">
        <f>HYPERLINK("https://rhld.insurance.arkansas.gov/NPILookup?Npi=1629479605","1629479605")</f>
        <v>1629479605</v>
      </c>
      <c r="E20595" t="s">
        <v>14145</v>
      </c>
    </row>
    <row r="20596" spans="1:5" x14ac:dyDescent="0.25">
      <c r="A20596" t="s">
        <v>4</v>
      </c>
      <c r="B20596" t="s">
        <v>4111</v>
      </c>
      <c r="C20596" s="1" t="s">
        <v>23490</v>
      </c>
      <c r="D20596" s="1" t="str">
        <f>HYPERLINK("https://rhld.insurance.arkansas.gov/NPILookup?Npi=1629484571","1629484571")</f>
        <v>1629484571</v>
      </c>
      <c r="E20596" t="s">
        <v>16176</v>
      </c>
    </row>
    <row r="20597" spans="1:5" x14ac:dyDescent="0.25">
      <c r="A20597" t="s">
        <v>4</v>
      </c>
      <c r="B20597" t="s">
        <v>4111</v>
      </c>
      <c r="C20597" s="1" t="s">
        <v>23490</v>
      </c>
      <c r="D20597" s="1" t="str">
        <f>HYPERLINK("https://rhld.insurance.arkansas.gov/NPILookup?Npi=1629489786","1629489786")</f>
        <v>1629489786</v>
      </c>
      <c r="E20597" t="s">
        <v>21148</v>
      </c>
    </row>
    <row r="20598" spans="1:5" x14ac:dyDescent="0.25">
      <c r="A20598" t="s">
        <v>4</v>
      </c>
      <c r="B20598" t="s">
        <v>4111</v>
      </c>
      <c r="C20598" s="1" t="s">
        <v>23490</v>
      </c>
      <c r="D20598" s="1" t="str">
        <f>HYPERLINK("https://rhld.insurance.arkansas.gov/NPILookup?Npi=1629504063","1629504063")</f>
        <v>1629504063</v>
      </c>
      <c r="E20598" t="s">
        <v>22190</v>
      </c>
    </row>
    <row r="20599" spans="1:5" x14ac:dyDescent="0.25">
      <c r="A20599" t="s">
        <v>4</v>
      </c>
      <c r="B20599" t="s">
        <v>4111</v>
      </c>
      <c r="C20599" s="1" t="s">
        <v>23490</v>
      </c>
      <c r="D20599" s="1" t="str">
        <f>HYPERLINK("https://rhld.insurance.arkansas.gov/NPILookup?Npi=1629512496","1629512496")</f>
        <v>1629512496</v>
      </c>
      <c r="E20599" t="s">
        <v>11708</v>
      </c>
    </row>
    <row r="20600" spans="1:5" x14ac:dyDescent="0.25">
      <c r="A20600" t="s">
        <v>4</v>
      </c>
      <c r="B20600" t="s">
        <v>4111</v>
      </c>
      <c r="C20600" s="1" t="s">
        <v>23490</v>
      </c>
      <c r="D20600" s="1" t="str">
        <f>HYPERLINK("https://rhld.insurance.arkansas.gov/NPILookup?Npi=1629526454","1629526454")</f>
        <v>1629526454</v>
      </c>
      <c r="E20600" t="s">
        <v>11769</v>
      </c>
    </row>
    <row r="20601" spans="1:5" x14ac:dyDescent="0.25">
      <c r="A20601" t="s">
        <v>4</v>
      </c>
      <c r="B20601" t="s">
        <v>4111</v>
      </c>
      <c r="C20601" s="1" t="s">
        <v>23490</v>
      </c>
      <c r="D20601" s="1" t="str">
        <f>HYPERLINK("https://rhld.insurance.arkansas.gov/NPILookup?Npi=1629547724","1629547724")</f>
        <v>1629547724</v>
      </c>
      <c r="E20601" t="s">
        <v>18998</v>
      </c>
    </row>
    <row r="20602" spans="1:5" x14ac:dyDescent="0.25">
      <c r="A20602" t="s">
        <v>4</v>
      </c>
      <c r="B20602" t="s">
        <v>4111</v>
      </c>
      <c r="C20602" s="1" t="s">
        <v>23490</v>
      </c>
      <c r="D20602" s="1" t="str">
        <f>HYPERLINK("https://rhld.insurance.arkansas.gov/NPILookup?Npi=1629548458","1629548458")</f>
        <v>1629548458</v>
      </c>
      <c r="E20602" t="s">
        <v>21149</v>
      </c>
    </row>
    <row r="20603" spans="1:5" x14ac:dyDescent="0.25">
      <c r="A20603" t="s">
        <v>4</v>
      </c>
      <c r="B20603" t="s">
        <v>4111</v>
      </c>
      <c r="C20603" s="1" t="s">
        <v>23490</v>
      </c>
      <c r="D20603" s="1" t="str">
        <f>HYPERLINK("https://rhld.insurance.arkansas.gov/NPILookup?Npi=1629600242","1629600242")</f>
        <v>1629600242</v>
      </c>
      <c r="E20603" t="s">
        <v>20538</v>
      </c>
    </row>
    <row r="20604" spans="1:5" x14ac:dyDescent="0.25">
      <c r="A20604" t="s">
        <v>4</v>
      </c>
      <c r="B20604" t="s">
        <v>4111</v>
      </c>
      <c r="C20604" s="1" t="s">
        <v>23490</v>
      </c>
      <c r="D20604" s="1" t="str">
        <f>HYPERLINK("https://rhld.insurance.arkansas.gov/NPILookup?Npi=1629604129","1629604129")</f>
        <v>1629604129</v>
      </c>
      <c r="E20604" t="s">
        <v>19891</v>
      </c>
    </row>
    <row r="20605" spans="1:5" x14ac:dyDescent="0.25">
      <c r="A20605" t="s">
        <v>4</v>
      </c>
      <c r="B20605" t="s">
        <v>4111</v>
      </c>
      <c r="C20605" s="1" t="s">
        <v>8427</v>
      </c>
      <c r="D20605" s="1" t="str">
        <f>HYPERLINK("https://rhld.insurance.arkansas.gov/NPILookup?Npi=1629605357","1629605357")</f>
        <v>1629605357</v>
      </c>
      <c r="E20605" t="s">
        <v>23153</v>
      </c>
    </row>
    <row r="20606" spans="1:5" x14ac:dyDescent="0.25">
      <c r="A20606" t="s">
        <v>4</v>
      </c>
      <c r="B20606" t="s">
        <v>4111</v>
      </c>
      <c r="C20606" s="1" t="s">
        <v>23490</v>
      </c>
      <c r="D20606" s="1" t="str">
        <f>HYPERLINK("https://rhld.insurance.arkansas.gov/NPILookup?Npi=1629614474","1629614474")</f>
        <v>1629614474</v>
      </c>
      <c r="E20606" t="s">
        <v>17205</v>
      </c>
    </row>
    <row r="20607" spans="1:5" x14ac:dyDescent="0.25">
      <c r="A20607" t="s">
        <v>4</v>
      </c>
      <c r="B20607" t="s">
        <v>4111</v>
      </c>
      <c r="C20607" s="1" t="s">
        <v>23490</v>
      </c>
      <c r="D20607" s="1" t="str">
        <f>HYPERLINK("https://rhld.insurance.arkansas.gov/NPILookup?Npi=1629682653","1629682653")</f>
        <v>1629682653</v>
      </c>
      <c r="E20607" t="s">
        <v>17618</v>
      </c>
    </row>
    <row r="20608" spans="1:5" x14ac:dyDescent="0.25">
      <c r="A20608" t="s">
        <v>4</v>
      </c>
      <c r="B20608" t="s">
        <v>4111</v>
      </c>
      <c r="C20608" s="1" t="s">
        <v>23490</v>
      </c>
      <c r="D20608" s="1" t="str">
        <f>HYPERLINK("https://rhld.insurance.arkansas.gov/NPILookup?Npi=1629784251","1629784251")</f>
        <v>1629784251</v>
      </c>
      <c r="E20608" t="s">
        <v>22191</v>
      </c>
    </row>
    <row r="20609" spans="1:5" x14ac:dyDescent="0.25">
      <c r="A20609" t="s">
        <v>4</v>
      </c>
      <c r="B20609" t="s">
        <v>4111</v>
      </c>
      <c r="C20609" s="1" t="s">
        <v>23490</v>
      </c>
      <c r="D20609" s="1" t="str">
        <f>HYPERLINK("https://rhld.insurance.arkansas.gov/NPILookup?Npi=1629788013","1629788013")</f>
        <v>1629788013</v>
      </c>
      <c r="E20609" t="s">
        <v>22192</v>
      </c>
    </row>
    <row r="20610" spans="1:5" x14ac:dyDescent="0.25">
      <c r="A20610" t="s">
        <v>4</v>
      </c>
      <c r="B20610" t="s">
        <v>4111</v>
      </c>
      <c r="C20610" s="1" t="s">
        <v>23490</v>
      </c>
      <c r="D20610" s="1" t="str">
        <f>HYPERLINK("https://rhld.insurance.arkansas.gov/NPILookup?Npi=1639102759","1639102759")</f>
        <v>1639102759</v>
      </c>
      <c r="E20610" t="s">
        <v>5334</v>
      </c>
    </row>
    <row r="20611" spans="1:5" x14ac:dyDescent="0.25">
      <c r="A20611" t="s">
        <v>4</v>
      </c>
      <c r="B20611" t="s">
        <v>4111</v>
      </c>
      <c r="C20611" s="1" t="s">
        <v>23490</v>
      </c>
      <c r="D20611" s="1" t="str">
        <f>HYPERLINK("https://rhld.insurance.arkansas.gov/NPILookup?Npi=1639104920","1639104920")</f>
        <v>1639104920</v>
      </c>
      <c r="E20611" t="s">
        <v>14146</v>
      </c>
    </row>
    <row r="20612" spans="1:5" x14ac:dyDescent="0.25">
      <c r="A20612" t="s">
        <v>4</v>
      </c>
      <c r="B20612" t="s">
        <v>4111</v>
      </c>
      <c r="C20612" s="1" t="s">
        <v>23490</v>
      </c>
      <c r="D20612" s="1" t="str">
        <f>HYPERLINK("https://rhld.insurance.arkansas.gov/NPILookup?Npi=1639108921","1639108921")</f>
        <v>1639108921</v>
      </c>
      <c r="E20612" t="s">
        <v>5335</v>
      </c>
    </row>
    <row r="20613" spans="1:5" x14ac:dyDescent="0.25">
      <c r="A20613" t="s">
        <v>4</v>
      </c>
      <c r="B20613" t="s">
        <v>4111</v>
      </c>
      <c r="C20613" s="1" t="s">
        <v>23490</v>
      </c>
      <c r="D20613" s="1" t="str">
        <f>HYPERLINK("https://rhld.insurance.arkansas.gov/NPILookup?Npi=1639115348","1639115348")</f>
        <v>1639115348</v>
      </c>
      <c r="E20613" t="s">
        <v>5336</v>
      </c>
    </row>
    <row r="20614" spans="1:5" x14ac:dyDescent="0.25">
      <c r="A20614" t="s">
        <v>4</v>
      </c>
      <c r="B20614" t="s">
        <v>4111</v>
      </c>
      <c r="C20614" s="1" t="s">
        <v>23490</v>
      </c>
      <c r="D20614" s="1" t="str">
        <f>HYPERLINK("https://rhld.insurance.arkansas.gov/NPILookup?Npi=1639137458","1639137458")</f>
        <v>1639137458</v>
      </c>
      <c r="E20614" t="s">
        <v>5337</v>
      </c>
    </row>
    <row r="20615" spans="1:5" x14ac:dyDescent="0.25">
      <c r="A20615" t="s">
        <v>4</v>
      </c>
      <c r="B20615" t="s">
        <v>4111</v>
      </c>
      <c r="C20615" s="1" t="s">
        <v>23490</v>
      </c>
      <c r="D20615" s="1" t="str">
        <f>HYPERLINK("https://rhld.insurance.arkansas.gov/NPILookup?Npi=1639177025","1639177025")</f>
        <v>1639177025</v>
      </c>
      <c r="E20615" t="s">
        <v>5338</v>
      </c>
    </row>
    <row r="20616" spans="1:5" x14ac:dyDescent="0.25">
      <c r="A20616" t="s">
        <v>4</v>
      </c>
      <c r="B20616" t="s">
        <v>4111</v>
      </c>
      <c r="C20616" s="1" t="s">
        <v>23490</v>
      </c>
      <c r="D20616" s="1" t="str">
        <f>HYPERLINK("https://rhld.insurance.arkansas.gov/NPILookup?Npi=1639182942","1639182942")</f>
        <v>1639182942</v>
      </c>
      <c r="E20616" t="s">
        <v>9133</v>
      </c>
    </row>
    <row r="20617" spans="1:5" x14ac:dyDescent="0.25">
      <c r="A20617" t="s">
        <v>4</v>
      </c>
      <c r="B20617" t="s">
        <v>4111</v>
      </c>
      <c r="C20617" s="1" t="s">
        <v>23490</v>
      </c>
      <c r="D20617" s="1" t="str">
        <f>HYPERLINK("https://rhld.insurance.arkansas.gov/NPILookup?Npi=1639185671","1639185671")</f>
        <v>1639185671</v>
      </c>
      <c r="E20617" t="s">
        <v>14147</v>
      </c>
    </row>
    <row r="20618" spans="1:5" x14ac:dyDescent="0.25">
      <c r="A20618" t="s">
        <v>4</v>
      </c>
      <c r="B20618" t="s">
        <v>4111</v>
      </c>
      <c r="C20618" s="1" t="s">
        <v>23490</v>
      </c>
      <c r="D20618" s="1" t="str">
        <f>HYPERLINK("https://rhld.insurance.arkansas.gov/NPILookup?Npi=1639194111","1639194111")</f>
        <v>1639194111</v>
      </c>
      <c r="E20618" t="s">
        <v>16177</v>
      </c>
    </row>
    <row r="20619" spans="1:5" x14ac:dyDescent="0.25">
      <c r="A20619" t="s">
        <v>4</v>
      </c>
      <c r="B20619" t="s">
        <v>4111</v>
      </c>
      <c r="C20619" s="1" t="s">
        <v>23490</v>
      </c>
      <c r="D20619" s="1" t="str">
        <f>HYPERLINK("https://rhld.insurance.arkansas.gov/NPILookup?Npi=1639197973","1639197973")</f>
        <v>1639197973</v>
      </c>
      <c r="E20619" t="s">
        <v>5339</v>
      </c>
    </row>
    <row r="20620" spans="1:5" x14ac:dyDescent="0.25">
      <c r="A20620" t="s">
        <v>4</v>
      </c>
      <c r="B20620" t="s">
        <v>4111</v>
      </c>
      <c r="C20620" s="1" t="s">
        <v>23490</v>
      </c>
      <c r="D20620" s="1" t="str">
        <f>HYPERLINK("https://rhld.insurance.arkansas.gov/NPILookup?Npi=1639198229","1639198229")</f>
        <v>1639198229</v>
      </c>
      <c r="E20620" t="s">
        <v>5340</v>
      </c>
    </row>
    <row r="20621" spans="1:5" x14ac:dyDescent="0.25">
      <c r="A20621" t="s">
        <v>4</v>
      </c>
      <c r="B20621" t="s">
        <v>4111</v>
      </c>
      <c r="C20621" s="1" t="s">
        <v>23490</v>
      </c>
      <c r="D20621" s="1" t="str">
        <f>HYPERLINK("https://rhld.insurance.arkansas.gov/NPILookup?Npi=1639206014","1639206014")</f>
        <v>1639206014</v>
      </c>
      <c r="E20621" t="s">
        <v>11770</v>
      </c>
    </row>
    <row r="20622" spans="1:5" x14ac:dyDescent="0.25">
      <c r="A20622" t="s">
        <v>4</v>
      </c>
      <c r="B20622" t="s">
        <v>4111</v>
      </c>
      <c r="C20622" s="1" t="s">
        <v>23490</v>
      </c>
      <c r="D20622" s="1" t="str">
        <f>HYPERLINK("https://rhld.insurance.arkansas.gov/NPILookup?Npi=1639237712","1639237712")</f>
        <v>1639237712</v>
      </c>
      <c r="E20622" t="s">
        <v>5341</v>
      </c>
    </row>
    <row r="20623" spans="1:5" x14ac:dyDescent="0.25">
      <c r="A20623" t="s">
        <v>4</v>
      </c>
      <c r="B20623" t="s">
        <v>4111</v>
      </c>
      <c r="C20623" s="1" t="s">
        <v>23490</v>
      </c>
      <c r="D20623" s="1" t="str">
        <f>HYPERLINK("https://rhld.insurance.arkansas.gov/NPILookup?Npi=1639244395","1639244395")</f>
        <v>1639244395</v>
      </c>
      <c r="E20623" t="s">
        <v>5342</v>
      </c>
    </row>
    <row r="20624" spans="1:5" x14ac:dyDescent="0.25">
      <c r="A20624" t="s">
        <v>4</v>
      </c>
      <c r="B20624" t="s">
        <v>4111</v>
      </c>
      <c r="C20624" s="1" t="s">
        <v>23490</v>
      </c>
      <c r="D20624" s="1" t="str">
        <f>HYPERLINK("https://rhld.insurance.arkansas.gov/NPILookup?Npi=1639268733","1639268733")</f>
        <v>1639268733</v>
      </c>
      <c r="E20624" t="s">
        <v>20539</v>
      </c>
    </row>
    <row r="20625" spans="1:5" x14ac:dyDescent="0.25">
      <c r="A20625" t="s">
        <v>4</v>
      </c>
      <c r="B20625" t="s">
        <v>4111</v>
      </c>
      <c r="C20625" s="1" t="s">
        <v>23490</v>
      </c>
      <c r="D20625" s="1" t="str">
        <f>HYPERLINK("https://rhld.insurance.arkansas.gov/NPILookup?Npi=1639269202","1639269202")</f>
        <v>1639269202</v>
      </c>
      <c r="E20625" t="s">
        <v>5343</v>
      </c>
    </row>
    <row r="20626" spans="1:5" x14ac:dyDescent="0.25">
      <c r="A20626" t="s">
        <v>4</v>
      </c>
      <c r="B20626" t="s">
        <v>4111</v>
      </c>
      <c r="C20626" s="1" t="s">
        <v>23490</v>
      </c>
      <c r="D20626" s="1" t="str">
        <f>HYPERLINK("https://rhld.insurance.arkansas.gov/NPILookup?Npi=1639274749","1639274749")</f>
        <v>1639274749</v>
      </c>
      <c r="E20626" t="s">
        <v>23154</v>
      </c>
    </row>
    <row r="20627" spans="1:5" x14ac:dyDescent="0.25">
      <c r="A20627" t="s">
        <v>4</v>
      </c>
      <c r="B20627" t="s">
        <v>4111</v>
      </c>
      <c r="C20627" s="1" t="s">
        <v>23490</v>
      </c>
      <c r="D20627" s="1" t="str">
        <f>HYPERLINK("https://rhld.insurance.arkansas.gov/NPILookup?Npi=1639280092","1639280092")</f>
        <v>1639280092</v>
      </c>
      <c r="E20627" t="s">
        <v>5344</v>
      </c>
    </row>
    <row r="20628" spans="1:5" x14ac:dyDescent="0.25">
      <c r="A20628" t="s">
        <v>4</v>
      </c>
      <c r="B20628" t="s">
        <v>4111</v>
      </c>
      <c r="C20628" s="1" t="s">
        <v>23490</v>
      </c>
      <c r="D20628" s="1" t="str">
        <f>HYPERLINK("https://rhld.insurance.arkansas.gov/NPILookup?Npi=1639280688","1639280688")</f>
        <v>1639280688</v>
      </c>
      <c r="E20628" t="s">
        <v>64</v>
      </c>
    </row>
    <row r="20629" spans="1:5" x14ac:dyDescent="0.25">
      <c r="A20629" t="s">
        <v>4</v>
      </c>
      <c r="B20629" t="s">
        <v>4111</v>
      </c>
      <c r="C20629" s="1" t="s">
        <v>23490</v>
      </c>
      <c r="D20629" s="1" t="str">
        <f>HYPERLINK("https://rhld.insurance.arkansas.gov/NPILookup?Npi=1639295272","1639295272")</f>
        <v>1639295272</v>
      </c>
      <c r="E20629" t="s">
        <v>5345</v>
      </c>
    </row>
    <row r="20630" spans="1:5" x14ac:dyDescent="0.25">
      <c r="A20630" t="s">
        <v>4</v>
      </c>
      <c r="B20630" t="s">
        <v>4111</v>
      </c>
      <c r="C20630" s="1" t="s">
        <v>23490</v>
      </c>
      <c r="D20630" s="1" t="str">
        <f>HYPERLINK("https://rhld.insurance.arkansas.gov/NPILookup?Npi=1639300064","1639300064")</f>
        <v>1639300064</v>
      </c>
      <c r="E20630" t="s">
        <v>16178</v>
      </c>
    </row>
    <row r="20631" spans="1:5" x14ac:dyDescent="0.25">
      <c r="A20631" t="s">
        <v>4</v>
      </c>
      <c r="B20631" t="s">
        <v>4111</v>
      </c>
      <c r="C20631" s="1" t="s">
        <v>23490</v>
      </c>
      <c r="D20631" s="1" t="str">
        <f>HYPERLINK("https://rhld.insurance.arkansas.gov/NPILookup?Npi=1639300965","1639300965")</f>
        <v>1639300965</v>
      </c>
      <c r="E20631" t="s">
        <v>11771</v>
      </c>
    </row>
    <row r="20632" spans="1:5" x14ac:dyDescent="0.25">
      <c r="A20632" t="s">
        <v>4</v>
      </c>
      <c r="B20632" t="s">
        <v>4111</v>
      </c>
      <c r="C20632" s="1" t="s">
        <v>23490</v>
      </c>
      <c r="D20632" s="1" t="str">
        <f>HYPERLINK("https://rhld.insurance.arkansas.gov/NPILookup?Npi=1639303340","1639303340")</f>
        <v>1639303340</v>
      </c>
      <c r="E20632" t="s">
        <v>2242</v>
      </c>
    </row>
    <row r="20633" spans="1:5" x14ac:dyDescent="0.25">
      <c r="A20633" t="s">
        <v>4</v>
      </c>
      <c r="B20633" t="s">
        <v>4111</v>
      </c>
      <c r="C20633" s="1" t="s">
        <v>23490</v>
      </c>
      <c r="D20633" s="1" t="str">
        <f>HYPERLINK("https://rhld.insurance.arkansas.gov/NPILookup?Npi=1639321557","1639321557")</f>
        <v>1639321557</v>
      </c>
      <c r="E20633" t="s">
        <v>5346</v>
      </c>
    </row>
    <row r="20634" spans="1:5" x14ac:dyDescent="0.25">
      <c r="A20634" t="s">
        <v>4</v>
      </c>
      <c r="B20634" t="s">
        <v>4111</v>
      </c>
      <c r="C20634" s="1" t="s">
        <v>23490</v>
      </c>
      <c r="D20634" s="1" t="str">
        <f>HYPERLINK("https://rhld.insurance.arkansas.gov/NPILookup?Npi=1639323389","1639323389")</f>
        <v>1639323389</v>
      </c>
      <c r="E20634" t="s">
        <v>13174</v>
      </c>
    </row>
    <row r="20635" spans="1:5" x14ac:dyDescent="0.25">
      <c r="A20635" t="s">
        <v>4</v>
      </c>
      <c r="B20635" t="s">
        <v>4111</v>
      </c>
      <c r="C20635" s="1" t="s">
        <v>23490</v>
      </c>
      <c r="D20635" s="1" t="str">
        <f>HYPERLINK("https://rhld.insurance.arkansas.gov/NPILookup?Npi=1639326374","1639326374")</f>
        <v>1639326374</v>
      </c>
      <c r="E20635" t="s">
        <v>5347</v>
      </c>
    </row>
    <row r="20636" spans="1:5" x14ac:dyDescent="0.25">
      <c r="A20636" t="s">
        <v>4</v>
      </c>
      <c r="B20636" t="s">
        <v>4111</v>
      </c>
      <c r="C20636" s="1" t="s">
        <v>23490</v>
      </c>
      <c r="D20636" s="1" t="str">
        <f>HYPERLINK("https://rhld.insurance.arkansas.gov/NPILookup?Npi=1639335219","1639335219")</f>
        <v>1639335219</v>
      </c>
      <c r="E20636" t="s">
        <v>16179</v>
      </c>
    </row>
    <row r="20637" spans="1:5" x14ac:dyDescent="0.25">
      <c r="A20637" t="s">
        <v>4</v>
      </c>
      <c r="B20637" t="s">
        <v>4111</v>
      </c>
      <c r="C20637" s="1" t="s">
        <v>23490</v>
      </c>
      <c r="D20637" s="1" t="str">
        <f>HYPERLINK("https://rhld.insurance.arkansas.gov/NPILookup?Npi=1639339534","1639339534")</f>
        <v>1639339534</v>
      </c>
      <c r="E20637" t="s">
        <v>17206</v>
      </c>
    </row>
    <row r="20638" spans="1:5" x14ac:dyDescent="0.25">
      <c r="A20638" t="s">
        <v>4</v>
      </c>
      <c r="B20638" t="s">
        <v>4111</v>
      </c>
      <c r="C20638" s="1" t="s">
        <v>23490</v>
      </c>
      <c r="D20638" s="1" t="str">
        <f>HYPERLINK("https://rhld.insurance.arkansas.gov/NPILookup?Npi=1639346117","1639346117")</f>
        <v>1639346117</v>
      </c>
      <c r="E20638" t="s">
        <v>5348</v>
      </c>
    </row>
    <row r="20639" spans="1:5" x14ac:dyDescent="0.25">
      <c r="A20639" t="s">
        <v>4</v>
      </c>
      <c r="B20639" t="s">
        <v>4111</v>
      </c>
      <c r="C20639" s="1" t="s">
        <v>23490</v>
      </c>
      <c r="D20639" s="1" t="str">
        <f>HYPERLINK("https://rhld.insurance.arkansas.gov/NPILookup?Npi=1639346786","1639346786")</f>
        <v>1639346786</v>
      </c>
      <c r="E20639" t="s">
        <v>17207</v>
      </c>
    </row>
    <row r="20640" spans="1:5" x14ac:dyDescent="0.25">
      <c r="A20640" t="s">
        <v>4</v>
      </c>
      <c r="B20640" t="s">
        <v>4111</v>
      </c>
      <c r="C20640" s="1" t="s">
        <v>23490</v>
      </c>
      <c r="D20640" s="1" t="str">
        <f>HYPERLINK("https://rhld.insurance.arkansas.gov/NPILookup?Npi=1639357700","1639357700")</f>
        <v>1639357700</v>
      </c>
      <c r="E20640" t="s">
        <v>22193</v>
      </c>
    </row>
    <row r="20641" spans="1:5" x14ac:dyDescent="0.25">
      <c r="A20641" t="s">
        <v>4</v>
      </c>
      <c r="B20641" t="s">
        <v>4111</v>
      </c>
      <c r="C20641" s="1" t="s">
        <v>23490</v>
      </c>
      <c r="D20641" s="1" t="str">
        <f>HYPERLINK("https://rhld.insurance.arkansas.gov/NPILookup?Npi=1639361165","1639361165")</f>
        <v>1639361165</v>
      </c>
      <c r="E20641" t="s">
        <v>5349</v>
      </c>
    </row>
    <row r="20642" spans="1:5" x14ac:dyDescent="0.25">
      <c r="A20642" t="s">
        <v>4</v>
      </c>
      <c r="B20642" t="s">
        <v>4111</v>
      </c>
      <c r="C20642" s="1" t="s">
        <v>23490</v>
      </c>
      <c r="D20642" s="1" t="str">
        <f>HYPERLINK("https://rhld.insurance.arkansas.gov/NPILookup?Npi=1639373384","1639373384")</f>
        <v>1639373384</v>
      </c>
      <c r="E20642" t="s">
        <v>5350</v>
      </c>
    </row>
    <row r="20643" spans="1:5" x14ac:dyDescent="0.25">
      <c r="A20643" t="s">
        <v>4</v>
      </c>
      <c r="B20643" t="s">
        <v>4111</v>
      </c>
      <c r="C20643" s="1" t="s">
        <v>23490</v>
      </c>
      <c r="D20643" s="1" t="str">
        <f>HYPERLINK("https://rhld.insurance.arkansas.gov/NPILookup?Npi=1639391071","1639391071")</f>
        <v>1639391071</v>
      </c>
      <c r="E20643" t="s">
        <v>17208</v>
      </c>
    </row>
    <row r="20644" spans="1:5" x14ac:dyDescent="0.25">
      <c r="A20644" t="s">
        <v>4</v>
      </c>
      <c r="B20644" t="s">
        <v>4111</v>
      </c>
      <c r="C20644" s="1" t="s">
        <v>23490</v>
      </c>
      <c r="D20644" s="1" t="str">
        <f>HYPERLINK("https://rhld.insurance.arkansas.gov/NPILookup?Npi=1639400294","1639400294")</f>
        <v>1639400294</v>
      </c>
      <c r="E20644" t="s">
        <v>14148</v>
      </c>
    </row>
    <row r="20645" spans="1:5" x14ac:dyDescent="0.25">
      <c r="A20645" t="s">
        <v>4</v>
      </c>
      <c r="B20645" t="s">
        <v>4111</v>
      </c>
      <c r="C20645" s="1" t="s">
        <v>23490</v>
      </c>
      <c r="D20645" s="1" t="str">
        <f>HYPERLINK("https://rhld.insurance.arkansas.gov/NPILookup?Npi=1639407588","1639407588")</f>
        <v>1639407588</v>
      </c>
      <c r="E20645" t="s">
        <v>14149</v>
      </c>
    </row>
    <row r="20646" spans="1:5" x14ac:dyDescent="0.25">
      <c r="A20646" t="s">
        <v>4</v>
      </c>
      <c r="B20646" t="s">
        <v>4111</v>
      </c>
      <c r="C20646" s="1" t="s">
        <v>23490</v>
      </c>
      <c r="D20646" s="1" t="str">
        <f>HYPERLINK("https://rhld.insurance.arkansas.gov/NPILookup?Npi=1639409444","1639409444")</f>
        <v>1639409444</v>
      </c>
      <c r="E20646" t="s">
        <v>13175</v>
      </c>
    </row>
    <row r="20647" spans="1:5" x14ac:dyDescent="0.25">
      <c r="A20647" t="s">
        <v>4</v>
      </c>
      <c r="B20647" t="s">
        <v>4111</v>
      </c>
      <c r="C20647" s="1" t="s">
        <v>23490</v>
      </c>
      <c r="D20647" s="1" t="str">
        <f>HYPERLINK("https://rhld.insurance.arkansas.gov/NPILookup?Npi=1639411705","1639411705")</f>
        <v>1639411705</v>
      </c>
      <c r="E20647" t="s">
        <v>13176</v>
      </c>
    </row>
    <row r="20648" spans="1:5" x14ac:dyDescent="0.25">
      <c r="A20648" t="s">
        <v>4</v>
      </c>
      <c r="B20648" t="s">
        <v>4111</v>
      </c>
      <c r="C20648" s="1" t="s">
        <v>23490</v>
      </c>
      <c r="D20648" s="1" t="str">
        <f>HYPERLINK("https://rhld.insurance.arkansas.gov/NPILookup?Npi=1639426513","1639426513")</f>
        <v>1639426513</v>
      </c>
      <c r="E20648" t="s">
        <v>5351</v>
      </c>
    </row>
    <row r="20649" spans="1:5" x14ac:dyDescent="0.25">
      <c r="A20649" t="s">
        <v>4</v>
      </c>
      <c r="B20649" t="s">
        <v>4111</v>
      </c>
      <c r="C20649" s="1" t="s">
        <v>23490</v>
      </c>
      <c r="D20649" s="1" t="str">
        <f>HYPERLINK("https://rhld.insurance.arkansas.gov/NPILookup?Npi=1639427099","1639427099")</f>
        <v>1639427099</v>
      </c>
      <c r="E20649" t="s">
        <v>11772</v>
      </c>
    </row>
    <row r="20650" spans="1:5" x14ac:dyDescent="0.25">
      <c r="A20650" t="s">
        <v>4</v>
      </c>
      <c r="B20650" t="s">
        <v>4111</v>
      </c>
      <c r="C20650" s="1" t="s">
        <v>23490</v>
      </c>
      <c r="D20650" s="1" t="str">
        <f>HYPERLINK("https://rhld.insurance.arkansas.gov/NPILookup?Npi=1639435142","1639435142")</f>
        <v>1639435142</v>
      </c>
      <c r="E20650" t="s">
        <v>14150</v>
      </c>
    </row>
    <row r="20651" spans="1:5" x14ac:dyDescent="0.25">
      <c r="A20651" t="s">
        <v>4</v>
      </c>
      <c r="B20651" t="s">
        <v>4111</v>
      </c>
      <c r="C20651" s="1" t="s">
        <v>23490</v>
      </c>
      <c r="D20651" s="1" t="str">
        <f>HYPERLINK("https://rhld.insurance.arkansas.gov/NPILookup?Npi=1639458060","1639458060")</f>
        <v>1639458060</v>
      </c>
      <c r="E20651" t="s">
        <v>21150</v>
      </c>
    </row>
    <row r="20652" spans="1:5" x14ac:dyDescent="0.25">
      <c r="A20652" t="s">
        <v>4</v>
      </c>
      <c r="B20652" t="s">
        <v>4111</v>
      </c>
      <c r="C20652" s="1" t="s">
        <v>23490</v>
      </c>
      <c r="D20652" s="1" t="str">
        <f>HYPERLINK("https://rhld.insurance.arkansas.gov/NPILookup?Npi=1639461270","1639461270")</f>
        <v>1639461270</v>
      </c>
      <c r="E20652" t="s">
        <v>13177</v>
      </c>
    </row>
    <row r="20653" spans="1:5" x14ac:dyDescent="0.25">
      <c r="A20653" t="s">
        <v>4</v>
      </c>
      <c r="B20653" t="s">
        <v>4111</v>
      </c>
      <c r="C20653" s="1" t="s">
        <v>23490</v>
      </c>
      <c r="D20653" s="1" t="str">
        <f>HYPERLINK("https://rhld.insurance.arkansas.gov/NPILookup?Npi=1639496482","1639496482")</f>
        <v>1639496482</v>
      </c>
      <c r="E20653" t="s">
        <v>9134</v>
      </c>
    </row>
    <row r="20654" spans="1:5" x14ac:dyDescent="0.25">
      <c r="A20654" t="s">
        <v>4</v>
      </c>
      <c r="B20654" t="s">
        <v>4111</v>
      </c>
      <c r="C20654" s="1" t="s">
        <v>23490</v>
      </c>
      <c r="D20654" s="1" t="str">
        <f>HYPERLINK("https://rhld.insurance.arkansas.gov/NPILookup?Npi=1639497134","1639497134")</f>
        <v>1639497134</v>
      </c>
      <c r="E20654" t="s">
        <v>11773</v>
      </c>
    </row>
    <row r="20655" spans="1:5" x14ac:dyDescent="0.25">
      <c r="A20655" t="s">
        <v>4</v>
      </c>
      <c r="B20655" t="s">
        <v>4111</v>
      </c>
      <c r="C20655" s="1" t="s">
        <v>23490</v>
      </c>
      <c r="D20655" s="1" t="str">
        <f>HYPERLINK("https://rhld.insurance.arkansas.gov/NPILookup?Npi=1639504988","1639504988")</f>
        <v>1639504988</v>
      </c>
      <c r="E20655" t="s">
        <v>23155</v>
      </c>
    </row>
    <row r="20656" spans="1:5" x14ac:dyDescent="0.25">
      <c r="A20656" t="s">
        <v>4</v>
      </c>
      <c r="B20656" t="s">
        <v>4111</v>
      </c>
      <c r="C20656" s="1" t="s">
        <v>23490</v>
      </c>
      <c r="D20656" s="1" t="str">
        <f>HYPERLINK("https://rhld.insurance.arkansas.gov/NPILookup?Npi=1639569809","1639569809")</f>
        <v>1639569809</v>
      </c>
      <c r="E20656" t="s">
        <v>6048</v>
      </c>
    </row>
    <row r="20657" spans="1:5" x14ac:dyDescent="0.25">
      <c r="A20657" t="s">
        <v>4</v>
      </c>
      <c r="B20657" t="s">
        <v>4111</v>
      </c>
      <c r="C20657" s="1" t="s">
        <v>23490</v>
      </c>
      <c r="D20657" s="1" t="str">
        <f>HYPERLINK("https://rhld.insurance.arkansas.gov/NPILookup?Npi=1639583156","1639583156")</f>
        <v>1639583156</v>
      </c>
      <c r="E20657" t="s">
        <v>11774</v>
      </c>
    </row>
    <row r="20658" spans="1:5" x14ac:dyDescent="0.25">
      <c r="A20658" t="s">
        <v>4</v>
      </c>
      <c r="B20658" t="s">
        <v>4111</v>
      </c>
      <c r="C20658" s="1" t="s">
        <v>23490</v>
      </c>
      <c r="D20658" s="1" t="str">
        <f>HYPERLINK("https://rhld.insurance.arkansas.gov/NPILookup?Npi=1639586894","1639586894")</f>
        <v>1639586894</v>
      </c>
      <c r="E20658" t="s">
        <v>18383</v>
      </c>
    </row>
    <row r="20659" spans="1:5" x14ac:dyDescent="0.25">
      <c r="A20659" t="s">
        <v>4</v>
      </c>
      <c r="B20659" t="s">
        <v>4111</v>
      </c>
      <c r="C20659" s="1" t="s">
        <v>23490</v>
      </c>
      <c r="D20659" s="1" t="str">
        <f>HYPERLINK("https://rhld.insurance.arkansas.gov/NPILookup?Npi=1639595788","1639595788")</f>
        <v>1639595788</v>
      </c>
      <c r="E20659" t="s">
        <v>13178</v>
      </c>
    </row>
    <row r="20660" spans="1:5" x14ac:dyDescent="0.25">
      <c r="A20660" t="s">
        <v>4</v>
      </c>
      <c r="B20660" t="s">
        <v>4111</v>
      </c>
      <c r="C20660" s="1" t="s">
        <v>23490</v>
      </c>
      <c r="D20660" s="1" t="str">
        <f>HYPERLINK("https://rhld.insurance.arkansas.gov/NPILookup?Npi=1639614746","1639614746")</f>
        <v>1639614746</v>
      </c>
      <c r="E20660" t="s">
        <v>18384</v>
      </c>
    </row>
    <row r="20661" spans="1:5" x14ac:dyDescent="0.25">
      <c r="A20661" t="s">
        <v>4</v>
      </c>
      <c r="B20661" t="s">
        <v>4111</v>
      </c>
      <c r="C20661" s="1" t="s">
        <v>23490</v>
      </c>
      <c r="D20661" s="1" t="str">
        <f>HYPERLINK("https://rhld.insurance.arkansas.gov/NPILookup?Npi=1639625494","1639625494")</f>
        <v>1639625494</v>
      </c>
      <c r="E20661" t="s">
        <v>20540</v>
      </c>
    </row>
    <row r="20662" spans="1:5" x14ac:dyDescent="0.25">
      <c r="A20662" t="s">
        <v>4</v>
      </c>
      <c r="B20662" t="s">
        <v>4111</v>
      </c>
      <c r="C20662" s="1" t="s">
        <v>23490</v>
      </c>
      <c r="D20662" s="1" t="str">
        <f>HYPERLINK("https://rhld.insurance.arkansas.gov/NPILookup?Npi=1639629207","1639629207")</f>
        <v>1639629207</v>
      </c>
      <c r="E20662" t="s">
        <v>18385</v>
      </c>
    </row>
    <row r="20663" spans="1:5" x14ac:dyDescent="0.25">
      <c r="A20663" t="s">
        <v>4</v>
      </c>
      <c r="B20663" t="s">
        <v>4111</v>
      </c>
      <c r="C20663" s="1" t="s">
        <v>23490</v>
      </c>
      <c r="D20663" s="1" t="str">
        <f>HYPERLINK("https://rhld.insurance.arkansas.gov/NPILookup?Npi=1639654213","1639654213")</f>
        <v>1639654213</v>
      </c>
      <c r="E20663" t="s">
        <v>14151</v>
      </c>
    </row>
    <row r="20664" spans="1:5" x14ac:dyDescent="0.25">
      <c r="A20664" t="s">
        <v>4</v>
      </c>
      <c r="B20664" t="s">
        <v>4111</v>
      </c>
      <c r="C20664" s="1" t="s">
        <v>23490</v>
      </c>
      <c r="D20664" s="1" t="str">
        <f>HYPERLINK("https://rhld.insurance.arkansas.gov/NPILookup?Npi=1639677461","1639677461")</f>
        <v>1639677461</v>
      </c>
      <c r="E20664" t="s">
        <v>22194</v>
      </c>
    </row>
    <row r="20665" spans="1:5" x14ac:dyDescent="0.25">
      <c r="A20665" t="s">
        <v>4</v>
      </c>
      <c r="B20665" t="s">
        <v>4111</v>
      </c>
      <c r="C20665" s="1" t="s">
        <v>23490</v>
      </c>
      <c r="D20665" s="1" t="str">
        <f>HYPERLINK("https://rhld.insurance.arkansas.gov/NPILookup?Npi=1639701022","1639701022")</f>
        <v>1639701022</v>
      </c>
      <c r="E20665" t="s">
        <v>18386</v>
      </c>
    </row>
    <row r="20666" spans="1:5" x14ac:dyDescent="0.25">
      <c r="A20666" t="s">
        <v>4</v>
      </c>
      <c r="B20666" t="s">
        <v>4111</v>
      </c>
      <c r="C20666" s="1" t="s">
        <v>23490</v>
      </c>
      <c r="D20666" s="1" t="str">
        <f>HYPERLINK("https://rhld.insurance.arkansas.gov/NPILookup?Npi=1639716897","1639716897")</f>
        <v>1639716897</v>
      </c>
      <c r="E20666" t="s">
        <v>18387</v>
      </c>
    </row>
    <row r="20667" spans="1:5" x14ac:dyDescent="0.25">
      <c r="A20667" t="s">
        <v>4</v>
      </c>
      <c r="B20667" t="s">
        <v>4111</v>
      </c>
      <c r="C20667" s="1" t="s">
        <v>23490</v>
      </c>
      <c r="D20667" s="1" t="str">
        <f>HYPERLINK("https://rhld.insurance.arkansas.gov/NPILookup?Npi=1639725161","1639725161")</f>
        <v>1639725161</v>
      </c>
      <c r="E20667" t="s">
        <v>16180</v>
      </c>
    </row>
    <row r="20668" spans="1:5" x14ac:dyDescent="0.25">
      <c r="A20668" t="s">
        <v>4</v>
      </c>
      <c r="B20668" t="s">
        <v>4111</v>
      </c>
      <c r="C20668" s="1" t="s">
        <v>23490</v>
      </c>
      <c r="D20668" s="1" t="str">
        <f>HYPERLINK("https://rhld.insurance.arkansas.gov/NPILookup?Npi=1639795511","1639795511")</f>
        <v>1639795511</v>
      </c>
      <c r="E20668" t="s">
        <v>20541</v>
      </c>
    </row>
    <row r="20669" spans="1:5" x14ac:dyDescent="0.25">
      <c r="A20669" t="s">
        <v>4</v>
      </c>
      <c r="B20669" t="s">
        <v>4111</v>
      </c>
      <c r="C20669" s="1" t="s">
        <v>23490</v>
      </c>
      <c r="D20669" s="1" t="str">
        <f>HYPERLINK("https://rhld.insurance.arkansas.gov/NPILookup?Npi=1649205006","1649205006")</f>
        <v>1649205006</v>
      </c>
      <c r="E20669" t="s">
        <v>5352</v>
      </c>
    </row>
    <row r="20670" spans="1:5" x14ac:dyDescent="0.25">
      <c r="A20670" t="s">
        <v>4</v>
      </c>
      <c r="B20670" t="s">
        <v>4111</v>
      </c>
      <c r="C20670" s="1" t="s">
        <v>23490</v>
      </c>
      <c r="D20670" s="1" t="str">
        <f>HYPERLINK("https://rhld.insurance.arkansas.gov/NPILookup?Npi=1649208794","1649208794")</f>
        <v>1649208794</v>
      </c>
      <c r="E20670" t="s">
        <v>5353</v>
      </c>
    </row>
    <row r="20671" spans="1:5" x14ac:dyDescent="0.25">
      <c r="A20671" t="s">
        <v>4</v>
      </c>
      <c r="B20671" t="s">
        <v>4111</v>
      </c>
      <c r="C20671" s="1" t="s">
        <v>23490</v>
      </c>
      <c r="D20671" s="1" t="str">
        <f>HYPERLINK("https://rhld.insurance.arkansas.gov/NPILookup?Npi=1649237785","1649237785")</f>
        <v>1649237785</v>
      </c>
      <c r="E20671" t="s">
        <v>5354</v>
      </c>
    </row>
    <row r="20672" spans="1:5" x14ac:dyDescent="0.25">
      <c r="A20672" t="s">
        <v>4</v>
      </c>
      <c r="B20672" t="s">
        <v>4111</v>
      </c>
      <c r="C20672" s="1" t="s">
        <v>23490</v>
      </c>
      <c r="D20672" s="1" t="str">
        <f>HYPERLINK("https://rhld.insurance.arkansas.gov/NPILookup?Npi=1649241043","1649241043")</f>
        <v>1649241043</v>
      </c>
      <c r="E20672" t="s">
        <v>5355</v>
      </c>
    </row>
    <row r="20673" spans="1:5" x14ac:dyDescent="0.25">
      <c r="A20673" t="s">
        <v>4</v>
      </c>
      <c r="B20673" t="s">
        <v>4111</v>
      </c>
      <c r="C20673" s="1" t="s">
        <v>23490</v>
      </c>
      <c r="D20673" s="1" t="str">
        <f>HYPERLINK("https://rhld.insurance.arkansas.gov/NPILookup?Npi=1649269929","1649269929")</f>
        <v>1649269929</v>
      </c>
      <c r="E20673" t="s">
        <v>5356</v>
      </c>
    </row>
    <row r="20674" spans="1:5" x14ac:dyDescent="0.25">
      <c r="A20674" t="s">
        <v>4</v>
      </c>
      <c r="B20674" t="s">
        <v>4111</v>
      </c>
      <c r="C20674" s="1" t="s">
        <v>23490</v>
      </c>
      <c r="D20674" s="1" t="str">
        <f>HYPERLINK("https://rhld.insurance.arkansas.gov/NPILookup?Npi=1649293754","1649293754")</f>
        <v>1649293754</v>
      </c>
      <c r="E20674" t="s">
        <v>5357</v>
      </c>
    </row>
    <row r="20675" spans="1:5" x14ac:dyDescent="0.25">
      <c r="A20675" t="s">
        <v>4</v>
      </c>
      <c r="B20675" t="s">
        <v>4111</v>
      </c>
      <c r="C20675" s="1" t="s">
        <v>23490</v>
      </c>
      <c r="D20675" s="1" t="str">
        <f>HYPERLINK("https://rhld.insurance.arkansas.gov/NPILookup?Npi=1649318536","1649318536")</f>
        <v>1649318536</v>
      </c>
      <c r="E20675" t="s">
        <v>20542</v>
      </c>
    </row>
    <row r="20676" spans="1:5" x14ac:dyDescent="0.25">
      <c r="A20676" t="s">
        <v>4</v>
      </c>
      <c r="B20676" t="s">
        <v>4111</v>
      </c>
      <c r="C20676" s="1" t="s">
        <v>23490</v>
      </c>
      <c r="D20676" s="1" t="str">
        <f>HYPERLINK("https://rhld.insurance.arkansas.gov/NPILookup?Npi=1649335399","1649335399")</f>
        <v>1649335399</v>
      </c>
      <c r="E20676" t="s">
        <v>5358</v>
      </c>
    </row>
    <row r="20677" spans="1:5" x14ac:dyDescent="0.25">
      <c r="A20677" t="s">
        <v>4</v>
      </c>
      <c r="B20677" t="s">
        <v>4111</v>
      </c>
      <c r="C20677" s="1" t="s">
        <v>23490</v>
      </c>
      <c r="D20677" s="1" t="str">
        <f>HYPERLINK("https://rhld.insurance.arkansas.gov/NPILookup?Npi=1649358680","1649358680")</f>
        <v>1649358680</v>
      </c>
      <c r="E20677" t="s">
        <v>5359</v>
      </c>
    </row>
    <row r="20678" spans="1:5" x14ac:dyDescent="0.25">
      <c r="A20678" t="s">
        <v>4</v>
      </c>
      <c r="B20678" t="s">
        <v>4111</v>
      </c>
      <c r="C20678" s="1" t="s">
        <v>23490</v>
      </c>
      <c r="D20678" s="1" t="str">
        <f>HYPERLINK("https://rhld.insurance.arkansas.gov/NPILookup?Npi=1649360215","1649360215")</f>
        <v>1649360215</v>
      </c>
      <c r="E20678" t="s">
        <v>5360</v>
      </c>
    </row>
    <row r="20679" spans="1:5" x14ac:dyDescent="0.25">
      <c r="A20679" t="s">
        <v>4</v>
      </c>
      <c r="B20679" t="s">
        <v>4111</v>
      </c>
      <c r="C20679" s="1" t="s">
        <v>23490</v>
      </c>
      <c r="D20679" s="1" t="str">
        <f>HYPERLINK("https://rhld.insurance.arkansas.gov/NPILookup?Npi=1649362518","1649362518")</f>
        <v>1649362518</v>
      </c>
      <c r="E20679" t="s">
        <v>5361</v>
      </c>
    </row>
    <row r="20680" spans="1:5" x14ac:dyDescent="0.25">
      <c r="A20680" t="s">
        <v>4</v>
      </c>
      <c r="B20680" t="s">
        <v>4111</v>
      </c>
      <c r="C20680" s="1" t="s">
        <v>23490</v>
      </c>
      <c r="D20680" s="1" t="str">
        <f>HYPERLINK("https://rhld.insurance.arkansas.gov/NPILookup?Npi=1649375619","1649375619")</f>
        <v>1649375619</v>
      </c>
      <c r="E20680" t="s">
        <v>5362</v>
      </c>
    </row>
    <row r="20681" spans="1:5" x14ac:dyDescent="0.25">
      <c r="A20681" t="s">
        <v>4</v>
      </c>
      <c r="B20681" t="s">
        <v>4111</v>
      </c>
      <c r="C20681" s="1" t="s">
        <v>23490</v>
      </c>
      <c r="D20681" s="1" t="str">
        <f>HYPERLINK("https://rhld.insurance.arkansas.gov/NPILookup?Npi=1649383514","1649383514")</f>
        <v>1649383514</v>
      </c>
      <c r="E20681" t="s">
        <v>2067</v>
      </c>
    </row>
    <row r="20682" spans="1:5" x14ac:dyDescent="0.25">
      <c r="A20682" t="s">
        <v>4</v>
      </c>
      <c r="B20682" t="s">
        <v>4111</v>
      </c>
      <c r="C20682" s="1" t="s">
        <v>23490</v>
      </c>
      <c r="D20682" s="1" t="str">
        <f>HYPERLINK("https://rhld.insurance.arkansas.gov/NPILookup?Npi=1649383886","1649383886")</f>
        <v>1649383886</v>
      </c>
      <c r="E20682" t="s">
        <v>23156</v>
      </c>
    </row>
    <row r="20683" spans="1:5" x14ac:dyDescent="0.25">
      <c r="A20683" t="s">
        <v>4</v>
      </c>
      <c r="B20683" t="s">
        <v>4111</v>
      </c>
      <c r="C20683" s="1" t="s">
        <v>23490</v>
      </c>
      <c r="D20683" s="1" t="str">
        <f>HYPERLINK("https://rhld.insurance.arkansas.gov/NPILookup?Npi=1649384777","1649384777")</f>
        <v>1649384777</v>
      </c>
      <c r="E20683" t="s">
        <v>11775</v>
      </c>
    </row>
    <row r="20684" spans="1:5" x14ac:dyDescent="0.25">
      <c r="A20684" t="s">
        <v>4</v>
      </c>
      <c r="B20684" t="s">
        <v>4111</v>
      </c>
      <c r="C20684" s="1" t="s">
        <v>23490</v>
      </c>
      <c r="D20684" s="1" t="str">
        <f>HYPERLINK("https://rhld.insurance.arkansas.gov/NPILookup?Npi=1649399734","1649399734")</f>
        <v>1649399734</v>
      </c>
      <c r="E20684" t="s">
        <v>16181</v>
      </c>
    </row>
    <row r="20685" spans="1:5" x14ac:dyDescent="0.25">
      <c r="A20685" t="s">
        <v>4</v>
      </c>
      <c r="B20685" t="s">
        <v>4111</v>
      </c>
      <c r="C20685" s="1" t="s">
        <v>23490</v>
      </c>
      <c r="D20685" s="1" t="str">
        <f>HYPERLINK("https://rhld.insurance.arkansas.gov/NPILookup?Npi=1649409483","1649409483")</f>
        <v>1649409483</v>
      </c>
      <c r="E20685" t="s">
        <v>5364</v>
      </c>
    </row>
    <row r="20686" spans="1:5" x14ac:dyDescent="0.25">
      <c r="A20686" t="s">
        <v>4</v>
      </c>
      <c r="B20686" t="s">
        <v>4111</v>
      </c>
      <c r="C20686" s="1" t="s">
        <v>23490</v>
      </c>
      <c r="D20686" s="1" t="str">
        <f>HYPERLINK("https://rhld.insurance.arkansas.gov/NPILookup?Npi=1649421280","1649421280")</f>
        <v>1649421280</v>
      </c>
      <c r="E20686" t="s">
        <v>18388</v>
      </c>
    </row>
    <row r="20687" spans="1:5" x14ac:dyDescent="0.25">
      <c r="A20687" t="s">
        <v>4</v>
      </c>
      <c r="B20687" t="s">
        <v>4111</v>
      </c>
      <c r="C20687" s="1" t="s">
        <v>23490</v>
      </c>
      <c r="D20687" s="1" t="str">
        <f>HYPERLINK("https://rhld.insurance.arkansas.gov/NPILookup?Npi=1649429101","1649429101")</f>
        <v>1649429101</v>
      </c>
      <c r="E20687" t="s">
        <v>16182</v>
      </c>
    </row>
    <row r="20688" spans="1:5" x14ac:dyDescent="0.25">
      <c r="A20688" t="s">
        <v>4</v>
      </c>
      <c r="B20688" t="s">
        <v>4111</v>
      </c>
      <c r="C20688" s="1" t="s">
        <v>23490</v>
      </c>
      <c r="D20688" s="1" t="str">
        <f>HYPERLINK("https://rhld.insurance.arkansas.gov/NPILookup?Npi=1649430190","1649430190")</f>
        <v>1649430190</v>
      </c>
      <c r="E20688" t="s">
        <v>5365</v>
      </c>
    </row>
    <row r="20689" spans="1:5" x14ac:dyDescent="0.25">
      <c r="A20689" t="s">
        <v>4</v>
      </c>
      <c r="B20689" t="s">
        <v>4111</v>
      </c>
      <c r="C20689" s="1" t="s">
        <v>23490</v>
      </c>
      <c r="D20689" s="1" t="str">
        <f>HYPERLINK("https://rhld.insurance.arkansas.gov/NPILookup?Npi=1649437849","1649437849")</f>
        <v>1649437849</v>
      </c>
      <c r="E20689" t="s">
        <v>11776</v>
      </c>
    </row>
    <row r="20690" spans="1:5" x14ac:dyDescent="0.25">
      <c r="A20690" t="s">
        <v>4</v>
      </c>
      <c r="B20690" t="s">
        <v>4111</v>
      </c>
      <c r="C20690" s="1" t="s">
        <v>23490</v>
      </c>
      <c r="D20690" s="1" t="str">
        <f>HYPERLINK("https://rhld.insurance.arkansas.gov/NPILookup?Npi=1649480260","1649480260")</f>
        <v>1649480260</v>
      </c>
      <c r="E20690" t="s">
        <v>13179</v>
      </c>
    </row>
    <row r="20691" spans="1:5" x14ac:dyDescent="0.25">
      <c r="A20691" t="s">
        <v>4</v>
      </c>
      <c r="B20691" t="s">
        <v>4111</v>
      </c>
      <c r="C20691" s="1" t="s">
        <v>23490</v>
      </c>
      <c r="D20691" s="1" t="str">
        <f>HYPERLINK("https://rhld.insurance.arkansas.gov/NPILookup?Npi=1649480799","1649480799")</f>
        <v>1649480799</v>
      </c>
      <c r="E20691" t="s">
        <v>5366</v>
      </c>
    </row>
    <row r="20692" spans="1:5" x14ac:dyDescent="0.25">
      <c r="A20692" t="s">
        <v>4</v>
      </c>
      <c r="B20692" t="s">
        <v>4111</v>
      </c>
      <c r="C20692" s="1" t="s">
        <v>23490</v>
      </c>
      <c r="D20692" s="1" t="str">
        <f>HYPERLINK("https://rhld.insurance.arkansas.gov/NPILookup?Npi=1649521840","1649521840")</f>
        <v>1649521840</v>
      </c>
      <c r="E20692" t="s">
        <v>14152</v>
      </c>
    </row>
    <row r="20693" spans="1:5" x14ac:dyDescent="0.25">
      <c r="A20693" t="s">
        <v>4</v>
      </c>
      <c r="B20693" t="s">
        <v>4111</v>
      </c>
      <c r="C20693" s="1" t="s">
        <v>23490</v>
      </c>
      <c r="D20693" s="1" t="str">
        <f>HYPERLINK("https://rhld.insurance.arkansas.gov/NPILookup?Npi=1649529488","1649529488")</f>
        <v>1649529488</v>
      </c>
      <c r="E20693" t="s">
        <v>14153</v>
      </c>
    </row>
    <row r="20694" spans="1:5" x14ac:dyDescent="0.25">
      <c r="A20694" t="s">
        <v>4</v>
      </c>
      <c r="B20694" t="s">
        <v>4111</v>
      </c>
      <c r="C20694" s="1" t="s">
        <v>23490</v>
      </c>
      <c r="D20694" s="1" t="str">
        <f>HYPERLINK("https://rhld.insurance.arkansas.gov/NPILookup?Npi=1649532656","1649532656")</f>
        <v>1649532656</v>
      </c>
      <c r="E20694" t="s">
        <v>9135</v>
      </c>
    </row>
    <row r="20695" spans="1:5" x14ac:dyDescent="0.25">
      <c r="A20695" t="s">
        <v>4</v>
      </c>
      <c r="B20695" t="s">
        <v>4111</v>
      </c>
      <c r="C20695" s="1" t="s">
        <v>23490</v>
      </c>
      <c r="D20695" s="1" t="str">
        <f>HYPERLINK("https://rhld.insurance.arkansas.gov/NPILookup?Npi=1649533670","1649533670")</f>
        <v>1649533670</v>
      </c>
      <c r="E20695" t="s">
        <v>14154</v>
      </c>
    </row>
    <row r="20696" spans="1:5" x14ac:dyDescent="0.25">
      <c r="A20696" t="s">
        <v>4</v>
      </c>
      <c r="B20696" t="s">
        <v>4111</v>
      </c>
      <c r="C20696" s="1" t="s">
        <v>23490</v>
      </c>
      <c r="D20696" s="1" t="str">
        <f>HYPERLINK("https://rhld.insurance.arkansas.gov/NPILookup?Npi=1649544354","1649544354")</f>
        <v>1649544354</v>
      </c>
      <c r="E20696" t="s">
        <v>5367</v>
      </c>
    </row>
    <row r="20697" spans="1:5" x14ac:dyDescent="0.25">
      <c r="A20697" t="s">
        <v>4</v>
      </c>
      <c r="B20697" t="s">
        <v>4111</v>
      </c>
      <c r="C20697" s="1" t="s">
        <v>23490</v>
      </c>
      <c r="D20697" s="1" t="str">
        <f>HYPERLINK("https://rhld.insurance.arkansas.gov/NPILookup?Npi=1649546821","1649546821")</f>
        <v>1649546821</v>
      </c>
      <c r="E20697" t="s">
        <v>5368</v>
      </c>
    </row>
    <row r="20698" spans="1:5" x14ac:dyDescent="0.25">
      <c r="A20698" t="s">
        <v>4</v>
      </c>
      <c r="B20698" t="s">
        <v>4111</v>
      </c>
      <c r="C20698" s="1" t="s">
        <v>8427</v>
      </c>
      <c r="D20698" s="1" t="str">
        <f>HYPERLINK("https://rhld.insurance.arkansas.gov/NPILookup?Npi=1649550252","1649550252")</f>
        <v>1649550252</v>
      </c>
      <c r="E20698" t="s">
        <v>23157</v>
      </c>
    </row>
    <row r="20699" spans="1:5" x14ac:dyDescent="0.25">
      <c r="A20699" t="s">
        <v>4</v>
      </c>
      <c r="B20699" t="s">
        <v>4111</v>
      </c>
      <c r="C20699" s="1" t="s">
        <v>23490</v>
      </c>
      <c r="D20699" s="1" t="str">
        <f>HYPERLINK("https://rhld.insurance.arkansas.gov/NPILookup?Npi=1649550849","1649550849")</f>
        <v>1649550849</v>
      </c>
      <c r="E20699" t="s">
        <v>13180</v>
      </c>
    </row>
    <row r="20700" spans="1:5" x14ac:dyDescent="0.25">
      <c r="A20700" t="s">
        <v>4</v>
      </c>
      <c r="B20700" t="s">
        <v>4111</v>
      </c>
      <c r="C20700" s="1" t="s">
        <v>23490</v>
      </c>
      <c r="D20700" s="1" t="str">
        <f>HYPERLINK("https://rhld.insurance.arkansas.gov/NPILookup?Npi=1649572835","1649572835")</f>
        <v>1649572835</v>
      </c>
      <c r="E20700" t="s">
        <v>11777</v>
      </c>
    </row>
    <row r="20701" spans="1:5" x14ac:dyDescent="0.25">
      <c r="A20701" t="s">
        <v>4</v>
      </c>
      <c r="B20701" t="s">
        <v>4111</v>
      </c>
      <c r="C20701" s="1" t="s">
        <v>23490</v>
      </c>
      <c r="D20701" s="1" t="str">
        <f>HYPERLINK("https://rhld.insurance.arkansas.gov/NPILookup?Npi=1649582701","1649582701")</f>
        <v>1649582701</v>
      </c>
      <c r="E20701" t="s">
        <v>5371</v>
      </c>
    </row>
    <row r="20702" spans="1:5" x14ac:dyDescent="0.25">
      <c r="A20702" t="s">
        <v>4</v>
      </c>
      <c r="B20702" t="s">
        <v>4111</v>
      </c>
      <c r="C20702" s="1" t="s">
        <v>23490</v>
      </c>
      <c r="D20702" s="1" t="str">
        <f>HYPERLINK("https://rhld.insurance.arkansas.gov/NPILookup?Npi=1649594029","1649594029")</f>
        <v>1649594029</v>
      </c>
      <c r="E20702" t="s">
        <v>9136</v>
      </c>
    </row>
    <row r="20703" spans="1:5" x14ac:dyDescent="0.25">
      <c r="A20703" t="s">
        <v>4</v>
      </c>
      <c r="B20703" t="s">
        <v>4111</v>
      </c>
      <c r="C20703" s="1" t="s">
        <v>23490</v>
      </c>
      <c r="D20703" s="1" t="str">
        <f>HYPERLINK("https://rhld.insurance.arkansas.gov/NPILookup?Npi=1649598319","1649598319")</f>
        <v>1649598319</v>
      </c>
      <c r="E20703" t="s">
        <v>18389</v>
      </c>
    </row>
    <row r="20704" spans="1:5" x14ac:dyDescent="0.25">
      <c r="A20704" t="s">
        <v>4</v>
      </c>
      <c r="B20704" t="s">
        <v>4111</v>
      </c>
      <c r="C20704" s="1" t="s">
        <v>23490</v>
      </c>
      <c r="D20704" s="1" t="str">
        <f>HYPERLINK("https://rhld.insurance.arkansas.gov/NPILookup?Npi=1649608803","1649608803")</f>
        <v>1649608803</v>
      </c>
      <c r="E20704" t="s">
        <v>22195</v>
      </c>
    </row>
    <row r="20705" spans="1:5" x14ac:dyDescent="0.25">
      <c r="A20705" t="s">
        <v>4</v>
      </c>
      <c r="B20705" t="s">
        <v>4111</v>
      </c>
      <c r="C20705" s="1" t="s">
        <v>23490</v>
      </c>
      <c r="D20705" s="1" t="str">
        <f>HYPERLINK("https://rhld.insurance.arkansas.gov/NPILookup?Npi=1649632407","1649632407")</f>
        <v>1649632407</v>
      </c>
      <c r="E20705" t="s">
        <v>11778</v>
      </c>
    </row>
    <row r="20706" spans="1:5" x14ac:dyDescent="0.25">
      <c r="A20706" t="s">
        <v>4</v>
      </c>
      <c r="B20706" t="s">
        <v>4111</v>
      </c>
      <c r="C20706" s="1" t="s">
        <v>23490</v>
      </c>
      <c r="D20706" s="1" t="str">
        <f>HYPERLINK("https://rhld.insurance.arkansas.gov/NPILookup?Npi=1649656752","1649656752")</f>
        <v>1649656752</v>
      </c>
      <c r="E20706" t="s">
        <v>19909</v>
      </c>
    </row>
    <row r="20707" spans="1:5" x14ac:dyDescent="0.25">
      <c r="A20707" t="s">
        <v>4</v>
      </c>
      <c r="B20707" t="s">
        <v>4111</v>
      </c>
      <c r="C20707" s="1" t="s">
        <v>23490</v>
      </c>
      <c r="D20707" s="1" t="str">
        <f>HYPERLINK("https://rhld.insurance.arkansas.gov/NPILookup?Npi=1649675430","1649675430")</f>
        <v>1649675430</v>
      </c>
      <c r="E20707" t="s">
        <v>16183</v>
      </c>
    </row>
    <row r="20708" spans="1:5" x14ac:dyDescent="0.25">
      <c r="A20708" t="s">
        <v>4</v>
      </c>
      <c r="B20708" t="s">
        <v>4111</v>
      </c>
      <c r="C20708" s="1" t="s">
        <v>23490</v>
      </c>
      <c r="D20708" s="1" t="str">
        <f>HYPERLINK("https://rhld.insurance.arkansas.gov/NPILookup?Npi=1649696394","1649696394")</f>
        <v>1649696394</v>
      </c>
      <c r="E20708" t="s">
        <v>5372</v>
      </c>
    </row>
    <row r="20709" spans="1:5" x14ac:dyDescent="0.25">
      <c r="A20709" t="s">
        <v>4</v>
      </c>
      <c r="B20709" t="s">
        <v>4111</v>
      </c>
      <c r="C20709" s="1" t="s">
        <v>23490</v>
      </c>
      <c r="D20709" s="1" t="str">
        <f>HYPERLINK("https://rhld.insurance.arkansas.gov/NPILookup?Npi=1649700063","1649700063")</f>
        <v>1649700063</v>
      </c>
      <c r="E20709" t="s">
        <v>11144</v>
      </c>
    </row>
    <row r="20710" spans="1:5" x14ac:dyDescent="0.25">
      <c r="A20710" t="s">
        <v>4</v>
      </c>
      <c r="B20710" t="s">
        <v>4111</v>
      </c>
      <c r="C20710" s="1" t="s">
        <v>23490</v>
      </c>
      <c r="D20710" s="1" t="str">
        <f>HYPERLINK("https://rhld.insurance.arkansas.gov/NPILookup?Npi=1649749706","1649749706")</f>
        <v>1649749706</v>
      </c>
      <c r="E20710" t="s">
        <v>14155</v>
      </c>
    </row>
    <row r="20711" spans="1:5" x14ac:dyDescent="0.25">
      <c r="A20711" t="s">
        <v>4</v>
      </c>
      <c r="B20711" t="s">
        <v>4111</v>
      </c>
      <c r="C20711" s="1" t="s">
        <v>23490</v>
      </c>
      <c r="D20711" s="1" t="str">
        <f>HYPERLINK("https://rhld.insurance.arkansas.gov/NPILookup?Npi=1649753161","1649753161")</f>
        <v>1649753161</v>
      </c>
      <c r="E20711" t="s">
        <v>16184</v>
      </c>
    </row>
    <row r="20712" spans="1:5" x14ac:dyDescent="0.25">
      <c r="A20712" t="s">
        <v>4</v>
      </c>
      <c r="B20712" t="s">
        <v>4111</v>
      </c>
      <c r="C20712" s="1" t="s">
        <v>23490</v>
      </c>
      <c r="D20712" s="1" t="str">
        <f>HYPERLINK("https://rhld.insurance.arkansas.gov/NPILookup?Npi=1649789215","1649789215")</f>
        <v>1649789215</v>
      </c>
      <c r="E20712" t="s">
        <v>17619</v>
      </c>
    </row>
    <row r="20713" spans="1:5" x14ac:dyDescent="0.25">
      <c r="A20713" t="s">
        <v>4</v>
      </c>
      <c r="B20713" t="s">
        <v>4111</v>
      </c>
      <c r="C20713" s="1" t="s">
        <v>23490</v>
      </c>
      <c r="D20713" s="1" t="str">
        <f>HYPERLINK("https://rhld.insurance.arkansas.gov/NPILookup?Npi=1649813460","1649813460")</f>
        <v>1649813460</v>
      </c>
      <c r="E20713" t="s">
        <v>18391</v>
      </c>
    </row>
    <row r="20714" spans="1:5" x14ac:dyDescent="0.25">
      <c r="A20714" t="s">
        <v>4</v>
      </c>
      <c r="B20714" t="s">
        <v>4111</v>
      </c>
      <c r="C20714" s="1" t="s">
        <v>8427</v>
      </c>
      <c r="D20714" s="1" t="str">
        <f>HYPERLINK("https://rhld.insurance.arkansas.gov/NPILookup?Npi=1649878042","1649878042")</f>
        <v>1649878042</v>
      </c>
      <c r="E20714" t="s">
        <v>23158</v>
      </c>
    </row>
    <row r="20715" spans="1:5" x14ac:dyDescent="0.25">
      <c r="A20715" t="s">
        <v>4</v>
      </c>
      <c r="B20715" t="s">
        <v>4111</v>
      </c>
      <c r="C20715" s="1" t="s">
        <v>23490</v>
      </c>
      <c r="D20715" s="1" t="str">
        <f>HYPERLINK("https://rhld.insurance.arkansas.gov/NPILookup?Npi=1649884560","1649884560")</f>
        <v>1649884560</v>
      </c>
      <c r="E20715" t="s">
        <v>22196</v>
      </c>
    </row>
    <row r="20716" spans="1:5" x14ac:dyDescent="0.25">
      <c r="A20716" t="s">
        <v>4</v>
      </c>
      <c r="B20716" t="s">
        <v>4111</v>
      </c>
      <c r="C20716" s="1" t="s">
        <v>23490</v>
      </c>
      <c r="D20716" s="1" t="str">
        <f>HYPERLINK("https://rhld.insurance.arkansas.gov/NPILookup?Npi=1649894494","1649894494")</f>
        <v>1649894494</v>
      </c>
      <c r="E20716" t="s">
        <v>22197</v>
      </c>
    </row>
    <row r="20717" spans="1:5" x14ac:dyDescent="0.25">
      <c r="A20717" t="s">
        <v>4</v>
      </c>
      <c r="B20717" t="s">
        <v>4111</v>
      </c>
      <c r="C20717" s="1" t="s">
        <v>23490</v>
      </c>
      <c r="D20717" s="1" t="str">
        <f>HYPERLINK("https://rhld.insurance.arkansas.gov/NPILookup?Npi=1659005163","1659005163")</f>
        <v>1659005163</v>
      </c>
      <c r="E20717" t="s">
        <v>22198</v>
      </c>
    </row>
    <row r="20718" spans="1:5" x14ac:dyDescent="0.25">
      <c r="A20718" t="s">
        <v>4</v>
      </c>
      <c r="B20718" t="s">
        <v>4111</v>
      </c>
      <c r="C20718" s="1" t="s">
        <v>23490</v>
      </c>
      <c r="D20718" s="1" t="str">
        <f>HYPERLINK("https://rhld.insurance.arkansas.gov/NPILookup?Npi=1659093730","1659093730")</f>
        <v>1659093730</v>
      </c>
      <c r="E20718" t="s">
        <v>21151</v>
      </c>
    </row>
    <row r="20719" spans="1:5" x14ac:dyDescent="0.25">
      <c r="A20719" t="s">
        <v>4</v>
      </c>
      <c r="B20719" t="s">
        <v>4111</v>
      </c>
      <c r="C20719" s="1" t="s">
        <v>23490</v>
      </c>
      <c r="D20719" s="1" t="str">
        <f>HYPERLINK("https://rhld.insurance.arkansas.gov/NPILookup?Npi=1659300382","1659300382")</f>
        <v>1659300382</v>
      </c>
      <c r="E20719" t="s">
        <v>5373</v>
      </c>
    </row>
    <row r="20720" spans="1:5" x14ac:dyDescent="0.25">
      <c r="A20720" t="s">
        <v>4</v>
      </c>
      <c r="B20720" t="s">
        <v>4111</v>
      </c>
      <c r="C20720" s="1" t="s">
        <v>23490</v>
      </c>
      <c r="D20720" s="1" t="str">
        <f>HYPERLINK("https://rhld.insurance.arkansas.gov/NPILookup?Npi=1659308104","1659308104")</f>
        <v>1659308104</v>
      </c>
      <c r="E20720" t="s">
        <v>5374</v>
      </c>
    </row>
    <row r="20721" spans="1:5" x14ac:dyDescent="0.25">
      <c r="A20721" t="s">
        <v>4</v>
      </c>
      <c r="B20721" t="s">
        <v>4111</v>
      </c>
      <c r="C20721" s="1" t="s">
        <v>23490</v>
      </c>
      <c r="D20721" s="1" t="str">
        <f>HYPERLINK("https://rhld.insurance.arkansas.gov/NPILookup?Npi=1659313500","1659313500")</f>
        <v>1659313500</v>
      </c>
      <c r="E20721" t="s">
        <v>5375</v>
      </c>
    </row>
    <row r="20722" spans="1:5" x14ac:dyDescent="0.25">
      <c r="A20722" t="s">
        <v>4</v>
      </c>
      <c r="B20722" t="s">
        <v>4111</v>
      </c>
      <c r="C20722" s="1" t="s">
        <v>23490</v>
      </c>
      <c r="D20722" s="1" t="str">
        <f>HYPERLINK("https://rhld.insurance.arkansas.gov/NPILookup?Npi=1659351781","1659351781")</f>
        <v>1659351781</v>
      </c>
      <c r="E20722" t="s">
        <v>5376</v>
      </c>
    </row>
    <row r="20723" spans="1:5" x14ac:dyDescent="0.25">
      <c r="A20723" t="s">
        <v>4</v>
      </c>
      <c r="B20723" t="s">
        <v>4111</v>
      </c>
      <c r="C20723" s="1" t="s">
        <v>23490</v>
      </c>
      <c r="D20723" s="1" t="str">
        <f>HYPERLINK("https://rhld.insurance.arkansas.gov/NPILookup?Npi=1659365120","1659365120")</f>
        <v>1659365120</v>
      </c>
      <c r="E20723" t="s">
        <v>5377</v>
      </c>
    </row>
    <row r="20724" spans="1:5" x14ac:dyDescent="0.25">
      <c r="A20724" t="s">
        <v>4</v>
      </c>
      <c r="B20724" t="s">
        <v>4111</v>
      </c>
      <c r="C20724" s="1" t="s">
        <v>23490</v>
      </c>
      <c r="D20724" s="1" t="str">
        <f>HYPERLINK("https://rhld.insurance.arkansas.gov/NPILookup?Npi=1659377752","1659377752")</f>
        <v>1659377752</v>
      </c>
      <c r="E20724" t="s">
        <v>22199</v>
      </c>
    </row>
    <row r="20725" spans="1:5" x14ac:dyDescent="0.25">
      <c r="A20725" t="s">
        <v>4</v>
      </c>
      <c r="B20725" t="s">
        <v>4111</v>
      </c>
      <c r="C20725" s="1" t="s">
        <v>23490</v>
      </c>
      <c r="D20725" s="1" t="str">
        <f>HYPERLINK("https://rhld.insurance.arkansas.gov/NPILookup?Npi=1659403905","1659403905")</f>
        <v>1659403905</v>
      </c>
      <c r="E20725" t="s">
        <v>17209</v>
      </c>
    </row>
    <row r="20726" spans="1:5" x14ac:dyDescent="0.25">
      <c r="A20726" t="s">
        <v>4</v>
      </c>
      <c r="B20726" t="s">
        <v>4111</v>
      </c>
      <c r="C20726" s="1" t="s">
        <v>23490</v>
      </c>
      <c r="D20726" s="1" t="str">
        <f>HYPERLINK("https://rhld.insurance.arkansas.gov/NPILookup?Npi=1659418648","1659418648")</f>
        <v>1659418648</v>
      </c>
      <c r="E20726" t="s">
        <v>5378</v>
      </c>
    </row>
    <row r="20727" spans="1:5" x14ac:dyDescent="0.25">
      <c r="A20727" t="s">
        <v>4</v>
      </c>
      <c r="B20727" t="s">
        <v>4111</v>
      </c>
      <c r="C20727" s="1" t="s">
        <v>23490</v>
      </c>
      <c r="D20727" s="1" t="str">
        <f>HYPERLINK("https://rhld.insurance.arkansas.gov/NPILookup?Npi=1659422160","1659422160")</f>
        <v>1659422160</v>
      </c>
      <c r="E20727" t="s">
        <v>5379</v>
      </c>
    </row>
    <row r="20728" spans="1:5" x14ac:dyDescent="0.25">
      <c r="A20728" t="s">
        <v>4</v>
      </c>
      <c r="B20728" t="s">
        <v>4111</v>
      </c>
      <c r="C20728" s="1" t="s">
        <v>23490</v>
      </c>
      <c r="D20728" s="1" t="str">
        <f>HYPERLINK("https://rhld.insurance.arkansas.gov/NPILookup?Npi=1659427573","1659427573")</f>
        <v>1659427573</v>
      </c>
      <c r="E20728" t="s">
        <v>5380</v>
      </c>
    </row>
    <row r="20729" spans="1:5" x14ac:dyDescent="0.25">
      <c r="A20729" t="s">
        <v>4</v>
      </c>
      <c r="B20729" t="s">
        <v>4111</v>
      </c>
      <c r="C20729" s="1" t="s">
        <v>23490</v>
      </c>
      <c r="D20729" s="1" t="str">
        <f>HYPERLINK("https://rhld.insurance.arkansas.gov/NPILookup?Npi=1659431187","1659431187")</f>
        <v>1659431187</v>
      </c>
      <c r="E20729" t="s">
        <v>20543</v>
      </c>
    </row>
    <row r="20730" spans="1:5" x14ac:dyDescent="0.25">
      <c r="A20730" t="s">
        <v>4</v>
      </c>
      <c r="B20730" t="s">
        <v>4111</v>
      </c>
      <c r="C20730" s="1" t="s">
        <v>23490</v>
      </c>
      <c r="D20730" s="1" t="str">
        <f>HYPERLINK("https://rhld.insurance.arkansas.gov/NPILookup?Npi=1659434215","1659434215")</f>
        <v>1659434215</v>
      </c>
      <c r="E20730" t="s">
        <v>3490</v>
      </c>
    </row>
    <row r="20731" spans="1:5" x14ac:dyDescent="0.25">
      <c r="A20731" t="s">
        <v>4</v>
      </c>
      <c r="B20731" t="s">
        <v>4111</v>
      </c>
      <c r="C20731" s="1" t="s">
        <v>23490</v>
      </c>
      <c r="D20731" s="1" t="str">
        <f>HYPERLINK("https://rhld.insurance.arkansas.gov/NPILookup?Npi=1659442093","1659442093")</f>
        <v>1659442093</v>
      </c>
      <c r="E20731" t="s">
        <v>22200</v>
      </c>
    </row>
    <row r="20732" spans="1:5" x14ac:dyDescent="0.25">
      <c r="A20732" t="s">
        <v>4</v>
      </c>
      <c r="B20732" t="s">
        <v>4111</v>
      </c>
      <c r="C20732" s="1" t="s">
        <v>23490</v>
      </c>
      <c r="D20732" s="1" t="str">
        <f>HYPERLINK("https://rhld.insurance.arkansas.gov/NPILookup?Npi=1659450823","1659450823")</f>
        <v>1659450823</v>
      </c>
      <c r="E20732" t="s">
        <v>18392</v>
      </c>
    </row>
    <row r="20733" spans="1:5" x14ac:dyDescent="0.25">
      <c r="A20733" t="s">
        <v>4</v>
      </c>
      <c r="B20733" t="s">
        <v>4111</v>
      </c>
      <c r="C20733" s="1" t="s">
        <v>23490</v>
      </c>
      <c r="D20733" s="1" t="str">
        <f>HYPERLINK("https://rhld.insurance.arkansas.gov/NPILookup?Npi=1659460814","1659460814")</f>
        <v>1659460814</v>
      </c>
      <c r="E20733" t="s">
        <v>18999</v>
      </c>
    </row>
    <row r="20734" spans="1:5" x14ac:dyDescent="0.25">
      <c r="A20734" t="s">
        <v>4</v>
      </c>
      <c r="B20734" t="s">
        <v>4111</v>
      </c>
      <c r="C20734" s="1" t="s">
        <v>23490</v>
      </c>
      <c r="D20734" s="1" t="str">
        <f>HYPERLINK("https://rhld.insurance.arkansas.gov/NPILookup?Npi=1659461218","1659461218")</f>
        <v>1659461218</v>
      </c>
      <c r="E20734" t="s">
        <v>5381</v>
      </c>
    </row>
    <row r="20735" spans="1:5" x14ac:dyDescent="0.25">
      <c r="A20735" t="s">
        <v>4</v>
      </c>
      <c r="B20735" t="s">
        <v>4111</v>
      </c>
      <c r="C20735" s="1" t="s">
        <v>23490</v>
      </c>
      <c r="D20735" s="1" t="str">
        <f>HYPERLINK("https://rhld.insurance.arkansas.gov/NPILookup?Npi=1659537827","1659537827")</f>
        <v>1659537827</v>
      </c>
      <c r="E20735" t="s">
        <v>16185</v>
      </c>
    </row>
    <row r="20736" spans="1:5" x14ac:dyDescent="0.25">
      <c r="A20736" t="s">
        <v>4</v>
      </c>
      <c r="B20736" t="s">
        <v>4111</v>
      </c>
      <c r="C20736" s="1" t="s">
        <v>23490</v>
      </c>
      <c r="D20736" s="1" t="str">
        <f>HYPERLINK("https://rhld.insurance.arkansas.gov/NPILookup?Npi=1659542686","1659542686")</f>
        <v>1659542686</v>
      </c>
      <c r="E20736" t="s">
        <v>5382</v>
      </c>
    </row>
    <row r="20737" spans="1:5" x14ac:dyDescent="0.25">
      <c r="A20737" t="s">
        <v>4</v>
      </c>
      <c r="B20737" t="s">
        <v>4111</v>
      </c>
      <c r="C20737" s="1" t="s">
        <v>23490</v>
      </c>
      <c r="D20737" s="1" t="str">
        <f>HYPERLINK("https://rhld.insurance.arkansas.gov/NPILookup?Npi=1659545523","1659545523")</f>
        <v>1659545523</v>
      </c>
      <c r="E20737" t="s">
        <v>5383</v>
      </c>
    </row>
    <row r="20738" spans="1:5" x14ac:dyDescent="0.25">
      <c r="A20738" t="s">
        <v>4</v>
      </c>
      <c r="B20738" t="s">
        <v>4111</v>
      </c>
      <c r="C20738" s="1" t="s">
        <v>23490</v>
      </c>
      <c r="D20738" s="1" t="str">
        <f>HYPERLINK("https://rhld.insurance.arkansas.gov/NPILookup?Npi=1659548105","1659548105")</f>
        <v>1659548105</v>
      </c>
      <c r="E20738" t="s">
        <v>22201</v>
      </c>
    </row>
    <row r="20739" spans="1:5" x14ac:dyDescent="0.25">
      <c r="A20739" t="s">
        <v>4</v>
      </c>
      <c r="B20739" t="s">
        <v>4111</v>
      </c>
      <c r="C20739" s="1" t="s">
        <v>23490</v>
      </c>
      <c r="D20739" s="1" t="str">
        <f>HYPERLINK("https://rhld.insurance.arkansas.gov/NPILookup?Npi=1659550762","1659550762")</f>
        <v>1659550762</v>
      </c>
      <c r="E20739" t="s">
        <v>20544</v>
      </c>
    </row>
    <row r="20740" spans="1:5" x14ac:dyDescent="0.25">
      <c r="A20740" t="s">
        <v>4</v>
      </c>
      <c r="B20740" t="s">
        <v>4111</v>
      </c>
      <c r="C20740" s="1" t="s">
        <v>23490</v>
      </c>
      <c r="D20740" s="1" t="str">
        <f>HYPERLINK("https://rhld.insurance.arkansas.gov/NPILookup?Npi=1659555423","1659555423")</f>
        <v>1659555423</v>
      </c>
      <c r="E20740" t="s">
        <v>11779</v>
      </c>
    </row>
    <row r="20741" spans="1:5" x14ac:dyDescent="0.25">
      <c r="A20741" t="s">
        <v>4</v>
      </c>
      <c r="B20741" t="s">
        <v>4111</v>
      </c>
      <c r="C20741" s="1" t="s">
        <v>23490</v>
      </c>
      <c r="D20741" s="1" t="str">
        <f>HYPERLINK("https://rhld.insurance.arkansas.gov/NPILookup?Npi=1659569945","1659569945")</f>
        <v>1659569945</v>
      </c>
      <c r="E20741" t="s">
        <v>5384</v>
      </c>
    </row>
    <row r="20742" spans="1:5" x14ac:dyDescent="0.25">
      <c r="A20742" t="s">
        <v>4</v>
      </c>
      <c r="B20742" t="s">
        <v>4111</v>
      </c>
      <c r="C20742" s="1" t="s">
        <v>23490</v>
      </c>
      <c r="D20742" s="1" t="str">
        <f>HYPERLINK("https://rhld.insurance.arkansas.gov/NPILookup?Npi=1659594562","1659594562")</f>
        <v>1659594562</v>
      </c>
      <c r="E20742" t="s">
        <v>19920</v>
      </c>
    </row>
    <row r="20743" spans="1:5" x14ac:dyDescent="0.25">
      <c r="A20743" t="s">
        <v>4</v>
      </c>
      <c r="B20743" t="s">
        <v>4111</v>
      </c>
      <c r="C20743" s="1" t="s">
        <v>23490</v>
      </c>
      <c r="D20743" s="1" t="str">
        <f>HYPERLINK("https://rhld.insurance.arkansas.gov/NPILookup?Npi=1659595809","1659595809")</f>
        <v>1659595809</v>
      </c>
      <c r="E20743" t="s">
        <v>5385</v>
      </c>
    </row>
    <row r="20744" spans="1:5" x14ac:dyDescent="0.25">
      <c r="A20744" t="s">
        <v>4</v>
      </c>
      <c r="B20744" t="s">
        <v>4111</v>
      </c>
      <c r="C20744" s="1" t="s">
        <v>23490</v>
      </c>
      <c r="D20744" s="1" t="str">
        <f>HYPERLINK("https://rhld.insurance.arkansas.gov/NPILookup?Npi=1659603397","1659603397")</f>
        <v>1659603397</v>
      </c>
      <c r="E20744" t="s">
        <v>14156</v>
      </c>
    </row>
    <row r="20745" spans="1:5" x14ac:dyDescent="0.25">
      <c r="A20745" t="s">
        <v>4</v>
      </c>
      <c r="B20745" t="s">
        <v>4111</v>
      </c>
      <c r="C20745" s="1" t="s">
        <v>23490</v>
      </c>
      <c r="D20745" s="1" t="str">
        <f>HYPERLINK("https://rhld.insurance.arkansas.gov/NPILookup?Npi=1659605269","1659605269")</f>
        <v>1659605269</v>
      </c>
      <c r="E20745" t="s">
        <v>5386</v>
      </c>
    </row>
    <row r="20746" spans="1:5" x14ac:dyDescent="0.25">
      <c r="A20746" t="s">
        <v>4</v>
      </c>
      <c r="B20746" t="s">
        <v>4111</v>
      </c>
      <c r="C20746" s="1" t="s">
        <v>23490</v>
      </c>
      <c r="D20746" s="1" t="str">
        <f>HYPERLINK("https://rhld.insurance.arkansas.gov/NPILookup?Npi=1659621696","1659621696")</f>
        <v>1659621696</v>
      </c>
      <c r="E20746" t="s">
        <v>11780</v>
      </c>
    </row>
    <row r="20747" spans="1:5" x14ac:dyDescent="0.25">
      <c r="A20747" t="s">
        <v>4</v>
      </c>
      <c r="B20747" t="s">
        <v>4111</v>
      </c>
      <c r="C20747" s="1" t="s">
        <v>23490</v>
      </c>
      <c r="D20747" s="1" t="str">
        <f>HYPERLINK("https://rhld.insurance.arkansas.gov/NPILookup?Npi=1659623775","1659623775")</f>
        <v>1659623775</v>
      </c>
      <c r="E20747" t="s">
        <v>19922</v>
      </c>
    </row>
    <row r="20748" spans="1:5" x14ac:dyDescent="0.25">
      <c r="A20748" t="s">
        <v>4</v>
      </c>
      <c r="B20748" t="s">
        <v>4111</v>
      </c>
      <c r="C20748" s="1" t="s">
        <v>23490</v>
      </c>
      <c r="D20748" s="1" t="str">
        <f>HYPERLINK("https://rhld.insurance.arkansas.gov/NPILookup?Npi=1659651487","1659651487")</f>
        <v>1659651487</v>
      </c>
      <c r="E20748" t="s">
        <v>11781</v>
      </c>
    </row>
    <row r="20749" spans="1:5" x14ac:dyDescent="0.25">
      <c r="A20749" t="s">
        <v>4</v>
      </c>
      <c r="B20749" t="s">
        <v>4111</v>
      </c>
      <c r="C20749" s="1" t="s">
        <v>23490</v>
      </c>
      <c r="D20749" s="1" t="str">
        <f>HYPERLINK("https://rhld.insurance.arkansas.gov/NPILookup?Npi=1659653152","1659653152")</f>
        <v>1659653152</v>
      </c>
      <c r="E20749" t="s">
        <v>5387</v>
      </c>
    </row>
    <row r="20750" spans="1:5" x14ac:dyDescent="0.25">
      <c r="A20750" t="s">
        <v>4</v>
      </c>
      <c r="B20750" t="s">
        <v>4111</v>
      </c>
      <c r="C20750" s="1" t="s">
        <v>23490</v>
      </c>
      <c r="D20750" s="1" t="str">
        <f>HYPERLINK("https://rhld.insurance.arkansas.gov/NPILookup?Npi=1659655108","1659655108")</f>
        <v>1659655108</v>
      </c>
      <c r="E20750" t="s">
        <v>5388</v>
      </c>
    </row>
    <row r="20751" spans="1:5" x14ac:dyDescent="0.25">
      <c r="A20751" t="s">
        <v>4</v>
      </c>
      <c r="B20751" t="s">
        <v>4111</v>
      </c>
      <c r="C20751" s="1" t="s">
        <v>23490</v>
      </c>
      <c r="D20751" s="1" t="str">
        <f>HYPERLINK("https://rhld.insurance.arkansas.gov/NPILookup?Npi=1659698736","1659698736")</f>
        <v>1659698736</v>
      </c>
      <c r="E20751" t="s">
        <v>20545</v>
      </c>
    </row>
    <row r="20752" spans="1:5" x14ac:dyDescent="0.25">
      <c r="A20752" t="s">
        <v>4</v>
      </c>
      <c r="B20752" t="s">
        <v>4111</v>
      </c>
      <c r="C20752" s="1" t="s">
        <v>23490</v>
      </c>
      <c r="D20752" s="1" t="str">
        <f>HYPERLINK("https://rhld.insurance.arkansas.gov/NPILookup?Npi=1659701654","1659701654")</f>
        <v>1659701654</v>
      </c>
      <c r="E20752" t="s">
        <v>18393</v>
      </c>
    </row>
    <row r="20753" spans="1:5" x14ac:dyDescent="0.25">
      <c r="A20753" t="s">
        <v>4</v>
      </c>
      <c r="B20753" t="s">
        <v>4111</v>
      </c>
      <c r="C20753" s="1" t="s">
        <v>23490</v>
      </c>
      <c r="D20753" s="1" t="str">
        <f>HYPERLINK("https://rhld.insurance.arkansas.gov/NPILookup?Npi=1659720183","1659720183")</f>
        <v>1659720183</v>
      </c>
      <c r="E20753" t="s">
        <v>18394</v>
      </c>
    </row>
    <row r="20754" spans="1:5" x14ac:dyDescent="0.25">
      <c r="A20754" t="s">
        <v>4</v>
      </c>
      <c r="B20754" t="s">
        <v>4111</v>
      </c>
      <c r="C20754" s="1" t="s">
        <v>23490</v>
      </c>
      <c r="D20754" s="1" t="str">
        <f>HYPERLINK("https://rhld.insurance.arkansas.gov/NPILookup?Npi=1659722528","1659722528")</f>
        <v>1659722528</v>
      </c>
      <c r="E20754" t="s">
        <v>14157</v>
      </c>
    </row>
    <row r="20755" spans="1:5" x14ac:dyDescent="0.25">
      <c r="A20755" t="s">
        <v>4</v>
      </c>
      <c r="B20755" t="s">
        <v>4111</v>
      </c>
      <c r="C20755" s="1" t="s">
        <v>23490</v>
      </c>
      <c r="D20755" s="1" t="str">
        <f>HYPERLINK("https://rhld.insurance.arkansas.gov/NPILookup?Npi=1659746618","1659746618")</f>
        <v>1659746618</v>
      </c>
      <c r="E20755" t="s">
        <v>22202</v>
      </c>
    </row>
    <row r="20756" spans="1:5" x14ac:dyDescent="0.25">
      <c r="A20756" t="s">
        <v>4</v>
      </c>
      <c r="B20756" t="s">
        <v>4111</v>
      </c>
      <c r="C20756" s="1" t="s">
        <v>23490</v>
      </c>
      <c r="D20756" s="1" t="str">
        <f>HYPERLINK("https://rhld.insurance.arkansas.gov/NPILookup?Npi=1659753515","1659753515")</f>
        <v>1659753515</v>
      </c>
      <c r="E20756" t="s">
        <v>16186</v>
      </c>
    </row>
    <row r="20757" spans="1:5" x14ac:dyDescent="0.25">
      <c r="A20757" t="s">
        <v>4</v>
      </c>
      <c r="B20757" t="s">
        <v>4111</v>
      </c>
      <c r="C20757" s="1" t="s">
        <v>23490</v>
      </c>
      <c r="D20757" s="1" t="str">
        <f>HYPERLINK("https://rhld.insurance.arkansas.gov/NPILookup?Npi=1659770766","1659770766")</f>
        <v>1659770766</v>
      </c>
      <c r="E20757" t="s">
        <v>17620</v>
      </c>
    </row>
    <row r="20758" spans="1:5" x14ac:dyDescent="0.25">
      <c r="A20758" t="s">
        <v>4</v>
      </c>
      <c r="B20758" t="s">
        <v>4111</v>
      </c>
      <c r="C20758" s="1" t="s">
        <v>8427</v>
      </c>
      <c r="D20758" s="1" t="str">
        <f>HYPERLINK("https://rhld.insurance.arkansas.gov/NPILookup?Npi=1659786705","1659786705")</f>
        <v>1659786705</v>
      </c>
      <c r="E20758" t="s">
        <v>23159</v>
      </c>
    </row>
    <row r="20759" spans="1:5" x14ac:dyDescent="0.25">
      <c r="A20759" t="s">
        <v>4</v>
      </c>
      <c r="B20759" t="s">
        <v>4111</v>
      </c>
      <c r="C20759" s="1" t="s">
        <v>23490</v>
      </c>
      <c r="D20759" s="1" t="str">
        <f>HYPERLINK("https://rhld.insurance.arkansas.gov/NPILookup?Npi=1659786713","1659786713")</f>
        <v>1659786713</v>
      </c>
      <c r="E20759" t="s">
        <v>11782</v>
      </c>
    </row>
    <row r="20760" spans="1:5" x14ac:dyDescent="0.25">
      <c r="A20760" t="s">
        <v>4</v>
      </c>
      <c r="B20760" t="s">
        <v>4111</v>
      </c>
      <c r="C20760" s="1" t="s">
        <v>23490</v>
      </c>
      <c r="D20760" s="1" t="str">
        <f>HYPERLINK("https://rhld.insurance.arkansas.gov/NPILookup?Npi=1659788966","1659788966")</f>
        <v>1659788966</v>
      </c>
      <c r="E20760" t="s">
        <v>5389</v>
      </c>
    </row>
    <row r="20761" spans="1:5" x14ac:dyDescent="0.25">
      <c r="A20761" t="s">
        <v>4</v>
      </c>
      <c r="B20761" t="s">
        <v>4111</v>
      </c>
      <c r="C20761" s="1" t="s">
        <v>23490</v>
      </c>
      <c r="D20761" s="1" t="str">
        <f>HYPERLINK("https://rhld.insurance.arkansas.gov/NPILookup?Npi=1659797256","1659797256")</f>
        <v>1659797256</v>
      </c>
      <c r="E20761" t="s">
        <v>9137</v>
      </c>
    </row>
    <row r="20762" spans="1:5" x14ac:dyDescent="0.25">
      <c r="A20762" t="s">
        <v>4</v>
      </c>
      <c r="B20762" t="s">
        <v>4111</v>
      </c>
      <c r="C20762" s="1" t="s">
        <v>23490</v>
      </c>
      <c r="D20762" s="1" t="str">
        <f>HYPERLINK("https://rhld.insurance.arkansas.gov/NPILookup?Npi=1659805950","1659805950")</f>
        <v>1659805950</v>
      </c>
      <c r="E20762" t="s">
        <v>19000</v>
      </c>
    </row>
    <row r="20763" spans="1:5" x14ac:dyDescent="0.25">
      <c r="A20763" t="s">
        <v>4</v>
      </c>
      <c r="B20763" t="s">
        <v>4111</v>
      </c>
      <c r="C20763" s="1" t="s">
        <v>23490</v>
      </c>
      <c r="D20763" s="1" t="str">
        <f>HYPERLINK("https://rhld.insurance.arkansas.gov/NPILookup?Npi=1659828796","1659828796")</f>
        <v>1659828796</v>
      </c>
      <c r="E20763" t="s">
        <v>23160</v>
      </c>
    </row>
    <row r="20764" spans="1:5" x14ac:dyDescent="0.25">
      <c r="A20764" t="s">
        <v>4</v>
      </c>
      <c r="B20764" t="s">
        <v>4111</v>
      </c>
      <c r="C20764" s="1" t="s">
        <v>23490</v>
      </c>
      <c r="D20764" s="1" t="str">
        <f>HYPERLINK("https://rhld.insurance.arkansas.gov/NPILookup?Npi=1659891166","1659891166")</f>
        <v>1659891166</v>
      </c>
      <c r="E20764" t="s">
        <v>22203</v>
      </c>
    </row>
    <row r="20765" spans="1:5" x14ac:dyDescent="0.25">
      <c r="A20765" t="s">
        <v>4</v>
      </c>
      <c r="B20765" t="s">
        <v>4111</v>
      </c>
      <c r="C20765" s="1" t="s">
        <v>23490</v>
      </c>
      <c r="D20765" s="1" t="str">
        <f>HYPERLINK("https://rhld.insurance.arkansas.gov/NPILookup?Npi=1659900892","1659900892")</f>
        <v>1659900892</v>
      </c>
      <c r="E20765" t="s">
        <v>18395</v>
      </c>
    </row>
    <row r="20766" spans="1:5" x14ac:dyDescent="0.25">
      <c r="A20766" t="s">
        <v>4</v>
      </c>
      <c r="B20766" t="s">
        <v>4111</v>
      </c>
      <c r="C20766" s="1" t="s">
        <v>23490</v>
      </c>
      <c r="D20766" s="1" t="str">
        <f>HYPERLINK("https://rhld.insurance.arkansas.gov/NPILookup?Npi=1659906873","1659906873")</f>
        <v>1659906873</v>
      </c>
      <c r="E20766" t="s">
        <v>20546</v>
      </c>
    </row>
    <row r="20767" spans="1:5" x14ac:dyDescent="0.25">
      <c r="A20767" t="s">
        <v>4</v>
      </c>
      <c r="B20767" t="s">
        <v>4111</v>
      </c>
      <c r="C20767" s="1" t="s">
        <v>23490</v>
      </c>
      <c r="D20767" s="1" t="str">
        <f>HYPERLINK("https://rhld.insurance.arkansas.gov/NPILookup?Npi=1659911824","1659911824")</f>
        <v>1659911824</v>
      </c>
      <c r="E20767" t="s">
        <v>18396</v>
      </c>
    </row>
    <row r="20768" spans="1:5" x14ac:dyDescent="0.25">
      <c r="A20768" t="s">
        <v>4</v>
      </c>
      <c r="B20768" t="s">
        <v>4111</v>
      </c>
      <c r="C20768" s="1" t="s">
        <v>23490</v>
      </c>
      <c r="D20768" s="1" t="str">
        <f>HYPERLINK("https://rhld.insurance.arkansas.gov/NPILookup?Npi=1659911980","1659911980")</f>
        <v>1659911980</v>
      </c>
      <c r="E20768" t="s">
        <v>20547</v>
      </c>
    </row>
    <row r="20769" spans="1:5" x14ac:dyDescent="0.25">
      <c r="A20769" t="s">
        <v>4</v>
      </c>
      <c r="B20769" t="s">
        <v>4111</v>
      </c>
      <c r="C20769" s="1" t="s">
        <v>23490</v>
      </c>
      <c r="D20769" s="1" t="str">
        <f>HYPERLINK("https://rhld.insurance.arkansas.gov/NPILookup?Npi=1659915577","1659915577")</f>
        <v>1659915577</v>
      </c>
      <c r="E20769" t="s">
        <v>18397</v>
      </c>
    </row>
    <row r="20770" spans="1:5" x14ac:dyDescent="0.25">
      <c r="A20770" t="s">
        <v>4</v>
      </c>
      <c r="B20770" t="s">
        <v>4111</v>
      </c>
      <c r="C20770" s="1" t="s">
        <v>23490</v>
      </c>
      <c r="D20770" s="1" t="str">
        <f>HYPERLINK("https://rhld.insurance.arkansas.gov/NPILookup?Npi=1669006359","1669006359")</f>
        <v>1669006359</v>
      </c>
      <c r="E20770" t="s">
        <v>18398</v>
      </c>
    </row>
    <row r="20771" spans="1:5" x14ac:dyDescent="0.25">
      <c r="A20771" t="s">
        <v>4</v>
      </c>
      <c r="B20771" t="s">
        <v>4111</v>
      </c>
      <c r="C20771" s="1" t="s">
        <v>23490</v>
      </c>
      <c r="D20771" s="1" t="str">
        <f>HYPERLINK("https://rhld.insurance.arkansas.gov/NPILookup?Npi=1669014528","1669014528")</f>
        <v>1669014528</v>
      </c>
      <c r="E20771" t="s">
        <v>22204</v>
      </c>
    </row>
    <row r="20772" spans="1:5" x14ac:dyDescent="0.25">
      <c r="A20772" t="s">
        <v>4</v>
      </c>
      <c r="B20772" t="s">
        <v>4111</v>
      </c>
      <c r="C20772" s="1" t="s">
        <v>23490</v>
      </c>
      <c r="D20772" s="1" t="str">
        <f>HYPERLINK("https://rhld.insurance.arkansas.gov/NPILookup?Npi=1669032553","1669032553")</f>
        <v>1669032553</v>
      </c>
      <c r="E20772" t="s">
        <v>22205</v>
      </c>
    </row>
    <row r="20773" spans="1:5" x14ac:dyDescent="0.25">
      <c r="A20773" t="s">
        <v>4</v>
      </c>
      <c r="B20773" t="s">
        <v>4111</v>
      </c>
      <c r="C20773" s="1" t="s">
        <v>23490</v>
      </c>
      <c r="D20773" s="1" t="str">
        <f>HYPERLINK("https://rhld.insurance.arkansas.gov/NPILookup?Npi=1669036588","1669036588")</f>
        <v>1669036588</v>
      </c>
      <c r="E20773" t="s">
        <v>16187</v>
      </c>
    </row>
    <row r="20774" spans="1:5" x14ac:dyDescent="0.25">
      <c r="A20774" t="s">
        <v>4</v>
      </c>
      <c r="B20774" t="s">
        <v>4111</v>
      </c>
      <c r="C20774" s="1" t="s">
        <v>8427</v>
      </c>
      <c r="D20774" s="1" t="str">
        <f>HYPERLINK("https://rhld.insurance.arkansas.gov/NPILookup?Npi=1669054011","1669054011")</f>
        <v>1669054011</v>
      </c>
      <c r="E20774" t="s">
        <v>23161</v>
      </c>
    </row>
    <row r="20775" spans="1:5" x14ac:dyDescent="0.25">
      <c r="A20775" t="s">
        <v>4</v>
      </c>
      <c r="B20775" t="s">
        <v>4111</v>
      </c>
      <c r="C20775" s="1" t="s">
        <v>23490</v>
      </c>
      <c r="D20775" s="1" t="str">
        <f>HYPERLINK("https://rhld.insurance.arkansas.gov/NPILookup?Npi=1669083176","1669083176")</f>
        <v>1669083176</v>
      </c>
      <c r="E20775" t="s">
        <v>22206</v>
      </c>
    </row>
    <row r="20776" spans="1:5" x14ac:dyDescent="0.25">
      <c r="A20776" t="s">
        <v>4</v>
      </c>
      <c r="B20776" t="s">
        <v>4111</v>
      </c>
      <c r="C20776" s="1" t="s">
        <v>23490</v>
      </c>
      <c r="D20776" s="1" t="str">
        <f>HYPERLINK("https://rhld.insurance.arkansas.gov/NPILookup?Npi=1669084380","1669084380")</f>
        <v>1669084380</v>
      </c>
      <c r="E20776" t="s">
        <v>22207</v>
      </c>
    </row>
    <row r="20777" spans="1:5" x14ac:dyDescent="0.25">
      <c r="A20777" t="s">
        <v>4</v>
      </c>
      <c r="B20777" t="s">
        <v>4111</v>
      </c>
      <c r="C20777" s="1" t="s">
        <v>23490</v>
      </c>
      <c r="D20777" s="1" t="str">
        <f>HYPERLINK("https://rhld.insurance.arkansas.gov/NPILookup?Npi=1669149217","1669149217")</f>
        <v>1669149217</v>
      </c>
      <c r="E20777" t="s">
        <v>20905</v>
      </c>
    </row>
    <row r="20778" spans="1:5" x14ac:dyDescent="0.25">
      <c r="A20778" t="s">
        <v>4</v>
      </c>
      <c r="B20778" t="s">
        <v>4111</v>
      </c>
      <c r="C20778" s="1" t="s">
        <v>8427</v>
      </c>
      <c r="D20778" s="1" t="str">
        <f>HYPERLINK("https://rhld.insurance.arkansas.gov/NPILookup?Npi=1669155305","1669155305")</f>
        <v>1669155305</v>
      </c>
      <c r="E20778" t="s">
        <v>23162</v>
      </c>
    </row>
    <row r="20779" spans="1:5" x14ac:dyDescent="0.25">
      <c r="A20779" t="s">
        <v>4</v>
      </c>
      <c r="B20779" t="s">
        <v>4111</v>
      </c>
      <c r="C20779" s="1" t="s">
        <v>23490</v>
      </c>
      <c r="D20779" s="1" t="str">
        <f>HYPERLINK("https://rhld.insurance.arkansas.gov/NPILookup?Npi=1669404935","1669404935")</f>
        <v>1669404935</v>
      </c>
      <c r="E20779" t="s">
        <v>2681</v>
      </c>
    </row>
    <row r="20780" spans="1:5" x14ac:dyDescent="0.25">
      <c r="A20780" t="s">
        <v>4</v>
      </c>
      <c r="B20780" t="s">
        <v>4111</v>
      </c>
      <c r="C20780" s="1" t="s">
        <v>23490</v>
      </c>
      <c r="D20780" s="1" t="str">
        <f>HYPERLINK("https://rhld.insurance.arkansas.gov/NPILookup?Npi=1669431607","1669431607")</f>
        <v>1669431607</v>
      </c>
      <c r="E20780" t="s">
        <v>5391</v>
      </c>
    </row>
    <row r="20781" spans="1:5" x14ac:dyDescent="0.25">
      <c r="A20781" t="s">
        <v>4</v>
      </c>
      <c r="B20781" t="s">
        <v>4111</v>
      </c>
      <c r="C20781" s="1" t="s">
        <v>23490</v>
      </c>
      <c r="D20781" s="1" t="str">
        <f>HYPERLINK("https://rhld.insurance.arkansas.gov/NPILookup?Npi=1669447702","1669447702")</f>
        <v>1669447702</v>
      </c>
      <c r="E20781" t="s">
        <v>5392</v>
      </c>
    </row>
    <row r="20782" spans="1:5" x14ac:dyDescent="0.25">
      <c r="A20782" t="s">
        <v>4</v>
      </c>
      <c r="B20782" t="s">
        <v>4111</v>
      </c>
      <c r="C20782" s="1" t="s">
        <v>23490</v>
      </c>
      <c r="D20782" s="1" t="str">
        <f>HYPERLINK("https://rhld.insurance.arkansas.gov/NPILookup?Npi=1669483848","1669483848")</f>
        <v>1669483848</v>
      </c>
      <c r="E20782" t="s">
        <v>5393</v>
      </c>
    </row>
    <row r="20783" spans="1:5" x14ac:dyDescent="0.25">
      <c r="A20783" t="s">
        <v>4</v>
      </c>
      <c r="B20783" t="s">
        <v>4111</v>
      </c>
      <c r="C20783" s="1" t="s">
        <v>23490</v>
      </c>
      <c r="D20783" s="1" t="str">
        <f>HYPERLINK("https://rhld.insurance.arkansas.gov/NPILookup?Npi=1669494092","1669494092")</f>
        <v>1669494092</v>
      </c>
      <c r="E20783" t="s">
        <v>5394</v>
      </c>
    </row>
    <row r="20784" spans="1:5" x14ac:dyDescent="0.25">
      <c r="A20784" t="s">
        <v>4</v>
      </c>
      <c r="B20784" t="s">
        <v>4111</v>
      </c>
      <c r="C20784" s="1" t="s">
        <v>23490</v>
      </c>
      <c r="D20784" s="1" t="str">
        <f>HYPERLINK("https://rhld.insurance.arkansas.gov/NPILookup?Npi=1669499240","1669499240")</f>
        <v>1669499240</v>
      </c>
      <c r="E20784" t="s">
        <v>5395</v>
      </c>
    </row>
    <row r="20785" spans="1:5" x14ac:dyDescent="0.25">
      <c r="A20785" t="s">
        <v>4</v>
      </c>
      <c r="B20785" t="s">
        <v>4111</v>
      </c>
      <c r="C20785" s="1" t="s">
        <v>23490</v>
      </c>
      <c r="D20785" s="1" t="str">
        <f>HYPERLINK("https://rhld.insurance.arkansas.gov/NPILookup?Npi=1669505848","1669505848")</f>
        <v>1669505848</v>
      </c>
      <c r="E20785" t="s">
        <v>5396</v>
      </c>
    </row>
    <row r="20786" spans="1:5" x14ac:dyDescent="0.25">
      <c r="A20786" t="s">
        <v>4</v>
      </c>
      <c r="B20786" t="s">
        <v>4111</v>
      </c>
      <c r="C20786" s="1" t="s">
        <v>23490</v>
      </c>
      <c r="D20786" s="1" t="str">
        <f>HYPERLINK("https://rhld.insurance.arkansas.gov/NPILookup?Npi=1669519070","1669519070")</f>
        <v>1669519070</v>
      </c>
      <c r="E20786" t="s">
        <v>5397</v>
      </c>
    </row>
    <row r="20787" spans="1:5" x14ac:dyDescent="0.25">
      <c r="A20787" t="s">
        <v>4</v>
      </c>
      <c r="B20787" t="s">
        <v>4111</v>
      </c>
      <c r="C20787" s="1" t="s">
        <v>23490</v>
      </c>
      <c r="D20787" s="1" t="str">
        <f>HYPERLINK("https://rhld.insurance.arkansas.gov/NPILookup?Npi=1669552493","1669552493")</f>
        <v>1669552493</v>
      </c>
      <c r="E20787" t="s">
        <v>5398</v>
      </c>
    </row>
    <row r="20788" spans="1:5" x14ac:dyDescent="0.25">
      <c r="A20788" t="s">
        <v>4</v>
      </c>
      <c r="B20788" t="s">
        <v>4111</v>
      </c>
      <c r="C20788" s="1" t="s">
        <v>23490</v>
      </c>
      <c r="D20788" s="1" t="str">
        <f>HYPERLINK("https://rhld.insurance.arkansas.gov/NPILookup?Npi=1669562591","1669562591")</f>
        <v>1669562591</v>
      </c>
      <c r="E20788" t="s">
        <v>20548</v>
      </c>
    </row>
    <row r="20789" spans="1:5" x14ac:dyDescent="0.25">
      <c r="A20789" t="s">
        <v>4</v>
      </c>
      <c r="B20789" t="s">
        <v>4111</v>
      </c>
      <c r="C20789" s="1" t="s">
        <v>23490</v>
      </c>
      <c r="D20789" s="1" t="str">
        <f>HYPERLINK("https://rhld.insurance.arkansas.gov/NPILookup?Npi=1669572202","1669572202")</f>
        <v>1669572202</v>
      </c>
      <c r="E20789" t="s">
        <v>5399</v>
      </c>
    </row>
    <row r="20790" spans="1:5" x14ac:dyDescent="0.25">
      <c r="A20790" t="s">
        <v>4</v>
      </c>
      <c r="B20790" t="s">
        <v>4111</v>
      </c>
      <c r="C20790" s="1" t="s">
        <v>23490</v>
      </c>
      <c r="D20790" s="1" t="str">
        <f>HYPERLINK("https://rhld.insurance.arkansas.gov/NPILookup?Npi=1669572871","1669572871")</f>
        <v>1669572871</v>
      </c>
      <c r="E20790" t="s">
        <v>5400</v>
      </c>
    </row>
    <row r="20791" spans="1:5" x14ac:dyDescent="0.25">
      <c r="A20791" t="s">
        <v>4</v>
      </c>
      <c r="B20791" t="s">
        <v>4111</v>
      </c>
      <c r="C20791" s="1" t="s">
        <v>23490</v>
      </c>
      <c r="D20791" s="1" t="str">
        <f>HYPERLINK("https://rhld.insurance.arkansas.gov/NPILookup?Npi=1669577102","1669577102")</f>
        <v>1669577102</v>
      </c>
      <c r="E20791" t="s">
        <v>5401</v>
      </c>
    </row>
    <row r="20792" spans="1:5" x14ac:dyDescent="0.25">
      <c r="A20792" t="s">
        <v>4</v>
      </c>
      <c r="B20792" t="s">
        <v>4111</v>
      </c>
      <c r="C20792" s="1" t="s">
        <v>23490</v>
      </c>
      <c r="D20792" s="1" t="str">
        <f>HYPERLINK("https://rhld.insurance.arkansas.gov/NPILookup?Npi=1669584876","1669584876")</f>
        <v>1669584876</v>
      </c>
      <c r="E20792" t="s">
        <v>5402</v>
      </c>
    </row>
    <row r="20793" spans="1:5" x14ac:dyDescent="0.25">
      <c r="A20793" t="s">
        <v>4</v>
      </c>
      <c r="B20793" t="s">
        <v>4111</v>
      </c>
      <c r="C20793" s="1" t="s">
        <v>23490</v>
      </c>
      <c r="D20793" s="1" t="str">
        <f>HYPERLINK("https://rhld.insurance.arkansas.gov/NPILookup?Npi=1669591012","1669591012")</f>
        <v>1669591012</v>
      </c>
      <c r="E20793" t="s">
        <v>5403</v>
      </c>
    </row>
    <row r="20794" spans="1:5" x14ac:dyDescent="0.25">
      <c r="A20794" t="s">
        <v>4</v>
      </c>
      <c r="B20794" t="s">
        <v>4111</v>
      </c>
      <c r="C20794" s="1" t="s">
        <v>23490</v>
      </c>
      <c r="D20794" s="1" t="str">
        <f>HYPERLINK("https://rhld.insurance.arkansas.gov/NPILookup?Npi=1669593711","1669593711")</f>
        <v>1669593711</v>
      </c>
      <c r="E20794" t="s">
        <v>5404</v>
      </c>
    </row>
    <row r="20795" spans="1:5" x14ac:dyDescent="0.25">
      <c r="A20795" t="s">
        <v>4</v>
      </c>
      <c r="B20795" t="s">
        <v>4111</v>
      </c>
      <c r="C20795" s="1" t="s">
        <v>23490</v>
      </c>
      <c r="D20795" s="1" t="str">
        <f>HYPERLINK("https://rhld.insurance.arkansas.gov/NPILookup?Npi=1669598462","1669598462")</f>
        <v>1669598462</v>
      </c>
      <c r="E20795" t="s">
        <v>11783</v>
      </c>
    </row>
    <row r="20796" spans="1:5" x14ac:dyDescent="0.25">
      <c r="A20796" t="s">
        <v>4</v>
      </c>
      <c r="B20796" t="s">
        <v>4111</v>
      </c>
      <c r="C20796" s="1" t="s">
        <v>23490</v>
      </c>
      <c r="D20796" s="1" t="str">
        <f>HYPERLINK("https://rhld.insurance.arkansas.gov/NPILookup?Npi=1669605036","1669605036")</f>
        <v>1669605036</v>
      </c>
      <c r="E20796" t="s">
        <v>5405</v>
      </c>
    </row>
    <row r="20797" spans="1:5" x14ac:dyDescent="0.25">
      <c r="A20797" t="s">
        <v>4</v>
      </c>
      <c r="B20797" t="s">
        <v>4111</v>
      </c>
      <c r="C20797" s="1" t="s">
        <v>23490</v>
      </c>
      <c r="D20797" s="1" t="str">
        <f>HYPERLINK("https://rhld.insurance.arkansas.gov/NPILookup?Npi=1669610358","1669610358")</f>
        <v>1669610358</v>
      </c>
      <c r="E20797" t="s">
        <v>5406</v>
      </c>
    </row>
    <row r="20798" spans="1:5" x14ac:dyDescent="0.25">
      <c r="A20798" t="s">
        <v>4</v>
      </c>
      <c r="B20798" t="s">
        <v>4111</v>
      </c>
      <c r="C20798" s="1" t="s">
        <v>23490</v>
      </c>
      <c r="D20798" s="1" t="str">
        <f>HYPERLINK("https://rhld.insurance.arkansas.gov/NPILookup?Npi=1669642989","1669642989")</f>
        <v>1669642989</v>
      </c>
      <c r="E20798" t="s">
        <v>5407</v>
      </c>
    </row>
    <row r="20799" spans="1:5" x14ac:dyDescent="0.25">
      <c r="A20799" t="s">
        <v>4</v>
      </c>
      <c r="B20799" t="s">
        <v>4111</v>
      </c>
      <c r="C20799" s="1" t="s">
        <v>23490</v>
      </c>
      <c r="D20799" s="1" t="str">
        <f>HYPERLINK("https://rhld.insurance.arkansas.gov/NPILookup?Npi=1669649836","1669649836")</f>
        <v>1669649836</v>
      </c>
      <c r="E20799" t="s">
        <v>17210</v>
      </c>
    </row>
    <row r="20800" spans="1:5" x14ac:dyDescent="0.25">
      <c r="A20800" t="s">
        <v>4</v>
      </c>
      <c r="B20800" t="s">
        <v>4111</v>
      </c>
      <c r="C20800" s="1" t="s">
        <v>23490</v>
      </c>
      <c r="D20800" s="1" t="str">
        <f>HYPERLINK("https://rhld.insurance.arkansas.gov/NPILookup?Npi=1669661021","1669661021")</f>
        <v>1669661021</v>
      </c>
      <c r="E20800" t="s">
        <v>18399</v>
      </c>
    </row>
    <row r="20801" spans="1:5" x14ac:dyDescent="0.25">
      <c r="A20801" t="s">
        <v>4</v>
      </c>
      <c r="B20801" t="s">
        <v>4111</v>
      </c>
      <c r="C20801" s="1" t="s">
        <v>23490</v>
      </c>
      <c r="D20801" s="1" t="str">
        <f>HYPERLINK("https://rhld.insurance.arkansas.gov/NPILookup?Npi=1669686382","1669686382")</f>
        <v>1669686382</v>
      </c>
      <c r="E20801" t="s">
        <v>5408</v>
      </c>
    </row>
    <row r="20802" spans="1:5" x14ac:dyDescent="0.25">
      <c r="A20802" t="s">
        <v>4</v>
      </c>
      <c r="B20802" t="s">
        <v>4111</v>
      </c>
      <c r="C20802" s="1" t="s">
        <v>23490</v>
      </c>
      <c r="D20802" s="1" t="str">
        <f>HYPERLINK("https://rhld.insurance.arkansas.gov/NPILookup?Npi=1669701843","1669701843")</f>
        <v>1669701843</v>
      </c>
      <c r="E20802" t="s">
        <v>17211</v>
      </c>
    </row>
    <row r="20803" spans="1:5" x14ac:dyDescent="0.25">
      <c r="A20803" t="s">
        <v>4</v>
      </c>
      <c r="B20803" t="s">
        <v>4111</v>
      </c>
      <c r="C20803" s="1" t="s">
        <v>23490</v>
      </c>
      <c r="D20803" s="1" t="str">
        <f>HYPERLINK("https://rhld.insurance.arkansas.gov/NPILookup?Npi=1669702643","1669702643")</f>
        <v>1669702643</v>
      </c>
      <c r="E20803" t="s">
        <v>13181</v>
      </c>
    </row>
    <row r="20804" spans="1:5" x14ac:dyDescent="0.25">
      <c r="A20804" t="s">
        <v>4</v>
      </c>
      <c r="B20804" t="s">
        <v>4111</v>
      </c>
      <c r="C20804" s="1" t="s">
        <v>23490</v>
      </c>
      <c r="D20804" s="1" t="str">
        <f>HYPERLINK("https://rhld.insurance.arkansas.gov/NPILookup?Npi=1669707832","1669707832")</f>
        <v>1669707832</v>
      </c>
      <c r="E20804" t="s">
        <v>5409</v>
      </c>
    </row>
    <row r="20805" spans="1:5" x14ac:dyDescent="0.25">
      <c r="A20805" t="s">
        <v>4</v>
      </c>
      <c r="B20805" t="s">
        <v>4111</v>
      </c>
      <c r="C20805" s="1" t="s">
        <v>23490</v>
      </c>
      <c r="D20805" s="1" t="str">
        <f>HYPERLINK("https://rhld.insurance.arkansas.gov/NPILookup?Npi=1669717252","1669717252")</f>
        <v>1669717252</v>
      </c>
      <c r="E20805" t="s">
        <v>14158</v>
      </c>
    </row>
    <row r="20806" spans="1:5" x14ac:dyDescent="0.25">
      <c r="A20806" t="s">
        <v>4</v>
      </c>
      <c r="B20806" t="s">
        <v>4111</v>
      </c>
      <c r="C20806" s="1" t="s">
        <v>23490</v>
      </c>
      <c r="D20806" s="1" t="str">
        <f>HYPERLINK("https://rhld.insurance.arkansas.gov/NPILookup?Npi=1669719951","1669719951")</f>
        <v>1669719951</v>
      </c>
      <c r="E20806" t="s">
        <v>18400</v>
      </c>
    </row>
    <row r="20807" spans="1:5" x14ac:dyDescent="0.25">
      <c r="A20807" t="s">
        <v>4</v>
      </c>
      <c r="B20807" t="s">
        <v>4111</v>
      </c>
      <c r="C20807" s="1" t="s">
        <v>23490</v>
      </c>
      <c r="D20807" s="1" t="str">
        <f>HYPERLINK("https://rhld.insurance.arkansas.gov/NPILookup?Npi=1669743076","1669743076")</f>
        <v>1669743076</v>
      </c>
      <c r="E20807" t="s">
        <v>18401</v>
      </c>
    </row>
    <row r="20808" spans="1:5" x14ac:dyDescent="0.25">
      <c r="A20808" t="s">
        <v>4</v>
      </c>
      <c r="B20808" t="s">
        <v>4111</v>
      </c>
      <c r="C20808" s="1" t="s">
        <v>23490</v>
      </c>
      <c r="D20808" s="1" t="str">
        <f>HYPERLINK("https://rhld.insurance.arkansas.gov/NPILookup?Npi=1669761615","1669761615")</f>
        <v>1669761615</v>
      </c>
      <c r="E20808" t="s">
        <v>20549</v>
      </c>
    </row>
    <row r="20809" spans="1:5" x14ac:dyDescent="0.25">
      <c r="A20809" t="s">
        <v>4</v>
      </c>
      <c r="B20809" t="s">
        <v>4111</v>
      </c>
      <c r="C20809" s="1" t="s">
        <v>23490</v>
      </c>
      <c r="D20809" s="1" t="str">
        <f>HYPERLINK("https://rhld.insurance.arkansas.gov/NPILookup?Npi=1669772547","1669772547")</f>
        <v>1669772547</v>
      </c>
      <c r="E20809" t="s">
        <v>17621</v>
      </c>
    </row>
    <row r="20810" spans="1:5" x14ac:dyDescent="0.25">
      <c r="A20810" t="s">
        <v>4</v>
      </c>
      <c r="B20810" t="s">
        <v>4111</v>
      </c>
      <c r="C20810" s="1" t="s">
        <v>23490</v>
      </c>
      <c r="D20810" s="1" t="str">
        <f>HYPERLINK("https://rhld.insurance.arkansas.gov/NPILookup?Npi=1669787990","1669787990")</f>
        <v>1669787990</v>
      </c>
      <c r="E20810" t="s">
        <v>11784</v>
      </c>
    </row>
    <row r="20811" spans="1:5" x14ac:dyDescent="0.25">
      <c r="A20811" t="s">
        <v>4</v>
      </c>
      <c r="B20811" t="s">
        <v>4111</v>
      </c>
      <c r="C20811" s="1" t="s">
        <v>23490</v>
      </c>
      <c r="D20811" s="1" t="str">
        <f>HYPERLINK("https://rhld.insurance.arkansas.gov/NPILookup?Npi=1669802823","1669802823")</f>
        <v>1669802823</v>
      </c>
      <c r="E20811" t="s">
        <v>11785</v>
      </c>
    </row>
    <row r="20812" spans="1:5" x14ac:dyDescent="0.25">
      <c r="A20812" t="s">
        <v>4</v>
      </c>
      <c r="B20812" t="s">
        <v>4111</v>
      </c>
      <c r="C20812" s="1" t="s">
        <v>23490</v>
      </c>
      <c r="D20812" s="1" t="str">
        <f>HYPERLINK("https://rhld.insurance.arkansas.gov/NPILookup?Npi=1669804803","1669804803")</f>
        <v>1669804803</v>
      </c>
      <c r="E20812" t="s">
        <v>22209</v>
      </c>
    </row>
    <row r="20813" spans="1:5" x14ac:dyDescent="0.25">
      <c r="A20813" t="s">
        <v>4</v>
      </c>
      <c r="B20813" t="s">
        <v>4111</v>
      </c>
      <c r="C20813" s="1" t="s">
        <v>23490</v>
      </c>
      <c r="D20813" s="1" t="str">
        <f>HYPERLINK("https://rhld.insurance.arkansas.gov/NPILookup?Npi=1669806071","1669806071")</f>
        <v>1669806071</v>
      </c>
      <c r="E20813" t="s">
        <v>20550</v>
      </c>
    </row>
    <row r="20814" spans="1:5" x14ac:dyDescent="0.25">
      <c r="A20814" t="s">
        <v>4</v>
      </c>
      <c r="B20814" t="s">
        <v>4111</v>
      </c>
      <c r="C20814" s="1" t="s">
        <v>8427</v>
      </c>
      <c r="D20814" s="1" t="str">
        <f>HYPERLINK("https://rhld.insurance.arkansas.gov/NPILookup?Npi=1669830360","1669830360")</f>
        <v>1669830360</v>
      </c>
      <c r="E20814" t="s">
        <v>23163</v>
      </c>
    </row>
    <row r="20815" spans="1:5" x14ac:dyDescent="0.25">
      <c r="A20815" t="s">
        <v>4</v>
      </c>
      <c r="B20815" t="s">
        <v>4111</v>
      </c>
      <c r="C20815" s="1" t="s">
        <v>23490</v>
      </c>
      <c r="D20815" s="1" t="str">
        <f>HYPERLINK("https://rhld.insurance.arkansas.gov/NPILookup?Npi=1669830543","1669830543")</f>
        <v>1669830543</v>
      </c>
      <c r="E20815" t="s">
        <v>22210</v>
      </c>
    </row>
    <row r="20816" spans="1:5" x14ac:dyDescent="0.25">
      <c r="A20816" t="s">
        <v>4</v>
      </c>
      <c r="B20816" t="s">
        <v>4111</v>
      </c>
      <c r="C20816" s="1" t="s">
        <v>23490</v>
      </c>
      <c r="D20816" s="1" t="str">
        <f>HYPERLINK("https://rhld.insurance.arkansas.gov/NPILookup?Npi=1669844023","1669844023")</f>
        <v>1669844023</v>
      </c>
      <c r="E20816" t="s">
        <v>22211</v>
      </c>
    </row>
    <row r="20817" spans="1:5" x14ac:dyDescent="0.25">
      <c r="A20817" t="s">
        <v>4</v>
      </c>
      <c r="B20817" t="s">
        <v>4111</v>
      </c>
      <c r="C20817" s="1" t="s">
        <v>23490</v>
      </c>
      <c r="D20817" s="1" t="str">
        <f>HYPERLINK("https://rhld.insurance.arkansas.gov/NPILookup?Npi=1669849493","1669849493")</f>
        <v>1669849493</v>
      </c>
      <c r="E20817" t="s">
        <v>5410</v>
      </c>
    </row>
    <row r="20818" spans="1:5" x14ac:dyDescent="0.25">
      <c r="A20818" t="s">
        <v>4</v>
      </c>
      <c r="B20818" t="s">
        <v>4111</v>
      </c>
      <c r="C20818" s="1" t="s">
        <v>23490</v>
      </c>
      <c r="D20818" s="1" t="str">
        <f>HYPERLINK("https://rhld.insurance.arkansas.gov/NPILookup?Npi=1669873774","1669873774")</f>
        <v>1669873774</v>
      </c>
      <c r="E20818" t="s">
        <v>2352</v>
      </c>
    </row>
    <row r="20819" spans="1:5" x14ac:dyDescent="0.25">
      <c r="A20819" t="s">
        <v>4</v>
      </c>
      <c r="B20819" t="s">
        <v>4111</v>
      </c>
      <c r="C20819" s="1" t="s">
        <v>23490</v>
      </c>
      <c r="D20819" s="1" t="str">
        <f>HYPERLINK("https://rhld.insurance.arkansas.gov/NPILookup?Npi=1669908984","1669908984")</f>
        <v>1669908984</v>
      </c>
      <c r="E20819" t="s">
        <v>17212</v>
      </c>
    </row>
    <row r="20820" spans="1:5" x14ac:dyDescent="0.25">
      <c r="A20820" t="s">
        <v>4</v>
      </c>
      <c r="B20820" t="s">
        <v>4111</v>
      </c>
      <c r="C20820" s="1" t="s">
        <v>23490</v>
      </c>
      <c r="D20820" s="1" t="str">
        <f>HYPERLINK("https://rhld.insurance.arkansas.gov/NPILookup?Npi=1669935870","1669935870")</f>
        <v>1669935870</v>
      </c>
      <c r="E20820" t="s">
        <v>20551</v>
      </c>
    </row>
    <row r="20821" spans="1:5" x14ac:dyDescent="0.25">
      <c r="A20821" t="s">
        <v>4</v>
      </c>
      <c r="B20821" t="s">
        <v>4111</v>
      </c>
      <c r="C20821" s="1" t="s">
        <v>23490</v>
      </c>
      <c r="D20821" s="1" t="str">
        <f>HYPERLINK("https://rhld.insurance.arkansas.gov/NPILookup?Npi=1669954434","1669954434")</f>
        <v>1669954434</v>
      </c>
      <c r="E20821" t="s">
        <v>14159</v>
      </c>
    </row>
    <row r="20822" spans="1:5" x14ac:dyDescent="0.25">
      <c r="A20822" t="s">
        <v>4</v>
      </c>
      <c r="B20822" t="s">
        <v>4111</v>
      </c>
      <c r="C20822" s="1" t="s">
        <v>23490</v>
      </c>
      <c r="D20822" s="1" t="str">
        <f>HYPERLINK("https://rhld.insurance.arkansas.gov/NPILookup?Npi=1669960043","1669960043")</f>
        <v>1669960043</v>
      </c>
      <c r="E20822" t="s">
        <v>17622</v>
      </c>
    </row>
    <row r="20823" spans="1:5" x14ac:dyDescent="0.25">
      <c r="A20823" t="s">
        <v>4</v>
      </c>
      <c r="B20823" t="s">
        <v>4111</v>
      </c>
      <c r="C20823" s="1" t="s">
        <v>23490</v>
      </c>
      <c r="D20823" s="1" t="str">
        <f>HYPERLINK("https://rhld.insurance.arkansas.gov/NPILookup?Npi=1669963096","1669963096")</f>
        <v>1669963096</v>
      </c>
      <c r="E20823" t="s">
        <v>17213</v>
      </c>
    </row>
    <row r="20824" spans="1:5" x14ac:dyDescent="0.25">
      <c r="A20824" t="s">
        <v>4</v>
      </c>
      <c r="B20824" t="s">
        <v>4111</v>
      </c>
      <c r="C20824" s="1" t="s">
        <v>23490</v>
      </c>
      <c r="D20824" s="1" t="str">
        <f>HYPERLINK("https://rhld.insurance.arkansas.gov/NPILookup?Npi=1669969861","1669969861")</f>
        <v>1669969861</v>
      </c>
      <c r="E20824" t="s">
        <v>20552</v>
      </c>
    </row>
    <row r="20825" spans="1:5" x14ac:dyDescent="0.25">
      <c r="A20825" t="s">
        <v>4</v>
      </c>
      <c r="B20825" t="s">
        <v>4111</v>
      </c>
      <c r="C20825" s="1" t="s">
        <v>23490</v>
      </c>
      <c r="D20825" s="1" t="str">
        <f>HYPERLINK("https://rhld.insurance.arkansas.gov/NPILookup?Npi=1669985172","1669985172")</f>
        <v>1669985172</v>
      </c>
      <c r="E20825" t="s">
        <v>13182</v>
      </c>
    </row>
    <row r="20826" spans="1:5" x14ac:dyDescent="0.25">
      <c r="A20826" t="s">
        <v>4</v>
      </c>
      <c r="B20826" t="s">
        <v>4111</v>
      </c>
      <c r="C20826" s="1" t="s">
        <v>23490</v>
      </c>
      <c r="D20826" s="1" t="str">
        <f>HYPERLINK("https://rhld.insurance.arkansas.gov/NPILookup?Npi=1669989158","1669989158")</f>
        <v>1669989158</v>
      </c>
      <c r="E20826" t="s">
        <v>22212</v>
      </c>
    </row>
    <row r="20827" spans="1:5" x14ac:dyDescent="0.25">
      <c r="A20827" t="s">
        <v>4</v>
      </c>
      <c r="B20827" t="s">
        <v>4111</v>
      </c>
      <c r="C20827" s="1" t="s">
        <v>23490</v>
      </c>
      <c r="D20827" s="1" t="str">
        <f>HYPERLINK("https://rhld.insurance.arkansas.gov/NPILookup?Npi=1679008759","1679008759")</f>
        <v>1679008759</v>
      </c>
      <c r="E20827" t="s">
        <v>11786</v>
      </c>
    </row>
    <row r="20828" spans="1:5" x14ac:dyDescent="0.25">
      <c r="A20828" t="s">
        <v>4</v>
      </c>
      <c r="B20828" t="s">
        <v>4111</v>
      </c>
      <c r="C20828" s="1" t="s">
        <v>23490</v>
      </c>
      <c r="D20828" s="1" t="str">
        <f>HYPERLINK("https://rhld.insurance.arkansas.gov/NPILookup?Npi=1679023477","1679023477")</f>
        <v>1679023477</v>
      </c>
      <c r="E20828" t="s">
        <v>17214</v>
      </c>
    </row>
    <row r="20829" spans="1:5" x14ac:dyDescent="0.25">
      <c r="A20829" t="s">
        <v>4</v>
      </c>
      <c r="B20829" t="s">
        <v>4111</v>
      </c>
      <c r="C20829" s="1" t="s">
        <v>23490</v>
      </c>
      <c r="D20829" s="1" t="str">
        <f>HYPERLINK("https://rhld.insurance.arkansas.gov/NPILookup?Npi=1679026207","1679026207")</f>
        <v>1679026207</v>
      </c>
      <c r="E20829" t="s">
        <v>16188</v>
      </c>
    </row>
    <row r="20830" spans="1:5" x14ac:dyDescent="0.25">
      <c r="A20830" t="s">
        <v>4</v>
      </c>
      <c r="B20830" t="s">
        <v>4111</v>
      </c>
      <c r="C20830" s="1" t="s">
        <v>23490</v>
      </c>
      <c r="D20830" s="1" t="str">
        <f>HYPERLINK("https://rhld.insurance.arkansas.gov/NPILookup?Npi=1679029201","1679029201")</f>
        <v>1679029201</v>
      </c>
      <c r="E20830" t="s">
        <v>14160</v>
      </c>
    </row>
    <row r="20831" spans="1:5" x14ac:dyDescent="0.25">
      <c r="A20831" t="s">
        <v>4</v>
      </c>
      <c r="B20831" t="s">
        <v>4111</v>
      </c>
      <c r="C20831" s="1" t="s">
        <v>23490</v>
      </c>
      <c r="D20831" s="1" t="str">
        <f>HYPERLINK("https://rhld.insurance.arkansas.gov/NPILookup?Npi=1679064315","1679064315")</f>
        <v>1679064315</v>
      </c>
      <c r="E20831" t="s">
        <v>17623</v>
      </c>
    </row>
    <row r="20832" spans="1:5" x14ac:dyDescent="0.25">
      <c r="A20832" t="s">
        <v>4</v>
      </c>
      <c r="B20832" t="s">
        <v>4111</v>
      </c>
      <c r="C20832" s="1" t="s">
        <v>23490</v>
      </c>
      <c r="D20832" s="1" t="str">
        <f>HYPERLINK("https://rhld.insurance.arkansas.gov/NPILookup?Npi=1679070734","1679070734")</f>
        <v>1679070734</v>
      </c>
      <c r="E20832" t="s">
        <v>20553</v>
      </c>
    </row>
    <row r="20833" spans="1:5" x14ac:dyDescent="0.25">
      <c r="A20833" t="s">
        <v>4</v>
      </c>
      <c r="B20833" t="s">
        <v>4111</v>
      </c>
      <c r="C20833" s="1" t="s">
        <v>23490</v>
      </c>
      <c r="D20833" s="1" t="str">
        <f>HYPERLINK("https://rhld.insurance.arkansas.gov/NPILookup?Npi=1679079990","1679079990")</f>
        <v>1679079990</v>
      </c>
      <c r="E20833" t="s">
        <v>16189</v>
      </c>
    </row>
    <row r="20834" spans="1:5" x14ac:dyDescent="0.25">
      <c r="A20834" t="s">
        <v>4</v>
      </c>
      <c r="B20834" t="s">
        <v>4111</v>
      </c>
      <c r="C20834" s="1" t="s">
        <v>23490</v>
      </c>
      <c r="D20834" s="1" t="str">
        <f>HYPERLINK("https://rhld.insurance.arkansas.gov/NPILookup?Npi=1679080444","1679080444")</f>
        <v>1679080444</v>
      </c>
      <c r="E20834" t="s">
        <v>13183</v>
      </c>
    </row>
    <row r="20835" spans="1:5" x14ac:dyDescent="0.25">
      <c r="A20835" t="s">
        <v>4</v>
      </c>
      <c r="B20835" t="s">
        <v>4111</v>
      </c>
      <c r="C20835" s="1" t="s">
        <v>23490</v>
      </c>
      <c r="D20835" s="1" t="str">
        <f>HYPERLINK("https://rhld.insurance.arkansas.gov/NPILookup?Npi=1679081772","1679081772")</f>
        <v>1679081772</v>
      </c>
      <c r="E20835" t="s">
        <v>13184</v>
      </c>
    </row>
    <row r="20836" spans="1:5" x14ac:dyDescent="0.25">
      <c r="A20836" t="s">
        <v>4</v>
      </c>
      <c r="B20836" t="s">
        <v>4111</v>
      </c>
      <c r="C20836" s="1" t="s">
        <v>23490</v>
      </c>
      <c r="D20836" s="1" t="str">
        <f>HYPERLINK("https://rhld.insurance.arkansas.gov/NPILookup?Npi=1679136907","1679136907")</f>
        <v>1679136907</v>
      </c>
      <c r="E20836" t="s">
        <v>21428</v>
      </c>
    </row>
    <row r="20837" spans="1:5" x14ac:dyDescent="0.25">
      <c r="A20837" t="s">
        <v>4</v>
      </c>
      <c r="B20837" t="s">
        <v>4111</v>
      </c>
      <c r="C20837" s="1" t="s">
        <v>23490</v>
      </c>
      <c r="D20837" s="1" t="str">
        <f>HYPERLINK("https://rhld.insurance.arkansas.gov/NPILookup?Npi=1679143275","1679143275")</f>
        <v>1679143275</v>
      </c>
      <c r="E20837" t="s">
        <v>19001</v>
      </c>
    </row>
    <row r="20838" spans="1:5" x14ac:dyDescent="0.25">
      <c r="A20838" t="s">
        <v>4</v>
      </c>
      <c r="B20838" t="s">
        <v>4111</v>
      </c>
      <c r="C20838" s="1" t="s">
        <v>23490</v>
      </c>
      <c r="D20838" s="1" t="str">
        <f>HYPERLINK("https://rhld.insurance.arkansas.gov/NPILookup?Npi=1679196042","1679196042")</f>
        <v>1679196042</v>
      </c>
      <c r="E20838" t="s">
        <v>18080</v>
      </c>
    </row>
    <row r="20839" spans="1:5" x14ac:dyDescent="0.25">
      <c r="A20839" t="s">
        <v>4</v>
      </c>
      <c r="B20839" t="s">
        <v>4111</v>
      </c>
      <c r="C20839" s="1" t="s">
        <v>23490</v>
      </c>
      <c r="D20839" s="1" t="str">
        <f>HYPERLINK("https://rhld.insurance.arkansas.gov/NPILookup?Npi=1679246037","1679246037")</f>
        <v>1679246037</v>
      </c>
      <c r="E20839" t="s">
        <v>19002</v>
      </c>
    </row>
    <row r="20840" spans="1:5" x14ac:dyDescent="0.25">
      <c r="A20840" t="s">
        <v>4</v>
      </c>
      <c r="B20840" t="s">
        <v>4111</v>
      </c>
      <c r="C20840" s="1" t="s">
        <v>8427</v>
      </c>
      <c r="D20840" s="1" t="str">
        <f>HYPERLINK("https://rhld.insurance.arkansas.gov/NPILookup?Npi=1679251698","1679251698")</f>
        <v>1679251698</v>
      </c>
      <c r="E20840" t="s">
        <v>23164</v>
      </c>
    </row>
    <row r="20841" spans="1:5" x14ac:dyDescent="0.25">
      <c r="A20841" t="s">
        <v>4</v>
      </c>
      <c r="B20841" t="s">
        <v>4111</v>
      </c>
      <c r="C20841" s="1" t="s">
        <v>23490</v>
      </c>
      <c r="D20841" s="1" t="str">
        <f>HYPERLINK("https://rhld.insurance.arkansas.gov/NPILookup?Npi=1679503080","1679503080")</f>
        <v>1679503080</v>
      </c>
      <c r="E20841" t="s">
        <v>5411</v>
      </c>
    </row>
    <row r="20842" spans="1:5" x14ac:dyDescent="0.25">
      <c r="A20842" t="s">
        <v>4</v>
      </c>
      <c r="B20842" t="s">
        <v>4111</v>
      </c>
      <c r="C20842" s="1" t="s">
        <v>23490</v>
      </c>
      <c r="D20842" s="1" t="str">
        <f>HYPERLINK("https://rhld.insurance.arkansas.gov/NPILookup?Npi=1679523609","1679523609")</f>
        <v>1679523609</v>
      </c>
      <c r="E20842" t="s">
        <v>5413</v>
      </c>
    </row>
    <row r="20843" spans="1:5" x14ac:dyDescent="0.25">
      <c r="A20843" t="s">
        <v>4</v>
      </c>
      <c r="B20843" t="s">
        <v>4111</v>
      </c>
      <c r="C20843" s="1" t="s">
        <v>23490</v>
      </c>
      <c r="D20843" s="1" t="str">
        <f>HYPERLINK("https://rhld.insurance.arkansas.gov/NPILookup?Npi=1679540413","1679540413")</f>
        <v>1679540413</v>
      </c>
      <c r="E20843" t="s">
        <v>5414</v>
      </c>
    </row>
    <row r="20844" spans="1:5" x14ac:dyDescent="0.25">
      <c r="A20844" t="s">
        <v>4</v>
      </c>
      <c r="B20844" t="s">
        <v>4111</v>
      </c>
      <c r="C20844" s="1" t="s">
        <v>23490</v>
      </c>
      <c r="D20844" s="1" t="str">
        <f>HYPERLINK("https://rhld.insurance.arkansas.gov/NPILookup?Npi=1679549810","1679549810")</f>
        <v>1679549810</v>
      </c>
      <c r="E20844" t="s">
        <v>5415</v>
      </c>
    </row>
    <row r="20845" spans="1:5" x14ac:dyDescent="0.25">
      <c r="A20845" t="s">
        <v>4</v>
      </c>
      <c r="B20845" t="s">
        <v>4111</v>
      </c>
      <c r="C20845" s="1" t="s">
        <v>23490</v>
      </c>
      <c r="D20845" s="1" t="str">
        <f>HYPERLINK("https://rhld.insurance.arkansas.gov/NPILookup?Npi=1679555114","1679555114")</f>
        <v>1679555114</v>
      </c>
      <c r="E20845" t="s">
        <v>20554</v>
      </c>
    </row>
    <row r="20846" spans="1:5" x14ac:dyDescent="0.25">
      <c r="A20846" t="s">
        <v>4</v>
      </c>
      <c r="B20846" t="s">
        <v>4111</v>
      </c>
      <c r="C20846" s="1" t="s">
        <v>23490</v>
      </c>
      <c r="D20846" s="1" t="str">
        <f>HYPERLINK("https://rhld.insurance.arkansas.gov/NPILookup?Npi=1679574602","1679574602")</f>
        <v>1679574602</v>
      </c>
      <c r="E20846" t="s">
        <v>5416</v>
      </c>
    </row>
    <row r="20847" spans="1:5" x14ac:dyDescent="0.25">
      <c r="A20847" t="s">
        <v>4</v>
      </c>
      <c r="B20847" t="s">
        <v>4111</v>
      </c>
      <c r="C20847" s="1" t="s">
        <v>23490</v>
      </c>
      <c r="D20847" s="1" t="str">
        <f>HYPERLINK("https://rhld.insurance.arkansas.gov/NPILookup?Npi=1679591812","1679591812")</f>
        <v>1679591812</v>
      </c>
      <c r="E20847" t="s">
        <v>5417</v>
      </c>
    </row>
    <row r="20848" spans="1:5" x14ac:dyDescent="0.25">
      <c r="A20848" t="s">
        <v>4</v>
      </c>
      <c r="B20848" t="s">
        <v>4111</v>
      </c>
      <c r="C20848" s="1" t="s">
        <v>23490</v>
      </c>
      <c r="D20848" s="1" t="str">
        <f>HYPERLINK("https://rhld.insurance.arkansas.gov/NPILookup?Npi=1679600225","1679600225")</f>
        <v>1679600225</v>
      </c>
      <c r="E20848" t="s">
        <v>16190</v>
      </c>
    </row>
    <row r="20849" spans="1:5" x14ac:dyDescent="0.25">
      <c r="A20849" t="s">
        <v>4</v>
      </c>
      <c r="B20849" t="s">
        <v>4111</v>
      </c>
      <c r="C20849" s="1" t="s">
        <v>23490</v>
      </c>
      <c r="D20849" s="1" t="str">
        <f>HYPERLINK("https://rhld.insurance.arkansas.gov/NPILookup?Npi=1679609937","1679609937")</f>
        <v>1679609937</v>
      </c>
      <c r="E20849" t="s">
        <v>5418</v>
      </c>
    </row>
    <row r="20850" spans="1:5" x14ac:dyDescent="0.25">
      <c r="A20850" t="s">
        <v>4</v>
      </c>
      <c r="B20850" t="s">
        <v>4111</v>
      </c>
      <c r="C20850" s="1" t="s">
        <v>23490</v>
      </c>
      <c r="D20850" s="1" t="str">
        <f>HYPERLINK("https://rhld.insurance.arkansas.gov/NPILookup?Npi=1679617336","1679617336")</f>
        <v>1679617336</v>
      </c>
      <c r="E20850" t="s">
        <v>16191</v>
      </c>
    </row>
    <row r="20851" spans="1:5" x14ac:dyDescent="0.25">
      <c r="A20851" t="s">
        <v>4</v>
      </c>
      <c r="B20851" t="s">
        <v>4111</v>
      </c>
      <c r="C20851" s="1" t="s">
        <v>23490</v>
      </c>
      <c r="D20851" s="1" t="str">
        <f>HYPERLINK("https://rhld.insurance.arkansas.gov/NPILookup?Npi=1679620421","1679620421")</f>
        <v>1679620421</v>
      </c>
      <c r="E20851" t="s">
        <v>3512</v>
      </c>
    </row>
    <row r="20852" spans="1:5" x14ac:dyDescent="0.25">
      <c r="A20852" t="s">
        <v>4</v>
      </c>
      <c r="B20852" t="s">
        <v>4111</v>
      </c>
      <c r="C20852" s="1" t="s">
        <v>23490</v>
      </c>
      <c r="D20852" s="1" t="str">
        <f>HYPERLINK("https://rhld.insurance.arkansas.gov/NPILookup?Npi=1679623763","1679623763")</f>
        <v>1679623763</v>
      </c>
      <c r="E20852" t="s">
        <v>5419</v>
      </c>
    </row>
    <row r="20853" spans="1:5" x14ac:dyDescent="0.25">
      <c r="A20853" t="s">
        <v>4</v>
      </c>
      <c r="B20853" t="s">
        <v>4111</v>
      </c>
      <c r="C20853" s="1" t="s">
        <v>23490</v>
      </c>
      <c r="D20853" s="1" t="str">
        <f>HYPERLINK("https://rhld.insurance.arkansas.gov/NPILookup?Npi=1679624357","1679624357")</f>
        <v>1679624357</v>
      </c>
      <c r="E20853" t="s">
        <v>5420</v>
      </c>
    </row>
    <row r="20854" spans="1:5" x14ac:dyDescent="0.25">
      <c r="A20854" t="s">
        <v>4</v>
      </c>
      <c r="B20854" t="s">
        <v>4111</v>
      </c>
      <c r="C20854" s="1" t="s">
        <v>23490</v>
      </c>
      <c r="D20854" s="1" t="str">
        <f>HYPERLINK("https://rhld.insurance.arkansas.gov/NPILookup?Npi=1679632350","1679632350")</f>
        <v>1679632350</v>
      </c>
      <c r="E20854" t="s">
        <v>5421</v>
      </c>
    </row>
    <row r="20855" spans="1:5" x14ac:dyDescent="0.25">
      <c r="A20855" t="s">
        <v>4</v>
      </c>
      <c r="B20855" t="s">
        <v>4111</v>
      </c>
      <c r="C20855" s="1" t="s">
        <v>23490</v>
      </c>
      <c r="D20855" s="1" t="str">
        <f>HYPERLINK("https://rhld.insurance.arkansas.gov/NPILookup?Npi=1679642706","1679642706")</f>
        <v>1679642706</v>
      </c>
      <c r="E20855" t="s">
        <v>5422</v>
      </c>
    </row>
    <row r="20856" spans="1:5" x14ac:dyDescent="0.25">
      <c r="A20856" t="s">
        <v>4</v>
      </c>
      <c r="B20856" t="s">
        <v>4111</v>
      </c>
      <c r="C20856" s="1" t="s">
        <v>23490</v>
      </c>
      <c r="D20856" s="1" t="str">
        <f>HYPERLINK("https://rhld.insurance.arkansas.gov/NPILookup?Npi=1679648067","1679648067")</f>
        <v>1679648067</v>
      </c>
      <c r="E20856" t="s">
        <v>5423</v>
      </c>
    </row>
    <row r="20857" spans="1:5" x14ac:dyDescent="0.25">
      <c r="A20857" t="s">
        <v>4</v>
      </c>
      <c r="B20857" t="s">
        <v>4111</v>
      </c>
      <c r="C20857" s="1" t="s">
        <v>23490</v>
      </c>
      <c r="D20857" s="1" t="str">
        <f>HYPERLINK("https://rhld.insurance.arkansas.gov/NPILookup?Npi=1679666135","1679666135")</f>
        <v>1679666135</v>
      </c>
      <c r="E20857" t="s">
        <v>5424</v>
      </c>
    </row>
    <row r="20858" spans="1:5" x14ac:dyDescent="0.25">
      <c r="A20858" t="s">
        <v>4</v>
      </c>
      <c r="B20858" t="s">
        <v>4111</v>
      </c>
      <c r="C20858" s="1" t="s">
        <v>23490</v>
      </c>
      <c r="D20858" s="1" t="str">
        <f>HYPERLINK("https://rhld.insurance.arkansas.gov/NPILookup?Npi=1679669246","1679669246")</f>
        <v>1679669246</v>
      </c>
      <c r="E20858" t="s">
        <v>5425</v>
      </c>
    </row>
    <row r="20859" spans="1:5" x14ac:dyDescent="0.25">
      <c r="A20859" t="s">
        <v>4</v>
      </c>
      <c r="B20859" t="s">
        <v>4111</v>
      </c>
      <c r="C20859" s="1" t="s">
        <v>23490</v>
      </c>
      <c r="D20859" s="1" t="str">
        <f>HYPERLINK("https://rhld.insurance.arkansas.gov/NPILookup?Npi=1679679070","1679679070")</f>
        <v>1679679070</v>
      </c>
      <c r="E20859" t="s">
        <v>13185</v>
      </c>
    </row>
    <row r="20860" spans="1:5" x14ac:dyDescent="0.25">
      <c r="A20860" t="s">
        <v>4</v>
      </c>
      <c r="B20860" t="s">
        <v>4111</v>
      </c>
      <c r="C20860" s="1" t="s">
        <v>23490</v>
      </c>
      <c r="D20860" s="1" t="str">
        <f>HYPERLINK("https://rhld.insurance.arkansas.gov/NPILookup?Npi=1679689236","1679689236")</f>
        <v>1679689236</v>
      </c>
      <c r="E20860" t="s">
        <v>16192</v>
      </c>
    </row>
    <row r="20861" spans="1:5" x14ac:dyDescent="0.25">
      <c r="A20861" t="s">
        <v>4</v>
      </c>
      <c r="B20861" t="s">
        <v>4111</v>
      </c>
      <c r="C20861" s="1" t="s">
        <v>23490</v>
      </c>
      <c r="D20861" s="1" t="str">
        <f>HYPERLINK("https://rhld.insurance.arkansas.gov/NPILookup?Npi=1679716013","1679716013")</f>
        <v>1679716013</v>
      </c>
      <c r="E20861" t="s">
        <v>14161</v>
      </c>
    </row>
    <row r="20862" spans="1:5" x14ac:dyDescent="0.25">
      <c r="A20862" t="s">
        <v>4</v>
      </c>
      <c r="B20862" t="s">
        <v>4111</v>
      </c>
      <c r="C20862" s="1" t="s">
        <v>23490</v>
      </c>
      <c r="D20862" s="1" t="str">
        <f>HYPERLINK("https://rhld.insurance.arkansas.gov/NPILookup?Npi=1679723225","1679723225")</f>
        <v>1679723225</v>
      </c>
      <c r="E20862" t="s">
        <v>5426</v>
      </c>
    </row>
    <row r="20863" spans="1:5" x14ac:dyDescent="0.25">
      <c r="A20863" t="s">
        <v>4</v>
      </c>
      <c r="B20863" t="s">
        <v>4111</v>
      </c>
      <c r="C20863" s="1" t="s">
        <v>23490</v>
      </c>
      <c r="D20863" s="1" t="str">
        <f>HYPERLINK("https://rhld.insurance.arkansas.gov/NPILookup?Npi=1679723795","1679723795")</f>
        <v>1679723795</v>
      </c>
      <c r="E20863" t="s">
        <v>5427</v>
      </c>
    </row>
    <row r="20864" spans="1:5" x14ac:dyDescent="0.25">
      <c r="A20864" t="s">
        <v>4</v>
      </c>
      <c r="B20864" t="s">
        <v>4111</v>
      </c>
      <c r="C20864" s="1" t="s">
        <v>23490</v>
      </c>
      <c r="D20864" s="1" t="str">
        <f>HYPERLINK("https://rhld.insurance.arkansas.gov/NPILookup?Npi=1679724504","1679724504")</f>
        <v>1679724504</v>
      </c>
      <c r="E20864" t="s">
        <v>14162</v>
      </c>
    </row>
    <row r="20865" spans="1:5" x14ac:dyDescent="0.25">
      <c r="A20865" t="s">
        <v>4</v>
      </c>
      <c r="B20865" t="s">
        <v>4111</v>
      </c>
      <c r="C20865" s="1" t="s">
        <v>23490</v>
      </c>
      <c r="D20865" s="1" t="str">
        <f>HYPERLINK("https://rhld.insurance.arkansas.gov/NPILookup?Npi=1679726533","1679726533")</f>
        <v>1679726533</v>
      </c>
      <c r="E20865" t="s">
        <v>5428</v>
      </c>
    </row>
    <row r="20866" spans="1:5" x14ac:dyDescent="0.25">
      <c r="A20866" t="s">
        <v>4</v>
      </c>
      <c r="B20866" t="s">
        <v>4111</v>
      </c>
      <c r="C20866" s="1" t="s">
        <v>23490</v>
      </c>
      <c r="D20866" s="1" t="str">
        <f>HYPERLINK("https://rhld.insurance.arkansas.gov/NPILookup?Npi=1679754063","1679754063")</f>
        <v>1679754063</v>
      </c>
      <c r="E20866" t="s">
        <v>14163</v>
      </c>
    </row>
    <row r="20867" spans="1:5" x14ac:dyDescent="0.25">
      <c r="A20867" t="s">
        <v>4</v>
      </c>
      <c r="B20867" t="s">
        <v>4111</v>
      </c>
      <c r="C20867" s="1" t="s">
        <v>23490</v>
      </c>
      <c r="D20867" s="1" t="str">
        <f>HYPERLINK("https://rhld.insurance.arkansas.gov/NPILookup?Npi=1679761407","1679761407")</f>
        <v>1679761407</v>
      </c>
      <c r="E20867" t="s">
        <v>5429</v>
      </c>
    </row>
    <row r="20868" spans="1:5" x14ac:dyDescent="0.25">
      <c r="A20868" t="s">
        <v>4</v>
      </c>
      <c r="B20868" t="s">
        <v>4111</v>
      </c>
      <c r="C20868" s="1" t="s">
        <v>23490</v>
      </c>
      <c r="D20868" s="1" t="str">
        <f>HYPERLINK("https://rhld.insurance.arkansas.gov/NPILookup?Npi=1679761951","1679761951")</f>
        <v>1679761951</v>
      </c>
      <c r="E20868" t="s">
        <v>5430</v>
      </c>
    </row>
    <row r="20869" spans="1:5" x14ac:dyDescent="0.25">
      <c r="A20869" t="s">
        <v>4</v>
      </c>
      <c r="B20869" t="s">
        <v>4111</v>
      </c>
      <c r="C20869" s="1" t="s">
        <v>23490</v>
      </c>
      <c r="D20869" s="1" t="str">
        <f>HYPERLINK("https://rhld.insurance.arkansas.gov/NPILookup?Npi=1679769871","1679769871")</f>
        <v>1679769871</v>
      </c>
      <c r="E20869" t="s">
        <v>5431</v>
      </c>
    </row>
    <row r="20870" spans="1:5" x14ac:dyDescent="0.25">
      <c r="A20870" t="s">
        <v>4</v>
      </c>
      <c r="B20870" t="s">
        <v>4111</v>
      </c>
      <c r="C20870" s="1" t="s">
        <v>23490</v>
      </c>
      <c r="D20870" s="1" t="str">
        <f>HYPERLINK("https://rhld.insurance.arkansas.gov/NPILookup?Npi=1679775019","1679775019")</f>
        <v>1679775019</v>
      </c>
      <c r="E20870" t="s">
        <v>5432</v>
      </c>
    </row>
    <row r="20871" spans="1:5" x14ac:dyDescent="0.25">
      <c r="A20871" t="s">
        <v>4</v>
      </c>
      <c r="B20871" t="s">
        <v>4111</v>
      </c>
      <c r="C20871" s="1" t="s">
        <v>23490</v>
      </c>
      <c r="D20871" s="1" t="str">
        <f>HYPERLINK("https://rhld.insurance.arkansas.gov/NPILookup?Npi=1679796403","1679796403")</f>
        <v>1679796403</v>
      </c>
      <c r="E20871" t="s">
        <v>22213</v>
      </c>
    </row>
    <row r="20872" spans="1:5" x14ac:dyDescent="0.25">
      <c r="A20872" t="s">
        <v>4</v>
      </c>
      <c r="B20872" t="s">
        <v>4111</v>
      </c>
      <c r="C20872" s="1" t="s">
        <v>23490</v>
      </c>
      <c r="D20872" s="1" t="str">
        <f>HYPERLINK("https://rhld.insurance.arkansas.gov/NPILookup?Npi=1679806780","1679806780")</f>
        <v>1679806780</v>
      </c>
      <c r="E20872" t="s">
        <v>5433</v>
      </c>
    </row>
    <row r="20873" spans="1:5" x14ac:dyDescent="0.25">
      <c r="A20873" t="s">
        <v>4</v>
      </c>
      <c r="B20873" t="s">
        <v>4111</v>
      </c>
      <c r="C20873" s="1" t="s">
        <v>23490</v>
      </c>
      <c r="D20873" s="1" t="str">
        <f>HYPERLINK("https://rhld.insurance.arkansas.gov/NPILookup?Npi=1679814594","1679814594")</f>
        <v>1679814594</v>
      </c>
      <c r="E20873" t="s">
        <v>19003</v>
      </c>
    </row>
    <row r="20874" spans="1:5" x14ac:dyDescent="0.25">
      <c r="A20874" t="s">
        <v>4</v>
      </c>
      <c r="B20874" t="s">
        <v>4111</v>
      </c>
      <c r="C20874" s="1" t="s">
        <v>23490</v>
      </c>
      <c r="D20874" s="1" t="str">
        <f>HYPERLINK("https://rhld.insurance.arkansas.gov/NPILookup?Npi=1679834279","1679834279")</f>
        <v>1679834279</v>
      </c>
      <c r="E20874" t="s">
        <v>18402</v>
      </c>
    </row>
    <row r="20875" spans="1:5" x14ac:dyDescent="0.25">
      <c r="A20875" t="s">
        <v>4</v>
      </c>
      <c r="B20875" t="s">
        <v>4111</v>
      </c>
      <c r="C20875" s="1" t="s">
        <v>23490</v>
      </c>
      <c r="D20875" s="1" t="str">
        <f>HYPERLINK("https://rhld.insurance.arkansas.gov/NPILookup?Npi=1679834642","1679834642")</f>
        <v>1679834642</v>
      </c>
      <c r="E20875" t="s">
        <v>13186</v>
      </c>
    </row>
    <row r="20876" spans="1:5" x14ac:dyDescent="0.25">
      <c r="A20876" t="s">
        <v>4</v>
      </c>
      <c r="B20876" t="s">
        <v>4111</v>
      </c>
      <c r="C20876" s="1" t="s">
        <v>23490</v>
      </c>
      <c r="D20876" s="1" t="str">
        <f>HYPERLINK("https://rhld.insurance.arkansas.gov/NPILookup?Npi=1679862445","1679862445")</f>
        <v>1679862445</v>
      </c>
      <c r="E20876" t="s">
        <v>11787</v>
      </c>
    </row>
    <row r="20877" spans="1:5" x14ac:dyDescent="0.25">
      <c r="A20877" t="s">
        <v>4</v>
      </c>
      <c r="B20877" t="s">
        <v>4111</v>
      </c>
      <c r="C20877" s="1" t="s">
        <v>23490</v>
      </c>
      <c r="D20877" s="1" t="str">
        <f>HYPERLINK("https://rhld.insurance.arkansas.gov/NPILookup?Npi=1679874440","1679874440")</f>
        <v>1679874440</v>
      </c>
      <c r="E20877" t="s">
        <v>5434</v>
      </c>
    </row>
    <row r="20878" spans="1:5" x14ac:dyDescent="0.25">
      <c r="A20878" t="s">
        <v>4</v>
      </c>
      <c r="B20878" t="s">
        <v>4111</v>
      </c>
      <c r="C20878" s="1" t="s">
        <v>23490</v>
      </c>
      <c r="D20878" s="1" t="str">
        <f>HYPERLINK("https://rhld.insurance.arkansas.gov/NPILookup?Npi=1679877484","1679877484")</f>
        <v>1679877484</v>
      </c>
      <c r="E20878" t="s">
        <v>11788</v>
      </c>
    </row>
    <row r="20879" spans="1:5" x14ac:dyDescent="0.25">
      <c r="A20879" t="s">
        <v>4</v>
      </c>
      <c r="B20879" t="s">
        <v>4111</v>
      </c>
      <c r="C20879" s="1" t="s">
        <v>23490</v>
      </c>
      <c r="D20879" s="1" t="str">
        <f>HYPERLINK("https://rhld.insurance.arkansas.gov/NPILookup?Npi=1679895817","1679895817")</f>
        <v>1679895817</v>
      </c>
      <c r="E20879" t="s">
        <v>5435</v>
      </c>
    </row>
    <row r="20880" spans="1:5" x14ac:dyDescent="0.25">
      <c r="A20880" t="s">
        <v>4</v>
      </c>
      <c r="B20880" t="s">
        <v>4111</v>
      </c>
      <c r="C20880" s="1" t="s">
        <v>23490</v>
      </c>
      <c r="D20880" s="1" t="str">
        <f>HYPERLINK("https://rhld.insurance.arkansas.gov/NPILookup?Npi=1679903280","1679903280")</f>
        <v>1679903280</v>
      </c>
      <c r="E20880" t="s">
        <v>14164</v>
      </c>
    </row>
    <row r="20881" spans="1:5" x14ac:dyDescent="0.25">
      <c r="A20881" t="s">
        <v>4</v>
      </c>
      <c r="B20881" t="s">
        <v>4111</v>
      </c>
      <c r="C20881" s="1" t="s">
        <v>23490</v>
      </c>
      <c r="D20881" s="1" t="str">
        <f>HYPERLINK("https://rhld.insurance.arkansas.gov/NPILookup?Npi=1679908842","1679908842")</f>
        <v>1679908842</v>
      </c>
      <c r="E20881" t="s">
        <v>11789</v>
      </c>
    </row>
    <row r="20882" spans="1:5" x14ac:dyDescent="0.25">
      <c r="A20882" t="s">
        <v>4</v>
      </c>
      <c r="B20882" t="s">
        <v>4111</v>
      </c>
      <c r="C20882" s="1" t="s">
        <v>23490</v>
      </c>
      <c r="D20882" s="1" t="str">
        <f>HYPERLINK("https://rhld.insurance.arkansas.gov/NPILookup?Npi=1679912893","1679912893")</f>
        <v>1679912893</v>
      </c>
      <c r="E20882" t="s">
        <v>18403</v>
      </c>
    </row>
    <row r="20883" spans="1:5" x14ac:dyDescent="0.25">
      <c r="A20883" t="s">
        <v>4</v>
      </c>
      <c r="B20883" t="s">
        <v>4111</v>
      </c>
      <c r="C20883" s="1" t="s">
        <v>23490</v>
      </c>
      <c r="D20883" s="1" t="str">
        <f>HYPERLINK("https://rhld.insurance.arkansas.gov/NPILookup?Npi=1679913743","1679913743")</f>
        <v>1679913743</v>
      </c>
      <c r="E20883" t="s">
        <v>9138</v>
      </c>
    </row>
    <row r="20884" spans="1:5" x14ac:dyDescent="0.25">
      <c r="A20884" t="s">
        <v>4</v>
      </c>
      <c r="B20884" t="s">
        <v>4111</v>
      </c>
      <c r="C20884" s="1" t="s">
        <v>23490</v>
      </c>
      <c r="D20884" s="1" t="str">
        <f>HYPERLINK("https://rhld.insurance.arkansas.gov/NPILookup?Npi=1679914113","1679914113")</f>
        <v>1679914113</v>
      </c>
      <c r="E20884" t="s">
        <v>2389</v>
      </c>
    </row>
    <row r="20885" spans="1:5" x14ac:dyDescent="0.25">
      <c r="A20885" t="s">
        <v>4</v>
      </c>
      <c r="B20885" t="s">
        <v>4111</v>
      </c>
      <c r="C20885" s="1" t="s">
        <v>23490</v>
      </c>
      <c r="D20885" s="1" t="str">
        <f>HYPERLINK("https://rhld.insurance.arkansas.gov/NPILookup?Npi=1679930465","1679930465")</f>
        <v>1679930465</v>
      </c>
      <c r="E20885" t="s">
        <v>17624</v>
      </c>
    </row>
    <row r="20886" spans="1:5" x14ac:dyDescent="0.25">
      <c r="A20886" t="s">
        <v>4</v>
      </c>
      <c r="B20886" t="s">
        <v>4111</v>
      </c>
      <c r="C20886" s="1" t="s">
        <v>23490</v>
      </c>
      <c r="D20886" s="1" t="str">
        <f>HYPERLINK("https://rhld.insurance.arkansas.gov/NPILookup?Npi=1679934871","1679934871")</f>
        <v>1679934871</v>
      </c>
      <c r="E20886" t="s">
        <v>17215</v>
      </c>
    </row>
    <row r="20887" spans="1:5" x14ac:dyDescent="0.25">
      <c r="A20887" t="s">
        <v>4</v>
      </c>
      <c r="B20887" t="s">
        <v>4111</v>
      </c>
      <c r="C20887" s="1" t="s">
        <v>23490</v>
      </c>
      <c r="D20887" s="1" t="str">
        <f>HYPERLINK("https://rhld.insurance.arkansas.gov/NPILookup?Npi=1679940597","1679940597")</f>
        <v>1679940597</v>
      </c>
      <c r="E20887" t="s">
        <v>16193</v>
      </c>
    </row>
    <row r="20888" spans="1:5" x14ac:dyDescent="0.25">
      <c r="A20888" t="s">
        <v>4</v>
      </c>
      <c r="B20888" t="s">
        <v>4111</v>
      </c>
      <c r="C20888" s="1" t="s">
        <v>23490</v>
      </c>
      <c r="D20888" s="1" t="str">
        <f>HYPERLINK("https://rhld.insurance.arkansas.gov/NPILookup?Npi=1679965982","1679965982")</f>
        <v>1679965982</v>
      </c>
      <c r="E20888" t="s">
        <v>11790</v>
      </c>
    </row>
    <row r="20889" spans="1:5" x14ac:dyDescent="0.25">
      <c r="A20889" t="s">
        <v>4</v>
      </c>
      <c r="B20889" t="s">
        <v>4111</v>
      </c>
      <c r="C20889" s="1" t="s">
        <v>23490</v>
      </c>
      <c r="D20889" s="1" t="str">
        <f>HYPERLINK("https://rhld.insurance.arkansas.gov/NPILookup?Npi=1679968937","1679968937")</f>
        <v>1679968937</v>
      </c>
      <c r="E20889" t="s">
        <v>17625</v>
      </c>
    </row>
    <row r="20890" spans="1:5" x14ac:dyDescent="0.25">
      <c r="A20890" t="s">
        <v>4</v>
      </c>
      <c r="B20890" t="s">
        <v>4111</v>
      </c>
      <c r="C20890" s="1" t="s">
        <v>23490</v>
      </c>
      <c r="D20890" s="1" t="str">
        <f>HYPERLINK("https://rhld.insurance.arkansas.gov/NPILookup?Npi=1689003147","1689003147")</f>
        <v>1689003147</v>
      </c>
      <c r="E20890" t="s">
        <v>20555</v>
      </c>
    </row>
    <row r="20891" spans="1:5" x14ac:dyDescent="0.25">
      <c r="A20891" t="s">
        <v>4</v>
      </c>
      <c r="B20891" t="s">
        <v>4111</v>
      </c>
      <c r="C20891" s="1" t="s">
        <v>23490</v>
      </c>
      <c r="D20891" s="1" t="str">
        <f>HYPERLINK("https://rhld.insurance.arkansas.gov/NPILookup?Npi=1689017550","1689017550")</f>
        <v>1689017550</v>
      </c>
      <c r="E20891" t="s">
        <v>16194</v>
      </c>
    </row>
    <row r="20892" spans="1:5" x14ac:dyDescent="0.25">
      <c r="A20892" t="s">
        <v>4</v>
      </c>
      <c r="B20892" t="s">
        <v>4111</v>
      </c>
      <c r="C20892" s="1" t="s">
        <v>23490</v>
      </c>
      <c r="D20892" s="1" t="str">
        <f>HYPERLINK("https://rhld.insurance.arkansas.gov/NPILookup?Npi=1689034068","1689034068")</f>
        <v>1689034068</v>
      </c>
      <c r="E20892" t="s">
        <v>19004</v>
      </c>
    </row>
    <row r="20893" spans="1:5" x14ac:dyDescent="0.25">
      <c r="A20893" t="s">
        <v>4</v>
      </c>
      <c r="B20893" t="s">
        <v>4111</v>
      </c>
      <c r="C20893" s="1" t="s">
        <v>23490</v>
      </c>
      <c r="D20893" s="1" t="str">
        <f>HYPERLINK("https://rhld.insurance.arkansas.gov/NPILookup?Npi=1689063794","1689063794")</f>
        <v>1689063794</v>
      </c>
      <c r="E20893" t="s">
        <v>17216</v>
      </c>
    </row>
    <row r="20894" spans="1:5" x14ac:dyDescent="0.25">
      <c r="A20894" t="s">
        <v>4</v>
      </c>
      <c r="B20894" t="s">
        <v>4111</v>
      </c>
      <c r="C20894" s="1" t="s">
        <v>23490</v>
      </c>
      <c r="D20894" s="1" t="str">
        <f>HYPERLINK("https://rhld.insurance.arkansas.gov/NPILookup?Npi=1689080871","1689080871")</f>
        <v>1689080871</v>
      </c>
      <c r="E20894" t="s">
        <v>17217</v>
      </c>
    </row>
    <row r="20895" spans="1:5" x14ac:dyDescent="0.25">
      <c r="A20895" t="s">
        <v>4</v>
      </c>
      <c r="B20895" t="s">
        <v>4111</v>
      </c>
      <c r="C20895" s="1" t="s">
        <v>23490</v>
      </c>
      <c r="D20895" s="1" t="str">
        <f>HYPERLINK("https://rhld.insurance.arkansas.gov/NPILookup?Npi=1689090912","1689090912")</f>
        <v>1689090912</v>
      </c>
      <c r="E20895" t="s">
        <v>9139</v>
      </c>
    </row>
    <row r="20896" spans="1:5" x14ac:dyDescent="0.25">
      <c r="A20896" t="s">
        <v>4</v>
      </c>
      <c r="B20896" t="s">
        <v>4111</v>
      </c>
      <c r="C20896" s="1" t="s">
        <v>23490</v>
      </c>
      <c r="D20896" s="1" t="str">
        <f>HYPERLINK("https://rhld.insurance.arkansas.gov/NPILookup?Npi=1689092678","1689092678")</f>
        <v>1689092678</v>
      </c>
      <c r="E20896" t="s">
        <v>20556</v>
      </c>
    </row>
    <row r="20897" spans="1:5" x14ac:dyDescent="0.25">
      <c r="A20897" t="s">
        <v>4</v>
      </c>
      <c r="B20897" t="s">
        <v>4111</v>
      </c>
      <c r="C20897" s="1" t="s">
        <v>23490</v>
      </c>
      <c r="D20897" s="1" t="str">
        <f>HYPERLINK("https://rhld.insurance.arkansas.gov/NPILookup?Npi=1689096299","1689096299")</f>
        <v>1689096299</v>
      </c>
      <c r="E20897" t="s">
        <v>11791</v>
      </c>
    </row>
    <row r="20898" spans="1:5" x14ac:dyDescent="0.25">
      <c r="A20898" t="s">
        <v>4</v>
      </c>
      <c r="B20898" t="s">
        <v>4111</v>
      </c>
      <c r="C20898" s="1" t="s">
        <v>23490</v>
      </c>
      <c r="D20898" s="1" t="str">
        <f>HYPERLINK("https://rhld.insurance.arkansas.gov/NPILookup?Npi=1689134330","1689134330")</f>
        <v>1689134330</v>
      </c>
      <c r="E20898" t="s">
        <v>18404</v>
      </c>
    </row>
    <row r="20899" spans="1:5" x14ac:dyDescent="0.25">
      <c r="A20899" t="s">
        <v>4</v>
      </c>
      <c r="B20899" t="s">
        <v>4111</v>
      </c>
      <c r="C20899" s="1" t="s">
        <v>23490</v>
      </c>
      <c r="D20899" s="1" t="str">
        <f>HYPERLINK("https://rhld.insurance.arkansas.gov/NPILookup?Npi=1689176836","1689176836")</f>
        <v>1689176836</v>
      </c>
      <c r="E20899" t="s">
        <v>13187</v>
      </c>
    </row>
    <row r="20900" spans="1:5" x14ac:dyDescent="0.25">
      <c r="A20900" t="s">
        <v>4</v>
      </c>
      <c r="B20900" t="s">
        <v>4111</v>
      </c>
      <c r="C20900" s="1" t="s">
        <v>23490</v>
      </c>
      <c r="D20900" s="1" t="str">
        <f>HYPERLINK("https://rhld.insurance.arkansas.gov/NPILookup?Npi=1689190613","1689190613")</f>
        <v>1689190613</v>
      </c>
      <c r="E20900" t="s">
        <v>19005</v>
      </c>
    </row>
    <row r="20901" spans="1:5" x14ac:dyDescent="0.25">
      <c r="A20901" t="s">
        <v>4</v>
      </c>
      <c r="B20901" t="s">
        <v>4111</v>
      </c>
      <c r="C20901" s="1" t="s">
        <v>23490</v>
      </c>
      <c r="D20901" s="1" t="str">
        <f>HYPERLINK("https://rhld.insurance.arkansas.gov/NPILookup?Npi=1689200040","1689200040")</f>
        <v>1689200040</v>
      </c>
      <c r="E20901" t="s">
        <v>21152</v>
      </c>
    </row>
    <row r="20902" spans="1:5" x14ac:dyDescent="0.25">
      <c r="A20902" t="s">
        <v>4</v>
      </c>
      <c r="B20902" t="s">
        <v>4111</v>
      </c>
      <c r="C20902" s="1" t="s">
        <v>23490</v>
      </c>
      <c r="D20902" s="1" t="str">
        <f>HYPERLINK("https://rhld.insurance.arkansas.gov/NPILookup?Npi=1689206971","1689206971")</f>
        <v>1689206971</v>
      </c>
      <c r="E20902" t="s">
        <v>22214</v>
      </c>
    </row>
    <row r="20903" spans="1:5" x14ac:dyDescent="0.25">
      <c r="A20903" t="s">
        <v>4</v>
      </c>
      <c r="B20903" t="s">
        <v>4111</v>
      </c>
      <c r="C20903" s="1" t="s">
        <v>23490</v>
      </c>
      <c r="D20903" s="1" t="str">
        <f>HYPERLINK("https://rhld.insurance.arkansas.gov/NPILookup?Npi=1689209595","1689209595")</f>
        <v>1689209595</v>
      </c>
      <c r="E20903" t="s">
        <v>17218</v>
      </c>
    </row>
    <row r="20904" spans="1:5" x14ac:dyDescent="0.25">
      <c r="A20904" t="s">
        <v>4</v>
      </c>
      <c r="B20904" t="s">
        <v>4111</v>
      </c>
      <c r="C20904" s="1" t="s">
        <v>23490</v>
      </c>
      <c r="D20904" s="1" t="str">
        <f>HYPERLINK("https://rhld.insurance.arkansas.gov/NPILookup?Npi=1689211328","1689211328")</f>
        <v>1689211328</v>
      </c>
      <c r="E20904" t="s">
        <v>22215</v>
      </c>
    </row>
    <row r="20905" spans="1:5" x14ac:dyDescent="0.25">
      <c r="A20905" t="s">
        <v>4</v>
      </c>
      <c r="B20905" t="s">
        <v>4111</v>
      </c>
      <c r="C20905" s="1" t="s">
        <v>23490</v>
      </c>
      <c r="D20905" s="1" t="str">
        <f>HYPERLINK("https://rhld.insurance.arkansas.gov/NPILookup?Npi=1689222598","1689222598")</f>
        <v>1689222598</v>
      </c>
      <c r="E20905" t="s">
        <v>22216</v>
      </c>
    </row>
    <row r="20906" spans="1:5" x14ac:dyDescent="0.25">
      <c r="A20906" t="s">
        <v>4</v>
      </c>
      <c r="B20906" t="s">
        <v>4111</v>
      </c>
      <c r="C20906" s="1" t="s">
        <v>23490</v>
      </c>
      <c r="D20906" s="1" t="str">
        <f>HYPERLINK("https://rhld.insurance.arkansas.gov/NPILookup?Npi=1689268690","1689268690")</f>
        <v>1689268690</v>
      </c>
      <c r="E20906" t="s">
        <v>22217</v>
      </c>
    </row>
    <row r="20907" spans="1:5" x14ac:dyDescent="0.25">
      <c r="A20907" t="s">
        <v>4</v>
      </c>
      <c r="B20907" t="s">
        <v>4111</v>
      </c>
      <c r="C20907" s="1" t="s">
        <v>23490</v>
      </c>
      <c r="D20907" s="1" t="str">
        <f>HYPERLINK("https://rhld.insurance.arkansas.gov/NPILookup?Npi=1689604738","1689604738")</f>
        <v>1689604738</v>
      </c>
      <c r="E20907" t="s">
        <v>9140</v>
      </c>
    </row>
    <row r="20908" spans="1:5" x14ac:dyDescent="0.25">
      <c r="A20908" t="s">
        <v>4</v>
      </c>
      <c r="B20908" t="s">
        <v>4111</v>
      </c>
      <c r="C20908" s="1" t="s">
        <v>23490</v>
      </c>
      <c r="D20908" s="1" t="str">
        <f>HYPERLINK("https://rhld.insurance.arkansas.gov/NPILookup?Npi=1689615320","1689615320")</f>
        <v>1689615320</v>
      </c>
      <c r="E20908" t="s">
        <v>16195</v>
      </c>
    </row>
    <row r="20909" spans="1:5" x14ac:dyDescent="0.25">
      <c r="A20909" t="s">
        <v>4</v>
      </c>
      <c r="B20909" t="s">
        <v>4111</v>
      </c>
      <c r="C20909" s="1" t="s">
        <v>23490</v>
      </c>
      <c r="D20909" s="1" t="str">
        <f>HYPERLINK("https://rhld.insurance.arkansas.gov/NPILookup?Npi=1689617417","1689617417")</f>
        <v>1689617417</v>
      </c>
      <c r="E20909" t="s">
        <v>5436</v>
      </c>
    </row>
    <row r="20910" spans="1:5" x14ac:dyDescent="0.25">
      <c r="A20910" t="s">
        <v>4</v>
      </c>
      <c r="B20910" t="s">
        <v>4111</v>
      </c>
      <c r="C20910" s="1" t="s">
        <v>23490</v>
      </c>
      <c r="D20910" s="1" t="str">
        <f>HYPERLINK("https://rhld.insurance.arkansas.gov/NPILookup?Npi=1689633778","1689633778")</f>
        <v>1689633778</v>
      </c>
      <c r="E20910" t="s">
        <v>5437</v>
      </c>
    </row>
    <row r="20911" spans="1:5" x14ac:dyDescent="0.25">
      <c r="A20911" t="s">
        <v>4</v>
      </c>
      <c r="B20911" t="s">
        <v>4111</v>
      </c>
      <c r="C20911" s="1" t="s">
        <v>23490</v>
      </c>
      <c r="D20911" s="1" t="str">
        <f>HYPERLINK("https://rhld.insurance.arkansas.gov/NPILookup?Npi=1689634255","1689634255")</f>
        <v>1689634255</v>
      </c>
      <c r="E20911" t="s">
        <v>21153</v>
      </c>
    </row>
    <row r="20912" spans="1:5" x14ac:dyDescent="0.25">
      <c r="A20912" t="s">
        <v>4</v>
      </c>
      <c r="B20912" t="s">
        <v>4111</v>
      </c>
      <c r="C20912" s="1" t="s">
        <v>23490</v>
      </c>
      <c r="D20912" s="1" t="str">
        <f>HYPERLINK("https://rhld.insurance.arkansas.gov/NPILookup?Npi=1689663072","1689663072")</f>
        <v>1689663072</v>
      </c>
      <c r="E20912" t="s">
        <v>5439</v>
      </c>
    </row>
    <row r="20913" spans="1:5" x14ac:dyDescent="0.25">
      <c r="A20913" t="s">
        <v>4</v>
      </c>
      <c r="B20913" t="s">
        <v>4111</v>
      </c>
      <c r="C20913" s="1" t="s">
        <v>23490</v>
      </c>
      <c r="D20913" s="1" t="str">
        <f>HYPERLINK("https://rhld.insurance.arkansas.gov/NPILookup?Npi=1689668089","1689668089")</f>
        <v>1689668089</v>
      </c>
      <c r="E20913" t="s">
        <v>5440</v>
      </c>
    </row>
    <row r="20914" spans="1:5" x14ac:dyDescent="0.25">
      <c r="A20914" t="s">
        <v>4</v>
      </c>
      <c r="B20914" t="s">
        <v>4111</v>
      </c>
      <c r="C20914" s="1" t="s">
        <v>23490</v>
      </c>
      <c r="D20914" s="1" t="str">
        <f>HYPERLINK("https://rhld.insurance.arkansas.gov/NPILookup?Npi=1689684276","1689684276")</f>
        <v>1689684276</v>
      </c>
      <c r="E20914" t="s">
        <v>5441</v>
      </c>
    </row>
    <row r="20915" spans="1:5" x14ac:dyDescent="0.25">
      <c r="A20915" t="s">
        <v>4</v>
      </c>
      <c r="B20915" t="s">
        <v>4111</v>
      </c>
      <c r="C20915" s="1" t="s">
        <v>23490</v>
      </c>
      <c r="D20915" s="1" t="str">
        <f>HYPERLINK("https://rhld.insurance.arkansas.gov/NPILookup?Npi=1689700254","1689700254")</f>
        <v>1689700254</v>
      </c>
      <c r="E20915" t="s">
        <v>14165</v>
      </c>
    </row>
    <row r="20916" spans="1:5" x14ac:dyDescent="0.25">
      <c r="A20916" t="s">
        <v>4</v>
      </c>
      <c r="B20916" t="s">
        <v>4111</v>
      </c>
      <c r="C20916" s="1" t="s">
        <v>23490</v>
      </c>
      <c r="D20916" s="1" t="str">
        <f>HYPERLINK("https://rhld.insurance.arkansas.gov/NPILookup?Npi=1689756678","1689756678")</f>
        <v>1689756678</v>
      </c>
      <c r="E20916" t="s">
        <v>5442</v>
      </c>
    </row>
    <row r="20917" spans="1:5" x14ac:dyDescent="0.25">
      <c r="A20917" t="s">
        <v>4</v>
      </c>
      <c r="B20917" t="s">
        <v>4111</v>
      </c>
      <c r="C20917" s="1" t="s">
        <v>23490</v>
      </c>
      <c r="D20917" s="1" t="str">
        <f>HYPERLINK("https://rhld.insurance.arkansas.gov/NPILookup?Npi=1689756751","1689756751")</f>
        <v>1689756751</v>
      </c>
      <c r="E20917" t="s">
        <v>5443</v>
      </c>
    </row>
    <row r="20918" spans="1:5" x14ac:dyDescent="0.25">
      <c r="A20918" t="s">
        <v>4</v>
      </c>
      <c r="B20918" t="s">
        <v>4111</v>
      </c>
      <c r="C20918" s="1" t="s">
        <v>23490</v>
      </c>
      <c r="D20918" s="1" t="str">
        <f>HYPERLINK("https://rhld.insurance.arkansas.gov/NPILookup?Npi=1689793937","1689793937")</f>
        <v>1689793937</v>
      </c>
      <c r="E20918" t="s">
        <v>5444</v>
      </c>
    </row>
    <row r="20919" spans="1:5" x14ac:dyDescent="0.25">
      <c r="A20919" t="s">
        <v>4</v>
      </c>
      <c r="B20919" t="s">
        <v>4111</v>
      </c>
      <c r="C20919" s="1" t="s">
        <v>23490</v>
      </c>
      <c r="D20919" s="1" t="str">
        <f>HYPERLINK("https://rhld.insurance.arkansas.gov/NPILookup?Npi=1689794828","1689794828")</f>
        <v>1689794828</v>
      </c>
      <c r="E20919" t="s">
        <v>5445</v>
      </c>
    </row>
    <row r="20920" spans="1:5" x14ac:dyDescent="0.25">
      <c r="A20920" t="s">
        <v>4</v>
      </c>
      <c r="B20920" t="s">
        <v>4111</v>
      </c>
      <c r="C20920" s="1" t="s">
        <v>23490</v>
      </c>
      <c r="D20920" s="1" t="str">
        <f>HYPERLINK("https://rhld.insurance.arkansas.gov/NPILookup?Npi=1689804320","1689804320")</f>
        <v>1689804320</v>
      </c>
      <c r="E20920" t="s">
        <v>5446</v>
      </c>
    </row>
    <row r="20921" spans="1:5" x14ac:dyDescent="0.25">
      <c r="A20921" t="s">
        <v>4</v>
      </c>
      <c r="B20921" t="s">
        <v>4111</v>
      </c>
      <c r="C20921" s="1" t="s">
        <v>23490</v>
      </c>
      <c r="D20921" s="1" t="str">
        <f>HYPERLINK("https://rhld.insurance.arkansas.gov/NPILookup?Npi=1689808230","1689808230")</f>
        <v>1689808230</v>
      </c>
      <c r="E20921" t="s">
        <v>14166</v>
      </c>
    </row>
    <row r="20922" spans="1:5" x14ac:dyDescent="0.25">
      <c r="A20922" t="s">
        <v>4</v>
      </c>
      <c r="B20922" t="s">
        <v>4111</v>
      </c>
      <c r="C20922" s="1" t="s">
        <v>23490</v>
      </c>
      <c r="D20922" s="1" t="str">
        <f>HYPERLINK("https://rhld.insurance.arkansas.gov/NPILookup?Npi=1689815433","1689815433")</f>
        <v>1689815433</v>
      </c>
      <c r="E20922" t="s">
        <v>198</v>
      </c>
    </row>
    <row r="20923" spans="1:5" x14ac:dyDescent="0.25">
      <c r="A20923" t="s">
        <v>4</v>
      </c>
      <c r="B20923" t="s">
        <v>4111</v>
      </c>
      <c r="C20923" s="1" t="s">
        <v>23490</v>
      </c>
      <c r="D20923" s="1" t="str">
        <f>HYPERLINK("https://rhld.insurance.arkansas.gov/NPILookup?Npi=1689821753","1689821753")</f>
        <v>1689821753</v>
      </c>
      <c r="E20923" t="s">
        <v>17219</v>
      </c>
    </row>
    <row r="20924" spans="1:5" x14ac:dyDescent="0.25">
      <c r="A20924" t="s">
        <v>4</v>
      </c>
      <c r="B20924" t="s">
        <v>4111</v>
      </c>
      <c r="C20924" s="1" t="s">
        <v>23490</v>
      </c>
      <c r="D20924" s="1" t="str">
        <f>HYPERLINK("https://rhld.insurance.arkansas.gov/NPILookup?Npi=1689823023","1689823023")</f>
        <v>1689823023</v>
      </c>
      <c r="E20924" t="s">
        <v>5447</v>
      </c>
    </row>
    <row r="20925" spans="1:5" x14ac:dyDescent="0.25">
      <c r="A20925" t="s">
        <v>4</v>
      </c>
      <c r="B20925" t="s">
        <v>4111</v>
      </c>
      <c r="C20925" s="1" t="s">
        <v>23490</v>
      </c>
      <c r="D20925" s="1" t="str">
        <f>HYPERLINK("https://rhld.insurance.arkansas.gov/NPILookup?Npi=1689824278","1689824278")</f>
        <v>1689824278</v>
      </c>
      <c r="E20925" t="s">
        <v>5448</v>
      </c>
    </row>
    <row r="20926" spans="1:5" x14ac:dyDescent="0.25">
      <c r="A20926" t="s">
        <v>4</v>
      </c>
      <c r="B20926" t="s">
        <v>4111</v>
      </c>
      <c r="C20926" s="1" t="s">
        <v>23490</v>
      </c>
      <c r="D20926" s="1" t="str">
        <f>HYPERLINK("https://rhld.insurance.arkansas.gov/NPILookup?Npi=1689824294","1689824294")</f>
        <v>1689824294</v>
      </c>
      <c r="E20926" t="s">
        <v>16196</v>
      </c>
    </row>
    <row r="20927" spans="1:5" x14ac:dyDescent="0.25">
      <c r="A20927" t="s">
        <v>4</v>
      </c>
      <c r="B20927" t="s">
        <v>4111</v>
      </c>
      <c r="C20927" s="1" t="s">
        <v>23490</v>
      </c>
      <c r="D20927" s="1" t="str">
        <f>HYPERLINK("https://rhld.insurance.arkansas.gov/NPILookup?Npi=1689833824","1689833824")</f>
        <v>1689833824</v>
      </c>
      <c r="E20927" t="s">
        <v>19006</v>
      </c>
    </row>
    <row r="20928" spans="1:5" x14ac:dyDescent="0.25">
      <c r="A20928" t="s">
        <v>4</v>
      </c>
      <c r="B20928" t="s">
        <v>4111</v>
      </c>
      <c r="C20928" s="1" t="s">
        <v>23490</v>
      </c>
      <c r="D20928" s="1" t="str">
        <f>HYPERLINK("https://rhld.insurance.arkansas.gov/NPILookup?Npi=1689841199","1689841199")</f>
        <v>1689841199</v>
      </c>
      <c r="E20928" t="s">
        <v>5449</v>
      </c>
    </row>
    <row r="20929" spans="1:5" x14ac:dyDescent="0.25">
      <c r="A20929" t="s">
        <v>4</v>
      </c>
      <c r="B20929" t="s">
        <v>4111</v>
      </c>
      <c r="C20929" s="1" t="s">
        <v>23490</v>
      </c>
      <c r="D20929" s="1" t="str">
        <f>HYPERLINK("https://rhld.insurance.arkansas.gov/NPILookup?Npi=1689853772","1689853772")</f>
        <v>1689853772</v>
      </c>
      <c r="E20929" t="s">
        <v>5450</v>
      </c>
    </row>
    <row r="20930" spans="1:5" x14ac:dyDescent="0.25">
      <c r="A20930" t="s">
        <v>4</v>
      </c>
      <c r="B20930" t="s">
        <v>4111</v>
      </c>
      <c r="C20930" s="1" t="s">
        <v>23490</v>
      </c>
      <c r="D20930" s="1" t="str">
        <f>HYPERLINK("https://rhld.insurance.arkansas.gov/NPILookup?Npi=1689863268","1689863268")</f>
        <v>1689863268</v>
      </c>
      <c r="E20930" t="s">
        <v>5451</v>
      </c>
    </row>
    <row r="20931" spans="1:5" x14ac:dyDescent="0.25">
      <c r="A20931" t="s">
        <v>4</v>
      </c>
      <c r="B20931" t="s">
        <v>4111</v>
      </c>
      <c r="C20931" s="1" t="s">
        <v>23490</v>
      </c>
      <c r="D20931" s="1" t="str">
        <f>HYPERLINK("https://rhld.insurance.arkansas.gov/NPILookup?Npi=1689902256","1689902256")</f>
        <v>1689902256</v>
      </c>
      <c r="E20931" t="s">
        <v>5452</v>
      </c>
    </row>
    <row r="20932" spans="1:5" x14ac:dyDescent="0.25">
      <c r="A20932" t="s">
        <v>4</v>
      </c>
      <c r="B20932" t="s">
        <v>4111</v>
      </c>
      <c r="C20932" s="1" t="s">
        <v>23490</v>
      </c>
      <c r="D20932" s="1" t="str">
        <f>HYPERLINK("https://rhld.insurance.arkansas.gov/NPILookup?Npi=1689928939","1689928939")</f>
        <v>1689928939</v>
      </c>
      <c r="E20932" t="s">
        <v>5453</v>
      </c>
    </row>
    <row r="20933" spans="1:5" x14ac:dyDescent="0.25">
      <c r="A20933" t="s">
        <v>4</v>
      </c>
      <c r="B20933" t="s">
        <v>4111</v>
      </c>
      <c r="C20933" s="1" t="s">
        <v>23490</v>
      </c>
      <c r="D20933" s="1" t="str">
        <f>HYPERLINK("https://rhld.insurance.arkansas.gov/NPILookup?Npi=1689945958","1689945958")</f>
        <v>1689945958</v>
      </c>
      <c r="E20933" t="s">
        <v>5454</v>
      </c>
    </row>
    <row r="20934" spans="1:5" x14ac:dyDescent="0.25">
      <c r="A20934" t="s">
        <v>4</v>
      </c>
      <c r="B20934" t="s">
        <v>4111</v>
      </c>
      <c r="C20934" s="1" t="s">
        <v>23490</v>
      </c>
      <c r="D20934" s="1" t="str">
        <f>HYPERLINK("https://rhld.insurance.arkansas.gov/NPILookup?Npi=1689954877","1689954877")</f>
        <v>1689954877</v>
      </c>
      <c r="E20934" t="s">
        <v>5455</v>
      </c>
    </row>
    <row r="20935" spans="1:5" x14ac:dyDescent="0.25">
      <c r="A20935" t="s">
        <v>4</v>
      </c>
      <c r="B20935" t="s">
        <v>4111</v>
      </c>
      <c r="C20935" s="1" t="s">
        <v>23490</v>
      </c>
      <c r="D20935" s="1" t="str">
        <f>HYPERLINK("https://rhld.insurance.arkansas.gov/NPILookup?Npi=1689957136","1689957136")</f>
        <v>1689957136</v>
      </c>
      <c r="E20935" t="s">
        <v>5456</v>
      </c>
    </row>
    <row r="20936" spans="1:5" x14ac:dyDescent="0.25">
      <c r="A20936" t="s">
        <v>4</v>
      </c>
      <c r="B20936" t="s">
        <v>4111</v>
      </c>
      <c r="C20936" s="1" t="s">
        <v>23490</v>
      </c>
      <c r="D20936" s="1" t="str">
        <f>HYPERLINK("https://rhld.insurance.arkansas.gov/NPILookup?Npi=1689959421","1689959421")</f>
        <v>1689959421</v>
      </c>
      <c r="E20936" t="s">
        <v>5457</v>
      </c>
    </row>
    <row r="20937" spans="1:5" x14ac:dyDescent="0.25">
      <c r="A20937" t="s">
        <v>4</v>
      </c>
      <c r="B20937" t="s">
        <v>4111</v>
      </c>
      <c r="C20937" s="1" t="s">
        <v>23490</v>
      </c>
      <c r="D20937" s="1" t="str">
        <f>HYPERLINK("https://rhld.insurance.arkansas.gov/NPILookup?Npi=1689972796","1689972796")</f>
        <v>1689972796</v>
      </c>
      <c r="E20937" t="s">
        <v>5458</v>
      </c>
    </row>
    <row r="20938" spans="1:5" x14ac:dyDescent="0.25">
      <c r="A20938" t="s">
        <v>4</v>
      </c>
      <c r="B20938" t="s">
        <v>4111</v>
      </c>
      <c r="C20938" s="1" t="s">
        <v>23490</v>
      </c>
      <c r="D20938" s="1" t="str">
        <f>HYPERLINK("https://rhld.insurance.arkansas.gov/NPILookup?Npi=1689979783","1689979783")</f>
        <v>1689979783</v>
      </c>
      <c r="E20938" t="s">
        <v>5459</v>
      </c>
    </row>
    <row r="20939" spans="1:5" x14ac:dyDescent="0.25">
      <c r="A20939" t="s">
        <v>4</v>
      </c>
      <c r="B20939" t="s">
        <v>4111</v>
      </c>
      <c r="C20939" s="1" t="s">
        <v>23490</v>
      </c>
      <c r="D20939" s="1" t="str">
        <f>HYPERLINK("https://rhld.insurance.arkansas.gov/NPILookup?Npi=1689980039","1689980039")</f>
        <v>1689980039</v>
      </c>
      <c r="E20939" t="s">
        <v>9141</v>
      </c>
    </row>
    <row r="20940" spans="1:5" x14ac:dyDescent="0.25">
      <c r="A20940" t="s">
        <v>4</v>
      </c>
      <c r="B20940" t="s">
        <v>4111</v>
      </c>
      <c r="C20940" s="1" t="s">
        <v>23490</v>
      </c>
      <c r="D20940" s="1" t="str">
        <f>HYPERLINK("https://rhld.insurance.arkansas.gov/NPILookup?Npi=1689988636","1689988636")</f>
        <v>1689988636</v>
      </c>
      <c r="E20940" t="s">
        <v>11792</v>
      </c>
    </row>
    <row r="20941" spans="1:5" x14ac:dyDescent="0.25">
      <c r="A20941" t="s">
        <v>4</v>
      </c>
      <c r="B20941" t="s">
        <v>4111</v>
      </c>
      <c r="C20941" s="1" t="s">
        <v>23490</v>
      </c>
      <c r="D20941" s="1" t="str">
        <f>HYPERLINK("https://rhld.insurance.arkansas.gov/NPILookup?Npi=1699000612","1699000612")</f>
        <v>1699000612</v>
      </c>
      <c r="E20941" t="s">
        <v>13188</v>
      </c>
    </row>
    <row r="20942" spans="1:5" x14ac:dyDescent="0.25">
      <c r="A20942" t="s">
        <v>4</v>
      </c>
      <c r="B20942" t="s">
        <v>4111</v>
      </c>
      <c r="C20942" s="1" t="s">
        <v>23490</v>
      </c>
      <c r="D20942" s="1" t="str">
        <f>HYPERLINK("https://rhld.insurance.arkansas.gov/NPILookup?Npi=1699048876","1699048876")</f>
        <v>1699048876</v>
      </c>
      <c r="E20942" t="s">
        <v>5460</v>
      </c>
    </row>
    <row r="20943" spans="1:5" x14ac:dyDescent="0.25">
      <c r="A20943" t="s">
        <v>4</v>
      </c>
      <c r="B20943" t="s">
        <v>4111</v>
      </c>
      <c r="C20943" s="1" t="s">
        <v>23490</v>
      </c>
      <c r="D20943" s="1" t="str">
        <f>HYPERLINK("https://rhld.insurance.arkansas.gov/NPILookup?Npi=1699057851","1699057851")</f>
        <v>1699057851</v>
      </c>
      <c r="E20943" t="s">
        <v>14167</v>
      </c>
    </row>
    <row r="20944" spans="1:5" x14ac:dyDescent="0.25">
      <c r="A20944" t="s">
        <v>4</v>
      </c>
      <c r="B20944" t="s">
        <v>4111</v>
      </c>
      <c r="C20944" s="1" t="s">
        <v>23490</v>
      </c>
      <c r="D20944" s="1" t="str">
        <f>HYPERLINK("https://rhld.insurance.arkansas.gov/NPILookup?Npi=1699061234","1699061234")</f>
        <v>1699061234</v>
      </c>
      <c r="E20944" t="s">
        <v>9142</v>
      </c>
    </row>
    <row r="20945" spans="1:5" x14ac:dyDescent="0.25">
      <c r="A20945" t="s">
        <v>4</v>
      </c>
      <c r="B20945" t="s">
        <v>4111</v>
      </c>
      <c r="C20945" s="1" t="s">
        <v>23490</v>
      </c>
      <c r="D20945" s="1" t="str">
        <f>HYPERLINK("https://rhld.insurance.arkansas.gov/NPILookup?Npi=1699062539","1699062539")</f>
        <v>1699062539</v>
      </c>
      <c r="E20945" t="s">
        <v>14168</v>
      </c>
    </row>
    <row r="20946" spans="1:5" x14ac:dyDescent="0.25">
      <c r="A20946" t="s">
        <v>4</v>
      </c>
      <c r="B20946" t="s">
        <v>4111</v>
      </c>
      <c r="C20946" s="1" t="s">
        <v>23490</v>
      </c>
      <c r="D20946" s="1" t="str">
        <f>HYPERLINK("https://rhld.insurance.arkansas.gov/NPILookup?Npi=1699065110","1699065110")</f>
        <v>1699065110</v>
      </c>
      <c r="E20946" t="s">
        <v>5461</v>
      </c>
    </row>
    <row r="20947" spans="1:5" x14ac:dyDescent="0.25">
      <c r="A20947" t="s">
        <v>4</v>
      </c>
      <c r="B20947" t="s">
        <v>4111</v>
      </c>
      <c r="C20947" s="1" t="s">
        <v>23490</v>
      </c>
      <c r="D20947" s="1" t="str">
        <f>HYPERLINK("https://rhld.insurance.arkansas.gov/NPILookup?Npi=1699133223","1699133223")</f>
        <v>1699133223</v>
      </c>
      <c r="E20947" t="s">
        <v>17626</v>
      </c>
    </row>
    <row r="20948" spans="1:5" x14ac:dyDescent="0.25">
      <c r="A20948" t="s">
        <v>4</v>
      </c>
      <c r="B20948" t="s">
        <v>4111</v>
      </c>
      <c r="C20948" s="1" t="s">
        <v>23490</v>
      </c>
      <c r="D20948" s="1" t="str">
        <f>HYPERLINK("https://rhld.insurance.arkansas.gov/NPILookup?Npi=1699147801","1699147801")</f>
        <v>1699147801</v>
      </c>
      <c r="E20948" t="s">
        <v>17220</v>
      </c>
    </row>
    <row r="20949" spans="1:5" x14ac:dyDescent="0.25">
      <c r="A20949" t="s">
        <v>4</v>
      </c>
      <c r="B20949" t="s">
        <v>4111</v>
      </c>
      <c r="C20949" s="1" t="s">
        <v>23490</v>
      </c>
      <c r="D20949" s="1" t="str">
        <f>HYPERLINK("https://rhld.insurance.arkansas.gov/NPILookup?Npi=1699155945","1699155945")</f>
        <v>1699155945</v>
      </c>
      <c r="E20949" t="s">
        <v>20557</v>
      </c>
    </row>
    <row r="20950" spans="1:5" x14ac:dyDescent="0.25">
      <c r="A20950" t="s">
        <v>4</v>
      </c>
      <c r="B20950" t="s">
        <v>4111</v>
      </c>
      <c r="C20950" s="1" t="s">
        <v>23490</v>
      </c>
      <c r="D20950" s="1" t="str">
        <f>HYPERLINK("https://rhld.insurance.arkansas.gov/NPILookup?Npi=1699162156","1699162156")</f>
        <v>1699162156</v>
      </c>
      <c r="E20950" t="s">
        <v>5462</v>
      </c>
    </row>
    <row r="20951" spans="1:5" x14ac:dyDescent="0.25">
      <c r="A20951" t="s">
        <v>4</v>
      </c>
      <c r="B20951" t="s">
        <v>4111</v>
      </c>
      <c r="C20951" s="1" t="s">
        <v>23490</v>
      </c>
      <c r="D20951" s="1" t="str">
        <f>HYPERLINK("https://rhld.insurance.arkansas.gov/NPILookup?Npi=1699164327","1699164327")</f>
        <v>1699164327</v>
      </c>
      <c r="E20951" t="s">
        <v>22218</v>
      </c>
    </row>
    <row r="20952" spans="1:5" x14ac:dyDescent="0.25">
      <c r="A20952" t="s">
        <v>4</v>
      </c>
      <c r="B20952" t="s">
        <v>4111</v>
      </c>
      <c r="C20952" s="1" t="s">
        <v>23490</v>
      </c>
      <c r="D20952" s="1" t="str">
        <f>HYPERLINK("https://rhld.insurance.arkansas.gov/NPILookup?Npi=1699178137","1699178137")</f>
        <v>1699178137</v>
      </c>
      <c r="E20952" t="s">
        <v>17627</v>
      </c>
    </row>
    <row r="20953" spans="1:5" x14ac:dyDescent="0.25">
      <c r="A20953" t="s">
        <v>4</v>
      </c>
      <c r="B20953" t="s">
        <v>4111</v>
      </c>
      <c r="C20953" s="1" t="s">
        <v>23490</v>
      </c>
      <c r="D20953" s="1" t="str">
        <f>HYPERLINK("https://rhld.insurance.arkansas.gov/NPILookup?Npi=1699193110","1699193110")</f>
        <v>1699193110</v>
      </c>
      <c r="E20953" t="s">
        <v>16197</v>
      </c>
    </row>
    <row r="20954" spans="1:5" x14ac:dyDescent="0.25">
      <c r="A20954" t="s">
        <v>4</v>
      </c>
      <c r="B20954" t="s">
        <v>4111</v>
      </c>
      <c r="C20954" s="1" t="s">
        <v>23490</v>
      </c>
      <c r="D20954" s="1" t="str">
        <f>HYPERLINK("https://rhld.insurance.arkansas.gov/NPILookup?Npi=1699196691","1699196691")</f>
        <v>1699196691</v>
      </c>
      <c r="E20954" t="s">
        <v>18405</v>
      </c>
    </row>
    <row r="20955" spans="1:5" x14ac:dyDescent="0.25">
      <c r="A20955" t="s">
        <v>4</v>
      </c>
      <c r="B20955" t="s">
        <v>4111</v>
      </c>
      <c r="C20955" s="1" t="s">
        <v>23490</v>
      </c>
      <c r="D20955" s="1" t="str">
        <f>HYPERLINK("https://rhld.insurance.arkansas.gov/NPILookup?Npi=1699199398","1699199398")</f>
        <v>1699199398</v>
      </c>
      <c r="E20955" t="s">
        <v>18406</v>
      </c>
    </row>
    <row r="20956" spans="1:5" x14ac:dyDescent="0.25">
      <c r="A20956" t="s">
        <v>4</v>
      </c>
      <c r="B20956" t="s">
        <v>4111</v>
      </c>
      <c r="C20956" s="1" t="s">
        <v>23490</v>
      </c>
      <c r="D20956" s="1" t="str">
        <f>HYPERLINK("https://rhld.insurance.arkansas.gov/NPILookup?Npi=1699205617","1699205617")</f>
        <v>1699205617</v>
      </c>
      <c r="E20956" t="s">
        <v>17221</v>
      </c>
    </row>
    <row r="20957" spans="1:5" x14ac:dyDescent="0.25">
      <c r="A20957" t="s">
        <v>4</v>
      </c>
      <c r="B20957" t="s">
        <v>4111</v>
      </c>
      <c r="C20957" s="1" t="s">
        <v>23490</v>
      </c>
      <c r="D20957" s="1" t="str">
        <f>HYPERLINK("https://rhld.insurance.arkansas.gov/NPILookup?Npi=1699219295","1699219295")</f>
        <v>1699219295</v>
      </c>
      <c r="E20957" t="s">
        <v>20558</v>
      </c>
    </row>
    <row r="20958" spans="1:5" x14ac:dyDescent="0.25">
      <c r="A20958" t="s">
        <v>4</v>
      </c>
      <c r="B20958" t="s">
        <v>4111</v>
      </c>
      <c r="C20958" s="1" t="s">
        <v>23490</v>
      </c>
      <c r="D20958" s="1" t="str">
        <f>HYPERLINK("https://rhld.insurance.arkansas.gov/NPILookup?Npi=1699220756","1699220756")</f>
        <v>1699220756</v>
      </c>
      <c r="E20958" t="s">
        <v>20559</v>
      </c>
    </row>
    <row r="20959" spans="1:5" x14ac:dyDescent="0.25">
      <c r="A20959" t="s">
        <v>4</v>
      </c>
      <c r="B20959" t="s">
        <v>4111</v>
      </c>
      <c r="C20959" s="1" t="s">
        <v>23490</v>
      </c>
      <c r="D20959" s="1" t="str">
        <f>HYPERLINK("https://rhld.insurance.arkansas.gov/NPILookup?Npi=1699226860","1699226860")</f>
        <v>1699226860</v>
      </c>
      <c r="E20959" t="s">
        <v>11180</v>
      </c>
    </row>
    <row r="20960" spans="1:5" x14ac:dyDescent="0.25">
      <c r="A20960" t="s">
        <v>4</v>
      </c>
      <c r="B20960" t="s">
        <v>4111</v>
      </c>
      <c r="C20960" s="1" t="s">
        <v>23490</v>
      </c>
      <c r="D20960" s="1" t="str">
        <f>HYPERLINK("https://rhld.insurance.arkansas.gov/NPILookup?Npi=1699246033","1699246033")</f>
        <v>1699246033</v>
      </c>
      <c r="E20960" t="s">
        <v>19007</v>
      </c>
    </row>
    <row r="20961" spans="1:5" x14ac:dyDescent="0.25">
      <c r="A20961" t="s">
        <v>4</v>
      </c>
      <c r="B20961" t="s">
        <v>4111</v>
      </c>
      <c r="C20961" s="1" t="s">
        <v>23490</v>
      </c>
      <c r="D20961" s="1" t="str">
        <f>HYPERLINK("https://rhld.insurance.arkansas.gov/NPILookup?Npi=1699280578","1699280578")</f>
        <v>1699280578</v>
      </c>
      <c r="E20961" t="s">
        <v>22219</v>
      </c>
    </row>
    <row r="20962" spans="1:5" x14ac:dyDescent="0.25">
      <c r="A20962" t="s">
        <v>4</v>
      </c>
      <c r="B20962" t="s">
        <v>4111</v>
      </c>
      <c r="C20962" s="1" t="s">
        <v>23490</v>
      </c>
      <c r="D20962" s="1" t="str">
        <f>HYPERLINK("https://rhld.insurance.arkansas.gov/NPILookup?Npi=1699282137","1699282137")</f>
        <v>1699282137</v>
      </c>
      <c r="E20962" t="s">
        <v>13189</v>
      </c>
    </row>
    <row r="20963" spans="1:5" x14ac:dyDescent="0.25">
      <c r="A20963" t="s">
        <v>4</v>
      </c>
      <c r="B20963" t="s">
        <v>4111</v>
      </c>
      <c r="C20963" s="1" t="s">
        <v>23490</v>
      </c>
      <c r="D20963" s="1" t="str">
        <f>HYPERLINK("https://rhld.insurance.arkansas.gov/NPILookup?Npi=1699325241","1699325241")</f>
        <v>1699325241</v>
      </c>
      <c r="E20963" t="s">
        <v>22220</v>
      </c>
    </row>
    <row r="20964" spans="1:5" x14ac:dyDescent="0.25">
      <c r="A20964" t="s">
        <v>4</v>
      </c>
      <c r="B20964" t="s">
        <v>4111</v>
      </c>
      <c r="C20964" s="1" t="s">
        <v>23490</v>
      </c>
      <c r="D20964" s="1" t="str">
        <f>HYPERLINK("https://rhld.insurance.arkansas.gov/NPILookup?Npi=1699353714","1699353714")</f>
        <v>1699353714</v>
      </c>
      <c r="E20964" t="s">
        <v>23165</v>
      </c>
    </row>
    <row r="20965" spans="1:5" x14ac:dyDescent="0.25">
      <c r="A20965" t="s">
        <v>4</v>
      </c>
      <c r="B20965" t="s">
        <v>4111</v>
      </c>
      <c r="C20965" s="1" t="s">
        <v>8427</v>
      </c>
      <c r="D20965" s="1" t="str">
        <f>HYPERLINK("https://rhld.insurance.arkansas.gov/NPILookup?Npi=1699356824","1699356824")</f>
        <v>1699356824</v>
      </c>
      <c r="E20965" t="s">
        <v>23166</v>
      </c>
    </row>
    <row r="20966" spans="1:5" x14ac:dyDescent="0.25">
      <c r="A20966" t="s">
        <v>4</v>
      </c>
      <c r="B20966" t="s">
        <v>4111</v>
      </c>
      <c r="C20966" s="1" t="s">
        <v>23490</v>
      </c>
      <c r="D20966" s="1" t="str">
        <f>HYPERLINK("https://rhld.insurance.arkansas.gov/NPILookup?Npi=1699360297","1699360297")</f>
        <v>1699360297</v>
      </c>
      <c r="E20966" t="s">
        <v>18840</v>
      </c>
    </row>
    <row r="20967" spans="1:5" x14ac:dyDescent="0.25">
      <c r="A20967" t="s">
        <v>4</v>
      </c>
      <c r="B20967" t="s">
        <v>4111</v>
      </c>
      <c r="C20967" s="1" t="s">
        <v>23490</v>
      </c>
      <c r="D20967" s="1" t="str">
        <f>HYPERLINK("https://rhld.insurance.arkansas.gov/NPILookup?Npi=1699499384","1699499384")</f>
        <v>1699499384</v>
      </c>
      <c r="E20967" t="s">
        <v>21628</v>
      </c>
    </row>
    <row r="20968" spans="1:5" x14ac:dyDescent="0.25">
      <c r="A20968" t="s">
        <v>4</v>
      </c>
      <c r="B20968" t="s">
        <v>4111</v>
      </c>
      <c r="C20968" s="1" t="s">
        <v>23490</v>
      </c>
      <c r="D20968" s="1" t="str">
        <f>HYPERLINK("https://rhld.insurance.arkansas.gov/NPILookup?Npi=1699721555","1699721555")</f>
        <v>1699721555</v>
      </c>
      <c r="E20968" t="s">
        <v>5463</v>
      </c>
    </row>
    <row r="20969" spans="1:5" x14ac:dyDescent="0.25">
      <c r="A20969" t="s">
        <v>4</v>
      </c>
      <c r="B20969" t="s">
        <v>4111</v>
      </c>
      <c r="C20969" s="1" t="s">
        <v>23490</v>
      </c>
      <c r="D20969" s="1" t="str">
        <f>HYPERLINK("https://rhld.insurance.arkansas.gov/NPILookup?Npi=1699723437","1699723437")</f>
        <v>1699723437</v>
      </c>
      <c r="E20969" t="s">
        <v>14169</v>
      </c>
    </row>
    <row r="20970" spans="1:5" x14ac:dyDescent="0.25">
      <c r="A20970" t="s">
        <v>4</v>
      </c>
      <c r="B20970" t="s">
        <v>4111</v>
      </c>
      <c r="C20970" s="1" t="s">
        <v>23490</v>
      </c>
      <c r="D20970" s="1" t="str">
        <f>HYPERLINK("https://rhld.insurance.arkansas.gov/NPILookup?Npi=1699728279","1699728279")</f>
        <v>1699728279</v>
      </c>
      <c r="E20970" t="s">
        <v>5464</v>
      </c>
    </row>
    <row r="20971" spans="1:5" x14ac:dyDescent="0.25">
      <c r="A20971" t="s">
        <v>4</v>
      </c>
      <c r="B20971" t="s">
        <v>4111</v>
      </c>
      <c r="C20971" s="1" t="s">
        <v>23490</v>
      </c>
      <c r="D20971" s="1" t="str">
        <f>HYPERLINK("https://rhld.insurance.arkansas.gov/NPILookup?Npi=1699729251","1699729251")</f>
        <v>1699729251</v>
      </c>
      <c r="E20971" t="s">
        <v>5465</v>
      </c>
    </row>
    <row r="20972" spans="1:5" x14ac:dyDescent="0.25">
      <c r="A20972" t="s">
        <v>4</v>
      </c>
      <c r="B20972" t="s">
        <v>4111</v>
      </c>
      <c r="C20972" s="1" t="s">
        <v>23490</v>
      </c>
      <c r="D20972" s="1" t="str">
        <f>HYPERLINK("https://rhld.insurance.arkansas.gov/NPILookup?Npi=1699743286","1699743286")</f>
        <v>1699743286</v>
      </c>
      <c r="E20972" t="s">
        <v>5466</v>
      </c>
    </row>
    <row r="20973" spans="1:5" x14ac:dyDescent="0.25">
      <c r="A20973" t="s">
        <v>4</v>
      </c>
      <c r="B20973" t="s">
        <v>4111</v>
      </c>
      <c r="C20973" s="1" t="s">
        <v>23490</v>
      </c>
      <c r="D20973" s="1" t="str">
        <f>HYPERLINK("https://rhld.insurance.arkansas.gov/NPILookup?Npi=1699753061","1699753061")</f>
        <v>1699753061</v>
      </c>
      <c r="E20973" t="s">
        <v>5467</v>
      </c>
    </row>
    <row r="20974" spans="1:5" x14ac:dyDescent="0.25">
      <c r="A20974" t="s">
        <v>4</v>
      </c>
      <c r="B20974" t="s">
        <v>4111</v>
      </c>
      <c r="C20974" s="1" t="s">
        <v>23490</v>
      </c>
      <c r="D20974" s="1" t="str">
        <f>HYPERLINK("https://rhld.insurance.arkansas.gov/NPILookup?Npi=1699804484","1699804484")</f>
        <v>1699804484</v>
      </c>
      <c r="E20974" t="s">
        <v>14170</v>
      </c>
    </row>
    <row r="20975" spans="1:5" x14ac:dyDescent="0.25">
      <c r="A20975" t="s">
        <v>4</v>
      </c>
      <c r="B20975" t="s">
        <v>4111</v>
      </c>
      <c r="C20975" s="1" t="s">
        <v>23490</v>
      </c>
      <c r="D20975" s="1" t="str">
        <f>HYPERLINK("https://rhld.insurance.arkansas.gov/NPILookup?Npi=1699818468","1699818468")</f>
        <v>1699818468</v>
      </c>
      <c r="E20975" t="s">
        <v>11793</v>
      </c>
    </row>
    <row r="20976" spans="1:5" x14ac:dyDescent="0.25">
      <c r="A20976" t="s">
        <v>4</v>
      </c>
      <c r="B20976" t="s">
        <v>4111</v>
      </c>
      <c r="C20976" s="1" t="s">
        <v>23490</v>
      </c>
      <c r="D20976" s="1" t="str">
        <f>HYPERLINK("https://rhld.insurance.arkansas.gov/NPILookup?Npi=1699840140","1699840140")</f>
        <v>1699840140</v>
      </c>
      <c r="E20976" t="s">
        <v>5468</v>
      </c>
    </row>
    <row r="20977" spans="1:5" x14ac:dyDescent="0.25">
      <c r="A20977" t="s">
        <v>4</v>
      </c>
      <c r="B20977" t="s">
        <v>4111</v>
      </c>
      <c r="C20977" s="1" t="s">
        <v>23490</v>
      </c>
      <c r="D20977" s="1" t="str">
        <f>HYPERLINK("https://rhld.insurance.arkansas.gov/NPILookup?Npi=1699843409","1699843409")</f>
        <v>1699843409</v>
      </c>
      <c r="E20977" t="s">
        <v>5469</v>
      </c>
    </row>
    <row r="20978" spans="1:5" x14ac:dyDescent="0.25">
      <c r="A20978" t="s">
        <v>4</v>
      </c>
      <c r="B20978" t="s">
        <v>4111</v>
      </c>
      <c r="C20978" s="1" t="s">
        <v>23490</v>
      </c>
      <c r="D20978" s="1" t="str">
        <f>HYPERLINK("https://rhld.insurance.arkansas.gov/NPILookup?Npi=1699844258","1699844258")</f>
        <v>1699844258</v>
      </c>
      <c r="E20978" t="s">
        <v>5470</v>
      </c>
    </row>
    <row r="20979" spans="1:5" x14ac:dyDescent="0.25">
      <c r="A20979" t="s">
        <v>4</v>
      </c>
      <c r="B20979" t="s">
        <v>4111</v>
      </c>
      <c r="C20979" s="1" t="s">
        <v>23490</v>
      </c>
      <c r="D20979" s="1" t="str">
        <f>HYPERLINK("https://rhld.insurance.arkansas.gov/NPILookup?Npi=1699850966","1699850966")</f>
        <v>1699850966</v>
      </c>
      <c r="E20979" t="s">
        <v>5471</v>
      </c>
    </row>
    <row r="20980" spans="1:5" x14ac:dyDescent="0.25">
      <c r="A20980" t="s">
        <v>4</v>
      </c>
      <c r="B20980" t="s">
        <v>4111</v>
      </c>
      <c r="C20980" s="1" t="s">
        <v>23490</v>
      </c>
      <c r="D20980" s="1" t="str">
        <f>HYPERLINK("https://rhld.insurance.arkansas.gov/NPILookup?Npi=1699865253","1699865253")</f>
        <v>1699865253</v>
      </c>
      <c r="E20980" t="s">
        <v>3883</v>
      </c>
    </row>
    <row r="20981" spans="1:5" x14ac:dyDescent="0.25">
      <c r="A20981" t="s">
        <v>4</v>
      </c>
      <c r="B20981" t="s">
        <v>4111</v>
      </c>
      <c r="C20981" s="1" t="s">
        <v>23490</v>
      </c>
      <c r="D20981" s="1" t="str">
        <f>HYPERLINK("https://rhld.insurance.arkansas.gov/NPILookup?Npi=1699902403","1699902403")</f>
        <v>1699902403</v>
      </c>
      <c r="E20981" t="s">
        <v>11794</v>
      </c>
    </row>
    <row r="20982" spans="1:5" x14ac:dyDescent="0.25">
      <c r="A20982" t="s">
        <v>4</v>
      </c>
      <c r="B20982" t="s">
        <v>4111</v>
      </c>
      <c r="C20982" s="1" t="s">
        <v>23490</v>
      </c>
      <c r="D20982" s="1" t="str">
        <f>HYPERLINK("https://rhld.insurance.arkansas.gov/NPILookup?Npi=1699910539","1699910539")</f>
        <v>1699910539</v>
      </c>
      <c r="E20982" t="s">
        <v>20560</v>
      </c>
    </row>
    <row r="20983" spans="1:5" x14ac:dyDescent="0.25">
      <c r="A20983" t="s">
        <v>4</v>
      </c>
      <c r="B20983" t="s">
        <v>4111</v>
      </c>
      <c r="C20983" s="1" t="s">
        <v>23490</v>
      </c>
      <c r="D20983" s="1" t="str">
        <f>HYPERLINK("https://rhld.insurance.arkansas.gov/NPILookup?Npi=1699915207","1699915207")</f>
        <v>1699915207</v>
      </c>
      <c r="E20983" t="s">
        <v>3039</v>
      </c>
    </row>
    <row r="20984" spans="1:5" x14ac:dyDescent="0.25">
      <c r="A20984" t="s">
        <v>4</v>
      </c>
      <c r="B20984" t="s">
        <v>4111</v>
      </c>
      <c r="C20984" s="1" t="s">
        <v>23490</v>
      </c>
      <c r="D20984" s="1" t="str">
        <f>HYPERLINK("https://rhld.insurance.arkansas.gov/NPILookup?Npi=1699923441","1699923441")</f>
        <v>1699923441</v>
      </c>
      <c r="E20984" t="s">
        <v>23167</v>
      </c>
    </row>
    <row r="20985" spans="1:5" x14ac:dyDescent="0.25">
      <c r="A20985" t="s">
        <v>4</v>
      </c>
      <c r="B20985" t="s">
        <v>4111</v>
      </c>
      <c r="C20985" s="1" t="s">
        <v>23490</v>
      </c>
      <c r="D20985" s="1" t="str">
        <f>HYPERLINK("https://rhld.insurance.arkansas.gov/NPILookup?Npi=1699926931","1699926931")</f>
        <v>1699926931</v>
      </c>
      <c r="E20985" t="s">
        <v>19008</v>
      </c>
    </row>
    <row r="20986" spans="1:5" x14ac:dyDescent="0.25">
      <c r="A20986" t="s">
        <v>4</v>
      </c>
      <c r="B20986" t="s">
        <v>4111</v>
      </c>
      <c r="C20986" s="1" t="s">
        <v>23490</v>
      </c>
      <c r="D20986" s="1" t="str">
        <f>HYPERLINK("https://rhld.insurance.arkansas.gov/NPILookup?Npi=1699936120","1699936120")</f>
        <v>1699936120</v>
      </c>
      <c r="E20986" t="s">
        <v>20561</v>
      </c>
    </row>
    <row r="20987" spans="1:5" x14ac:dyDescent="0.25">
      <c r="A20987" t="s">
        <v>4</v>
      </c>
      <c r="B20987" t="s">
        <v>4111</v>
      </c>
      <c r="C20987" s="1" t="s">
        <v>23490</v>
      </c>
      <c r="D20987" s="1" t="str">
        <f>HYPERLINK("https://rhld.insurance.arkansas.gov/NPILookup?Npi=1699942284","1699942284")</f>
        <v>1699942284</v>
      </c>
      <c r="E20987" t="s">
        <v>18407</v>
      </c>
    </row>
    <row r="20988" spans="1:5" x14ac:dyDescent="0.25">
      <c r="A20988" t="s">
        <v>4</v>
      </c>
      <c r="B20988" t="s">
        <v>4111</v>
      </c>
      <c r="C20988" s="1" t="s">
        <v>23490</v>
      </c>
      <c r="D20988" s="1" t="str">
        <f>HYPERLINK("https://rhld.insurance.arkansas.gov/NPILookup?Npi=1699949966","1699949966")</f>
        <v>1699949966</v>
      </c>
      <c r="E20988" t="s">
        <v>5472</v>
      </c>
    </row>
    <row r="20989" spans="1:5" x14ac:dyDescent="0.25">
      <c r="A20989" t="s">
        <v>4</v>
      </c>
      <c r="B20989" t="s">
        <v>4111</v>
      </c>
      <c r="C20989" s="1" t="s">
        <v>23490</v>
      </c>
      <c r="D20989" s="1" t="str">
        <f>HYPERLINK("https://rhld.insurance.arkansas.gov/NPILookup?Npi=1699966697","1699966697")</f>
        <v>1699966697</v>
      </c>
      <c r="E20989" t="s">
        <v>11795</v>
      </c>
    </row>
    <row r="20990" spans="1:5" x14ac:dyDescent="0.25">
      <c r="A20990" t="s">
        <v>4</v>
      </c>
      <c r="B20990" t="s">
        <v>4111</v>
      </c>
      <c r="C20990" s="1" t="s">
        <v>23490</v>
      </c>
      <c r="D20990" s="1" t="str">
        <f>HYPERLINK("https://rhld.insurance.arkansas.gov/NPILookup?Npi=1699971671","1699971671")</f>
        <v>1699971671</v>
      </c>
      <c r="E20990" t="s">
        <v>5473</v>
      </c>
    </row>
    <row r="20991" spans="1:5" x14ac:dyDescent="0.25">
      <c r="A20991" t="s">
        <v>4</v>
      </c>
      <c r="B20991" t="s">
        <v>4111</v>
      </c>
      <c r="C20991" s="1" t="s">
        <v>23490</v>
      </c>
      <c r="D20991" s="1" t="str">
        <f>HYPERLINK("https://rhld.insurance.arkansas.gov/NPILookup?Npi=1699984104","1699984104")</f>
        <v>1699984104</v>
      </c>
      <c r="E20991" t="s">
        <v>5474</v>
      </c>
    </row>
    <row r="20992" spans="1:5" x14ac:dyDescent="0.25">
      <c r="A20992" t="s">
        <v>4</v>
      </c>
      <c r="B20992" t="s">
        <v>4111</v>
      </c>
      <c r="C20992" s="1" t="s">
        <v>23490</v>
      </c>
      <c r="D20992" s="1" t="str">
        <f>HYPERLINK("https://rhld.insurance.arkansas.gov/NPILookup?Npi=1700016896","1700016896")</f>
        <v>1700016896</v>
      </c>
      <c r="E20992" t="s">
        <v>16198</v>
      </c>
    </row>
    <row r="20993" spans="1:5" x14ac:dyDescent="0.25">
      <c r="A20993" t="s">
        <v>4</v>
      </c>
      <c r="B20993" t="s">
        <v>4111</v>
      </c>
      <c r="C20993" s="1" t="s">
        <v>23490</v>
      </c>
      <c r="D20993" s="1" t="str">
        <f>HYPERLINK("https://rhld.insurance.arkansas.gov/NPILookup?Npi=1700023876","1700023876")</f>
        <v>1700023876</v>
      </c>
      <c r="E20993" t="s">
        <v>13190</v>
      </c>
    </row>
    <row r="20994" spans="1:5" x14ac:dyDescent="0.25">
      <c r="A20994" t="s">
        <v>4</v>
      </c>
      <c r="B20994" t="s">
        <v>4111</v>
      </c>
      <c r="C20994" s="1" t="s">
        <v>23490</v>
      </c>
      <c r="D20994" s="1" t="str">
        <f>HYPERLINK("https://rhld.insurance.arkansas.gov/NPILookup?Npi=1700032810","1700032810")</f>
        <v>1700032810</v>
      </c>
      <c r="E20994" t="s">
        <v>11796</v>
      </c>
    </row>
    <row r="20995" spans="1:5" x14ac:dyDescent="0.25">
      <c r="A20995" t="s">
        <v>4</v>
      </c>
      <c r="B20995" t="s">
        <v>4111</v>
      </c>
      <c r="C20995" s="1" t="s">
        <v>23490</v>
      </c>
      <c r="D20995" s="1" t="str">
        <f>HYPERLINK("https://rhld.insurance.arkansas.gov/NPILookup?Npi=1700056249","1700056249")</f>
        <v>1700056249</v>
      </c>
      <c r="E20995" t="s">
        <v>5475</v>
      </c>
    </row>
    <row r="20996" spans="1:5" x14ac:dyDescent="0.25">
      <c r="A20996" t="s">
        <v>4</v>
      </c>
      <c r="B20996" t="s">
        <v>4111</v>
      </c>
      <c r="C20996" s="1" t="s">
        <v>23490</v>
      </c>
      <c r="D20996" s="1" t="str">
        <f>HYPERLINK("https://rhld.insurance.arkansas.gov/NPILookup?Npi=1700077195","1700077195")</f>
        <v>1700077195</v>
      </c>
      <c r="E20996" t="s">
        <v>5477</v>
      </c>
    </row>
    <row r="20997" spans="1:5" x14ac:dyDescent="0.25">
      <c r="A20997" t="s">
        <v>4</v>
      </c>
      <c r="B20997" t="s">
        <v>4111</v>
      </c>
      <c r="C20997" s="1" t="s">
        <v>23490</v>
      </c>
      <c r="D20997" s="1" t="str">
        <f>HYPERLINK("https://rhld.insurance.arkansas.gov/NPILookup?Npi=1700083037","1700083037")</f>
        <v>1700083037</v>
      </c>
      <c r="E20997" t="s">
        <v>9143</v>
      </c>
    </row>
    <row r="20998" spans="1:5" x14ac:dyDescent="0.25">
      <c r="A20998" t="s">
        <v>4</v>
      </c>
      <c r="B20998" t="s">
        <v>4111</v>
      </c>
      <c r="C20998" s="1" t="s">
        <v>23490</v>
      </c>
      <c r="D20998" s="1" t="str">
        <f>HYPERLINK("https://rhld.insurance.arkansas.gov/NPILookup?Npi=1700085263","1700085263")</f>
        <v>1700085263</v>
      </c>
      <c r="E20998" t="s">
        <v>16199</v>
      </c>
    </row>
    <row r="20999" spans="1:5" x14ac:dyDescent="0.25">
      <c r="A20999" t="s">
        <v>4</v>
      </c>
      <c r="B20999" t="s">
        <v>4111</v>
      </c>
      <c r="C20999" s="1" t="s">
        <v>23490</v>
      </c>
      <c r="D20999" s="1" t="str">
        <f>HYPERLINK("https://rhld.insurance.arkansas.gov/NPILookup?Npi=1700093812","1700093812")</f>
        <v>1700093812</v>
      </c>
      <c r="E20999" t="s">
        <v>14171</v>
      </c>
    </row>
    <row r="21000" spans="1:5" x14ac:dyDescent="0.25">
      <c r="A21000" t="s">
        <v>4</v>
      </c>
      <c r="B21000" t="s">
        <v>4111</v>
      </c>
      <c r="C21000" s="1" t="s">
        <v>23490</v>
      </c>
      <c r="D21000" s="1" t="str">
        <f>HYPERLINK("https://rhld.insurance.arkansas.gov/NPILookup?Npi=1700094265","1700094265")</f>
        <v>1700094265</v>
      </c>
      <c r="E21000" t="s">
        <v>5478</v>
      </c>
    </row>
    <row r="21001" spans="1:5" x14ac:dyDescent="0.25">
      <c r="A21001" t="s">
        <v>4</v>
      </c>
      <c r="B21001" t="s">
        <v>4111</v>
      </c>
      <c r="C21001" s="1" t="s">
        <v>23490</v>
      </c>
      <c r="D21001" s="1" t="str">
        <f>HYPERLINK("https://rhld.insurance.arkansas.gov/NPILookup?Npi=1700126141","1700126141")</f>
        <v>1700126141</v>
      </c>
      <c r="E21001" t="s">
        <v>17222</v>
      </c>
    </row>
    <row r="21002" spans="1:5" x14ac:dyDescent="0.25">
      <c r="A21002" t="s">
        <v>4</v>
      </c>
      <c r="B21002" t="s">
        <v>4111</v>
      </c>
      <c r="C21002" s="1" t="s">
        <v>23490</v>
      </c>
      <c r="D21002" s="1" t="str">
        <f>HYPERLINK("https://rhld.insurance.arkansas.gov/NPILookup?Npi=1700147709","1700147709")</f>
        <v>1700147709</v>
      </c>
      <c r="E21002" t="s">
        <v>11797</v>
      </c>
    </row>
    <row r="21003" spans="1:5" x14ac:dyDescent="0.25">
      <c r="A21003" t="s">
        <v>4</v>
      </c>
      <c r="B21003" t="s">
        <v>4111</v>
      </c>
      <c r="C21003" s="1" t="s">
        <v>23490</v>
      </c>
      <c r="D21003" s="1" t="str">
        <f>HYPERLINK("https://rhld.insurance.arkansas.gov/NPILookup?Npi=1700158953","1700158953")</f>
        <v>1700158953</v>
      </c>
      <c r="E21003" t="s">
        <v>11798</v>
      </c>
    </row>
    <row r="21004" spans="1:5" x14ac:dyDescent="0.25">
      <c r="A21004" t="s">
        <v>4</v>
      </c>
      <c r="B21004" t="s">
        <v>4111</v>
      </c>
      <c r="C21004" s="1" t="s">
        <v>23490</v>
      </c>
      <c r="D21004" s="1" t="str">
        <f>HYPERLINK("https://rhld.insurance.arkansas.gov/NPILookup?Npi=1700160231","1700160231")</f>
        <v>1700160231</v>
      </c>
      <c r="E21004" t="s">
        <v>22221</v>
      </c>
    </row>
    <row r="21005" spans="1:5" x14ac:dyDescent="0.25">
      <c r="A21005" t="s">
        <v>4</v>
      </c>
      <c r="B21005" t="s">
        <v>4111</v>
      </c>
      <c r="C21005" s="1" t="s">
        <v>23490</v>
      </c>
      <c r="D21005" s="1" t="str">
        <f>HYPERLINK("https://rhld.insurance.arkansas.gov/NPILookup?Npi=1700168937","1700168937")</f>
        <v>1700168937</v>
      </c>
      <c r="E21005" t="s">
        <v>5479</v>
      </c>
    </row>
    <row r="21006" spans="1:5" x14ac:dyDescent="0.25">
      <c r="A21006" t="s">
        <v>4</v>
      </c>
      <c r="B21006" t="s">
        <v>4111</v>
      </c>
      <c r="C21006" s="1" t="s">
        <v>23490</v>
      </c>
      <c r="D21006" s="1" t="str">
        <f>HYPERLINK("https://rhld.insurance.arkansas.gov/NPILookup?Npi=1700170560","1700170560")</f>
        <v>1700170560</v>
      </c>
      <c r="E21006" t="s">
        <v>21429</v>
      </c>
    </row>
    <row r="21007" spans="1:5" x14ac:dyDescent="0.25">
      <c r="A21007" t="s">
        <v>4</v>
      </c>
      <c r="B21007" t="s">
        <v>4111</v>
      </c>
      <c r="C21007" s="1" t="s">
        <v>23490</v>
      </c>
      <c r="D21007" s="1" t="str">
        <f>HYPERLINK("https://rhld.insurance.arkansas.gov/NPILookup?Npi=1700171600","1700171600")</f>
        <v>1700171600</v>
      </c>
      <c r="E21007" t="s">
        <v>5480</v>
      </c>
    </row>
    <row r="21008" spans="1:5" x14ac:dyDescent="0.25">
      <c r="A21008" t="s">
        <v>4</v>
      </c>
      <c r="B21008" t="s">
        <v>4111</v>
      </c>
      <c r="C21008" s="1" t="s">
        <v>23490</v>
      </c>
      <c r="D21008" s="1" t="str">
        <f>HYPERLINK("https://rhld.insurance.arkansas.gov/NPILookup?Npi=1700202702","1700202702")</f>
        <v>1700202702</v>
      </c>
      <c r="E21008" t="s">
        <v>13191</v>
      </c>
    </row>
    <row r="21009" spans="1:5" x14ac:dyDescent="0.25">
      <c r="A21009" t="s">
        <v>4</v>
      </c>
      <c r="B21009" t="s">
        <v>4111</v>
      </c>
      <c r="C21009" s="1" t="s">
        <v>23490</v>
      </c>
      <c r="D21009" s="1" t="str">
        <f>HYPERLINK("https://rhld.insurance.arkansas.gov/NPILookup?Npi=1700202991","1700202991")</f>
        <v>1700202991</v>
      </c>
      <c r="E21009" t="s">
        <v>14172</v>
      </c>
    </row>
    <row r="21010" spans="1:5" x14ac:dyDescent="0.25">
      <c r="A21010" t="s">
        <v>4</v>
      </c>
      <c r="B21010" t="s">
        <v>4111</v>
      </c>
      <c r="C21010" s="1" t="s">
        <v>23490</v>
      </c>
      <c r="D21010" s="1" t="str">
        <f>HYPERLINK("https://rhld.insurance.arkansas.gov/NPILookup?Npi=1700211018","1700211018")</f>
        <v>1700211018</v>
      </c>
      <c r="E21010" t="s">
        <v>5481</v>
      </c>
    </row>
    <row r="21011" spans="1:5" x14ac:dyDescent="0.25">
      <c r="A21011" t="s">
        <v>4</v>
      </c>
      <c r="B21011" t="s">
        <v>4111</v>
      </c>
      <c r="C21011" s="1" t="s">
        <v>23490</v>
      </c>
      <c r="D21011" s="1" t="str">
        <f>HYPERLINK("https://rhld.insurance.arkansas.gov/NPILookup?Npi=1700212610","1700212610")</f>
        <v>1700212610</v>
      </c>
      <c r="E21011" t="s">
        <v>11799</v>
      </c>
    </row>
    <row r="21012" spans="1:5" x14ac:dyDescent="0.25">
      <c r="A21012" t="s">
        <v>4</v>
      </c>
      <c r="B21012" t="s">
        <v>4111</v>
      </c>
      <c r="C21012" s="1" t="s">
        <v>23490</v>
      </c>
      <c r="D21012" s="1" t="str">
        <f>HYPERLINK("https://rhld.insurance.arkansas.gov/NPILookup?Npi=1700223864","1700223864")</f>
        <v>1700223864</v>
      </c>
      <c r="E21012" t="s">
        <v>13192</v>
      </c>
    </row>
    <row r="21013" spans="1:5" x14ac:dyDescent="0.25">
      <c r="A21013" t="s">
        <v>4</v>
      </c>
      <c r="B21013" t="s">
        <v>4111</v>
      </c>
      <c r="C21013" s="1" t="s">
        <v>23490</v>
      </c>
      <c r="D21013" s="1" t="str">
        <f>HYPERLINK("https://rhld.insurance.arkansas.gov/NPILookup?Npi=1700235728","1700235728")</f>
        <v>1700235728</v>
      </c>
      <c r="E21013" t="s">
        <v>16200</v>
      </c>
    </row>
    <row r="21014" spans="1:5" x14ac:dyDescent="0.25">
      <c r="A21014" t="s">
        <v>4</v>
      </c>
      <c r="B21014" t="s">
        <v>4111</v>
      </c>
      <c r="C21014" s="1" t="s">
        <v>23490</v>
      </c>
      <c r="D21014" s="1" t="str">
        <f>HYPERLINK("https://rhld.insurance.arkansas.gov/NPILookup?Npi=1700237658","1700237658")</f>
        <v>1700237658</v>
      </c>
      <c r="E21014" t="s">
        <v>16201</v>
      </c>
    </row>
    <row r="21015" spans="1:5" x14ac:dyDescent="0.25">
      <c r="A21015" t="s">
        <v>4</v>
      </c>
      <c r="B21015" t="s">
        <v>4111</v>
      </c>
      <c r="C21015" s="1" t="s">
        <v>23490</v>
      </c>
      <c r="D21015" s="1" t="str">
        <f>HYPERLINK("https://rhld.insurance.arkansas.gov/NPILookup?Npi=1700244027","1700244027")</f>
        <v>1700244027</v>
      </c>
      <c r="E21015" t="s">
        <v>14173</v>
      </c>
    </row>
    <row r="21016" spans="1:5" x14ac:dyDescent="0.25">
      <c r="A21016" t="s">
        <v>4</v>
      </c>
      <c r="B21016" t="s">
        <v>4111</v>
      </c>
      <c r="C21016" s="1" t="s">
        <v>23490</v>
      </c>
      <c r="D21016" s="1" t="str">
        <f>HYPERLINK("https://rhld.insurance.arkansas.gov/NPILookup?Npi=1700251113","1700251113")</f>
        <v>1700251113</v>
      </c>
      <c r="E21016" t="s">
        <v>20562</v>
      </c>
    </row>
    <row r="21017" spans="1:5" x14ac:dyDescent="0.25">
      <c r="A21017" t="s">
        <v>4</v>
      </c>
      <c r="B21017" t="s">
        <v>4111</v>
      </c>
      <c r="C21017" s="1" t="s">
        <v>23490</v>
      </c>
      <c r="D21017" s="1" t="str">
        <f>HYPERLINK("https://rhld.insurance.arkansas.gov/NPILookup?Npi=1700300290","1700300290")</f>
        <v>1700300290</v>
      </c>
      <c r="E21017" t="s">
        <v>17223</v>
      </c>
    </row>
    <row r="21018" spans="1:5" x14ac:dyDescent="0.25">
      <c r="A21018" t="s">
        <v>4</v>
      </c>
      <c r="B21018" t="s">
        <v>4111</v>
      </c>
      <c r="C21018" s="1" t="s">
        <v>23490</v>
      </c>
      <c r="D21018" s="1" t="str">
        <f>HYPERLINK("https://rhld.insurance.arkansas.gov/NPILookup?Npi=1700302734","1700302734")</f>
        <v>1700302734</v>
      </c>
      <c r="E21018" t="s">
        <v>17628</v>
      </c>
    </row>
    <row r="21019" spans="1:5" x14ac:dyDescent="0.25">
      <c r="A21019" t="s">
        <v>4</v>
      </c>
      <c r="B21019" t="s">
        <v>4111</v>
      </c>
      <c r="C21019" s="1" t="s">
        <v>8427</v>
      </c>
      <c r="D21019" s="1" t="str">
        <f>HYPERLINK("https://rhld.insurance.arkansas.gov/NPILookup?Npi=1700314994","1700314994")</f>
        <v>1700314994</v>
      </c>
      <c r="E21019" t="s">
        <v>23168</v>
      </c>
    </row>
    <row r="21020" spans="1:5" x14ac:dyDescent="0.25">
      <c r="A21020" t="s">
        <v>4</v>
      </c>
      <c r="B21020" t="s">
        <v>4111</v>
      </c>
      <c r="C21020" s="1" t="s">
        <v>23490</v>
      </c>
      <c r="D21020" s="1" t="str">
        <f>HYPERLINK("https://rhld.insurance.arkansas.gov/NPILookup?Npi=1700334414","1700334414")</f>
        <v>1700334414</v>
      </c>
      <c r="E21020" t="s">
        <v>17224</v>
      </c>
    </row>
    <row r="21021" spans="1:5" x14ac:dyDescent="0.25">
      <c r="A21021" t="s">
        <v>4</v>
      </c>
      <c r="B21021" t="s">
        <v>4111</v>
      </c>
      <c r="C21021" s="1" t="s">
        <v>23490</v>
      </c>
      <c r="D21021" s="1" t="str">
        <f>HYPERLINK("https://rhld.insurance.arkansas.gov/NPILookup?Npi=1700348588","1700348588")</f>
        <v>1700348588</v>
      </c>
      <c r="E21021" t="s">
        <v>22222</v>
      </c>
    </row>
    <row r="21022" spans="1:5" x14ac:dyDescent="0.25">
      <c r="A21022" t="s">
        <v>4</v>
      </c>
      <c r="B21022" t="s">
        <v>4111</v>
      </c>
      <c r="C21022" s="1" t="s">
        <v>23490</v>
      </c>
      <c r="D21022" s="1" t="str">
        <f>HYPERLINK("https://rhld.insurance.arkansas.gov/NPILookup?Npi=1700366432","1700366432")</f>
        <v>1700366432</v>
      </c>
      <c r="E21022" t="s">
        <v>14174</v>
      </c>
    </row>
    <row r="21023" spans="1:5" x14ac:dyDescent="0.25">
      <c r="A21023" t="s">
        <v>4</v>
      </c>
      <c r="B21023" t="s">
        <v>4111</v>
      </c>
      <c r="C21023" s="1" t="s">
        <v>23490</v>
      </c>
      <c r="D21023" s="1" t="str">
        <f>HYPERLINK("https://rhld.insurance.arkansas.gov/NPILookup?Npi=1700367646","1700367646")</f>
        <v>1700367646</v>
      </c>
      <c r="E21023" t="s">
        <v>18408</v>
      </c>
    </row>
    <row r="21024" spans="1:5" x14ac:dyDescent="0.25">
      <c r="A21024" t="s">
        <v>4</v>
      </c>
      <c r="B21024" t="s">
        <v>4111</v>
      </c>
      <c r="C21024" s="1" t="s">
        <v>23490</v>
      </c>
      <c r="D21024" s="1" t="str">
        <f>HYPERLINK("https://rhld.insurance.arkansas.gov/NPILookup?Npi=1700368578","1700368578")</f>
        <v>1700368578</v>
      </c>
      <c r="E21024" t="s">
        <v>23169</v>
      </c>
    </row>
    <row r="21025" spans="1:5" x14ac:dyDescent="0.25">
      <c r="A21025" t="s">
        <v>4</v>
      </c>
      <c r="B21025" t="s">
        <v>4111</v>
      </c>
      <c r="C21025" s="1" t="s">
        <v>23490</v>
      </c>
      <c r="D21025" s="1" t="str">
        <f>HYPERLINK("https://rhld.insurance.arkansas.gov/NPILookup?Npi=1700383783","1700383783")</f>
        <v>1700383783</v>
      </c>
      <c r="E21025" t="s">
        <v>17629</v>
      </c>
    </row>
    <row r="21026" spans="1:5" x14ac:dyDescent="0.25">
      <c r="A21026" t="s">
        <v>4</v>
      </c>
      <c r="B21026" t="s">
        <v>4111</v>
      </c>
      <c r="C21026" s="1" t="s">
        <v>23490</v>
      </c>
      <c r="D21026" s="1" t="str">
        <f>HYPERLINK("https://rhld.insurance.arkansas.gov/NPILookup?Npi=1700404118","1700404118")</f>
        <v>1700404118</v>
      </c>
      <c r="E21026" t="s">
        <v>17630</v>
      </c>
    </row>
    <row r="21027" spans="1:5" x14ac:dyDescent="0.25">
      <c r="A21027" t="s">
        <v>4</v>
      </c>
      <c r="B21027" t="s">
        <v>4111</v>
      </c>
      <c r="C21027" s="1" t="s">
        <v>23490</v>
      </c>
      <c r="D21027" s="1" t="str">
        <f>HYPERLINK("https://rhld.insurance.arkansas.gov/NPILookup?Npi=1700412012","1700412012")</f>
        <v>1700412012</v>
      </c>
      <c r="E21027" t="s">
        <v>22223</v>
      </c>
    </row>
    <row r="21028" spans="1:5" x14ac:dyDescent="0.25">
      <c r="A21028" t="s">
        <v>4</v>
      </c>
      <c r="B21028" t="s">
        <v>4111</v>
      </c>
      <c r="C21028" s="1" t="s">
        <v>23490</v>
      </c>
      <c r="D21028" s="1" t="str">
        <f>HYPERLINK("https://rhld.insurance.arkansas.gov/NPILookup?Npi=1700421724","1700421724")</f>
        <v>1700421724</v>
      </c>
      <c r="E21028" t="s">
        <v>22224</v>
      </c>
    </row>
    <row r="21029" spans="1:5" x14ac:dyDescent="0.25">
      <c r="A21029" t="s">
        <v>4</v>
      </c>
      <c r="B21029" t="s">
        <v>4111</v>
      </c>
      <c r="C21029" s="1" t="s">
        <v>23490</v>
      </c>
      <c r="D21029" s="1" t="str">
        <f>HYPERLINK("https://rhld.insurance.arkansas.gov/NPILookup?Npi=1700423365","1700423365")</f>
        <v>1700423365</v>
      </c>
      <c r="E21029" t="s">
        <v>22225</v>
      </c>
    </row>
    <row r="21030" spans="1:5" x14ac:dyDescent="0.25">
      <c r="A21030" t="s">
        <v>4</v>
      </c>
      <c r="B21030" t="s">
        <v>4111</v>
      </c>
      <c r="C21030" s="1" t="s">
        <v>23490</v>
      </c>
      <c r="D21030" s="1" t="str">
        <f>HYPERLINK("https://rhld.insurance.arkansas.gov/NPILookup?Npi=1700424025","1700424025")</f>
        <v>1700424025</v>
      </c>
      <c r="E21030" t="s">
        <v>22226</v>
      </c>
    </row>
    <row r="21031" spans="1:5" x14ac:dyDescent="0.25">
      <c r="A21031" t="s">
        <v>4</v>
      </c>
      <c r="B21031" t="s">
        <v>4111</v>
      </c>
      <c r="C21031" s="1" t="s">
        <v>23490</v>
      </c>
      <c r="D21031" s="1" t="str">
        <f>HYPERLINK("https://rhld.insurance.arkansas.gov/NPILookup?Npi=1700437886","1700437886")</f>
        <v>1700437886</v>
      </c>
      <c r="E21031" t="s">
        <v>20563</v>
      </c>
    </row>
    <row r="21032" spans="1:5" x14ac:dyDescent="0.25">
      <c r="A21032" t="s">
        <v>4</v>
      </c>
      <c r="B21032" t="s">
        <v>4111</v>
      </c>
      <c r="C21032" s="1" t="s">
        <v>23490</v>
      </c>
      <c r="D21032" s="1" t="str">
        <f>HYPERLINK("https://rhld.insurance.arkansas.gov/NPILookup?Npi=1700485661","1700485661")</f>
        <v>1700485661</v>
      </c>
      <c r="E21032" t="s">
        <v>18409</v>
      </c>
    </row>
    <row r="21033" spans="1:5" x14ac:dyDescent="0.25">
      <c r="A21033" t="s">
        <v>4</v>
      </c>
      <c r="B21033" t="s">
        <v>4111</v>
      </c>
      <c r="C21033" s="1" t="s">
        <v>23490</v>
      </c>
      <c r="D21033" s="1" t="str">
        <f>HYPERLINK("https://rhld.insurance.arkansas.gov/NPILookup?Npi=1700505914","1700505914")</f>
        <v>1700505914</v>
      </c>
      <c r="E21033" t="s">
        <v>18878</v>
      </c>
    </row>
    <row r="21034" spans="1:5" x14ac:dyDescent="0.25">
      <c r="A21034" t="s">
        <v>4</v>
      </c>
      <c r="B21034" t="s">
        <v>4111</v>
      </c>
      <c r="C21034" s="1" t="s">
        <v>23490</v>
      </c>
      <c r="D21034" s="1" t="str">
        <f>HYPERLINK("https://rhld.insurance.arkansas.gov/NPILookup?Npi=1700802683","1700802683")</f>
        <v>1700802683</v>
      </c>
      <c r="E21034" t="s">
        <v>5482</v>
      </c>
    </row>
    <row r="21035" spans="1:5" x14ac:dyDescent="0.25">
      <c r="A21035" t="s">
        <v>4</v>
      </c>
      <c r="B21035" t="s">
        <v>4111</v>
      </c>
      <c r="C21035" s="1" t="s">
        <v>23490</v>
      </c>
      <c r="D21035" s="1" t="str">
        <f>HYPERLINK("https://rhld.insurance.arkansas.gov/NPILookup?Npi=1700805041","1700805041")</f>
        <v>1700805041</v>
      </c>
      <c r="E21035" t="s">
        <v>9144</v>
      </c>
    </row>
    <row r="21036" spans="1:5" x14ac:dyDescent="0.25">
      <c r="A21036" t="s">
        <v>4</v>
      </c>
      <c r="B21036" t="s">
        <v>4111</v>
      </c>
      <c r="C21036" s="1" t="s">
        <v>23490</v>
      </c>
      <c r="D21036" s="1" t="str">
        <f>HYPERLINK("https://rhld.insurance.arkansas.gov/NPILookup?Npi=1700808961","1700808961")</f>
        <v>1700808961</v>
      </c>
      <c r="E21036" t="s">
        <v>22227</v>
      </c>
    </row>
    <row r="21037" spans="1:5" x14ac:dyDescent="0.25">
      <c r="A21037" t="s">
        <v>4</v>
      </c>
      <c r="B21037" t="s">
        <v>4111</v>
      </c>
      <c r="C21037" s="1" t="s">
        <v>23490</v>
      </c>
      <c r="D21037" s="1" t="str">
        <f>HYPERLINK("https://rhld.insurance.arkansas.gov/NPILookup?Npi=1700832938","1700832938")</f>
        <v>1700832938</v>
      </c>
      <c r="E21037" t="s">
        <v>22228</v>
      </c>
    </row>
    <row r="21038" spans="1:5" x14ac:dyDescent="0.25">
      <c r="A21038" t="s">
        <v>4</v>
      </c>
      <c r="B21038" t="s">
        <v>4111</v>
      </c>
      <c r="C21038" s="1" t="s">
        <v>23490</v>
      </c>
      <c r="D21038" s="1" t="str">
        <f>HYPERLINK("https://rhld.insurance.arkansas.gov/NPILookup?Npi=1700836749","1700836749")</f>
        <v>1700836749</v>
      </c>
      <c r="E21038" t="s">
        <v>3834</v>
      </c>
    </row>
    <row r="21039" spans="1:5" x14ac:dyDescent="0.25">
      <c r="A21039" t="s">
        <v>4</v>
      </c>
      <c r="B21039" t="s">
        <v>4111</v>
      </c>
      <c r="C21039" s="1" t="s">
        <v>23490</v>
      </c>
      <c r="D21039" s="1" t="str">
        <f>HYPERLINK("https://rhld.insurance.arkansas.gov/NPILookup?Npi=1700858362","1700858362")</f>
        <v>1700858362</v>
      </c>
      <c r="E21039" t="s">
        <v>19717</v>
      </c>
    </row>
    <row r="21040" spans="1:5" x14ac:dyDescent="0.25">
      <c r="A21040" t="s">
        <v>4</v>
      </c>
      <c r="B21040" t="s">
        <v>4111</v>
      </c>
      <c r="C21040" s="1" t="s">
        <v>23490</v>
      </c>
      <c r="D21040" s="1" t="str">
        <f>HYPERLINK("https://rhld.insurance.arkansas.gov/NPILookup?Npi=1700892122","1700892122")</f>
        <v>1700892122</v>
      </c>
      <c r="E21040" t="s">
        <v>5483</v>
      </c>
    </row>
    <row r="21041" spans="1:5" x14ac:dyDescent="0.25">
      <c r="A21041" t="s">
        <v>4</v>
      </c>
      <c r="B21041" t="s">
        <v>4111</v>
      </c>
      <c r="C21041" s="1" t="s">
        <v>23490</v>
      </c>
      <c r="D21041" s="1" t="str">
        <f>HYPERLINK("https://rhld.insurance.arkansas.gov/NPILookup?Npi=1700899234","1700899234")</f>
        <v>1700899234</v>
      </c>
      <c r="E21041" t="s">
        <v>5484</v>
      </c>
    </row>
    <row r="21042" spans="1:5" x14ac:dyDescent="0.25">
      <c r="A21042" t="s">
        <v>4</v>
      </c>
      <c r="B21042" t="s">
        <v>4111</v>
      </c>
      <c r="C21042" s="1" t="s">
        <v>23490</v>
      </c>
      <c r="D21042" s="1" t="str">
        <f>HYPERLINK("https://rhld.insurance.arkansas.gov/NPILookup?Npi=1700907920","1700907920")</f>
        <v>1700907920</v>
      </c>
      <c r="E21042" t="s">
        <v>2526</v>
      </c>
    </row>
    <row r="21043" spans="1:5" x14ac:dyDescent="0.25">
      <c r="A21043" t="s">
        <v>4</v>
      </c>
      <c r="B21043" t="s">
        <v>4111</v>
      </c>
      <c r="C21043" s="1" t="s">
        <v>23490</v>
      </c>
      <c r="D21043" s="1" t="str">
        <f>HYPERLINK("https://rhld.insurance.arkansas.gov/NPILookup?Npi=1700909926","1700909926")</f>
        <v>1700909926</v>
      </c>
      <c r="E21043" t="s">
        <v>14175</v>
      </c>
    </row>
    <row r="21044" spans="1:5" x14ac:dyDescent="0.25">
      <c r="A21044" t="s">
        <v>4</v>
      </c>
      <c r="B21044" t="s">
        <v>4111</v>
      </c>
      <c r="C21044" s="1" t="s">
        <v>23490</v>
      </c>
      <c r="D21044" s="1" t="str">
        <f>HYPERLINK("https://rhld.insurance.arkansas.gov/NPILookup?Npi=1700928546","1700928546")</f>
        <v>1700928546</v>
      </c>
      <c r="E21044" t="s">
        <v>5485</v>
      </c>
    </row>
    <row r="21045" spans="1:5" x14ac:dyDescent="0.25">
      <c r="A21045" t="s">
        <v>4</v>
      </c>
      <c r="B21045" t="s">
        <v>4111</v>
      </c>
      <c r="C21045" s="1" t="s">
        <v>23490</v>
      </c>
      <c r="D21045" s="1" t="str">
        <f>HYPERLINK("https://rhld.insurance.arkansas.gov/NPILookup?Npi=1700929288","1700929288")</f>
        <v>1700929288</v>
      </c>
      <c r="E21045" t="s">
        <v>16202</v>
      </c>
    </row>
    <row r="21046" spans="1:5" x14ac:dyDescent="0.25">
      <c r="A21046" t="s">
        <v>4</v>
      </c>
      <c r="B21046" t="s">
        <v>4111</v>
      </c>
      <c r="C21046" s="1" t="s">
        <v>23490</v>
      </c>
      <c r="D21046" s="1" t="str">
        <f>HYPERLINK("https://rhld.insurance.arkansas.gov/NPILookup?Npi=1700937422","1700937422")</f>
        <v>1700937422</v>
      </c>
      <c r="E21046" t="s">
        <v>13193</v>
      </c>
    </row>
    <row r="21047" spans="1:5" x14ac:dyDescent="0.25">
      <c r="A21047" t="s">
        <v>4</v>
      </c>
      <c r="B21047" t="s">
        <v>4111</v>
      </c>
      <c r="C21047" s="1" t="s">
        <v>23490</v>
      </c>
      <c r="D21047" s="1" t="str">
        <f>HYPERLINK("https://rhld.insurance.arkansas.gov/NPILookup?Npi=1700945540","1700945540")</f>
        <v>1700945540</v>
      </c>
      <c r="E21047" t="s">
        <v>5486</v>
      </c>
    </row>
    <row r="21048" spans="1:5" x14ac:dyDescent="0.25">
      <c r="A21048" t="s">
        <v>4</v>
      </c>
      <c r="B21048" t="s">
        <v>4111</v>
      </c>
      <c r="C21048" s="1" t="s">
        <v>23490</v>
      </c>
      <c r="D21048" s="1" t="str">
        <f>HYPERLINK("https://rhld.insurance.arkansas.gov/NPILookup?Npi=1700970415","1700970415")</f>
        <v>1700970415</v>
      </c>
      <c r="E21048" t="s">
        <v>9145</v>
      </c>
    </row>
    <row r="21049" spans="1:5" x14ac:dyDescent="0.25">
      <c r="A21049" t="s">
        <v>4</v>
      </c>
      <c r="B21049" t="s">
        <v>4111</v>
      </c>
      <c r="C21049" s="1" t="s">
        <v>23490</v>
      </c>
      <c r="D21049" s="1" t="str">
        <f>HYPERLINK("https://rhld.insurance.arkansas.gov/NPILookup?Npi=1700971413","1700971413")</f>
        <v>1700971413</v>
      </c>
      <c r="E21049" t="s">
        <v>5487</v>
      </c>
    </row>
    <row r="21050" spans="1:5" x14ac:dyDescent="0.25">
      <c r="A21050" t="s">
        <v>4</v>
      </c>
      <c r="B21050" t="s">
        <v>4111</v>
      </c>
      <c r="C21050" s="1" t="s">
        <v>23490</v>
      </c>
      <c r="D21050" s="1" t="str">
        <f>HYPERLINK("https://rhld.insurance.arkansas.gov/NPILookup?Npi=1700977741","1700977741")</f>
        <v>1700977741</v>
      </c>
      <c r="E21050" t="s">
        <v>5488</v>
      </c>
    </row>
    <row r="21051" spans="1:5" x14ac:dyDescent="0.25">
      <c r="A21051" t="s">
        <v>4</v>
      </c>
      <c r="B21051" t="s">
        <v>4111</v>
      </c>
      <c r="C21051" s="1" t="s">
        <v>23490</v>
      </c>
      <c r="D21051" s="1" t="str">
        <f>HYPERLINK("https://rhld.insurance.arkansas.gov/NPILookup?Npi=1700995677","1700995677")</f>
        <v>1700995677</v>
      </c>
      <c r="E21051" t="s">
        <v>16203</v>
      </c>
    </row>
    <row r="21052" spans="1:5" x14ac:dyDescent="0.25">
      <c r="A21052" t="s">
        <v>4</v>
      </c>
      <c r="B21052" t="s">
        <v>4111</v>
      </c>
      <c r="C21052" s="1" t="s">
        <v>23490</v>
      </c>
      <c r="D21052" s="1" t="str">
        <f>HYPERLINK("https://rhld.insurance.arkansas.gov/NPILookup?Npi=1700996832","1700996832")</f>
        <v>1700996832</v>
      </c>
      <c r="E21052" t="s">
        <v>5489</v>
      </c>
    </row>
    <row r="21053" spans="1:5" x14ac:dyDescent="0.25">
      <c r="A21053" t="s">
        <v>4</v>
      </c>
      <c r="B21053" t="s">
        <v>4111</v>
      </c>
      <c r="C21053" s="1" t="s">
        <v>8427</v>
      </c>
      <c r="D21053" s="1" t="str">
        <f>HYPERLINK("https://rhld.insurance.arkansas.gov/NPILookup?Npi=1709258317","1709258317")</f>
        <v>1709258317</v>
      </c>
      <c r="E21053" t="s">
        <v>23170</v>
      </c>
    </row>
    <row r="21054" spans="1:5" x14ac:dyDescent="0.25">
      <c r="A21054" t="s">
        <v>4</v>
      </c>
      <c r="B21054" t="s">
        <v>4111</v>
      </c>
      <c r="C21054" s="1" t="s">
        <v>23490</v>
      </c>
      <c r="D21054" s="1" t="str">
        <f>HYPERLINK("https://rhld.insurance.arkansas.gov/NPILookup?Npi=1710008396","1710008396")</f>
        <v>1710008396</v>
      </c>
      <c r="E21054" t="s">
        <v>5490</v>
      </c>
    </row>
    <row r="21055" spans="1:5" x14ac:dyDescent="0.25">
      <c r="A21055" t="s">
        <v>4</v>
      </c>
      <c r="B21055" t="s">
        <v>4111</v>
      </c>
      <c r="C21055" s="1" t="s">
        <v>23490</v>
      </c>
      <c r="D21055" s="1" t="str">
        <f>HYPERLINK("https://rhld.insurance.arkansas.gov/NPILookup?Npi=1710016662","1710016662")</f>
        <v>1710016662</v>
      </c>
      <c r="E21055" t="s">
        <v>16204</v>
      </c>
    </row>
    <row r="21056" spans="1:5" x14ac:dyDescent="0.25">
      <c r="A21056" t="s">
        <v>4</v>
      </c>
      <c r="B21056" t="s">
        <v>4111</v>
      </c>
      <c r="C21056" s="1" t="s">
        <v>23490</v>
      </c>
      <c r="D21056" s="1" t="str">
        <f>HYPERLINK("https://rhld.insurance.arkansas.gov/NPILookup?Npi=1710017686","1710017686")</f>
        <v>1710017686</v>
      </c>
      <c r="E21056" t="s">
        <v>5492</v>
      </c>
    </row>
    <row r="21057" spans="1:5" x14ac:dyDescent="0.25">
      <c r="A21057" t="s">
        <v>4</v>
      </c>
      <c r="B21057" t="s">
        <v>4111</v>
      </c>
      <c r="C21057" s="1" t="s">
        <v>23490</v>
      </c>
      <c r="D21057" s="1" t="str">
        <f>HYPERLINK("https://rhld.insurance.arkansas.gov/NPILookup?Npi=1710020334","1710020334")</f>
        <v>1710020334</v>
      </c>
      <c r="E21057" t="s">
        <v>18410</v>
      </c>
    </row>
    <row r="21058" spans="1:5" x14ac:dyDescent="0.25">
      <c r="A21058" t="s">
        <v>4</v>
      </c>
      <c r="B21058" t="s">
        <v>4111</v>
      </c>
      <c r="C21058" s="1" t="s">
        <v>23490</v>
      </c>
      <c r="D21058" s="1" t="str">
        <f>HYPERLINK("https://rhld.insurance.arkansas.gov/NPILookup?Npi=1710024773","1710024773")</f>
        <v>1710024773</v>
      </c>
      <c r="E21058" t="s">
        <v>5493</v>
      </c>
    </row>
    <row r="21059" spans="1:5" x14ac:dyDescent="0.25">
      <c r="A21059" t="s">
        <v>4</v>
      </c>
      <c r="B21059" t="s">
        <v>4111</v>
      </c>
      <c r="C21059" s="1" t="s">
        <v>23490</v>
      </c>
      <c r="D21059" s="1" t="str">
        <f>HYPERLINK("https://rhld.insurance.arkansas.gov/NPILookup?Npi=1710026257","1710026257")</f>
        <v>1710026257</v>
      </c>
      <c r="E21059" t="s">
        <v>5494</v>
      </c>
    </row>
    <row r="21060" spans="1:5" x14ac:dyDescent="0.25">
      <c r="A21060" t="s">
        <v>4</v>
      </c>
      <c r="B21060" t="s">
        <v>4111</v>
      </c>
      <c r="C21060" s="1" t="s">
        <v>23490</v>
      </c>
      <c r="D21060" s="1" t="str">
        <f>HYPERLINK("https://rhld.insurance.arkansas.gov/NPILookup?Npi=1710038948","1710038948")</f>
        <v>1710038948</v>
      </c>
      <c r="E21060" t="s">
        <v>17225</v>
      </c>
    </row>
    <row r="21061" spans="1:5" x14ac:dyDescent="0.25">
      <c r="A21061" t="s">
        <v>4</v>
      </c>
      <c r="B21061" t="s">
        <v>4111</v>
      </c>
      <c r="C21061" s="1" t="s">
        <v>23490</v>
      </c>
      <c r="D21061" s="1" t="str">
        <f>HYPERLINK("https://rhld.insurance.arkansas.gov/NPILookup?Npi=1710057393","1710057393")</f>
        <v>1710057393</v>
      </c>
      <c r="E21061" t="s">
        <v>5495</v>
      </c>
    </row>
    <row r="21062" spans="1:5" x14ac:dyDescent="0.25">
      <c r="A21062" t="s">
        <v>4</v>
      </c>
      <c r="B21062" t="s">
        <v>4111</v>
      </c>
      <c r="C21062" s="1" t="s">
        <v>23490</v>
      </c>
      <c r="D21062" s="1" t="str">
        <f>HYPERLINK("https://rhld.insurance.arkansas.gov/NPILookup?Npi=1710093554","1710093554")</f>
        <v>1710093554</v>
      </c>
      <c r="E21062" t="s">
        <v>11800</v>
      </c>
    </row>
    <row r="21063" spans="1:5" x14ac:dyDescent="0.25">
      <c r="A21063" t="s">
        <v>4</v>
      </c>
      <c r="B21063" t="s">
        <v>4111</v>
      </c>
      <c r="C21063" s="1" t="s">
        <v>23490</v>
      </c>
      <c r="D21063" s="1" t="str">
        <f>HYPERLINK("https://rhld.insurance.arkansas.gov/NPILookup?Npi=1710111018","1710111018")</f>
        <v>1710111018</v>
      </c>
      <c r="E21063" t="s">
        <v>5496</v>
      </c>
    </row>
    <row r="21064" spans="1:5" x14ac:dyDescent="0.25">
      <c r="A21064" t="s">
        <v>4</v>
      </c>
      <c r="B21064" t="s">
        <v>4111</v>
      </c>
      <c r="C21064" s="1" t="s">
        <v>23490</v>
      </c>
      <c r="D21064" s="1" t="str">
        <f>HYPERLINK("https://rhld.insurance.arkansas.gov/NPILookup?Npi=1710123377","1710123377")</f>
        <v>1710123377</v>
      </c>
      <c r="E21064" t="s">
        <v>13194</v>
      </c>
    </row>
    <row r="21065" spans="1:5" x14ac:dyDescent="0.25">
      <c r="A21065" t="s">
        <v>4</v>
      </c>
      <c r="B21065" t="s">
        <v>4111</v>
      </c>
      <c r="C21065" s="1" t="s">
        <v>23490</v>
      </c>
      <c r="D21065" s="1" t="str">
        <f>HYPERLINK("https://rhld.insurance.arkansas.gov/NPILookup?Npi=1710130950","1710130950")</f>
        <v>1710130950</v>
      </c>
      <c r="E21065" t="s">
        <v>5497</v>
      </c>
    </row>
    <row r="21066" spans="1:5" x14ac:dyDescent="0.25">
      <c r="A21066" t="s">
        <v>4</v>
      </c>
      <c r="B21066" t="s">
        <v>4111</v>
      </c>
      <c r="C21066" s="1" t="s">
        <v>23490</v>
      </c>
      <c r="D21066" s="1" t="str">
        <f>HYPERLINK("https://rhld.insurance.arkansas.gov/NPILookup?Npi=1710133152","1710133152")</f>
        <v>1710133152</v>
      </c>
      <c r="E21066" t="s">
        <v>20564</v>
      </c>
    </row>
    <row r="21067" spans="1:5" x14ac:dyDescent="0.25">
      <c r="A21067" t="s">
        <v>4</v>
      </c>
      <c r="B21067" t="s">
        <v>4111</v>
      </c>
      <c r="C21067" s="1" t="s">
        <v>23490</v>
      </c>
      <c r="D21067" s="1" t="str">
        <f>HYPERLINK("https://rhld.insurance.arkansas.gov/NPILookup?Npi=1710136270","1710136270")</f>
        <v>1710136270</v>
      </c>
      <c r="E21067" t="s">
        <v>14176</v>
      </c>
    </row>
    <row r="21068" spans="1:5" x14ac:dyDescent="0.25">
      <c r="A21068" t="s">
        <v>4</v>
      </c>
      <c r="B21068" t="s">
        <v>4111</v>
      </c>
      <c r="C21068" s="1" t="s">
        <v>23490</v>
      </c>
      <c r="D21068" s="1" t="str">
        <f>HYPERLINK("https://rhld.insurance.arkansas.gov/NPILookup?Npi=1710141254","1710141254")</f>
        <v>1710141254</v>
      </c>
      <c r="E21068" t="s">
        <v>5498</v>
      </c>
    </row>
    <row r="21069" spans="1:5" x14ac:dyDescent="0.25">
      <c r="A21069" t="s">
        <v>4</v>
      </c>
      <c r="B21069" t="s">
        <v>4111</v>
      </c>
      <c r="C21069" s="1" t="s">
        <v>23490</v>
      </c>
      <c r="D21069" s="1" t="str">
        <f>HYPERLINK("https://rhld.insurance.arkansas.gov/NPILookup?Npi=1710149604","1710149604")</f>
        <v>1710149604</v>
      </c>
      <c r="E21069" t="s">
        <v>5500</v>
      </c>
    </row>
    <row r="21070" spans="1:5" x14ac:dyDescent="0.25">
      <c r="A21070" t="s">
        <v>4</v>
      </c>
      <c r="B21070" t="s">
        <v>4111</v>
      </c>
      <c r="C21070" s="1" t="s">
        <v>23490</v>
      </c>
      <c r="D21070" s="1" t="str">
        <f>HYPERLINK("https://rhld.insurance.arkansas.gov/NPILookup?Npi=1710163027","1710163027")</f>
        <v>1710163027</v>
      </c>
      <c r="E21070" t="s">
        <v>5501</v>
      </c>
    </row>
    <row r="21071" spans="1:5" x14ac:dyDescent="0.25">
      <c r="A21071" t="s">
        <v>4</v>
      </c>
      <c r="B21071" t="s">
        <v>4111</v>
      </c>
      <c r="C21071" s="1" t="s">
        <v>23490</v>
      </c>
      <c r="D21071" s="1" t="str">
        <f>HYPERLINK("https://rhld.insurance.arkansas.gov/NPILookup?Npi=1710163365","1710163365")</f>
        <v>1710163365</v>
      </c>
      <c r="E21071" t="s">
        <v>5502</v>
      </c>
    </row>
    <row r="21072" spans="1:5" x14ac:dyDescent="0.25">
      <c r="A21072" t="s">
        <v>4</v>
      </c>
      <c r="B21072" t="s">
        <v>4111</v>
      </c>
      <c r="C21072" s="1" t="s">
        <v>23490</v>
      </c>
      <c r="D21072" s="1" t="str">
        <f>HYPERLINK("https://rhld.insurance.arkansas.gov/NPILookup?Npi=1710177878","1710177878")</f>
        <v>1710177878</v>
      </c>
      <c r="E21072" t="s">
        <v>5503</v>
      </c>
    </row>
    <row r="21073" spans="1:5" x14ac:dyDescent="0.25">
      <c r="A21073" t="s">
        <v>4</v>
      </c>
      <c r="B21073" t="s">
        <v>4111</v>
      </c>
      <c r="C21073" s="1" t="s">
        <v>23490</v>
      </c>
      <c r="D21073" s="1" t="str">
        <f>HYPERLINK("https://rhld.insurance.arkansas.gov/NPILookup?Npi=1710211461","1710211461")</f>
        <v>1710211461</v>
      </c>
      <c r="E21073" t="s">
        <v>9146</v>
      </c>
    </row>
    <row r="21074" spans="1:5" x14ac:dyDescent="0.25">
      <c r="A21074" t="s">
        <v>4</v>
      </c>
      <c r="B21074" t="s">
        <v>4111</v>
      </c>
      <c r="C21074" s="1" t="s">
        <v>23490</v>
      </c>
      <c r="D21074" s="1" t="str">
        <f>HYPERLINK("https://rhld.insurance.arkansas.gov/NPILookup?Npi=1710222849","1710222849")</f>
        <v>1710222849</v>
      </c>
      <c r="E21074" t="s">
        <v>5504</v>
      </c>
    </row>
    <row r="21075" spans="1:5" x14ac:dyDescent="0.25">
      <c r="A21075" t="s">
        <v>4</v>
      </c>
      <c r="B21075" t="s">
        <v>4111</v>
      </c>
      <c r="C21075" s="1" t="s">
        <v>23490</v>
      </c>
      <c r="D21075" s="1" t="str">
        <f>HYPERLINK("https://rhld.insurance.arkansas.gov/NPILookup?Npi=1710234208","1710234208")</f>
        <v>1710234208</v>
      </c>
      <c r="E21075" t="s">
        <v>14177</v>
      </c>
    </row>
    <row r="21076" spans="1:5" x14ac:dyDescent="0.25">
      <c r="A21076" t="s">
        <v>4</v>
      </c>
      <c r="B21076" t="s">
        <v>4111</v>
      </c>
      <c r="C21076" s="1" t="s">
        <v>23490</v>
      </c>
      <c r="D21076" s="1" t="str">
        <f>HYPERLINK("https://rhld.insurance.arkansas.gov/NPILookup?Npi=1710263694","1710263694")</f>
        <v>1710263694</v>
      </c>
      <c r="E21076" t="s">
        <v>5505</v>
      </c>
    </row>
    <row r="21077" spans="1:5" x14ac:dyDescent="0.25">
      <c r="A21077" t="s">
        <v>4</v>
      </c>
      <c r="B21077" t="s">
        <v>4111</v>
      </c>
      <c r="C21077" s="1" t="s">
        <v>23490</v>
      </c>
      <c r="D21077" s="1" t="str">
        <f>HYPERLINK("https://rhld.insurance.arkansas.gov/NPILookup?Npi=1710263777","1710263777")</f>
        <v>1710263777</v>
      </c>
      <c r="E21077" t="s">
        <v>5506</v>
      </c>
    </row>
    <row r="21078" spans="1:5" x14ac:dyDescent="0.25">
      <c r="A21078" t="s">
        <v>4</v>
      </c>
      <c r="B21078" t="s">
        <v>4111</v>
      </c>
      <c r="C21078" s="1" t="s">
        <v>23490</v>
      </c>
      <c r="D21078" s="1" t="str">
        <f>HYPERLINK("https://rhld.insurance.arkansas.gov/NPILookup?Npi=1710269139","1710269139")</f>
        <v>1710269139</v>
      </c>
      <c r="E21078" t="s">
        <v>5507</v>
      </c>
    </row>
    <row r="21079" spans="1:5" x14ac:dyDescent="0.25">
      <c r="A21079" t="s">
        <v>4</v>
      </c>
      <c r="B21079" t="s">
        <v>4111</v>
      </c>
      <c r="C21079" s="1" t="s">
        <v>23490</v>
      </c>
      <c r="D21079" s="1" t="str">
        <f>HYPERLINK("https://rhld.insurance.arkansas.gov/NPILookup?Npi=1710275854","1710275854")</f>
        <v>1710275854</v>
      </c>
      <c r="E21079" t="s">
        <v>14178</v>
      </c>
    </row>
    <row r="21080" spans="1:5" x14ac:dyDescent="0.25">
      <c r="A21080" t="s">
        <v>4</v>
      </c>
      <c r="B21080" t="s">
        <v>4111</v>
      </c>
      <c r="C21080" s="1" t="s">
        <v>23490</v>
      </c>
      <c r="D21080" s="1" t="str">
        <f>HYPERLINK("https://rhld.insurance.arkansas.gov/NPILookup?Npi=1710276514","1710276514")</f>
        <v>1710276514</v>
      </c>
      <c r="E21080" t="s">
        <v>9147</v>
      </c>
    </row>
    <row r="21081" spans="1:5" x14ac:dyDescent="0.25">
      <c r="A21081" t="s">
        <v>4</v>
      </c>
      <c r="B21081" t="s">
        <v>4111</v>
      </c>
      <c r="C21081" s="1" t="s">
        <v>23490</v>
      </c>
      <c r="D21081" s="1" t="str">
        <f>HYPERLINK("https://rhld.insurance.arkansas.gov/NPILookup?Npi=1710276837","1710276837")</f>
        <v>1710276837</v>
      </c>
      <c r="E21081" t="s">
        <v>11801</v>
      </c>
    </row>
    <row r="21082" spans="1:5" x14ac:dyDescent="0.25">
      <c r="A21082" t="s">
        <v>4</v>
      </c>
      <c r="B21082" t="s">
        <v>4111</v>
      </c>
      <c r="C21082" s="1" t="s">
        <v>23490</v>
      </c>
      <c r="D21082" s="1" t="str">
        <f>HYPERLINK("https://rhld.insurance.arkansas.gov/NPILookup?Npi=1710291828","1710291828")</f>
        <v>1710291828</v>
      </c>
      <c r="E21082" t="s">
        <v>11802</v>
      </c>
    </row>
    <row r="21083" spans="1:5" x14ac:dyDescent="0.25">
      <c r="A21083" t="s">
        <v>4</v>
      </c>
      <c r="B21083" t="s">
        <v>4111</v>
      </c>
      <c r="C21083" s="1" t="s">
        <v>23490</v>
      </c>
      <c r="D21083" s="1" t="str">
        <f>HYPERLINK("https://rhld.insurance.arkansas.gov/NPILookup?Npi=1710310818","1710310818")</f>
        <v>1710310818</v>
      </c>
      <c r="E21083" t="s">
        <v>13195</v>
      </c>
    </row>
    <row r="21084" spans="1:5" x14ac:dyDescent="0.25">
      <c r="A21084" t="s">
        <v>4</v>
      </c>
      <c r="B21084" t="s">
        <v>4111</v>
      </c>
      <c r="C21084" s="1" t="s">
        <v>23490</v>
      </c>
      <c r="D21084" s="1" t="str">
        <f>HYPERLINK("https://rhld.insurance.arkansas.gov/NPILookup?Npi=1710312285","1710312285")</f>
        <v>1710312285</v>
      </c>
      <c r="E21084" t="s">
        <v>5508</v>
      </c>
    </row>
    <row r="21085" spans="1:5" x14ac:dyDescent="0.25">
      <c r="A21085" t="s">
        <v>4</v>
      </c>
      <c r="B21085" t="s">
        <v>4111</v>
      </c>
      <c r="C21085" s="1" t="s">
        <v>23490</v>
      </c>
      <c r="D21085" s="1" t="str">
        <f>HYPERLINK("https://rhld.insurance.arkansas.gov/NPILookup?Npi=1710326202","1710326202")</f>
        <v>1710326202</v>
      </c>
      <c r="E21085" t="s">
        <v>22229</v>
      </c>
    </row>
    <row r="21086" spans="1:5" x14ac:dyDescent="0.25">
      <c r="A21086" t="s">
        <v>4</v>
      </c>
      <c r="B21086" t="s">
        <v>4111</v>
      </c>
      <c r="C21086" s="1" t="s">
        <v>23490</v>
      </c>
      <c r="D21086" s="1" t="str">
        <f>HYPERLINK("https://rhld.insurance.arkansas.gov/NPILookup?Npi=1710341417","1710341417")</f>
        <v>1710341417</v>
      </c>
      <c r="E21086" t="s">
        <v>16205</v>
      </c>
    </row>
    <row r="21087" spans="1:5" x14ac:dyDescent="0.25">
      <c r="A21087" t="s">
        <v>4</v>
      </c>
      <c r="B21087" t="s">
        <v>4111</v>
      </c>
      <c r="C21087" s="1" t="s">
        <v>23490</v>
      </c>
      <c r="D21087" s="1" t="str">
        <f>HYPERLINK("https://rhld.insurance.arkansas.gov/NPILookup?Npi=1710361464","1710361464")</f>
        <v>1710361464</v>
      </c>
      <c r="E21087" t="s">
        <v>647</v>
      </c>
    </row>
    <row r="21088" spans="1:5" x14ac:dyDescent="0.25">
      <c r="A21088" t="s">
        <v>4</v>
      </c>
      <c r="B21088" t="s">
        <v>4111</v>
      </c>
      <c r="C21088" s="1" t="s">
        <v>23490</v>
      </c>
      <c r="D21088" s="1" t="str">
        <f>HYPERLINK("https://rhld.insurance.arkansas.gov/NPILookup?Npi=1710370069","1710370069")</f>
        <v>1710370069</v>
      </c>
      <c r="E21088" t="s">
        <v>5509</v>
      </c>
    </row>
    <row r="21089" spans="1:5" x14ac:dyDescent="0.25">
      <c r="A21089" t="s">
        <v>4</v>
      </c>
      <c r="B21089" t="s">
        <v>4111</v>
      </c>
      <c r="C21089" s="1" t="s">
        <v>23490</v>
      </c>
      <c r="D21089" s="1" t="str">
        <f>HYPERLINK("https://rhld.insurance.arkansas.gov/NPILookup?Npi=1710404017","1710404017")</f>
        <v>1710404017</v>
      </c>
      <c r="E21089" t="s">
        <v>11803</v>
      </c>
    </row>
    <row r="21090" spans="1:5" x14ac:dyDescent="0.25">
      <c r="A21090" t="s">
        <v>4</v>
      </c>
      <c r="B21090" t="s">
        <v>4111</v>
      </c>
      <c r="C21090" s="1" t="s">
        <v>23490</v>
      </c>
      <c r="D21090" s="1" t="str">
        <f>HYPERLINK("https://rhld.insurance.arkansas.gov/NPILookup?Npi=1710422167","1710422167")</f>
        <v>1710422167</v>
      </c>
      <c r="E21090" t="s">
        <v>11804</v>
      </c>
    </row>
    <row r="21091" spans="1:5" x14ac:dyDescent="0.25">
      <c r="A21091" t="s">
        <v>4</v>
      </c>
      <c r="B21091" t="s">
        <v>4111</v>
      </c>
      <c r="C21091" s="1" t="s">
        <v>23490</v>
      </c>
      <c r="D21091" s="1" t="str">
        <f>HYPERLINK("https://rhld.insurance.arkansas.gov/NPILookup?Npi=1710424601","1710424601")</f>
        <v>1710424601</v>
      </c>
      <c r="E21091" t="s">
        <v>14179</v>
      </c>
    </row>
    <row r="21092" spans="1:5" x14ac:dyDescent="0.25">
      <c r="A21092" t="s">
        <v>4</v>
      </c>
      <c r="B21092" t="s">
        <v>4111</v>
      </c>
      <c r="C21092" s="1" t="s">
        <v>23490</v>
      </c>
      <c r="D21092" s="1" t="str">
        <f>HYPERLINK("https://rhld.insurance.arkansas.gov/NPILookup?Npi=1710459219","1710459219")</f>
        <v>1710459219</v>
      </c>
      <c r="E21092" t="s">
        <v>21154</v>
      </c>
    </row>
    <row r="21093" spans="1:5" x14ac:dyDescent="0.25">
      <c r="A21093" t="s">
        <v>4</v>
      </c>
      <c r="B21093" t="s">
        <v>4111</v>
      </c>
      <c r="C21093" s="1" t="s">
        <v>23490</v>
      </c>
      <c r="D21093" s="1" t="str">
        <f>HYPERLINK("https://rhld.insurance.arkansas.gov/NPILookup?Npi=1710466263","1710466263")</f>
        <v>1710466263</v>
      </c>
      <c r="E21093" t="s">
        <v>18411</v>
      </c>
    </row>
    <row r="21094" spans="1:5" x14ac:dyDescent="0.25">
      <c r="A21094" t="s">
        <v>4</v>
      </c>
      <c r="B21094" t="s">
        <v>4111</v>
      </c>
      <c r="C21094" s="1" t="s">
        <v>23490</v>
      </c>
      <c r="D21094" s="1" t="str">
        <f>HYPERLINK("https://rhld.insurance.arkansas.gov/NPILookup?Npi=1710472030","1710472030")</f>
        <v>1710472030</v>
      </c>
      <c r="E21094" t="s">
        <v>19009</v>
      </c>
    </row>
    <row r="21095" spans="1:5" x14ac:dyDescent="0.25">
      <c r="A21095" t="s">
        <v>4</v>
      </c>
      <c r="B21095" t="s">
        <v>4111</v>
      </c>
      <c r="C21095" s="1" t="s">
        <v>8427</v>
      </c>
      <c r="D21095" s="1" t="str">
        <f>HYPERLINK("https://rhld.insurance.arkansas.gov/NPILookup?Npi=1710483458","1710483458")</f>
        <v>1710483458</v>
      </c>
      <c r="E21095" t="s">
        <v>23171</v>
      </c>
    </row>
    <row r="21096" spans="1:5" x14ac:dyDescent="0.25">
      <c r="A21096" t="s">
        <v>4</v>
      </c>
      <c r="B21096" t="s">
        <v>4111</v>
      </c>
      <c r="C21096" s="1" t="s">
        <v>23490</v>
      </c>
      <c r="D21096" s="1" t="str">
        <f>HYPERLINK("https://rhld.insurance.arkansas.gov/NPILookup?Npi=1710517727","1710517727")</f>
        <v>1710517727</v>
      </c>
      <c r="E21096" t="s">
        <v>17631</v>
      </c>
    </row>
    <row r="21097" spans="1:5" x14ac:dyDescent="0.25">
      <c r="A21097" t="s">
        <v>4</v>
      </c>
      <c r="B21097" t="s">
        <v>4111</v>
      </c>
      <c r="C21097" s="1" t="s">
        <v>23490</v>
      </c>
      <c r="D21097" s="1" t="str">
        <f>HYPERLINK("https://rhld.insurance.arkansas.gov/NPILookup?Npi=1710524350","1710524350")</f>
        <v>1710524350</v>
      </c>
      <c r="E21097" t="s">
        <v>20565</v>
      </c>
    </row>
    <row r="21098" spans="1:5" x14ac:dyDescent="0.25">
      <c r="A21098" t="s">
        <v>4</v>
      </c>
      <c r="B21098" t="s">
        <v>4111</v>
      </c>
      <c r="C21098" s="1" t="s">
        <v>23490</v>
      </c>
      <c r="D21098" s="1" t="str">
        <f>HYPERLINK("https://rhld.insurance.arkansas.gov/NPILookup?Npi=1710529490","1710529490")</f>
        <v>1710529490</v>
      </c>
      <c r="E21098" t="s">
        <v>20566</v>
      </c>
    </row>
    <row r="21099" spans="1:5" x14ac:dyDescent="0.25">
      <c r="A21099" t="s">
        <v>4</v>
      </c>
      <c r="B21099" t="s">
        <v>4111</v>
      </c>
      <c r="C21099" s="1" t="s">
        <v>23490</v>
      </c>
      <c r="D21099" s="1" t="str">
        <f>HYPERLINK("https://rhld.insurance.arkansas.gov/NPILookup?Npi=1710546379","1710546379")</f>
        <v>1710546379</v>
      </c>
      <c r="E21099" t="s">
        <v>16206</v>
      </c>
    </row>
    <row r="21100" spans="1:5" x14ac:dyDescent="0.25">
      <c r="A21100" t="s">
        <v>4</v>
      </c>
      <c r="B21100" t="s">
        <v>4111</v>
      </c>
      <c r="C21100" s="1" t="s">
        <v>23490</v>
      </c>
      <c r="D21100" s="1" t="str">
        <f>HYPERLINK("https://rhld.insurance.arkansas.gov/NPILookup?Npi=1710546973","1710546973")</f>
        <v>1710546973</v>
      </c>
      <c r="E21100" t="s">
        <v>21155</v>
      </c>
    </row>
    <row r="21101" spans="1:5" x14ac:dyDescent="0.25">
      <c r="A21101" t="s">
        <v>4</v>
      </c>
      <c r="B21101" t="s">
        <v>4111</v>
      </c>
      <c r="C21101" s="1" t="s">
        <v>8427</v>
      </c>
      <c r="D21101" s="1" t="str">
        <f>HYPERLINK("https://rhld.insurance.arkansas.gov/NPILookup?Npi=1710576590","1710576590")</f>
        <v>1710576590</v>
      </c>
      <c r="E21101" t="s">
        <v>23172</v>
      </c>
    </row>
    <row r="21102" spans="1:5" x14ac:dyDescent="0.25">
      <c r="A21102" t="s">
        <v>4</v>
      </c>
      <c r="B21102" t="s">
        <v>4111</v>
      </c>
      <c r="C21102" s="1" t="s">
        <v>23490</v>
      </c>
      <c r="D21102" s="1" t="str">
        <f>HYPERLINK("https://rhld.insurance.arkansas.gov/NPILookup?Npi=1710582002","1710582002")</f>
        <v>1710582002</v>
      </c>
      <c r="E21102" t="s">
        <v>22230</v>
      </c>
    </row>
    <row r="21103" spans="1:5" x14ac:dyDescent="0.25">
      <c r="A21103" t="s">
        <v>4</v>
      </c>
      <c r="B21103" t="s">
        <v>4111</v>
      </c>
      <c r="C21103" s="1" t="s">
        <v>23490</v>
      </c>
      <c r="D21103" s="1" t="str">
        <f>HYPERLINK("https://rhld.insurance.arkansas.gov/NPILookup?Npi=1710600150","1710600150")</f>
        <v>1710600150</v>
      </c>
      <c r="E21103" t="s">
        <v>22231</v>
      </c>
    </row>
    <row r="21104" spans="1:5" x14ac:dyDescent="0.25">
      <c r="A21104" t="s">
        <v>4</v>
      </c>
      <c r="B21104" t="s">
        <v>4111</v>
      </c>
      <c r="C21104" s="1" t="s">
        <v>23490</v>
      </c>
      <c r="D21104" s="1" t="str">
        <f>HYPERLINK("https://rhld.insurance.arkansas.gov/NPILookup?Npi=1710605241","1710605241")</f>
        <v>1710605241</v>
      </c>
      <c r="E21104" t="s">
        <v>22232</v>
      </c>
    </row>
    <row r="21105" spans="1:5" x14ac:dyDescent="0.25">
      <c r="A21105" t="s">
        <v>4</v>
      </c>
      <c r="B21105" t="s">
        <v>4111</v>
      </c>
      <c r="C21105" s="1" t="s">
        <v>23490</v>
      </c>
      <c r="D21105" s="1" t="str">
        <f>HYPERLINK("https://rhld.insurance.arkansas.gov/NPILookup?Npi=1710641998","1710641998")</f>
        <v>1710641998</v>
      </c>
      <c r="E21105" t="s">
        <v>23173</v>
      </c>
    </row>
    <row r="21106" spans="1:5" x14ac:dyDescent="0.25">
      <c r="A21106" t="s">
        <v>4</v>
      </c>
      <c r="B21106" t="s">
        <v>4111</v>
      </c>
      <c r="C21106" s="1" t="s">
        <v>23490</v>
      </c>
      <c r="D21106" s="1" t="str">
        <f>HYPERLINK("https://rhld.insurance.arkansas.gov/NPILookup?Npi=1710658208","1710658208")</f>
        <v>1710658208</v>
      </c>
      <c r="E21106" t="s">
        <v>22233</v>
      </c>
    </row>
    <row r="21107" spans="1:5" x14ac:dyDescent="0.25">
      <c r="A21107" t="s">
        <v>4</v>
      </c>
      <c r="B21107" t="s">
        <v>4111</v>
      </c>
      <c r="C21107" s="1" t="s">
        <v>23490</v>
      </c>
      <c r="D21107" s="1" t="str">
        <f>HYPERLINK("https://rhld.insurance.arkansas.gov/NPILookup?Npi=1710906466","1710906466")</f>
        <v>1710906466</v>
      </c>
      <c r="E21107" t="s">
        <v>5510</v>
      </c>
    </row>
    <row r="21108" spans="1:5" x14ac:dyDescent="0.25">
      <c r="A21108" t="s">
        <v>4</v>
      </c>
      <c r="B21108" t="s">
        <v>4111</v>
      </c>
      <c r="C21108" s="1" t="s">
        <v>23490</v>
      </c>
      <c r="D21108" s="1" t="str">
        <f>HYPERLINK("https://rhld.insurance.arkansas.gov/NPILookup?Npi=1710916911","1710916911")</f>
        <v>1710916911</v>
      </c>
      <c r="E21108" t="s">
        <v>5511</v>
      </c>
    </row>
    <row r="21109" spans="1:5" x14ac:dyDescent="0.25">
      <c r="A21109" t="s">
        <v>4</v>
      </c>
      <c r="B21109" t="s">
        <v>4111</v>
      </c>
      <c r="C21109" s="1" t="s">
        <v>23490</v>
      </c>
      <c r="D21109" s="1" t="str">
        <f>HYPERLINK("https://rhld.insurance.arkansas.gov/NPILookup?Npi=1710919352","1710919352")</f>
        <v>1710919352</v>
      </c>
      <c r="E21109" t="s">
        <v>5512</v>
      </c>
    </row>
    <row r="21110" spans="1:5" x14ac:dyDescent="0.25">
      <c r="A21110" t="s">
        <v>4</v>
      </c>
      <c r="B21110" t="s">
        <v>4111</v>
      </c>
      <c r="C21110" s="1" t="s">
        <v>23490</v>
      </c>
      <c r="D21110" s="1" t="str">
        <f>HYPERLINK("https://rhld.insurance.arkansas.gov/NPILookup?Npi=1710932397","1710932397")</f>
        <v>1710932397</v>
      </c>
      <c r="E21110" t="s">
        <v>5513</v>
      </c>
    </row>
    <row r="21111" spans="1:5" x14ac:dyDescent="0.25">
      <c r="A21111" t="s">
        <v>4</v>
      </c>
      <c r="B21111" t="s">
        <v>4111</v>
      </c>
      <c r="C21111" s="1" t="s">
        <v>23490</v>
      </c>
      <c r="D21111" s="1" t="str">
        <f>HYPERLINK("https://rhld.insurance.arkansas.gov/NPILookup?Npi=1710935218","1710935218")</f>
        <v>1710935218</v>
      </c>
      <c r="E21111" t="s">
        <v>5514</v>
      </c>
    </row>
    <row r="21112" spans="1:5" x14ac:dyDescent="0.25">
      <c r="A21112" t="s">
        <v>4</v>
      </c>
      <c r="B21112" t="s">
        <v>4111</v>
      </c>
      <c r="C21112" s="1" t="s">
        <v>23490</v>
      </c>
      <c r="D21112" s="1" t="str">
        <f>HYPERLINK("https://rhld.insurance.arkansas.gov/NPILookup?Npi=1710938493","1710938493")</f>
        <v>1710938493</v>
      </c>
      <c r="E21112" t="s">
        <v>5515</v>
      </c>
    </row>
    <row r="21113" spans="1:5" x14ac:dyDescent="0.25">
      <c r="A21113" t="s">
        <v>4</v>
      </c>
      <c r="B21113" t="s">
        <v>4111</v>
      </c>
      <c r="C21113" s="1" t="s">
        <v>23490</v>
      </c>
      <c r="D21113" s="1" t="str">
        <f>HYPERLINK("https://rhld.insurance.arkansas.gov/NPILookup?Npi=1710943873","1710943873")</f>
        <v>1710943873</v>
      </c>
      <c r="E21113" t="s">
        <v>5516</v>
      </c>
    </row>
    <row r="21114" spans="1:5" x14ac:dyDescent="0.25">
      <c r="A21114" t="s">
        <v>4</v>
      </c>
      <c r="B21114" t="s">
        <v>4111</v>
      </c>
      <c r="C21114" s="1" t="s">
        <v>23490</v>
      </c>
      <c r="D21114" s="1" t="str">
        <f>HYPERLINK("https://rhld.insurance.arkansas.gov/NPILookup?Npi=1710946264","1710946264")</f>
        <v>1710946264</v>
      </c>
      <c r="E21114" t="s">
        <v>14180</v>
      </c>
    </row>
    <row r="21115" spans="1:5" x14ac:dyDescent="0.25">
      <c r="A21115" t="s">
        <v>4</v>
      </c>
      <c r="B21115" t="s">
        <v>4111</v>
      </c>
      <c r="C21115" s="1" t="s">
        <v>23490</v>
      </c>
      <c r="D21115" s="1" t="str">
        <f>HYPERLINK("https://rhld.insurance.arkansas.gov/NPILookup?Npi=1710952270","1710952270")</f>
        <v>1710952270</v>
      </c>
      <c r="E21115" t="s">
        <v>5517</v>
      </c>
    </row>
    <row r="21116" spans="1:5" x14ac:dyDescent="0.25">
      <c r="A21116" t="s">
        <v>4</v>
      </c>
      <c r="B21116" t="s">
        <v>4111</v>
      </c>
      <c r="C21116" s="1" t="s">
        <v>23490</v>
      </c>
      <c r="D21116" s="1" t="str">
        <f>HYPERLINK("https://rhld.insurance.arkansas.gov/NPILookup?Npi=1720004716","1720004716")</f>
        <v>1720004716</v>
      </c>
      <c r="E21116" t="s">
        <v>5518</v>
      </c>
    </row>
    <row r="21117" spans="1:5" x14ac:dyDescent="0.25">
      <c r="A21117" t="s">
        <v>4</v>
      </c>
      <c r="B21117" t="s">
        <v>4111</v>
      </c>
      <c r="C21117" s="1" t="s">
        <v>23490</v>
      </c>
      <c r="D21117" s="1" t="str">
        <f>HYPERLINK("https://rhld.insurance.arkansas.gov/NPILookup?Npi=1720006281","1720006281")</f>
        <v>1720006281</v>
      </c>
      <c r="E21117" t="s">
        <v>5519</v>
      </c>
    </row>
    <row r="21118" spans="1:5" x14ac:dyDescent="0.25">
      <c r="A21118" t="s">
        <v>4</v>
      </c>
      <c r="B21118" t="s">
        <v>4111</v>
      </c>
      <c r="C21118" s="1" t="s">
        <v>23490</v>
      </c>
      <c r="D21118" s="1" t="str">
        <f>HYPERLINK("https://rhld.insurance.arkansas.gov/NPILookup?Npi=1720007339","1720007339")</f>
        <v>1720007339</v>
      </c>
      <c r="E21118" t="s">
        <v>5520</v>
      </c>
    </row>
    <row r="21119" spans="1:5" x14ac:dyDescent="0.25">
      <c r="A21119" t="s">
        <v>4</v>
      </c>
      <c r="B21119" t="s">
        <v>4111</v>
      </c>
      <c r="C21119" s="1" t="s">
        <v>23490</v>
      </c>
      <c r="D21119" s="1" t="str">
        <f>HYPERLINK("https://rhld.insurance.arkansas.gov/NPILookup?Npi=1720013014","1720013014")</f>
        <v>1720013014</v>
      </c>
      <c r="E21119" t="s">
        <v>19010</v>
      </c>
    </row>
    <row r="21120" spans="1:5" x14ac:dyDescent="0.25">
      <c r="A21120" t="s">
        <v>4</v>
      </c>
      <c r="B21120" t="s">
        <v>4111</v>
      </c>
      <c r="C21120" s="1" t="s">
        <v>23490</v>
      </c>
      <c r="D21120" s="1" t="str">
        <f>HYPERLINK("https://rhld.insurance.arkansas.gov/NPILookup?Npi=1720024102","1720024102")</f>
        <v>1720024102</v>
      </c>
      <c r="E21120" t="s">
        <v>21156</v>
      </c>
    </row>
    <row r="21121" spans="1:5" x14ac:dyDescent="0.25">
      <c r="A21121" t="s">
        <v>4</v>
      </c>
      <c r="B21121" t="s">
        <v>4111</v>
      </c>
      <c r="C21121" s="1" t="s">
        <v>23490</v>
      </c>
      <c r="D21121" s="1" t="str">
        <f>HYPERLINK("https://rhld.insurance.arkansas.gov/NPILookup?Npi=1720024862","1720024862")</f>
        <v>1720024862</v>
      </c>
      <c r="E21121" t="s">
        <v>5521</v>
      </c>
    </row>
    <row r="21122" spans="1:5" x14ac:dyDescent="0.25">
      <c r="A21122" t="s">
        <v>4</v>
      </c>
      <c r="B21122" t="s">
        <v>4111</v>
      </c>
      <c r="C21122" s="1" t="s">
        <v>23490</v>
      </c>
      <c r="D21122" s="1" t="str">
        <f>HYPERLINK("https://rhld.insurance.arkansas.gov/NPILookup?Npi=1720029523","1720029523")</f>
        <v>1720029523</v>
      </c>
      <c r="E21122" t="s">
        <v>5522</v>
      </c>
    </row>
    <row r="21123" spans="1:5" x14ac:dyDescent="0.25">
      <c r="A21123" t="s">
        <v>4</v>
      </c>
      <c r="B21123" t="s">
        <v>4111</v>
      </c>
      <c r="C21123" s="1" t="s">
        <v>23490</v>
      </c>
      <c r="D21123" s="1" t="str">
        <f>HYPERLINK("https://rhld.insurance.arkansas.gov/NPILookup?Npi=1720033350","1720033350")</f>
        <v>1720033350</v>
      </c>
      <c r="E21123" t="s">
        <v>5523</v>
      </c>
    </row>
    <row r="21124" spans="1:5" x14ac:dyDescent="0.25">
      <c r="A21124" t="s">
        <v>4</v>
      </c>
      <c r="B21124" t="s">
        <v>4111</v>
      </c>
      <c r="C21124" s="1" t="s">
        <v>23490</v>
      </c>
      <c r="D21124" s="1" t="str">
        <f>HYPERLINK("https://rhld.insurance.arkansas.gov/NPILookup?Npi=1720101355","1720101355")</f>
        <v>1720101355</v>
      </c>
      <c r="E21124" t="s">
        <v>5524</v>
      </c>
    </row>
    <row r="21125" spans="1:5" x14ac:dyDescent="0.25">
      <c r="A21125" t="s">
        <v>4</v>
      </c>
      <c r="B21125" t="s">
        <v>4111</v>
      </c>
      <c r="C21125" s="1" t="s">
        <v>23490</v>
      </c>
      <c r="D21125" s="1" t="str">
        <f>HYPERLINK("https://rhld.insurance.arkansas.gov/NPILookup?Npi=1720105398","1720105398")</f>
        <v>1720105398</v>
      </c>
      <c r="E21125" t="s">
        <v>5525</v>
      </c>
    </row>
    <row r="21126" spans="1:5" x14ac:dyDescent="0.25">
      <c r="A21126" t="s">
        <v>4</v>
      </c>
      <c r="B21126" t="s">
        <v>4111</v>
      </c>
      <c r="C21126" s="1" t="s">
        <v>23490</v>
      </c>
      <c r="D21126" s="1" t="str">
        <f>HYPERLINK("https://rhld.insurance.arkansas.gov/NPILookup?Npi=1720112725","1720112725")</f>
        <v>1720112725</v>
      </c>
      <c r="E21126" t="s">
        <v>17632</v>
      </c>
    </row>
    <row r="21127" spans="1:5" x14ac:dyDescent="0.25">
      <c r="A21127" t="s">
        <v>4</v>
      </c>
      <c r="B21127" t="s">
        <v>4111</v>
      </c>
      <c r="C21127" s="1" t="s">
        <v>23490</v>
      </c>
      <c r="D21127" s="1" t="str">
        <f>HYPERLINK("https://rhld.insurance.arkansas.gov/NPILookup?Npi=1720118466","1720118466")</f>
        <v>1720118466</v>
      </c>
      <c r="E21127" t="s">
        <v>5526</v>
      </c>
    </row>
    <row r="21128" spans="1:5" x14ac:dyDescent="0.25">
      <c r="A21128" t="s">
        <v>4</v>
      </c>
      <c r="B21128" t="s">
        <v>4111</v>
      </c>
      <c r="C21128" s="1" t="s">
        <v>23490</v>
      </c>
      <c r="D21128" s="1" t="str">
        <f>HYPERLINK("https://rhld.insurance.arkansas.gov/NPILookup?Npi=1720125578","1720125578")</f>
        <v>1720125578</v>
      </c>
      <c r="E21128" t="s">
        <v>5527</v>
      </c>
    </row>
    <row r="21129" spans="1:5" x14ac:dyDescent="0.25">
      <c r="A21129" t="s">
        <v>4</v>
      </c>
      <c r="B21129" t="s">
        <v>4111</v>
      </c>
      <c r="C21129" s="1" t="s">
        <v>23490</v>
      </c>
      <c r="D21129" s="1" t="str">
        <f>HYPERLINK("https://rhld.insurance.arkansas.gov/NPILookup?Npi=1720129265","1720129265")</f>
        <v>1720129265</v>
      </c>
      <c r="E21129" t="s">
        <v>5528</v>
      </c>
    </row>
    <row r="21130" spans="1:5" x14ac:dyDescent="0.25">
      <c r="A21130" t="s">
        <v>4</v>
      </c>
      <c r="B21130" t="s">
        <v>4111</v>
      </c>
      <c r="C21130" s="1" t="s">
        <v>23490</v>
      </c>
      <c r="D21130" s="1" t="str">
        <f>HYPERLINK("https://rhld.insurance.arkansas.gov/NPILookup?Npi=1720174766","1720174766")</f>
        <v>1720174766</v>
      </c>
      <c r="E21130" t="s">
        <v>5529</v>
      </c>
    </row>
    <row r="21131" spans="1:5" x14ac:dyDescent="0.25">
      <c r="A21131" t="s">
        <v>4</v>
      </c>
      <c r="B21131" t="s">
        <v>4111</v>
      </c>
      <c r="C21131" s="1" t="s">
        <v>23490</v>
      </c>
      <c r="D21131" s="1" t="str">
        <f>HYPERLINK("https://rhld.insurance.arkansas.gov/NPILookup?Npi=1720175409","1720175409")</f>
        <v>1720175409</v>
      </c>
      <c r="E21131" t="s">
        <v>5530</v>
      </c>
    </row>
    <row r="21132" spans="1:5" x14ac:dyDescent="0.25">
      <c r="A21132" t="s">
        <v>4</v>
      </c>
      <c r="B21132" t="s">
        <v>4111</v>
      </c>
      <c r="C21132" s="1" t="s">
        <v>23490</v>
      </c>
      <c r="D21132" s="1" t="str">
        <f>HYPERLINK("https://rhld.insurance.arkansas.gov/NPILookup?Npi=1720178395","1720178395")</f>
        <v>1720178395</v>
      </c>
      <c r="E21132" t="s">
        <v>5531</v>
      </c>
    </row>
    <row r="21133" spans="1:5" x14ac:dyDescent="0.25">
      <c r="A21133" t="s">
        <v>4</v>
      </c>
      <c r="B21133" t="s">
        <v>4111</v>
      </c>
      <c r="C21133" s="1" t="s">
        <v>23490</v>
      </c>
      <c r="D21133" s="1" t="str">
        <f>HYPERLINK("https://rhld.insurance.arkansas.gov/NPILookup?Npi=1720199177","1720199177")</f>
        <v>1720199177</v>
      </c>
      <c r="E21133" t="s">
        <v>5532</v>
      </c>
    </row>
    <row r="21134" spans="1:5" x14ac:dyDescent="0.25">
      <c r="A21134" t="s">
        <v>4</v>
      </c>
      <c r="B21134" t="s">
        <v>4111</v>
      </c>
      <c r="C21134" s="1" t="s">
        <v>23490</v>
      </c>
      <c r="D21134" s="1" t="str">
        <f>HYPERLINK("https://rhld.insurance.arkansas.gov/NPILookup?Npi=1720209588","1720209588")</f>
        <v>1720209588</v>
      </c>
      <c r="E21134" t="s">
        <v>14181</v>
      </c>
    </row>
    <row r="21135" spans="1:5" x14ac:dyDescent="0.25">
      <c r="A21135" t="s">
        <v>4</v>
      </c>
      <c r="B21135" t="s">
        <v>4111</v>
      </c>
      <c r="C21135" s="1" t="s">
        <v>23490</v>
      </c>
      <c r="D21135" s="1" t="str">
        <f>HYPERLINK("https://rhld.insurance.arkansas.gov/NPILookup?Npi=1720221849","1720221849")</f>
        <v>1720221849</v>
      </c>
      <c r="E21135" t="s">
        <v>16207</v>
      </c>
    </row>
    <row r="21136" spans="1:5" x14ac:dyDescent="0.25">
      <c r="A21136" t="s">
        <v>4</v>
      </c>
      <c r="B21136" t="s">
        <v>4111</v>
      </c>
      <c r="C21136" s="1" t="s">
        <v>23490</v>
      </c>
      <c r="D21136" s="1" t="str">
        <f>HYPERLINK("https://rhld.insurance.arkansas.gov/NPILookup?Npi=1720233661","1720233661")</f>
        <v>1720233661</v>
      </c>
      <c r="E21136" t="s">
        <v>5533</v>
      </c>
    </row>
    <row r="21137" spans="1:5" x14ac:dyDescent="0.25">
      <c r="A21137" t="s">
        <v>4</v>
      </c>
      <c r="B21137" t="s">
        <v>4111</v>
      </c>
      <c r="C21137" s="1" t="s">
        <v>23490</v>
      </c>
      <c r="D21137" s="1" t="str">
        <f>HYPERLINK("https://rhld.insurance.arkansas.gov/NPILookup?Npi=1720266158","1720266158")</f>
        <v>1720266158</v>
      </c>
      <c r="E21137" t="s">
        <v>5534</v>
      </c>
    </row>
    <row r="21138" spans="1:5" x14ac:dyDescent="0.25">
      <c r="A21138" t="s">
        <v>4</v>
      </c>
      <c r="B21138" t="s">
        <v>4111</v>
      </c>
      <c r="C21138" s="1" t="s">
        <v>23490</v>
      </c>
      <c r="D21138" s="1" t="str">
        <f>HYPERLINK("https://rhld.insurance.arkansas.gov/NPILookup?Npi=1720277205","1720277205")</f>
        <v>1720277205</v>
      </c>
      <c r="E21138" t="s">
        <v>5535</v>
      </c>
    </row>
    <row r="21139" spans="1:5" x14ac:dyDescent="0.25">
      <c r="A21139" t="s">
        <v>4</v>
      </c>
      <c r="B21139" t="s">
        <v>4111</v>
      </c>
      <c r="C21139" s="1" t="s">
        <v>23490</v>
      </c>
      <c r="D21139" s="1" t="str">
        <f>HYPERLINK("https://rhld.insurance.arkansas.gov/NPILookup?Npi=1720287428","1720287428")</f>
        <v>1720287428</v>
      </c>
      <c r="E21139" t="s">
        <v>22234</v>
      </c>
    </row>
    <row r="21140" spans="1:5" x14ac:dyDescent="0.25">
      <c r="A21140" t="s">
        <v>4</v>
      </c>
      <c r="B21140" t="s">
        <v>4111</v>
      </c>
      <c r="C21140" s="1" t="s">
        <v>23490</v>
      </c>
      <c r="D21140" s="1" t="str">
        <f>HYPERLINK("https://rhld.insurance.arkansas.gov/NPILookup?Npi=1720292097","1720292097")</f>
        <v>1720292097</v>
      </c>
      <c r="E21140" t="s">
        <v>22898</v>
      </c>
    </row>
    <row r="21141" spans="1:5" x14ac:dyDescent="0.25">
      <c r="A21141" t="s">
        <v>4</v>
      </c>
      <c r="B21141" t="s">
        <v>4111</v>
      </c>
      <c r="C21141" s="1" t="s">
        <v>23490</v>
      </c>
      <c r="D21141" s="1" t="str">
        <f>HYPERLINK("https://rhld.insurance.arkansas.gov/NPILookup?Npi=1720307903","1720307903")</f>
        <v>1720307903</v>
      </c>
      <c r="E21141" t="s">
        <v>14182</v>
      </c>
    </row>
    <row r="21142" spans="1:5" x14ac:dyDescent="0.25">
      <c r="A21142" t="s">
        <v>4</v>
      </c>
      <c r="B21142" t="s">
        <v>4111</v>
      </c>
      <c r="C21142" s="1" t="s">
        <v>23490</v>
      </c>
      <c r="D21142" s="1" t="str">
        <f>HYPERLINK("https://rhld.insurance.arkansas.gov/NPILookup?Npi=1720309776","1720309776")</f>
        <v>1720309776</v>
      </c>
      <c r="E21142" t="s">
        <v>18412</v>
      </c>
    </row>
    <row r="21143" spans="1:5" x14ac:dyDescent="0.25">
      <c r="A21143" t="s">
        <v>4</v>
      </c>
      <c r="B21143" t="s">
        <v>4111</v>
      </c>
      <c r="C21143" s="1" t="s">
        <v>23490</v>
      </c>
      <c r="D21143" s="1" t="str">
        <f>HYPERLINK("https://rhld.insurance.arkansas.gov/NPILookup?Npi=1720313059","1720313059")</f>
        <v>1720313059</v>
      </c>
      <c r="E21143" t="s">
        <v>5537</v>
      </c>
    </row>
    <row r="21144" spans="1:5" x14ac:dyDescent="0.25">
      <c r="A21144" t="s">
        <v>4</v>
      </c>
      <c r="B21144" t="s">
        <v>4111</v>
      </c>
      <c r="C21144" s="1" t="s">
        <v>23490</v>
      </c>
      <c r="D21144" s="1" t="str">
        <f>HYPERLINK("https://rhld.insurance.arkansas.gov/NPILookup?Npi=1720319346","1720319346")</f>
        <v>1720319346</v>
      </c>
      <c r="E21144" t="s">
        <v>11805</v>
      </c>
    </row>
    <row r="21145" spans="1:5" x14ac:dyDescent="0.25">
      <c r="A21145" t="s">
        <v>4</v>
      </c>
      <c r="B21145" t="s">
        <v>4111</v>
      </c>
      <c r="C21145" s="1" t="s">
        <v>23490</v>
      </c>
      <c r="D21145" s="1" t="str">
        <f>HYPERLINK("https://rhld.insurance.arkansas.gov/NPILookup?Npi=1720320534","1720320534")</f>
        <v>1720320534</v>
      </c>
      <c r="E21145" t="s">
        <v>21157</v>
      </c>
    </row>
    <row r="21146" spans="1:5" x14ac:dyDescent="0.25">
      <c r="A21146" t="s">
        <v>4</v>
      </c>
      <c r="B21146" t="s">
        <v>4111</v>
      </c>
      <c r="C21146" s="1" t="s">
        <v>23490</v>
      </c>
      <c r="D21146" s="1" t="str">
        <f>HYPERLINK("https://rhld.insurance.arkansas.gov/NPILookup?Npi=1720360381","1720360381")</f>
        <v>1720360381</v>
      </c>
      <c r="E21146" t="s">
        <v>18413</v>
      </c>
    </row>
    <row r="21147" spans="1:5" x14ac:dyDescent="0.25">
      <c r="A21147" t="s">
        <v>4</v>
      </c>
      <c r="B21147" t="s">
        <v>4111</v>
      </c>
      <c r="C21147" s="1" t="s">
        <v>23490</v>
      </c>
      <c r="D21147" s="1" t="str">
        <f>HYPERLINK("https://rhld.insurance.arkansas.gov/NPILookup?Npi=1720391188","1720391188")</f>
        <v>1720391188</v>
      </c>
      <c r="E21147" t="s">
        <v>16208</v>
      </c>
    </row>
    <row r="21148" spans="1:5" x14ac:dyDescent="0.25">
      <c r="A21148" t="s">
        <v>4</v>
      </c>
      <c r="B21148" t="s">
        <v>4111</v>
      </c>
      <c r="C21148" s="1" t="s">
        <v>23490</v>
      </c>
      <c r="D21148" s="1" t="str">
        <f>HYPERLINK("https://rhld.insurance.arkansas.gov/NPILookup?Npi=1720395122","1720395122")</f>
        <v>1720395122</v>
      </c>
      <c r="E21148" t="s">
        <v>5538</v>
      </c>
    </row>
    <row r="21149" spans="1:5" x14ac:dyDescent="0.25">
      <c r="A21149" t="s">
        <v>4</v>
      </c>
      <c r="B21149" t="s">
        <v>4111</v>
      </c>
      <c r="C21149" s="1" t="s">
        <v>23490</v>
      </c>
      <c r="D21149" s="1" t="str">
        <f>HYPERLINK("https://rhld.insurance.arkansas.gov/NPILookup?Npi=1720395213","1720395213")</f>
        <v>1720395213</v>
      </c>
      <c r="E21149" t="s">
        <v>5539</v>
      </c>
    </row>
    <row r="21150" spans="1:5" x14ac:dyDescent="0.25">
      <c r="A21150" t="s">
        <v>4</v>
      </c>
      <c r="B21150" t="s">
        <v>4111</v>
      </c>
      <c r="C21150" s="1" t="s">
        <v>23490</v>
      </c>
      <c r="D21150" s="1" t="str">
        <f>HYPERLINK("https://rhld.insurance.arkansas.gov/NPILookup?Npi=1720410780","1720410780")</f>
        <v>1720410780</v>
      </c>
      <c r="E21150" t="s">
        <v>9148</v>
      </c>
    </row>
    <row r="21151" spans="1:5" x14ac:dyDescent="0.25">
      <c r="A21151" t="s">
        <v>4</v>
      </c>
      <c r="B21151" t="s">
        <v>4111</v>
      </c>
      <c r="C21151" s="1" t="s">
        <v>23490</v>
      </c>
      <c r="D21151" s="1" t="str">
        <f>HYPERLINK("https://rhld.insurance.arkansas.gov/NPILookup?Npi=1720413842","1720413842")</f>
        <v>1720413842</v>
      </c>
      <c r="E21151" t="s">
        <v>13196</v>
      </c>
    </row>
    <row r="21152" spans="1:5" x14ac:dyDescent="0.25">
      <c r="A21152" t="s">
        <v>4</v>
      </c>
      <c r="B21152" t="s">
        <v>4111</v>
      </c>
      <c r="C21152" s="1" t="s">
        <v>23490</v>
      </c>
      <c r="D21152" s="1" t="str">
        <f>HYPERLINK("https://rhld.insurance.arkansas.gov/NPILookup?Npi=1720463276","1720463276")</f>
        <v>1720463276</v>
      </c>
      <c r="E21152" t="s">
        <v>14183</v>
      </c>
    </row>
    <row r="21153" spans="1:5" x14ac:dyDescent="0.25">
      <c r="A21153" t="s">
        <v>4</v>
      </c>
      <c r="B21153" t="s">
        <v>4111</v>
      </c>
      <c r="C21153" s="1" t="s">
        <v>23490</v>
      </c>
      <c r="D21153" s="1" t="str">
        <f>HYPERLINK("https://rhld.insurance.arkansas.gov/NPILookup?Npi=1720473085","1720473085")</f>
        <v>1720473085</v>
      </c>
      <c r="E21153" t="s">
        <v>16209</v>
      </c>
    </row>
    <row r="21154" spans="1:5" x14ac:dyDescent="0.25">
      <c r="A21154" t="s">
        <v>4</v>
      </c>
      <c r="B21154" t="s">
        <v>4111</v>
      </c>
      <c r="C21154" s="1" t="s">
        <v>23490</v>
      </c>
      <c r="D21154" s="1" t="str">
        <f>HYPERLINK("https://rhld.insurance.arkansas.gov/NPILookup?Npi=1720484629","1720484629")</f>
        <v>1720484629</v>
      </c>
      <c r="E21154" t="s">
        <v>23174</v>
      </c>
    </row>
    <row r="21155" spans="1:5" x14ac:dyDescent="0.25">
      <c r="A21155" t="s">
        <v>4</v>
      </c>
      <c r="B21155" t="s">
        <v>4111</v>
      </c>
      <c r="C21155" s="1" t="s">
        <v>23490</v>
      </c>
      <c r="D21155" s="1" t="str">
        <f>HYPERLINK("https://rhld.insurance.arkansas.gov/NPILookup?Npi=1720488026","1720488026")</f>
        <v>1720488026</v>
      </c>
      <c r="E21155" t="s">
        <v>13197</v>
      </c>
    </row>
    <row r="21156" spans="1:5" x14ac:dyDescent="0.25">
      <c r="A21156" t="s">
        <v>4</v>
      </c>
      <c r="B21156" t="s">
        <v>4111</v>
      </c>
      <c r="C21156" s="1" t="s">
        <v>23490</v>
      </c>
      <c r="D21156" s="1" t="str">
        <f>HYPERLINK("https://rhld.insurance.arkansas.gov/NPILookup?Npi=1720489800","1720489800")</f>
        <v>1720489800</v>
      </c>
      <c r="E21156" t="s">
        <v>14184</v>
      </c>
    </row>
    <row r="21157" spans="1:5" x14ac:dyDescent="0.25">
      <c r="A21157" t="s">
        <v>4</v>
      </c>
      <c r="B21157" t="s">
        <v>4111</v>
      </c>
      <c r="C21157" s="1" t="s">
        <v>23490</v>
      </c>
      <c r="D21157" s="1" t="str">
        <f>HYPERLINK("https://rhld.insurance.arkansas.gov/NPILookup?Npi=1720491053","1720491053")</f>
        <v>1720491053</v>
      </c>
      <c r="E21157" t="s">
        <v>11806</v>
      </c>
    </row>
    <row r="21158" spans="1:5" x14ac:dyDescent="0.25">
      <c r="A21158" t="s">
        <v>4</v>
      </c>
      <c r="B21158" t="s">
        <v>4111</v>
      </c>
      <c r="C21158" s="1" t="s">
        <v>23490</v>
      </c>
      <c r="D21158" s="1" t="str">
        <f>HYPERLINK("https://rhld.insurance.arkansas.gov/NPILookup?Npi=1720492499","1720492499")</f>
        <v>1720492499</v>
      </c>
      <c r="E21158" t="s">
        <v>9149</v>
      </c>
    </row>
    <row r="21159" spans="1:5" x14ac:dyDescent="0.25">
      <c r="A21159" t="s">
        <v>4</v>
      </c>
      <c r="B21159" t="s">
        <v>4111</v>
      </c>
      <c r="C21159" s="1" t="s">
        <v>23490</v>
      </c>
      <c r="D21159" s="1" t="str">
        <f>HYPERLINK("https://rhld.insurance.arkansas.gov/NPILookup?Npi=1720499478","1720499478")</f>
        <v>1720499478</v>
      </c>
      <c r="E21159" t="s">
        <v>17633</v>
      </c>
    </row>
    <row r="21160" spans="1:5" x14ac:dyDescent="0.25">
      <c r="A21160" t="s">
        <v>4</v>
      </c>
      <c r="B21160" t="s">
        <v>4111</v>
      </c>
      <c r="C21160" s="1" t="s">
        <v>23490</v>
      </c>
      <c r="D21160" s="1" t="str">
        <f>HYPERLINK("https://rhld.insurance.arkansas.gov/NPILookup?Npi=1720519085","1720519085")</f>
        <v>1720519085</v>
      </c>
      <c r="E21160" t="s">
        <v>21158</v>
      </c>
    </row>
    <row r="21161" spans="1:5" x14ac:dyDescent="0.25">
      <c r="A21161" t="s">
        <v>4</v>
      </c>
      <c r="B21161" t="s">
        <v>4111</v>
      </c>
      <c r="C21161" s="1" t="s">
        <v>23490</v>
      </c>
      <c r="D21161" s="1" t="str">
        <f>HYPERLINK("https://rhld.insurance.arkansas.gov/NPILookup?Npi=1720525785","1720525785")</f>
        <v>1720525785</v>
      </c>
      <c r="E21161" t="s">
        <v>14185</v>
      </c>
    </row>
    <row r="21162" spans="1:5" x14ac:dyDescent="0.25">
      <c r="A21162" t="s">
        <v>4</v>
      </c>
      <c r="B21162" t="s">
        <v>4111</v>
      </c>
      <c r="C21162" s="1" t="s">
        <v>23490</v>
      </c>
      <c r="D21162" s="1" t="str">
        <f>HYPERLINK("https://rhld.insurance.arkansas.gov/NPILookup?Npi=1720536774","1720536774")</f>
        <v>1720536774</v>
      </c>
      <c r="E21162" t="s">
        <v>14186</v>
      </c>
    </row>
    <row r="21163" spans="1:5" x14ac:dyDescent="0.25">
      <c r="A21163" t="s">
        <v>4</v>
      </c>
      <c r="B21163" t="s">
        <v>4111</v>
      </c>
      <c r="C21163" s="1" t="s">
        <v>23490</v>
      </c>
      <c r="D21163" s="1" t="str">
        <f>HYPERLINK("https://rhld.insurance.arkansas.gov/NPILookup?Npi=1720538069","1720538069")</f>
        <v>1720538069</v>
      </c>
      <c r="E21163" t="s">
        <v>16210</v>
      </c>
    </row>
    <row r="21164" spans="1:5" x14ac:dyDescent="0.25">
      <c r="A21164" t="s">
        <v>4</v>
      </c>
      <c r="B21164" t="s">
        <v>4111</v>
      </c>
      <c r="C21164" s="1" t="s">
        <v>23490</v>
      </c>
      <c r="D21164" s="1" t="str">
        <f>HYPERLINK("https://rhld.insurance.arkansas.gov/NPILookup?Npi=1720564313","1720564313")</f>
        <v>1720564313</v>
      </c>
      <c r="E21164" t="s">
        <v>20567</v>
      </c>
    </row>
    <row r="21165" spans="1:5" x14ac:dyDescent="0.25">
      <c r="A21165" t="s">
        <v>4</v>
      </c>
      <c r="B21165" t="s">
        <v>4111</v>
      </c>
      <c r="C21165" s="1" t="s">
        <v>23490</v>
      </c>
      <c r="D21165" s="1" t="str">
        <f>HYPERLINK("https://rhld.insurance.arkansas.gov/NPILookup?Npi=1720578909","1720578909")</f>
        <v>1720578909</v>
      </c>
      <c r="E21165" t="s">
        <v>20568</v>
      </c>
    </row>
    <row r="21166" spans="1:5" x14ac:dyDescent="0.25">
      <c r="A21166" t="s">
        <v>4</v>
      </c>
      <c r="B21166" t="s">
        <v>4111</v>
      </c>
      <c r="C21166" s="1" t="s">
        <v>23490</v>
      </c>
      <c r="D21166" s="1" t="str">
        <f>HYPERLINK("https://rhld.insurance.arkansas.gov/NPILookup?Npi=1720613482","1720613482")</f>
        <v>1720613482</v>
      </c>
      <c r="E21166" t="s">
        <v>20569</v>
      </c>
    </row>
    <row r="21167" spans="1:5" x14ac:dyDescent="0.25">
      <c r="A21167" t="s">
        <v>4</v>
      </c>
      <c r="B21167" t="s">
        <v>4111</v>
      </c>
      <c r="C21167" s="1" t="s">
        <v>23490</v>
      </c>
      <c r="D21167" s="1" t="str">
        <f>HYPERLINK("https://rhld.insurance.arkansas.gov/NPILookup?Npi=1720618267","1720618267")</f>
        <v>1720618267</v>
      </c>
      <c r="E21167" t="s">
        <v>23175</v>
      </c>
    </row>
    <row r="21168" spans="1:5" x14ac:dyDescent="0.25">
      <c r="A21168" t="s">
        <v>4</v>
      </c>
      <c r="B21168" t="s">
        <v>4111</v>
      </c>
      <c r="C21168" s="1" t="s">
        <v>8427</v>
      </c>
      <c r="D21168" s="1" t="str">
        <f>HYPERLINK("https://rhld.insurance.arkansas.gov/NPILookup?Npi=1720672728","1720672728")</f>
        <v>1720672728</v>
      </c>
      <c r="E21168" t="s">
        <v>23176</v>
      </c>
    </row>
    <row r="21169" spans="1:5" x14ac:dyDescent="0.25">
      <c r="A21169" t="s">
        <v>4</v>
      </c>
      <c r="B21169" t="s">
        <v>4111</v>
      </c>
      <c r="C21169" s="1" t="s">
        <v>23490</v>
      </c>
      <c r="D21169" s="1" t="str">
        <f>HYPERLINK("https://rhld.insurance.arkansas.gov/NPILookup?Npi=1720680671","1720680671")</f>
        <v>1720680671</v>
      </c>
      <c r="E21169" t="s">
        <v>22235</v>
      </c>
    </row>
    <row r="21170" spans="1:5" x14ac:dyDescent="0.25">
      <c r="A21170" t="s">
        <v>4</v>
      </c>
      <c r="B21170" t="s">
        <v>4111</v>
      </c>
      <c r="C21170" s="1" t="s">
        <v>8427</v>
      </c>
      <c r="D21170" s="1" t="str">
        <f>HYPERLINK("https://rhld.insurance.arkansas.gov/NPILookup?Npi=1720687981","1720687981")</f>
        <v>1720687981</v>
      </c>
      <c r="E21170" t="s">
        <v>22873</v>
      </c>
    </row>
    <row r="21171" spans="1:5" x14ac:dyDescent="0.25">
      <c r="A21171" t="s">
        <v>4</v>
      </c>
      <c r="B21171" t="s">
        <v>4111</v>
      </c>
      <c r="C21171" s="1" t="s">
        <v>23490</v>
      </c>
      <c r="D21171" s="1" t="str">
        <f>HYPERLINK("https://rhld.insurance.arkansas.gov/NPILookup?Npi=1720714868","1720714868")</f>
        <v>1720714868</v>
      </c>
      <c r="E21171" t="s">
        <v>22236</v>
      </c>
    </row>
    <row r="21172" spans="1:5" x14ac:dyDescent="0.25">
      <c r="A21172" t="s">
        <v>4</v>
      </c>
      <c r="B21172" t="s">
        <v>4111</v>
      </c>
      <c r="C21172" s="1" t="s">
        <v>23490</v>
      </c>
      <c r="D21172" s="1" t="str">
        <f>HYPERLINK("https://rhld.insurance.arkansas.gov/NPILookup?Npi=1720716707","1720716707")</f>
        <v>1720716707</v>
      </c>
      <c r="E21172" t="s">
        <v>22237</v>
      </c>
    </row>
    <row r="21173" spans="1:5" x14ac:dyDescent="0.25">
      <c r="A21173" t="s">
        <v>4</v>
      </c>
      <c r="B21173" t="s">
        <v>4111</v>
      </c>
      <c r="C21173" s="1" t="s">
        <v>23490</v>
      </c>
      <c r="D21173" s="1" t="str">
        <f>HYPERLINK("https://rhld.insurance.arkansas.gov/NPILookup?Npi=1730110644","1730110644")</f>
        <v>1730110644</v>
      </c>
      <c r="E21173" t="s">
        <v>5540</v>
      </c>
    </row>
    <row r="21174" spans="1:5" x14ac:dyDescent="0.25">
      <c r="A21174" t="s">
        <v>4</v>
      </c>
      <c r="B21174" t="s">
        <v>4111</v>
      </c>
      <c r="C21174" s="1" t="s">
        <v>23490</v>
      </c>
      <c r="D21174" s="1" t="str">
        <f>HYPERLINK("https://rhld.insurance.arkansas.gov/NPILookup?Npi=1730115999","1730115999")</f>
        <v>1730115999</v>
      </c>
      <c r="E21174" t="s">
        <v>22238</v>
      </c>
    </row>
    <row r="21175" spans="1:5" x14ac:dyDescent="0.25">
      <c r="A21175" t="s">
        <v>4</v>
      </c>
      <c r="B21175" t="s">
        <v>4111</v>
      </c>
      <c r="C21175" s="1" t="s">
        <v>23490</v>
      </c>
      <c r="D21175" s="1" t="str">
        <f>HYPERLINK("https://rhld.insurance.arkansas.gov/NPILookup?Npi=1730127119","1730127119")</f>
        <v>1730127119</v>
      </c>
      <c r="E21175" t="s">
        <v>5541</v>
      </c>
    </row>
    <row r="21176" spans="1:5" x14ac:dyDescent="0.25">
      <c r="A21176" t="s">
        <v>4</v>
      </c>
      <c r="B21176" t="s">
        <v>4111</v>
      </c>
      <c r="C21176" s="1" t="s">
        <v>23490</v>
      </c>
      <c r="D21176" s="1" t="str">
        <f>HYPERLINK("https://rhld.insurance.arkansas.gov/NPILookup?Npi=1730139916","1730139916")</f>
        <v>1730139916</v>
      </c>
      <c r="E21176" t="s">
        <v>5542</v>
      </c>
    </row>
    <row r="21177" spans="1:5" x14ac:dyDescent="0.25">
      <c r="A21177" t="s">
        <v>4</v>
      </c>
      <c r="B21177" t="s">
        <v>4111</v>
      </c>
      <c r="C21177" s="1" t="s">
        <v>23490</v>
      </c>
      <c r="D21177" s="1" t="str">
        <f>HYPERLINK("https://rhld.insurance.arkansas.gov/NPILookup?Npi=1730154675","1730154675")</f>
        <v>1730154675</v>
      </c>
      <c r="E21177" t="s">
        <v>13198</v>
      </c>
    </row>
    <row r="21178" spans="1:5" x14ac:dyDescent="0.25">
      <c r="A21178" t="s">
        <v>4</v>
      </c>
      <c r="B21178" t="s">
        <v>4111</v>
      </c>
      <c r="C21178" s="1" t="s">
        <v>23490</v>
      </c>
      <c r="D21178" s="1" t="str">
        <f>HYPERLINK("https://rhld.insurance.arkansas.gov/NPILookup?Npi=1730155284","1730155284")</f>
        <v>1730155284</v>
      </c>
      <c r="E21178" t="s">
        <v>22239</v>
      </c>
    </row>
    <row r="21179" spans="1:5" x14ac:dyDescent="0.25">
      <c r="A21179" t="s">
        <v>4</v>
      </c>
      <c r="B21179" t="s">
        <v>4111</v>
      </c>
      <c r="C21179" s="1" t="s">
        <v>23490</v>
      </c>
      <c r="D21179" s="1" t="str">
        <f>HYPERLINK("https://rhld.insurance.arkansas.gov/NPILookup?Npi=1730161910","1730161910")</f>
        <v>1730161910</v>
      </c>
      <c r="E21179" t="s">
        <v>5543</v>
      </c>
    </row>
    <row r="21180" spans="1:5" x14ac:dyDescent="0.25">
      <c r="A21180" t="s">
        <v>4</v>
      </c>
      <c r="B21180" t="s">
        <v>4111</v>
      </c>
      <c r="C21180" s="1" t="s">
        <v>23490</v>
      </c>
      <c r="D21180" s="1" t="str">
        <f>HYPERLINK("https://rhld.insurance.arkansas.gov/NPILookup?Npi=1730168873","1730168873")</f>
        <v>1730168873</v>
      </c>
      <c r="E21180" t="s">
        <v>5544</v>
      </c>
    </row>
    <row r="21181" spans="1:5" x14ac:dyDescent="0.25">
      <c r="A21181" t="s">
        <v>4</v>
      </c>
      <c r="B21181" t="s">
        <v>4111</v>
      </c>
      <c r="C21181" s="1" t="s">
        <v>23490</v>
      </c>
      <c r="D21181" s="1" t="str">
        <f>HYPERLINK("https://rhld.insurance.arkansas.gov/NPILookup?Npi=1730195454","1730195454")</f>
        <v>1730195454</v>
      </c>
      <c r="E21181" t="s">
        <v>11807</v>
      </c>
    </row>
    <row r="21182" spans="1:5" x14ac:dyDescent="0.25">
      <c r="A21182" t="s">
        <v>4</v>
      </c>
      <c r="B21182" t="s">
        <v>4111</v>
      </c>
      <c r="C21182" s="1" t="s">
        <v>23490</v>
      </c>
      <c r="D21182" s="1" t="str">
        <f>HYPERLINK("https://rhld.insurance.arkansas.gov/NPILookup?Npi=1730201799","1730201799")</f>
        <v>1730201799</v>
      </c>
      <c r="E21182" t="s">
        <v>14187</v>
      </c>
    </row>
    <row r="21183" spans="1:5" x14ac:dyDescent="0.25">
      <c r="A21183" t="s">
        <v>4</v>
      </c>
      <c r="B21183" t="s">
        <v>4111</v>
      </c>
      <c r="C21183" s="1" t="s">
        <v>23490</v>
      </c>
      <c r="D21183" s="1" t="str">
        <f>HYPERLINK("https://rhld.insurance.arkansas.gov/NPILookup?Npi=1730202102","1730202102")</f>
        <v>1730202102</v>
      </c>
      <c r="E21183" t="s">
        <v>13199</v>
      </c>
    </row>
    <row r="21184" spans="1:5" x14ac:dyDescent="0.25">
      <c r="A21184" t="s">
        <v>4</v>
      </c>
      <c r="B21184" t="s">
        <v>4111</v>
      </c>
      <c r="C21184" s="1" t="s">
        <v>23490</v>
      </c>
      <c r="D21184" s="1" t="str">
        <f>HYPERLINK("https://rhld.insurance.arkansas.gov/NPILookup?Npi=1730207747","1730207747")</f>
        <v>1730207747</v>
      </c>
      <c r="E21184" t="s">
        <v>5545</v>
      </c>
    </row>
    <row r="21185" spans="1:5" x14ac:dyDescent="0.25">
      <c r="A21185" t="s">
        <v>4</v>
      </c>
      <c r="B21185" t="s">
        <v>4111</v>
      </c>
      <c r="C21185" s="1" t="s">
        <v>23490</v>
      </c>
      <c r="D21185" s="1" t="str">
        <f>HYPERLINK("https://rhld.insurance.arkansas.gov/NPILookup?Npi=1730232216","1730232216")</f>
        <v>1730232216</v>
      </c>
      <c r="E21185" t="s">
        <v>5546</v>
      </c>
    </row>
    <row r="21186" spans="1:5" x14ac:dyDescent="0.25">
      <c r="A21186" t="s">
        <v>4</v>
      </c>
      <c r="B21186" t="s">
        <v>4111</v>
      </c>
      <c r="C21186" s="1" t="s">
        <v>23490</v>
      </c>
      <c r="D21186" s="1" t="str">
        <f>HYPERLINK("https://rhld.insurance.arkansas.gov/NPILookup?Npi=1730233321","1730233321")</f>
        <v>1730233321</v>
      </c>
      <c r="E21186" t="s">
        <v>5547</v>
      </c>
    </row>
    <row r="21187" spans="1:5" x14ac:dyDescent="0.25">
      <c r="A21187" t="s">
        <v>4</v>
      </c>
      <c r="B21187" t="s">
        <v>4111</v>
      </c>
      <c r="C21187" s="1" t="s">
        <v>23490</v>
      </c>
      <c r="D21187" s="1" t="str">
        <f>HYPERLINK("https://rhld.insurance.arkansas.gov/NPILookup?Npi=1730245465","1730245465")</f>
        <v>1730245465</v>
      </c>
      <c r="E21187" t="s">
        <v>5548</v>
      </c>
    </row>
    <row r="21188" spans="1:5" x14ac:dyDescent="0.25">
      <c r="A21188" t="s">
        <v>4</v>
      </c>
      <c r="B21188" t="s">
        <v>4111</v>
      </c>
      <c r="C21188" s="1" t="s">
        <v>23490</v>
      </c>
      <c r="D21188" s="1" t="str">
        <f>HYPERLINK("https://rhld.insurance.arkansas.gov/NPILookup?Npi=1730249715","1730249715")</f>
        <v>1730249715</v>
      </c>
      <c r="E21188" t="s">
        <v>5549</v>
      </c>
    </row>
    <row r="21189" spans="1:5" x14ac:dyDescent="0.25">
      <c r="A21189" t="s">
        <v>4</v>
      </c>
      <c r="B21189" t="s">
        <v>4111</v>
      </c>
      <c r="C21189" s="1" t="s">
        <v>23490</v>
      </c>
      <c r="D21189" s="1" t="str">
        <f>HYPERLINK("https://rhld.insurance.arkansas.gov/NPILookup?Npi=1730269010","1730269010")</f>
        <v>1730269010</v>
      </c>
      <c r="E21189" t="s">
        <v>5550</v>
      </c>
    </row>
    <row r="21190" spans="1:5" x14ac:dyDescent="0.25">
      <c r="A21190" t="s">
        <v>4</v>
      </c>
      <c r="B21190" t="s">
        <v>4111</v>
      </c>
      <c r="C21190" s="1" t="s">
        <v>23490</v>
      </c>
      <c r="D21190" s="1" t="str">
        <f>HYPERLINK("https://rhld.insurance.arkansas.gov/NPILookup?Npi=1730279308","1730279308")</f>
        <v>1730279308</v>
      </c>
      <c r="E21190" t="s">
        <v>14188</v>
      </c>
    </row>
    <row r="21191" spans="1:5" x14ac:dyDescent="0.25">
      <c r="A21191" t="s">
        <v>4</v>
      </c>
      <c r="B21191" t="s">
        <v>4111</v>
      </c>
      <c r="C21191" s="1" t="s">
        <v>23490</v>
      </c>
      <c r="D21191" s="1" t="str">
        <f>HYPERLINK("https://rhld.insurance.arkansas.gov/NPILookup?Npi=1730281403","1730281403")</f>
        <v>1730281403</v>
      </c>
      <c r="E21191" t="s">
        <v>5551</v>
      </c>
    </row>
    <row r="21192" spans="1:5" x14ac:dyDescent="0.25">
      <c r="A21192" t="s">
        <v>4</v>
      </c>
      <c r="B21192" t="s">
        <v>4111</v>
      </c>
      <c r="C21192" s="1" t="s">
        <v>23490</v>
      </c>
      <c r="D21192" s="1" t="str">
        <f>HYPERLINK("https://rhld.insurance.arkansas.gov/NPILookup?Npi=1730289836","1730289836")</f>
        <v>1730289836</v>
      </c>
      <c r="E21192" t="s">
        <v>22240</v>
      </c>
    </row>
    <row r="21193" spans="1:5" x14ac:dyDescent="0.25">
      <c r="A21193" t="s">
        <v>4</v>
      </c>
      <c r="B21193" t="s">
        <v>4111</v>
      </c>
      <c r="C21193" s="1" t="s">
        <v>23490</v>
      </c>
      <c r="D21193" s="1" t="str">
        <f>HYPERLINK("https://rhld.insurance.arkansas.gov/NPILookup?Npi=1730293242","1730293242")</f>
        <v>1730293242</v>
      </c>
      <c r="E21193" t="s">
        <v>5552</v>
      </c>
    </row>
    <row r="21194" spans="1:5" x14ac:dyDescent="0.25">
      <c r="A21194" t="s">
        <v>4</v>
      </c>
      <c r="B21194" t="s">
        <v>4111</v>
      </c>
      <c r="C21194" s="1" t="s">
        <v>23490</v>
      </c>
      <c r="D21194" s="1" t="str">
        <f>HYPERLINK("https://rhld.insurance.arkansas.gov/NPILookup?Npi=1730293325","1730293325")</f>
        <v>1730293325</v>
      </c>
      <c r="E21194" t="s">
        <v>5553</v>
      </c>
    </row>
    <row r="21195" spans="1:5" x14ac:dyDescent="0.25">
      <c r="A21195" t="s">
        <v>4</v>
      </c>
      <c r="B21195" t="s">
        <v>4111</v>
      </c>
      <c r="C21195" s="1" t="s">
        <v>23490</v>
      </c>
      <c r="D21195" s="1" t="str">
        <f>HYPERLINK("https://rhld.insurance.arkansas.gov/NPILookup?Npi=1730299702","1730299702")</f>
        <v>1730299702</v>
      </c>
      <c r="E21195" t="s">
        <v>5554</v>
      </c>
    </row>
    <row r="21196" spans="1:5" x14ac:dyDescent="0.25">
      <c r="A21196" t="s">
        <v>4</v>
      </c>
      <c r="B21196" t="s">
        <v>4111</v>
      </c>
      <c r="C21196" s="1" t="s">
        <v>23490</v>
      </c>
      <c r="D21196" s="1" t="str">
        <f>HYPERLINK("https://rhld.insurance.arkansas.gov/NPILookup?Npi=1730304874","1730304874")</f>
        <v>1730304874</v>
      </c>
      <c r="E21196" t="s">
        <v>5555</v>
      </c>
    </row>
    <row r="21197" spans="1:5" x14ac:dyDescent="0.25">
      <c r="A21197" t="s">
        <v>4</v>
      </c>
      <c r="B21197" t="s">
        <v>4111</v>
      </c>
      <c r="C21197" s="1" t="s">
        <v>23490</v>
      </c>
      <c r="D21197" s="1" t="str">
        <f>HYPERLINK("https://rhld.insurance.arkansas.gov/NPILookup?Npi=1730307570","1730307570")</f>
        <v>1730307570</v>
      </c>
      <c r="E21197" t="s">
        <v>5556</v>
      </c>
    </row>
    <row r="21198" spans="1:5" x14ac:dyDescent="0.25">
      <c r="A21198" t="s">
        <v>4</v>
      </c>
      <c r="B21198" t="s">
        <v>4111</v>
      </c>
      <c r="C21198" s="1" t="s">
        <v>23490</v>
      </c>
      <c r="D21198" s="1" t="str">
        <f>HYPERLINK("https://rhld.insurance.arkansas.gov/NPILookup?Npi=1730323064","1730323064")</f>
        <v>1730323064</v>
      </c>
      <c r="E21198" t="s">
        <v>5557</v>
      </c>
    </row>
    <row r="21199" spans="1:5" x14ac:dyDescent="0.25">
      <c r="A21199" t="s">
        <v>4</v>
      </c>
      <c r="B21199" t="s">
        <v>4111</v>
      </c>
      <c r="C21199" s="1" t="s">
        <v>23490</v>
      </c>
      <c r="D21199" s="1" t="str">
        <f>HYPERLINK("https://rhld.insurance.arkansas.gov/NPILookup?Npi=1730325572","1730325572")</f>
        <v>1730325572</v>
      </c>
      <c r="E21199" t="s">
        <v>20570</v>
      </c>
    </row>
    <row r="21200" spans="1:5" x14ac:dyDescent="0.25">
      <c r="A21200" t="s">
        <v>4</v>
      </c>
      <c r="B21200" t="s">
        <v>4111</v>
      </c>
      <c r="C21200" s="1" t="s">
        <v>23490</v>
      </c>
      <c r="D21200" s="1" t="str">
        <f>HYPERLINK("https://rhld.insurance.arkansas.gov/NPILookup?Npi=1730330473","1730330473")</f>
        <v>1730330473</v>
      </c>
      <c r="E21200" t="s">
        <v>14189</v>
      </c>
    </row>
    <row r="21201" spans="1:5" x14ac:dyDescent="0.25">
      <c r="A21201" t="s">
        <v>4</v>
      </c>
      <c r="B21201" t="s">
        <v>4111</v>
      </c>
      <c r="C21201" s="1" t="s">
        <v>23490</v>
      </c>
      <c r="D21201" s="1" t="str">
        <f>HYPERLINK("https://rhld.insurance.arkansas.gov/NPILookup?Npi=1730356312","1730356312")</f>
        <v>1730356312</v>
      </c>
      <c r="E21201" t="s">
        <v>5558</v>
      </c>
    </row>
    <row r="21202" spans="1:5" x14ac:dyDescent="0.25">
      <c r="A21202" t="s">
        <v>4</v>
      </c>
      <c r="B21202" t="s">
        <v>4111</v>
      </c>
      <c r="C21202" s="1" t="s">
        <v>23490</v>
      </c>
      <c r="D21202" s="1" t="str">
        <f>HYPERLINK("https://rhld.insurance.arkansas.gov/NPILookup?Npi=1730356825","1730356825")</f>
        <v>1730356825</v>
      </c>
      <c r="E21202" t="s">
        <v>5559</v>
      </c>
    </row>
    <row r="21203" spans="1:5" x14ac:dyDescent="0.25">
      <c r="A21203" t="s">
        <v>4</v>
      </c>
      <c r="B21203" t="s">
        <v>4111</v>
      </c>
      <c r="C21203" s="1" t="s">
        <v>23490</v>
      </c>
      <c r="D21203" s="1" t="str">
        <f>HYPERLINK("https://rhld.insurance.arkansas.gov/NPILookup?Npi=1730372210","1730372210")</f>
        <v>1730372210</v>
      </c>
      <c r="E21203" t="s">
        <v>4316</v>
      </c>
    </row>
    <row r="21204" spans="1:5" x14ac:dyDescent="0.25">
      <c r="A21204" t="s">
        <v>4</v>
      </c>
      <c r="B21204" t="s">
        <v>4111</v>
      </c>
      <c r="C21204" s="1" t="s">
        <v>23490</v>
      </c>
      <c r="D21204" s="1" t="str">
        <f>HYPERLINK("https://rhld.insurance.arkansas.gov/NPILookup?Npi=1730386970","1730386970")</f>
        <v>1730386970</v>
      </c>
      <c r="E21204" t="s">
        <v>5560</v>
      </c>
    </row>
    <row r="21205" spans="1:5" x14ac:dyDescent="0.25">
      <c r="A21205" t="s">
        <v>4</v>
      </c>
      <c r="B21205" t="s">
        <v>4111</v>
      </c>
      <c r="C21205" s="1" t="s">
        <v>23490</v>
      </c>
      <c r="D21205" s="1" t="str">
        <f>HYPERLINK("https://rhld.insurance.arkansas.gov/NPILookup?Npi=1730400599","1730400599")</f>
        <v>1730400599</v>
      </c>
      <c r="E21205" t="s">
        <v>5561</v>
      </c>
    </row>
    <row r="21206" spans="1:5" x14ac:dyDescent="0.25">
      <c r="A21206" t="s">
        <v>4</v>
      </c>
      <c r="B21206" t="s">
        <v>4111</v>
      </c>
      <c r="C21206" s="1" t="s">
        <v>23490</v>
      </c>
      <c r="D21206" s="1" t="str">
        <f>HYPERLINK("https://rhld.insurance.arkansas.gov/NPILookup?Npi=1730413378","1730413378")</f>
        <v>1730413378</v>
      </c>
      <c r="E21206" t="s">
        <v>18414</v>
      </c>
    </row>
    <row r="21207" spans="1:5" x14ac:dyDescent="0.25">
      <c r="A21207" t="s">
        <v>4</v>
      </c>
      <c r="B21207" t="s">
        <v>4111</v>
      </c>
      <c r="C21207" s="1" t="s">
        <v>23490</v>
      </c>
      <c r="D21207" s="1" t="str">
        <f>HYPERLINK("https://rhld.insurance.arkansas.gov/NPILookup?Npi=1730432055","1730432055")</f>
        <v>1730432055</v>
      </c>
      <c r="E21207" t="s">
        <v>5562</v>
      </c>
    </row>
    <row r="21208" spans="1:5" x14ac:dyDescent="0.25">
      <c r="A21208" t="s">
        <v>4</v>
      </c>
      <c r="B21208" t="s">
        <v>4111</v>
      </c>
      <c r="C21208" s="1" t="s">
        <v>23490</v>
      </c>
      <c r="D21208" s="1" t="str">
        <f>HYPERLINK("https://rhld.insurance.arkansas.gov/NPILookup?Npi=1730437526","1730437526")</f>
        <v>1730437526</v>
      </c>
      <c r="E21208" t="s">
        <v>9150</v>
      </c>
    </row>
    <row r="21209" spans="1:5" x14ac:dyDescent="0.25">
      <c r="A21209" t="s">
        <v>4</v>
      </c>
      <c r="B21209" t="s">
        <v>4111</v>
      </c>
      <c r="C21209" s="1" t="s">
        <v>23490</v>
      </c>
      <c r="D21209" s="1" t="str">
        <f>HYPERLINK("https://rhld.insurance.arkansas.gov/NPILookup?Npi=1730453416","1730453416")</f>
        <v>1730453416</v>
      </c>
      <c r="E21209" t="s">
        <v>5563</v>
      </c>
    </row>
    <row r="21210" spans="1:5" x14ac:dyDescent="0.25">
      <c r="A21210" t="s">
        <v>4</v>
      </c>
      <c r="B21210" t="s">
        <v>4111</v>
      </c>
      <c r="C21210" s="1" t="s">
        <v>23490</v>
      </c>
      <c r="D21210" s="1" t="str">
        <f>HYPERLINK("https://rhld.insurance.arkansas.gov/NPILookup?Npi=1730463670","1730463670")</f>
        <v>1730463670</v>
      </c>
      <c r="E21210" t="s">
        <v>20571</v>
      </c>
    </row>
    <row r="21211" spans="1:5" x14ac:dyDescent="0.25">
      <c r="A21211" t="s">
        <v>4</v>
      </c>
      <c r="B21211" t="s">
        <v>4111</v>
      </c>
      <c r="C21211" s="1" t="s">
        <v>23490</v>
      </c>
      <c r="D21211" s="1" t="str">
        <f>HYPERLINK("https://rhld.insurance.arkansas.gov/NPILookup?Npi=1730471863","1730471863")</f>
        <v>1730471863</v>
      </c>
      <c r="E21211" t="s">
        <v>5564</v>
      </c>
    </row>
    <row r="21212" spans="1:5" x14ac:dyDescent="0.25">
      <c r="A21212" t="s">
        <v>4</v>
      </c>
      <c r="B21212" t="s">
        <v>4111</v>
      </c>
      <c r="C21212" s="1" t="s">
        <v>23490</v>
      </c>
      <c r="D21212" s="1" t="str">
        <f>HYPERLINK("https://rhld.insurance.arkansas.gov/NPILookup?Npi=1730491598","1730491598")</f>
        <v>1730491598</v>
      </c>
      <c r="E21212" t="s">
        <v>13200</v>
      </c>
    </row>
    <row r="21213" spans="1:5" x14ac:dyDescent="0.25">
      <c r="A21213" t="s">
        <v>4</v>
      </c>
      <c r="B21213" t="s">
        <v>4111</v>
      </c>
      <c r="C21213" s="1" t="s">
        <v>23490</v>
      </c>
      <c r="D21213" s="1" t="str">
        <f>HYPERLINK("https://rhld.insurance.arkansas.gov/NPILookup?Npi=1730493784","1730493784")</f>
        <v>1730493784</v>
      </c>
      <c r="E21213" t="s">
        <v>17226</v>
      </c>
    </row>
    <row r="21214" spans="1:5" x14ac:dyDescent="0.25">
      <c r="A21214" t="s">
        <v>4</v>
      </c>
      <c r="B21214" t="s">
        <v>4111</v>
      </c>
      <c r="C21214" s="1" t="s">
        <v>23490</v>
      </c>
      <c r="D21214" s="1" t="str">
        <f>HYPERLINK("https://rhld.insurance.arkansas.gov/NPILookup?Npi=1730497710","1730497710")</f>
        <v>1730497710</v>
      </c>
      <c r="E21214" t="s">
        <v>5565</v>
      </c>
    </row>
    <row r="21215" spans="1:5" x14ac:dyDescent="0.25">
      <c r="A21215" t="s">
        <v>4</v>
      </c>
      <c r="B21215" t="s">
        <v>4111</v>
      </c>
      <c r="C21215" s="1" t="s">
        <v>23490</v>
      </c>
      <c r="D21215" s="1" t="str">
        <f>HYPERLINK("https://rhld.insurance.arkansas.gov/NPILookup?Npi=1730508086","1730508086")</f>
        <v>1730508086</v>
      </c>
      <c r="E21215" t="s">
        <v>5566</v>
      </c>
    </row>
    <row r="21216" spans="1:5" x14ac:dyDescent="0.25">
      <c r="A21216" t="s">
        <v>4</v>
      </c>
      <c r="B21216" t="s">
        <v>4111</v>
      </c>
      <c r="C21216" s="1" t="s">
        <v>23490</v>
      </c>
      <c r="D21216" s="1" t="str">
        <f>HYPERLINK("https://rhld.insurance.arkansas.gov/NPILookup?Npi=1730512815","1730512815")</f>
        <v>1730512815</v>
      </c>
      <c r="E21216" t="s">
        <v>11808</v>
      </c>
    </row>
    <row r="21217" spans="1:5" x14ac:dyDescent="0.25">
      <c r="A21217" t="s">
        <v>4</v>
      </c>
      <c r="B21217" t="s">
        <v>4111</v>
      </c>
      <c r="C21217" s="1" t="s">
        <v>23490</v>
      </c>
      <c r="D21217" s="1" t="str">
        <f>HYPERLINK("https://rhld.insurance.arkansas.gov/NPILookup?Npi=1730520230","1730520230")</f>
        <v>1730520230</v>
      </c>
      <c r="E21217" t="s">
        <v>20572</v>
      </c>
    </row>
    <row r="21218" spans="1:5" x14ac:dyDescent="0.25">
      <c r="A21218" t="s">
        <v>4</v>
      </c>
      <c r="B21218" t="s">
        <v>4111</v>
      </c>
      <c r="C21218" s="1" t="s">
        <v>23490</v>
      </c>
      <c r="D21218" s="1" t="str">
        <f>HYPERLINK("https://rhld.insurance.arkansas.gov/NPILookup?Npi=1730576257","1730576257")</f>
        <v>1730576257</v>
      </c>
      <c r="E21218" t="s">
        <v>19011</v>
      </c>
    </row>
    <row r="21219" spans="1:5" x14ac:dyDescent="0.25">
      <c r="A21219" t="s">
        <v>4</v>
      </c>
      <c r="B21219" t="s">
        <v>4111</v>
      </c>
      <c r="C21219" s="1" t="s">
        <v>23490</v>
      </c>
      <c r="D21219" s="1" t="str">
        <f>HYPERLINK("https://rhld.insurance.arkansas.gov/NPILookup?Npi=1730588187","1730588187")</f>
        <v>1730588187</v>
      </c>
      <c r="E21219" t="s">
        <v>23177</v>
      </c>
    </row>
    <row r="21220" spans="1:5" x14ac:dyDescent="0.25">
      <c r="A21220" t="s">
        <v>4</v>
      </c>
      <c r="B21220" t="s">
        <v>4111</v>
      </c>
      <c r="C21220" s="1" t="s">
        <v>23490</v>
      </c>
      <c r="D21220" s="1" t="str">
        <f>HYPERLINK("https://rhld.insurance.arkansas.gov/NPILookup?Npi=1730599275","1730599275")</f>
        <v>1730599275</v>
      </c>
      <c r="E21220" t="s">
        <v>11809</v>
      </c>
    </row>
    <row r="21221" spans="1:5" x14ac:dyDescent="0.25">
      <c r="A21221" t="s">
        <v>4</v>
      </c>
      <c r="B21221" t="s">
        <v>4111</v>
      </c>
      <c r="C21221" s="1" t="s">
        <v>23490</v>
      </c>
      <c r="D21221" s="1" t="str">
        <f>HYPERLINK("https://rhld.insurance.arkansas.gov/NPILookup?Npi=1730608787","1730608787")</f>
        <v>1730608787</v>
      </c>
      <c r="E21221" t="s">
        <v>20573</v>
      </c>
    </row>
    <row r="21222" spans="1:5" x14ac:dyDescent="0.25">
      <c r="A21222" t="s">
        <v>4</v>
      </c>
      <c r="B21222" t="s">
        <v>4111</v>
      </c>
      <c r="C21222" s="1" t="s">
        <v>23490</v>
      </c>
      <c r="D21222" s="1" t="str">
        <f>HYPERLINK("https://rhld.insurance.arkansas.gov/NPILookup?Npi=1730617564","1730617564")</f>
        <v>1730617564</v>
      </c>
      <c r="E21222" t="s">
        <v>17634</v>
      </c>
    </row>
    <row r="21223" spans="1:5" x14ac:dyDescent="0.25">
      <c r="A21223" t="s">
        <v>4</v>
      </c>
      <c r="B21223" t="s">
        <v>4111</v>
      </c>
      <c r="C21223" s="1" t="s">
        <v>23490</v>
      </c>
      <c r="D21223" s="1" t="str">
        <f>HYPERLINK("https://rhld.insurance.arkansas.gov/NPILookup?Npi=1730626557","1730626557")</f>
        <v>1730626557</v>
      </c>
      <c r="E21223" t="s">
        <v>16211</v>
      </c>
    </row>
    <row r="21224" spans="1:5" x14ac:dyDescent="0.25">
      <c r="A21224" t="s">
        <v>4</v>
      </c>
      <c r="B21224" t="s">
        <v>4111</v>
      </c>
      <c r="C21224" s="1" t="s">
        <v>23490</v>
      </c>
      <c r="D21224" s="1" t="str">
        <f>HYPERLINK("https://rhld.insurance.arkansas.gov/NPILookup?Npi=1730633199","1730633199")</f>
        <v>1730633199</v>
      </c>
      <c r="E21224" t="s">
        <v>14190</v>
      </c>
    </row>
    <row r="21225" spans="1:5" x14ac:dyDescent="0.25">
      <c r="A21225" t="s">
        <v>4</v>
      </c>
      <c r="B21225" t="s">
        <v>4111</v>
      </c>
      <c r="C21225" s="1" t="s">
        <v>23490</v>
      </c>
      <c r="D21225" s="1" t="str">
        <f>HYPERLINK("https://rhld.insurance.arkansas.gov/NPILookup?Npi=1730638503","1730638503")</f>
        <v>1730638503</v>
      </c>
      <c r="E21225" t="s">
        <v>17635</v>
      </c>
    </row>
    <row r="21226" spans="1:5" x14ac:dyDescent="0.25">
      <c r="A21226" t="s">
        <v>4</v>
      </c>
      <c r="B21226" t="s">
        <v>4111</v>
      </c>
      <c r="C21226" s="1" t="s">
        <v>23490</v>
      </c>
      <c r="D21226" s="1" t="str">
        <f>HYPERLINK("https://rhld.insurance.arkansas.gov/NPILookup?Npi=1730655267","1730655267")</f>
        <v>1730655267</v>
      </c>
      <c r="E21226" t="s">
        <v>14191</v>
      </c>
    </row>
    <row r="21227" spans="1:5" x14ac:dyDescent="0.25">
      <c r="A21227" t="s">
        <v>4</v>
      </c>
      <c r="B21227" t="s">
        <v>4111</v>
      </c>
      <c r="C21227" s="1" t="s">
        <v>23490</v>
      </c>
      <c r="D21227" s="1" t="str">
        <f>HYPERLINK("https://rhld.insurance.arkansas.gov/NPILookup?Npi=1730661570","1730661570")</f>
        <v>1730661570</v>
      </c>
      <c r="E21227" t="s">
        <v>14192</v>
      </c>
    </row>
    <row r="21228" spans="1:5" x14ac:dyDescent="0.25">
      <c r="A21228" t="s">
        <v>4</v>
      </c>
      <c r="B21228" t="s">
        <v>4111</v>
      </c>
      <c r="C21228" s="1" t="s">
        <v>23490</v>
      </c>
      <c r="D21228" s="1" t="str">
        <f>HYPERLINK("https://rhld.insurance.arkansas.gov/NPILookup?Npi=1730668864","1730668864")</f>
        <v>1730668864</v>
      </c>
      <c r="E21228" t="s">
        <v>18415</v>
      </c>
    </row>
    <row r="21229" spans="1:5" x14ac:dyDescent="0.25">
      <c r="A21229" t="s">
        <v>4</v>
      </c>
      <c r="B21229" t="s">
        <v>4111</v>
      </c>
      <c r="C21229" s="1" t="s">
        <v>23490</v>
      </c>
      <c r="D21229" s="1" t="str">
        <f>HYPERLINK("https://rhld.insurance.arkansas.gov/NPILookup?Npi=1730674250","1730674250")</f>
        <v>1730674250</v>
      </c>
      <c r="E21229" t="s">
        <v>16212</v>
      </c>
    </row>
    <row r="21230" spans="1:5" x14ac:dyDescent="0.25">
      <c r="A21230" t="s">
        <v>4</v>
      </c>
      <c r="B21230" t="s">
        <v>4111</v>
      </c>
      <c r="C21230" s="1" t="s">
        <v>23490</v>
      </c>
      <c r="D21230" s="1" t="str">
        <f>HYPERLINK("https://rhld.insurance.arkansas.gov/NPILookup?Npi=1730687997","1730687997")</f>
        <v>1730687997</v>
      </c>
      <c r="E21230" t="s">
        <v>19012</v>
      </c>
    </row>
    <row r="21231" spans="1:5" x14ac:dyDescent="0.25">
      <c r="A21231" t="s">
        <v>4</v>
      </c>
      <c r="B21231" t="s">
        <v>4111</v>
      </c>
      <c r="C21231" s="1" t="s">
        <v>23490</v>
      </c>
      <c r="D21231" s="1" t="str">
        <f>HYPERLINK("https://rhld.insurance.arkansas.gov/NPILookup?Npi=1730716887","1730716887")</f>
        <v>1730716887</v>
      </c>
      <c r="E21231" t="s">
        <v>17227</v>
      </c>
    </row>
    <row r="21232" spans="1:5" x14ac:dyDescent="0.25">
      <c r="A21232" t="s">
        <v>4</v>
      </c>
      <c r="B21232" t="s">
        <v>4111</v>
      </c>
      <c r="C21232" s="1" t="s">
        <v>23490</v>
      </c>
      <c r="D21232" s="1" t="str">
        <f>HYPERLINK("https://rhld.insurance.arkansas.gov/NPILookup?Npi=1730842444","1730842444")</f>
        <v>1730842444</v>
      </c>
      <c r="E21232" t="s">
        <v>15278</v>
      </c>
    </row>
    <row r="21233" spans="1:5" x14ac:dyDescent="0.25">
      <c r="A21233" t="s">
        <v>4</v>
      </c>
      <c r="B21233" t="s">
        <v>4111</v>
      </c>
      <c r="C21233" s="1" t="s">
        <v>23490</v>
      </c>
      <c r="D21233" s="1" t="str">
        <f>HYPERLINK("https://rhld.insurance.arkansas.gov/NPILookup?Npi=1730847237","1730847237")</f>
        <v>1730847237</v>
      </c>
      <c r="E21233" t="s">
        <v>22241</v>
      </c>
    </row>
    <row r="21234" spans="1:5" x14ac:dyDescent="0.25">
      <c r="A21234" t="s">
        <v>4</v>
      </c>
      <c r="B21234" t="s">
        <v>4111</v>
      </c>
      <c r="C21234" s="1" t="s">
        <v>8427</v>
      </c>
      <c r="D21234" s="1" t="str">
        <f>HYPERLINK("https://rhld.insurance.arkansas.gov/NPILookup?Npi=1730873985","1730873985")</f>
        <v>1730873985</v>
      </c>
      <c r="E21234" t="s">
        <v>23178</v>
      </c>
    </row>
    <row r="21235" spans="1:5" x14ac:dyDescent="0.25">
      <c r="A21235" t="s">
        <v>4</v>
      </c>
      <c r="B21235" t="s">
        <v>4111</v>
      </c>
      <c r="C21235" s="1" t="s">
        <v>23490</v>
      </c>
      <c r="D21235" s="1" t="str">
        <f>HYPERLINK("https://rhld.insurance.arkansas.gov/NPILookup?Npi=1740206531","1740206531")</f>
        <v>1740206531</v>
      </c>
      <c r="E21235" t="s">
        <v>22242</v>
      </c>
    </row>
    <row r="21236" spans="1:5" x14ac:dyDescent="0.25">
      <c r="A21236" t="s">
        <v>4</v>
      </c>
      <c r="B21236" t="s">
        <v>4111</v>
      </c>
      <c r="C21236" s="1" t="s">
        <v>23490</v>
      </c>
      <c r="D21236" s="1" t="str">
        <f>HYPERLINK("https://rhld.insurance.arkansas.gov/NPILookup?Npi=1740219252","1740219252")</f>
        <v>1740219252</v>
      </c>
      <c r="E21236" t="s">
        <v>5567</v>
      </c>
    </row>
    <row r="21237" spans="1:5" x14ac:dyDescent="0.25">
      <c r="A21237" t="s">
        <v>4</v>
      </c>
      <c r="B21237" t="s">
        <v>4111</v>
      </c>
      <c r="C21237" s="1" t="s">
        <v>23490</v>
      </c>
      <c r="D21237" s="1" t="str">
        <f>HYPERLINK("https://rhld.insurance.arkansas.gov/NPILookup?Npi=1740246784","1740246784")</f>
        <v>1740246784</v>
      </c>
      <c r="E21237" t="s">
        <v>5568</v>
      </c>
    </row>
    <row r="21238" spans="1:5" x14ac:dyDescent="0.25">
      <c r="A21238" t="s">
        <v>4</v>
      </c>
      <c r="B21238" t="s">
        <v>4111</v>
      </c>
      <c r="C21238" s="1" t="s">
        <v>23490</v>
      </c>
      <c r="D21238" s="1" t="str">
        <f>HYPERLINK("https://rhld.insurance.arkansas.gov/NPILookup?Npi=1740247444","1740247444")</f>
        <v>1740247444</v>
      </c>
      <c r="E21238" t="s">
        <v>19249</v>
      </c>
    </row>
    <row r="21239" spans="1:5" x14ac:dyDescent="0.25">
      <c r="A21239" t="s">
        <v>4</v>
      </c>
      <c r="B21239" t="s">
        <v>4111</v>
      </c>
      <c r="C21239" s="1" t="s">
        <v>23490</v>
      </c>
      <c r="D21239" s="1" t="str">
        <f>HYPERLINK("https://rhld.insurance.arkansas.gov/NPILookup?Npi=1740264639","1740264639")</f>
        <v>1740264639</v>
      </c>
      <c r="E21239" t="s">
        <v>5569</v>
      </c>
    </row>
    <row r="21240" spans="1:5" x14ac:dyDescent="0.25">
      <c r="A21240" t="s">
        <v>4</v>
      </c>
      <c r="B21240" t="s">
        <v>4111</v>
      </c>
      <c r="C21240" s="1" t="s">
        <v>23490</v>
      </c>
      <c r="D21240" s="1" t="str">
        <f>HYPERLINK("https://rhld.insurance.arkansas.gov/NPILookup?Npi=1740268390","1740268390")</f>
        <v>1740268390</v>
      </c>
      <c r="E21240" t="s">
        <v>5570</v>
      </c>
    </row>
    <row r="21241" spans="1:5" x14ac:dyDescent="0.25">
      <c r="A21241" t="s">
        <v>4</v>
      </c>
      <c r="B21241" t="s">
        <v>4111</v>
      </c>
      <c r="C21241" s="1" t="s">
        <v>23490</v>
      </c>
      <c r="D21241" s="1" t="str">
        <f>HYPERLINK("https://rhld.insurance.arkansas.gov/NPILookup?Npi=1740283910","1740283910")</f>
        <v>1740283910</v>
      </c>
      <c r="E21241" t="s">
        <v>22243</v>
      </c>
    </row>
    <row r="21242" spans="1:5" x14ac:dyDescent="0.25">
      <c r="A21242" t="s">
        <v>4</v>
      </c>
      <c r="B21242" t="s">
        <v>4111</v>
      </c>
      <c r="C21242" s="1" t="s">
        <v>23490</v>
      </c>
      <c r="D21242" s="1" t="str">
        <f>HYPERLINK("https://rhld.insurance.arkansas.gov/NPILookup?Npi=1740310887","1740310887")</f>
        <v>1740310887</v>
      </c>
      <c r="E21242" t="s">
        <v>3142</v>
      </c>
    </row>
    <row r="21243" spans="1:5" x14ac:dyDescent="0.25">
      <c r="A21243" t="s">
        <v>4</v>
      </c>
      <c r="B21243" t="s">
        <v>4111</v>
      </c>
      <c r="C21243" s="1" t="s">
        <v>23490</v>
      </c>
      <c r="D21243" s="1" t="str">
        <f>HYPERLINK("https://rhld.insurance.arkansas.gov/NPILookup?Npi=1740313915","1740313915")</f>
        <v>1740313915</v>
      </c>
      <c r="E21243" t="s">
        <v>5571</v>
      </c>
    </row>
    <row r="21244" spans="1:5" x14ac:dyDescent="0.25">
      <c r="A21244" t="s">
        <v>4</v>
      </c>
      <c r="B21244" t="s">
        <v>4111</v>
      </c>
      <c r="C21244" s="1" t="s">
        <v>23490</v>
      </c>
      <c r="D21244" s="1" t="str">
        <f>HYPERLINK("https://rhld.insurance.arkansas.gov/NPILookup?Npi=1740331362","1740331362")</f>
        <v>1740331362</v>
      </c>
      <c r="E21244" t="s">
        <v>14193</v>
      </c>
    </row>
    <row r="21245" spans="1:5" x14ac:dyDescent="0.25">
      <c r="A21245" t="s">
        <v>4</v>
      </c>
      <c r="B21245" t="s">
        <v>4111</v>
      </c>
      <c r="C21245" s="1" t="s">
        <v>23490</v>
      </c>
      <c r="D21245" s="1" t="str">
        <f>HYPERLINK("https://rhld.insurance.arkansas.gov/NPILookup?Npi=1740339571","1740339571")</f>
        <v>1740339571</v>
      </c>
      <c r="E21245" t="s">
        <v>5572</v>
      </c>
    </row>
    <row r="21246" spans="1:5" x14ac:dyDescent="0.25">
      <c r="A21246" t="s">
        <v>4</v>
      </c>
      <c r="B21246" t="s">
        <v>4111</v>
      </c>
      <c r="C21246" s="1" t="s">
        <v>23490</v>
      </c>
      <c r="D21246" s="1" t="str">
        <f>HYPERLINK("https://rhld.insurance.arkansas.gov/NPILookup?Npi=1740355437","1740355437")</f>
        <v>1740355437</v>
      </c>
      <c r="E21246" t="s">
        <v>23179</v>
      </c>
    </row>
    <row r="21247" spans="1:5" x14ac:dyDescent="0.25">
      <c r="A21247" t="s">
        <v>4</v>
      </c>
      <c r="B21247" t="s">
        <v>4111</v>
      </c>
      <c r="C21247" s="1" t="s">
        <v>23490</v>
      </c>
      <c r="D21247" s="1" t="str">
        <f>HYPERLINK("https://rhld.insurance.arkansas.gov/NPILookup?Npi=1740370303","1740370303")</f>
        <v>1740370303</v>
      </c>
      <c r="E21247" t="s">
        <v>5573</v>
      </c>
    </row>
    <row r="21248" spans="1:5" x14ac:dyDescent="0.25">
      <c r="A21248" t="s">
        <v>4</v>
      </c>
      <c r="B21248" t="s">
        <v>4111</v>
      </c>
      <c r="C21248" s="1" t="s">
        <v>23490</v>
      </c>
      <c r="D21248" s="1" t="str">
        <f>HYPERLINK("https://rhld.insurance.arkansas.gov/NPILookup?Npi=1740381466","1740381466")</f>
        <v>1740381466</v>
      </c>
      <c r="E21248" t="s">
        <v>5574</v>
      </c>
    </row>
    <row r="21249" spans="1:5" x14ac:dyDescent="0.25">
      <c r="A21249" t="s">
        <v>4</v>
      </c>
      <c r="B21249" t="s">
        <v>4111</v>
      </c>
      <c r="C21249" s="1" t="s">
        <v>23490</v>
      </c>
      <c r="D21249" s="1" t="str">
        <f>HYPERLINK("https://rhld.insurance.arkansas.gov/NPILookup?Npi=1740392919","1740392919")</f>
        <v>1740392919</v>
      </c>
      <c r="E21249" t="s">
        <v>5575</v>
      </c>
    </row>
    <row r="21250" spans="1:5" x14ac:dyDescent="0.25">
      <c r="A21250" t="s">
        <v>4</v>
      </c>
      <c r="B21250" t="s">
        <v>4111</v>
      </c>
      <c r="C21250" s="1" t="s">
        <v>23490</v>
      </c>
      <c r="D21250" s="1" t="str">
        <f>HYPERLINK("https://rhld.insurance.arkansas.gov/NPILookup?Npi=1740424522","1740424522")</f>
        <v>1740424522</v>
      </c>
      <c r="E21250" t="s">
        <v>5576</v>
      </c>
    </row>
    <row r="21251" spans="1:5" x14ac:dyDescent="0.25">
      <c r="A21251" t="s">
        <v>4</v>
      </c>
      <c r="B21251" t="s">
        <v>4111</v>
      </c>
      <c r="C21251" s="1" t="s">
        <v>23490</v>
      </c>
      <c r="D21251" s="1" t="str">
        <f>HYPERLINK("https://rhld.insurance.arkansas.gov/NPILookup?Npi=1740436724","1740436724")</f>
        <v>1740436724</v>
      </c>
      <c r="E21251" t="s">
        <v>16213</v>
      </c>
    </row>
    <row r="21252" spans="1:5" x14ac:dyDescent="0.25">
      <c r="A21252" t="s">
        <v>4</v>
      </c>
      <c r="B21252" t="s">
        <v>4111</v>
      </c>
      <c r="C21252" s="1" t="s">
        <v>23490</v>
      </c>
      <c r="D21252" s="1" t="str">
        <f>HYPERLINK("https://rhld.insurance.arkansas.gov/NPILookup?Npi=1740437383","1740437383")</f>
        <v>1740437383</v>
      </c>
      <c r="E21252" t="s">
        <v>13201</v>
      </c>
    </row>
    <row r="21253" spans="1:5" x14ac:dyDescent="0.25">
      <c r="A21253" t="s">
        <v>4</v>
      </c>
      <c r="B21253" t="s">
        <v>4111</v>
      </c>
      <c r="C21253" s="1" t="s">
        <v>23490</v>
      </c>
      <c r="D21253" s="1" t="str">
        <f>HYPERLINK("https://rhld.insurance.arkansas.gov/NPILookup?Npi=1740439124","1740439124")</f>
        <v>1740439124</v>
      </c>
      <c r="E21253" t="s">
        <v>14194</v>
      </c>
    </row>
    <row r="21254" spans="1:5" x14ac:dyDescent="0.25">
      <c r="A21254" t="s">
        <v>4</v>
      </c>
      <c r="B21254" t="s">
        <v>4111</v>
      </c>
      <c r="C21254" s="1" t="s">
        <v>23490</v>
      </c>
      <c r="D21254" s="1" t="str">
        <f>HYPERLINK("https://rhld.insurance.arkansas.gov/NPILookup?Npi=1740447739","1740447739")</f>
        <v>1740447739</v>
      </c>
      <c r="E21254" t="s">
        <v>14195</v>
      </c>
    </row>
    <row r="21255" spans="1:5" x14ac:dyDescent="0.25">
      <c r="A21255" t="s">
        <v>4</v>
      </c>
      <c r="B21255" t="s">
        <v>4111</v>
      </c>
      <c r="C21255" s="1" t="s">
        <v>23490</v>
      </c>
      <c r="D21255" s="1" t="str">
        <f>HYPERLINK("https://rhld.insurance.arkansas.gov/NPILookup?Npi=1740474832","1740474832")</f>
        <v>1740474832</v>
      </c>
      <c r="E21255" t="s">
        <v>5577</v>
      </c>
    </row>
    <row r="21256" spans="1:5" x14ac:dyDescent="0.25">
      <c r="A21256" t="s">
        <v>4</v>
      </c>
      <c r="B21256" t="s">
        <v>4111</v>
      </c>
      <c r="C21256" s="1" t="s">
        <v>23490</v>
      </c>
      <c r="D21256" s="1" t="str">
        <f>HYPERLINK("https://rhld.insurance.arkansas.gov/NPILookup?Npi=1740477322","1740477322")</f>
        <v>1740477322</v>
      </c>
      <c r="E21256" t="s">
        <v>5578</v>
      </c>
    </row>
    <row r="21257" spans="1:5" x14ac:dyDescent="0.25">
      <c r="A21257" t="s">
        <v>4</v>
      </c>
      <c r="B21257" t="s">
        <v>4111</v>
      </c>
      <c r="C21257" s="1" t="s">
        <v>23490</v>
      </c>
      <c r="D21257" s="1" t="str">
        <f>HYPERLINK("https://rhld.insurance.arkansas.gov/NPILookup?Npi=1740481506","1740481506")</f>
        <v>1740481506</v>
      </c>
      <c r="E21257" t="s">
        <v>5579</v>
      </c>
    </row>
    <row r="21258" spans="1:5" x14ac:dyDescent="0.25">
      <c r="A21258" t="s">
        <v>4</v>
      </c>
      <c r="B21258" t="s">
        <v>4111</v>
      </c>
      <c r="C21258" s="1" t="s">
        <v>23490</v>
      </c>
      <c r="D21258" s="1" t="str">
        <f>HYPERLINK("https://rhld.insurance.arkansas.gov/NPILookup?Npi=1740501725","1740501725")</f>
        <v>1740501725</v>
      </c>
      <c r="E21258" t="s">
        <v>18416</v>
      </c>
    </row>
    <row r="21259" spans="1:5" x14ac:dyDescent="0.25">
      <c r="A21259" t="s">
        <v>4</v>
      </c>
      <c r="B21259" t="s">
        <v>4111</v>
      </c>
      <c r="C21259" s="1" t="s">
        <v>23490</v>
      </c>
      <c r="D21259" s="1" t="str">
        <f>HYPERLINK("https://rhld.insurance.arkansas.gov/NPILookup?Npi=1740513704","1740513704")</f>
        <v>1740513704</v>
      </c>
      <c r="E21259" t="s">
        <v>5580</v>
      </c>
    </row>
    <row r="21260" spans="1:5" x14ac:dyDescent="0.25">
      <c r="A21260" t="s">
        <v>4</v>
      </c>
      <c r="B21260" t="s">
        <v>4111</v>
      </c>
      <c r="C21260" s="1" t="s">
        <v>23490</v>
      </c>
      <c r="D21260" s="1" t="str">
        <f>HYPERLINK("https://rhld.insurance.arkansas.gov/NPILookup?Npi=1740517192","1740517192")</f>
        <v>1740517192</v>
      </c>
      <c r="E21260" t="s">
        <v>22244</v>
      </c>
    </row>
    <row r="21261" spans="1:5" x14ac:dyDescent="0.25">
      <c r="A21261" t="s">
        <v>4</v>
      </c>
      <c r="B21261" t="s">
        <v>4111</v>
      </c>
      <c r="C21261" s="1" t="s">
        <v>23490</v>
      </c>
      <c r="D21261" s="1" t="str">
        <f>HYPERLINK("https://rhld.insurance.arkansas.gov/NPILookup?Npi=1740526367","1740526367")</f>
        <v>1740526367</v>
      </c>
      <c r="E21261" t="s">
        <v>19250</v>
      </c>
    </row>
    <row r="21262" spans="1:5" x14ac:dyDescent="0.25">
      <c r="A21262" t="s">
        <v>4</v>
      </c>
      <c r="B21262" t="s">
        <v>4111</v>
      </c>
      <c r="C21262" s="1" t="s">
        <v>23490</v>
      </c>
      <c r="D21262" s="1" t="str">
        <f>HYPERLINK("https://rhld.insurance.arkansas.gov/NPILookup?Npi=1740538016","1740538016")</f>
        <v>1740538016</v>
      </c>
      <c r="E21262" t="s">
        <v>5581</v>
      </c>
    </row>
    <row r="21263" spans="1:5" x14ac:dyDescent="0.25">
      <c r="A21263" t="s">
        <v>4</v>
      </c>
      <c r="B21263" t="s">
        <v>4111</v>
      </c>
      <c r="C21263" s="1" t="s">
        <v>23490</v>
      </c>
      <c r="D21263" s="1" t="str">
        <f>HYPERLINK("https://rhld.insurance.arkansas.gov/NPILookup?Npi=1740545540","1740545540")</f>
        <v>1740545540</v>
      </c>
      <c r="E21263" t="s">
        <v>22245</v>
      </c>
    </row>
    <row r="21264" spans="1:5" x14ac:dyDescent="0.25">
      <c r="A21264" t="s">
        <v>4</v>
      </c>
      <c r="B21264" t="s">
        <v>4111</v>
      </c>
      <c r="C21264" s="1" t="s">
        <v>23490</v>
      </c>
      <c r="D21264" s="1" t="str">
        <f>HYPERLINK("https://rhld.insurance.arkansas.gov/NPILookup?Npi=1740575075","1740575075")</f>
        <v>1740575075</v>
      </c>
      <c r="E21264" t="s">
        <v>2635</v>
      </c>
    </row>
    <row r="21265" spans="1:5" x14ac:dyDescent="0.25">
      <c r="A21265" t="s">
        <v>4</v>
      </c>
      <c r="B21265" t="s">
        <v>4111</v>
      </c>
      <c r="C21265" s="1" t="s">
        <v>23490</v>
      </c>
      <c r="D21265" s="1" t="str">
        <f>HYPERLINK("https://rhld.insurance.arkansas.gov/NPILookup?Npi=1740578319","1740578319")</f>
        <v>1740578319</v>
      </c>
      <c r="E21265" t="s">
        <v>14196</v>
      </c>
    </row>
    <row r="21266" spans="1:5" x14ac:dyDescent="0.25">
      <c r="A21266" t="s">
        <v>4</v>
      </c>
      <c r="B21266" t="s">
        <v>4111</v>
      </c>
      <c r="C21266" s="1" t="s">
        <v>23490</v>
      </c>
      <c r="D21266" s="1" t="str">
        <f>HYPERLINK("https://rhld.insurance.arkansas.gov/NPILookup?Npi=1740582311","1740582311")</f>
        <v>1740582311</v>
      </c>
      <c r="E21266" t="s">
        <v>5582</v>
      </c>
    </row>
    <row r="21267" spans="1:5" x14ac:dyDescent="0.25">
      <c r="A21267" t="s">
        <v>4</v>
      </c>
      <c r="B21267" t="s">
        <v>4111</v>
      </c>
      <c r="C21267" s="1" t="s">
        <v>23490</v>
      </c>
      <c r="D21267" s="1" t="str">
        <f>HYPERLINK("https://rhld.insurance.arkansas.gov/NPILookup?Npi=1740584069","1740584069")</f>
        <v>1740584069</v>
      </c>
      <c r="E21267" t="s">
        <v>5583</v>
      </c>
    </row>
    <row r="21268" spans="1:5" x14ac:dyDescent="0.25">
      <c r="A21268" t="s">
        <v>4</v>
      </c>
      <c r="B21268" t="s">
        <v>4111</v>
      </c>
      <c r="C21268" s="1" t="s">
        <v>23490</v>
      </c>
      <c r="D21268" s="1" t="str">
        <f>HYPERLINK("https://rhld.insurance.arkansas.gov/NPILookup?Npi=1740587369","1740587369")</f>
        <v>1740587369</v>
      </c>
      <c r="E21268" t="s">
        <v>11810</v>
      </c>
    </row>
    <row r="21269" spans="1:5" x14ac:dyDescent="0.25">
      <c r="A21269" t="s">
        <v>4</v>
      </c>
      <c r="B21269" t="s">
        <v>4111</v>
      </c>
      <c r="C21269" s="1" t="s">
        <v>23490</v>
      </c>
      <c r="D21269" s="1" t="str">
        <f>HYPERLINK("https://rhld.insurance.arkansas.gov/NPILookup?Npi=1740587542","1740587542")</f>
        <v>1740587542</v>
      </c>
      <c r="E21269" t="s">
        <v>5584</v>
      </c>
    </row>
    <row r="21270" spans="1:5" x14ac:dyDescent="0.25">
      <c r="A21270" t="s">
        <v>4</v>
      </c>
      <c r="B21270" t="s">
        <v>4111</v>
      </c>
      <c r="C21270" s="1" t="s">
        <v>23490</v>
      </c>
      <c r="D21270" s="1" t="str">
        <f>HYPERLINK("https://rhld.insurance.arkansas.gov/NPILookup?Npi=1740588169","1740588169")</f>
        <v>1740588169</v>
      </c>
      <c r="E21270" t="s">
        <v>22246</v>
      </c>
    </row>
    <row r="21271" spans="1:5" x14ac:dyDescent="0.25">
      <c r="A21271" t="s">
        <v>4</v>
      </c>
      <c r="B21271" t="s">
        <v>4111</v>
      </c>
      <c r="C21271" s="1" t="s">
        <v>8427</v>
      </c>
      <c r="D21271" s="1" t="str">
        <f>HYPERLINK("https://rhld.insurance.arkansas.gov/NPILookup?Npi=1740602093","1740602093")</f>
        <v>1740602093</v>
      </c>
      <c r="E21271" t="s">
        <v>23180</v>
      </c>
    </row>
    <row r="21272" spans="1:5" x14ac:dyDescent="0.25">
      <c r="A21272" t="s">
        <v>4</v>
      </c>
      <c r="B21272" t="s">
        <v>4111</v>
      </c>
      <c r="C21272" s="1" t="s">
        <v>23490</v>
      </c>
      <c r="D21272" s="1" t="str">
        <f>HYPERLINK("https://rhld.insurance.arkansas.gov/NPILookup?Npi=1740615863","1740615863")</f>
        <v>1740615863</v>
      </c>
      <c r="E21272" t="s">
        <v>16214</v>
      </c>
    </row>
    <row r="21273" spans="1:5" x14ac:dyDescent="0.25">
      <c r="A21273" t="s">
        <v>4</v>
      </c>
      <c r="B21273" t="s">
        <v>4111</v>
      </c>
      <c r="C21273" s="1" t="s">
        <v>23490</v>
      </c>
      <c r="D21273" s="1" t="str">
        <f>HYPERLINK("https://rhld.insurance.arkansas.gov/NPILookup?Npi=1740628601","1740628601")</f>
        <v>1740628601</v>
      </c>
      <c r="E21273" t="s">
        <v>11811</v>
      </c>
    </row>
    <row r="21274" spans="1:5" x14ac:dyDescent="0.25">
      <c r="A21274" t="s">
        <v>4</v>
      </c>
      <c r="B21274" t="s">
        <v>4111</v>
      </c>
      <c r="C21274" s="1" t="s">
        <v>23490</v>
      </c>
      <c r="D21274" s="1" t="str">
        <f>HYPERLINK("https://rhld.insurance.arkansas.gov/NPILookup?Npi=1740634435","1740634435")</f>
        <v>1740634435</v>
      </c>
      <c r="E21274" t="s">
        <v>9151</v>
      </c>
    </row>
    <row r="21275" spans="1:5" x14ac:dyDescent="0.25">
      <c r="A21275" t="s">
        <v>4</v>
      </c>
      <c r="B21275" t="s">
        <v>4111</v>
      </c>
      <c r="C21275" s="1" t="s">
        <v>23490</v>
      </c>
      <c r="D21275" s="1" t="str">
        <f>HYPERLINK("https://rhld.insurance.arkansas.gov/NPILookup?Npi=1740643055","1740643055")</f>
        <v>1740643055</v>
      </c>
      <c r="E21275" t="s">
        <v>22247</v>
      </c>
    </row>
    <row r="21276" spans="1:5" x14ac:dyDescent="0.25">
      <c r="A21276" t="s">
        <v>4</v>
      </c>
      <c r="B21276" t="s">
        <v>4111</v>
      </c>
      <c r="C21276" s="1" t="s">
        <v>23490</v>
      </c>
      <c r="D21276" s="1" t="str">
        <f>HYPERLINK("https://rhld.insurance.arkansas.gov/NPILookup?Npi=1740652429","1740652429")</f>
        <v>1740652429</v>
      </c>
      <c r="E21276" t="s">
        <v>22248</v>
      </c>
    </row>
    <row r="21277" spans="1:5" x14ac:dyDescent="0.25">
      <c r="A21277" t="s">
        <v>4</v>
      </c>
      <c r="B21277" t="s">
        <v>4111</v>
      </c>
      <c r="C21277" s="1" t="s">
        <v>23490</v>
      </c>
      <c r="D21277" s="1" t="str">
        <f>HYPERLINK("https://rhld.insurance.arkansas.gov/NPILookup?Npi=1740672286","1740672286")</f>
        <v>1740672286</v>
      </c>
      <c r="E21277" t="s">
        <v>13202</v>
      </c>
    </row>
    <row r="21278" spans="1:5" x14ac:dyDescent="0.25">
      <c r="A21278" t="s">
        <v>4</v>
      </c>
      <c r="B21278" t="s">
        <v>4111</v>
      </c>
      <c r="C21278" s="1" t="s">
        <v>23490</v>
      </c>
      <c r="D21278" s="1" t="str">
        <f>HYPERLINK("https://rhld.insurance.arkansas.gov/NPILookup?Npi=1740693274","1740693274")</f>
        <v>1740693274</v>
      </c>
      <c r="E21278" t="s">
        <v>11812</v>
      </c>
    </row>
    <row r="21279" spans="1:5" x14ac:dyDescent="0.25">
      <c r="A21279" t="s">
        <v>4</v>
      </c>
      <c r="B21279" t="s">
        <v>4111</v>
      </c>
      <c r="C21279" s="1" t="s">
        <v>23490</v>
      </c>
      <c r="D21279" s="1" t="str">
        <f>HYPERLINK("https://rhld.insurance.arkansas.gov/NPILookup?Npi=1740717768","1740717768")</f>
        <v>1740717768</v>
      </c>
      <c r="E21279" t="s">
        <v>17228</v>
      </c>
    </row>
    <row r="21280" spans="1:5" x14ac:dyDescent="0.25">
      <c r="A21280" t="s">
        <v>4</v>
      </c>
      <c r="B21280" t="s">
        <v>4111</v>
      </c>
      <c r="C21280" s="1" t="s">
        <v>23490</v>
      </c>
      <c r="D21280" s="1" t="str">
        <f>HYPERLINK("https://rhld.insurance.arkansas.gov/NPILookup?Npi=1740762905","1740762905")</f>
        <v>1740762905</v>
      </c>
      <c r="E21280" t="s">
        <v>14197</v>
      </c>
    </row>
    <row r="21281" spans="1:5" x14ac:dyDescent="0.25">
      <c r="A21281" t="s">
        <v>4</v>
      </c>
      <c r="B21281" t="s">
        <v>4111</v>
      </c>
      <c r="C21281" s="1" t="s">
        <v>23490</v>
      </c>
      <c r="D21281" s="1" t="str">
        <f>HYPERLINK("https://rhld.insurance.arkansas.gov/NPILookup?Npi=1740770676","1740770676")</f>
        <v>1740770676</v>
      </c>
      <c r="E21281" t="s">
        <v>22249</v>
      </c>
    </row>
    <row r="21282" spans="1:5" x14ac:dyDescent="0.25">
      <c r="A21282" t="s">
        <v>4</v>
      </c>
      <c r="B21282" t="s">
        <v>4111</v>
      </c>
      <c r="C21282" s="1" t="s">
        <v>23490</v>
      </c>
      <c r="D21282" s="1" t="str">
        <f>HYPERLINK("https://rhld.insurance.arkansas.gov/NPILookup?Npi=1740773985","1740773985")</f>
        <v>1740773985</v>
      </c>
      <c r="E21282" t="s">
        <v>16215</v>
      </c>
    </row>
    <row r="21283" spans="1:5" x14ac:dyDescent="0.25">
      <c r="A21283" t="s">
        <v>4</v>
      </c>
      <c r="B21283" t="s">
        <v>4111</v>
      </c>
      <c r="C21283" s="1" t="s">
        <v>23490</v>
      </c>
      <c r="D21283" s="1" t="str">
        <f>HYPERLINK("https://rhld.insurance.arkansas.gov/NPILookup?Npi=1740791722","1740791722")</f>
        <v>1740791722</v>
      </c>
      <c r="E21283" t="s">
        <v>22250</v>
      </c>
    </row>
    <row r="21284" spans="1:5" x14ac:dyDescent="0.25">
      <c r="A21284" t="s">
        <v>4</v>
      </c>
      <c r="B21284" t="s">
        <v>4111</v>
      </c>
      <c r="C21284" s="1" t="s">
        <v>23490</v>
      </c>
      <c r="D21284" s="1" t="str">
        <f>HYPERLINK("https://rhld.insurance.arkansas.gov/NPILookup?Npi=1740811348","1740811348")</f>
        <v>1740811348</v>
      </c>
      <c r="E21284" t="s">
        <v>18417</v>
      </c>
    </row>
    <row r="21285" spans="1:5" x14ac:dyDescent="0.25">
      <c r="A21285" t="s">
        <v>4</v>
      </c>
      <c r="B21285" t="s">
        <v>4111</v>
      </c>
      <c r="C21285" s="1" t="s">
        <v>23490</v>
      </c>
      <c r="D21285" s="1" t="str">
        <f>HYPERLINK("https://rhld.insurance.arkansas.gov/NPILookup?Npi=1740811553","1740811553")</f>
        <v>1740811553</v>
      </c>
      <c r="E21285" t="s">
        <v>17636</v>
      </c>
    </row>
    <row r="21286" spans="1:5" x14ac:dyDescent="0.25">
      <c r="A21286" t="s">
        <v>4</v>
      </c>
      <c r="B21286" t="s">
        <v>4111</v>
      </c>
      <c r="C21286" s="1" t="s">
        <v>23490</v>
      </c>
      <c r="D21286" s="1" t="str">
        <f>HYPERLINK("https://rhld.insurance.arkansas.gov/NPILookup?Npi=1740837673","1740837673")</f>
        <v>1740837673</v>
      </c>
      <c r="E21286" t="s">
        <v>18418</v>
      </c>
    </row>
    <row r="21287" spans="1:5" x14ac:dyDescent="0.25">
      <c r="A21287" t="s">
        <v>4</v>
      </c>
      <c r="B21287" t="s">
        <v>4111</v>
      </c>
      <c r="C21287" s="1" t="s">
        <v>23490</v>
      </c>
      <c r="D21287" s="1" t="str">
        <f>HYPERLINK("https://rhld.insurance.arkansas.gov/NPILookup?Npi=1740838879","1740838879")</f>
        <v>1740838879</v>
      </c>
      <c r="E21287" t="s">
        <v>16216</v>
      </c>
    </row>
    <row r="21288" spans="1:5" x14ac:dyDescent="0.25">
      <c r="A21288" t="s">
        <v>4</v>
      </c>
      <c r="B21288" t="s">
        <v>4111</v>
      </c>
      <c r="C21288" s="1" t="s">
        <v>8427</v>
      </c>
      <c r="D21288" s="1" t="str">
        <f>HYPERLINK("https://rhld.insurance.arkansas.gov/NPILookup?Npi=1740868447","1740868447")</f>
        <v>1740868447</v>
      </c>
      <c r="E21288" t="s">
        <v>23181</v>
      </c>
    </row>
    <row r="21289" spans="1:5" x14ac:dyDescent="0.25">
      <c r="A21289" t="s">
        <v>4</v>
      </c>
      <c r="B21289" t="s">
        <v>4111</v>
      </c>
      <c r="C21289" s="1" t="s">
        <v>23490</v>
      </c>
      <c r="D21289" s="1" t="str">
        <f>HYPERLINK("https://rhld.insurance.arkansas.gov/NPILookup?Npi=1740877323","1740877323")</f>
        <v>1740877323</v>
      </c>
      <c r="E21289" t="s">
        <v>19013</v>
      </c>
    </row>
    <row r="21290" spans="1:5" x14ac:dyDescent="0.25">
      <c r="A21290" t="s">
        <v>4</v>
      </c>
      <c r="B21290" t="s">
        <v>4111</v>
      </c>
      <c r="C21290" s="1" t="s">
        <v>23490</v>
      </c>
      <c r="D21290" s="1" t="str">
        <f>HYPERLINK("https://rhld.insurance.arkansas.gov/NPILookup?Npi=1740889906","1740889906")</f>
        <v>1740889906</v>
      </c>
      <c r="E21290" t="s">
        <v>22251</v>
      </c>
    </row>
    <row r="21291" spans="1:5" x14ac:dyDescent="0.25">
      <c r="A21291" t="s">
        <v>4</v>
      </c>
      <c r="B21291" t="s">
        <v>4111</v>
      </c>
      <c r="C21291" s="1" t="s">
        <v>23490</v>
      </c>
      <c r="D21291" s="1" t="str">
        <f>HYPERLINK("https://rhld.insurance.arkansas.gov/NPILookup?Npi=1740923374","1740923374")</f>
        <v>1740923374</v>
      </c>
      <c r="E21291" t="s">
        <v>9134</v>
      </c>
    </row>
    <row r="21292" spans="1:5" x14ac:dyDescent="0.25">
      <c r="A21292" t="s">
        <v>4</v>
      </c>
      <c r="B21292" t="s">
        <v>4111</v>
      </c>
      <c r="C21292" s="1" t="s">
        <v>8427</v>
      </c>
      <c r="D21292" s="1" t="str">
        <f>HYPERLINK("https://rhld.insurance.arkansas.gov/NPILookup?Npi=1747099764","1747099764")</f>
        <v>1747099764</v>
      </c>
      <c r="E21292" t="s">
        <v>23170</v>
      </c>
    </row>
    <row r="21293" spans="1:5" x14ac:dyDescent="0.25">
      <c r="A21293" t="s">
        <v>4</v>
      </c>
      <c r="B21293" t="s">
        <v>4111</v>
      </c>
      <c r="C21293" s="1" t="s">
        <v>8427</v>
      </c>
      <c r="D21293" s="1" t="str">
        <f>HYPERLINK("https://rhld.insurance.arkansas.gov/NPILookup?Npi=1750044798","1750044798")</f>
        <v>1750044798</v>
      </c>
      <c r="E21293" t="s">
        <v>23182</v>
      </c>
    </row>
    <row r="21294" spans="1:5" x14ac:dyDescent="0.25">
      <c r="A21294" t="s">
        <v>4</v>
      </c>
      <c r="B21294" t="s">
        <v>4111</v>
      </c>
      <c r="C21294" s="1" t="s">
        <v>23490</v>
      </c>
      <c r="D21294" s="1" t="str">
        <f>HYPERLINK("https://rhld.insurance.arkansas.gov/NPILookup?Npi=1750050936","1750050936")</f>
        <v>1750050936</v>
      </c>
      <c r="E21294" t="s">
        <v>19014</v>
      </c>
    </row>
    <row r="21295" spans="1:5" x14ac:dyDescent="0.25">
      <c r="A21295" t="s">
        <v>4</v>
      </c>
      <c r="B21295" t="s">
        <v>4111</v>
      </c>
      <c r="C21295" s="1" t="s">
        <v>23490</v>
      </c>
      <c r="D21295" s="1" t="str">
        <f>HYPERLINK("https://rhld.insurance.arkansas.gov/NPILookup?Npi=1750308334","1750308334")</f>
        <v>1750308334</v>
      </c>
      <c r="E21295" t="s">
        <v>9152</v>
      </c>
    </row>
    <row r="21296" spans="1:5" x14ac:dyDescent="0.25">
      <c r="A21296" t="s">
        <v>4</v>
      </c>
      <c r="B21296" t="s">
        <v>4111</v>
      </c>
      <c r="C21296" s="1" t="s">
        <v>23490</v>
      </c>
      <c r="D21296" s="1" t="str">
        <f>HYPERLINK("https://rhld.insurance.arkansas.gov/NPILookup?Npi=1750326187","1750326187")</f>
        <v>1750326187</v>
      </c>
      <c r="E21296" t="s">
        <v>16217</v>
      </c>
    </row>
    <row r="21297" spans="1:5" x14ac:dyDescent="0.25">
      <c r="A21297" t="s">
        <v>4</v>
      </c>
      <c r="B21297" t="s">
        <v>4111</v>
      </c>
      <c r="C21297" s="1" t="s">
        <v>23490</v>
      </c>
      <c r="D21297" s="1" t="str">
        <f>HYPERLINK("https://rhld.insurance.arkansas.gov/NPILookup?Npi=1750331070","1750331070")</f>
        <v>1750331070</v>
      </c>
      <c r="E21297" t="s">
        <v>9153</v>
      </c>
    </row>
    <row r="21298" spans="1:5" x14ac:dyDescent="0.25">
      <c r="A21298" t="s">
        <v>4</v>
      </c>
      <c r="B21298" t="s">
        <v>4111</v>
      </c>
      <c r="C21298" s="1" t="s">
        <v>23490</v>
      </c>
      <c r="D21298" s="1" t="str">
        <f>HYPERLINK("https://rhld.insurance.arkansas.gov/NPILookup?Npi=1750348652","1750348652")</f>
        <v>1750348652</v>
      </c>
      <c r="E21298" t="s">
        <v>5585</v>
      </c>
    </row>
    <row r="21299" spans="1:5" x14ac:dyDescent="0.25">
      <c r="A21299" t="s">
        <v>4</v>
      </c>
      <c r="B21299" t="s">
        <v>4111</v>
      </c>
      <c r="C21299" s="1" t="s">
        <v>23490</v>
      </c>
      <c r="D21299" s="1" t="str">
        <f>HYPERLINK("https://rhld.insurance.arkansas.gov/NPILookup?Npi=1750367223","1750367223")</f>
        <v>1750367223</v>
      </c>
      <c r="E21299" t="s">
        <v>5586</v>
      </c>
    </row>
    <row r="21300" spans="1:5" x14ac:dyDescent="0.25">
      <c r="A21300" t="s">
        <v>4</v>
      </c>
      <c r="B21300" t="s">
        <v>4111</v>
      </c>
      <c r="C21300" s="1" t="s">
        <v>23490</v>
      </c>
      <c r="D21300" s="1" t="str">
        <f>HYPERLINK("https://rhld.insurance.arkansas.gov/NPILookup?Npi=1750427894","1750427894")</f>
        <v>1750427894</v>
      </c>
      <c r="E21300" t="s">
        <v>5587</v>
      </c>
    </row>
    <row r="21301" spans="1:5" x14ac:dyDescent="0.25">
      <c r="A21301" t="s">
        <v>4</v>
      </c>
      <c r="B21301" t="s">
        <v>4111</v>
      </c>
      <c r="C21301" s="1" t="s">
        <v>23490</v>
      </c>
      <c r="D21301" s="1" t="str">
        <f>HYPERLINK("https://rhld.insurance.arkansas.gov/NPILookup?Npi=1750433256","1750433256")</f>
        <v>1750433256</v>
      </c>
      <c r="E21301" t="s">
        <v>5588</v>
      </c>
    </row>
    <row r="21302" spans="1:5" x14ac:dyDescent="0.25">
      <c r="A21302" t="s">
        <v>4</v>
      </c>
      <c r="B21302" t="s">
        <v>4111</v>
      </c>
      <c r="C21302" s="1" t="s">
        <v>23490</v>
      </c>
      <c r="D21302" s="1" t="str">
        <f>HYPERLINK("https://rhld.insurance.arkansas.gov/NPILookup?Npi=1750437091","1750437091")</f>
        <v>1750437091</v>
      </c>
      <c r="E21302" t="s">
        <v>5589</v>
      </c>
    </row>
    <row r="21303" spans="1:5" x14ac:dyDescent="0.25">
      <c r="A21303" t="s">
        <v>4</v>
      </c>
      <c r="B21303" t="s">
        <v>4111</v>
      </c>
      <c r="C21303" s="1" t="s">
        <v>23490</v>
      </c>
      <c r="D21303" s="1" t="str">
        <f>HYPERLINK("https://rhld.insurance.arkansas.gov/NPILookup?Npi=1750445276","1750445276")</f>
        <v>1750445276</v>
      </c>
      <c r="E21303" t="s">
        <v>5590</v>
      </c>
    </row>
    <row r="21304" spans="1:5" x14ac:dyDescent="0.25">
      <c r="A21304" t="s">
        <v>4</v>
      </c>
      <c r="B21304" t="s">
        <v>4111</v>
      </c>
      <c r="C21304" s="1" t="s">
        <v>23490</v>
      </c>
      <c r="D21304" s="1" t="str">
        <f>HYPERLINK("https://rhld.insurance.arkansas.gov/NPILookup?Npi=1750449195","1750449195")</f>
        <v>1750449195</v>
      </c>
      <c r="E21304" t="s">
        <v>5591</v>
      </c>
    </row>
    <row r="21305" spans="1:5" x14ac:dyDescent="0.25">
      <c r="A21305" t="s">
        <v>4</v>
      </c>
      <c r="B21305" t="s">
        <v>4111</v>
      </c>
      <c r="C21305" s="1" t="s">
        <v>23490</v>
      </c>
      <c r="D21305" s="1" t="str">
        <f>HYPERLINK("https://rhld.insurance.arkansas.gov/NPILookup?Npi=1750450649","1750450649")</f>
        <v>1750450649</v>
      </c>
      <c r="E21305" t="s">
        <v>16218</v>
      </c>
    </row>
    <row r="21306" spans="1:5" x14ac:dyDescent="0.25">
      <c r="A21306" t="s">
        <v>4</v>
      </c>
      <c r="B21306" t="s">
        <v>4111</v>
      </c>
      <c r="C21306" s="1" t="s">
        <v>23490</v>
      </c>
      <c r="D21306" s="1" t="str">
        <f>HYPERLINK("https://rhld.insurance.arkansas.gov/NPILookup?Npi=1750465779","1750465779")</f>
        <v>1750465779</v>
      </c>
      <c r="E21306" t="s">
        <v>5592</v>
      </c>
    </row>
    <row r="21307" spans="1:5" x14ac:dyDescent="0.25">
      <c r="A21307" t="s">
        <v>4</v>
      </c>
      <c r="B21307" t="s">
        <v>4111</v>
      </c>
      <c r="C21307" s="1" t="s">
        <v>23490</v>
      </c>
      <c r="D21307" s="1" t="str">
        <f>HYPERLINK("https://rhld.insurance.arkansas.gov/NPILookup?Npi=1750483699","1750483699")</f>
        <v>1750483699</v>
      </c>
      <c r="E21307" t="s">
        <v>5593</v>
      </c>
    </row>
    <row r="21308" spans="1:5" x14ac:dyDescent="0.25">
      <c r="A21308" t="s">
        <v>4</v>
      </c>
      <c r="B21308" t="s">
        <v>4111</v>
      </c>
      <c r="C21308" s="1" t="s">
        <v>23490</v>
      </c>
      <c r="D21308" s="1" t="str">
        <f>HYPERLINK("https://rhld.insurance.arkansas.gov/NPILookup?Npi=1750485132","1750485132")</f>
        <v>1750485132</v>
      </c>
      <c r="E21308" t="s">
        <v>5594</v>
      </c>
    </row>
    <row r="21309" spans="1:5" x14ac:dyDescent="0.25">
      <c r="A21309" t="s">
        <v>4</v>
      </c>
      <c r="B21309" t="s">
        <v>4111</v>
      </c>
      <c r="C21309" s="1" t="s">
        <v>23490</v>
      </c>
      <c r="D21309" s="1" t="str">
        <f>HYPERLINK("https://rhld.insurance.arkansas.gov/NPILookup?Npi=1750487567","1750487567")</f>
        <v>1750487567</v>
      </c>
      <c r="E21309" t="s">
        <v>5595</v>
      </c>
    </row>
    <row r="21310" spans="1:5" x14ac:dyDescent="0.25">
      <c r="A21310" t="s">
        <v>4</v>
      </c>
      <c r="B21310" t="s">
        <v>4111</v>
      </c>
      <c r="C21310" s="1" t="s">
        <v>23490</v>
      </c>
      <c r="D21310" s="1" t="str">
        <f>HYPERLINK("https://rhld.insurance.arkansas.gov/NPILookup?Npi=1750514840","1750514840")</f>
        <v>1750514840</v>
      </c>
      <c r="E21310" t="s">
        <v>11813</v>
      </c>
    </row>
    <row r="21311" spans="1:5" x14ac:dyDescent="0.25">
      <c r="A21311" t="s">
        <v>4</v>
      </c>
      <c r="B21311" t="s">
        <v>4111</v>
      </c>
      <c r="C21311" s="1" t="s">
        <v>23490</v>
      </c>
      <c r="D21311" s="1" t="str">
        <f>HYPERLINK("https://rhld.insurance.arkansas.gov/NPILookup?Npi=1750530762","1750530762")</f>
        <v>1750530762</v>
      </c>
      <c r="E21311" t="s">
        <v>14198</v>
      </c>
    </row>
    <row r="21312" spans="1:5" x14ac:dyDescent="0.25">
      <c r="A21312" t="s">
        <v>4</v>
      </c>
      <c r="B21312" t="s">
        <v>4111</v>
      </c>
      <c r="C21312" s="1" t="s">
        <v>23490</v>
      </c>
      <c r="D21312" s="1" t="str">
        <f>HYPERLINK("https://rhld.insurance.arkansas.gov/NPILookup?Npi=1750537734","1750537734")</f>
        <v>1750537734</v>
      </c>
      <c r="E21312" t="s">
        <v>17229</v>
      </c>
    </row>
    <row r="21313" spans="1:5" x14ac:dyDescent="0.25">
      <c r="A21313" t="s">
        <v>4</v>
      </c>
      <c r="B21313" t="s">
        <v>4111</v>
      </c>
      <c r="C21313" s="1" t="s">
        <v>23490</v>
      </c>
      <c r="D21313" s="1" t="str">
        <f>HYPERLINK("https://rhld.insurance.arkansas.gov/NPILookup?Npi=1750539128","1750539128")</f>
        <v>1750539128</v>
      </c>
      <c r="E21313" t="s">
        <v>14199</v>
      </c>
    </row>
    <row r="21314" spans="1:5" x14ac:dyDescent="0.25">
      <c r="A21314" t="s">
        <v>4</v>
      </c>
      <c r="B21314" t="s">
        <v>4111</v>
      </c>
      <c r="C21314" s="1" t="s">
        <v>23490</v>
      </c>
      <c r="D21314" s="1" t="str">
        <f>HYPERLINK("https://rhld.insurance.arkansas.gov/NPILookup?Npi=1750557039","1750557039")</f>
        <v>1750557039</v>
      </c>
      <c r="E21314" t="s">
        <v>14200</v>
      </c>
    </row>
    <row r="21315" spans="1:5" x14ac:dyDescent="0.25">
      <c r="A21315" t="s">
        <v>4</v>
      </c>
      <c r="B21315" t="s">
        <v>4111</v>
      </c>
      <c r="C21315" s="1" t="s">
        <v>23490</v>
      </c>
      <c r="D21315" s="1" t="str">
        <f>HYPERLINK("https://rhld.insurance.arkansas.gov/NPILookup?Npi=1750575726","1750575726")</f>
        <v>1750575726</v>
      </c>
      <c r="E21315" t="s">
        <v>5596</v>
      </c>
    </row>
    <row r="21316" spans="1:5" x14ac:dyDescent="0.25">
      <c r="A21316" t="s">
        <v>4</v>
      </c>
      <c r="B21316" t="s">
        <v>4111</v>
      </c>
      <c r="C21316" s="1" t="s">
        <v>23490</v>
      </c>
      <c r="D21316" s="1" t="str">
        <f>HYPERLINK("https://rhld.insurance.arkansas.gov/NPILookup?Npi=1750586244","1750586244")</f>
        <v>1750586244</v>
      </c>
      <c r="E21316" t="s">
        <v>9154</v>
      </c>
    </row>
    <row r="21317" spans="1:5" x14ac:dyDescent="0.25">
      <c r="A21317" t="s">
        <v>4</v>
      </c>
      <c r="B21317" t="s">
        <v>4111</v>
      </c>
      <c r="C21317" s="1" t="s">
        <v>23490</v>
      </c>
      <c r="D21317" s="1" t="str">
        <f>HYPERLINK("https://rhld.insurance.arkansas.gov/NPILookup?Npi=1750606091","1750606091")</f>
        <v>1750606091</v>
      </c>
      <c r="E21317" t="s">
        <v>22252</v>
      </c>
    </row>
    <row r="21318" spans="1:5" x14ac:dyDescent="0.25">
      <c r="A21318" t="s">
        <v>4</v>
      </c>
      <c r="B21318" t="s">
        <v>4111</v>
      </c>
      <c r="C21318" s="1" t="s">
        <v>23490</v>
      </c>
      <c r="D21318" s="1" t="str">
        <f>HYPERLINK("https://rhld.insurance.arkansas.gov/NPILookup?Npi=1750616611","1750616611")</f>
        <v>1750616611</v>
      </c>
      <c r="E21318" t="s">
        <v>5597</v>
      </c>
    </row>
    <row r="21319" spans="1:5" x14ac:dyDescent="0.25">
      <c r="A21319" t="s">
        <v>4</v>
      </c>
      <c r="B21319" t="s">
        <v>4111</v>
      </c>
      <c r="C21319" s="1" t="s">
        <v>23490</v>
      </c>
      <c r="D21319" s="1" t="str">
        <f>HYPERLINK("https://rhld.insurance.arkansas.gov/NPILookup?Npi=1750660197","1750660197")</f>
        <v>1750660197</v>
      </c>
      <c r="E21319" t="s">
        <v>5598</v>
      </c>
    </row>
    <row r="21320" spans="1:5" x14ac:dyDescent="0.25">
      <c r="A21320" t="s">
        <v>4</v>
      </c>
      <c r="B21320" t="s">
        <v>4111</v>
      </c>
      <c r="C21320" s="1" t="s">
        <v>23490</v>
      </c>
      <c r="D21320" s="1" t="str">
        <f>HYPERLINK("https://rhld.insurance.arkansas.gov/NPILookup?Npi=1750665246","1750665246")</f>
        <v>1750665246</v>
      </c>
      <c r="E21320" t="s">
        <v>14201</v>
      </c>
    </row>
    <row r="21321" spans="1:5" x14ac:dyDescent="0.25">
      <c r="A21321" t="s">
        <v>4</v>
      </c>
      <c r="B21321" t="s">
        <v>4111</v>
      </c>
      <c r="C21321" s="1" t="s">
        <v>23490</v>
      </c>
      <c r="D21321" s="1" t="str">
        <f>HYPERLINK("https://rhld.insurance.arkansas.gov/NPILookup?Npi=1750665709","1750665709")</f>
        <v>1750665709</v>
      </c>
      <c r="E21321" t="s">
        <v>11814</v>
      </c>
    </row>
    <row r="21322" spans="1:5" x14ac:dyDescent="0.25">
      <c r="A21322" t="s">
        <v>4</v>
      </c>
      <c r="B21322" t="s">
        <v>4111</v>
      </c>
      <c r="C21322" s="1" t="s">
        <v>23490</v>
      </c>
      <c r="D21322" s="1" t="str">
        <f>HYPERLINK("https://rhld.insurance.arkansas.gov/NPILookup?Npi=1750686721","1750686721")</f>
        <v>1750686721</v>
      </c>
      <c r="E21322" t="s">
        <v>18419</v>
      </c>
    </row>
    <row r="21323" spans="1:5" x14ac:dyDescent="0.25">
      <c r="A21323" t="s">
        <v>4</v>
      </c>
      <c r="B21323" t="s">
        <v>4111</v>
      </c>
      <c r="C21323" s="1" t="s">
        <v>23490</v>
      </c>
      <c r="D21323" s="1" t="str">
        <f>HYPERLINK("https://rhld.insurance.arkansas.gov/NPILookup?Npi=1750693586","1750693586")</f>
        <v>1750693586</v>
      </c>
      <c r="E21323" t="s">
        <v>5599</v>
      </c>
    </row>
    <row r="21324" spans="1:5" x14ac:dyDescent="0.25">
      <c r="A21324" t="s">
        <v>4</v>
      </c>
      <c r="B21324" t="s">
        <v>4111</v>
      </c>
      <c r="C21324" s="1" t="s">
        <v>23490</v>
      </c>
      <c r="D21324" s="1" t="str">
        <f>HYPERLINK("https://rhld.insurance.arkansas.gov/NPILookup?Npi=1750695631","1750695631")</f>
        <v>1750695631</v>
      </c>
      <c r="E21324" t="s">
        <v>18420</v>
      </c>
    </row>
    <row r="21325" spans="1:5" x14ac:dyDescent="0.25">
      <c r="A21325" t="s">
        <v>4</v>
      </c>
      <c r="B21325" t="s">
        <v>4111</v>
      </c>
      <c r="C21325" s="1" t="s">
        <v>23490</v>
      </c>
      <c r="D21325" s="1" t="str">
        <f>HYPERLINK("https://rhld.insurance.arkansas.gov/NPILookup?Npi=1750705513","1750705513")</f>
        <v>1750705513</v>
      </c>
      <c r="E21325" t="s">
        <v>20574</v>
      </c>
    </row>
    <row r="21326" spans="1:5" x14ac:dyDescent="0.25">
      <c r="A21326" t="s">
        <v>4</v>
      </c>
      <c r="B21326" t="s">
        <v>4111</v>
      </c>
      <c r="C21326" s="1" t="s">
        <v>23490</v>
      </c>
      <c r="D21326" s="1" t="str">
        <f>HYPERLINK("https://rhld.insurance.arkansas.gov/NPILookup?Npi=1750714150","1750714150")</f>
        <v>1750714150</v>
      </c>
      <c r="E21326" t="s">
        <v>14202</v>
      </c>
    </row>
    <row r="21327" spans="1:5" x14ac:dyDescent="0.25">
      <c r="A21327" t="s">
        <v>4</v>
      </c>
      <c r="B21327" t="s">
        <v>4111</v>
      </c>
      <c r="C21327" s="1" t="s">
        <v>23490</v>
      </c>
      <c r="D21327" s="1" t="str">
        <f>HYPERLINK("https://rhld.insurance.arkansas.gov/NPILookup?Npi=1750717047","1750717047")</f>
        <v>1750717047</v>
      </c>
      <c r="E21327" t="s">
        <v>5600</v>
      </c>
    </row>
    <row r="21328" spans="1:5" x14ac:dyDescent="0.25">
      <c r="A21328" t="s">
        <v>4</v>
      </c>
      <c r="B21328" t="s">
        <v>4111</v>
      </c>
      <c r="C21328" s="1" t="s">
        <v>23490</v>
      </c>
      <c r="D21328" s="1" t="str">
        <f>HYPERLINK("https://rhld.insurance.arkansas.gov/NPILookup?Npi=1750732582","1750732582")</f>
        <v>1750732582</v>
      </c>
      <c r="E21328" t="s">
        <v>14203</v>
      </c>
    </row>
    <row r="21329" spans="1:5" x14ac:dyDescent="0.25">
      <c r="A21329" t="s">
        <v>4</v>
      </c>
      <c r="B21329" t="s">
        <v>4111</v>
      </c>
      <c r="C21329" s="1" t="s">
        <v>23490</v>
      </c>
      <c r="D21329" s="1" t="str">
        <f>HYPERLINK("https://rhld.insurance.arkansas.gov/NPILookup?Npi=1750763678","1750763678")</f>
        <v>1750763678</v>
      </c>
      <c r="E21329" t="s">
        <v>14204</v>
      </c>
    </row>
    <row r="21330" spans="1:5" x14ac:dyDescent="0.25">
      <c r="A21330" t="s">
        <v>4</v>
      </c>
      <c r="B21330" t="s">
        <v>4111</v>
      </c>
      <c r="C21330" s="1" t="s">
        <v>23490</v>
      </c>
      <c r="D21330" s="1" t="str">
        <f>HYPERLINK("https://rhld.insurance.arkansas.gov/NPILookup?Npi=1750767299","1750767299")</f>
        <v>1750767299</v>
      </c>
      <c r="E21330" t="s">
        <v>5601</v>
      </c>
    </row>
    <row r="21331" spans="1:5" x14ac:dyDescent="0.25">
      <c r="A21331" t="s">
        <v>4</v>
      </c>
      <c r="B21331" t="s">
        <v>4111</v>
      </c>
      <c r="C21331" s="1" t="s">
        <v>23490</v>
      </c>
      <c r="D21331" s="1" t="str">
        <f>HYPERLINK("https://rhld.insurance.arkansas.gov/NPILookup?Npi=1750773750","1750773750")</f>
        <v>1750773750</v>
      </c>
      <c r="E21331" t="s">
        <v>11815</v>
      </c>
    </row>
    <row r="21332" spans="1:5" x14ac:dyDescent="0.25">
      <c r="A21332" t="s">
        <v>4</v>
      </c>
      <c r="B21332" t="s">
        <v>4111</v>
      </c>
      <c r="C21332" s="1" t="s">
        <v>23490</v>
      </c>
      <c r="D21332" s="1" t="str">
        <f>HYPERLINK("https://rhld.insurance.arkansas.gov/NPILookup?Npi=1750789178","1750789178")</f>
        <v>1750789178</v>
      </c>
      <c r="E21332" t="s">
        <v>17637</v>
      </c>
    </row>
    <row r="21333" spans="1:5" x14ac:dyDescent="0.25">
      <c r="A21333" t="s">
        <v>4</v>
      </c>
      <c r="B21333" t="s">
        <v>4111</v>
      </c>
      <c r="C21333" s="1" t="s">
        <v>23490</v>
      </c>
      <c r="D21333" s="1" t="str">
        <f>HYPERLINK("https://rhld.insurance.arkansas.gov/NPILookup?Npi=1750790259","1750790259")</f>
        <v>1750790259</v>
      </c>
      <c r="E21333" t="s">
        <v>11816</v>
      </c>
    </row>
    <row r="21334" spans="1:5" x14ac:dyDescent="0.25">
      <c r="A21334" t="s">
        <v>4</v>
      </c>
      <c r="B21334" t="s">
        <v>4111</v>
      </c>
      <c r="C21334" s="1" t="s">
        <v>23490</v>
      </c>
      <c r="D21334" s="1" t="str">
        <f>HYPERLINK("https://rhld.insurance.arkansas.gov/NPILookup?Npi=1750799854","1750799854")</f>
        <v>1750799854</v>
      </c>
      <c r="E21334" t="s">
        <v>19015</v>
      </c>
    </row>
    <row r="21335" spans="1:5" x14ac:dyDescent="0.25">
      <c r="A21335" t="s">
        <v>4</v>
      </c>
      <c r="B21335" t="s">
        <v>4111</v>
      </c>
      <c r="C21335" s="1" t="s">
        <v>23490</v>
      </c>
      <c r="D21335" s="1" t="str">
        <f>HYPERLINK("https://rhld.insurance.arkansas.gov/NPILookup?Npi=1750811394","1750811394")</f>
        <v>1750811394</v>
      </c>
      <c r="E21335" t="s">
        <v>11817</v>
      </c>
    </row>
    <row r="21336" spans="1:5" x14ac:dyDescent="0.25">
      <c r="A21336" t="s">
        <v>4</v>
      </c>
      <c r="B21336" t="s">
        <v>4111</v>
      </c>
      <c r="C21336" s="1" t="s">
        <v>23490</v>
      </c>
      <c r="D21336" s="1" t="str">
        <f>HYPERLINK("https://rhld.insurance.arkansas.gov/NPILookup?Npi=1750826798","1750826798")</f>
        <v>1750826798</v>
      </c>
      <c r="E21336" t="s">
        <v>11240</v>
      </c>
    </row>
    <row r="21337" spans="1:5" x14ac:dyDescent="0.25">
      <c r="A21337" t="s">
        <v>4</v>
      </c>
      <c r="B21337" t="s">
        <v>4111</v>
      </c>
      <c r="C21337" s="1" t="s">
        <v>23490</v>
      </c>
      <c r="D21337" s="1" t="str">
        <f>HYPERLINK("https://rhld.insurance.arkansas.gov/NPILookup?Npi=1750828133","1750828133")</f>
        <v>1750828133</v>
      </c>
      <c r="E21337" t="s">
        <v>18421</v>
      </c>
    </row>
    <row r="21338" spans="1:5" x14ac:dyDescent="0.25">
      <c r="A21338" t="s">
        <v>4</v>
      </c>
      <c r="B21338" t="s">
        <v>4111</v>
      </c>
      <c r="C21338" s="1" t="s">
        <v>23490</v>
      </c>
      <c r="D21338" s="1" t="str">
        <f>HYPERLINK("https://rhld.insurance.arkansas.gov/NPILookup?Npi=1750873105","1750873105")</f>
        <v>1750873105</v>
      </c>
      <c r="E21338" t="s">
        <v>14205</v>
      </c>
    </row>
    <row r="21339" spans="1:5" x14ac:dyDescent="0.25">
      <c r="A21339" t="s">
        <v>4</v>
      </c>
      <c r="B21339" t="s">
        <v>4111</v>
      </c>
      <c r="C21339" s="1" t="s">
        <v>23490</v>
      </c>
      <c r="D21339" s="1" t="str">
        <f>HYPERLINK("https://rhld.insurance.arkansas.gov/NPILookup?Npi=1750942215","1750942215")</f>
        <v>1750942215</v>
      </c>
      <c r="E21339" t="s">
        <v>21159</v>
      </c>
    </row>
    <row r="21340" spans="1:5" x14ac:dyDescent="0.25">
      <c r="A21340" t="s">
        <v>4</v>
      </c>
      <c r="B21340" t="s">
        <v>4111</v>
      </c>
      <c r="C21340" s="1" t="s">
        <v>23490</v>
      </c>
      <c r="D21340" s="1" t="str">
        <f>HYPERLINK("https://rhld.insurance.arkansas.gov/NPILookup?Npi=1750947354","1750947354")</f>
        <v>1750947354</v>
      </c>
      <c r="E21340" t="s">
        <v>19016</v>
      </c>
    </row>
    <row r="21341" spans="1:5" x14ac:dyDescent="0.25">
      <c r="A21341" t="s">
        <v>4</v>
      </c>
      <c r="B21341" t="s">
        <v>4111</v>
      </c>
      <c r="C21341" s="1" t="s">
        <v>23490</v>
      </c>
      <c r="D21341" s="1" t="str">
        <f>HYPERLINK("https://rhld.insurance.arkansas.gov/NPILookup?Npi=1750964912","1750964912")</f>
        <v>1750964912</v>
      </c>
      <c r="E21341" t="s">
        <v>19017</v>
      </c>
    </row>
    <row r="21342" spans="1:5" x14ac:dyDescent="0.25">
      <c r="A21342" t="s">
        <v>4</v>
      </c>
      <c r="B21342" t="s">
        <v>4111</v>
      </c>
      <c r="C21342" s="1" t="s">
        <v>23490</v>
      </c>
      <c r="D21342" s="1" t="str">
        <f>HYPERLINK("https://rhld.insurance.arkansas.gov/NPILookup?Npi=1760031835","1760031835")</f>
        <v>1760031835</v>
      </c>
      <c r="E21342" t="s">
        <v>17230</v>
      </c>
    </row>
    <row r="21343" spans="1:5" x14ac:dyDescent="0.25">
      <c r="A21343" t="s">
        <v>4</v>
      </c>
      <c r="B21343" t="s">
        <v>4111</v>
      </c>
      <c r="C21343" s="1" t="s">
        <v>23490</v>
      </c>
      <c r="D21343" s="1" t="str">
        <f>HYPERLINK("https://rhld.insurance.arkansas.gov/NPILookup?Npi=1760038103","1760038103")</f>
        <v>1760038103</v>
      </c>
      <c r="E21343" t="s">
        <v>4679</v>
      </c>
    </row>
    <row r="21344" spans="1:5" x14ac:dyDescent="0.25">
      <c r="A21344" t="s">
        <v>4</v>
      </c>
      <c r="B21344" t="s">
        <v>4111</v>
      </c>
      <c r="C21344" s="1" t="s">
        <v>23490</v>
      </c>
      <c r="D21344" s="1" t="str">
        <f>HYPERLINK("https://rhld.insurance.arkansas.gov/NPILookup?Npi=1760097133","1760097133")</f>
        <v>1760097133</v>
      </c>
      <c r="E21344" t="s">
        <v>18422</v>
      </c>
    </row>
    <row r="21345" spans="1:5" x14ac:dyDescent="0.25">
      <c r="A21345" t="s">
        <v>4</v>
      </c>
      <c r="B21345" t="s">
        <v>4111</v>
      </c>
      <c r="C21345" s="1" t="s">
        <v>8427</v>
      </c>
      <c r="D21345" s="1" t="str">
        <f>HYPERLINK("https://rhld.insurance.arkansas.gov/NPILookup?Npi=1760438642","1760438642")</f>
        <v>1760438642</v>
      </c>
      <c r="E21345" t="s">
        <v>23183</v>
      </c>
    </row>
    <row r="21346" spans="1:5" x14ac:dyDescent="0.25">
      <c r="A21346" t="s">
        <v>4</v>
      </c>
      <c r="B21346" t="s">
        <v>4111</v>
      </c>
      <c r="C21346" s="1" t="s">
        <v>23490</v>
      </c>
      <c r="D21346" s="1" t="str">
        <f>HYPERLINK("https://rhld.insurance.arkansas.gov/NPILookup?Npi=1760449342","1760449342")</f>
        <v>1760449342</v>
      </c>
      <c r="E21346" t="s">
        <v>13203</v>
      </c>
    </row>
    <row r="21347" spans="1:5" x14ac:dyDescent="0.25">
      <c r="A21347" t="s">
        <v>4</v>
      </c>
      <c r="B21347" t="s">
        <v>4111</v>
      </c>
      <c r="C21347" s="1" t="s">
        <v>23490</v>
      </c>
      <c r="D21347" s="1" t="str">
        <f>HYPERLINK("https://rhld.insurance.arkansas.gov/NPILookup?Npi=1760479638","1760479638")</f>
        <v>1760479638</v>
      </c>
      <c r="E21347" t="s">
        <v>5602</v>
      </c>
    </row>
    <row r="21348" spans="1:5" x14ac:dyDescent="0.25">
      <c r="A21348" t="s">
        <v>4</v>
      </c>
      <c r="B21348" t="s">
        <v>4111</v>
      </c>
      <c r="C21348" s="1" t="s">
        <v>23490</v>
      </c>
      <c r="D21348" s="1" t="str">
        <f>HYPERLINK("https://rhld.insurance.arkansas.gov/NPILookup?Npi=1760485866","1760485866")</f>
        <v>1760485866</v>
      </c>
      <c r="E21348" t="s">
        <v>5603</v>
      </c>
    </row>
    <row r="21349" spans="1:5" x14ac:dyDescent="0.25">
      <c r="A21349" t="s">
        <v>4</v>
      </c>
      <c r="B21349" t="s">
        <v>4111</v>
      </c>
      <c r="C21349" s="1" t="s">
        <v>23490</v>
      </c>
      <c r="D21349" s="1" t="str">
        <f>HYPERLINK("https://rhld.insurance.arkansas.gov/NPILookup?Npi=1760498182","1760498182")</f>
        <v>1760498182</v>
      </c>
      <c r="E21349" t="s">
        <v>5604</v>
      </c>
    </row>
    <row r="21350" spans="1:5" x14ac:dyDescent="0.25">
      <c r="A21350" t="s">
        <v>4</v>
      </c>
      <c r="B21350" t="s">
        <v>4111</v>
      </c>
      <c r="C21350" s="1" t="s">
        <v>23490</v>
      </c>
      <c r="D21350" s="1" t="str">
        <f>HYPERLINK("https://rhld.insurance.arkansas.gov/NPILookup?Npi=1760500599","1760500599")</f>
        <v>1760500599</v>
      </c>
      <c r="E21350" t="s">
        <v>5605</v>
      </c>
    </row>
    <row r="21351" spans="1:5" x14ac:dyDescent="0.25">
      <c r="A21351" t="s">
        <v>4</v>
      </c>
      <c r="B21351" t="s">
        <v>4111</v>
      </c>
      <c r="C21351" s="1" t="s">
        <v>23490</v>
      </c>
      <c r="D21351" s="1" t="str">
        <f>HYPERLINK("https://rhld.insurance.arkansas.gov/NPILookup?Npi=1760506349","1760506349")</f>
        <v>1760506349</v>
      </c>
      <c r="E21351" t="s">
        <v>18423</v>
      </c>
    </row>
    <row r="21352" spans="1:5" x14ac:dyDescent="0.25">
      <c r="A21352" t="s">
        <v>4</v>
      </c>
      <c r="B21352" t="s">
        <v>4111</v>
      </c>
      <c r="C21352" s="1" t="s">
        <v>23490</v>
      </c>
      <c r="D21352" s="1" t="str">
        <f>HYPERLINK("https://rhld.insurance.arkansas.gov/NPILookup?Npi=1760511489","1760511489")</f>
        <v>1760511489</v>
      </c>
      <c r="E21352" t="s">
        <v>5606</v>
      </c>
    </row>
    <row r="21353" spans="1:5" x14ac:dyDescent="0.25">
      <c r="A21353" t="s">
        <v>4</v>
      </c>
      <c r="B21353" t="s">
        <v>4111</v>
      </c>
      <c r="C21353" s="1" t="s">
        <v>8427</v>
      </c>
      <c r="D21353" s="1" t="str">
        <f>HYPERLINK("https://rhld.insurance.arkansas.gov/NPILookup?Npi=1760529549","1760529549")</f>
        <v>1760529549</v>
      </c>
      <c r="E21353" t="s">
        <v>23184</v>
      </c>
    </row>
    <row r="21354" spans="1:5" x14ac:dyDescent="0.25">
      <c r="A21354" t="s">
        <v>4</v>
      </c>
      <c r="B21354" t="s">
        <v>4111</v>
      </c>
      <c r="C21354" s="1" t="s">
        <v>23490</v>
      </c>
      <c r="D21354" s="1" t="str">
        <f>HYPERLINK("https://rhld.insurance.arkansas.gov/NPILookup?Npi=1760536510","1760536510")</f>
        <v>1760536510</v>
      </c>
      <c r="E21354" t="s">
        <v>5607</v>
      </c>
    </row>
    <row r="21355" spans="1:5" x14ac:dyDescent="0.25">
      <c r="A21355" t="s">
        <v>4</v>
      </c>
      <c r="B21355" t="s">
        <v>4111</v>
      </c>
      <c r="C21355" s="1" t="s">
        <v>23490</v>
      </c>
      <c r="D21355" s="1" t="str">
        <f>HYPERLINK("https://rhld.insurance.arkansas.gov/NPILookup?Npi=1760544316","1760544316")</f>
        <v>1760544316</v>
      </c>
      <c r="E21355" t="s">
        <v>5608</v>
      </c>
    </row>
    <row r="21356" spans="1:5" x14ac:dyDescent="0.25">
      <c r="A21356" t="s">
        <v>4</v>
      </c>
      <c r="B21356" t="s">
        <v>4111</v>
      </c>
      <c r="C21356" s="1" t="s">
        <v>23490</v>
      </c>
      <c r="D21356" s="1" t="str">
        <f>HYPERLINK("https://rhld.insurance.arkansas.gov/NPILookup?Npi=1760579585","1760579585")</f>
        <v>1760579585</v>
      </c>
      <c r="E21356" t="s">
        <v>16219</v>
      </c>
    </row>
    <row r="21357" spans="1:5" x14ac:dyDescent="0.25">
      <c r="A21357" t="s">
        <v>4</v>
      </c>
      <c r="B21357" t="s">
        <v>4111</v>
      </c>
      <c r="C21357" s="1" t="s">
        <v>23490</v>
      </c>
      <c r="D21357" s="1" t="str">
        <f>HYPERLINK("https://rhld.insurance.arkansas.gov/NPILookup?Npi=1760580583","1760580583")</f>
        <v>1760580583</v>
      </c>
      <c r="E21357" t="s">
        <v>5609</v>
      </c>
    </row>
    <row r="21358" spans="1:5" x14ac:dyDescent="0.25">
      <c r="A21358" t="s">
        <v>4</v>
      </c>
      <c r="B21358" t="s">
        <v>4111</v>
      </c>
      <c r="C21358" s="1" t="s">
        <v>23490</v>
      </c>
      <c r="D21358" s="1" t="str">
        <f>HYPERLINK("https://rhld.insurance.arkansas.gov/NPILookup?Npi=1760585947","1760585947")</f>
        <v>1760585947</v>
      </c>
      <c r="E21358" t="s">
        <v>14206</v>
      </c>
    </row>
    <row r="21359" spans="1:5" x14ac:dyDescent="0.25">
      <c r="A21359" t="s">
        <v>4</v>
      </c>
      <c r="B21359" t="s">
        <v>4111</v>
      </c>
      <c r="C21359" s="1" t="s">
        <v>23490</v>
      </c>
      <c r="D21359" s="1" t="str">
        <f>HYPERLINK("https://rhld.insurance.arkansas.gov/NPILookup?Npi=1760600175","1760600175")</f>
        <v>1760600175</v>
      </c>
      <c r="E21359" t="s">
        <v>11818</v>
      </c>
    </row>
    <row r="21360" spans="1:5" x14ac:dyDescent="0.25">
      <c r="A21360" t="s">
        <v>4</v>
      </c>
      <c r="B21360" t="s">
        <v>4111</v>
      </c>
      <c r="C21360" s="1" t="s">
        <v>23490</v>
      </c>
      <c r="D21360" s="1" t="str">
        <f>HYPERLINK("https://rhld.insurance.arkansas.gov/NPILookup?Npi=1760620033","1760620033")</f>
        <v>1760620033</v>
      </c>
      <c r="E21360" t="s">
        <v>5610</v>
      </c>
    </row>
    <row r="21361" spans="1:5" x14ac:dyDescent="0.25">
      <c r="A21361" t="s">
        <v>4</v>
      </c>
      <c r="B21361" t="s">
        <v>4111</v>
      </c>
      <c r="C21361" s="1" t="s">
        <v>23490</v>
      </c>
      <c r="D21361" s="1" t="str">
        <f>HYPERLINK("https://rhld.insurance.arkansas.gov/NPILookup?Npi=1760626840","1760626840")</f>
        <v>1760626840</v>
      </c>
      <c r="E21361" t="s">
        <v>5611</v>
      </c>
    </row>
    <row r="21362" spans="1:5" x14ac:dyDescent="0.25">
      <c r="A21362" t="s">
        <v>4</v>
      </c>
      <c r="B21362" t="s">
        <v>4111</v>
      </c>
      <c r="C21362" s="1" t="s">
        <v>23490</v>
      </c>
      <c r="D21362" s="1" t="str">
        <f>HYPERLINK("https://rhld.insurance.arkansas.gov/NPILookup?Npi=1760627939","1760627939")</f>
        <v>1760627939</v>
      </c>
      <c r="E21362" t="s">
        <v>5612</v>
      </c>
    </row>
    <row r="21363" spans="1:5" x14ac:dyDescent="0.25">
      <c r="A21363" t="s">
        <v>4</v>
      </c>
      <c r="B21363" t="s">
        <v>4111</v>
      </c>
      <c r="C21363" s="1" t="s">
        <v>23490</v>
      </c>
      <c r="D21363" s="1" t="str">
        <f>HYPERLINK("https://rhld.insurance.arkansas.gov/NPILookup?Npi=1760632277","1760632277")</f>
        <v>1760632277</v>
      </c>
      <c r="E21363" t="s">
        <v>18424</v>
      </c>
    </row>
    <row r="21364" spans="1:5" x14ac:dyDescent="0.25">
      <c r="A21364" t="s">
        <v>4</v>
      </c>
      <c r="B21364" t="s">
        <v>4111</v>
      </c>
      <c r="C21364" s="1" t="s">
        <v>23490</v>
      </c>
      <c r="D21364" s="1" t="str">
        <f>HYPERLINK("https://rhld.insurance.arkansas.gov/NPILookup?Npi=1760639132","1760639132")</f>
        <v>1760639132</v>
      </c>
      <c r="E21364" t="s">
        <v>5613</v>
      </c>
    </row>
    <row r="21365" spans="1:5" x14ac:dyDescent="0.25">
      <c r="A21365" t="s">
        <v>4</v>
      </c>
      <c r="B21365" t="s">
        <v>4111</v>
      </c>
      <c r="C21365" s="1" t="s">
        <v>23490</v>
      </c>
      <c r="D21365" s="1" t="str">
        <f>HYPERLINK("https://rhld.insurance.arkansas.gov/NPILookup?Npi=1760639678","1760639678")</f>
        <v>1760639678</v>
      </c>
      <c r="E21365" t="s">
        <v>20575</v>
      </c>
    </row>
    <row r="21366" spans="1:5" x14ac:dyDescent="0.25">
      <c r="A21366" t="s">
        <v>4</v>
      </c>
      <c r="B21366" t="s">
        <v>4111</v>
      </c>
      <c r="C21366" s="1" t="s">
        <v>23490</v>
      </c>
      <c r="D21366" s="1" t="str">
        <f>HYPERLINK("https://rhld.insurance.arkansas.gov/NPILookup?Npi=1760648679","1760648679")</f>
        <v>1760648679</v>
      </c>
      <c r="E21366" t="s">
        <v>5614</v>
      </c>
    </row>
    <row r="21367" spans="1:5" x14ac:dyDescent="0.25">
      <c r="A21367" t="s">
        <v>4</v>
      </c>
      <c r="B21367" t="s">
        <v>4111</v>
      </c>
      <c r="C21367" s="1" t="s">
        <v>8427</v>
      </c>
      <c r="D21367" s="1" t="str">
        <f>HYPERLINK("https://rhld.insurance.arkansas.gov/NPILookup?Npi=1760649594","1760649594")</f>
        <v>1760649594</v>
      </c>
      <c r="E21367" t="s">
        <v>23185</v>
      </c>
    </row>
    <row r="21368" spans="1:5" x14ac:dyDescent="0.25">
      <c r="A21368" t="s">
        <v>4</v>
      </c>
      <c r="B21368" t="s">
        <v>4111</v>
      </c>
      <c r="C21368" s="1" t="s">
        <v>23490</v>
      </c>
      <c r="D21368" s="1" t="str">
        <f>HYPERLINK("https://rhld.insurance.arkansas.gov/NPILookup?Npi=1760659031","1760659031")</f>
        <v>1760659031</v>
      </c>
      <c r="E21368" t="s">
        <v>14207</v>
      </c>
    </row>
    <row r="21369" spans="1:5" x14ac:dyDescent="0.25">
      <c r="A21369" t="s">
        <v>4</v>
      </c>
      <c r="B21369" t="s">
        <v>4111</v>
      </c>
      <c r="C21369" s="1" t="s">
        <v>23490</v>
      </c>
      <c r="D21369" s="1" t="str">
        <f>HYPERLINK("https://rhld.insurance.arkansas.gov/NPILookup?Npi=1760659718","1760659718")</f>
        <v>1760659718</v>
      </c>
      <c r="E21369" t="s">
        <v>23186</v>
      </c>
    </row>
    <row r="21370" spans="1:5" x14ac:dyDescent="0.25">
      <c r="A21370" t="s">
        <v>4</v>
      </c>
      <c r="B21370" t="s">
        <v>4111</v>
      </c>
      <c r="C21370" s="1" t="s">
        <v>23490</v>
      </c>
      <c r="D21370" s="1" t="str">
        <f>HYPERLINK("https://rhld.insurance.arkansas.gov/NPILookup?Npi=1760669014","1760669014")</f>
        <v>1760669014</v>
      </c>
      <c r="E21370" t="s">
        <v>22253</v>
      </c>
    </row>
    <row r="21371" spans="1:5" x14ac:dyDescent="0.25">
      <c r="A21371" t="s">
        <v>4</v>
      </c>
      <c r="B21371" t="s">
        <v>4111</v>
      </c>
      <c r="C21371" s="1" t="s">
        <v>23490</v>
      </c>
      <c r="D21371" s="1" t="str">
        <f>HYPERLINK("https://rhld.insurance.arkansas.gov/NPILookup?Npi=1760677272","1760677272")</f>
        <v>1760677272</v>
      </c>
      <c r="E21371" t="s">
        <v>11251</v>
      </c>
    </row>
    <row r="21372" spans="1:5" x14ac:dyDescent="0.25">
      <c r="A21372" t="s">
        <v>4</v>
      </c>
      <c r="B21372" t="s">
        <v>4111</v>
      </c>
      <c r="C21372" s="1" t="s">
        <v>23490</v>
      </c>
      <c r="D21372" s="1" t="str">
        <f>HYPERLINK("https://rhld.insurance.arkansas.gov/NPILookup?Npi=1760678064","1760678064")</f>
        <v>1760678064</v>
      </c>
      <c r="E21372" t="s">
        <v>11819</v>
      </c>
    </row>
    <row r="21373" spans="1:5" x14ac:dyDescent="0.25">
      <c r="A21373" t="s">
        <v>4</v>
      </c>
      <c r="B21373" t="s">
        <v>4111</v>
      </c>
      <c r="C21373" s="1" t="s">
        <v>23490</v>
      </c>
      <c r="D21373" s="1" t="str">
        <f>HYPERLINK("https://rhld.insurance.arkansas.gov/NPILookup?Npi=1760688832","1760688832")</f>
        <v>1760688832</v>
      </c>
      <c r="E21373" t="s">
        <v>20576</v>
      </c>
    </row>
    <row r="21374" spans="1:5" x14ac:dyDescent="0.25">
      <c r="A21374" t="s">
        <v>4</v>
      </c>
      <c r="B21374" t="s">
        <v>4111</v>
      </c>
      <c r="C21374" s="1" t="s">
        <v>23490</v>
      </c>
      <c r="D21374" s="1" t="str">
        <f>HYPERLINK("https://rhld.insurance.arkansas.gov/NPILookup?Npi=1760711451","1760711451")</f>
        <v>1760711451</v>
      </c>
      <c r="E21374" t="s">
        <v>17231</v>
      </c>
    </row>
    <row r="21375" spans="1:5" x14ac:dyDescent="0.25">
      <c r="A21375" t="s">
        <v>4</v>
      </c>
      <c r="B21375" t="s">
        <v>4111</v>
      </c>
      <c r="C21375" s="1" t="s">
        <v>23490</v>
      </c>
      <c r="D21375" s="1" t="str">
        <f>HYPERLINK("https://rhld.insurance.arkansas.gov/NPILookup?Npi=1760712186","1760712186")</f>
        <v>1760712186</v>
      </c>
      <c r="E21375" t="s">
        <v>668</v>
      </c>
    </row>
    <row r="21376" spans="1:5" x14ac:dyDescent="0.25">
      <c r="A21376" t="s">
        <v>4</v>
      </c>
      <c r="B21376" t="s">
        <v>4111</v>
      </c>
      <c r="C21376" s="1" t="s">
        <v>23490</v>
      </c>
      <c r="D21376" s="1" t="str">
        <f>HYPERLINK("https://rhld.insurance.arkansas.gov/NPILookup?Npi=1760722284","1760722284")</f>
        <v>1760722284</v>
      </c>
      <c r="E21376" t="s">
        <v>13688</v>
      </c>
    </row>
    <row r="21377" spans="1:5" x14ac:dyDescent="0.25">
      <c r="A21377" t="s">
        <v>4</v>
      </c>
      <c r="B21377" t="s">
        <v>4111</v>
      </c>
      <c r="C21377" s="1" t="s">
        <v>23490</v>
      </c>
      <c r="D21377" s="1" t="str">
        <f>HYPERLINK("https://rhld.insurance.arkansas.gov/NPILookup?Npi=1760752042","1760752042")</f>
        <v>1760752042</v>
      </c>
      <c r="E21377" t="s">
        <v>20577</v>
      </c>
    </row>
    <row r="21378" spans="1:5" x14ac:dyDescent="0.25">
      <c r="A21378" t="s">
        <v>4</v>
      </c>
      <c r="B21378" t="s">
        <v>4111</v>
      </c>
      <c r="C21378" s="1" t="s">
        <v>23490</v>
      </c>
      <c r="D21378" s="1" t="str">
        <f>HYPERLINK("https://rhld.insurance.arkansas.gov/NPILookup?Npi=1760776066","1760776066")</f>
        <v>1760776066</v>
      </c>
      <c r="E21378" t="s">
        <v>21160</v>
      </c>
    </row>
    <row r="21379" spans="1:5" x14ac:dyDescent="0.25">
      <c r="A21379" t="s">
        <v>4</v>
      </c>
      <c r="B21379" t="s">
        <v>4111</v>
      </c>
      <c r="C21379" s="1" t="s">
        <v>23490</v>
      </c>
      <c r="D21379" s="1" t="str">
        <f>HYPERLINK("https://rhld.insurance.arkansas.gov/NPILookup?Npi=1760780191","1760780191")</f>
        <v>1760780191</v>
      </c>
      <c r="E21379" t="s">
        <v>18425</v>
      </c>
    </row>
    <row r="21380" spans="1:5" x14ac:dyDescent="0.25">
      <c r="A21380" t="s">
        <v>4</v>
      </c>
      <c r="B21380" t="s">
        <v>4111</v>
      </c>
      <c r="C21380" s="1" t="s">
        <v>23490</v>
      </c>
      <c r="D21380" s="1" t="str">
        <f>HYPERLINK("https://rhld.insurance.arkansas.gov/NPILookup?Npi=1760781439","1760781439")</f>
        <v>1760781439</v>
      </c>
      <c r="E21380" t="s">
        <v>17638</v>
      </c>
    </row>
    <row r="21381" spans="1:5" x14ac:dyDescent="0.25">
      <c r="A21381" t="s">
        <v>4</v>
      </c>
      <c r="B21381" t="s">
        <v>4111</v>
      </c>
      <c r="C21381" s="1" t="s">
        <v>23490</v>
      </c>
      <c r="D21381" s="1" t="str">
        <f>HYPERLINK("https://rhld.insurance.arkansas.gov/NPILookup?Npi=1760789283","1760789283")</f>
        <v>1760789283</v>
      </c>
      <c r="E21381" t="s">
        <v>5615</v>
      </c>
    </row>
    <row r="21382" spans="1:5" x14ac:dyDescent="0.25">
      <c r="A21382" t="s">
        <v>4</v>
      </c>
      <c r="B21382" t="s">
        <v>4111</v>
      </c>
      <c r="C21382" s="1" t="s">
        <v>23490</v>
      </c>
      <c r="D21382" s="1" t="str">
        <f>HYPERLINK("https://rhld.insurance.arkansas.gov/NPILookup?Npi=1760803241","1760803241")</f>
        <v>1760803241</v>
      </c>
      <c r="E21382" t="s">
        <v>17639</v>
      </c>
    </row>
    <row r="21383" spans="1:5" x14ac:dyDescent="0.25">
      <c r="A21383" t="s">
        <v>4</v>
      </c>
      <c r="B21383" t="s">
        <v>4111</v>
      </c>
      <c r="C21383" s="1" t="s">
        <v>23490</v>
      </c>
      <c r="D21383" s="1" t="str">
        <f>HYPERLINK("https://rhld.insurance.arkansas.gov/NPILookup?Npi=1760806368","1760806368")</f>
        <v>1760806368</v>
      </c>
      <c r="E21383" t="s">
        <v>17640</v>
      </c>
    </row>
    <row r="21384" spans="1:5" x14ac:dyDescent="0.25">
      <c r="A21384" t="s">
        <v>4</v>
      </c>
      <c r="B21384" t="s">
        <v>4111</v>
      </c>
      <c r="C21384" s="1" t="s">
        <v>23490</v>
      </c>
      <c r="D21384" s="1" t="str">
        <f>HYPERLINK("https://rhld.insurance.arkansas.gov/NPILookup?Npi=1760809677","1760809677")</f>
        <v>1760809677</v>
      </c>
      <c r="E21384" t="s">
        <v>11820</v>
      </c>
    </row>
    <row r="21385" spans="1:5" x14ac:dyDescent="0.25">
      <c r="A21385" t="s">
        <v>4</v>
      </c>
      <c r="B21385" t="s">
        <v>4111</v>
      </c>
      <c r="C21385" s="1" t="s">
        <v>23490</v>
      </c>
      <c r="D21385" s="1" t="str">
        <f>HYPERLINK("https://rhld.insurance.arkansas.gov/NPILookup?Npi=1760820872","1760820872")</f>
        <v>1760820872</v>
      </c>
      <c r="E21385" t="s">
        <v>22254</v>
      </c>
    </row>
    <row r="21386" spans="1:5" x14ac:dyDescent="0.25">
      <c r="A21386" t="s">
        <v>4</v>
      </c>
      <c r="B21386" t="s">
        <v>4111</v>
      </c>
      <c r="C21386" s="1" t="s">
        <v>23490</v>
      </c>
      <c r="D21386" s="1" t="str">
        <f>HYPERLINK("https://rhld.insurance.arkansas.gov/NPILookup?Npi=1760824569","1760824569")</f>
        <v>1760824569</v>
      </c>
      <c r="E21386" t="s">
        <v>11821</v>
      </c>
    </row>
    <row r="21387" spans="1:5" x14ac:dyDescent="0.25">
      <c r="A21387" t="s">
        <v>4</v>
      </c>
      <c r="B21387" t="s">
        <v>4111</v>
      </c>
      <c r="C21387" s="1" t="s">
        <v>23490</v>
      </c>
      <c r="D21387" s="1" t="str">
        <f>HYPERLINK("https://rhld.insurance.arkansas.gov/NPILookup?Npi=1760839245","1760839245")</f>
        <v>1760839245</v>
      </c>
      <c r="E21387" t="s">
        <v>22255</v>
      </c>
    </row>
    <row r="21388" spans="1:5" x14ac:dyDescent="0.25">
      <c r="A21388" t="s">
        <v>4</v>
      </c>
      <c r="B21388" t="s">
        <v>4111</v>
      </c>
      <c r="C21388" s="1" t="s">
        <v>23490</v>
      </c>
      <c r="D21388" s="1" t="str">
        <f>HYPERLINK("https://rhld.insurance.arkansas.gov/NPILookup?Npi=1760848881","1760848881")</f>
        <v>1760848881</v>
      </c>
      <c r="E21388" t="s">
        <v>20578</v>
      </c>
    </row>
    <row r="21389" spans="1:5" x14ac:dyDescent="0.25">
      <c r="A21389" t="s">
        <v>4</v>
      </c>
      <c r="B21389" t="s">
        <v>4111</v>
      </c>
      <c r="C21389" s="1" t="s">
        <v>8427</v>
      </c>
      <c r="D21389" s="1" t="str">
        <f>HYPERLINK("https://rhld.insurance.arkansas.gov/NPILookup?Npi=1760851703","1760851703")</f>
        <v>1760851703</v>
      </c>
      <c r="E21389" t="s">
        <v>16095</v>
      </c>
    </row>
    <row r="21390" spans="1:5" x14ac:dyDescent="0.25">
      <c r="A21390" t="s">
        <v>4</v>
      </c>
      <c r="B21390" t="s">
        <v>4111</v>
      </c>
      <c r="C21390" s="1" t="s">
        <v>23490</v>
      </c>
      <c r="D21390" s="1" t="str">
        <f>HYPERLINK("https://rhld.insurance.arkansas.gov/NPILookup?Npi=1760855696","1760855696")</f>
        <v>1760855696</v>
      </c>
      <c r="E21390" t="s">
        <v>22256</v>
      </c>
    </row>
    <row r="21391" spans="1:5" x14ac:dyDescent="0.25">
      <c r="A21391" t="s">
        <v>4</v>
      </c>
      <c r="B21391" t="s">
        <v>4111</v>
      </c>
      <c r="C21391" s="1" t="s">
        <v>23490</v>
      </c>
      <c r="D21391" s="1" t="str">
        <f>HYPERLINK("https://rhld.insurance.arkansas.gov/NPILookup?Npi=1760864680","1760864680")</f>
        <v>1760864680</v>
      </c>
      <c r="E21391" t="s">
        <v>13204</v>
      </c>
    </row>
    <row r="21392" spans="1:5" x14ac:dyDescent="0.25">
      <c r="A21392" t="s">
        <v>4</v>
      </c>
      <c r="B21392" t="s">
        <v>4111</v>
      </c>
      <c r="C21392" s="1" t="s">
        <v>23490</v>
      </c>
      <c r="D21392" s="1" t="str">
        <f>HYPERLINK("https://rhld.insurance.arkansas.gov/NPILookup?Npi=1760873988","1760873988")</f>
        <v>1760873988</v>
      </c>
      <c r="E21392" t="s">
        <v>16220</v>
      </c>
    </row>
    <row r="21393" spans="1:5" x14ac:dyDescent="0.25">
      <c r="A21393" t="s">
        <v>4</v>
      </c>
      <c r="B21393" t="s">
        <v>4111</v>
      </c>
      <c r="C21393" s="1" t="s">
        <v>23490</v>
      </c>
      <c r="D21393" s="1" t="str">
        <f>HYPERLINK("https://rhld.insurance.arkansas.gov/NPILookup?Npi=1760875561","1760875561")</f>
        <v>1760875561</v>
      </c>
      <c r="E21393" t="s">
        <v>17232</v>
      </c>
    </row>
    <row r="21394" spans="1:5" x14ac:dyDescent="0.25">
      <c r="A21394" t="s">
        <v>4</v>
      </c>
      <c r="B21394" t="s">
        <v>4111</v>
      </c>
      <c r="C21394" s="1" t="s">
        <v>23490</v>
      </c>
      <c r="D21394" s="1" t="str">
        <f>HYPERLINK("https://rhld.insurance.arkansas.gov/NPILookup?Npi=1760887236","1760887236")</f>
        <v>1760887236</v>
      </c>
      <c r="E21394" t="s">
        <v>17641</v>
      </c>
    </row>
    <row r="21395" spans="1:5" x14ac:dyDescent="0.25">
      <c r="A21395" t="s">
        <v>4</v>
      </c>
      <c r="B21395" t="s">
        <v>4111</v>
      </c>
      <c r="C21395" s="1" t="s">
        <v>23490</v>
      </c>
      <c r="D21395" s="1" t="str">
        <f>HYPERLINK("https://rhld.insurance.arkansas.gov/NPILookup?Npi=1760895213","1760895213")</f>
        <v>1760895213</v>
      </c>
      <c r="E21395" t="s">
        <v>11822</v>
      </c>
    </row>
    <row r="21396" spans="1:5" x14ac:dyDescent="0.25">
      <c r="A21396" t="s">
        <v>4</v>
      </c>
      <c r="B21396" t="s">
        <v>4111</v>
      </c>
      <c r="C21396" s="1" t="s">
        <v>23490</v>
      </c>
      <c r="D21396" s="1" t="str">
        <f>HYPERLINK("https://rhld.insurance.arkansas.gov/NPILookup?Npi=1760896690","1760896690")</f>
        <v>1760896690</v>
      </c>
      <c r="E21396" t="s">
        <v>22257</v>
      </c>
    </row>
    <row r="21397" spans="1:5" x14ac:dyDescent="0.25">
      <c r="A21397" t="s">
        <v>4</v>
      </c>
      <c r="B21397" t="s">
        <v>4111</v>
      </c>
      <c r="C21397" s="1" t="s">
        <v>23490</v>
      </c>
      <c r="D21397" s="1" t="str">
        <f>HYPERLINK("https://rhld.insurance.arkansas.gov/NPILookup?Npi=1760897847","1760897847")</f>
        <v>1760897847</v>
      </c>
      <c r="E21397" t="s">
        <v>22258</v>
      </c>
    </row>
    <row r="21398" spans="1:5" x14ac:dyDescent="0.25">
      <c r="A21398" t="s">
        <v>4</v>
      </c>
      <c r="B21398" t="s">
        <v>4111</v>
      </c>
      <c r="C21398" s="1" t="s">
        <v>23490</v>
      </c>
      <c r="D21398" s="1" t="str">
        <f>HYPERLINK("https://rhld.insurance.arkansas.gov/NPILookup?Npi=1760902712","1760902712")</f>
        <v>1760902712</v>
      </c>
      <c r="E21398" t="s">
        <v>16221</v>
      </c>
    </row>
    <row r="21399" spans="1:5" x14ac:dyDescent="0.25">
      <c r="A21399" t="s">
        <v>4</v>
      </c>
      <c r="B21399" t="s">
        <v>4111</v>
      </c>
      <c r="C21399" s="1" t="s">
        <v>23490</v>
      </c>
      <c r="D21399" s="1" t="str">
        <f>HYPERLINK("https://rhld.insurance.arkansas.gov/NPILookup?Npi=1760904940","1760904940")</f>
        <v>1760904940</v>
      </c>
      <c r="E21399" t="s">
        <v>22259</v>
      </c>
    </row>
    <row r="21400" spans="1:5" x14ac:dyDescent="0.25">
      <c r="A21400" t="s">
        <v>4</v>
      </c>
      <c r="B21400" t="s">
        <v>4111</v>
      </c>
      <c r="C21400" s="1" t="s">
        <v>23490</v>
      </c>
      <c r="D21400" s="1" t="str">
        <f>HYPERLINK("https://rhld.insurance.arkansas.gov/NPILookup?Npi=1760905129","1760905129")</f>
        <v>1760905129</v>
      </c>
      <c r="E21400" t="s">
        <v>17233</v>
      </c>
    </row>
    <row r="21401" spans="1:5" x14ac:dyDescent="0.25">
      <c r="A21401" t="s">
        <v>4</v>
      </c>
      <c r="B21401" t="s">
        <v>4111</v>
      </c>
      <c r="C21401" s="1" t="s">
        <v>23490</v>
      </c>
      <c r="D21401" s="1" t="str">
        <f>HYPERLINK("https://rhld.insurance.arkansas.gov/NPILookup?Npi=1760907091","1760907091")</f>
        <v>1760907091</v>
      </c>
      <c r="E21401" t="s">
        <v>14208</v>
      </c>
    </row>
    <row r="21402" spans="1:5" x14ac:dyDescent="0.25">
      <c r="A21402" t="s">
        <v>4</v>
      </c>
      <c r="B21402" t="s">
        <v>4111</v>
      </c>
      <c r="C21402" s="1" t="s">
        <v>23490</v>
      </c>
      <c r="D21402" s="1" t="str">
        <f>HYPERLINK("https://rhld.insurance.arkansas.gov/NPILookup?Npi=1760919823","1760919823")</f>
        <v>1760919823</v>
      </c>
      <c r="E21402" t="s">
        <v>22260</v>
      </c>
    </row>
    <row r="21403" spans="1:5" x14ac:dyDescent="0.25">
      <c r="A21403" t="s">
        <v>4</v>
      </c>
      <c r="B21403" t="s">
        <v>4111</v>
      </c>
      <c r="C21403" s="1" t="s">
        <v>23490</v>
      </c>
      <c r="D21403" s="1" t="str">
        <f>HYPERLINK("https://rhld.insurance.arkansas.gov/NPILookup?Npi=1760965008","1760965008")</f>
        <v>1760965008</v>
      </c>
      <c r="E21403" t="s">
        <v>20579</v>
      </c>
    </row>
    <row r="21404" spans="1:5" x14ac:dyDescent="0.25">
      <c r="A21404" t="s">
        <v>4</v>
      </c>
      <c r="B21404" t="s">
        <v>4111</v>
      </c>
      <c r="C21404" s="1" t="s">
        <v>23490</v>
      </c>
      <c r="D21404" s="1" t="str">
        <f>HYPERLINK("https://rhld.insurance.arkansas.gov/NPILookup?Npi=1760968705","1760968705")</f>
        <v>1760968705</v>
      </c>
      <c r="E21404" t="s">
        <v>18426</v>
      </c>
    </row>
    <row r="21405" spans="1:5" x14ac:dyDescent="0.25">
      <c r="A21405" t="s">
        <v>4</v>
      </c>
      <c r="B21405" t="s">
        <v>4111</v>
      </c>
      <c r="C21405" s="1" t="s">
        <v>23490</v>
      </c>
      <c r="D21405" s="1" t="str">
        <f>HYPERLINK("https://rhld.insurance.arkansas.gov/NPILookup?Npi=1770002461","1770002461")</f>
        <v>1770002461</v>
      </c>
      <c r="E21405" t="s">
        <v>22261</v>
      </c>
    </row>
    <row r="21406" spans="1:5" x14ac:dyDescent="0.25">
      <c r="A21406" t="s">
        <v>4</v>
      </c>
      <c r="B21406" t="s">
        <v>4111</v>
      </c>
      <c r="C21406" s="1" t="s">
        <v>23490</v>
      </c>
      <c r="D21406" s="1" t="str">
        <f>HYPERLINK("https://rhld.insurance.arkansas.gov/NPILookup?Npi=1770032328","1770032328")</f>
        <v>1770032328</v>
      </c>
      <c r="E21406" t="s">
        <v>21161</v>
      </c>
    </row>
    <row r="21407" spans="1:5" x14ac:dyDescent="0.25">
      <c r="A21407" t="s">
        <v>4</v>
      </c>
      <c r="B21407" t="s">
        <v>4111</v>
      </c>
      <c r="C21407" s="1" t="s">
        <v>23490</v>
      </c>
      <c r="D21407" s="1" t="str">
        <f>HYPERLINK("https://rhld.insurance.arkansas.gov/NPILookup?Npi=1770076358","1770076358")</f>
        <v>1770076358</v>
      </c>
      <c r="E21407" t="s">
        <v>18427</v>
      </c>
    </row>
    <row r="21408" spans="1:5" x14ac:dyDescent="0.25">
      <c r="A21408" t="s">
        <v>4</v>
      </c>
      <c r="B21408" t="s">
        <v>4111</v>
      </c>
      <c r="C21408" s="1" t="s">
        <v>23490</v>
      </c>
      <c r="D21408" s="1" t="str">
        <f>HYPERLINK("https://rhld.insurance.arkansas.gov/NPILookup?Npi=1770098964","1770098964")</f>
        <v>1770098964</v>
      </c>
      <c r="E21408" t="s">
        <v>12903</v>
      </c>
    </row>
    <row r="21409" spans="1:5" x14ac:dyDescent="0.25">
      <c r="A21409" t="s">
        <v>4</v>
      </c>
      <c r="B21409" t="s">
        <v>4111</v>
      </c>
      <c r="C21409" s="1" t="s">
        <v>23490</v>
      </c>
      <c r="D21409" s="1" t="str">
        <f>HYPERLINK("https://rhld.insurance.arkansas.gov/NPILookup?Npi=1770114050","1770114050")</f>
        <v>1770114050</v>
      </c>
      <c r="E21409" t="s">
        <v>22262</v>
      </c>
    </row>
    <row r="21410" spans="1:5" x14ac:dyDescent="0.25">
      <c r="A21410" t="s">
        <v>4</v>
      </c>
      <c r="B21410" t="s">
        <v>4111</v>
      </c>
      <c r="C21410" s="1" t="s">
        <v>23490</v>
      </c>
      <c r="D21410" s="1" t="str">
        <f>HYPERLINK("https://rhld.insurance.arkansas.gov/NPILookup?Npi=1770126369","1770126369")</f>
        <v>1770126369</v>
      </c>
      <c r="E21410" t="s">
        <v>22263</v>
      </c>
    </row>
    <row r="21411" spans="1:5" x14ac:dyDescent="0.25">
      <c r="A21411" t="s">
        <v>4</v>
      </c>
      <c r="B21411" t="s">
        <v>4111</v>
      </c>
      <c r="C21411" s="1" t="s">
        <v>23490</v>
      </c>
      <c r="D21411" s="1" t="str">
        <f>HYPERLINK("https://rhld.insurance.arkansas.gov/NPILookup?Npi=1770212219","1770212219")</f>
        <v>1770212219</v>
      </c>
      <c r="E21411" t="s">
        <v>22264</v>
      </c>
    </row>
    <row r="21412" spans="1:5" x14ac:dyDescent="0.25">
      <c r="A21412" t="s">
        <v>4</v>
      </c>
      <c r="B21412" t="s">
        <v>4111</v>
      </c>
      <c r="C21412" s="1" t="s">
        <v>23490</v>
      </c>
      <c r="D21412" s="1" t="str">
        <f>HYPERLINK("https://rhld.insurance.arkansas.gov/NPILookup?Npi=1770216103","1770216103")</f>
        <v>1770216103</v>
      </c>
      <c r="E21412" t="s">
        <v>21162</v>
      </c>
    </row>
    <row r="21413" spans="1:5" x14ac:dyDescent="0.25">
      <c r="A21413" t="s">
        <v>4</v>
      </c>
      <c r="B21413" t="s">
        <v>4111</v>
      </c>
      <c r="C21413" s="1" t="s">
        <v>23490</v>
      </c>
      <c r="D21413" s="1" t="str">
        <f>HYPERLINK("https://rhld.insurance.arkansas.gov/NPILookup?Npi=1770234957","1770234957")</f>
        <v>1770234957</v>
      </c>
      <c r="E21413" t="s">
        <v>22265</v>
      </c>
    </row>
    <row r="21414" spans="1:5" x14ac:dyDescent="0.25">
      <c r="A21414" t="s">
        <v>4</v>
      </c>
      <c r="B21414" t="s">
        <v>4111</v>
      </c>
      <c r="C21414" s="1" t="s">
        <v>23490</v>
      </c>
      <c r="D21414" s="1" t="str">
        <f>HYPERLINK("https://rhld.insurance.arkansas.gov/NPILookup?Npi=1770506677","1770506677")</f>
        <v>1770506677</v>
      </c>
      <c r="E21414" t="s">
        <v>5616</v>
      </c>
    </row>
    <row r="21415" spans="1:5" x14ac:dyDescent="0.25">
      <c r="A21415" t="s">
        <v>4</v>
      </c>
      <c r="B21415" t="s">
        <v>4111</v>
      </c>
      <c r="C21415" s="1" t="s">
        <v>23490</v>
      </c>
      <c r="D21415" s="1" t="str">
        <f>HYPERLINK("https://rhld.insurance.arkansas.gov/NPILookup?Npi=1770515322","1770515322")</f>
        <v>1770515322</v>
      </c>
      <c r="E21415" t="s">
        <v>5617</v>
      </c>
    </row>
    <row r="21416" spans="1:5" x14ac:dyDescent="0.25">
      <c r="A21416" t="s">
        <v>4</v>
      </c>
      <c r="B21416" t="s">
        <v>4111</v>
      </c>
      <c r="C21416" s="1" t="s">
        <v>23490</v>
      </c>
      <c r="D21416" s="1" t="str">
        <f>HYPERLINK("https://rhld.insurance.arkansas.gov/NPILookup?Npi=1770521544","1770521544")</f>
        <v>1770521544</v>
      </c>
      <c r="E21416" t="s">
        <v>5618</v>
      </c>
    </row>
    <row r="21417" spans="1:5" x14ac:dyDescent="0.25">
      <c r="A21417" t="s">
        <v>4</v>
      </c>
      <c r="B21417" t="s">
        <v>4111</v>
      </c>
      <c r="C21417" s="1" t="s">
        <v>23490</v>
      </c>
      <c r="D21417" s="1" t="str">
        <f>HYPERLINK("https://rhld.insurance.arkansas.gov/NPILookup?Npi=1770540437","1770540437")</f>
        <v>1770540437</v>
      </c>
      <c r="E21417" t="s">
        <v>5619</v>
      </c>
    </row>
    <row r="21418" spans="1:5" x14ac:dyDescent="0.25">
      <c r="A21418" t="s">
        <v>4</v>
      </c>
      <c r="B21418" t="s">
        <v>4111</v>
      </c>
      <c r="C21418" s="1" t="s">
        <v>23490</v>
      </c>
      <c r="D21418" s="1" t="str">
        <f>HYPERLINK("https://rhld.insurance.arkansas.gov/NPILookup?Npi=1770572935","1770572935")</f>
        <v>1770572935</v>
      </c>
      <c r="E21418" t="s">
        <v>5620</v>
      </c>
    </row>
    <row r="21419" spans="1:5" x14ac:dyDescent="0.25">
      <c r="A21419" t="s">
        <v>4</v>
      </c>
      <c r="B21419" t="s">
        <v>4111</v>
      </c>
      <c r="C21419" s="1" t="s">
        <v>23490</v>
      </c>
      <c r="D21419" s="1" t="str">
        <f>HYPERLINK("https://rhld.insurance.arkansas.gov/NPILookup?Npi=1770575177","1770575177")</f>
        <v>1770575177</v>
      </c>
      <c r="E21419" t="s">
        <v>5621</v>
      </c>
    </row>
    <row r="21420" spans="1:5" x14ac:dyDescent="0.25">
      <c r="A21420" t="s">
        <v>4</v>
      </c>
      <c r="B21420" t="s">
        <v>4111</v>
      </c>
      <c r="C21420" s="1" t="s">
        <v>23490</v>
      </c>
      <c r="D21420" s="1" t="str">
        <f>HYPERLINK("https://rhld.insurance.arkansas.gov/NPILookup?Npi=1770604746","1770604746")</f>
        <v>1770604746</v>
      </c>
      <c r="E21420" t="s">
        <v>14209</v>
      </c>
    </row>
    <row r="21421" spans="1:5" x14ac:dyDescent="0.25">
      <c r="A21421" t="s">
        <v>4</v>
      </c>
      <c r="B21421" t="s">
        <v>4111</v>
      </c>
      <c r="C21421" s="1" t="s">
        <v>23490</v>
      </c>
      <c r="D21421" s="1" t="str">
        <f>HYPERLINK("https://rhld.insurance.arkansas.gov/NPILookup?Npi=1770605057","1770605057")</f>
        <v>1770605057</v>
      </c>
      <c r="E21421" t="s">
        <v>5622</v>
      </c>
    </row>
    <row r="21422" spans="1:5" x14ac:dyDescent="0.25">
      <c r="A21422" t="s">
        <v>4</v>
      </c>
      <c r="B21422" t="s">
        <v>4111</v>
      </c>
      <c r="C21422" s="1" t="s">
        <v>23490</v>
      </c>
      <c r="D21422" s="1" t="str">
        <f>HYPERLINK("https://rhld.insurance.arkansas.gov/NPILookup?Npi=1770624132","1770624132")</f>
        <v>1770624132</v>
      </c>
      <c r="E21422" t="s">
        <v>5623</v>
      </c>
    </row>
    <row r="21423" spans="1:5" x14ac:dyDescent="0.25">
      <c r="A21423" t="s">
        <v>4</v>
      </c>
      <c r="B21423" t="s">
        <v>4111</v>
      </c>
      <c r="C21423" s="1" t="s">
        <v>23490</v>
      </c>
      <c r="D21423" s="1" t="str">
        <f>HYPERLINK("https://rhld.insurance.arkansas.gov/NPILookup?Npi=1770626145","1770626145")</f>
        <v>1770626145</v>
      </c>
      <c r="E21423" t="s">
        <v>5624</v>
      </c>
    </row>
    <row r="21424" spans="1:5" x14ac:dyDescent="0.25">
      <c r="A21424" t="s">
        <v>4</v>
      </c>
      <c r="B21424" t="s">
        <v>4111</v>
      </c>
      <c r="C21424" s="1" t="s">
        <v>23490</v>
      </c>
      <c r="D21424" s="1" t="str">
        <f>HYPERLINK("https://rhld.insurance.arkansas.gov/NPILookup?Npi=1770627986","1770627986")</f>
        <v>1770627986</v>
      </c>
      <c r="E21424" t="s">
        <v>5625</v>
      </c>
    </row>
    <row r="21425" spans="1:5" x14ac:dyDescent="0.25">
      <c r="A21425" t="s">
        <v>4</v>
      </c>
      <c r="B21425" t="s">
        <v>4111</v>
      </c>
      <c r="C21425" s="1" t="s">
        <v>23490</v>
      </c>
      <c r="D21425" s="1" t="str">
        <f>HYPERLINK("https://rhld.insurance.arkansas.gov/NPILookup?Npi=1770638355","1770638355")</f>
        <v>1770638355</v>
      </c>
      <c r="E21425" t="s">
        <v>5626</v>
      </c>
    </row>
    <row r="21426" spans="1:5" x14ac:dyDescent="0.25">
      <c r="A21426" t="s">
        <v>4</v>
      </c>
      <c r="B21426" t="s">
        <v>4111</v>
      </c>
      <c r="C21426" s="1" t="s">
        <v>23490</v>
      </c>
      <c r="D21426" s="1" t="str">
        <f>HYPERLINK("https://rhld.insurance.arkansas.gov/NPILookup?Npi=1770645285","1770645285")</f>
        <v>1770645285</v>
      </c>
      <c r="E21426" t="s">
        <v>5627</v>
      </c>
    </row>
    <row r="21427" spans="1:5" x14ac:dyDescent="0.25">
      <c r="A21427" t="s">
        <v>4</v>
      </c>
      <c r="B21427" t="s">
        <v>4111</v>
      </c>
      <c r="C21427" s="1" t="s">
        <v>23490</v>
      </c>
      <c r="D21427" s="1" t="str">
        <f>HYPERLINK("https://rhld.insurance.arkansas.gov/NPILookup?Npi=1770645327","1770645327")</f>
        <v>1770645327</v>
      </c>
      <c r="E21427" t="s">
        <v>5628</v>
      </c>
    </row>
    <row r="21428" spans="1:5" x14ac:dyDescent="0.25">
      <c r="A21428" t="s">
        <v>4</v>
      </c>
      <c r="B21428" t="s">
        <v>4111</v>
      </c>
      <c r="C21428" s="1" t="s">
        <v>23490</v>
      </c>
      <c r="D21428" s="1" t="str">
        <f>HYPERLINK("https://rhld.insurance.arkansas.gov/NPILookup?Npi=1770651408","1770651408")</f>
        <v>1770651408</v>
      </c>
      <c r="E21428" t="s">
        <v>5629</v>
      </c>
    </row>
    <row r="21429" spans="1:5" x14ac:dyDescent="0.25">
      <c r="A21429" t="s">
        <v>4</v>
      </c>
      <c r="B21429" t="s">
        <v>4111</v>
      </c>
      <c r="C21429" s="1" t="s">
        <v>23490</v>
      </c>
      <c r="D21429" s="1" t="str">
        <f>HYPERLINK("https://rhld.insurance.arkansas.gov/NPILookup?Npi=1770667859","1770667859")</f>
        <v>1770667859</v>
      </c>
      <c r="E21429" t="s">
        <v>5630</v>
      </c>
    </row>
    <row r="21430" spans="1:5" x14ac:dyDescent="0.25">
      <c r="A21430" t="s">
        <v>4</v>
      </c>
      <c r="B21430" t="s">
        <v>4111</v>
      </c>
      <c r="C21430" s="1" t="s">
        <v>23490</v>
      </c>
      <c r="D21430" s="1" t="str">
        <f>HYPERLINK("https://rhld.insurance.arkansas.gov/NPILookup?Npi=1770678518","1770678518")</f>
        <v>1770678518</v>
      </c>
      <c r="E21430" t="s">
        <v>5631</v>
      </c>
    </row>
    <row r="21431" spans="1:5" x14ac:dyDescent="0.25">
      <c r="A21431" t="s">
        <v>4</v>
      </c>
      <c r="B21431" t="s">
        <v>4111</v>
      </c>
      <c r="C21431" s="1" t="s">
        <v>23490</v>
      </c>
      <c r="D21431" s="1" t="str">
        <f>HYPERLINK("https://rhld.insurance.arkansas.gov/NPILookup?Npi=1770686750","1770686750")</f>
        <v>1770686750</v>
      </c>
      <c r="E21431" t="s">
        <v>5632</v>
      </c>
    </row>
    <row r="21432" spans="1:5" x14ac:dyDescent="0.25">
      <c r="A21432" t="s">
        <v>4</v>
      </c>
      <c r="B21432" t="s">
        <v>4111</v>
      </c>
      <c r="C21432" s="1" t="s">
        <v>23490</v>
      </c>
      <c r="D21432" s="1" t="str">
        <f>HYPERLINK("https://rhld.insurance.arkansas.gov/NPILookup?Npi=1770687287","1770687287")</f>
        <v>1770687287</v>
      </c>
      <c r="E21432" t="s">
        <v>5633</v>
      </c>
    </row>
    <row r="21433" spans="1:5" x14ac:dyDescent="0.25">
      <c r="A21433" t="s">
        <v>4</v>
      </c>
      <c r="B21433" t="s">
        <v>4111</v>
      </c>
      <c r="C21433" s="1" t="s">
        <v>23490</v>
      </c>
      <c r="D21433" s="1" t="str">
        <f>HYPERLINK("https://rhld.insurance.arkansas.gov/NPILookup?Npi=1770701997","1770701997")</f>
        <v>1770701997</v>
      </c>
      <c r="E21433" t="s">
        <v>5634</v>
      </c>
    </row>
    <row r="21434" spans="1:5" x14ac:dyDescent="0.25">
      <c r="A21434" t="s">
        <v>4</v>
      </c>
      <c r="B21434" t="s">
        <v>4111</v>
      </c>
      <c r="C21434" s="1" t="s">
        <v>23490</v>
      </c>
      <c r="D21434" s="1" t="str">
        <f>HYPERLINK("https://rhld.insurance.arkansas.gov/NPILookup?Npi=1770720500","1770720500")</f>
        <v>1770720500</v>
      </c>
      <c r="E21434" t="s">
        <v>5635</v>
      </c>
    </row>
    <row r="21435" spans="1:5" x14ac:dyDescent="0.25">
      <c r="A21435" t="s">
        <v>4</v>
      </c>
      <c r="B21435" t="s">
        <v>4111</v>
      </c>
      <c r="C21435" s="1" t="s">
        <v>23490</v>
      </c>
      <c r="D21435" s="1" t="str">
        <f>HYPERLINK("https://rhld.insurance.arkansas.gov/NPILookup?Npi=1770727448","1770727448")</f>
        <v>1770727448</v>
      </c>
      <c r="E21435" t="s">
        <v>5636</v>
      </c>
    </row>
    <row r="21436" spans="1:5" x14ac:dyDescent="0.25">
      <c r="A21436" t="s">
        <v>4</v>
      </c>
      <c r="B21436" t="s">
        <v>4111</v>
      </c>
      <c r="C21436" s="1" t="s">
        <v>23490</v>
      </c>
      <c r="D21436" s="1" t="str">
        <f>HYPERLINK("https://rhld.insurance.arkansas.gov/NPILookup?Npi=1770735839","1770735839")</f>
        <v>1770735839</v>
      </c>
      <c r="E21436" t="s">
        <v>16222</v>
      </c>
    </row>
    <row r="21437" spans="1:5" x14ac:dyDescent="0.25">
      <c r="A21437" t="s">
        <v>4</v>
      </c>
      <c r="B21437" t="s">
        <v>4111</v>
      </c>
      <c r="C21437" s="1" t="s">
        <v>23490</v>
      </c>
      <c r="D21437" s="1" t="str">
        <f>HYPERLINK("https://rhld.insurance.arkansas.gov/NPILookup?Npi=1770736605","1770736605")</f>
        <v>1770736605</v>
      </c>
      <c r="E21437" t="s">
        <v>5476</v>
      </c>
    </row>
    <row r="21438" spans="1:5" x14ac:dyDescent="0.25">
      <c r="A21438" t="s">
        <v>4</v>
      </c>
      <c r="B21438" t="s">
        <v>4111</v>
      </c>
      <c r="C21438" s="1" t="s">
        <v>23490</v>
      </c>
      <c r="D21438" s="1" t="str">
        <f>HYPERLINK("https://rhld.insurance.arkansas.gov/NPILookup?Npi=1770751372","1770751372")</f>
        <v>1770751372</v>
      </c>
      <c r="E21438" t="s">
        <v>13205</v>
      </c>
    </row>
    <row r="21439" spans="1:5" x14ac:dyDescent="0.25">
      <c r="A21439" t="s">
        <v>4</v>
      </c>
      <c r="B21439" t="s">
        <v>4111</v>
      </c>
      <c r="C21439" s="1" t="s">
        <v>23490</v>
      </c>
      <c r="D21439" s="1" t="str">
        <f>HYPERLINK("https://rhld.insurance.arkansas.gov/NPILookup?Npi=1770767428","1770767428")</f>
        <v>1770767428</v>
      </c>
      <c r="E21439" t="s">
        <v>5637</v>
      </c>
    </row>
    <row r="21440" spans="1:5" x14ac:dyDescent="0.25">
      <c r="A21440" t="s">
        <v>4</v>
      </c>
      <c r="B21440" t="s">
        <v>4111</v>
      </c>
      <c r="C21440" s="1" t="s">
        <v>23490</v>
      </c>
      <c r="D21440" s="1" t="str">
        <f>HYPERLINK("https://rhld.insurance.arkansas.gov/NPILookup?Npi=1770794083","1770794083")</f>
        <v>1770794083</v>
      </c>
      <c r="E21440" t="s">
        <v>5638</v>
      </c>
    </row>
    <row r="21441" spans="1:5" x14ac:dyDescent="0.25">
      <c r="A21441" t="s">
        <v>4</v>
      </c>
      <c r="B21441" t="s">
        <v>4111</v>
      </c>
      <c r="C21441" s="1" t="s">
        <v>23490</v>
      </c>
      <c r="D21441" s="1" t="str">
        <f>HYPERLINK("https://rhld.insurance.arkansas.gov/NPILookup?Npi=1770800492","1770800492")</f>
        <v>1770800492</v>
      </c>
      <c r="E21441" t="s">
        <v>5639</v>
      </c>
    </row>
    <row r="21442" spans="1:5" x14ac:dyDescent="0.25">
      <c r="A21442" t="s">
        <v>4</v>
      </c>
      <c r="B21442" t="s">
        <v>4111</v>
      </c>
      <c r="C21442" s="1" t="s">
        <v>23490</v>
      </c>
      <c r="D21442" s="1" t="str">
        <f>HYPERLINK("https://rhld.insurance.arkansas.gov/NPILookup?Npi=1770830036","1770830036")</f>
        <v>1770830036</v>
      </c>
      <c r="E21442" t="s">
        <v>8364</v>
      </c>
    </row>
    <row r="21443" spans="1:5" x14ac:dyDescent="0.25">
      <c r="A21443" t="s">
        <v>4</v>
      </c>
      <c r="B21443" t="s">
        <v>4111</v>
      </c>
      <c r="C21443" s="1" t="s">
        <v>23490</v>
      </c>
      <c r="D21443" s="1" t="str">
        <f>HYPERLINK("https://rhld.insurance.arkansas.gov/NPILookup?Npi=1770834228","1770834228")</f>
        <v>1770834228</v>
      </c>
      <c r="E21443" t="s">
        <v>17642</v>
      </c>
    </row>
    <row r="21444" spans="1:5" x14ac:dyDescent="0.25">
      <c r="A21444" t="s">
        <v>4</v>
      </c>
      <c r="B21444" t="s">
        <v>4111</v>
      </c>
      <c r="C21444" s="1" t="s">
        <v>23490</v>
      </c>
      <c r="D21444" s="1" t="str">
        <f>HYPERLINK("https://rhld.insurance.arkansas.gov/NPILookup?Npi=1770835068","1770835068")</f>
        <v>1770835068</v>
      </c>
      <c r="E21444" t="s">
        <v>11823</v>
      </c>
    </row>
    <row r="21445" spans="1:5" x14ac:dyDescent="0.25">
      <c r="A21445" t="s">
        <v>4</v>
      </c>
      <c r="B21445" t="s">
        <v>4111</v>
      </c>
      <c r="C21445" s="1" t="s">
        <v>23490</v>
      </c>
      <c r="D21445" s="1" t="str">
        <f>HYPERLINK("https://rhld.insurance.arkansas.gov/NPILookup?Npi=1770836694","1770836694")</f>
        <v>1770836694</v>
      </c>
      <c r="E21445" t="s">
        <v>5640</v>
      </c>
    </row>
    <row r="21446" spans="1:5" x14ac:dyDescent="0.25">
      <c r="A21446" t="s">
        <v>4</v>
      </c>
      <c r="B21446" t="s">
        <v>4111</v>
      </c>
      <c r="C21446" s="1" t="s">
        <v>23490</v>
      </c>
      <c r="D21446" s="1" t="str">
        <f>HYPERLINK("https://rhld.insurance.arkansas.gov/NPILookup?Npi=1770846859","1770846859")</f>
        <v>1770846859</v>
      </c>
      <c r="E21446" t="s">
        <v>5641</v>
      </c>
    </row>
    <row r="21447" spans="1:5" x14ac:dyDescent="0.25">
      <c r="A21447" t="s">
        <v>4</v>
      </c>
      <c r="B21447" t="s">
        <v>4111</v>
      </c>
      <c r="C21447" s="1" t="s">
        <v>23490</v>
      </c>
      <c r="D21447" s="1" t="str">
        <f>HYPERLINK("https://rhld.insurance.arkansas.gov/NPILookup?Npi=1770847022","1770847022")</f>
        <v>1770847022</v>
      </c>
      <c r="E21447" t="s">
        <v>5642</v>
      </c>
    </row>
    <row r="21448" spans="1:5" x14ac:dyDescent="0.25">
      <c r="A21448" t="s">
        <v>4</v>
      </c>
      <c r="B21448" t="s">
        <v>4111</v>
      </c>
      <c r="C21448" s="1" t="s">
        <v>23490</v>
      </c>
      <c r="D21448" s="1" t="str">
        <f>HYPERLINK("https://rhld.insurance.arkansas.gov/NPILookup?Npi=1770848798","1770848798")</f>
        <v>1770848798</v>
      </c>
      <c r="E21448" t="s">
        <v>19018</v>
      </c>
    </row>
    <row r="21449" spans="1:5" x14ac:dyDescent="0.25">
      <c r="A21449" t="s">
        <v>4</v>
      </c>
      <c r="B21449" t="s">
        <v>4111</v>
      </c>
      <c r="C21449" s="1" t="s">
        <v>23490</v>
      </c>
      <c r="D21449" s="1" t="str">
        <f>HYPERLINK("https://rhld.insurance.arkansas.gov/NPILookup?Npi=1770860223","1770860223")</f>
        <v>1770860223</v>
      </c>
      <c r="E21449" t="s">
        <v>5643</v>
      </c>
    </row>
    <row r="21450" spans="1:5" x14ac:dyDescent="0.25">
      <c r="A21450" t="s">
        <v>4</v>
      </c>
      <c r="B21450" t="s">
        <v>4111</v>
      </c>
      <c r="C21450" s="1" t="s">
        <v>23490</v>
      </c>
      <c r="D21450" s="1" t="str">
        <f>HYPERLINK("https://rhld.insurance.arkansas.gov/NPILookup?Npi=1770867533","1770867533")</f>
        <v>1770867533</v>
      </c>
      <c r="E21450" t="s">
        <v>5644</v>
      </c>
    </row>
    <row r="21451" spans="1:5" x14ac:dyDescent="0.25">
      <c r="A21451" t="s">
        <v>4</v>
      </c>
      <c r="B21451" t="s">
        <v>4111</v>
      </c>
      <c r="C21451" s="1" t="s">
        <v>23490</v>
      </c>
      <c r="D21451" s="1" t="str">
        <f>HYPERLINK("https://rhld.insurance.arkansas.gov/NPILookup?Npi=1770869703","1770869703")</f>
        <v>1770869703</v>
      </c>
      <c r="E21451" t="s">
        <v>5645</v>
      </c>
    </row>
    <row r="21452" spans="1:5" x14ac:dyDescent="0.25">
      <c r="A21452" t="s">
        <v>4</v>
      </c>
      <c r="B21452" t="s">
        <v>4111</v>
      </c>
      <c r="C21452" s="1" t="s">
        <v>23490</v>
      </c>
      <c r="D21452" s="1" t="str">
        <f>HYPERLINK("https://rhld.insurance.arkansas.gov/NPILookup?Npi=1770873705","1770873705")</f>
        <v>1770873705</v>
      </c>
      <c r="E21452" t="s">
        <v>11824</v>
      </c>
    </row>
    <row r="21453" spans="1:5" x14ac:dyDescent="0.25">
      <c r="A21453" t="s">
        <v>4</v>
      </c>
      <c r="B21453" t="s">
        <v>4111</v>
      </c>
      <c r="C21453" s="1" t="s">
        <v>23490</v>
      </c>
      <c r="D21453" s="1" t="str">
        <f>HYPERLINK("https://rhld.insurance.arkansas.gov/NPILookup?Npi=1770886228","1770886228")</f>
        <v>1770886228</v>
      </c>
      <c r="E21453" t="s">
        <v>5646</v>
      </c>
    </row>
    <row r="21454" spans="1:5" x14ac:dyDescent="0.25">
      <c r="A21454" t="s">
        <v>4</v>
      </c>
      <c r="B21454" t="s">
        <v>4111</v>
      </c>
      <c r="C21454" s="1" t="s">
        <v>23490</v>
      </c>
      <c r="D21454" s="1" t="str">
        <f>HYPERLINK("https://rhld.insurance.arkansas.gov/NPILookup?Npi=1770953366","1770953366")</f>
        <v>1770953366</v>
      </c>
      <c r="E21454" t="s">
        <v>11825</v>
      </c>
    </row>
    <row r="21455" spans="1:5" x14ac:dyDescent="0.25">
      <c r="A21455" t="s">
        <v>4</v>
      </c>
      <c r="B21455" t="s">
        <v>4111</v>
      </c>
      <c r="C21455" s="1" t="s">
        <v>23490</v>
      </c>
      <c r="D21455" s="1" t="str">
        <f>HYPERLINK("https://rhld.insurance.arkansas.gov/NPILookup?Npi=1770964975","1770964975")</f>
        <v>1770964975</v>
      </c>
      <c r="E21455" t="s">
        <v>98</v>
      </c>
    </row>
    <row r="21456" spans="1:5" x14ac:dyDescent="0.25">
      <c r="A21456" t="s">
        <v>4</v>
      </c>
      <c r="B21456" t="s">
        <v>4111</v>
      </c>
      <c r="C21456" s="1" t="s">
        <v>23490</v>
      </c>
      <c r="D21456" s="1" t="str">
        <f>HYPERLINK("https://rhld.insurance.arkansas.gov/NPILookup?Npi=1770996209","1770996209")</f>
        <v>1770996209</v>
      </c>
      <c r="E21456" t="s">
        <v>20580</v>
      </c>
    </row>
    <row r="21457" spans="1:5" x14ac:dyDescent="0.25">
      <c r="A21457" t="s">
        <v>4</v>
      </c>
      <c r="B21457" t="s">
        <v>4111</v>
      </c>
      <c r="C21457" s="1" t="s">
        <v>23490</v>
      </c>
      <c r="D21457" s="1" t="str">
        <f>HYPERLINK("https://rhld.insurance.arkansas.gov/NPILookup?Npi=1770997108","1770997108")</f>
        <v>1770997108</v>
      </c>
      <c r="E21457" t="s">
        <v>22266</v>
      </c>
    </row>
    <row r="21458" spans="1:5" x14ac:dyDescent="0.25">
      <c r="A21458" t="s">
        <v>4</v>
      </c>
      <c r="B21458" t="s">
        <v>4111</v>
      </c>
      <c r="C21458" s="1" t="s">
        <v>23490</v>
      </c>
      <c r="D21458" s="1" t="str">
        <f>HYPERLINK("https://rhld.insurance.arkansas.gov/NPILookup?Npi=1770997645","1770997645")</f>
        <v>1770997645</v>
      </c>
      <c r="E21458" t="s">
        <v>2447</v>
      </c>
    </row>
    <row r="21459" spans="1:5" x14ac:dyDescent="0.25">
      <c r="A21459" t="s">
        <v>4</v>
      </c>
      <c r="B21459" t="s">
        <v>4111</v>
      </c>
      <c r="C21459" s="1" t="s">
        <v>23490</v>
      </c>
      <c r="D21459" s="1" t="str">
        <f>HYPERLINK("https://rhld.insurance.arkansas.gov/NPILookup?Npi=1770999575","1770999575")</f>
        <v>1770999575</v>
      </c>
      <c r="E21459" t="s">
        <v>16223</v>
      </c>
    </row>
    <row r="21460" spans="1:5" x14ac:dyDescent="0.25">
      <c r="A21460" t="s">
        <v>4</v>
      </c>
      <c r="B21460" t="s">
        <v>4111</v>
      </c>
      <c r="C21460" s="1" t="s">
        <v>23490</v>
      </c>
      <c r="D21460" s="1" t="str">
        <f>HYPERLINK("https://rhld.insurance.arkansas.gov/NPILookup?Npi=1780007187","1780007187")</f>
        <v>1780007187</v>
      </c>
      <c r="E21460" t="s">
        <v>5647</v>
      </c>
    </row>
    <row r="21461" spans="1:5" x14ac:dyDescent="0.25">
      <c r="A21461" t="s">
        <v>4</v>
      </c>
      <c r="B21461" t="s">
        <v>4111</v>
      </c>
      <c r="C21461" s="1" t="s">
        <v>23490</v>
      </c>
      <c r="D21461" s="1" t="str">
        <f>HYPERLINK("https://rhld.insurance.arkansas.gov/NPILookup?Npi=1780008086","1780008086")</f>
        <v>1780008086</v>
      </c>
      <c r="E21461" t="s">
        <v>13206</v>
      </c>
    </row>
    <row r="21462" spans="1:5" x14ac:dyDescent="0.25">
      <c r="A21462" t="s">
        <v>4</v>
      </c>
      <c r="B21462" t="s">
        <v>4111</v>
      </c>
      <c r="C21462" s="1" t="s">
        <v>23490</v>
      </c>
      <c r="D21462" s="1" t="str">
        <f>HYPERLINK("https://rhld.insurance.arkansas.gov/NPILookup?Npi=1780018515","1780018515")</f>
        <v>1780018515</v>
      </c>
      <c r="E21462" t="s">
        <v>11826</v>
      </c>
    </row>
    <row r="21463" spans="1:5" x14ac:dyDescent="0.25">
      <c r="A21463" t="s">
        <v>4</v>
      </c>
      <c r="B21463" t="s">
        <v>4111</v>
      </c>
      <c r="C21463" s="1" t="s">
        <v>23490</v>
      </c>
      <c r="D21463" s="1" t="str">
        <f>HYPERLINK("https://rhld.insurance.arkansas.gov/NPILookup?Npi=1780035675","1780035675")</f>
        <v>1780035675</v>
      </c>
      <c r="E21463" t="s">
        <v>16224</v>
      </c>
    </row>
    <row r="21464" spans="1:5" x14ac:dyDescent="0.25">
      <c r="A21464" t="s">
        <v>4</v>
      </c>
      <c r="B21464" t="s">
        <v>4111</v>
      </c>
      <c r="C21464" s="1" t="s">
        <v>23490</v>
      </c>
      <c r="D21464" s="1" t="str">
        <f>HYPERLINK("https://rhld.insurance.arkansas.gov/NPILookup?Npi=1780053231","1780053231")</f>
        <v>1780053231</v>
      </c>
      <c r="E21464" t="s">
        <v>20581</v>
      </c>
    </row>
    <row r="21465" spans="1:5" x14ac:dyDescent="0.25">
      <c r="A21465" t="s">
        <v>4</v>
      </c>
      <c r="B21465" t="s">
        <v>4111</v>
      </c>
      <c r="C21465" s="1" t="s">
        <v>23490</v>
      </c>
      <c r="D21465" s="1" t="str">
        <f>HYPERLINK("https://rhld.insurance.arkansas.gov/NPILookup?Npi=1780063438","1780063438")</f>
        <v>1780063438</v>
      </c>
      <c r="E21465" t="s">
        <v>13207</v>
      </c>
    </row>
    <row r="21466" spans="1:5" x14ac:dyDescent="0.25">
      <c r="A21466" t="s">
        <v>4</v>
      </c>
      <c r="B21466" t="s">
        <v>4111</v>
      </c>
      <c r="C21466" s="1" t="s">
        <v>23490</v>
      </c>
      <c r="D21466" s="1" t="str">
        <f>HYPERLINK("https://rhld.insurance.arkansas.gov/NPILookup?Npi=1780065367","1780065367")</f>
        <v>1780065367</v>
      </c>
      <c r="E21466" t="s">
        <v>20582</v>
      </c>
    </row>
    <row r="21467" spans="1:5" x14ac:dyDescent="0.25">
      <c r="A21467" t="s">
        <v>4</v>
      </c>
      <c r="B21467" t="s">
        <v>4111</v>
      </c>
      <c r="C21467" s="1" t="s">
        <v>23490</v>
      </c>
      <c r="D21467" s="1" t="str">
        <f>HYPERLINK("https://rhld.insurance.arkansas.gov/NPILookup?Npi=1780069229","1780069229")</f>
        <v>1780069229</v>
      </c>
      <c r="E21467" t="s">
        <v>13208</v>
      </c>
    </row>
    <row r="21468" spans="1:5" x14ac:dyDescent="0.25">
      <c r="A21468" t="s">
        <v>4</v>
      </c>
      <c r="B21468" t="s">
        <v>4111</v>
      </c>
      <c r="C21468" s="1" t="s">
        <v>23490</v>
      </c>
      <c r="D21468" s="1" t="str">
        <f>HYPERLINK("https://rhld.insurance.arkansas.gov/NPILookup?Npi=1780086132","1780086132")</f>
        <v>1780086132</v>
      </c>
      <c r="E21468" t="s">
        <v>3928</v>
      </c>
    </row>
    <row r="21469" spans="1:5" x14ac:dyDescent="0.25">
      <c r="A21469" t="s">
        <v>4</v>
      </c>
      <c r="B21469" t="s">
        <v>4111</v>
      </c>
      <c r="C21469" s="1" t="s">
        <v>23490</v>
      </c>
      <c r="D21469" s="1" t="str">
        <f>HYPERLINK("https://rhld.insurance.arkansas.gov/NPILookup?Npi=1780177113","1780177113")</f>
        <v>1780177113</v>
      </c>
      <c r="E21469" t="s">
        <v>1699</v>
      </c>
    </row>
    <row r="21470" spans="1:5" x14ac:dyDescent="0.25">
      <c r="A21470" t="s">
        <v>4</v>
      </c>
      <c r="B21470" t="s">
        <v>4111</v>
      </c>
      <c r="C21470" s="1" t="s">
        <v>23490</v>
      </c>
      <c r="D21470" s="1" t="str">
        <f>HYPERLINK("https://rhld.insurance.arkansas.gov/NPILookup?Npi=1780215640","1780215640")</f>
        <v>1780215640</v>
      </c>
      <c r="E21470" t="s">
        <v>10818</v>
      </c>
    </row>
    <row r="21471" spans="1:5" x14ac:dyDescent="0.25">
      <c r="A21471" t="s">
        <v>4</v>
      </c>
      <c r="B21471" t="s">
        <v>4111</v>
      </c>
      <c r="C21471" s="1" t="s">
        <v>23490</v>
      </c>
      <c r="D21471" s="1" t="str">
        <f>HYPERLINK("https://rhld.insurance.arkansas.gov/NPILookup?Npi=1780218552","1780218552")</f>
        <v>1780218552</v>
      </c>
      <c r="E21471" t="s">
        <v>17643</v>
      </c>
    </row>
    <row r="21472" spans="1:5" x14ac:dyDescent="0.25">
      <c r="A21472" t="s">
        <v>4</v>
      </c>
      <c r="B21472" t="s">
        <v>4111</v>
      </c>
      <c r="C21472" s="1" t="s">
        <v>23490</v>
      </c>
      <c r="D21472" s="1" t="str">
        <f>HYPERLINK("https://rhld.insurance.arkansas.gov/NPILookup?Npi=1780226571","1780226571")</f>
        <v>1780226571</v>
      </c>
      <c r="E21472" t="s">
        <v>17234</v>
      </c>
    </row>
    <row r="21473" spans="1:5" x14ac:dyDescent="0.25">
      <c r="A21473" t="s">
        <v>4</v>
      </c>
      <c r="B21473" t="s">
        <v>4111</v>
      </c>
      <c r="C21473" s="1" t="s">
        <v>23490</v>
      </c>
      <c r="D21473" s="1" t="str">
        <f>HYPERLINK("https://rhld.insurance.arkansas.gov/NPILookup?Npi=1780242560","1780242560")</f>
        <v>1780242560</v>
      </c>
      <c r="E21473" t="s">
        <v>22267</v>
      </c>
    </row>
    <row r="21474" spans="1:5" x14ac:dyDescent="0.25">
      <c r="A21474" t="s">
        <v>4</v>
      </c>
      <c r="B21474" t="s">
        <v>4111</v>
      </c>
      <c r="C21474" s="1" t="s">
        <v>8427</v>
      </c>
      <c r="D21474" s="1" t="str">
        <f>HYPERLINK("https://rhld.insurance.arkansas.gov/NPILookup?Npi=1780292771","1780292771")</f>
        <v>1780292771</v>
      </c>
      <c r="E21474" t="s">
        <v>23187</v>
      </c>
    </row>
    <row r="21475" spans="1:5" x14ac:dyDescent="0.25">
      <c r="A21475" t="s">
        <v>4</v>
      </c>
      <c r="B21475" t="s">
        <v>4111</v>
      </c>
      <c r="C21475" s="1" t="s">
        <v>23490</v>
      </c>
      <c r="D21475" s="1" t="str">
        <f>HYPERLINK("https://rhld.insurance.arkansas.gov/NPILookup?Npi=1780297671","1780297671")</f>
        <v>1780297671</v>
      </c>
      <c r="E21475" t="s">
        <v>22268</v>
      </c>
    </row>
    <row r="21476" spans="1:5" x14ac:dyDescent="0.25">
      <c r="A21476" t="s">
        <v>4</v>
      </c>
      <c r="B21476" t="s">
        <v>4111</v>
      </c>
      <c r="C21476" s="1" t="s">
        <v>23490</v>
      </c>
      <c r="D21476" s="1" t="str">
        <f>HYPERLINK("https://rhld.insurance.arkansas.gov/NPILookup?Npi=1780299859","1780299859")</f>
        <v>1780299859</v>
      </c>
      <c r="E21476" t="s">
        <v>22269</v>
      </c>
    </row>
    <row r="21477" spans="1:5" x14ac:dyDescent="0.25">
      <c r="A21477" t="s">
        <v>4</v>
      </c>
      <c r="B21477" t="s">
        <v>4111</v>
      </c>
      <c r="C21477" s="1" t="s">
        <v>23490</v>
      </c>
      <c r="D21477" s="1" t="str">
        <f>HYPERLINK("https://rhld.insurance.arkansas.gov/NPILookup?Npi=1780301630","1780301630")</f>
        <v>1780301630</v>
      </c>
      <c r="E21477" t="s">
        <v>22270</v>
      </c>
    </row>
    <row r="21478" spans="1:5" x14ac:dyDescent="0.25">
      <c r="A21478" t="s">
        <v>4</v>
      </c>
      <c r="B21478" t="s">
        <v>4111</v>
      </c>
      <c r="C21478" s="1" t="s">
        <v>23490</v>
      </c>
      <c r="D21478" s="1" t="str">
        <f>HYPERLINK("https://rhld.insurance.arkansas.gov/NPILookup?Npi=1780318915","1780318915")</f>
        <v>1780318915</v>
      </c>
      <c r="E21478" t="s">
        <v>21163</v>
      </c>
    </row>
    <row r="21479" spans="1:5" x14ac:dyDescent="0.25">
      <c r="A21479" t="s">
        <v>4</v>
      </c>
      <c r="B21479" t="s">
        <v>4111</v>
      </c>
      <c r="C21479" s="1" t="s">
        <v>8427</v>
      </c>
      <c r="D21479" s="1" t="str">
        <f>HYPERLINK("https://rhld.insurance.arkansas.gov/NPILookup?Npi=1780340174","1780340174")</f>
        <v>1780340174</v>
      </c>
      <c r="E21479" t="s">
        <v>23188</v>
      </c>
    </row>
    <row r="21480" spans="1:5" x14ac:dyDescent="0.25">
      <c r="A21480" t="s">
        <v>4</v>
      </c>
      <c r="B21480" t="s">
        <v>4111</v>
      </c>
      <c r="C21480" s="1" t="s">
        <v>23490</v>
      </c>
      <c r="D21480" s="1" t="str">
        <f>HYPERLINK("https://rhld.insurance.arkansas.gov/NPILookup?Npi=1780348474","1780348474")</f>
        <v>1780348474</v>
      </c>
      <c r="E21480" t="s">
        <v>22271</v>
      </c>
    </row>
    <row r="21481" spans="1:5" x14ac:dyDescent="0.25">
      <c r="A21481" t="s">
        <v>4</v>
      </c>
      <c r="B21481" t="s">
        <v>4111</v>
      </c>
      <c r="C21481" s="1" t="s">
        <v>23490</v>
      </c>
      <c r="D21481" s="1" t="str">
        <f>HYPERLINK("https://rhld.insurance.arkansas.gov/NPILookup?Npi=1780354951","1780354951")</f>
        <v>1780354951</v>
      </c>
      <c r="E21481" t="s">
        <v>22272</v>
      </c>
    </row>
    <row r="21482" spans="1:5" x14ac:dyDescent="0.25">
      <c r="A21482" t="s">
        <v>4</v>
      </c>
      <c r="B21482" t="s">
        <v>4111</v>
      </c>
      <c r="C21482" s="1" t="s">
        <v>23490</v>
      </c>
      <c r="D21482" s="1" t="str">
        <f>HYPERLINK("https://rhld.insurance.arkansas.gov/NPILookup?Npi=1780638742","1780638742")</f>
        <v>1780638742</v>
      </c>
      <c r="E21482" t="s">
        <v>5648</v>
      </c>
    </row>
    <row r="21483" spans="1:5" x14ac:dyDescent="0.25">
      <c r="A21483" t="s">
        <v>4</v>
      </c>
      <c r="B21483" t="s">
        <v>4111</v>
      </c>
      <c r="C21483" s="1" t="s">
        <v>23490</v>
      </c>
      <c r="D21483" s="1" t="str">
        <f>HYPERLINK("https://rhld.insurance.arkansas.gov/NPILookup?Npi=1780666495","1780666495")</f>
        <v>1780666495</v>
      </c>
      <c r="E21483" t="s">
        <v>11269</v>
      </c>
    </row>
    <row r="21484" spans="1:5" x14ac:dyDescent="0.25">
      <c r="A21484" t="s">
        <v>4</v>
      </c>
      <c r="B21484" t="s">
        <v>4111</v>
      </c>
      <c r="C21484" s="1" t="s">
        <v>23490</v>
      </c>
      <c r="D21484" s="1" t="str">
        <f>HYPERLINK("https://rhld.insurance.arkansas.gov/NPILookup?Npi=1780685024","1780685024")</f>
        <v>1780685024</v>
      </c>
      <c r="E21484" t="s">
        <v>21164</v>
      </c>
    </row>
    <row r="21485" spans="1:5" x14ac:dyDescent="0.25">
      <c r="A21485" t="s">
        <v>4</v>
      </c>
      <c r="B21485" t="s">
        <v>4111</v>
      </c>
      <c r="C21485" s="1" t="s">
        <v>23490</v>
      </c>
      <c r="D21485" s="1" t="str">
        <f>HYPERLINK("https://rhld.insurance.arkansas.gov/NPILookup?Npi=1780689869","1780689869")</f>
        <v>1780689869</v>
      </c>
      <c r="E21485" t="s">
        <v>5649</v>
      </c>
    </row>
    <row r="21486" spans="1:5" x14ac:dyDescent="0.25">
      <c r="A21486" t="s">
        <v>4</v>
      </c>
      <c r="B21486" t="s">
        <v>4111</v>
      </c>
      <c r="C21486" s="1" t="s">
        <v>23490</v>
      </c>
      <c r="D21486" s="1" t="str">
        <f>HYPERLINK("https://rhld.insurance.arkansas.gov/NPILookup?Npi=1780690230","1780690230")</f>
        <v>1780690230</v>
      </c>
      <c r="E21486" t="s">
        <v>11827</v>
      </c>
    </row>
    <row r="21487" spans="1:5" x14ac:dyDescent="0.25">
      <c r="A21487" t="s">
        <v>4</v>
      </c>
      <c r="B21487" t="s">
        <v>4111</v>
      </c>
      <c r="C21487" s="1" t="s">
        <v>23490</v>
      </c>
      <c r="D21487" s="1" t="str">
        <f>HYPERLINK("https://rhld.insurance.arkansas.gov/NPILookup?Npi=1780698548","1780698548")</f>
        <v>1780698548</v>
      </c>
      <c r="E21487" t="s">
        <v>11828</v>
      </c>
    </row>
    <row r="21488" spans="1:5" x14ac:dyDescent="0.25">
      <c r="A21488" t="s">
        <v>4</v>
      </c>
      <c r="B21488" t="s">
        <v>4111</v>
      </c>
      <c r="C21488" s="1" t="s">
        <v>23490</v>
      </c>
      <c r="D21488" s="1" t="str">
        <f>HYPERLINK("https://rhld.insurance.arkansas.gov/NPILookup?Npi=1780706473","1780706473")</f>
        <v>1780706473</v>
      </c>
      <c r="E21488" t="s">
        <v>14210</v>
      </c>
    </row>
    <row r="21489" spans="1:5" x14ac:dyDescent="0.25">
      <c r="A21489" t="s">
        <v>4</v>
      </c>
      <c r="B21489" t="s">
        <v>4111</v>
      </c>
      <c r="C21489" s="1" t="s">
        <v>23490</v>
      </c>
      <c r="D21489" s="1" t="str">
        <f>HYPERLINK("https://rhld.insurance.arkansas.gov/NPILookup?Npi=1780713404","1780713404")</f>
        <v>1780713404</v>
      </c>
      <c r="E21489" t="s">
        <v>5650</v>
      </c>
    </row>
    <row r="21490" spans="1:5" x14ac:dyDescent="0.25">
      <c r="A21490" t="s">
        <v>4</v>
      </c>
      <c r="B21490" t="s">
        <v>4111</v>
      </c>
      <c r="C21490" s="1" t="s">
        <v>23490</v>
      </c>
      <c r="D21490" s="1" t="str">
        <f>HYPERLINK("https://rhld.insurance.arkansas.gov/NPILookup?Npi=1780714832","1780714832")</f>
        <v>1780714832</v>
      </c>
      <c r="E21490" t="s">
        <v>5651</v>
      </c>
    </row>
    <row r="21491" spans="1:5" x14ac:dyDescent="0.25">
      <c r="A21491" t="s">
        <v>4</v>
      </c>
      <c r="B21491" t="s">
        <v>4111</v>
      </c>
      <c r="C21491" s="1" t="s">
        <v>23490</v>
      </c>
      <c r="D21491" s="1" t="str">
        <f>HYPERLINK("https://rhld.insurance.arkansas.gov/NPILookup?Npi=1780722157","1780722157")</f>
        <v>1780722157</v>
      </c>
      <c r="E21491" t="s">
        <v>5652</v>
      </c>
    </row>
    <row r="21492" spans="1:5" x14ac:dyDescent="0.25">
      <c r="A21492" t="s">
        <v>4</v>
      </c>
      <c r="B21492" t="s">
        <v>4111</v>
      </c>
      <c r="C21492" s="1" t="s">
        <v>23490</v>
      </c>
      <c r="D21492" s="1" t="str">
        <f>HYPERLINK("https://rhld.insurance.arkansas.gov/NPILookup?Npi=1780725770","1780725770")</f>
        <v>1780725770</v>
      </c>
      <c r="E21492" t="s">
        <v>16225</v>
      </c>
    </row>
    <row r="21493" spans="1:5" x14ac:dyDescent="0.25">
      <c r="A21493" t="s">
        <v>4</v>
      </c>
      <c r="B21493" t="s">
        <v>4111</v>
      </c>
      <c r="C21493" s="1" t="s">
        <v>23490</v>
      </c>
      <c r="D21493" s="1" t="str">
        <f>HYPERLINK("https://rhld.insurance.arkansas.gov/NPILookup?Npi=1780726869","1780726869")</f>
        <v>1780726869</v>
      </c>
      <c r="E21493" t="s">
        <v>9155</v>
      </c>
    </row>
    <row r="21494" spans="1:5" x14ac:dyDescent="0.25">
      <c r="A21494" t="s">
        <v>4</v>
      </c>
      <c r="B21494" t="s">
        <v>4111</v>
      </c>
      <c r="C21494" s="1" t="s">
        <v>23490</v>
      </c>
      <c r="D21494" s="1" t="str">
        <f>HYPERLINK("https://rhld.insurance.arkansas.gov/NPILookup?Npi=1780775288","1780775288")</f>
        <v>1780775288</v>
      </c>
      <c r="E21494" t="s">
        <v>5654</v>
      </c>
    </row>
    <row r="21495" spans="1:5" x14ac:dyDescent="0.25">
      <c r="A21495" t="s">
        <v>4</v>
      </c>
      <c r="B21495" t="s">
        <v>4111</v>
      </c>
      <c r="C21495" s="1" t="s">
        <v>23490</v>
      </c>
      <c r="D21495" s="1" t="str">
        <f>HYPERLINK("https://rhld.insurance.arkansas.gov/NPILookup?Npi=1780776948","1780776948")</f>
        <v>1780776948</v>
      </c>
      <c r="E21495" t="s">
        <v>5655</v>
      </c>
    </row>
    <row r="21496" spans="1:5" x14ac:dyDescent="0.25">
      <c r="A21496" t="s">
        <v>4</v>
      </c>
      <c r="B21496" t="s">
        <v>4111</v>
      </c>
      <c r="C21496" s="1" t="s">
        <v>23490</v>
      </c>
      <c r="D21496" s="1" t="str">
        <f>HYPERLINK("https://rhld.insurance.arkansas.gov/NPILookup?Npi=1780779058","1780779058")</f>
        <v>1780779058</v>
      </c>
      <c r="E21496" t="s">
        <v>5656</v>
      </c>
    </row>
    <row r="21497" spans="1:5" x14ac:dyDescent="0.25">
      <c r="A21497" t="s">
        <v>4</v>
      </c>
      <c r="B21497" t="s">
        <v>4111</v>
      </c>
      <c r="C21497" s="1" t="s">
        <v>23490</v>
      </c>
      <c r="D21497" s="1" t="str">
        <f>HYPERLINK("https://rhld.insurance.arkansas.gov/NPILookup?Npi=1780789529","1780789529")</f>
        <v>1780789529</v>
      </c>
      <c r="E21497" t="s">
        <v>5657</v>
      </c>
    </row>
    <row r="21498" spans="1:5" x14ac:dyDescent="0.25">
      <c r="A21498" t="s">
        <v>4</v>
      </c>
      <c r="B21498" t="s">
        <v>4111</v>
      </c>
      <c r="C21498" s="1" t="s">
        <v>23490</v>
      </c>
      <c r="D21498" s="1" t="str">
        <f>HYPERLINK("https://rhld.insurance.arkansas.gov/NPILookup?Npi=1780791897","1780791897")</f>
        <v>1780791897</v>
      </c>
      <c r="E21498" t="s">
        <v>5658</v>
      </c>
    </row>
    <row r="21499" spans="1:5" x14ac:dyDescent="0.25">
      <c r="A21499" t="s">
        <v>4</v>
      </c>
      <c r="B21499" t="s">
        <v>4111</v>
      </c>
      <c r="C21499" s="1" t="s">
        <v>23490</v>
      </c>
      <c r="D21499" s="1" t="str">
        <f>HYPERLINK("https://rhld.insurance.arkansas.gov/NPILookup?Npi=1780813402","1780813402")</f>
        <v>1780813402</v>
      </c>
      <c r="E21499" t="s">
        <v>5659</v>
      </c>
    </row>
    <row r="21500" spans="1:5" x14ac:dyDescent="0.25">
      <c r="A21500" t="s">
        <v>4</v>
      </c>
      <c r="B21500" t="s">
        <v>4111</v>
      </c>
      <c r="C21500" s="1" t="s">
        <v>8427</v>
      </c>
      <c r="D21500" s="1" t="str">
        <f>HYPERLINK("https://rhld.insurance.arkansas.gov/NPILookup?Npi=1780822973","1780822973")</f>
        <v>1780822973</v>
      </c>
      <c r="E21500" t="s">
        <v>23189</v>
      </c>
    </row>
    <row r="21501" spans="1:5" x14ac:dyDescent="0.25">
      <c r="A21501" t="s">
        <v>4</v>
      </c>
      <c r="B21501" t="s">
        <v>4111</v>
      </c>
      <c r="C21501" s="1" t="s">
        <v>23490</v>
      </c>
      <c r="D21501" s="1" t="str">
        <f>HYPERLINK("https://rhld.insurance.arkansas.gov/NPILookup?Npi=1780832121","1780832121")</f>
        <v>1780832121</v>
      </c>
      <c r="E21501" t="s">
        <v>19019</v>
      </c>
    </row>
    <row r="21502" spans="1:5" x14ac:dyDescent="0.25">
      <c r="A21502" t="s">
        <v>4</v>
      </c>
      <c r="B21502" t="s">
        <v>4111</v>
      </c>
      <c r="C21502" s="1" t="s">
        <v>23490</v>
      </c>
      <c r="D21502" s="1" t="str">
        <f>HYPERLINK("https://rhld.insurance.arkansas.gov/NPILookup?Npi=1780835843","1780835843")</f>
        <v>1780835843</v>
      </c>
      <c r="E21502" t="s">
        <v>13209</v>
      </c>
    </row>
    <row r="21503" spans="1:5" x14ac:dyDescent="0.25">
      <c r="A21503" t="s">
        <v>4</v>
      </c>
      <c r="B21503" t="s">
        <v>4111</v>
      </c>
      <c r="C21503" s="1" t="s">
        <v>23490</v>
      </c>
      <c r="D21503" s="1" t="str">
        <f>HYPERLINK("https://rhld.insurance.arkansas.gov/NPILookup?Npi=1780851048","1780851048")</f>
        <v>1780851048</v>
      </c>
      <c r="E21503" t="s">
        <v>9156</v>
      </c>
    </row>
    <row r="21504" spans="1:5" x14ac:dyDescent="0.25">
      <c r="A21504" t="s">
        <v>4</v>
      </c>
      <c r="B21504" t="s">
        <v>4111</v>
      </c>
      <c r="C21504" s="1" t="s">
        <v>23490</v>
      </c>
      <c r="D21504" s="1" t="str">
        <f>HYPERLINK("https://rhld.insurance.arkansas.gov/NPILookup?Npi=1780876227","1780876227")</f>
        <v>1780876227</v>
      </c>
      <c r="E21504" t="s">
        <v>16226</v>
      </c>
    </row>
    <row r="21505" spans="1:5" x14ac:dyDescent="0.25">
      <c r="A21505" t="s">
        <v>4</v>
      </c>
      <c r="B21505" t="s">
        <v>4111</v>
      </c>
      <c r="C21505" s="1" t="s">
        <v>23490</v>
      </c>
      <c r="D21505" s="1" t="str">
        <f>HYPERLINK("https://rhld.insurance.arkansas.gov/NPILookup?Npi=1780897785","1780897785")</f>
        <v>1780897785</v>
      </c>
      <c r="E21505" t="s">
        <v>11270</v>
      </c>
    </row>
    <row r="21506" spans="1:5" x14ac:dyDescent="0.25">
      <c r="A21506" t="s">
        <v>4</v>
      </c>
      <c r="B21506" t="s">
        <v>4111</v>
      </c>
      <c r="C21506" s="1" t="s">
        <v>23490</v>
      </c>
      <c r="D21506" s="1" t="str">
        <f>HYPERLINK("https://rhld.insurance.arkansas.gov/NPILookup?Npi=1780906446","1780906446")</f>
        <v>1780906446</v>
      </c>
      <c r="E21506" t="s">
        <v>5660</v>
      </c>
    </row>
    <row r="21507" spans="1:5" x14ac:dyDescent="0.25">
      <c r="A21507" t="s">
        <v>4</v>
      </c>
      <c r="B21507" t="s">
        <v>4111</v>
      </c>
      <c r="C21507" s="1" t="s">
        <v>23490</v>
      </c>
      <c r="D21507" s="1" t="str">
        <f>HYPERLINK("https://rhld.insurance.arkansas.gov/NPILookup?Npi=1780912444","1780912444")</f>
        <v>1780912444</v>
      </c>
      <c r="E21507" t="s">
        <v>5661</v>
      </c>
    </row>
    <row r="21508" spans="1:5" x14ac:dyDescent="0.25">
      <c r="A21508" t="s">
        <v>4</v>
      </c>
      <c r="B21508" t="s">
        <v>4111</v>
      </c>
      <c r="C21508" s="1" t="s">
        <v>23490</v>
      </c>
      <c r="D21508" s="1" t="str">
        <f>HYPERLINK("https://rhld.insurance.arkansas.gov/NPILookup?Npi=1780942854","1780942854")</f>
        <v>1780942854</v>
      </c>
      <c r="E21508" t="s">
        <v>11829</v>
      </c>
    </row>
    <row r="21509" spans="1:5" x14ac:dyDescent="0.25">
      <c r="A21509" t="s">
        <v>4</v>
      </c>
      <c r="B21509" t="s">
        <v>4111</v>
      </c>
      <c r="C21509" s="1" t="s">
        <v>23490</v>
      </c>
      <c r="D21509" s="1" t="str">
        <f>HYPERLINK("https://rhld.insurance.arkansas.gov/NPILookup?Npi=1780954222","1780954222")</f>
        <v>1780954222</v>
      </c>
      <c r="E21509" t="s">
        <v>11830</v>
      </c>
    </row>
    <row r="21510" spans="1:5" x14ac:dyDescent="0.25">
      <c r="A21510" t="s">
        <v>4</v>
      </c>
      <c r="B21510" t="s">
        <v>4111</v>
      </c>
      <c r="C21510" s="1" t="s">
        <v>23490</v>
      </c>
      <c r="D21510" s="1" t="str">
        <f>HYPERLINK("https://rhld.insurance.arkansas.gov/NPILookup?Npi=1780963926","1780963926")</f>
        <v>1780963926</v>
      </c>
      <c r="E21510" t="s">
        <v>14211</v>
      </c>
    </row>
    <row r="21511" spans="1:5" x14ac:dyDescent="0.25">
      <c r="A21511" t="s">
        <v>4</v>
      </c>
      <c r="B21511" t="s">
        <v>4111</v>
      </c>
      <c r="C21511" s="1" t="s">
        <v>23490</v>
      </c>
      <c r="D21511" s="1" t="str">
        <f>HYPERLINK("https://rhld.insurance.arkansas.gov/NPILookup?Npi=1780966127","1780966127")</f>
        <v>1780966127</v>
      </c>
      <c r="E21511" t="s">
        <v>16870</v>
      </c>
    </row>
    <row r="21512" spans="1:5" x14ac:dyDescent="0.25">
      <c r="A21512" t="s">
        <v>4</v>
      </c>
      <c r="B21512" t="s">
        <v>4111</v>
      </c>
      <c r="C21512" s="1" t="s">
        <v>23490</v>
      </c>
      <c r="D21512" s="1" t="str">
        <f>HYPERLINK("https://rhld.insurance.arkansas.gov/NPILookup?Npi=1780987362","1780987362")</f>
        <v>1780987362</v>
      </c>
      <c r="E21512" t="s">
        <v>22273</v>
      </c>
    </row>
    <row r="21513" spans="1:5" x14ac:dyDescent="0.25">
      <c r="A21513" t="s">
        <v>4</v>
      </c>
      <c r="B21513" t="s">
        <v>4111</v>
      </c>
      <c r="C21513" s="1" t="s">
        <v>23490</v>
      </c>
      <c r="D21513" s="1" t="str">
        <f>HYPERLINK("https://rhld.insurance.arkansas.gov/NPILookup?Npi=1780989558","1780989558")</f>
        <v>1780989558</v>
      </c>
      <c r="E21513" t="s">
        <v>9157</v>
      </c>
    </row>
    <row r="21514" spans="1:5" x14ac:dyDescent="0.25">
      <c r="A21514" t="s">
        <v>4</v>
      </c>
      <c r="B21514" t="s">
        <v>4111</v>
      </c>
      <c r="C21514" s="1" t="s">
        <v>23490</v>
      </c>
      <c r="D21514" s="1" t="str">
        <f>HYPERLINK("https://rhld.insurance.arkansas.gov/NPILookup?Npi=1780999797","1780999797")</f>
        <v>1780999797</v>
      </c>
      <c r="E21514" t="s">
        <v>9158</v>
      </c>
    </row>
    <row r="21515" spans="1:5" x14ac:dyDescent="0.25">
      <c r="A21515" t="s">
        <v>4</v>
      </c>
      <c r="B21515" t="s">
        <v>4111</v>
      </c>
      <c r="C21515" s="1" t="s">
        <v>23490</v>
      </c>
      <c r="D21515" s="1" t="str">
        <f>HYPERLINK("https://rhld.insurance.arkansas.gov/NPILookup?Npi=1790003846","1790003846")</f>
        <v>1790003846</v>
      </c>
      <c r="E21515" t="s">
        <v>22274</v>
      </c>
    </row>
    <row r="21516" spans="1:5" x14ac:dyDescent="0.25">
      <c r="A21516" t="s">
        <v>4</v>
      </c>
      <c r="B21516" t="s">
        <v>4111</v>
      </c>
      <c r="C21516" s="1" t="s">
        <v>23490</v>
      </c>
      <c r="D21516" s="1" t="str">
        <f>HYPERLINK("https://rhld.insurance.arkansas.gov/NPILookup?Npi=1790007862","1790007862")</f>
        <v>1790007862</v>
      </c>
      <c r="E21516" t="s">
        <v>5662</v>
      </c>
    </row>
    <row r="21517" spans="1:5" x14ac:dyDescent="0.25">
      <c r="A21517" t="s">
        <v>4</v>
      </c>
      <c r="B21517" t="s">
        <v>4111</v>
      </c>
      <c r="C21517" s="1" t="s">
        <v>23490</v>
      </c>
      <c r="D21517" s="1" t="str">
        <f>HYPERLINK("https://rhld.insurance.arkansas.gov/NPILookup?Npi=1790020717","1790020717")</f>
        <v>1790020717</v>
      </c>
      <c r="E21517" t="s">
        <v>17235</v>
      </c>
    </row>
    <row r="21518" spans="1:5" x14ac:dyDescent="0.25">
      <c r="A21518" t="s">
        <v>4</v>
      </c>
      <c r="B21518" t="s">
        <v>4111</v>
      </c>
      <c r="C21518" s="1" t="s">
        <v>23490</v>
      </c>
      <c r="D21518" s="1" t="str">
        <f>HYPERLINK("https://rhld.insurance.arkansas.gov/NPILookup?Npi=1790035533","1790035533")</f>
        <v>1790035533</v>
      </c>
      <c r="E21518" t="s">
        <v>14212</v>
      </c>
    </row>
    <row r="21519" spans="1:5" x14ac:dyDescent="0.25">
      <c r="A21519" t="s">
        <v>4</v>
      </c>
      <c r="B21519" t="s">
        <v>4111</v>
      </c>
      <c r="C21519" s="1" t="s">
        <v>23490</v>
      </c>
      <c r="D21519" s="1" t="str">
        <f>HYPERLINK("https://rhld.insurance.arkansas.gov/NPILookup?Npi=1790039162","1790039162")</f>
        <v>1790039162</v>
      </c>
      <c r="E21519" t="s">
        <v>5663</v>
      </c>
    </row>
    <row r="21520" spans="1:5" x14ac:dyDescent="0.25">
      <c r="A21520" t="s">
        <v>4</v>
      </c>
      <c r="B21520" t="s">
        <v>4111</v>
      </c>
      <c r="C21520" s="1" t="s">
        <v>23490</v>
      </c>
      <c r="D21520" s="1" t="str">
        <f>HYPERLINK("https://rhld.insurance.arkansas.gov/NPILookup?Npi=1790045391","1790045391")</f>
        <v>1790045391</v>
      </c>
      <c r="E21520" t="s">
        <v>5664</v>
      </c>
    </row>
    <row r="21521" spans="1:5" x14ac:dyDescent="0.25">
      <c r="A21521" t="s">
        <v>4</v>
      </c>
      <c r="B21521" t="s">
        <v>4111</v>
      </c>
      <c r="C21521" s="1" t="s">
        <v>23490</v>
      </c>
      <c r="D21521" s="1" t="str">
        <f>HYPERLINK("https://rhld.insurance.arkansas.gov/NPILookup?Npi=1790045532","1790045532")</f>
        <v>1790045532</v>
      </c>
      <c r="E21521" t="s">
        <v>20583</v>
      </c>
    </row>
    <row r="21522" spans="1:5" x14ac:dyDescent="0.25">
      <c r="A21522" t="s">
        <v>4</v>
      </c>
      <c r="B21522" t="s">
        <v>4111</v>
      </c>
      <c r="C21522" s="1" t="s">
        <v>23490</v>
      </c>
      <c r="D21522" s="1" t="str">
        <f>HYPERLINK("https://rhld.insurance.arkansas.gov/NPILookup?Npi=1790046985","1790046985")</f>
        <v>1790046985</v>
      </c>
      <c r="E21522" t="s">
        <v>16227</v>
      </c>
    </row>
    <row r="21523" spans="1:5" x14ac:dyDescent="0.25">
      <c r="A21523" t="s">
        <v>4</v>
      </c>
      <c r="B21523" t="s">
        <v>4111</v>
      </c>
      <c r="C21523" s="1" t="s">
        <v>23490</v>
      </c>
      <c r="D21523" s="1" t="str">
        <f>HYPERLINK("https://rhld.insurance.arkansas.gov/NPILookup?Npi=1790059475","1790059475")</f>
        <v>1790059475</v>
      </c>
      <c r="E21523" t="s">
        <v>5665</v>
      </c>
    </row>
    <row r="21524" spans="1:5" x14ac:dyDescent="0.25">
      <c r="A21524" t="s">
        <v>4</v>
      </c>
      <c r="B21524" t="s">
        <v>4111</v>
      </c>
      <c r="C21524" s="1" t="s">
        <v>23490</v>
      </c>
      <c r="D21524" s="1" t="str">
        <f>HYPERLINK("https://rhld.insurance.arkansas.gov/NPILookup?Npi=1790064624","1790064624")</f>
        <v>1790064624</v>
      </c>
      <c r="E21524" t="s">
        <v>5666</v>
      </c>
    </row>
    <row r="21525" spans="1:5" x14ac:dyDescent="0.25">
      <c r="A21525" t="s">
        <v>4</v>
      </c>
      <c r="B21525" t="s">
        <v>4111</v>
      </c>
      <c r="C21525" s="1" t="s">
        <v>23490</v>
      </c>
      <c r="D21525" s="1" t="str">
        <f>HYPERLINK("https://rhld.insurance.arkansas.gov/NPILookup?Npi=1790065068","1790065068")</f>
        <v>1790065068</v>
      </c>
      <c r="E21525" t="s">
        <v>20028</v>
      </c>
    </row>
    <row r="21526" spans="1:5" x14ac:dyDescent="0.25">
      <c r="A21526" t="s">
        <v>4</v>
      </c>
      <c r="B21526" t="s">
        <v>4111</v>
      </c>
      <c r="C21526" s="1" t="s">
        <v>23490</v>
      </c>
      <c r="D21526" s="1" t="str">
        <f>HYPERLINK("https://rhld.insurance.arkansas.gov/NPILookup?Npi=1790068906","1790068906")</f>
        <v>1790068906</v>
      </c>
      <c r="E21526" t="s">
        <v>14213</v>
      </c>
    </row>
    <row r="21527" spans="1:5" x14ac:dyDescent="0.25">
      <c r="A21527" t="s">
        <v>4</v>
      </c>
      <c r="B21527" t="s">
        <v>4111</v>
      </c>
      <c r="C21527" s="1" t="s">
        <v>23490</v>
      </c>
      <c r="D21527" s="1" t="str">
        <f>HYPERLINK("https://rhld.insurance.arkansas.gov/NPILookup?Npi=1790070928","1790070928")</f>
        <v>1790070928</v>
      </c>
      <c r="E21527" t="s">
        <v>20584</v>
      </c>
    </row>
    <row r="21528" spans="1:5" x14ac:dyDescent="0.25">
      <c r="A21528" t="s">
        <v>4</v>
      </c>
      <c r="B21528" t="s">
        <v>4111</v>
      </c>
      <c r="C21528" s="1" t="s">
        <v>23490</v>
      </c>
      <c r="D21528" s="1" t="str">
        <f>HYPERLINK("https://rhld.insurance.arkansas.gov/NPILookup?Npi=1790075539","1790075539")</f>
        <v>1790075539</v>
      </c>
      <c r="E21528" t="s">
        <v>5667</v>
      </c>
    </row>
    <row r="21529" spans="1:5" x14ac:dyDescent="0.25">
      <c r="A21529" t="s">
        <v>4</v>
      </c>
      <c r="B21529" t="s">
        <v>4111</v>
      </c>
      <c r="C21529" s="1" t="s">
        <v>23490</v>
      </c>
      <c r="D21529" s="1" t="str">
        <f>HYPERLINK("https://rhld.insurance.arkansas.gov/NPILookup?Npi=1790082964","1790082964")</f>
        <v>1790082964</v>
      </c>
      <c r="E21529" t="s">
        <v>5668</v>
      </c>
    </row>
    <row r="21530" spans="1:5" x14ac:dyDescent="0.25">
      <c r="A21530" t="s">
        <v>4</v>
      </c>
      <c r="B21530" t="s">
        <v>4111</v>
      </c>
      <c r="C21530" s="1" t="s">
        <v>23490</v>
      </c>
      <c r="D21530" s="1" t="str">
        <f>HYPERLINK("https://rhld.insurance.arkansas.gov/NPILookup?Npi=1790091775","1790091775")</f>
        <v>1790091775</v>
      </c>
      <c r="E21530" t="s">
        <v>5669</v>
      </c>
    </row>
    <row r="21531" spans="1:5" x14ac:dyDescent="0.25">
      <c r="A21531" t="s">
        <v>4</v>
      </c>
      <c r="B21531" t="s">
        <v>4111</v>
      </c>
      <c r="C21531" s="1" t="s">
        <v>23490</v>
      </c>
      <c r="D21531" s="1" t="str">
        <f>HYPERLINK("https://rhld.insurance.arkansas.gov/NPILookup?Npi=1790095305","1790095305")</f>
        <v>1790095305</v>
      </c>
      <c r="E21531" t="s">
        <v>5670</v>
      </c>
    </row>
    <row r="21532" spans="1:5" x14ac:dyDescent="0.25">
      <c r="A21532" t="s">
        <v>4</v>
      </c>
      <c r="B21532" t="s">
        <v>4111</v>
      </c>
      <c r="C21532" s="1" t="s">
        <v>23490</v>
      </c>
      <c r="D21532" s="1" t="str">
        <f>HYPERLINK("https://rhld.insurance.arkansas.gov/NPILookup?Npi=1790104818","1790104818")</f>
        <v>1790104818</v>
      </c>
      <c r="E21532" t="s">
        <v>17644</v>
      </c>
    </row>
    <row r="21533" spans="1:5" x14ac:dyDescent="0.25">
      <c r="A21533" t="s">
        <v>4</v>
      </c>
      <c r="B21533" t="s">
        <v>4111</v>
      </c>
      <c r="C21533" s="1" t="s">
        <v>23490</v>
      </c>
      <c r="D21533" s="1" t="str">
        <f>HYPERLINK("https://rhld.insurance.arkansas.gov/NPILookup?Npi=1790106276","1790106276")</f>
        <v>1790106276</v>
      </c>
      <c r="E21533" t="s">
        <v>11831</v>
      </c>
    </row>
    <row r="21534" spans="1:5" x14ac:dyDescent="0.25">
      <c r="A21534" t="s">
        <v>4</v>
      </c>
      <c r="B21534" t="s">
        <v>4111</v>
      </c>
      <c r="C21534" s="1" t="s">
        <v>23490</v>
      </c>
      <c r="D21534" s="1" t="str">
        <f>HYPERLINK("https://rhld.insurance.arkansas.gov/NPILookup?Npi=1790123453","1790123453")</f>
        <v>1790123453</v>
      </c>
      <c r="E21534" t="s">
        <v>11832</v>
      </c>
    </row>
    <row r="21535" spans="1:5" x14ac:dyDescent="0.25">
      <c r="A21535" t="s">
        <v>4</v>
      </c>
      <c r="B21535" t="s">
        <v>4111</v>
      </c>
      <c r="C21535" s="1" t="s">
        <v>23490</v>
      </c>
      <c r="D21535" s="1" t="str">
        <f>HYPERLINK("https://rhld.insurance.arkansas.gov/NPILookup?Npi=1790127629","1790127629")</f>
        <v>1790127629</v>
      </c>
      <c r="E21535" t="s">
        <v>11833</v>
      </c>
    </row>
    <row r="21536" spans="1:5" x14ac:dyDescent="0.25">
      <c r="A21536" t="s">
        <v>4</v>
      </c>
      <c r="B21536" t="s">
        <v>4111</v>
      </c>
      <c r="C21536" s="1" t="s">
        <v>23490</v>
      </c>
      <c r="D21536" s="1" t="str">
        <f>HYPERLINK("https://rhld.insurance.arkansas.gov/NPILookup?Npi=1790130920","1790130920")</f>
        <v>1790130920</v>
      </c>
      <c r="E21536" t="s">
        <v>16228</v>
      </c>
    </row>
    <row r="21537" spans="1:5" x14ac:dyDescent="0.25">
      <c r="A21537" t="s">
        <v>4</v>
      </c>
      <c r="B21537" t="s">
        <v>4111</v>
      </c>
      <c r="C21537" s="1" t="s">
        <v>23490</v>
      </c>
      <c r="D21537" s="1" t="str">
        <f>HYPERLINK("https://rhld.insurance.arkansas.gov/NPILookup?Npi=1790149011","1790149011")</f>
        <v>1790149011</v>
      </c>
      <c r="E21537" t="s">
        <v>22275</v>
      </c>
    </row>
    <row r="21538" spans="1:5" x14ac:dyDescent="0.25">
      <c r="A21538" t="s">
        <v>4</v>
      </c>
      <c r="B21538" t="s">
        <v>4111</v>
      </c>
      <c r="C21538" s="1" t="s">
        <v>23490</v>
      </c>
      <c r="D21538" s="1" t="str">
        <f>HYPERLINK("https://rhld.insurance.arkansas.gov/NPILookup?Npi=1790152999","1790152999")</f>
        <v>1790152999</v>
      </c>
      <c r="E21538" t="s">
        <v>19020</v>
      </c>
    </row>
    <row r="21539" spans="1:5" x14ac:dyDescent="0.25">
      <c r="A21539" t="s">
        <v>4</v>
      </c>
      <c r="B21539" t="s">
        <v>4111</v>
      </c>
      <c r="C21539" s="1" t="s">
        <v>23490</v>
      </c>
      <c r="D21539" s="1" t="str">
        <f>HYPERLINK("https://rhld.insurance.arkansas.gov/NPILookup?Npi=1790161909","1790161909")</f>
        <v>1790161909</v>
      </c>
      <c r="E21539" t="s">
        <v>22276</v>
      </c>
    </row>
    <row r="21540" spans="1:5" x14ac:dyDescent="0.25">
      <c r="A21540" t="s">
        <v>4</v>
      </c>
      <c r="B21540" t="s">
        <v>4111</v>
      </c>
      <c r="C21540" s="1" t="s">
        <v>23490</v>
      </c>
      <c r="D21540" s="1" t="str">
        <f>HYPERLINK("https://rhld.insurance.arkansas.gov/NPILookup?Npi=1790166403","1790166403")</f>
        <v>1790166403</v>
      </c>
      <c r="E21540" t="s">
        <v>17645</v>
      </c>
    </row>
    <row r="21541" spans="1:5" x14ac:dyDescent="0.25">
      <c r="A21541" t="s">
        <v>4</v>
      </c>
      <c r="B21541" t="s">
        <v>4111</v>
      </c>
      <c r="C21541" s="1" t="s">
        <v>23490</v>
      </c>
      <c r="D21541" s="1" t="str">
        <f>HYPERLINK("https://rhld.insurance.arkansas.gov/NPILookup?Npi=1790190767","1790190767")</f>
        <v>1790190767</v>
      </c>
      <c r="E21541" t="s">
        <v>18428</v>
      </c>
    </row>
    <row r="21542" spans="1:5" x14ac:dyDescent="0.25">
      <c r="A21542" t="s">
        <v>4</v>
      </c>
      <c r="B21542" t="s">
        <v>4111</v>
      </c>
      <c r="C21542" s="1" t="s">
        <v>8427</v>
      </c>
      <c r="D21542" s="1" t="str">
        <f>HYPERLINK("https://rhld.insurance.arkansas.gov/NPILookup?Npi=1790193118","1790193118")</f>
        <v>1790193118</v>
      </c>
      <c r="E21542" t="s">
        <v>23190</v>
      </c>
    </row>
    <row r="21543" spans="1:5" x14ac:dyDescent="0.25">
      <c r="A21543" t="s">
        <v>4</v>
      </c>
      <c r="B21543" t="s">
        <v>4111</v>
      </c>
      <c r="C21543" s="1" t="s">
        <v>23490</v>
      </c>
      <c r="D21543" s="1" t="str">
        <f>HYPERLINK("https://rhld.insurance.arkansas.gov/NPILookup?Npi=1790193795","1790193795")</f>
        <v>1790193795</v>
      </c>
      <c r="E21543" t="s">
        <v>5671</v>
      </c>
    </row>
    <row r="21544" spans="1:5" x14ac:dyDescent="0.25">
      <c r="A21544" t="s">
        <v>4</v>
      </c>
      <c r="B21544" t="s">
        <v>4111</v>
      </c>
      <c r="C21544" s="1" t="s">
        <v>23490</v>
      </c>
      <c r="D21544" s="1" t="str">
        <f>HYPERLINK("https://rhld.insurance.arkansas.gov/NPILookup?Npi=1790199826","1790199826")</f>
        <v>1790199826</v>
      </c>
      <c r="E21544" t="s">
        <v>11834</v>
      </c>
    </row>
    <row r="21545" spans="1:5" x14ac:dyDescent="0.25">
      <c r="A21545" t="s">
        <v>4</v>
      </c>
      <c r="B21545" t="s">
        <v>4111</v>
      </c>
      <c r="C21545" s="1" t="s">
        <v>23490</v>
      </c>
      <c r="D21545" s="1" t="str">
        <f>HYPERLINK("https://rhld.insurance.arkansas.gov/NPILookup?Npi=1790200616","1790200616")</f>
        <v>1790200616</v>
      </c>
      <c r="E21545" t="s">
        <v>11835</v>
      </c>
    </row>
    <row r="21546" spans="1:5" x14ac:dyDescent="0.25">
      <c r="A21546" t="s">
        <v>4</v>
      </c>
      <c r="B21546" t="s">
        <v>4111</v>
      </c>
      <c r="C21546" s="1" t="s">
        <v>23490</v>
      </c>
      <c r="D21546" s="1" t="str">
        <f>HYPERLINK("https://rhld.insurance.arkansas.gov/NPILookup?Npi=1790201820","1790201820")</f>
        <v>1790201820</v>
      </c>
      <c r="E21546" t="s">
        <v>11278</v>
      </c>
    </row>
    <row r="21547" spans="1:5" x14ac:dyDescent="0.25">
      <c r="A21547" t="s">
        <v>4</v>
      </c>
      <c r="B21547" t="s">
        <v>4111</v>
      </c>
      <c r="C21547" s="1" t="s">
        <v>23490</v>
      </c>
      <c r="D21547" s="1" t="str">
        <f>HYPERLINK("https://rhld.insurance.arkansas.gov/NPILookup?Npi=1790206886","1790206886")</f>
        <v>1790206886</v>
      </c>
      <c r="E21547" t="s">
        <v>19021</v>
      </c>
    </row>
    <row r="21548" spans="1:5" x14ac:dyDescent="0.25">
      <c r="A21548" t="s">
        <v>4</v>
      </c>
      <c r="B21548" t="s">
        <v>4111</v>
      </c>
      <c r="C21548" s="1" t="s">
        <v>23490</v>
      </c>
      <c r="D21548" s="1" t="str">
        <f>HYPERLINK("https://rhld.insurance.arkansas.gov/NPILookup?Npi=1790213734","1790213734")</f>
        <v>1790213734</v>
      </c>
      <c r="E21548" t="s">
        <v>16229</v>
      </c>
    </row>
    <row r="21549" spans="1:5" x14ac:dyDescent="0.25">
      <c r="A21549" t="s">
        <v>4</v>
      </c>
      <c r="B21549" t="s">
        <v>4111</v>
      </c>
      <c r="C21549" s="1" t="s">
        <v>23490</v>
      </c>
      <c r="D21549" s="1" t="str">
        <f>HYPERLINK("https://rhld.insurance.arkansas.gov/NPILookup?Npi=1790216299","1790216299")</f>
        <v>1790216299</v>
      </c>
      <c r="E21549" t="s">
        <v>21165</v>
      </c>
    </row>
    <row r="21550" spans="1:5" x14ac:dyDescent="0.25">
      <c r="A21550" t="s">
        <v>4</v>
      </c>
      <c r="B21550" t="s">
        <v>4111</v>
      </c>
      <c r="C21550" s="1" t="s">
        <v>23490</v>
      </c>
      <c r="D21550" s="1" t="str">
        <f>HYPERLINK("https://rhld.insurance.arkansas.gov/NPILookup?Npi=1790251320","1790251320")</f>
        <v>1790251320</v>
      </c>
      <c r="E21550" t="s">
        <v>17821</v>
      </c>
    </row>
    <row r="21551" spans="1:5" x14ac:dyDescent="0.25">
      <c r="A21551" t="s">
        <v>4</v>
      </c>
      <c r="B21551" t="s">
        <v>4111</v>
      </c>
      <c r="C21551" s="1" t="s">
        <v>23490</v>
      </c>
      <c r="D21551" s="1" t="str">
        <f>HYPERLINK("https://rhld.insurance.arkansas.gov/NPILookup?Npi=1790258317","1790258317")</f>
        <v>1790258317</v>
      </c>
      <c r="E21551" t="s">
        <v>22277</v>
      </c>
    </row>
    <row r="21552" spans="1:5" x14ac:dyDescent="0.25">
      <c r="A21552" t="s">
        <v>4</v>
      </c>
      <c r="B21552" t="s">
        <v>4111</v>
      </c>
      <c r="C21552" s="1" t="s">
        <v>23490</v>
      </c>
      <c r="D21552" s="1" t="str">
        <f>HYPERLINK("https://rhld.insurance.arkansas.gov/NPILookup?Npi=1790259117","1790259117")</f>
        <v>1790259117</v>
      </c>
      <c r="E21552" t="s">
        <v>22278</v>
      </c>
    </row>
    <row r="21553" spans="1:5" x14ac:dyDescent="0.25">
      <c r="A21553" t="s">
        <v>4</v>
      </c>
      <c r="B21553" t="s">
        <v>4111</v>
      </c>
      <c r="C21553" s="1" t="s">
        <v>23490</v>
      </c>
      <c r="D21553" s="1" t="str">
        <f>HYPERLINK("https://rhld.insurance.arkansas.gov/NPILookup?Npi=1790264109","1790264109")</f>
        <v>1790264109</v>
      </c>
      <c r="E21553" t="s">
        <v>17236</v>
      </c>
    </row>
    <row r="21554" spans="1:5" x14ac:dyDescent="0.25">
      <c r="A21554" t="s">
        <v>4</v>
      </c>
      <c r="B21554" t="s">
        <v>4111</v>
      </c>
      <c r="C21554" s="1" t="s">
        <v>23490</v>
      </c>
      <c r="D21554" s="1" t="str">
        <f>HYPERLINK("https://rhld.insurance.arkansas.gov/NPILookup?Npi=1790267896","1790267896")</f>
        <v>1790267896</v>
      </c>
      <c r="E21554" t="s">
        <v>22279</v>
      </c>
    </row>
    <row r="21555" spans="1:5" x14ac:dyDescent="0.25">
      <c r="A21555" t="s">
        <v>4</v>
      </c>
      <c r="B21555" t="s">
        <v>4111</v>
      </c>
      <c r="C21555" s="1" t="s">
        <v>23490</v>
      </c>
      <c r="D21555" s="1" t="str">
        <f>HYPERLINK("https://rhld.insurance.arkansas.gov/NPILookup?Npi=1790279552","1790279552")</f>
        <v>1790279552</v>
      </c>
      <c r="E21555" t="s">
        <v>22280</v>
      </c>
    </row>
    <row r="21556" spans="1:5" x14ac:dyDescent="0.25">
      <c r="A21556" t="s">
        <v>4</v>
      </c>
      <c r="B21556" t="s">
        <v>4111</v>
      </c>
      <c r="C21556" s="1" t="s">
        <v>23490</v>
      </c>
      <c r="D21556" s="1" t="str">
        <f>HYPERLINK("https://rhld.insurance.arkansas.gov/NPILookup?Npi=1790281087","1790281087")</f>
        <v>1790281087</v>
      </c>
      <c r="E21556" t="s">
        <v>22281</v>
      </c>
    </row>
    <row r="21557" spans="1:5" x14ac:dyDescent="0.25">
      <c r="A21557" t="s">
        <v>4</v>
      </c>
      <c r="B21557" t="s">
        <v>4111</v>
      </c>
      <c r="C21557" s="1" t="s">
        <v>23490</v>
      </c>
      <c r="D21557" s="1" t="str">
        <f>HYPERLINK("https://rhld.insurance.arkansas.gov/NPILookup?Npi=1790306561","1790306561")</f>
        <v>1790306561</v>
      </c>
      <c r="E21557" t="s">
        <v>22282</v>
      </c>
    </row>
    <row r="21558" spans="1:5" x14ac:dyDescent="0.25">
      <c r="A21558" t="s">
        <v>4</v>
      </c>
      <c r="B21558" t="s">
        <v>4111</v>
      </c>
      <c r="C21558" s="1" t="s">
        <v>8427</v>
      </c>
      <c r="D21558" s="1" t="str">
        <f>HYPERLINK("https://rhld.insurance.arkansas.gov/NPILookup?Npi=1790311314","1790311314")</f>
        <v>1790311314</v>
      </c>
      <c r="E21558" t="s">
        <v>23191</v>
      </c>
    </row>
    <row r="21559" spans="1:5" x14ac:dyDescent="0.25">
      <c r="A21559" t="s">
        <v>4</v>
      </c>
      <c r="B21559" t="s">
        <v>4111</v>
      </c>
      <c r="C21559" s="1" t="s">
        <v>23490</v>
      </c>
      <c r="D21559" s="1" t="str">
        <f>HYPERLINK("https://rhld.insurance.arkansas.gov/NPILookup?Npi=1790322675","1790322675")</f>
        <v>1790322675</v>
      </c>
      <c r="E21559" t="s">
        <v>20585</v>
      </c>
    </row>
    <row r="21560" spans="1:5" x14ac:dyDescent="0.25">
      <c r="A21560" t="s">
        <v>4</v>
      </c>
      <c r="B21560" t="s">
        <v>4111</v>
      </c>
      <c r="C21560" s="1" t="s">
        <v>23490</v>
      </c>
      <c r="D21560" s="1" t="str">
        <f>HYPERLINK("https://rhld.insurance.arkansas.gov/NPILookup?Npi=1790366995","1790366995")</f>
        <v>1790366995</v>
      </c>
      <c r="E21560" t="s">
        <v>22283</v>
      </c>
    </row>
    <row r="21561" spans="1:5" x14ac:dyDescent="0.25">
      <c r="A21561" t="s">
        <v>4</v>
      </c>
      <c r="B21561" t="s">
        <v>4111</v>
      </c>
      <c r="C21561" s="1" t="s">
        <v>23490</v>
      </c>
      <c r="D21561" s="1" t="str">
        <f>HYPERLINK("https://rhld.insurance.arkansas.gov/NPILookup?Npi=1790373033","1790373033")</f>
        <v>1790373033</v>
      </c>
      <c r="E21561" t="s">
        <v>22284</v>
      </c>
    </row>
    <row r="21562" spans="1:5" x14ac:dyDescent="0.25">
      <c r="A21562" t="s">
        <v>4</v>
      </c>
      <c r="B21562" t="s">
        <v>4111</v>
      </c>
      <c r="C21562" s="1" t="s">
        <v>23490</v>
      </c>
      <c r="D21562" s="1" t="str">
        <f>HYPERLINK("https://rhld.insurance.arkansas.gov/NPILookup?Npi=1790398311","1790398311")</f>
        <v>1790398311</v>
      </c>
      <c r="E21562" t="s">
        <v>22285</v>
      </c>
    </row>
    <row r="21563" spans="1:5" x14ac:dyDescent="0.25">
      <c r="A21563" t="s">
        <v>4</v>
      </c>
      <c r="B21563" t="s">
        <v>4111</v>
      </c>
      <c r="C21563" s="1" t="s">
        <v>23490</v>
      </c>
      <c r="D21563" s="1" t="str">
        <f>HYPERLINK("https://rhld.insurance.arkansas.gov/NPILookup?Npi=1790398527","1790398527")</f>
        <v>1790398527</v>
      </c>
      <c r="E21563" t="s">
        <v>23192</v>
      </c>
    </row>
    <row r="21564" spans="1:5" x14ac:dyDescent="0.25">
      <c r="A21564" t="s">
        <v>4</v>
      </c>
      <c r="B21564" t="s">
        <v>4111</v>
      </c>
      <c r="C21564" s="1" t="s">
        <v>23490</v>
      </c>
      <c r="D21564" s="1" t="str">
        <f>HYPERLINK("https://rhld.insurance.arkansas.gov/NPILookup?Npi=1790398899","1790398899")</f>
        <v>1790398899</v>
      </c>
      <c r="E21564" t="s">
        <v>17646</v>
      </c>
    </row>
    <row r="21565" spans="1:5" x14ac:dyDescent="0.25">
      <c r="A21565" t="s">
        <v>4</v>
      </c>
      <c r="B21565" t="s">
        <v>4111</v>
      </c>
      <c r="C21565" s="1" t="s">
        <v>23490</v>
      </c>
      <c r="D21565" s="1" t="str">
        <f>HYPERLINK("https://rhld.insurance.arkansas.gov/NPILookup?Npi=1790400034","1790400034")</f>
        <v>1790400034</v>
      </c>
      <c r="E21565" t="s">
        <v>22286</v>
      </c>
    </row>
    <row r="21566" spans="1:5" x14ac:dyDescent="0.25">
      <c r="A21566" t="s">
        <v>4</v>
      </c>
      <c r="B21566" t="s">
        <v>4111</v>
      </c>
      <c r="C21566" s="1" t="s">
        <v>23490</v>
      </c>
      <c r="D21566" s="1" t="str">
        <f>HYPERLINK("https://rhld.insurance.arkansas.gov/NPILookup?Npi=1790408482","1790408482")</f>
        <v>1790408482</v>
      </c>
      <c r="E21566" t="s">
        <v>22287</v>
      </c>
    </row>
    <row r="21567" spans="1:5" x14ac:dyDescent="0.25">
      <c r="A21567" t="s">
        <v>4</v>
      </c>
      <c r="B21567" t="s">
        <v>4111</v>
      </c>
      <c r="C21567" s="1" t="s">
        <v>23490</v>
      </c>
      <c r="D21567" s="1" t="str">
        <f>HYPERLINK("https://rhld.insurance.arkansas.gov/NPILookup?Npi=1790454643","1790454643")</f>
        <v>1790454643</v>
      </c>
      <c r="E21567" t="s">
        <v>19022</v>
      </c>
    </row>
    <row r="21568" spans="1:5" x14ac:dyDescent="0.25">
      <c r="A21568" t="s">
        <v>4</v>
      </c>
      <c r="B21568" t="s">
        <v>4111</v>
      </c>
      <c r="C21568" s="1" t="s">
        <v>23490</v>
      </c>
      <c r="D21568" s="1" t="str">
        <f>HYPERLINK("https://rhld.insurance.arkansas.gov/NPILookup?Npi=1790458198","1790458198")</f>
        <v>1790458198</v>
      </c>
      <c r="E21568" t="s">
        <v>19023</v>
      </c>
    </row>
    <row r="21569" spans="1:5" x14ac:dyDescent="0.25">
      <c r="A21569" t="s">
        <v>4</v>
      </c>
      <c r="B21569" t="s">
        <v>4111</v>
      </c>
      <c r="C21569" s="1" t="s">
        <v>23490</v>
      </c>
      <c r="D21569" s="1" t="str">
        <f>HYPERLINK("https://rhld.insurance.arkansas.gov/NPILookup?Npi=1790700342","1790700342")</f>
        <v>1790700342</v>
      </c>
      <c r="E21569" t="s">
        <v>5672</v>
      </c>
    </row>
    <row r="21570" spans="1:5" x14ac:dyDescent="0.25">
      <c r="A21570" t="s">
        <v>4</v>
      </c>
      <c r="B21570" t="s">
        <v>4111</v>
      </c>
      <c r="C21570" s="1" t="s">
        <v>23490</v>
      </c>
      <c r="D21570" s="1" t="str">
        <f>HYPERLINK("https://rhld.insurance.arkansas.gov/NPILookup?Npi=1790706398","1790706398")</f>
        <v>1790706398</v>
      </c>
      <c r="E21570" t="s">
        <v>16230</v>
      </c>
    </row>
    <row r="21571" spans="1:5" x14ac:dyDescent="0.25">
      <c r="A21571" t="s">
        <v>4</v>
      </c>
      <c r="B21571" t="s">
        <v>4111</v>
      </c>
      <c r="C21571" s="1" t="s">
        <v>23490</v>
      </c>
      <c r="D21571" s="1" t="str">
        <f>HYPERLINK("https://rhld.insurance.arkansas.gov/NPILookup?Npi=1790707719","1790707719")</f>
        <v>1790707719</v>
      </c>
      <c r="E21571" t="s">
        <v>5673</v>
      </c>
    </row>
    <row r="21572" spans="1:5" x14ac:dyDescent="0.25">
      <c r="A21572" t="s">
        <v>4</v>
      </c>
      <c r="B21572" t="s">
        <v>4111</v>
      </c>
      <c r="C21572" s="1" t="s">
        <v>23490</v>
      </c>
      <c r="D21572" s="1" t="str">
        <f>HYPERLINK("https://rhld.insurance.arkansas.gov/NPILookup?Npi=1790710044","1790710044")</f>
        <v>1790710044</v>
      </c>
      <c r="E21572" t="s">
        <v>11836</v>
      </c>
    </row>
    <row r="21573" spans="1:5" x14ac:dyDescent="0.25">
      <c r="A21573" t="s">
        <v>4</v>
      </c>
      <c r="B21573" t="s">
        <v>4111</v>
      </c>
      <c r="C21573" s="1" t="s">
        <v>23490</v>
      </c>
      <c r="D21573" s="1" t="str">
        <f>HYPERLINK("https://rhld.insurance.arkansas.gov/NPILookup?Npi=1790720415","1790720415")</f>
        <v>1790720415</v>
      </c>
      <c r="E21573" t="s">
        <v>5674</v>
      </c>
    </row>
    <row r="21574" spans="1:5" x14ac:dyDescent="0.25">
      <c r="A21574" t="s">
        <v>4</v>
      </c>
      <c r="B21574" t="s">
        <v>4111</v>
      </c>
      <c r="C21574" s="1" t="s">
        <v>23490</v>
      </c>
      <c r="D21574" s="1" t="str">
        <f>HYPERLINK("https://rhld.insurance.arkansas.gov/NPILookup?Npi=1790733947","1790733947")</f>
        <v>1790733947</v>
      </c>
      <c r="E21574" t="s">
        <v>5675</v>
      </c>
    </row>
    <row r="21575" spans="1:5" x14ac:dyDescent="0.25">
      <c r="A21575" t="s">
        <v>4</v>
      </c>
      <c r="B21575" t="s">
        <v>4111</v>
      </c>
      <c r="C21575" s="1" t="s">
        <v>23490</v>
      </c>
      <c r="D21575" s="1" t="str">
        <f>HYPERLINK("https://rhld.insurance.arkansas.gov/NPILookup?Npi=1790754018","1790754018")</f>
        <v>1790754018</v>
      </c>
      <c r="E21575" t="s">
        <v>5676</v>
      </c>
    </row>
    <row r="21576" spans="1:5" x14ac:dyDescent="0.25">
      <c r="A21576" t="s">
        <v>4</v>
      </c>
      <c r="B21576" t="s">
        <v>4111</v>
      </c>
      <c r="C21576" s="1" t="s">
        <v>23490</v>
      </c>
      <c r="D21576" s="1" t="str">
        <f>HYPERLINK("https://rhld.insurance.arkansas.gov/NPILookup?Npi=1790754406","1790754406")</f>
        <v>1790754406</v>
      </c>
      <c r="E21576" t="s">
        <v>11837</v>
      </c>
    </row>
    <row r="21577" spans="1:5" x14ac:dyDescent="0.25">
      <c r="A21577" t="s">
        <v>4</v>
      </c>
      <c r="B21577" t="s">
        <v>4111</v>
      </c>
      <c r="C21577" s="1" t="s">
        <v>23490</v>
      </c>
      <c r="D21577" s="1" t="str">
        <f>HYPERLINK("https://rhld.insurance.arkansas.gov/NPILookup?Npi=1790785723","1790785723")</f>
        <v>1790785723</v>
      </c>
      <c r="E21577" t="s">
        <v>5677</v>
      </c>
    </row>
    <row r="21578" spans="1:5" x14ac:dyDescent="0.25">
      <c r="A21578" t="s">
        <v>4</v>
      </c>
      <c r="B21578" t="s">
        <v>4111</v>
      </c>
      <c r="C21578" s="1" t="s">
        <v>23490</v>
      </c>
      <c r="D21578" s="1" t="str">
        <f>HYPERLINK("https://rhld.insurance.arkansas.gov/NPILookup?Npi=1790786762","1790786762")</f>
        <v>1790786762</v>
      </c>
      <c r="E21578" t="s">
        <v>5678</v>
      </c>
    </row>
    <row r="21579" spans="1:5" x14ac:dyDescent="0.25">
      <c r="A21579" t="s">
        <v>4</v>
      </c>
      <c r="B21579" t="s">
        <v>4111</v>
      </c>
      <c r="C21579" s="1" t="s">
        <v>23490</v>
      </c>
      <c r="D21579" s="1" t="str">
        <f>HYPERLINK("https://rhld.insurance.arkansas.gov/NPILookup?Npi=1790820140","1790820140")</f>
        <v>1790820140</v>
      </c>
      <c r="E21579" t="s">
        <v>23193</v>
      </c>
    </row>
    <row r="21580" spans="1:5" x14ac:dyDescent="0.25">
      <c r="A21580" t="s">
        <v>4</v>
      </c>
      <c r="B21580" t="s">
        <v>4111</v>
      </c>
      <c r="C21580" s="1" t="s">
        <v>23490</v>
      </c>
      <c r="D21580" s="1" t="str">
        <f>HYPERLINK("https://rhld.insurance.arkansas.gov/NPILookup?Npi=1790846947","1790846947")</f>
        <v>1790846947</v>
      </c>
      <c r="E21580" t="s">
        <v>5679</v>
      </c>
    </row>
    <row r="21581" spans="1:5" x14ac:dyDescent="0.25">
      <c r="A21581" t="s">
        <v>4</v>
      </c>
      <c r="B21581" t="s">
        <v>4111</v>
      </c>
      <c r="C21581" s="1" t="s">
        <v>23490</v>
      </c>
      <c r="D21581" s="1" t="str">
        <f>HYPERLINK("https://rhld.insurance.arkansas.gov/NPILookup?Npi=1790848372","1790848372")</f>
        <v>1790848372</v>
      </c>
      <c r="E21581" t="s">
        <v>14214</v>
      </c>
    </row>
    <row r="21582" spans="1:5" x14ac:dyDescent="0.25">
      <c r="A21582" t="s">
        <v>4</v>
      </c>
      <c r="B21582" t="s">
        <v>4111</v>
      </c>
      <c r="C21582" s="1" t="s">
        <v>23490</v>
      </c>
      <c r="D21582" s="1" t="str">
        <f>HYPERLINK("https://rhld.insurance.arkansas.gov/NPILookup?Npi=1790853984","1790853984")</f>
        <v>1790853984</v>
      </c>
      <c r="E21582" t="s">
        <v>5680</v>
      </c>
    </row>
    <row r="21583" spans="1:5" x14ac:dyDescent="0.25">
      <c r="A21583" t="s">
        <v>4</v>
      </c>
      <c r="B21583" t="s">
        <v>4111</v>
      </c>
      <c r="C21583" s="1" t="s">
        <v>23490</v>
      </c>
      <c r="D21583" s="1" t="str">
        <f>HYPERLINK("https://rhld.insurance.arkansas.gov/NPILookup?Npi=1790861714","1790861714")</f>
        <v>1790861714</v>
      </c>
      <c r="E21583" t="s">
        <v>14215</v>
      </c>
    </row>
    <row r="21584" spans="1:5" x14ac:dyDescent="0.25">
      <c r="A21584" t="s">
        <v>4</v>
      </c>
      <c r="B21584" t="s">
        <v>4111</v>
      </c>
      <c r="C21584" s="1" t="s">
        <v>23490</v>
      </c>
      <c r="D21584" s="1" t="str">
        <f>HYPERLINK("https://rhld.insurance.arkansas.gov/NPILookup?Npi=1790867687","1790867687")</f>
        <v>1790867687</v>
      </c>
      <c r="E21584" t="s">
        <v>5681</v>
      </c>
    </row>
    <row r="21585" spans="1:5" x14ac:dyDescent="0.25">
      <c r="A21585" t="s">
        <v>4</v>
      </c>
      <c r="B21585" t="s">
        <v>4111</v>
      </c>
      <c r="C21585" s="1" t="s">
        <v>23490</v>
      </c>
      <c r="D21585" s="1" t="str">
        <f>HYPERLINK("https://rhld.insurance.arkansas.gov/NPILookup?Npi=1790875367","1790875367")</f>
        <v>1790875367</v>
      </c>
      <c r="E21585" t="s">
        <v>5683</v>
      </c>
    </row>
    <row r="21586" spans="1:5" x14ac:dyDescent="0.25">
      <c r="A21586" t="s">
        <v>4</v>
      </c>
      <c r="B21586" t="s">
        <v>4111</v>
      </c>
      <c r="C21586" s="1" t="s">
        <v>23490</v>
      </c>
      <c r="D21586" s="1" t="str">
        <f>HYPERLINK("https://rhld.insurance.arkansas.gov/NPILookup?Npi=1790884088","1790884088")</f>
        <v>1790884088</v>
      </c>
      <c r="E21586" t="s">
        <v>5684</v>
      </c>
    </row>
    <row r="21587" spans="1:5" x14ac:dyDescent="0.25">
      <c r="A21587" t="s">
        <v>4</v>
      </c>
      <c r="B21587" t="s">
        <v>4111</v>
      </c>
      <c r="C21587" s="1" t="s">
        <v>23490</v>
      </c>
      <c r="D21587" s="1" t="str">
        <f>HYPERLINK("https://rhld.insurance.arkansas.gov/NPILookup?Npi=1790893246","1790893246")</f>
        <v>1790893246</v>
      </c>
      <c r="E21587" t="s">
        <v>5685</v>
      </c>
    </row>
    <row r="21588" spans="1:5" x14ac:dyDescent="0.25">
      <c r="A21588" t="s">
        <v>4</v>
      </c>
      <c r="B21588" t="s">
        <v>4111</v>
      </c>
      <c r="C21588" s="1" t="s">
        <v>23490</v>
      </c>
      <c r="D21588" s="1" t="str">
        <f>HYPERLINK("https://rhld.insurance.arkansas.gov/NPILookup?Npi=1790899011","1790899011")</f>
        <v>1790899011</v>
      </c>
      <c r="E21588" t="s">
        <v>5686</v>
      </c>
    </row>
    <row r="21589" spans="1:5" x14ac:dyDescent="0.25">
      <c r="A21589" t="s">
        <v>4</v>
      </c>
      <c r="B21589" t="s">
        <v>4111</v>
      </c>
      <c r="C21589" s="1" t="s">
        <v>23490</v>
      </c>
      <c r="D21589" s="1" t="str">
        <f>HYPERLINK("https://rhld.insurance.arkansas.gov/NPILookup?Npi=1790902831","1790902831")</f>
        <v>1790902831</v>
      </c>
      <c r="E21589" t="s">
        <v>5687</v>
      </c>
    </row>
    <row r="21590" spans="1:5" x14ac:dyDescent="0.25">
      <c r="A21590" t="s">
        <v>4</v>
      </c>
      <c r="B21590" t="s">
        <v>4111</v>
      </c>
      <c r="C21590" s="1" t="s">
        <v>23490</v>
      </c>
      <c r="D21590" s="1" t="str">
        <f>HYPERLINK("https://rhld.insurance.arkansas.gov/NPILookup?Npi=1790908374","1790908374")</f>
        <v>1790908374</v>
      </c>
      <c r="E21590" t="s">
        <v>14216</v>
      </c>
    </row>
    <row r="21591" spans="1:5" x14ac:dyDescent="0.25">
      <c r="A21591" t="s">
        <v>4</v>
      </c>
      <c r="B21591" t="s">
        <v>4111</v>
      </c>
      <c r="C21591" s="1" t="s">
        <v>23490</v>
      </c>
      <c r="D21591" s="1" t="str">
        <f>HYPERLINK("https://rhld.insurance.arkansas.gov/NPILookup?Npi=1790918795","1790918795")</f>
        <v>1790918795</v>
      </c>
      <c r="E21591" t="s">
        <v>17647</v>
      </c>
    </row>
    <row r="21592" spans="1:5" x14ac:dyDescent="0.25">
      <c r="A21592" t="s">
        <v>4</v>
      </c>
      <c r="B21592" t="s">
        <v>4111</v>
      </c>
      <c r="C21592" s="1" t="s">
        <v>23490</v>
      </c>
      <c r="D21592" s="1" t="str">
        <f>HYPERLINK("https://rhld.insurance.arkansas.gov/NPILookup?Npi=1790926301","1790926301")</f>
        <v>1790926301</v>
      </c>
      <c r="E21592" t="s">
        <v>13210</v>
      </c>
    </row>
    <row r="21593" spans="1:5" x14ac:dyDescent="0.25">
      <c r="A21593" t="s">
        <v>4</v>
      </c>
      <c r="B21593" t="s">
        <v>4111</v>
      </c>
      <c r="C21593" s="1" t="s">
        <v>23490</v>
      </c>
      <c r="D21593" s="1" t="str">
        <f>HYPERLINK("https://rhld.insurance.arkansas.gov/NPILookup?Npi=1790933513","1790933513")</f>
        <v>1790933513</v>
      </c>
      <c r="E21593" t="s">
        <v>14217</v>
      </c>
    </row>
    <row r="21594" spans="1:5" x14ac:dyDescent="0.25">
      <c r="A21594" t="s">
        <v>4</v>
      </c>
      <c r="B21594" t="s">
        <v>4111</v>
      </c>
      <c r="C21594" s="1" t="s">
        <v>23490</v>
      </c>
      <c r="D21594" s="1" t="str">
        <f>HYPERLINK("https://rhld.insurance.arkansas.gov/NPILookup?Npi=1790936045","1790936045")</f>
        <v>1790936045</v>
      </c>
      <c r="E21594" t="s">
        <v>11838</v>
      </c>
    </row>
    <row r="21595" spans="1:5" x14ac:dyDescent="0.25">
      <c r="A21595" t="s">
        <v>4</v>
      </c>
      <c r="B21595" t="s">
        <v>4111</v>
      </c>
      <c r="C21595" s="1" t="s">
        <v>23490</v>
      </c>
      <c r="D21595" s="1" t="str">
        <f>HYPERLINK("https://rhld.insurance.arkansas.gov/NPILookup?Npi=1790941706","1790941706")</f>
        <v>1790941706</v>
      </c>
      <c r="E21595" t="s">
        <v>5688</v>
      </c>
    </row>
    <row r="21596" spans="1:5" x14ac:dyDescent="0.25">
      <c r="A21596" t="s">
        <v>4</v>
      </c>
      <c r="B21596" t="s">
        <v>4111</v>
      </c>
      <c r="C21596" s="1" t="s">
        <v>23490</v>
      </c>
      <c r="D21596" s="1" t="str">
        <f>HYPERLINK("https://rhld.insurance.arkansas.gov/NPILookup?Npi=1790948396","1790948396")</f>
        <v>1790948396</v>
      </c>
      <c r="E21596" t="s">
        <v>5689</v>
      </c>
    </row>
    <row r="21597" spans="1:5" x14ac:dyDescent="0.25">
      <c r="A21597" t="s">
        <v>4</v>
      </c>
      <c r="B21597" t="s">
        <v>4111</v>
      </c>
      <c r="C21597" s="1" t="s">
        <v>23490</v>
      </c>
      <c r="D21597" s="1" t="str">
        <f>HYPERLINK("https://rhld.insurance.arkansas.gov/NPILookup?Npi=1790949469","1790949469")</f>
        <v>1790949469</v>
      </c>
      <c r="E21597" t="s">
        <v>5690</v>
      </c>
    </row>
    <row r="21598" spans="1:5" x14ac:dyDescent="0.25">
      <c r="A21598" t="s">
        <v>4</v>
      </c>
      <c r="B21598" t="s">
        <v>4111</v>
      </c>
      <c r="C21598" s="1" t="s">
        <v>23490</v>
      </c>
      <c r="D21598" s="1" t="str">
        <f>HYPERLINK("https://rhld.insurance.arkansas.gov/NPILookup?Npi=1790985109","1790985109")</f>
        <v>1790985109</v>
      </c>
      <c r="E21598" t="s">
        <v>5691</v>
      </c>
    </row>
    <row r="21599" spans="1:5" x14ac:dyDescent="0.25">
      <c r="A21599" t="s">
        <v>4</v>
      </c>
      <c r="B21599" t="s">
        <v>4111</v>
      </c>
      <c r="C21599" s="1" t="s">
        <v>23490</v>
      </c>
      <c r="D21599" s="1" t="str">
        <f>HYPERLINK("https://rhld.insurance.arkansas.gov/NPILookup?Npi=1790991883","1790991883")</f>
        <v>1790991883</v>
      </c>
      <c r="E21599" t="s">
        <v>5692</v>
      </c>
    </row>
    <row r="21600" spans="1:5" x14ac:dyDescent="0.25">
      <c r="A21600" t="s">
        <v>4</v>
      </c>
      <c r="B21600" t="s">
        <v>4111</v>
      </c>
      <c r="C21600" s="1" t="s">
        <v>23490</v>
      </c>
      <c r="D21600" s="1" t="str">
        <f>HYPERLINK("https://rhld.insurance.arkansas.gov/NPILookup?Npi=1801001763","1801001763")</f>
        <v>1801001763</v>
      </c>
      <c r="E21600" t="s">
        <v>5693</v>
      </c>
    </row>
    <row r="21601" spans="1:5" x14ac:dyDescent="0.25">
      <c r="A21601" t="s">
        <v>4</v>
      </c>
      <c r="B21601" t="s">
        <v>4111</v>
      </c>
      <c r="C21601" s="1" t="s">
        <v>23490</v>
      </c>
      <c r="D21601" s="1" t="str">
        <f>HYPERLINK("https://rhld.insurance.arkansas.gov/NPILookup?Npi=1801014659","1801014659")</f>
        <v>1801014659</v>
      </c>
      <c r="E21601" t="s">
        <v>16231</v>
      </c>
    </row>
    <row r="21602" spans="1:5" x14ac:dyDescent="0.25">
      <c r="A21602" t="s">
        <v>4</v>
      </c>
      <c r="B21602" t="s">
        <v>4111</v>
      </c>
      <c r="C21602" s="1" t="s">
        <v>23490</v>
      </c>
      <c r="D21602" s="1" t="str">
        <f>HYPERLINK("https://rhld.insurance.arkansas.gov/NPILookup?Npi=1801021696","1801021696")</f>
        <v>1801021696</v>
      </c>
      <c r="E21602" t="s">
        <v>2801</v>
      </c>
    </row>
    <row r="21603" spans="1:5" x14ac:dyDescent="0.25">
      <c r="A21603" t="s">
        <v>4</v>
      </c>
      <c r="B21603" t="s">
        <v>4111</v>
      </c>
      <c r="C21603" s="1" t="s">
        <v>23490</v>
      </c>
      <c r="D21603" s="1" t="str">
        <f>HYPERLINK("https://rhld.insurance.arkansas.gov/NPILookup?Npi=1801042247","1801042247")</f>
        <v>1801042247</v>
      </c>
      <c r="E21603" t="s">
        <v>5694</v>
      </c>
    </row>
    <row r="21604" spans="1:5" x14ac:dyDescent="0.25">
      <c r="A21604" t="s">
        <v>4</v>
      </c>
      <c r="B21604" t="s">
        <v>4111</v>
      </c>
      <c r="C21604" s="1" t="s">
        <v>23490</v>
      </c>
      <c r="D21604" s="1" t="str">
        <f>HYPERLINK("https://rhld.insurance.arkansas.gov/NPILookup?Npi=1801046032","1801046032")</f>
        <v>1801046032</v>
      </c>
      <c r="E21604" t="s">
        <v>5695</v>
      </c>
    </row>
    <row r="21605" spans="1:5" x14ac:dyDescent="0.25">
      <c r="A21605" t="s">
        <v>4</v>
      </c>
      <c r="B21605" t="s">
        <v>4111</v>
      </c>
      <c r="C21605" s="1" t="s">
        <v>23490</v>
      </c>
      <c r="D21605" s="1" t="str">
        <f>HYPERLINK("https://rhld.insurance.arkansas.gov/NPILookup?Npi=1801048723","1801048723")</f>
        <v>1801048723</v>
      </c>
      <c r="E21605" t="s">
        <v>5696</v>
      </c>
    </row>
    <row r="21606" spans="1:5" x14ac:dyDescent="0.25">
      <c r="A21606" t="s">
        <v>4</v>
      </c>
      <c r="B21606" t="s">
        <v>4111</v>
      </c>
      <c r="C21606" s="1" t="s">
        <v>23490</v>
      </c>
      <c r="D21606" s="1" t="str">
        <f>HYPERLINK("https://rhld.insurance.arkansas.gov/NPILookup?Npi=1801048939","1801048939")</f>
        <v>1801048939</v>
      </c>
      <c r="E21606" t="s">
        <v>9159</v>
      </c>
    </row>
    <row r="21607" spans="1:5" x14ac:dyDescent="0.25">
      <c r="A21607" t="s">
        <v>4</v>
      </c>
      <c r="B21607" t="s">
        <v>4111</v>
      </c>
      <c r="C21607" s="1" t="s">
        <v>23490</v>
      </c>
      <c r="D21607" s="1" t="str">
        <f>HYPERLINK("https://rhld.insurance.arkansas.gov/NPILookup?Npi=1801101126","1801101126")</f>
        <v>1801101126</v>
      </c>
      <c r="E21607" t="s">
        <v>4981</v>
      </c>
    </row>
    <row r="21608" spans="1:5" x14ac:dyDescent="0.25">
      <c r="A21608" t="s">
        <v>4</v>
      </c>
      <c r="B21608" t="s">
        <v>4111</v>
      </c>
      <c r="C21608" s="1" t="s">
        <v>23490</v>
      </c>
      <c r="D21608" s="1" t="str">
        <f>HYPERLINK("https://rhld.insurance.arkansas.gov/NPILookup?Npi=1801102330","1801102330")</f>
        <v>1801102330</v>
      </c>
      <c r="E21608" t="s">
        <v>21166</v>
      </c>
    </row>
    <row r="21609" spans="1:5" x14ac:dyDescent="0.25">
      <c r="A21609" t="s">
        <v>4</v>
      </c>
      <c r="B21609" t="s">
        <v>4111</v>
      </c>
      <c r="C21609" s="1" t="s">
        <v>23490</v>
      </c>
      <c r="D21609" s="1" t="str">
        <f>HYPERLINK("https://rhld.insurance.arkansas.gov/NPILookup?Npi=1801135009","1801135009")</f>
        <v>1801135009</v>
      </c>
      <c r="E21609" t="s">
        <v>11839</v>
      </c>
    </row>
    <row r="21610" spans="1:5" x14ac:dyDescent="0.25">
      <c r="A21610" t="s">
        <v>4</v>
      </c>
      <c r="B21610" t="s">
        <v>4111</v>
      </c>
      <c r="C21610" s="1" t="s">
        <v>23490</v>
      </c>
      <c r="D21610" s="1" t="str">
        <f>HYPERLINK("https://rhld.insurance.arkansas.gov/NPILookup?Npi=1801136072","1801136072")</f>
        <v>1801136072</v>
      </c>
      <c r="E21610" t="s">
        <v>5697</v>
      </c>
    </row>
    <row r="21611" spans="1:5" x14ac:dyDescent="0.25">
      <c r="A21611" t="s">
        <v>4</v>
      </c>
      <c r="B21611" t="s">
        <v>4111</v>
      </c>
      <c r="C21611" s="1" t="s">
        <v>23490</v>
      </c>
      <c r="D21611" s="1" t="str">
        <f>HYPERLINK("https://rhld.insurance.arkansas.gov/NPILookup?Npi=1801143292","1801143292")</f>
        <v>1801143292</v>
      </c>
      <c r="E21611" t="s">
        <v>11840</v>
      </c>
    </row>
    <row r="21612" spans="1:5" x14ac:dyDescent="0.25">
      <c r="A21612" t="s">
        <v>4</v>
      </c>
      <c r="B21612" t="s">
        <v>4111</v>
      </c>
      <c r="C21612" s="1" t="s">
        <v>23490</v>
      </c>
      <c r="D21612" s="1" t="str">
        <f>HYPERLINK("https://rhld.insurance.arkansas.gov/NPILookup?Npi=1801147814","1801147814")</f>
        <v>1801147814</v>
      </c>
      <c r="E21612" t="s">
        <v>5698</v>
      </c>
    </row>
    <row r="21613" spans="1:5" x14ac:dyDescent="0.25">
      <c r="A21613" t="s">
        <v>4</v>
      </c>
      <c r="B21613" t="s">
        <v>4111</v>
      </c>
      <c r="C21613" s="1" t="s">
        <v>23490</v>
      </c>
      <c r="D21613" s="1" t="str">
        <f>HYPERLINK("https://rhld.insurance.arkansas.gov/NPILookup?Npi=1801151436","1801151436")</f>
        <v>1801151436</v>
      </c>
      <c r="E21613" t="s">
        <v>18429</v>
      </c>
    </row>
    <row r="21614" spans="1:5" x14ac:dyDescent="0.25">
      <c r="A21614" t="s">
        <v>4</v>
      </c>
      <c r="B21614" t="s">
        <v>4111</v>
      </c>
      <c r="C21614" s="1" t="s">
        <v>23490</v>
      </c>
      <c r="D21614" s="1" t="str">
        <f>HYPERLINK("https://rhld.insurance.arkansas.gov/NPILookup?Npi=1801166160","1801166160")</f>
        <v>1801166160</v>
      </c>
      <c r="E21614" t="s">
        <v>5699</v>
      </c>
    </row>
    <row r="21615" spans="1:5" x14ac:dyDescent="0.25">
      <c r="A21615" t="s">
        <v>4</v>
      </c>
      <c r="B21615" t="s">
        <v>4111</v>
      </c>
      <c r="C21615" s="1" t="s">
        <v>23490</v>
      </c>
      <c r="D21615" s="1" t="str">
        <f>HYPERLINK("https://rhld.insurance.arkansas.gov/NPILookup?Npi=1801174545","1801174545")</f>
        <v>1801174545</v>
      </c>
      <c r="E21615" t="s">
        <v>14218</v>
      </c>
    </row>
    <row r="21616" spans="1:5" x14ac:dyDescent="0.25">
      <c r="A21616" t="s">
        <v>4</v>
      </c>
      <c r="B21616" t="s">
        <v>4111</v>
      </c>
      <c r="C21616" s="1" t="s">
        <v>23490</v>
      </c>
      <c r="D21616" s="1" t="str">
        <f>HYPERLINK("https://rhld.insurance.arkansas.gov/NPILookup?Npi=1801176888","1801176888")</f>
        <v>1801176888</v>
      </c>
      <c r="E21616" t="s">
        <v>14219</v>
      </c>
    </row>
    <row r="21617" spans="1:5" x14ac:dyDescent="0.25">
      <c r="A21617" t="s">
        <v>4</v>
      </c>
      <c r="B21617" t="s">
        <v>4111</v>
      </c>
      <c r="C21617" s="1" t="s">
        <v>23490</v>
      </c>
      <c r="D21617" s="1" t="str">
        <f>HYPERLINK("https://rhld.insurance.arkansas.gov/NPILookup?Npi=1801191382","1801191382")</f>
        <v>1801191382</v>
      </c>
      <c r="E21617" t="s">
        <v>18430</v>
      </c>
    </row>
    <row r="21618" spans="1:5" x14ac:dyDescent="0.25">
      <c r="A21618" t="s">
        <v>4</v>
      </c>
      <c r="B21618" t="s">
        <v>4111</v>
      </c>
      <c r="C21618" s="1" t="s">
        <v>23490</v>
      </c>
      <c r="D21618" s="1" t="str">
        <f>HYPERLINK("https://rhld.insurance.arkansas.gov/NPILookup?Npi=1801201454","1801201454")</f>
        <v>1801201454</v>
      </c>
      <c r="E21618" t="s">
        <v>11841</v>
      </c>
    </row>
    <row r="21619" spans="1:5" x14ac:dyDescent="0.25">
      <c r="A21619" t="s">
        <v>4</v>
      </c>
      <c r="B21619" t="s">
        <v>4111</v>
      </c>
      <c r="C21619" s="1" t="s">
        <v>23490</v>
      </c>
      <c r="D21619" s="1" t="str">
        <f>HYPERLINK("https://rhld.insurance.arkansas.gov/NPILookup?Npi=1801204458","1801204458")</f>
        <v>1801204458</v>
      </c>
      <c r="E21619" t="s">
        <v>20586</v>
      </c>
    </row>
    <row r="21620" spans="1:5" x14ac:dyDescent="0.25">
      <c r="A21620" t="s">
        <v>4</v>
      </c>
      <c r="B21620" t="s">
        <v>4111</v>
      </c>
      <c r="C21620" s="1" t="s">
        <v>23490</v>
      </c>
      <c r="D21620" s="1" t="str">
        <f>HYPERLINK("https://rhld.insurance.arkansas.gov/NPILookup?Npi=1801207485","1801207485")</f>
        <v>1801207485</v>
      </c>
      <c r="E21620" t="s">
        <v>22288</v>
      </c>
    </row>
    <row r="21621" spans="1:5" x14ac:dyDescent="0.25">
      <c r="A21621" t="s">
        <v>4</v>
      </c>
      <c r="B21621" t="s">
        <v>4111</v>
      </c>
      <c r="C21621" s="1" t="s">
        <v>23490</v>
      </c>
      <c r="D21621" s="1" t="str">
        <f>HYPERLINK("https://rhld.insurance.arkansas.gov/NPILookup?Npi=1801234661","1801234661")</f>
        <v>1801234661</v>
      </c>
      <c r="E21621" t="s">
        <v>16232</v>
      </c>
    </row>
    <row r="21622" spans="1:5" x14ac:dyDescent="0.25">
      <c r="A21622" t="s">
        <v>4</v>
      </c>
      <c r="B21622" t="s">
        <v>4111</v>
      </c>
      <c r="C21622" s="1" t="s">
        <v>23490</v>
      </c>
      <c r="D21622" s="1" t="str">
        <f>HYPERLINK("https://rhld.insurance.arkansas.gov/NPILookup?Npi=1801234752","1801234752")</f>
        <v>1801234752</v>
      </c>
      <c r="E21622" t="s">
        <v>9160</v>
      </c>
    </row>
    <row r="21623" spans="1:5" x14ac:dyDescent="0.25">
      <c r="A21623" t="s">
        <v>4</v>
      </c>
      <c r="B21623" t="s">
        <v>4111</v>
      </c>
      <c r="C21623" s="1" t="s">
        <v>23490</v>
      </c>
      <c r="D21623" s="1" t="str">
        <f>HYPERLINK("https://rhld.insurance.arkansas.gov/NPILookup?Npi=1801237268","1801237268")</f>
        <v>1801237268</v>
      </c>
      <c r="E21623" t="s">
        <v>5700</v>
      </c>
    </row>
    <row r="21624" spans="1:5" x14ac:dyDescent="0.25">
      <c r="A21624" t="s">
        <v>4</v>
      </c>
      <c r="B21624" t="s">
        <v>4111</v>
      </c>
      <c r="C21624" s="1" t="s">
        <v>23490</v>
      </c>
      <c r="D21624" s="1" t="str">
        <f>HYPERLINK("https://rhld.insurance.arkansas.gov/NPILookup?Npi=1801242235","1801242235")</f>
        <v>1801242235</v>
      </c>
      <c r="E21624" t="s">
        <v>11842</v>
      </c>
    </row>
    <row r="21625" spans="1:5" x14ac:dyDescent="0.25">
      <c r="A21625" t="s">
        <v>4</v>
      </c>
      <c r="B21625" t="s">
        <v>4111</v>
      </c>
      <c r="C21625" s="1" t="s">
        <v>23490</v>
      </c>
      <c r="D21625" s="1" t="str">
        <f>HYPERLINK("https://rhld.insurance.arkansas.gov/NPILookup?Npi=1801243357","1801243357")</f>
        <v>1801243357</v>
      </c>
      <c r="E21625" t="s">
        <v>18431</v>
      </c>
    </row>
    <row r="21626" spans="1:5" x14ac:dyDescent="0.25">
      <c r="A21626" t="s">
        <v>4</v>
      </c>
      <c r="B21626" t="s">
        <v>4111</v>
      </c>
      <c r="C21626" s="1" t="s">
        <v>23490</v>
      </c>
      <c r="D21626" s="1" t="str">
        <f>HYPERLINK("https://rhld.insurance.arkansas.gov/NPILookup?Npi=1801267737","1801267737")</f>
        <v>1801267737</v>
      </c>
      <c r="E21626" t="s">
        <v>17648</v>
      </c>
    </row>
    <row r="21627" spans="1:5" x14ac:dyDescent="0.25">
      <c r="A21627" t="s">
        <v>4</v>
      </c>
      <c r="B21627" t="s">
        <v>4111</v>
      </c>
      <c r="C21627" s="1" t="s">
        <v>23490</v>
      </c>
      <c r="D21627" s="1" t="str">
        <f>HYPERLINK("https://rhld.insurance.arkansas.gov/NPILookup?Npi=1801269006","1801269006")</f>
        <v>1801269006</v>
      </c>
      <c r="E21627" t="s">
        <v>18432</v>
      </c>
    </row>
    <row r="21628" spans="1:5" x14ac:dyDescent="0.25">
      <c r="A21628" t="s">
        <v>4</v>
      </c>
      <c r="B21628" t="s">
        <v>4111</v>
      </c>
      <c r="C21628" s="1" t="s">
        <v>23490</v>
      </c>
      <c r="D21628" s="1" t="str">
        <f>HYPERLINK("https://rhld.insurance.arkansas.gov/NPILookup?Npi=1801275607","1801275607")</f>
        <v>1801275607</v>
      </c>
      <c r="E21628" t="s">
        <v>13211</v>
      </c>
    </row>
    <row r="21629" spans="1:5" x14ac:dyDescent="0.25">
      <c r="A21629" t="s">
        <v>4</v>
      </c>
      <c r="B21629" t="s">
        <v>4111</v>
      </c>
      <c r="C21629" s="1" t="s">
        <v>23490</v>
      </c>
      <c r="D21629" s="1" t="str">
        <f>HYPERLINK("https://rhld.insurance.arkansas.gov/NPILookup?Npi=1801281837","1801281837")</f>
        <v>1801281837</v>
      </c>
      <c r="E21629" t="s">
        <v>16233</v>
      </c>
    </row>
    <row r="21630" spans="1:5" x14ac:dyDescent="0.25">
      <c r="A21630" t="s">
        <v>4</v>
      </c>
      <c r="B21630" t="s">
        <v>4111</v>
      </c>
      <c r="C21630" s="1" t="s">
        <v>23490</v>
      </c>
      <c r="D21630" s="1" t="str">
        <f>HYPERLINK("https://rhld.insurance.arkansas.gov/NPILookup?Npi=1801285176","1801285176")</f>
        <v>1801285176</v>
      </c>
      <c r="E21630" t="s">
        <v>5701</v>
      </c>
    </row>
    <row r="21631" spans="1:5" x14ac:dyDescent="0.25">
      <c r="A21631" t="s">
        <v>4</v>
      </c>
      <c r="B21631" t="s">
        <v>4111</v>
      </c>
      <c r="C21631" s="1" t="s">
        <v>23490</v>
      </c>
      <c r="D21631" s="1" t="str">
        <f>HYPERLINK("https://rhld.insurance.arkansas.gov/NPILookup?Npi=1801289038","1801289038")</f>
        <v>1801289038</v>
      </c>
      <c r="E21631" t="s">
        <v>20587</v>
      </c>
    </row>
    <row r="21632" spans="1:5" x14ac:dyDescent="0.25">
      <c r="A21632" t="s">
        <v>4</v>
      </c>
      <c r="B21632" t="s">
        <v>4111</v>
      </c>
      <c r="C21632" s="1" t="s">
        <v>23490</v>
      </c>
      <c r="D21632" s="1" t="str">
        <f>HYPERLINK("https://rhld.insurance.arkansas.gov/NPILookup?Npi=1801291505","1801291505")</f>
        <v>1801291505</v>
      </c>
      <c r="E21632" t="s">
        <v>5702</v>
      </c>
    </row>
    <row r="21633" spans="1:5" x14ac:dyDescent="0.25">
      <c r="A21633" t="s">
        <v>4</v>
      </c>
      <c r="B21633" t="s">
        <v>4111</v>
      </c>
      <c r="C21633" s="1" t="s">
        <v>23490</v>
      </c>
      <c r="D21633" s="1" t="str">
        <f>HYPERLINK("https://rhld.insurance.arkansas.gov/NPILookup?Npi=1801306972","1801306972")</f>
        <v>1801306972</v>
      </c>
      <c r="E21633" t="s">
        <v>20588</v>
      </c>
    </row>
    <row r="21634" spans="1:5" x14ac:dyDescent="0.25">
      <c r="A21634" t="s">
        <v>4</v>
      </c>
      <c r="B21634" t="s">
        <v>4111</v>
      </c>
      <c r="C21634" s="1" t="s">
        <v>23490</v>
      </c>
      <c r="D21634" s="1" t="str">
        <f>HYPERLINK("https://rhld.insurance.arkansas.gov/NPILookup?Npi=1801314760","1801314760")</f>
        <v>1801314760</v>
      </c>
      <c r="E21634" t="s">
        <v>11284</v>
      </c>
    </row>
    <row r="21635" spans="1:5" x14ac:dyDescent="0.25">
      <c r="A21635" t="s">
        <v>4</v>
      </c>
      <c r="B21635" t="s">
        <v>4111</v>
      </c>
      <c r="C21635" s="1" t="s">
        <v>23490</v>
      </c>
      <c r="D21635" s="1" t="str">
        <f>HYPERLINK("https://rhld.insurance.arkansas.gov/NPILookup?Npi=1801330584","1801330584")</f>
        <v>1801330584</v>
      </c>
      <c r="E21635" t="s">
        <v>18433</v>
      </c>
    </row>
    <row r="21636" spans="1:5" x14ac:dyDescent="0.25">
      <c r="A21636" t="s">
        <v>4</v>
      </c>
      <c r="B21636" t="s">
        <v>4111</v>
      </c>
      <c r="C21636" s="1" t="s">
        <v>23490</v>
      </c>
      <c r="D21636" s="1" t="str">
        <f>HYPERLINK("https://rhld.insurance.arkansas.gov/NPILookup?Npi=1801359310","1801359310")</f>
        <v>1801359310</v>
      </c>
      <c r="E21636" t="s">
        <v>22289</v>
      </c>
    </row>
    <row r="21637" spans="1:5" x14ac:dyDescent="0.25">
      <c r="A21637" t="s">
        <v>4</v>
      </c>
      <c r="B21637" t="s">
        <v>4111</v>
      </c>
      <c r="C21637" s="1" t="s">
        <v>23490</v>
      </c>
      <c r="D21637" s="1" t="str">
        <f>HYPERLINK("https://rhld.insurance.arkansas.gov/NPILookup?Npi=1801361282","1801361282")</f>
        <v>1801361282</v>
      </c>
      <c r="E21637" t="s">
        <v>18434</v>
      </c>
    </row>
    <row r="21638" spans="1:5" x14ac:dyDescent="0.25">
      <c r="A21638" t="s">
        <v>4</v>
      </c>
      <c r="B21638" t="s">
        <v>4111</v>
      </c>
      <c r="C21638" s="1" t="s">
        <v>23490</v>
      </c>
      <c r="D21638" s="1" t="str">
        <f>HYPERLINK("https://rhld.insurance.arkansas.gov/NPILookup?Npi=1801365937","1801365937")</f>
        <v>1801365937</v>
      </c>
      <c r="E21638" t="s">
        <v>20589</v>
      </c>
    </row>
    <row r="21639" spans="1:5" x14ac:dyDescent="0.25">
      <c r="A21639" t="s">
        <v>4</v>
      </c>
      <c r="B21639" t="s">
        <v>4111</v>
      </c>
      <c r="C21639" s="1" t="s">
        <v>23490</v>
      </c>
      <c r="D21639" s="1" t="str">
        <f>HYPERLINK("https://rhld.insurance.arkansas.gov/NPILookup?Npi=1801382957","1801382957")</f>
        <v>1801382957</v>
      </c>
      <c r="E21639" t="s">
        <v>19024</v>
      </c>
    </row>
    <row r="21640" spans="1:5" x14ac:dyDescent="0.25">
      <c r="A21640" t="s">
        <v>4</v>
      </c>
      <c r="B21640" t="s">
        <v>4111</v>
      </c>
      <c r="C21640" s="1" t="s">
        <v>23490</v>
      </c>
      <c r="D21640" s="1" t="str">
        <f>HYPERLINK("https://rhld.insurance.arkansas.gov/NPILookup?Npi=1801390257","1801390257")</f>
        <v>1801390257</v>
      </c>
      <c r="E21640" t="s">
        <v>22290</v>
      </c>
    </row>
    <row r="21641" spans="1:5" x14ac:dyDescent="0.25">
      <c r="A21641" t="s">
        <v>4</v>
      </c>
      <c r="B21641" t="s">
        <v>4111</v>
      </c>
      <c r="C21641" s="1" t="s">
        <v>23490</v>
      </c>
      <c r="D21641" s="1" t="str">
        <f>HYPERLINK("https://rhld.insurance.arkansas.gov/NPILookup?Npi=1801413554","1801413554")</f>
        <v>1801413554</v>
      </c>
      <c r="E21641" t="s">
        <v>18435</v>
      </c>
    </row>
    <row r="21642" spans="1:5" x14ac:dyDescent="0.25">
      <c r="A21642" t="s">
        <v>4</v>
      </c>
      <c r="B21642" t="s">
        <v>4111</v>
      </c>
      <c r="C21642" s="1" t="s">
        <v>23490</v>
      </c>
      <c r="D21642" s="1" t="str">
        <f>HYPERLINK("https://rhld.insurance.arkansas.gov/NPILookup?Npi=1801431721","1801431721")</f>
        <v>1801431721</v>
      </c>
      <c r="E21642" t="s">
        <v>17819</v>
      </c>
    </row>
    <row r="21643" spans="1:5" x14ac:dyDescent="0.25">
      <c r="A21643" t="s">
        <v>4</v>
      </c>
      <c r="B21643" t="s">
        <v>4111</v>
      </c>
      <c r="C21643" s="1" t="s">
        <v>23490</v>
      </c>
      <c r="D21643" s="1" t="str">
        <f>HYPERLINK("https://rhld.insurance.arkansas.gov/NPILookup?Npi=1801446364","1801446364")</f>
        <v>1801446364</v>
      </c>
      <c r="E21643" t="s">
        <v>22291</v>
      </c>
    </row>
    <row r="21644" spans="1:5" x14ac:dyDescent="0.25">
      <c r="A21644" t="s">
        <v>4</v>
      </c>
      <c r="B21644" t="s">
        <v>4111</v>
      </c>
      <c r="C21644" s="1" t="s">
        <v>23490</v>
      </c>
      <c r="D21644" s="1" t="str">
        <f>HYPERLINK("https://rhld.insurance.arkansas.gov/NPILookup?Npi=1801517511","1801517511")</f>
        <v>1801517511</v>
      </c>
      <c r="E21644" t="s">
        <v>18434</v>
      </c>
    </row>
    <row r="21645" spans="1:5" x14ac:dyDescent="0.25">
      <c r="A21645" t="s">
        <v>4</v>
      </c>
      <c r="B21645" t="s">
        <v>4111</v>
      </c>
      <c r="C21645" s="1" t="s">
        <v>23490</v>
      </c>
      <c r="D21645" s="1" t="str">
        <f>HYPERLINK("https://rhld.insurance.arkansas.gov/NPILookup?Npi=1801820303","1801820303")</f>
        <v>1801820303</v>
      </c>
      <c r="E21645" t="s">
        <v>16234</v>
      </c>
    </row>
    <row r="21646" spans="1:5" x14ac:dyDescent="0.25">
      <c r="A21646" t="s">
        <v>4</v>
      </c>
      <c r="B21646" t="s">
        <v>4111</v>
      </c>
      <c r="C21646" s="1" t="s">
        <v>23490</v>
      </c>
      <c r="D21646" s="1" t="str">
        <f>HYPERLINK("https://rhld.insurance.arkansas.gov/NPILookup?Npi=1801853536","1801853536")</f>
        <v>1801853536</v>
      </c>
      <c r="E21646" t="s">
        <v>5703</v>
      </c>
    </row>
    <row r="21647" spans="1:5" x14ac:dyDescent="0.25">
      <c r="A21647" t="s">
        <v>4</v>
      </c>
      <c r="B21647" t="s">
        <v>4111</v>
      </c>
      <c r="C21647" s="1" t="s">
        <v>23490</v>
      </c>
      <c r="D21647" s="1" t="str">
        <f>HYPERLINK("https://rhld.insurance.arkansas.gov/NPILookup?Npi=1801854195","1801854195")</f>
        <v>1801854195</v>
      </c>
      <c r="E21647" t="s">
        <v>5704</v>
      </c>
    </row>
    <row r="21648" spans="1:5" x14ac:dyDescent="0.25">
      <c r="A21648" t="s">
        <v>4</v>
      </c>
      <c r="B21648" t="s">
        <v>4111</v>
      </c>
      <c r="C21648" s="1" t="s">
        <v>23490</v>
      </c>
      <c r="D21648" s="1" t="str">
        <f>HYPERLINK("https://rhld.insurance.arkansas.gov/NPILookup?Npi=1801855952","1801855952")</f>
        <v>1801855952</v>
      </c>
      <c r="E21648" t="s">
        <v>5705</v>
      </c>
    </row>
    <row r="21649" spans="1:5" x14ac:dyDescent="0.25">
      <c r="A21649" t="s">
        <v>4</v>
      </c>
      <c r="B21649" t="s">
        <v>4111</v>
      </c>
      <c r="C21649" s="1" t="s">
        <v>23490</v>
      </c>
      <c r="D21649" s="1" t="str">
        <f>HYPERLINK("https://rhld.insurance.arkansas.gov/NPILookup?Npi=1801856778","1801856778")</f>
        <v>1801856778</v>
      </c>
      <c r="E21649" t="s">
        <v>5706</v>
      </c>
    </row>
    <row r="21650" spans="1:5" x14ac:dyDescent="0.25">
      <c r="A21650" t="s">
        <v>4</v>
      </c>
      <c r="B21650" t="s">
        <v>4111</v>
      </c>
      <c r="C21650" s="1" t="s">
        <v>23490</v>
      </c>
      <c r="D21650" s="1" t="str">
        <f>HYPERLINK("https://rhld.insurance.arkansas.gov/NPILookup?Npi=1801867213","1801867213")</f>
        <v>1801867213</v>
      </c>
      <c r="E21650" t="s">
        <v>5707</v>
      </c>
    </row>
    <row r="21651" spans="1:5" x14ac:dyDescent="0.25">
      <c r="A21651" t="s">
        <v>4</v>
      </c>
      <c r="B21651" t="s">
        <v>4111</v>
      </c>
      <c r="C21651" s="1" t="s">
        <v>23490</v>
      </c>
      <c r="D21651" s="1" t="str">
        <f>HYPERLINK("https://rhld.insurance.arkansas.gov/NPILookup?Npi=1801887591","1801887591")</f>
        <v>1801887591</v>
      </c>
      <c r="E21651" t="s">
        <v>5708</v>
      </c>
    </row>
    <row r="21652" spans="1:5" x14ac:dyDescent="0.25">
      <c r="A21652" t="s">
        <v>4</v>
      </c>
      <c r="B21652" t="s">
        <v>4111</v>
      </c>
      <c r="C21652" s="1" t="s">
        <v>23490</v>
      </c>
      <c r="D21652" s="1" t="str">
        <f>HYPERLINK("https://rhld.insurance.arkansas.gov/NPILookup?Npi=1801914452","1801914452")</f>
        <v>1801914452</v>
      </c>
      <c r="E21652" t="s">
        <v>14220</v>
      </c>
    </row>
    <row r="21653" spans="1:5" x14ac:dyDescent="0.25">
      <c r="A21653" t="s">
        <v>4</v>
      </c>
      <c r="B21653" t="s">
        <v>4111</v>
      </c>
      <c r="C21653" s="1" t="s">
        <v>23490</v>
      </c>
      <c r="D21653" s="1" t="str">
        <f>HYPERLINK("https://rhld.insurance.arkansas.gov/NPILookup?Npi=1801915160","1801915160")</f>
        <v>1801915160</v>
      </c>
      <c r="E21653" t="s">
        <v>5709</v>
      </c>
    </row>
    <row r="21654" spans="1:5" x14ac:dyDescent="0.25">
      <c r="A21654" t="s">
        <v>4</v>
      </c>
      <c r="B21654" t="s">
        <v>4111</v>
      </c>
      <c r="C21654" s="1" t="s">
        <v>23490</v>
      </c>
      <c r="D21654" s="1" t="str">
        <f>HYPERLINK("https://rhld.insurance.arkansas.gov/NPILookup?Npi=1801920442","1801920442")</f>
        <v>1801920442</v>
      </c>
      <c r="E21654" t="s">
        <v>5710</v>
      </c>
    </row>
    <row r="21655" spans="1:5" x14ac:dyDescent="0.25">
      <c r="A21655" t="s">
        <v>4</v>
      </c>
      <c r="B21655" t="s">
        <v>4111</v>
      </c>
      <c r="C21655" s="1" t="s">
        <v>23490</v>
      </c>
      <c r="D21655" s="1" t="str">
        <f>HYPERLINK("https://rhld.insurance.arkansas.gov/NPILookup?Npi=1801924378","1801924378")</f>
        <v>1801924378</v>
      </c>
      <c r="E21655" t="s">
        <v>5711</v>
      </c>
    </row>
    <row r="21656" spans="1:5" x14ac:dyDescent="0.25">
      <c r="A21656" t="s">
        <v>4</v>
      </c>
      <c r="B21656" t="s">
        <v>4111</v>
      </c>
      <c r="C21656" s="1" t="s">
        <v>23490</v>
      </c>
      <c r="D21656" s="1" t="str">
        <f>HYPERLINK("https://rhld.insurance.arkansas.gov/NPILookup?Npi=1801934765","1801934765")</f>
        <v>1801934765</v>
      </c>
      <c r="E21656" t="s">
        <v>16235</v>
      </c>
    </row>
    <row r="21657" spans="1:5" x14ac:dyDescent="0.25">
      <c r="A21657" t="s">
        <v>4</v>
      </c>
      <c r="B21657" t="s">
        <v>4111</v>
      </c>
      <c r="C21657" s="1" t="s">
        <v>23490</v>
      </c>
      <c r="D21657" s="1" t="str">
        <f>HYPERLINK("https://rhld.insurance.arkansas.gov/NPILookup?Npi=1801947122","1801947122")</f>
        <v>1801947122</v>
      </c>
      <c r="E21657" t="s">
        <v>9161</v>
      </c>
    </row>
    <row r="21658" spans="1:5" x14ac:dyDescent="0.25">
      <c r="A21658" t="s">
        <v>4</v>
      </c>
      <c r="B21658" t="s">
        <v>4111</v>
      </c>
      <c r="C21658" s="1" t="s">
        <v>23490</v>
      </c>
      <c r="D21658" s="1" t="str">
        <f>HYPERLINK("https://rhld.insurance.arkansas.gov/NPILookup?Npi=1801951520","1801951520")</f>
        <v>1801951520</v>
      </c>
      <c r="E21658" t="s">
        <v>5712</v>
      </c>
    </row>
    <row r="21659" spans="1:5" x14ac:dyDescent="0.25">
      <c r="A21659" t="s">
        <v>4</v>
      </c>
      <c r="B21659" t="s">
        <v>4111</v>
      </c>
      <c r="C21659" s="1" t="s">
        <v>23490</v>
      </c>
      <c r="D21659" s="1" t="str">
        <f>HYPERLINK("https://rhld.insurance.arkansas.gov/NPILookup?Npi=1801956578","1801956578")</f>
        <v>1801956578</v>
      </c>
      <c r="E21659" t="s">
        <v>5713</v>
      </c>
    </row>
    <row r="21660" spans="1:5" x14ac:dyDescent="0.25">
      <c r="A21660" t="s">
        <v>4</v>
      </c>
      <c r="B21660" t="s">
        <v>4111</v>
      </c>
      <c r="C21660" s="1" t="s">
        <v>23490</v>
      </c>
      <c r="D21660" s="1" t="str">
        <f>HYPERLINK("https://rhld.insurance.arkansas.gov/NPILookup?Npi=1801966916","1801966916")</f>
        <v>1801966916</v>
      </c>
      <c r="E21660" t="s">
        <v>5714</v>
      </c>
    </row>
    <row r="21661" spans="1:5" x14ac:dyDescent="0.25">
      <c r="A21661" t="s">
        <v>4</v>
      </c>
      <c r="B21661" t="s">
        <v>4111</v>
      </c>
      <c r="C21661" s="1" t="s">
        <v>23490</v>
      </c>
      <c r="D21661" s="1" t="str">
        <f>HYPERLINK("https://rhld.insurance.arkansas.gov/NPILookup?Npi=1801989124","1801989124")</f>
        <v>1801989124</v>
      </c>
      <c r="E21661" t="s">
        <v>16236</v>
      </c>
    </row>
    <row r="21662" spans="1:5" x14ac:dyDescent="0.25">
      <c r="A21662" t="s">
        <v>4</v>
      </c>
      <c r="B21662" t="s">
        <v>4111</v>
      </c>
      <c r="C21662" s="1" t="s">
        <v>23490</v>
      </c>
      <c r="D21662" s="1" t="str">
        <f>HYPERLINK("https://rhld.insurance.arkansas.gov/NPILookup?Npi=1801999289","1801999289")</f>
        <v>1801999289</v>
      </c>
      <c r="E21662" t="s">
        <v>5715</v>
      </c>
    </row>
    <row r="21663" spans="1:5" x14ac:dyDescent="0.25">
      <c r="A21663" t="s">
        <v>4</v>
      </c>
      <c r="B21663" t="s">
        <v>4111</v>
      </c>
      <c r="C21663" s="1" t="s">
        <v>23490</v>
      </c>
      <c r="D21663" s="1" t="str">
        <f>HYPERLINK("https://rhld.insurance.arkansas.gov/NPILookup?Npi=1811003742","1811003742")</f>
        <v>1811003742</v>
      </c>
      <c r="E21663" t="s">
        <v>9162</v>
      </c>
    </row>
    <row r="21664" spans="1:5" x14ac:dyDescent="0.25">
      <c r="A21664" t="s">
        <v>4</v>
      </c>
      <c r="B21664" t="s">
        <v>4111</v>
      </c>
      <c r="C21664" s="1" t="s">
        <v>23490</v>
      </c>
      <c r="D21664" s="1" t="str">
        <f>HYPERLINK("https://rhld.insurance.arkansas.gov/NPILookup?Npi=1811007081","1811007081")</f>
        <v>1811007081</v>
      </c>
      <c r="E21664" t="s">
        <v>20590</v>
      </c>
    </row>
    <row r="21665" spans="1:5" x14ac:dyDescent="0.25">
      <c r="A21665" t="s">
        <v>4</v>
      </c>
      <c r="B21665" t="s">
        <v>4111</v>
      </c>
      <c r="C21665" s="1" t="s">
        <v>23490</v>
      </c>
      <c r="D21665" s="1" t="str">
        <f>HYPERLINK("https://rhld.insurance.arkansas.gov/NPILookup?Npi=1811008105","1811008105")</f>
        <v>1811008105</v>
      </c>
      <c r="E21665" t="s">
        <v>5716</v>
      </c>
    </row>
    <row r="21666" spans="1:5" x14ac:dyDescent="0.25">
      <c r="A21666" t="s">
        <v>4</v>
      </c>
      <c r="B21666" t="s">
        <v>4111</v>
      </c>
      <c r="C21666" s="1" t="s">
        <v>23490</v>
      </c>
      <c r="D21666" s="1" t="str">
        <f>HYPERLINK("https://rhld.insurance.arkansas.gov/NPILookup?Npi=1811008113","1811008113")</f>
        <v>1811008113</v>
      </c>
      <c r="E21666" t="s">
        <v>5717</v>
      </c>
    </row>
    <row r="21667" spans="1:5" x14ac:dyDescent="0.25">
      <c r="A21667" t="s">
        <v>4</v>
      </c>
      <c r="B21667" t="s">
        <v>4111</v>
      </c>
      <c r="C21667" s="1" t="s">
        <v>23490</v>
      </c>
      <c r="D21667" s="1" t="str">
        <f>HYPERLINK("https://rhld.insurance.arkansas.gov/NPILookup?Npi=1811023484","1811023484")</f>
        <v>1811023484</v>
      </c>
      <c r="E21667" t="s">
        <v>17649</v>
      </c>
    </row>
    <row r="21668" spans="1:5" x14ac:dyDescent="0.25">
      <c r="A21668" t="s">
        <v>4</v>
      </c>
      <c r="B21668" t="s">
        <v>4111</v>
      </c>
      <c r="C21668" s="1" t="s">
        <v>23490</v>
      </c>
      <c r="D21668" s="1" t="str">
        <f>HYPERLINK("https://rhld.insurance.arkansas.gov/NPILookup?Npi=1811024276","1811024276")</f>
        <v>1811024276</v>
      </c>
      <c r="E21668" t="s">
        <v>11843</v>
      </c>
    </row>
    <row r="21669" spans="1:5" x14ac:dyDescent="0.25">
      <c r="A21669" t="s">
        <v>4</v>
      </c>
      <c r="B21669" t="s">
        <v>4111</v>
      </c>
      <c r="C21669" s="1" t="s">
        <v>23490</v>
      </c>
      <c r="D21669" s="1" t="str">
        <f>HYPERLINK("https://rhld.insurance.arkansas.gov/NPILookup?Npi=1811050446","1811050446")</f>
        <v>1811050446</v>
      </c>
      <c r="E21669" t="s">
        <v>5718</v>
      </c>
    </row>
    <row r="21670" spans="1:5" x14ac:dyDescent="0.25">
      <c r="A21670" t="s">
        <v>4</v>
      </c>
      <c r="B21670" t="s">
        <v>4111</v>
      </c>
      <c r="C21670" s="1" t="s">
        <v>23490</v>
      </c>
      <c r="D21670" s="1" t="str">
        <f>HYPERLINK("https://rhld.insurance.arkansas.gov/NPILookup?Npi=1811057177","1811057177")</f>
        <v>1811057177</v>
      </c>
      <c r="E21670" t="s">
        <v>5719</v>
      </c>
    </row>
    <row r="21671" spans="1:5" x14ac:dyDescent="0.25">
      <c r="A21671" t="s">
        <v>4</v>
      </c>
      <c r="B21671" t="s">
        <v>4111</v>
      </c>
      <c r="C21671" s="1" t="s">
        <v>23490</v>
      </c>
      <c r="D21671" s="1" t="str">
        <f>HYPERLINK("https://rhld.insurance.arkansas.gov/NPILookup?Npi=1811066475","1811066475")</f>
        <v>1811066475</v>
      </c>
      <c r="E21671" t="s">
        <v>16237</v>
      </c>
    </row>
    <row r="21672" spans="1:5" x14ac:dyDescent="0.25">
      <c r="A21672" t="s">
        <v>4</v>
      </c>
      <c r="B21672" t="s">
        <v>4111</v>
      </c>
      <c r="C21672" s="1" t="s">
        <v>23490</v>
      </c>
      <c r="D21672" s="1" t="str">
        <f>HYPERLINK("https://rhld.insurance.arkansas.gov/NPILookup?Npi=1811070865","1811070865")</f>
        <v>1811070865</v>
      </c>
      <c r="E21672" t="s">
        <v>11844</v>
      </c>
    </row>
    <row r="21673" spans="1:5" x14ac:dyDescent="0.25">
      <c r="A21673" t="s">
        <v>4</v>
      </c>
      <c r="B21673" t="s">
        <v>4111</v>
      </c>
      <c r="C21673" s="1" t="s">
        <v>23490</v>
      </c>
      <c r="D21673" s="1" t="str">
        <f>HYPERLINK("https://rhld.insurance.arkansas.gov/NPILookup?Npi=1811079429","1811079429")</f>
        <v>1811079429</v>
      </c>
      <c r="E21673" t="s">
        <v>5720</v>
      </c>
    </row>
    <row r="21674" spans="1:5" x14ac:dyDescent="0.25">
      <c r="A21674" t="s">
        <v>4</v>
      </c>
      <c r="B21674" t="s">
        <v>4111</v>
      </c>
      <c r="C21674" s="1" t="s">
        <v>23490</v>
      </c>
      <c r="D21674" s="1" t="str">
        <f>HYPERLINK("https://rhld.insurance.arkansas.gov/NPILookup?Npi=1811084221","1811084221")</f>
        <v>1811084221</v>
      </c>
      <c r="E21674" t="s">
        <v>5721</v>
      </c>
    </row>
    <row r="21675" spans="1:5" x14ac:dyDescent="0.25">
      <c r="A21675" t="s">
        <v>4</v>
      </c>
      <c r="B21675" t="s">
        <v>4111</v>
      </c>
      <c r="C21675" s="1" t="s">
        <v>23490</v>
      </c>
      <c r="D21675" s="1" t="str">
        <f>HYPERLINK("https://rhld.insurance.arkansas.gov/NPILookup?Npi=1811087489","1811087489")</f>
        <v>1811087489</v>
      </c>
      <c r="E21675" t="s">
        <v>2839</v>
      </c>
    </row>
    <row r="21676" spans="1:5" x14ac:dyDescent="0.25">
      <c r="A21676" t="s">
        <v>4</v>
      </c>
      <c r="B21676" t="s">
        <v>4111</v>
      </c>
      <c r="C21676" s="1" t="s">
        <v>23490</v>
      </c>
      <c r="D21676" s="1" t="str">
        <f>HYPERLINK("https://rhld.insurance.arkansas.gov/NPILookup?Npi=1811098833","1811098833")</f>
        <v>1811098833</v>
      </c>
      <c r="E21676" t="s">
        <v>17237</v>
      </c>
    </row>
    <row r="21677" spans="1:5" x14ac:dyDescent="0.25">
      <c r="A21677" t="s">
        <v>4</v>
      </c>
      <c r="B21677" t="s">
        <v>4111</v>
      </c>
      <c r="C21677" s="1" t="s">
        <v>23490</v>
      </c>
      <c r="D21677" s="1" t="str">
        <f>HYPERLINK("https://rhld.insurance.arkansas.gov/NPILookup?Npi=1811108129","1811108129")</f>
        <v>1811108129</v>
      </c>
      <c r="E21677" t="s">
        <v>5722</v>
      </c>
    </row>
    <row r="21678" spans="1:5" x14ac:dyDescent="0.25">
      <c r="A21678" t="s">
        <v>4</v>
      </c>
      <c r="B21678" t="s">
        <v>4111</v>
      </c>
      <c r="C21678" s="1" t="s">
        <v>23490</v>
      </c>
      <c r="D21678" s="1" t="str">
        <f>HYPERLINK("https://rhld.insurance.arkansas.gov/NPILookup?Npi=1811123458","1811123458")</f>
        <v>1811123458</v>
      </c>
      <c r="E21678" t="s">
        <v>5723</v>
      </c>
    </row>
    <row r="21679" spans="1:5" x14ac:dyDescent="0.25">
      <c r="A21679" t="s">
        <v>4</v>
      </c>
      <c r="B21679" t="s">
        <v>4111</v>
      </c>
      <c r="C21679" s="1" t="s">
        <v>23490</v>
      </c>
      <c r="D21679" s="1" t="str">
        <f>HYPERLINK("https://rhld.insurance.arkansas.gov/NPILookup?Npi=1811124191","1811124191")</f>
        <v>1811124191</v>
      </c>
      <c r="E21679" t="s">
        <v>9163</v>
      </c>
    </row>
    <row r="21680" spans="1:5" x14ac:dyDescent="0.25">
      <c r="A21680" t="s">
        <v>4</v>
      </c>
      <c r="B21680" t="s">
        <v>4111</v>
      </c>
      <c r="C21680" s="1" t="s">
        <v>23490</v>
      </c>
      <c r="D21680" s="1" t="str">
        <f>HYPERLINK("https://rhld.insurance.arkansas.gov/NPILookup?Npi=1811128309","1811128309")</f>
        <v>1811128309</v>
      </c>
      <c r="E21680" t="s">
        <v>5724</v>
      </c>
    </row>
    <row r="21681" spans="1:5" x14ac:dyDescent="0.25">
      <c r="A21681" t="s">
        <v>4</v>
      </c>
      <c r="B21681" t="s">
        <v>4111</v>
      </c>
      <c r="C21681" s="1" t="s">
        <v>23490</v>
      </c>
      <c r="D21681" s="1" t="str">
        <f>HYPERLINK("https://rhld.insurance.arkansas.gov/NPILookup?Npi=1811134653","1811134653")</f>
        <v>1811134653</v>
      </c>
      <c r="E21681" t="s">
        <v>11845</v>
      </c>
    </row>
    <row r="21682" spans="1:5" x14ac:dyDescent="0.25">
      <c r="A21682" t="s">
        <v>4</v>
      </c>
      <c r="B21682" t="s">
        <v>4111</v>
      </c>
      <c r="C21682" s="1" t="s">
        <v>23490</v>
      </c>
      <c r="D21682" s="1" t="str">
        <f>HYPERLINK("https://rhld.insurance.arkansas.gov/NPILookup?Npi=1811140205","1811140205")</f>
        <v>1811140205</v>
      </c>
      <c r="E21682" t="s">
        <v>5725</v>
      </c>
    </row>
    <row r="21683" spans="1:5" x14ac:dyDescent="0.25">
      <c r="A21683" t="s">
        <v>4</v>
      </c>
      <c r="B21683" t="s">
        <v>4111</v>
      </c>
      <c r="C21683" s="1" t="s">
        <v>23490</v>
      </c>
      <c r="D21683" s="1" t="str">
        <f>HYPERLINK("https://rhld.insurance.arkansas.gov/NPILookup?Npi=1811150303","1811150303")</f>
        <v>1811150303</v>
      </c>
      <c r="E21683" t="s">
        <v>5726</v>
      </c>
    </row>
    <row r="21684" spans="1:5" x14ac:dyDescent="0.25">
      <c r="A21684" t="s">
        <v>4</v>
      </c>
      <c r="B21684" t="s">
        <v>4111</v>
      </c>
      <c r="C21684" s="1" t="s">
        <v>23490</v>
      </c>
      <c r="D21684" s="1" t="str">
        <f>HYPERLINK("https://rhld.insurance.arkansas.gov/NPILookup?Npi=1811150907","1811150907")</f>
        <v>1811150907</v>
      </c>
      <c r="E21684" t="s">
        <v>5727</v>
      </c>
    </row>
    <row r="21685" spans="1:5" x14ac:dyDescent="0.25">
      <c r="A21685" t="s">
        <v>4</v>
      </c>
      <c r="B21685" t="s">
        <v>4111</v>
      </c>
      <c r="C21685" s="1" t="s">
        <v>23490</v>
      </c>
      <c r="D21685" s="1" t="str">
        <f>HYPERLINK("https://rhld.insurance.arkansas.gov/NPILookup?Npi=1811157639","1811157639")</f>
        <v>1811157639</v>
      </c>
      <c r="E21685" t="s">
        <v>5728</v>
      </c>
    </row>
    <row r="21686" spans="1:5" x14ac:dyDescent="0.25">
      <c r="A21686" t="s">
        <v>4</v>
      </c>
      <c r="B21686" t="s">
        <v>4111</v>
      </c>
      <c r="C21686" s="1" t="s">
        <v>23490</v>
      </c>
      <c r="D21686" s="1" t="str">
        <f>HYPERLINK("https://rhld.insurance.arkansas.gov/NPILookup?Npi=1811163694","1811163694")</f>
        <v>1811163694</v>
      </c>
      <c r="E21686" t="s">
        <v>11846</v>
      </c>
    </row>
    <row r="21687" spans="1:5" x14ac:dyDescent="0.25">
      <c r="A21687" t="s">
        <v>4</v>
      </c>
      <c r="B21687" t="s">
        <v>4111</v>
      </c>
      <c r="C21687" s="1" t="s">
        <v>23490</v>
      </c>
      <c r="D21687" s="1" t="str">
        <f>HYPERLINK("https://rhld.insurance.arkansas.gov/NPILookup?Npi=1811164551","1811164551")</f>
        <v>1811164551</v>
      </c>
      <c r="E21687" t="s">
        <v>11847</v>
      </c>
    </row>
    <row r="21688" spans="1:5" x14ac:dyDescent="0.25">
      <c r="A21688" t="s">
        <v>4</v>
      </c>
      <c r="B21688" t="s">
        <v>4111</v>
      </c>
      <c r="C21688" s="1" t="s">
        <v>23490</v>
      </c>
      <c r="D21688" s="1" t="str">
        <f>HYPERLINK("https://rhld.insurance.arkansas.gov/NPILookup?Npi=1811169451","1811169451")</f>
        <v>1811169451</v>
      </c>
      <c r="E21688" t="s">
        <v>5729</v>
      </c>
    </row>
    <row r="21689" spans="1:5" x14ac:dyDescent="0.25">
      <c r="A21689" t="s">
        <v>4</v>
      </c>
      <c r="B21689" t="s">
        <v>4111</v>
      </c>
      <c r="C21689" s="1" t="s">
        <v>23490</v>
      </c>
      <c r="D21689" s="1" t="str">
        <f>HYPERLINK("https://rhld.insurance.arkansas.gov/NPILookup?Npi=1811170301","1811170301")</f>
        <v>1811170301</v>
      </c>
      <c r="E21689" t="s">
        <v>5730</v>
      </c>
    </row>
    <row r="21690" spans="1:5" x14ac:dyDescent="0.25">
      <c r="A21690" t="s">
        <v>4</v>
      </c>
      <c r="B21690" t="s">
        <v>4111</v>
      </c>
      <c r="C21690" s="1" t="s">
        <v>23490</v>
      </c>
      <c r="D21690" s="1" t="str">
        <f>HYPERLINK("https://rhld.insurance.arkansas.gov/NPILookup?Npi=1811176712","1811176712")</f>
        <v>1811176712</v>
      </c>
      <c r="E21690" t="s">
        <v>13212</v>
      </c>
    </row>
    <row r="21691" spans="1:5" x14ac:dyDescent="0.25">
      <c r="A21691" t="s">
        <v>4</v>
      </c>
      <c r="B21691" t="s">
        <v>4111</v>
      </c>
      <c r="C21691" s="1" t="s">
        <v>23490</v>
      </c>
      <c r="D21691" s="1" t="str">
        <f>HYPERLINK("https://rhld.insurance.arkansas.gov/NPILookup?Npi=1811182116","1811182116")</f>
        <v>1811182116</v>
      </c>
      <c r="E21691" t="s">
        <v>5731</v>
      </c>
    </row>
    <row r="21692" spans="1:5" x14ac:dyDescent="0.25">
      <c r="A21692" t="s">
        <v>4</v>
      </c>
      <c r="B21692" t="s">
        <v>4111</v>
      </c>
      <c r="C21692" s="1" t="s">
        <v>23490</v>
      </c>
      <c r="D21692" s="1" t="str">
        <f>HYPERLINK("https://rhld.insurance.arkansas.gov/NPILookup?Npi=1811198450","1811198450")</f>
        <v>1811198450</v>
      </c>
      <c r="E21692" t="s">
        <v>13213</v>
      </c>
    </row>
    <row r="21693" spans="1:5" x14ac:dyDescent="0.25">
      <c r="A21693" t="s">
        <v>4</v>
      </c>
      <c r="B21693" t="s">
        <v>4111</v>
      </c>
      <c r="C21693" s="1" t="s">
        <v>23490</v>
      </c>
      <c r="D21693" s="1" t="str">
        <f>HYPERLINK("https://rhld.insurance.arkansas.gov/NPILookup?Npi=1811209745","1811209745")</f>
        <v>1811209745</v>
      </c>
      <c r="E21693" t="s">
        <v>5732</v>
      </c>
    </row>
    <row r="21694" spans="1:5" x14ac:dyDescent="0.25">
      <c r="A21694" t="s">
        <v>4</v>
      </c>
      <c r="B21694" t="s">
        <v>4111</v>
      </c>
      <c r="C21694" s="1" t="s">
        <v>23490</v>
      </c>
      <c r="D21694" s="1" t="str">
        <f>HYPERLINK("https://rhld.insurance.arkansas.gov/NPILookup?Npi=1811214737","1811214737")</f>
        <v>1811214737</v>
      </c>
      <c r="E21694" t="s">
        <v>21167</v>
      </c>
    </row>
    <row r="21695" spans="1:5" x14ac:dyDescent="0.25">
      <c r="A21695" t="s">
        <v>4</v>
      </c>
      <c r="B21695" t="s">
        <v>4111</v>
      </c>
      <c r="C21695" s="1" t="s">
        <v>23490</v>
      </c>
      <c r="D21695" s="1" t="str">
        <f>HYPERLINK("https://rhld.insurance.arkansas.gov/NPILookup?Npi=1811228455","1811228455")</f>
        <v>1811228455</v>
      </c>
      <c r="E21695" t="s">
        <v>5733</v>
      </c>
    </row>
    <row r="21696" spans="1:5" x14ac:dyDescent="0.25">
      <c r="A21696" t="s">
        <v>4</v>
      </c>
      <c r="B21696" t="s">
        <v>4111</v>
      </c>
      <c r="C21696" s="1" t="s">
        <v>23490</v>
      </c>
      <c r="D21696" s="1" t="str">
        <f>HYPERLINK("https://rhld.insurance.arkansas.gov/NPILookup?Npi=1811235575","1811235575")</f>
        <v>1811235575</v>
      </c>
      <c r="E21696" t="s">
        <v>14221</v>
      </c>
    </row>
    <row r="21697" spans="1:5" x14ac:dyDescent="0.25">
      <c r="A21697" t="s">
        <v>4</v>
      </c>
      <c r="B21697" t="s">
        <v>4111</v>
      </c>
      <c r="C21697" s="1" t="s">
        <v>8427</v>
      </c>
      <c r="D21697" s="1" t="str">
        <f>HYPERLINK("https://rhld.insurance.arkansas.gov/NPILookup?Npi=1811251770","1811251770")</f>
        <v>1811251770</v>
      </c>
      <c r="E21697" t="s">
        <v>23194</v>
      </c>
    </row>
    <row r="21698" spans="1:5" x14ac:dyDescent="0.25">
      <c r="A21698" t="s">
        <v>4</v>
      </c>
      <c r="B21698" t="s">
        <v>4111</v>
      </c>
      <c r="C21698" s="1" t="s">
        <v>23490</v>
      </c>
      <c r="D21698" s="1" t="str">
        <f>HYPERLINK("https://rhld.insurance.arkansas.gov/NPILookup?Npi=1811255904","1811255904")</f>
        <v>1811255904</v>
      </c>
      <c r="E21698" t="s">
        <v>14222</v>
      </c>
    </row>
    <row r="21699" spans="1:5" x14ac:dyDescent="0.25">
      <c r="A21699" t="s">
        <v>4</v>
      </c>
      <c r="B21699" t="s">
        <v>4111</v>
      </c>
      <c r="C21699" s="1" t="s">
        <v>23490</v>
      </c>
      <c r="D21699" s="1" t="str">
        <f>HYPERLINK("https://rhld.insurance.arkansas.gov/NPILookup?Npi=1811268030","1811268030")</f>
        <v>1811268030</v>
      </c>
      <c r="E21699" t="s">
        <v>19025</v>
      </c>
    </row>
    <row r="21700" spans="1:5" x14ac:dyDescent="0.25">
      <c r="A21700" t="s">
        <v>4</v>
      </c>
      <c r="B21700" t="s">
        <v>4111</v>
      </c>
      <c r="C21700" s="1" t="s">
        <v>23490</v>
      </c>
      <c r="D21700" s="1" t="str">
        <f>HYPERLINK("https://rhld.insurance.arkansas.gov/NPILookup?Npi=1811273477","1811273477")</f>
        <v>1811273477</v>
      </c>
      <c r="E21700" t="s">
        <v>22292</v>
      </c>
    </row>
    <row r="21701" spans="1:5" x14ac:dyDescent="0.25">
      <c r="A21701" t="s">
        <v>4</v>
      </c>
      <c r="B21701" t="s">
        <v>4111</v>
      </c>
      <c r="C21701" s="1" t="s">
        <v>23490</v>
      </c>
      <c r="D21701" s="1" t="str">
        <f>HYPERLINK("https://rhld.insurance.arkansas.gov/NPILookup?Npi=1811283708","1811283708")</f>
        <v>1811283708</v>
      </c>
      <c r="E21701" t="s">
        <v>22293</v>
      </c>
    </row>
    <row r="21702" spans="1:5" x14ac:dyDescent="0.25">
      <c r="A21702" t="s">
        <v>4</v>
      </c>
      <c r="B21702" t="s">
        <v>4111</v>
      </c>
      <c r="C21702" s="1" t="s">
        <v>23490</v>
      </c>
      <c r="D21702" s="1" t="str">
        <f>HYPERLINK("https://rhld.insurance.arkansas.gov/NPILookup?Npi=1811285620","1811285620")</f>
        <v>1811285620</v>
      </c>
      <c r="E21702" t="s">
        <v>16238</v>
      </c>
    </row>
    <row r="21703" spans="1:5" x14ac:dyDescent="0.25">
      <c r="A21703" t="s">
        <v>4</v>
      </c>
      <c r="B21703" t="s">
        <v>4111</v>
      </c>
      <c r="C21703" s="1" t="s">
        <v>23490</v>
      </c>
      <c r="D21703" s="1" t="str">
        <f>HYPERLINK("https://rhld.insurance.arkansas.gov/NPILookup?Npi=1811310972","1811310972")</f>
        <v>1811310972</v>
      </c>
      <c r="E21703" t="s">
        <v>17650</v>
      </c>
    </row>
    <row r="21704" spans="1:5" x14ac:dyDescent="0.25">
      <c r="A21704" t="s">
        <v>4</v>
      </c>
      <c r="B21704" t="s">
        <v>4111</v>
      </c>
      <c r="C21704" s="1" t="s">
        <v>23490</v>
      </c>
      <c r="D21704" s="1" t="str">
        <f>HYPERLINK("https://rhld.insurance.arkansas.gov/NPILookup?Npi=1811313885","1811313885")</f>
        <v>1811313885</v>
      </c>
      <c r="E21704" t="s">
        <v>11848</v>
      </c>
    </row>
    <row r="21705" spans="1:5" x14ac:dyDescent="0.25">
      <c r="A21705" t="s">
        <v>4</v>
      </c>
      <c r="B21705" t="s">
        <v>4111</v>
      </c>
      <c r="C21705" s="1" t="s">
        <v>23490</v>
      </c>
      <c r="D21705" s="1" t="str">
        <f>HYPERLINK("https://rhld.insurance.arkansas.gov/NPILookup?Npi=1811315070","1811315070")</f>
        <v>1811315070</v>
      </c>
      <c r="E21705" t="s">
        <v>22294</v>
      </c>
    </row>
    <row r="21706" spans="1:5" x14ac:dyDescent="0.25">
      <c r="A21706" t="s">
        <v>4</v>
      </c>
      <c r="B21706" t="s">
        <v>4111</v>
      </c>
      <c r="C21706" s="1" t="s">
        <v>23490</v>
      </c>
      <c r="D21706" s="1" t="str">
        <f>HYPERLINK("https://rhld.insurance.arkansas.gov/NPILookup?Npi=1811327703","1811327703")</f>
        <v>1811327703</v>
      </c>
      <c r="E21706" t="s">
        <v>22295</v>
      </c>
    </row>
    <row r="21707" spans="1:5" x14ac:dyDescent="0.25">
      <c r="A21707" t="s">
        <v>4</v>
      </c>
      <c r="B21707" t="s">
        <v>4111</v>
      </c>
      <c r="C21707" s="1" t="s">
        <v>23490</v>
      </c>
      <c r="D21707" s="1" t="str">
        <f>HYPERLINK("https://rhld.insurance.arkansas.gov/NPILookup?Npi=1811334410","1811334410")</f>
        <v>1811334410</v>
      </c>
      <c r="E21707" t="s">
        <v>16239</v>
      </c>
    </row>
    <row r="21708" spans="1:5" x14ac:dyDescent="0.25">
      <c r="A21708" t="s">
        <v>4</v>
      </c>
      <c r="B21708" t="s">
        <v>4111</v>
      </c>
      <c r="C21708" s="1" t="s">
        <v>23490</v>
      </c>
      <c r="D21708" s="1" t="str">
        <f>HYPERLINK("https://rhld.insurance.arkansas.gov/NPILookup?Npi=1811334659","1811334659")</f>
        <v>1811334659</v>
      </c>
      <c r="E21708" t="s">
        <v>20591</v>
      </c>
    </row>
    <row r="21709" spans="1:5" x14ac:dyDescent="0.25">
      <c r="A21709" t="s">
        <v>4</v>
      </c>
      <c r="B21709" t="s">
        <v>4111</v>
      </c>
      <c r="C21709" s="1" t="s">
        <v>23490</v>
      </c>
      <c r="D21709" s="1" t="str">
        <f>HYPERLINK("https://rhld.insurance.arkansas.gov/NPILookup?Npi=1811352396","1811352396")</f>
        <v>1811352396</v>
      </c>
      <c r="E21709" t="s">
        <v>22296</v>
      </c>
    </row>
    <row r="21710" spans="1:5" x14ac:dyDescent="0.25">
      <c r="A21710" t="s">
        <v>4</v>
      </c>
      <c r="B21710" t="s">
        <v>4111</v>
      </c>
      <c r="C21710" s="1" t="s">
        <v>23490</v>
      </c>
      <c r="D21710" s="1" t="str">
        <f>HYPERLINK("https://rhld.insurance.arkansas.gov/NPILookup?Npi=1811355167","1811355167")</f>
        <v>1811355167</v>
      </c>
      <c r="E21710" t="s">
        <v>17238</v>
      </c>
    </row>
    <row r="21711" spans="1:5" x14ac:dyDescent="0.25">
      <c r="A21711" t="s">
        <v>4</v>
      </c>
      <c r="B21711" t="s">
        <v>4111</v>
      </c>
      <c r="C21711" s="1" t="s">
        <v>23490</v>
      </c>
      <c r="D21711" s="1" t="str">
        <f>HYPERLINK("https://rhld.insurance.arkansas.gov/NPILookup?Npi=1811366370","1811366370")</f>
        <v>1811366370</v>
      </c>
      <c r="E21711" t="s">
        <v>16240</v>
      </c>
    </row>
    <row r="21712" spans="1:5" x14ac:dyDescent="0.25">
      <c r="A21712" t="s">
        <v>4</v>
      </c>
      <c r="B21712" t="s">
        <v>4111</v>
      </c>
      <c r="C21712" s="1" t="s">
        <v>23490</v>
      </c>
      <c r="D21712" s="1" t="str">
        <f>HYPERLINK("https://rhld.insurance.arkansas.gov/NPILookup?Npi=1811383656","1811383656")</f>
        <v>1811383656</v>
      </c>
      <c r="E21712" t="s">
        <v>16241</v>
      </c>
    </row>
    <row r="21713" spans="1:5" x14ac:dyDescent="0.25">
      <c r="A21713" t="s">
        <v>4</v>
      </c>
      <c r="B21713" t="s">
        <v>4111</v>
      </c>
      <c r="C21713" s="1" t="s">
        <v>23490</v>
      </c>
      <c r="D21713" s="1" t="str">
        <f>HYPERLINK("https://rhld.insurance.arkansas.gov/NPILookup?Npi=1811416217","1811416217")</f>
        <v>1811416217</v>
      </c>
      <c r="E21713" t="s">
        <v>19026</v>
      </c>
    </row>
    <row r="21714" spans="1:5" x14ac:dyDescent="0.25">
      <c r="A21714" t="s">
        <v>4</v>
      </c>
      <c r="B21714" t="s">
        <v>4111</v>
      </c>
      <c r="C21714" s="1" t="s">
        <v>23490</v>
      </c>
      <c r="D21714" s="1" t="str">
        <f>HYPERLINK("https://rhld.insurance.arkansas.gov/NPILookup?Npi=1811421407","1811421407")</f>
        <v>1811421407</v>
      </c>
      <c r="E21714" t="s">
        <v>16242</v>
      </c>
    </row>
    <row r="21715" spans="1:5" x14ac:dyDescent="0.25">
      <c r="A21715" t="s">
        <v>4</v>
      </c>
      <c r="B21715" t="s">
        <v>4111</v>
      </c>
      <c r="C21715" s="1" t="s">
        <v>23490</v>
      </c>
      <c r="D21715" s="1" t="str">
        <f>HYPERLINK("https://rhld.insurance.arkansas.gov/NPILookup?Npi=1811476146","1811476146")</f>
        <v>1811476146</v>
      </c>
      <c r="E21715" t="s">
        <v>14223</v>
      </c>
    </row>
    <row r="21716" spans="1:5" x14ac:dyDescent="0.25">
      <c r="A21716" t="s">
        <v>4</v>
      </c>
      <c r="B21716" t="s">
        <v>4111</v>
      </c>
      <c r="C21716" s="1" t="s">
        <v>23490</v>
      </c>
      <c r="D21716" s="1" t="str">
        <f>HYPERLINK("https://rhld.insurance.arkansas.gov/NPILookup?Npi=1811480320","1811480320")</f>
        <v>1811480320</v>
      </c>
      <c r="E21716" t="s">
        <v>20592</v>
      </c>
    </row>
    <row r="21717" spans="1:5" x14ac:dyDescent="0.25">
      <c r="A21717" t="s">
        <v>4</v>
      </c>
      <c r="B21717" t="s">
        <v>4111</v>
      </c>
      <c r="C21717" s="1" t="s">
        <v>23490</v>
      </c>
      <c r="D21717" s="1" t="str">
        <f>HYPERLINK("https://rhld.insurance.arkansas.gov/NPILookup?Npi=1811493521","1811493521")</f>
        <v>1811493521</v>
      </c>
      <c r="E21717" t="s">
        <v>18436</v>
      </c>
    </row>
    <row r="21718" spans="1:5" x14ac:dyDescent="0.25">
      <c r="A21718" t="s">
        <v>4</v>
      </c>
      <c r="B21718" t="s">
        <v>4111</v>
      </c>
      <c r="C21718" s="1" t="s">
        <v>23490</v>
      </c>
      <c r="D21718" s="1" t="str">
        <f>HYPERLINK("https://rhld.insurance.arkansas.gov/NPILookup?Npi=1811502305","1811502305")</f>
        <v>1811502305</v>
      </c>
      <c r="E21718" t="s">
        <v>20593</v>
      </c>
    </row>
    <row r="21719" spans="1:5" x14ac:dyDescent="0.25">
      <c r="A21719" t="s">
        <v>4</v>
      </c>
      <c r="B21719" t="s">
        <v>4111</v>
      </c>
      <c r="C21719" s="1" t="s">
        <v>23490</v>
      </c>
      <c r="D21719" s="1" t="str">
        <f>HYPERLINK("https://rhld.insurance.arkansas.gov/NPILookup?Npi=1811504038","1811504038")</f>
        <v>1811504038</v>
      </c>
      <c r="E21719" t="s">
        <v>20045</v>
      </c>
    </row>
    <row r="21720" spans="1:5" x14ac:dyDescent="0.25">
      <c r="A21720" t="s">
        <v>4</v>
      </c>
      <c r="B21720" t="s">
        <v>4111</v>
      </c>
      <c r="C21720" s="1" t="s">
        <v>23490</v>
      </c>
      <c r="D21720" s="1" t="str">
        <f>HYPERLINK("https://rhld.insurance.arkansas.gov/NPILookup?Npi=1811528524","1811528524")</f>
        <v>1811528524</v>
      </c>
      <c r="E21720" t="s">
        <v>21168</v>
      </c>
    </row>
    <row r="21721" spans="1:5" x14ac:dyDescent="0.25">
      <c r="A21721" t="s">
        <v>4</v>
      </c>
      <c r="B21721" t="s">
        <v>4111</v>
      </c>
      <c r="C21721" s="1" t="s">
        <v>23490</v>
      </c>
      <c r="D21721" s="1" t="str">
        <f>HYPERLINK("https://rhld.insurance.arkansas.gov/NPILookup?Npi=1811533300","1811533300")</f>
        <v>1811533300</v>
      </c>
      <c r="E21721" t="s">
        <v>20594</v>
      </c>
    </row>
    <row r="21722" spans="1:5" x14ac:dyDescent="0.25">
      <c r="A21722" t="s">
        <v>4</v>
      </c>
      <c r="B21722" t="s">
        <v>4111</v>
      </c>
      <c r="C21722" s="1" t="s">
        <v>23490</v>
      </c>
      <c r="D21722" s="1" t="str">
        <f>HYPERLINK("https://rhld.insurance.arkansas.gov/NPILookup?Npi=1811549827","1811549827")</f>
        <v>1811549827</v>
      </c>
      <c r="E21722" t="s">
        <v>22297</v>
      </c>
    </row>
    <row r="21723" spans="1:5" x14ac:dyDescent="0.25">
      <c r="A21723" t="s">
        <v>4</v>
      </c>
      <c r="B21723" t="s">
        <v>4111</v>
      </c>
      <c r="C21723" s="1" t="s">
        <v>23490</v>
      </c>
      <c r="D21723" s="1" t="str">
        <f>HYPERLINK("https://rhld.insurance.arkansas.gov/NPILookup?Npi=1811562515","1811562515")</f>
        <v>1811562515</v>
      </c>
      <c r="E21723" t="s">
        <v>19027</v>
      </c>
    </row>
    <row r="21724" spans="1:5" x14ac:dyDescent="0.25">
      <c r="A21724" t="s">
        <v>4</v>
      </c>
      <c r="B21724" t="s">
        <v>4111</v>
      </c>
      <c r="C21724" s="1" t="s">
        <v>23490</v>
      </c>
      <c r="D21724" s="1" t="str">
        <f>HYPERLINK("https://rhld.insurance.arkansas.gov/NPILookup?Npi=1811566227","1811566227")</f>
        <v>1811566227</v>
      </c>
      <c r="E21724" t="s">
        <v>20595</v>
      </c>
    </row>
    <row r="21725" spans="1:5" x14ac:dyDescent="0.25">
      <c r="A21725" t="s">
        <v>4</v>
      </c>
      <c r="B21725" t="s">
        <v>4111</v>
      </c>
      <c r="C21725" s="1" t="s">
        <v>23490</v>
      </c>
      <c r="D21725" s="1" t="str">
        <f>HYPERLINK("https://rhld.insurance.arkansas.gov/NPILookup?Npi=1811583669","1811583669")</f>
        <v>1811583669</v>
      </c>
      <c r="E21725" t="s">
        <v>22298</v>
      </c>
    </row>
    <row r="21726" spans="1:5" x14ac:dyDescent="0.25">
      <c r="A21726" t="s">
        <v>4</v>
      </c>
      <c r="B21726" t="s">
        <v>4111</v>
      </c>
      <c r="C21726" s="1" t="s">
        <v>23490</v>
      </c>
      <c r="D21726" s="1" t="str">
        <f>HYPERLINK("https://rhld.insurance.arkansas.gov/NPILookup?Npi=1811599368","1811599368")</f>
        <v>1811599368</v>
      </c>
      <c r="E21726" t="s">
        <v>18437</v>
      </c>
    </row>
    <row r="21727" spans="1:5" x14ac:dyDescent="0.25">
      <c r="A21727" t="s">
        <v>4</v>
      </c>
      <c r="B21727" t="s">
        <v>4111</v>
      </c>
      <c r="C21727" s="1" t="s">
        <v>23490</v>
      </c>
      <c r="D21727" s="1" t="str">
        <f>HYPERLINK("https://rhld.insurance.arkansas.gov/NPILookup?Npi=1811630304","1811630304")</f>
        <v>1811630304</v>
      </c>
      <c r="E21727" t="s">
        <v>20048</v>
      </c>
    </row>
    <row r="21728" spans="1:5" x14ac:dyDescent="0.25">
      <c r="A21728" t="s">
        <v>4</v>
      </c>
      <c r="B21728" t="s">
        <v>4111</v>
      </c>
      <c r="C21728" s="1" t="s">
        <v>23490</v>
      </c>
      <c r="D21728" s="1" t="str">
        <f>HYPERLINK("https://rhld.insurance.arkansas.gov/NPILookup?Npi=1811633845","1811633845")</f>
        <v>1811633845</v>
      </c>
      <c r="E21728" t="s">
        <v>20596</v>
      </c>
    </row>
    <row r="21729" spans="1:5" x14ac:dyDescent="0.25">
      <c r="A21729" t="s">
        <v>4</v>
      </c>
      <c r="B21729" t="s">
        <v>4111</v>
      </c>
      <c r="C21729" s="1" t="s">
        <v>23490</v>
      </c>
      <c r="D21729" s="1" t="str">
        <f>HYPERLINK("https://rhld.insurance.arkansas.gov/NPILookup?Npi=1811666076","1811666076")</f>
        <v>1811666076</v>
      </c>
      <c r="E21729" t="s">
        <v>22299</v>
      </c>
    </row>
    <row r="21730" spans="1:5" x14ac:dyDescent="0.25">
      <c r="A21730" t="s">
        <v>4</v>
      </c>
      <c r="B21730" t="s">
        <v>4111</v>
      </c>
      <c r="C21730" s="1" t="s">
        <v>23490</v>
      </c>
      <c r="D21730" s="1" t="str">
        <f>HYPERLINK("https://rhld.insurance.arkansas.gov/NPILookup?Npi=1811904915","1811904915")</f>
        <v>1811904915</v>
      </c>
      <c r="E21730" t="s">
        <v>5734</v>
      </c>
    </row>
    <row r="21731" spans="1:5" x14ac:dyDescent="0.25">
      <c r="A21731" t="s">
        <v>4</v>
      </c>
      <c r="B21731" t="s">
        <v>4111</v>
      </c>
      <c r="C21731" s="1" t="s">
        <v>23490</v>
      </c>
      <c r="D21731" s="1" t="str">
        <f>HYPERLINK("https://rhld.insurance.arkansas.gov/NPILookup?Npi=1811911654","1811911654")</f>
        <v>1811911654</v>
      </c>
      <c r="E21731" t="s">
        <v>22300</v>
      </c>
    </row>
    <row r="21732" spans="1:5" x14ac:dyDescent="0.25">
      <c r="A21732" t="s">
        <v>4</v>
      </c>
      <c r="B21732" t="s">
        <v>4111</v>
      </c>
      <c r="C21732" s="1" t="s">
        <v>23490</v>
      </c>
      <c r="D21732" s="1" t="str">
        <f>HYPERLINK("https://rhld.insurance.arkansas.gov/NPILookup?Npi=1811916547","1811916547")</f>
        <v>1811916547</v>
      </c>
      <c r="E21732" t="s">
        <v>5735</v>
      </c>
    </row>
    <row r="21733" spans="1:5" x14ac:dyDescent="0.25">
      <c r="A21733" t="s">
        <v>4</v>
      </c>
      <c r="B21733" t="s">
        <v>4111</v>
      </c>
      <c r="C21733" s="1" t="s">
        <v>23490</v>
      </c>
      <c r="D21733" s="1" t="str">
        <f>HYPERLINK("https://rhld.insurance.arkansas.gov/NPILookup?Npi=1811927742","1811927742")</f>
        <v>1811927742</v>
      </c>
      <c r="E21733" t="s">
        <v>5736</v>
      </c>
    </row>
    <row r="21734" spans="1:5" x14ac:dyDescent="0.25">
      <c r="A21734" t="s">
        <v>4</v>
      </c>
      <c r="B21734" t="s">
        <v>4111</v>
      </c>
      <c r="C21734" s="1" t="s">
        <v>23490</v>
      </c>
      <c r="D21734" s="1" t="str">
        <f>HYPERLINK("https://rhld.insurance.arkansas.gov/NPILookup?Npi=1811976731","1811976731")</f>
        <v>1811976731</v>
      </c>
      <c r="E21734" t="s">
        <v>20597</v>
      </c>
    </row>
    <row r="21735" spans="1:5" x14ac:dyDescent="0.25">
      <c r="A21735" t="s">
        <v>4</v>
      </c>
      <c r="B21735" t="s">
        <v>4111</v>
      </c>
      <c r="C21735" s="1" t="s">
        <v>23490</v>
      </c>
      <c r="D21735" s="1" t="str">
        <f>HYPERLINK("https://rhld.insurance.arkansas.gov/NPILookup?Npi=1811996200","1811996200")</f>
        <v>1811996200</v>
      </c>
      <c r="E21735" t="s">
        <v>5737</v>
      </c>
    </row>
    <row r="21736" spans="1:5" x14ac:dyDescent="0.25">
      <c r="A21736" t="s">
        <v>4</v>
      </c>
      <c r="B21736" t="s">
        <v>4111</v>
      </c>
      <c r="C21736" s="1" t="s">
        <v>23490</v>
      </c>
      <c r="D21736" s="1" t="str">
        <f>HYPERLINK("https://rhld.insurance.arkansas.gov/NPILookup?Npi=1821004243","1821004243")</f>
        <v>1821004243</v>
      </c>
      <c r="E21736" t="s">
        <v>5738</v>
      </c>
    </row>
    <row r="21737" spans="1:5" x14ac:dyDescent="0.25">
      <c r="A21737" t="s">
        <v>4</v>
      </c>
      <c r="B21737" t="s">
        <v>4111</v>
      </c>
      <c r="C21737" s="1" t="s">
        <v>23490</v>
      </c>
      <c r="D21737" s="1" t="str">
        <f>HYPERLINK("https://rhld.insurance.arkansas.gov/NPILookup?Npi=1821013061","1821013061")</f>
        <v>1821013061</v>
      </c>
      <c r="E21737" t="s">
        <v>5739</v>
      </c>
    </row>
    <row r="21738" spans="1:5" x14ac:dyDescent="0.25">
      <c r="A21738" t="s">
        <v>4</v>
      </c>
      <c r="B21738" t="s">
        <v>4111</v>
      </c>
      <c r="C21738" s="1" t="s">
        <v>23490</v>
      </c>
      <c r="D21738" s="1" t="str">
        <f>HYPERLINK("https://rhld.insurance.arkansas.gov/NPILookup?Npi=1821034851","1821034851")</f>
        <v>1821034851</v>
      </c>
      <c r="E21738" t="s">
        <v>14224</v>
      </c>
    </row>
    <row r="21739" spans="1:5" x14ac:dyDescent="0.25">
      <c r="A21739" t="s">
        <v>4</v>
      </c>
      <c r="B21739" t="s">
        <v>4111</v>
      </c>
      <c r="C21739" s="1" t="s">
        <v>23490</v>
      </c>
      <c r="D21739" s="1" t="str">
        <f>HYPERLINK("https://rhld.insurance.arkansas.gov/NPILookup?Npi=1821053125","1821053125")</f>
        <v>1821053125</v>
      </c>
      <c r="E21739" t="s">
        <v>5740</v>
      </c>
    </row>
    <row r="21740" spans="1:5" x14ac:dyDescent="0.25">
      <c r="A21740" t="s">
        <v>4</v>
      </c>
      <c r="B21740" t="s">
        <v>4111</v>
      </c>
      <c r="C21740" s="1" t="s">
        <v>23490</v>
      </c>
      <c r="D21740" s="1" t="str">
        <f>HYPERLINK("https://rhld.insurance.arkansas.gov/NPILookup?Npi=1821053737","1821053737")</f>
        <v>1821053737</v>
      </c>
      <c r="E21740" t="s">
        <v>5741</v>
      </c>
    </row>
    <row r="21741" spans="1:5" x14ac:dyDescent="0.25">
      <c r="A21741" t="s">
        <v>4</v>
      </c>
      <c r="B21741" t="s">
        <v>4111</v>
      </c>
      <c r="C21741" s="1" t="s">
        <v>23490</v>
      </c>
      <c r="D21741" s="1" t="str">
        <f>HYPERLINK("https://rhld.insurance.arkansas.gov/NPILookup?Npi=1821058181","1821058181")</f>
        <v>1821058181</v>
      </c>
      <c r="E21741" t="s">
        <v>5742</v>
      </c>
    </row>
    <row r="21742" spans="1:5" x14ac:dyDescent="0.25">
      <c r="A21742" t="s">
        <v>4</v>
      </c>
      <c r="B21742" t="s">
        <v>4111</v>
      </c>
      <c r="C21742" s="1" t="s">
        <v>23490</v>
      </c>
      <c r="D21742" s="1" t="str">
        <f>HYPERLINK("https://rhld.insurance.arkansas.gov/NPILookup?Npi=1821060500","1821060500")</f>
        <v>1821060500</v>
      </c>
      <c r="E21742" t="s">
        <v>5743</v>
      </c>
    </row>
    <row r="21743" spans="1:5" x14ac:dyDescent="0.25">
      <c r="A21743" t="s">
        <v>4</v>
      </c>
      <c r="B21743" t="s">
        <v>4111</v>
      </c>
      <c r="C21743" s="1" t="s">
        <v>23490</v>
      </c>
      <c r="D21743" s="1" t="str">
        <f>HYPERLINK("https://rhld.insurance.arkansas.gov/NPILookup?Npi=1821066374","1821066374")</f>
        <v>1821066374</v>
      </c>
      <c r="E21743" t="s">
        <v>5744</v>
      </c>
    </row>
    <row r="21744" spans="1:5" x14ac:dyDescent="0.25">
      <c r="A21744" t="s">
        <v>4</v>
      </c>
      <c r="B21744" t="s">
        <v>4111</v>
      </c>
      <c r="C21744" s="1" t="s">
        <v>23490</v>
      </c>
      <c r="D21744" s="1" t="str">
        <f>HYPERLINK("https://rhld.insurance.arkansas.gov/NPILookup?Npi=1821067752","1821067752")</f>
        <v>1821067752</v>
      </c>
      <c r="E21744" t="s">
        <v>5745</v>
      </c>
    </row>
    <row r="21745" spans="1:5" x14ac:dyDescent="0.25">
      <c r="A21745" t="s">
        <v>4</v>
      </c>
      <c r="B21745" t="s">
        <v>4111</v>
      </c>
      <c r="C21745" s="1" t="s">
        <v>23490</v>
      </c>
      <c r="D21745" s="1" t="str">
        <f>HYPERLINK("https://rhld.insurance.arkansas.gov/NPILookup?Npi=1821073909","1821073909")</f>
        <v>1821073909</v>
      </c>
      <c r="E21745" t="s">
        <v>16243</v>
      </c>
    </row>
    <row r="21746" spans="1:5" x14ac:dyDescent="0.25">
      <c r="A21746" t="s">
        <v>4</v>
      </c>
      <c r="B21746" t="s">
        <v>4111</v>
      </c>
      <c r="C21746" s="1" t="s">
        <v>23490</v>
      </c>
      <c r="D21746" s="1" t="str">
        <f>HYPERLINK("https://rhld.insurance.arkansas.gov/NPILookup?Npi=1821123274","1821123274")</f>
        <v>1821123274</v>
      </c>
      <c r="E21746" t="s">
        <v>11849</v>
      </c>
    </row>
    <row r="21747" spans="1:5" x14ac:dyDescent="0.25">
      <c r="A21747" t="s">
        <v>4</v>
      </c>
      <c r="B21747" t="s">
        <v>4111</v>
      </c>
      <c r="C21747" s="1" t="s">
        <v>23490</v>
      </c>
      <c r="D21747" s="1" t="str">
        <f>HYPERLINK("https://rhld.insurance.arkansas.gov/NPILookup?Npi=1821128422","1821128422")</f>
        <v>1821128422</v>
      </c>
      <c r="E21747" t="s">
        <v>5746</v>
      </c>
    </row>
    <row r="21748" spans="1:5" x14ac:dyDescent="0.25">
      <c r="A21748" t="s">
        <v>4</v>
      </c>
      <c r="B21748" t="s">
        <v>4111</v>
      </c>
      <c r="C21748" s="1" t="s">
        <v>23490</v>
      </c>
      <c r="D21748" s="1" t="str">
        <f>HYPERLINK("https://rhld.insurance.arkansas.gov/NPILookup?Npi=1821160151","1821160151")</f>
        <v>1821160151</v>
      </c>
      <c r="E21748" t="s">
        <v>5747</v>
      </c>
    </row>
    <row r="21749" spans="1:5" x14ac:dyDescent="0.25">
      <c r="A21749" t="s">
        <v>4</v>
      </c>
      <c r="B21749" t="s">
        <v>4111</v>
      </c>
      <c r="C21749" s="1" t="s">
        <v>23490</v>
      </c>
      <c r="D21749" s="1" t="str">
        <f>HYPERLINK("https://rhld.insurance.arkansas.gov/NPILookup?Npi=1821171174","1821171174")</f>
        <v>1821171174</v>
      </c>
      <c r="E21749" t="s">
        <v>22898</v>
      </c>
    </row>
    <row r="21750" spans="1:5" x14ac:dyDescent="0.25">
      <c r="A21750" t="s">
        <v>4</v>
      </c>
      <c r="B21750" t="s">
        <v>4111</v>
      </c>
      <c r="C21750" s="1" t="s">
        <v>23490</v>
      </c>
      <c r="D21750" s="1" t="str">
        <f>HYPERLINK("https://rhld.insurance.arkansas.gov/NPILookup?Npi=1821172115","1821172115")</f>
        <v>1821172115</v>
      </c>
      <c r="E21750" t="s">
        <v>5748</v>
      </c>
    </row>
    <row r="21751" spans="1:5" x14ac:dyDescent="0.25">
      <c r="A21751" t="s">
        <v>4</v>
      </c>
      <c r="B21751" t="s">
        <v>4111</v>
      </c>
      <c r="C21751" s="1" t="s">
        <v>23490</v>
      </c>
      <c r="D21751" s="1" t="str">
        <f>HYPERLINK("https://rhld.insurance.arkansas.gov/NPILookup?Npi=1821175423","1821175423")</f>
        <v>1821175423</v>
      </c>
      <c r="E21751" t="s">
        <v>5749</v>
      </c>
    </row>
    <row r="21752" spans="1:5" x14ac:dyDescent="0.25">
      <c r="A21752" t="s">
        <v>4</v>
      </c>
      <c r="B21752" t="s">
        <v>4111</v>
      </c>
      <c r="C21752" s="1" t="s">
        <v>23490</v>
      </c>
      <c r="D21752" s="1" t="str">
        <f>HYPERLINK("https://rhld.insurance.arkansas.gov/NPILookup?Npi=1821175647","1821175647")</f>
        <v>1821175647</v>
      </c>
      <c r="E21752" t="s">
        <v>5750</v>
      </c>
    </row>
    <row r="21753" spans="1:5" x14ac:dyDescent="0.25">
      <c r="A21753" t="s">
        <v>4</v>
      </c>
      <c r="B21753" t="s">
        <v>4111</v>
      </c>
      <c r="C21753" s="1" t="s">
        <v>23490</v>
      </c>
      <c r="D21753" s="1" t="str">
        <f>HYPERLINK("https://rhld.insurance.arkansas.gov/NPILookup?Npi=1821182510","1821182510")</f>
        <v>1821182510</v>
      </c>
      <c r="E21753" t="s">
        <v>5751</v>
      </c>
    </row>
    <row r="21754" spans="1:5" x14ac:dyDescent="0.25">
      <c r="A21754" t="s">
        <v>4</v>
      </c>
      <c r="B21754" t="s">
        <v>4111</v>
      </c>
      <c r="C21754" s="1" t="s">
        <v>23490</v>
      </c>
      <c r="D21754" s="1" t="str">
        <f>HYPERLINK("https://rhld.insurance.arkansas.gov/NPILookup?Npi=1821188491","1821188491")</f>
        <v>1821188491</v>
      </c>
      <c r="E21754" t="s">
        <v>5752</v>
      </c>
    </row>
    <row r="21755" spans="1:5" x14ac:dyDescent="0.25">
      <c r="A21755" t="s">
        <v>4</v>
      </c>
      <c r="B21755" t="s">
        <v>4111</v>
      </c>
      <c r="C21755" s="1" t="s">
        <v>23490</v>
      </c>
      <c r="D21755" s="1" t="str">
        <f>HYPERLINK("https://rhld.insurance.arkansas.gov/NPILookup?Npi=1821189879","1821189879")</f>
        <v>1821189879</v>
      </c>
      <c r="E21755" t="s">
        <v>2892</v>
      </c>
    </row>
    <row r="21756" spans="1:5" x14ac:dyDescent="0.25">
      <c r="A21756" t="s">
        <v>4</v>
      </c>
      <c r="B21756" t="s">
        <v>4111</v>
      </c>
      <c r="C21756" s="1" t="s">
        <v>23490</v>
      </c>
      <c r="D21756" s="1" t="str">
        <f>HYPERLINK("https://rhld.insurance.arkansas.gov/NPILookup?Npi=1821195256","1821195256")</f>
        <v>1821195256</v>
      </c>
      <c r="E21756" t="s">
        <v>5753</v>
      </c>
    </row>
    <row r="21757" spans="1:5" x14ac:dyDescent="0.25">
      <c r="A21757" t="s">
        <v>4</v>
      </c>
      <c r="B21757" t="s">
        <v>4111</v>
      </c>
      <c r="C21757" s="1" t="s">
        <v>23490</v>
      </c>
      <c r="D21757" s="1" t="str">
        <f>HYPERLINK("https://rhld.insurance.arkansas.gov/NPILookup?Npi=1821208042","1821208042")</f>
        <v>1821208042</v>
      </c>
      <c r="E21757" t="s">
        <v>5754</v>
      </c>
    </row>
    <row r="21758" spans="1:5" x14ac:dyDescent="0.25">
      <c r="A21758" t="s">
        <v>4</v>
      </c>
      <c r="B21758" t="s">
        <v>4111</v>
      </c>
      <c r="C21758" s="1" t="s">
        <v>23490</v>
      </c>
      <c r="D21758" s="1" t="str">
        <f>HYPERLINK("https://rhld.insurance.arkansas.gov/NPILookup?Npi=1821208430","1821208430")</f>
        <v>1821208430</v>
      </c>
      <c r="E21758" t="s">
        <v>20598</v>
      </c>
    </row>
    <row r="21759" spans="1:5" x14ac:dyDescent="0.25">
      <c r="A21759" t="s">
        <v>4</v>
      </c>
      <c r="B21759" t="s">
        <v>4111</v>
      </c>
      <c r="C21759" s="1" t="s">
        <v>23490</v>
      </c>
      <c r="D21759" s="1" t="str">
        <f>HYPERLINK("https://rhld.insurance.arkansas.gov/NPILookup?Npi=1821221565","1821221565")</f>
        <v>1821221565</v>
      </c>
      <c r="E21759" t="s">
        <v>13214</v>
      </c>
    </row>
    <row r="21760" spans="1:5" x14ac:dyDescent="0.25">
      <c r="A21760" t="s">
        <v>4</v>
      </c>
      <c r="B21760" t="s">
        <v>4111</v>
      </c>
      <c r="C21760" s="1" t="s">
        <v>23490</v>
      </c>
      <c r="D21760" s="1" t="str">
        <f>HYPERLINK("https://rhld.insurance.arkansas.gov/NPILookup?Npi=1821234758","1821234758")</f>
        <v>1821234758</v>
      </c>
      <c r="E21760" t="s">
        <v>5755</v>
      </c>
    </row>
    <row r="21761" spans="1:5" x14ac:dyDescent="0.25">
      <c r="A21761" t="s">
        <v>4</v>
      </c>
      <c r="B21761" t="s">
        <v>4111</v>
      </c>
      <c r="C21761" s="1" t="s">
        <v>23490</v>
      </c>
      <c r="D21761" s="1" t="str">
        <f>HYPERLINK("https://rhld.insurance.arkansas.gov/NPILookup?Npi=1821246067","1821246067")</f>
        <v>1821246067</v>
      </c>
      <c r="E21761" t="s">
        <v>14225</v>
      </c>
    </row>
    <row r="21762" spans="1:5" x14ac:dyDescent="0.25">
      <c r="A21762" t="s">
        <v>4</v>
      </c>
      <c r="B21762" t="s">
        <v>4111</v>
      </c>
      <c r="C21762" s="1" t="s">
        <v>23490</v>
      </c>
      <c r="D21762" s="1" t="str">
        <f>HYPERLINK("https://rhld.insurance.arkansas.gov/NPILookup?Npi=1821246786","1821246786")</f>
        <v>1821246786</v>
      </c>
      <c r="E21762" t="s">
        <v>16244</v>
      </c>
    </row>
    <row r="21763" spans="1:5" x14ac:dyDescent="0.25">
      <c r="A21763" t="s">
        <v>4</v>
      </c>
      <c r="B21763" t="s">
        <v>4111</v>
      </c>
      <c r="C21763" s="1" t="s">
        <v>23490</v>
      </c>
      <c r="D21763" s="1" t="str">
        <f>HYPERLINK("https://rhld.insurance.arkansas.gov/NPILookup?Npi=1821247891","1821247891")</f>
        <v>1821247891</v>
      </c>
      <c r="E21763" t="s">
        <v>5756</v>
      </c>
    </row>
    <row r="21764" spans="1:5" x14ac:dyDescent="0.25">
      <c r="A21764" t="s">
        <v>4</v>
      </c>
      <c r="B21764" t="s">
        <v>4111</v>
      </c>
      <c r="C21764" s="1" t="s">
        <v>23490</v>
      </c>
      <c r="D21764" s="1" t="str">
        <f>HYPERLINK("https://rhld.insurance.arkansas.gov/NPILookup?Npi=1821255845","1821255845")</f>
        <v>1821255845</v>
      </c>
      <c r="E21764" t="s">
        <v>5757</v>
      </c>
    </row>
    <row r="21765" spans="1:5" x14ac:dyDescent="0.25">
      <c r="A21765" t="s">
        <v>4</v>
      </c>
      <c r="B21765" t="s">
        <v>4111</v>
      </c>
      <c r="C21765" s="1" t="s">
        <v>23490</v>
      </c>
      <c r="D21765" s="1" t="str">
        <f>HYPERLINK("https://rhld.insurance.arkansas.gov/NPILookup?Npi=1821265307","1821265307")</f>
        <v>1821265307</v>
      </c>
      <c r="E21765" t="s">
        <v>9164</v>
      </c>
    </row>
    <row r="21766" spans="1:5" x14ac:dyDescent="0.25">
      <c r="A21766" t="s">
        <v>4</v>
      </c>
      <c r="B21766" t="s">
        <v>4111</v>
      </c>
      <c r="C21766" s="1" t="s">
        <v>23490</v>
      </c>
      <c r="D21766" s="1" t="str">
        <f>HYPERLINK("https://rhld.insurance.arkansas.gov/NPILookup?Npi=1821277237","1821277237")</f>
        <v>1821277237</v>
      </c>
      <c r="E21766" t="s">
        <v>5758</v>
      </c>
    </row>
    <row r="21767" spans="1:5" x14ac:dyDescent="0.25">
      <c r="A21767" t="s">
        <v>4</v>
      </c>
      <c r="B21767" t="s">
        <v>4111</v>
      </c>
      <c r="C21767" s="1" t="s">
        <v>23490</v>
      </c>
      <c r="D21767" s="1" t="str">
        <f>HYPERLINK("https://rhld.insurance.arkansas.gov/NPILookup?Npi=1821324617","1821324617")</f>
        <v>1821324617</v>
      </c>
      <c r="E21767" t="s">
        <v>5759</v>
      </c>
    </row>
    <row r="21768" spans="1:5" x14ac:dyDescent="0.25">
      <c r="A21768" t="s">
        <v>4</v>
      </c>
      <c r="B21768" t="s">
        <v>4111</v>
      </c>
      <c r="C21768" s="1" t="s">
        <v>23490</v>
      </c>
      <c r="D21768" s="1" t="str">
        <f>HYPERLINK("https://rhld.insurance.arkansas.gov/NPILookup?Npi=1821332859","1821332859")</f>
        <v>1821332859</v>
      </c>
      <c r="E21768" t="s">
        <v>11850</v>
      </c>
    </row>
    <row r="21769" spans="1:5" x14ac:dyDescent="0.25">
      <c r="A21769" t="s">
        <v>4</v>
      </c>
      <c r="B21769" t="s">
        <v>4111</v>
      </c>
      <c r="C21769" s="1" t="s">
        <v>23490</v>
      </c>
      <c r="D21769" s="1" t="str">
        <f>HYPERLINK("https://rhld.insurance.arkansas.gov/NPILookup?Npi=1821335415","1821335415")</f>
        <v>1821335415</v>
      </c>
      <c r="E21769" t="s">
        <v>14226</v>
      </c>
    </row>
    <row r="21770" spans="1:5" x14ac:dyDescent="0.25">
      <c r="A21770" t="s">
        <v>4</v>
      </c>
      <c r="B21770" t="s">
        <v>4111</v>
      </c>
      <c r="C21770" s="1" t="s">
        <v>23490</v>
      </c>
      <c r="D21770" s="1" t="str">
        <f>HYPERLINK("https://rhld.insurance.arkansas.gov/NPILookup?Npi=1821348632","1821348632")</f>
        <v>1821348632</v>
      </c>
      <c r="E21770" t="s">
        <v>20599</v>
      </c>
    </row>
    <row r="21771" spans="1:5" x14ac:dyDescent="0.25">
      <c r="A21771" t="s">
        <v>4</v>
      </c>
      <c r="B21771" t="s">
        <v>4111</v>
      </c>
      <c r="C21771" s="1" t="s">
        <v>23490</v>
      </c>
      <c r="D21771" s="1" t="str">
        <f>HYPERLINK("https://rhld.insurance.arkansas.gov/NPILookup?Npi=1821358367","1821358367")</f>
        <v>1821358367</v>
      </c>
      <c r="E21771" t="s">
        <v>5760</v>
      </c>
    </row>
    <row r="21772" spans="1:5" x14ac:dyDescent="0.25">
      <c r="A21772" t="s">
        <v>4</v>
      </c>
      <c r="B21772" t="s">
        <v>4111</v>
      </c>
      <c r="C21772" s="1" t="s">
        <v>23490</v>
      </c>
      <c r="D21772" s="1" t="str">
        <f>HYPERLINK("https://rhld.insurance.arkansas.gov/NPILookup?Npi=1821358482","1821358482")</f>
        <v>1821358482</v>
      </c>
      <c r="E21772" t="s">
        <v>22301</v>
      </c>
    </row>
    <row r="21773" spans="1:5" x14ac:dyDescent="0.25">
      <c r="A21773" t="s">
        <v>4</v>
      </c>
      <c r="B21773" t="s">
        <v>4111</v>
      </c>
      <c r="C21773" s="1" t="s">
        <v>23490</v>
      </c>
      <c r="D21773" s="1" t="str">
        <f>HYPERLINK("https://rhld.insurance.arkansas.gov/NPILookup?Npi=1821360264","1821360264")</f>
        <v>1821360264</v>
      </c>
      <c r="E21773" t="s">
        <v>14227</v>
      </c>
    </row>
    <row r="21774" spans="1:5" x14ac:dyDescent="0.25">
      <c r="A21774" t="s">
        <v>4</v>
      </c>
      <c r="B21774" t="s">
        <v>4111</v>
      </c>
      <c r="C21774" s="1" t="s">
        <v>23490</v>
      </c>
      <c r="D21774" s="1" t="str">
        <f>HYPERLINK("https://rhld.insurance.arkansas.gov/NPILookup?Npi=1821382995","1821382995")</f>
        <v>1821382995</v>
      </c>
      <c r="E21774" t="s">
        <v>17239</v>
      </c>
    </row>
    <row r="21775" spans="1:5" x14ac:dyDescent="0.25">
      <c r="A21775" t="s">
        <v>4</v>
      </c>
      <c r="B21775" t="s">
        <v>4111</v>
      </c>
      <c r="C21775" s="1" t="s">
        <v>23490</v>
      </c>
      <c r="D21775" s="1" t="str">
        <f>HYPERLINK("https://rhld.insurance.arkansas.gov/NPILookup?Npi=1821402850","1821402850")</f>
        <v>1821402850</v>
      </c>
      <c r="E21775" t="s">
        <v>11851</v>
      </c>
    </row>
    <row r="21776" spans="1:5" x14ac:dyDescent="0.25">
      <c r="A21776" t="s">
        <v>4</v>
      </c>
      <c r="B21776" t="s">
        <v>4111</v>
      </c>
      <c r="C21776" s="1" t="s">
        <v>23490</v>
      </c>
      <c r="D21776" s="1" t="str">
        <f>HYPERLINK("https://rhld.insurance.arkansas.gov/NPILookup?Npi=1821403692","1821403692")</f>
        <v>1821403692</v>
      </c>
      <c r="E21776" t="s">
        <v>21424</v>
      </c>
    </row>
    <row r="21777" spans="1:5" x14ac:dyDescent="0.25">
      <c r="A21777" t="s">
        <v>4</v>
      </c>
      <c r="B21777" t="s">
        <v>4111</v>
      </c>
      <c r="C21777" s="1" t="s">
        <v>23490</v>
      </c>
      <c r="D21777" s="1" t="str">
        <f>HYPERLINK("https://rhld.insurance.arkansas.gov/NPILookup?Npi=1821416728","1821416728")</f>
        <v>1821416728</v>
      </c>
      <c r="E21777" t="s">
        <v>13215</v>
      </c>
    </row>
    <row r="21778" spans="1:5" x14ac:dyDescent="0.25">
      <c r="A21778" t="s">
        <v>4</v>
      </c>
      <c r="B21778" t="s">
        <v>4111</v>
      </c>
      <c r="C21778" s="1" t="s">
        <v>23490</v>
      </c>
      <c r="D21778" s="1" t="str">
        <f>HYPERLINK("https://rhld.insurance.arkansas.gov/NPILookup?Npi=1821440181","1821440181")</f>
        <v>1821440181</v>
      </c>
      <c r="E21778" t="s">
        <v>20600</v>
      </c>
    </row>
    <row r="21779" spans="1:5" x14ac:dyDescent="0.25">
      <c r="A21779" t="s">
        <v>4</v>
      </c>
      <c r="B21779" t="s">
        <v>4111</v>
      </c>
      <c r="C21779" s="1" t="s">
        <v>23490</v>
      </c>
      <c r="D21779" s="1" t="str">
        <f>HYPERLINK("https://rhld.insurance.arkansas.gov/NPILookup?Npi=1821472655","1821472655")</f>
        <v>1821472655</v>
      </c>
      <c r="E21779" t="s">
        <v>21169</v>
      </c>
    </row>
    <row r="21780" spans="1:5" x14ac:dyDescent="0.25">
      <c r="A21780" t="s">
        <v>4</v>
      </c>
      <c r="B21780" t="s">
        <v>4111</v>
      </c>
      <c r="C21780" s="1" t="s">
        <v>23490</v>
      </c>
      <c r="D21780" s="1" t="str">
        <f>HYPERLINK("https://rhld.insurance.arkansas.gov/NPILookup?Npi=1821477548","1821477548")</f>
        <v>1821477548</v>
      </c>
      <c r="E21780" t="s">
        <v>11852</v>
      </c>
    </row>
    <row r="21781" spans="1:5" x14ac:dyDescent="0.25">
      <c r="A21781" t="s">
        <v>4</v>
      </c>
      <c r="B21781" t="s">
        <v>4111</v>
      </c>
      <c r="C21781" s="1" t="s">
        <v>23490</v>
      </c>
      <c r="D21781" s="1" t="str">
        <f>HYPERLINK("https://rhld.insurance.arkansas.gov/NPILookup?Npi=1821505017","1821505017")</f>
        <v>1821505017</v>
      </c>
      <c r="E21781" t="s">
        <v>19028</v>
      </c>
    </row>
    <row r="21782" spans="1:5" x14ac:dyDescent="0.25">
      <c r="A21782" t="s">
        <v>4</v>
      </c>
      <c r="B21782" t="s">
        <v>4111</v>
      </c>
      <c r="C21782" s="1" t="s">
        <v>23490</v>
      </c>
      <c r="D21782" s="1" t="str">
        <f>HYPERLINK("https://rhld.insurance.arkansas.gov/NPILookup?Npi=1821518242","1821518242")</f>
        <v>1821518242</v>
      </c>
      <c r="E21782" t="s">
        <v>17240</v>
      </c>
    </row>
    <row r="21783" spans="1:5" x14ac:dyDescent="0.25">
      <c r="A21783" t="s">
        <v>4</v>
      </c>
      <c r="B21783" t="s">
        <v>4111</v>
      </c>
      <c r="C21783" s="1" t="s">
        <v>23490</v>
      </c>
      <c r="D21783" s="1" t="str">
        <f>HYPERLINK("https://rhld.insurance.arkansas.gov/NPILookup?Npi=1821550245","1821550245")</f>
        <v>1821550245</v>
      </c>
      <c r="E21783" t="s">
        <v>18438</v>
      </c>
    </row>
    <row r="21784" spans="1:5" x14ac:dyDescent="0.25">
      <c r="A21784" t="s">
        <v>4</v>
      </c>
      <c r="B21784" t="s">
        <v>4111</v>
      </c>
      <c r="C21784" s="1" t="s">
        <v>23490</v>
      </c>
      <c r="D21784" s="1" t="str">
        <f>HYPERLINK("https://rhld.insurance.arkansas.gov/NPILookup?Npi=1821573841","1821573841")</f>
        <v>1821573841</v>
      </c>
      <c r="E21784" t="s">
        <v>18439</v>
      </c>
    </row>
    <row r="21785" spans="1:5" x14ac:dyDescent="0.25">
      <c r="A21785" t="s">
        <v>4</v>
      </c>
      <c r="B21785" t="s">
        <v>4111</v>
      </c>
      <c r="C21785" s="1" t="s">
        <v>23490</v>
      </c>
      <c r="D21785" s="1" t="str">
        <f>HYPERLINK("https://rhld.insurance.arkansas.gov/NPILookup?Npi=1821580556","1821580556")</f>
        <v>1821580556</v>
      </c>
      <c r="E21785" t="s">
        <v>22302</v>
      </c>
    </row>
    <row r="21786" spans="1:5" x14ac:dyDescent="0.25">
      <c r="A21786" t="s">
        <v>4</v>
      </c>
      <c r="B21786" t="s">
        <v>4111</v>
      </c>
      <c r="C21786" s="1" t="s">
        <v>23490</v>
      </c>
      <c r="D21786" s="1" t="str">
        <f>HYPERLINK("https://rhld.insurance.arkansas.gov/NPILookup?Npi=1821601600","1821601600")</f>
        <v>1821601600</v>
      </c>
      <c r="E21786" t="s">
        <v>22303</v>
      </c>
    </row>
    <row r="21787" spans="1:5" x14ac:dyDescent="0.25">
      <c r="A21787" t="s">
        <v>4</v>
      </c>
      <c r="B21787" t="s">
        <v>4111</v>
      </c>
      <c r="C21787" s="1" t="s">
        <v>23490</v>
      </c>
      <c r="D21787" s="1" t="str">
        <f>HYPERLINK("https://rhld.insurance.arkansas.gov/NPILookup?Npi=1821604661","1821604661")</f>
        <v>1821604661</v>
      </c>
      <c r="E21787" t="s">
        <v>22304</v>
      </c>
    </row>
    <row r="21788" spans="1:5" x14ac:dyDescent="0.25">
      <c r="A21788" t="s">
        <v>4</v>
      </c>
      <c r="B21788" t="s">
        <v>4111</v>
      </c>
      <c r="C21788" s="1" t="s">
        <v>23490</v>
      </c>
      <c r="D21788" s="1" t="str">
        <f>HYPERLINK("https://rhld.insurance.arkansas.gov/NPILookup?Npi=1821627456","1821627456")</f>
        <v>1821627456</v>
      </c>
      <c r="E21788" t="s">
        <v>22305</v>
      </c>
    </row>
    <row r="21789" spans="1:5" x14ac:dyDescent="0.25">
      <c r="A21789" t="s">
        <v>4</v>
      </c>
      <c r="B21789" t="s">
        <v>4111</v>
      </c>
      <c r="C21789" s="1" t="s">
        <v>23490</v>
      </c>
      <c r="D21789" s="1" t="str">
        <f>HYPERLINK("https://rhld.insurance.arkansas.gov/NPILookup?Npi=1821628652","1821628652")</f>
        <v>1821628652</v>
      </c>
      <c r="E21789" t="s">
        <v>22306</v>
      </c>
    </row>
    <row r="21790" spans="1:5" x14ac:dyDescent="0.25">
      <c r="A21790" t="s">
        <v>4</v>
      </c>
      <c r="B21790" t="s">
        <v>4111</v>
      </c>
      <c r="C21790" s="1" t="s">
        <v>23490</v>
      </c>
      <c r="D21790" s="1" t="str">
        <f>HYPERLINK("https://rhld.insurance.arkansas.gov/NPILookup?Npi=1821661802","1821661802")</f>
        <v>1821661802</v>
      </c>
      <c r="E21790" t="s">
        <v>18874</v>
      </c>
    </row>
    <row r="21791" spans="1:5" x14ac:dyDescent="0.25">
      <c r="A21791" t="s">
        <v>4</v>
      </c>
      <c r="B21791" t="s">
        <v>4111</v>
      </c>
      <c r="C21791" s="1" t="s">
        <v>23490</v>
      </c>
      <c r="D21791" s="1" t="str">
        <f>HYPERLINK("https://rhld.insurance.arkansas.gov/NPILookup?Npi=1821669979","1821669979")</f>
        <v>1821669979</v>
      </c>
      <c r="E21791" t="s">
        <v>18875</v>
      </c>
    </row>
    <row r="21792" spans="1:5" x14ac:dyDescent="0.25">
      <c r="A21792" t="s">
        <v>4</v>
      </c>
      <c r="B21792" t="s">
        <v>4111</v>
      </c>
      <c r="C21792" s="1" t="s">
        <v>23490</v>
      </c>
      <c r="D21792" s="1" t="str">
        <f>HYPERLINK("https://rhld.insurance.arkansas.gov/NPILookup?Npi=1821680505","1821680505")</f>
        <v>1821680505</v>
      </c>
      <c r="E21792" t="s">
        <v>20601</v>
      </c>
    </row>
    <row r="21793" spans="1:5" x14ac:dyDescent="0.25">
      <c r="A21793" t="s">
        <v>4</v>
      </c>
      <c r="B21793" t="s">
        <v>4111</v>
      </c>
      <c r="C21793" s="1" t="s">
        <v>23490</v>
      </c>
      <c r="D21793" s="1" t="str">
        <f>HYPERLINK("https://rhld.insurance.arkansas.gov/NPILookup?Npi=1821704925","1821704925")</f>
        <v>1821704925</v>
      </c>
      <c r="E21793" t="s">
        <v>22307</v>
      </c>
    </row>
    <row r="21794" spans="1:5" x14ac:dyDescent="0.25">
      <c r="A21794" t="s">
        <v>4</v>
      </c>
      <c r="B21794" t="s">
        <v>4111</v>
      </c>
      <c r="C21794" s="1" t="s">
        <v>23490</v>
      </c>
      <c r="D21794" s="1" t="str">
        <f>HYPERLINK("https://rhld.insurance.arkansas.gov/NPILookup?Npi=1821743105","1821743105")</f>
        <v>1821743105</v>
      </c>
      <c r="E21794" t="s">
        <v>22308</v>
      </c>
    </row>
    <row r="21795" spans="1:5" x14ac:dyDescent="0.25">
      <c r="A21795" t="s">
        <v>4</v>
      </c>
      <c r="B21795" t="s">
        <v>4111</v>
      </c>
      <c r="C21795" s="1" t="s">
        <v>23490</v>
      </c>
      <c r="D21795" s="1" t="str">
        <f>HYPERLINK("https://rhld.insurance.arkansas.gov/NPILookup?Npi=1821746116","1821746116")</f>
        <v>1821746116</v>
      </c>
      <c r="E21795" t="s">
        <v>18956</v>
      </c>
    </row>
    <row r="21796" spans="1:5" x14ac:dyDescent="0.25">
      <c r="A21796" t="s">
        <v>4</v>
      </c>
      <c r="B21796" t="s">
        <v>4111</v>
      </c>
      <c r="C21796" s="1" t="s">
        <v>23490</v>
      </c>
      <c r="D21796" s="1" t="str">
        <f>HYPERLINK("https://rhld.insurance.arkansas.gov/NPILookup?Npi=1821795394","1821795394")</f>
        <v>1821795394</v>
      </c>
      <c r="E21796" t="s">
        <v>22309</v>
      </c>
    </row>
    <row r="21797" spans="1:5" x14ac:dyDescent="0.25">
      <c r="A21797" t="s">
        <v>4</v>
      </c>
      <c r="B21797" t="s">
        <v>4111</v>
      </c>
      <c r="C21797" s="1" t="s">
        <v>23490</v>
      </c>
      <c r="D21797" s="1" t="str">
        <f>HYPERLINK("https://rhld.insurance.arkansas.gov/NPILookup?Npi=1831115419","1831115419")</f>
        <v>1831115419</v>
      </c>
      <c r="E21797" t="s">
        <v>5761</v>
      </c>
    </row>
    <row r="21798" spans="1:5" x14ac:dyDescent="0.25">
      <c r="A21798" t="s">
        <v>4</v>
      </c>
      <c r="B21798" t="s">
        <v>4111</v>
      </c>
      <c r="C21798" s="1" t="s">
        <v>23490</v>
      </c>
      <c r="D21798" s="1" t="str">
        <f>HYPERLINK("https://rhld.insurance.arkansas.gov/NPILookup?Npi=1831127075","1831127075")</f>
        <v>1831127075</v>
      </c>
      <c r="E21798" t="s">
        <v>5762</v>
      </c>
    </row>
    <row r="21799" spans="1:5" x14ac:dyDescent="0.25">
      <c r="A21799" t="s">
        <v>4</v>
      </c>
      <c r="B21799" t="s">
        <v>4111</v>
      </c>
      <c r="C21799" s="1" t="s">
        <v>23490</v>
      </c>
      <c r="D21799" s="1" t="str">
        <f>HYPERLINK("https://rhld.insurance.arkansas.gov/NPILookup?Npi=1831128354","1831128354")</f>
        <v>1831128354</v>
      </c>
      <c r="E21799" t="s">
        <v>5763</v>
      </c>
    </row>
    <row r="21800" spans="1:5" x14ac:dyDescent="0.25">
      <c r="A21800" t="s">
        <v>4</v>
      </c>
      <c r="B21800" t="s">
        <v>4111</v>
      </c>
      <c r="C21800" s="1" t="s">
        <v>23490</v>
      </c>
      <c r="D21800" s="1" t="str">
        <f>HYPERLINK("https://rhld.insurance.arkansas.gov/NPILookup?Npi=1831142785","1831142785")</f>
        <v>1831142785</v>
      </c>
      <c r="E21800" t="s">
        <v>5764</v>
      </c>
    </row>
    <row r="21801" spans="1:5" x14ac:dyDescent="0.25">
      <c r="A21801" t="s">
        <v>4</v>
      </c>
      <c r="B21801" t="s">
        <v>4111</v>
      </c>
      <c r="C21801" s="1" t="s">
        <v>23490</v>
      </c>
      <c r="D21801" s="1" t="str">
        <f>HYPERLINK("https://rhld.insurance.arkansas.gov/NPILookup?Npi=1831149004","1831149004")</f>
        <v>1831149004</v>
      </c>
      <c r="E21801" t="s">
        <v>16245</v>
      </c>
    </row>
    <row r="21802" spans="1:5" x14ac:dyDescent="0.25">
      <c r="A21802" t="s">
        <v>4</v>
      </c>
      <c r="B21802" t="s">
        <v>4111</v>
      </c>
      <c r="C21802" s="1" t="s">
        <v>23490</v>
      </c>
      <c r="D21802" s="1" t="str">
        <f>HYPERLINK("https://rhld.insurance.arkansas.gov/NPILookup?Npi=1831156744","1831156744")</f>
        <v>1831156744</v>
      </c>
      <c r="E21802" t="s">
        <v>665</v>
      </c>
    </row>
    <row r="21803" spans="1:5" x14ac:dyDescent="0.25">
      <c r="A21803" t="s">
        <v>4</v>
      </c>
      <c r="B21803" t="s">
        <v>4111</v>
      </c>
      <c r="C21803" s="1" t="s">
        <v>23490</v>
      </c>
      <c r="D21803" s="1" t="str">
        <f>HYPERLINK("https://rhld.insurance.arkansas.gov/NPILookup?Npi=1831157148","1831157148")</f>
        <v>1831157148</v>
      </c>
      <c r="E21803" t="s">
        <v>20602</v>
      </c>
    </row>
    <row r="21804" spans="1:5" x14ac:dyDescent="0.25">
      <c r="A21804" t="s">
        <v>4</v>
      </c>
      <c r="B21804" t="s">
        <v>4111</v>
      </c>
      <c r="C21804" s="1" t="s">
        <v>23490</v>
      </c>
      <c r="D21804" s="1" t="str">
        <f>HYPERLINK("https://rhld.insurance.arkansas.gov/NPILookup?Npi=1831206341","1831206341")</f>
        <v>1831206341</v>
      </c>
      <c r="E21804" t="s">
        <v>5765</v>
      </c>
    </row>
    <row r="21805" spans="1:5" x14ac:dyDescent="0.25">
      <c r="A21805" t="s">
        <v>4</v>
      </c>
      <c r="B21805" t="s">
        <v>4111</v>
      </c>
      <c r="C21805" s="1" t="s">
        <v>23490</v>
      </c>
      <c r="D21805" s="1" t="str">
        <f>HYPERLINK("https://rhld.insurance.arkansas.gov/NPILookup?Npi=1831211150","1831211150")</f>
        <v>1831211150</v>
      </c>
      <c r="E21805" t="s">
        <v>11853</v>
      </c>
    </row>
    <row r="21806" spans="1:5" x14ac:dyDescent="0.25">
      <c r="A21806" t="s">
        <v>4</v>
      </c>
      <c r="B21806" t="s">
        <v>4111</v>
      </c>
      <c r="C21806" s="1" t="s">
        <v>23490</v>
      </c>
      <c r="D21806" s="1" t="str">
        <f>HYPERLINK("https://rhld.insurance.arkansas.gov/NPILookup?Npi=1831218858","1831218858")</f>
        <v>1831218858</v>
      </c>
      <c r="E21806" t="s">
        <v>22310</v>
      </c>
    </row>
    <row r="21807" spans="1:5" x14ac:dyDescent="0.25">
      <c r="A21807" t="s">
        <v>4</v>
      </c>
      <c r="B21807" t="s">
        <v>4111</v>
      </c>
      <c r="C21807" s="1" t="s">
        <v>23490</v>
      </c>
      <c r="D21807" s="1" t="str">
        <f>HYPERLINK("https://rhld.insurance.arkansas.gov/NPILookup?Npi=1831237619","1831237619")</f>
        <v>1831237619</v>
      </c>
      <c r="E21807" t="s">
        <v>16246</v>
      </c>
    </row>
    <row r="21808" spans="1:5" x14ac:dyDescent="0.25">
      <c r="A21808" t="s">
        <v>4</v>
      </c>
      <c r="B21808" t="s">
        <v>4111</v>
      </c>
      <c r="C21808" s="1" t="s">
        <v>23490</v>
      </c>
      <c r="D21808" s="1" t="str">
        <f>HYPERLINK("https://rhld.insurance.arkansas.gov/NPILookup?Npi=1831263672","1831263672")</f>
        <v>1831263672</v>
      </c>
      <c r="E21808" t="s">
        <v>17651</v>
      </c>
    </row>
    <row r="21809" spans="1:5" x14ac:dyDescent="0.25">
      <c r="A21809" t="s">
        <v>4</v>
      </c>
      <c r="B21809" t="s">
        <v>4111</v>
      </c>
      <c r="C21809" s="1" t="s">
        <v>23490</v>
      </c>
      <c r="D21809" s="1" t="str">
        <f>HYPERLINK("https://rhld.insurance.arkansas.gov/NPILookup?Npi=1831279942","1831279942")</f>
        <v>1831279942</v>
      </c>
      <c r="E21809" t="s">
        <v>9165</v>
      </c>
    </row>
    <row r="21810" spans="1:5" x14ac:dyDescent="0.25">
      <c r="A21810" t="s">
        <v>4</v>
      </c>
      <c r="B21810" t="s">
        <v>4111</v>
      </c>
      <c r="C21810" s="1" t="s">
        <v>23490</v>
      </c>
      <c r="D21810" s="1" t="str">
        <f>HYPERLINK("https://rhld.insurance.arkansas.gov/NPILookup?Npi=1831280593","1831280593")</f>
        <v>1831280593</v>
      </c>
      <c r="E21810" t="s">
        <v>5766</v>
      </c>
    </row>
    <row r="21811" spans="1:5" x14ac:dyDescent="0.25">
      <c r="A21811" t="s">
        <v>4</v>
      </c>
      <c r="B21811" t="s">
        <v>4111</v>
      </c>
      <c r="C21811" s="1" t="s">
        <v>23490</v>
      </c>
      <c r="D21811" s="1" t="str">
        <f>HYPERLINK("https://rhld.insurance.arkansas.gov/NPILookup?Npi=1831327451","1831327451")</f>
        <v>1831327451</v>
      </c>
      <c r="E21811" t="s">
        <v>14228</v>
      </c>
    </row>
    <row r="21812" spans="1:5" x14ac:dyDescent="0.25">
      <c r="A21812" t="s">
        <v>4</v>
      </c>
      <c r="B21812" t="s">
        <v>4111</v>
      </c>
      <c r="C21812" s="1" t="s">
        <v>23490</v>
      </c>
      <c r="D21812" s="1" t="str">
        <f>HYPERLINK("https://rhld.insurance.arkansas.gov/NPILookup?Npi=1831335512","1831335512")</f>
        <v>1831335512</v>
      </c>
      <c r="E21812" t="s">
        <v>5767</v>
      </c>
    </row>
    <row r="21813" spans="1:5" x14ac:dyDescent="0.25">
      <c r="A21813" t="s">
        <v>4</v>
      </c>
      <c r="B21813" t="s">
        <v>4111</v>
      </c>
      <c r="C21813" s="1" t="s">
        <v>23490</v>
      </c>
      <c r="D21813" s="1" t="str">
        <f>HYPERLINK("https://rhld.insurance.arkansas.gov/NPILookup?Npi=1831336320","1831336320")</f>
        <v>1831336320</v>
      </c>
      <c r="E21813" t="s">
        <v>5768</v>
      </c>
    </row>
    <row r="21814" spans="1:5" x14ac:dyDescent="0.25">
      <c r="A21814" t="s">
        <v>4</v>
      </c>
      <c r="B21814" t="s">
        <v>4111</v>
      </c>
      <c r="C21814" s="1" t="s">
        <v>23490</v>
      </c>
      <c r="D21814" s="1" t="str">
        <f>HYPERLINK("https://rhld.insurance.arkansas.gov/NPILookup?Npi=1831343243","1831343243")</f>
        <v>1831343243</v>
      </c>
      <c r="E21814" t="s">
        <v>11854</v>
      </c>
    </row>
    <row r="21815" spans="1:5" x14ac:dyDescent="0.25">
      <c r="A21815" t="s">
        <v>4</v>
      </c>
      <c r="B21815" t="s">
        <v>4111</v>
      </c>
      <c r="C21815" s="1" t="s">
        <v>23490</v>
      </c>
      <c r="D21815" s="1" t="str">
        <f>HYPERLINK("https://rhld.insurance.arkansas.gov/NPILookup?Npi=1831348291","1831348291")</f>
        <v>1831348291</v>
      </c>
      <c r="E21815" t="s">
        <v>9166</v>
      </c>
    </row>
    <row r="21816" spans="1:5" x14ac:dyDescent="0.25">
      <c r="A21816" t="s">
        <v>4</v>
      </c>
      <c r="B21816" t="s">
        <v>4111</v>
      </c>
      <c r="C21816" s="1" t="s">
        <v>23490</v>
      </c>
      <c r="D21816" s="1" t="str">
        <f>HYPERLINK("https://rhld.insurance.arkansas.gov/NPILookup?Npi=1831348655","1831348655")</f>
        <v>1831348655</v>
      </c>
      <c r="E21816" t="s">
        <v>14229</v>
      </c>
    </row>
    <row r="21817" spans="1:5" x14ac:dyDescent="0.25">
      <c r="A21817" t="s">
        <v>4</v>
      </c>
      <c r="B21817" t="s">
        <v>4111</v>
      </c>
      <c r="C21817" s="1" t="s">
        <v>23490</v>
      </c>
      <c r="D21817" s="1" t="str">
        <f>HYPERLINK("https://rhld.insurance.arkansas.gov/NPILookup?Npi=1831353002","1831353002")</f>
        <v>1831353002</v>
      </c>
      <c r="E21817" t="s">
        <v>20603</v>
      </c>
    </row>
    <row r="21818" spans="1:5" x14ac:dyDescent="0.25">
      <c r="A21818" t="s">
        <v>4</v>
      </c>
      <c r="B21818" t="s">
        <v>4111</v>
      </c>
      <c r="C21818" s="1" t="s">
        <v>23490</v>
      </c>
      <c r="D21818" s="1" t="str">
        <f>HYPERLINK("https://rhld.insurance.arkansas.gov/NPILookup?Npi=1831359587","1831359587")</f>
        <v>1831359587</v>
      </c>
      <c r="E21818" t="s">
        <v>5769</v>
      </c>
    </row>
    <row r="21819" spans="1:5" x14ac:dyDescent="0.25">
      <c r="A21819" t="s">
        <v>4</v>
      </c>
      <c r="B21819" t="s">
        <v>4111</v>
      </c>
      <c r="C21819" s="1" t="s">
        <v>23490</v>
      </c>
      <c r="D21819" s="1" t="str">
        <f>HYPERLINK("https://rhld.insurance.arkansas.gov/NPILookup?Npi=1831367572","1831367572")</f>
        <v>1831367572</v>
      </c>
      <c r="E21819" t="s">
        <v>5770</v>
      </c>
    </row>
    <row r="21820" spans="1:5" x14ac:dyDescent="0.25">
      <c r="A21820" t="s">
        <v>4</v>
      </c>
      <c r="B21820" t="s">
        <v>4111</v>
      </c>
      <c r="C21820" s="1" t="s">
        <v>23490</v>
      </c>
      <c r="D21820" s="1" t="str">
        <f>HYPERLINK("https://rhld.insurance.arkansas.gov/NPILookup?Npi=1831398007","1831398007")</f>
        <v>1831398007</v>
      </c>
      <c r="E21820" t="s">
        <v>11855</v>
      </c>
    </row>
    <row r="21821" spans="1:5" x14ac:dyDescent="0.25">
      <c r="A21821" t="s">
        <v>4</v>
      </c>
      <c r="B21821" t="s">
        <v>4111</v>
      </c>
      <c r="C21821" s="1" t="s">
        <v>23490</v>
      </c>
      <c r="D21821" s="1" t="str">
        <f>HYPERLINK("https://rhld.insurance.arkansas.gov/NPILookup?Npi=1831398874","1831398874")</f>
        <v>1831398874</v>
      </c>
      <c r="E21821" t="s">
        <v>20604</v>
      </c>
    </row>
    <row r="21822" spans="1:5" x14ac:dyDescent="0.25">
      <c r="A21822" t="s">
        <v>4</v>
      </c>
      <c r="B21822" t="s">
        <v>4111</v>
      </c>
      <c r="C21822" s="1" t="s">
        <v>23490</v>
      </c>
      <c r="D21822" s="1" t="str">
        <f>HYPERLINK("https://rhld.insurance.arkansas.gov/NPILookup?Npi=1831406370","1831406370")</f>
        <v>1831406370</v>
      </c>
      <c r="E21822" t="s">
        <v>5771</v>
      </c>
    </row>
    <row r="21823" spans="1:5" x14ac:dyDescent="0.25">
      <c r="A21823" t="s">
        <v>4</v>
      </c>
      <c r="B21823" t="s">
        <v>4111</v>
      </c>
      <c r="C21823" s="1" t="s">
        <v>23490</v>
      </c>
      <c r="D21823" s="1" t="str">
        <f>HYPERLINK("https://rhld.insurance.arkansas.gov/NPILookup?Npi=1831408947","1831408947")</f>
        <v>1831408947</v>
      </c>
      <c r="E21823" t="s">
        <v>5772</v>
      </c>
    </row>
    <row r="21824" spans="1:5" x14ac:dyDescent="0.25">
      <c r="A21824" t="s">
        <v>4</v>
      </c>
      <c r="B21824" t="s">
        <v>4111</v>
      </c>
      <c r="C21824" s="1" t="s">
        <v>8427</v>
      </c>
      <c r="D21824" s="1" t="str">
        <f>HYPERLINK("https://rhld.insurance.arkansas.gov/NPILookup?Npi=1831432129","1831432129")</f>
        <v>1831432129</v>
      </c>
      <c r="E21824" t="s">
        <v>23195</v>
      </c>
    </row>
    <row r="21825" spans="1:5" x14ac:dyDescent="0.25">
      <c r="A21825" t="s">
        <v>4</v>
      </c>
      <c r="B21825" t="s">
        <v>4111</v>
      </c>
      <c r="C21825" s="1" t="s">
        <v>23490</v>
      </c>
      <c r="D21825" s="1" t="str">
        <f>HYPERLINK("https://rhld.insurance.arkansas.gov/NPILookup?Npi=1831439983","1831439983")</f>
        <v>1831439983</v>
      </c>
      <c r="E21825" t="s">
        <v>14980</v>
      </c>
    </row>
    <row r="21826" spans="1:5" x14ac:dyDescent="0.25">
      <c r="A21826" t="s">
        <v>4</v>
      </c>
      <c r="B21826" t="s">
        <v>4111</v>
      </c>
      <c r="C21826" s="1" t="s">
        <v>23490</v>
      </c>
      <c r="D21826" s="1" t="str">
        <f>HYPERLINK("https://rhld.insurance.arkansas.gov/NPILookup?Npi=1831451145","1831451145")</f>
        <v>1831451145</v>
      </c>
      <c r="E21826" t="s">
        <v>20605</v>
      </c>
    </row>
    <row r="21827" spans="1:5" x14ac:dyDescent="0.25">
      <c r="A21827" t="s">
        <v>4</v>
      </c>
      <c r="B21827" t="s">
        <v>4111</v>
      </c>
      <c r="C21827" s="1" t="s">
        <v>23490</v>
      </c>
      <c r="D21827" s="1" t="str">
        <f>HYPERLINK("https://rhld.insurance.arkansas.gov/NPILookup?Npi=1831454461","1831454461")</f>
        <v>1831454461</v>
      </c>
      <c r="E21827" t="s">
        <v>5773</v>
      </c>
    </row>
    <row r="21828" spans="1:5" x14ac:dyDescent="0.25">
      <c r="A21828" t="s">
        <v>4</v>
      </c>
      <c r="B21828" t="s">
        <v>4111</v>
      </c>
      <c r="C21828" s="1" t="s">
        <v>23490</v>
      </c>
      <c r="D21828" s="1" t="str">
        <f>HYPERLINK("https://rhld.insurance.arkansas.gov/NPILookup?Npi=1831459098","1831459098")</f>
        <v>1831459098</v>
      </c>
      <c r="E21828" t="s">
        <v>14230</v>
      </c>
    </row>
    <row r="21829" spans="1:5" x14ac:dyDescent="0.25">
      <c r="A21829" t="s">
        <v>4</v>
      </c>
      <c r="B21829" t="s">
        <v>4111</v>
      </c>
      <c r="C21829" s="1" t="s">
        <v>23490</v>
      </c>
      <c r="D21829" s="1" t="str">
        <f>HYPERLINK("https://rhld.insurance.arkansas.gov/NPILookup?Npi=1831479831","1831479831")</f>
        <v>1831479831</v>
      </c>
      <c r="E21829" t="s">
        <v>11856</v>
      </c>
    </row>
    <row r="21830" spans="1:5" x14ac:dyDescent="0.25">
      <c r="A21830" t="s">
        <v>4</v>
      </c>
      <c r="B21830" t="s">
        <v>4111</v>
      </c>
      <c r="C21830" s="1" t="s">
        <v>23490</v>
      </c>
      <c r="D21830" s="1" t="str">
        <f>HYPERLINK("https://rhld.insurance.arkansas.gov/NPILookup?Npi=1831494905","1831494905")</f>
        <v>1831494905</v>
      </c>
      <c r="E21830" t="s">
        <v>5774</v>
      </c>
    </row>
    <row r="21831" spans="1:5" x14ac:dyDescent="0.25">
      <c r="A21831" t="s">
        <v>4</v>
      </c>
      <c r="B21831" t="s">
        <v>4111</v>
      </c>
      <c r="C21831" s="1" t="s">
        <v>23490</v>
      </c>
      <c r="D21831" s="1" t="str">
        <f>HYPERLINK("https://rhld.insurance.arkansas.gov/NPILookup?Npi=1831497650","1831497650")</f>
        <v>1831497650</v>
      </c>
      <c r="E21831" t="s">
        <v>5775</v>
      </c>
    </row>
    <row r="21832" spans="1:5" x14ac:dyDescent="0.25">
      <c r="A21832" t="s">
        <v>4</v>
      </c>
      <c r="B21832" t="s">
        <v>4111</v>
      </c>
      <c r="C21832" s="1" t="s">
        <v>23490</v>
      </c>
      <c r="D21832" s="1" t="str">
        <f>HYPERLINK("https://rhld.insurance.arkansas.gov/NPILookup?Npi=1831506690","1831506690")</f>
        <v>1831506690</v>
      </c>
      <c r="E21832" t="s">
        <v>5644</v>
      </c>
    </row>
    <row r="21833" spans="1:5" x14ac:dyDescent="0.25">
      <c r="A21833" t="s">
        <v>4</v>
      </c>
      <c r="B21833" t="s">
        <v>4111</v>
      </c>
      <c r="C21833" s="1" t="s">
        <v>23490</v>
      </c>
      <c r="D21833" s="1" t="str">
        <f>HYPERLINK("https://rhld.insurance.arkansas.gov/NPILookup?Npi=1831524586","1831524586")</f>
        <v>1831524586</v>
      </c>
      <c r="E21833" t="s">
        <v>11857</v>
      </c>
    </row>
    <row r="21834" spans="1:5" x14ac:dyDescent="0.25">
      <c r="A21834" t="s">
        <v>4</v>
      </c>
      <c r="B21834" t="s">
        <v>4111</v>
      </c>
      <c r="C21834" s="1" t="s">
        <v>23490</v>
      </c>
      <c r="D21834" s="1" t="str">
        <f>HYPERLINK("https://rhld.insurance.arkansas.gov/NPILookup?Npi=1831538917","1831538917")</f>
        <v>1831538917</v>
      </c>
      <c r="E21834" t="s">
        <v>20606</v>
      </c>
    </row>
    <row r="21835" spans="1:5" x14ac:dyDescent="0.25">
      <c r="A21835" t="s">
        <v>4</v>
      </c>
      <c r="B21835" t="s">
        <v>4111</v>
      </c>
      <c r="C21835" s="1" t="s">
        <v>23490</v>
      </c>
      <c r="D21835" s="1" t="str">
        <f>HYPERLINK("https://rhld.insurance.arkansas.gov/NPILookup?Npi=1831554245","1831554245")</f>
        <v>1831554245</v>
      </c>
      <c r="E21835" t="s">
        <v>11858</v>
      </c>
    </row>
    <row r="21836" spans="1:5" x14ac:dyDescent="0.25">
      <c r="A21836" t="s">
        <v>4</v>
      </c>
      <c r="B21836" t="s">
        <v>4111</v>
      </c>
      <c r="C21836" s="1" t="s">
        <v>23490</v>
      </c>
      <c r="D21836" s="1" t="str">
        <f>HYPERLINK("https://rhld.insurance.arkansas.gov/NPILookup?Npi=1831585991","1831585991")</f>
        <v>1831585991</v>
      </c>
      <c r="E21836" t="s">
        <v>22311</v>
      </c>
    </row>
    <row r="21837" spans="1:5" x14ac:dyDescent="0.25">
      <c r="A21837" t="s">
        <v>4</v>
      </c>
      <c r="B21837" t="s">
        <v>4111</v>
      </c>
      <c r="C21837" s="1" t="s">
        <v>23490</v>
      </c>
      <c r="D21837" s="1" t="str">
        <f>HYPERLINK("https://rhld.insurance.arkansas.gov/NPILookup?Npi=1831588409","1831588409")</f>
        <v>1831588409</v>
      </c>
      <c r="E21837" t="s">
        <v>11859</v>
      </c>
    </row>
    <row r="21838" spans="1:5" x14ac:dyDescent="0.25">
      <c r="A21838" t="s">
        <v>4</v>
      </c>
      <c r="B21838" t="s">
        <v>4111</v>
      </c>
      <c r="C21838" s="1" t="s">
        <v>23490</v>
      </c>
      <c r="D21838" s="1" t="str">
        <f>HYPERLINK("https://rhld.insurance.arkansas.gov/NPILookup?Npi=1831589431","1831589431")</f>
        <v>1831589431</v>
      </c>
      <c r="E21838" t="s">
        <v>22312</v>
      </c>
    </row>
    <row r="21839" spans="1:5" x14ac:dyDescent="0.25">
      <c r="A21839" t="s">
        <v>4</v>
      </c>
      <c r="B21839" t="s">
        <v>4111</v>
      </c>
      <c r="C21839" s="1" t="s">
        <v>8427</v>
      </c>
      <c r="D21839" s="1" t="str">
        <f>HYPERLINK("https://rhld.insurance.arkansas.gov/NPILookup?Npi=1831589605","1831589605")</f>
        <v>1831589605</v>
      </c>
      <c r="E21839" t="s">
        <v>23196</v>
      </c>
    </row>
    <row r="21840" spans="1:5" x14ac:dyDescent="0.25">
      <c r="A21840" t="s">
        <v>4</v>
      </c>
      <c r="B21840" t="s">
        <v>4111</v>
      </c>
      <c r="C21840" s="1" t="s">
        <v>23490</v>
      </c>
      <c r="D21840" s="1" t="str">
        <f>HYPERLINK("https://rhld.insurance.arkansas.gov/NPILookup?Npi=1831595099","1831595099")</f>
        <v>1831595099</v>
      </c>
      <c r="E21840" t="s">
        <v>22313</v>
      </c>
    </row>
    <row r="21841" spans="1:5" x14ac:dyDescent="0.25">
      <c r="A21841" t="s">
        <v>4</v>
      </c>
      <c r="B21841" t="s">
        <v>4111</v>
      </c>
      <c r="C21841" s="1" t="s">
        <v>23490</v>
      </c>
      <c r="D21841" s="1" t="str">
        <f>HYPERLINK("https://rhld.insurance.arkansas.gov/NPILookup?Npi=1831609262","1831609262")</f>
        <v>1831609262</v>
      </c>
      <c r="E21841" t="s">
        <v>16247</v>
      </c>
    </row>
    <row r="21842" spans="1:5" x14ac:dyDescent="0.25">
      <c r="A21842" t="s">
        <v>4</v>
      </c>
      <c r="B21842" t="s">
        <v>4111</v>
      </c>
      <c r="C21842" s="1" t="s">
        <v>23490</v>
      </c>
      <c r="D21842" s="1" t="str">
        <f>HYPERLINK("https://rhld.insurance.arkansas.gov/NPILookup?Npi=1831643980","1831643980")</f>
        <v>1831643980</v>
      </c>
      <c r="E21842" t="s">
        <v>17652</v>
      </c>
    </row>
    <row r="21843" spans="1:5" x14ac:dyDescent="0.25">
      <c r="A21843" t="s">
        <v>4</v>
      </c>
      <c r="B21843" t="s">
        <v>4111</v>
      </c>
      <c r="C21843" s="1" t="s">
        <v>23490</v>
      </c>
      <c r="D21843" s="1" t="str">
        <f>HYPERLINK("https://rhld.insurance.arkansas.gov/NPILookup?Npi=1831644566","1831644566")</f>
        <v>1831644566</v>
      </c>
      <c r="E21843" t="s">
        <v>14231</v>
      </c>
    </row>
    <row r="21844" spans="1:5" x14ac:dyDescent="0.25">
      <c r="A21844" t="s">
        <v>4</v>
      </c>
      <c r="B21844" t="s">
        <v>4111</v>
      </c>
      <c r="C21844" s="1" t="s">
        <v>23490</v>
      </c>
      <c r="D21844" s="1" t="str">
        <f>HYPERLINK("https://rhld.insurance.arkansas.gov/NPILookup?Npi=1831647452","1831647452")</f>
        <v>1831647452</v>
      </c>
      <c r="E21844" t="s">
        <v>14232</v>
      </c>
    </row>
    <row r="21845" spans="1:5" x14ac:dyDescent="0.25">
      <c r="A21845" t="s">
        <v>4</v>
      </c>
      <c r="B21845" t="s">
        <v>4111</v>
      </c>
      <c r="C21845" s="1" t="s">
        <v>23490</v>
      </c>
      <c r="D21845" s="1" t="str">
        <f>HYPERLINK("https://rhld.insurance.arkansas.gov/NPILookup?Npi=1831668110","1831668110")</f>
        <v>1831668110</v>
      </c>
      <c r="E21845" t="s">
        <v>14233</v>
      </c>
    </row>
    <row r="21846" spans="1:5" x14ac:dyDescent="0.25">
      <c r="A21846" t="s">
        <v>4</v>
      </c>
      <c r="B21846" t="s">
        <v>4111</v>
      </c>
      <c r="C21846" s="1" t="s">
        <v>23490</v>
      </c>
      <c r="D21846" s="1" t="str">
        <f>HYPERLINK("https://rhld.insurance.arkansas.gov/NPILookup?Npi=1831688381","1831688381")</f>
        <v>1831688381</v>
      </c>
      <c r="E21846" t="s">
        <v>20607</v>
      </c>
    </row>
    <row r="21847" spans="1:5" x14ac:dyDescent="0.25">
      <c r="A21847" t="s">
        <v>4</v>
      </c>
      <c r="B21847" t="s">
        <v>4111</v>
      </c>
      <c r="C21847" s="1" t="s">
        <v>23490</v>
      </c>
      <c r="D21847" s="1" t="str">
        <f>HYPERLINK("https://rhld.insurance.arkansas.gov/NPILookup?Npi=1831711241","1831711241")</f>
        <v>1831711241</v>
      </c>
      <c r="E21847" t="s">
        <v>17653</v>
      </c>
    </row>
    <row r="21848" spans="1:5" x14ac:dyDescent="0.25">
      <c r="A21848" t="s">
        <v>4</v>
      </c>
      <c r="B21848" t="s">
        <v>4111</v>
      </c>
      <c r="C21848" s="1" t="s">
        <v>23490</v>
      </c>
      <c r="D21848" s="1" t="str">
        <f>HYPERLINK("https://rhld.insurance.arkansas.gov/NPILookup?Npi=1831717115","1831717115")</f>
        <v>1831717115</v>
      </c>
      <c r="E21848" t="s">
        <v>18440</v>
      </c>
    </row>
    <row r="21849" spans="1:5" x14ac:dyDescent="0.25">
      <c r="A21849" t="s">
        <v>4</v>
      </c>
      <c r="B21849" t="s">
        <v>4111</v>
      </c>
      <c r="C21849" s="1" t="s">
        <v>23490</v>
      </c>
      <c r="D21849" s="1" t="str">
        <f>HYPERLINK("https://rhld.insurance.arkansas.gov/NPILookup?Npi=1831746429","1831746429")</f>
        <v>1831746429</v>
      </c>
      <c r="E21849" t="s">
        <v>20608</v>
      </c>
    </row>
    <row r="21850" spans="1:5" x14ac:dyDescent="0.25">
      <c r="A21850" t="s">
        <v>4</v>
      </c>
      <c r="B21850" t="s">
        <v>4111</v>
      </c>
      <c r="C21850" s="1" t="s">
        <v>23490</v>
      </c>
      <c r="D21850" s="1" t="str">
        <f>HYPERLINK("https://rhld.insurance.arkansas.gov/NPILookup?Npi=1831770981","1831770981")</f>
        <v>1831770981</v>
      </c>
      <c r="E21850" t="s">
        <v>20293</v>
      </c>
    </row>
    <row r="21851" spans="1:5" x14ac:dyDescent="0.25">
      <c r="A21851" t="s">
        <v>4</v>
      </c>
      <c r="B21851" t="s">
        <v>4111</v>
      </c>
      <c r="C21851" s="1" t="s">
        <v>23490</v>
      </c>
      <c r="D21851" s="1" t="str">
        <f>HYPERLINK("https://rhld.insurance.arkansas.gov/NPILookup?Npi=1831812593","1831812593")</f>
        <v>1831812593</v>
      </c>
      <c r="E21851" t="s">
        <v>22314</v>
      </c>
    </row>
    <row r="21852" spans="1:5" x14ac:dyDescent="0.25">
      <c r="A21852" t="s">
        <v>4</v>
      </c>
      <c r="B21852" t="s">
        <v>4111</v>
      </c>
      <c r="C21852" s="1" t="s">
        <v>23490</v>
      </c>
      <c r="D21852" s="1" t="str">
        <f>HYPERLINK("https://rhld.insurance.arkansas.gov/NPILookup?Npi=1831814557","1831814557")</f>
        <v>1831814557</v>
      </c>
      <c r="E21852" t="s">
        <v>22315</v>
      </c>
    </row>
    <row r="21853" spans="1:5" x14ac:dyDescent="0.25">
      <c r="A21853" t="s">
        <v>4</v>
      </c>
      <c r="B21853" t="s">
        <v>4111</v>
      </c>
      <c r="C21853" s="1" t="s">
        <v>23490</v>
      </c>
      <c r="D21853" s="1" t="str">
        <f>HYPERLINK("https://rhld.insurance.arkansas.gov/NPILookup?Npi=1831821081","1831821081")</f>
        <v>1831821081</v>
      </c>
      <c r="E21853" t="s">
        <v>22316</v>
      </c>
    </row>
    <row r="21854" spans="1:5" x14ac:dyDescent="0.25">
      <c r="A21854" t="s">
        <v>4</v>
      </c>
      <c r="B21854" t="s">
        <v>4111</v>
      </c>
      <c r="C21854" s="1" t="s">
        <v>23490</v>
      </c>
      <c r="D21854" s="1" t="str">
        <f>HYPERLINK("https://rhld.insurance.arkansas.gov/NPILookup?Npi=1831831833","1831831833")</f>
        <v>1831831833</v>
      </c>
      <c r="E21854" t="s">
        <v>21053</v>
      </c>
    </row>
    <row r="21855" spans="1:5" x14ac:dyDescent="0.25">
      <c r="A21855" t="s">
        <v>4</v>
      </c>
      <c r="B21855" t="s">
        <v>4111</v>
      </c>
      <c r="C21855" s="1" t="s">
        <v>23490</v>
      </c>
      <c r="D21855" s="1" t="str">
        <f>HYPERLINK("https://rhld.insurance.arkansas.gov/NPILookup?Npi=1841216819","1841216819")</f>
        <v>1841216819</v>
      </c>
      <c r="E21855" t="s">
        <v>5776</v>
      </c>
    </row>
    <row r="21856" spans="1:5" x14ac:dyDescent="0.25">
      <c r="A21856" t="s">
        <v>4</v>
      </c>
      <c r="B21856" t="s">
        <v>4111</v>
      </c>
      <c r="C21856" s="1" t="s">
        <v>23490</v>
      </c>
      <c r="D21856" s="1" t="str">
        <f>HYPERLINK("https://rhld.insurance.arkansas.gov/NPILookup?Npi=1841227212","1841227212")</f>
        <v>1841227212</v>
      </c>
      <c r="E21856" t="s">
        <v>5777</v>
      </c>
    </row>
    <row r="21857" spans="1:5" x14ac:dyDescent="0.25">
      <c r="A21857" t="s">
        <v>4</v>
      </c>
      <c r="B21857" t="s">
        <v>4111</v>
      </c>
      <c r="C21857" s="1" t="s">
        <v>23490</v>
      </c>
      <c r="D21857" s="1" t="str">
        <f>HYPERLINK("https://rhld.insurance.arkansas.gov/NPILookup?Npi=1841236189","1841236189")</f>
        <v>1841236189</v>
      </c>
      <c r="E21857" t="s">
        <v>5778</v>
      </c>
    </row>
    <row r="21858" spans="1:5" x14ac:dyDescent="0.25">
      <c r="A21858" t="s">
        <v>4</v>
      </c>
      <c r="B21858" t="s">
        <v>4111</v>
      </c>
      <c r="C21858" s="1" t="s">
        <v>23490</v>
      </c>
      <c r="D21858" s="1" t="str">
        <f>HYPERLINK("https://rhld.insurance.arkansas.gov/NPILookup?Npi=1841242484","1841242484")</f>
        <v>1841242484</v>
      </c>
      <c r="E21858" t="s">
        <v>5779</v>
      </c>
    </row>
    <row r="21859" spans="1:5" x14ac:dyDescent="0.25">
      <c r="A21859" t="s">
        <v>4</v>
      </c>
      <c r="B21859" t="s">
        <v>4111</v>
      </c>
      <c r="C21859" s="1" t="s">
        <v>23490</v>
      </c>
      <c r="D21859" s="1" t="str">
        <f>HYPERLINK("https://rhld.insurance.arkansas.gov/NPILookup?Npi=1841254877","1841254877")</f>
        <v>1841254877</v>
      </c>
      <c r="E21859" t="s">
        <v>5780</v>
      </c>
    </row>
    <row r="21860" spans="1:5" x14ac:dyDescent="0.25">
      <c r="A21860" t="s">
        <v>4</v>
      </c>
      <c r="B21860" t="s">
        <v>4111</v>
      </c>
      <c r="C21860" s="1" t="s">
        <v>23490</v>
      </c>
      <c r="D21860" s="1" t="str">
        <f>HYPERLINK("https://rhld.insurance.arkansas.gov/NPILookup?Npi=1841270972","1841270972")</f>
        <v>1841270972</v>
      </c>
      <c r="E21860" t="s">
        <v>2007</v>
      </c>
    </row>
    <row r="21861" spans="1:5" x14ac:dyDescent="0.25">
      <c r="A21861" t="s">
        <v>4</v>
      </c>
      <c r="B21861" t="s">
        <v>4111</v>
      </c>
      <c r="C21861" s="1" t="s">
        <v>23490</v>
      </c>
      <c r="D21861" s="1" t="str">
        <f>HYPERLINK("https://rhld.insurance.arkansas.gov/NPILookup?Npi=1841298056","1841298056")</f>
        <v>1841298056</v>
      </c>
      <c r="E21861" t="s">
        <v>11860</v>
      </c>
    </row>
    <row r="21862" spans="1:5" x14ac:dyDescent="0.25">
      <c r="A21862" t="s">
        <v>4</v>
      </c>
      <c r="B21862" t="s">
        <v>4111</v>
      </c>
      <c r="C21862" s="1" t="s">
        <v>23490</v>
      </c>
      <c r="D21862" s="1" t="str">
        <f>HYPERLINK("https://rhld.insurance.arkansas.gov/NPILookup?Npi=1841321197","1841321197")</f>
        <v>1841321197</v>
      </c>
      <c r="E21862" t="s">
        <v>5781</v>
      </c>
    </row>
    <row r="21863" spans="1:5" x14ac:dyDescent="0.25">
      <c r="A21863" t="s">
        <v>4</v>
      </c>
      <c r="B21863" t="s">
        <v>4111</v>
      </c>
      <c r="C21863" s="1" t="s">
        <v>23490</v>
      </c>
      <c r="D21863" s="1" t="str">
        <f>HYPERLINK("https://rhld.insurance.arkansas.gov/NPILookup?Npi=1841329380","1841329380")</f>
        <v>1841329380</v>
      </c>
      <c r="E21863" t="s">
        <v>14234</v>
      </c>
    </row>
    <row r="21864" spans="1:5" x14ac:dyDescent="0.25">
      <c r="A21864" t="s">
        <v>4</v>
      </c>
      <c r="B21864" t="s">
        <v>4111</v>
      </c>
      <c r="C21864" s="1" t="s">
        <v>23490</v>
      </c>
      <c r="D21864" s="1" t="str">
        <f>HYPERLINK("https://rhld.insurance.arkansas.gov/NPILookup?Npi=1841334927","1841334927")</f>
        <v>1841334927</v>
      </c>
      <c r="E21864" t="s">
        <v>5782</v>
      </c>
    </row>
    <row r="21865" spans="1:5" x14ac:dyDescent="0.25">
      <c r="A21865" t="s">
        <v>4</v>
      </c>
      <c r="B21865" t="s">
        <v>4111</v>
      </c>
      <c r="C21865" s="1" t="s">
        <v>23490</v>
      </c>
      <c r="D21865" s="1" t="str">
        <f>HYPERLINK("https://rhld.insurance.arkansas.gov/NPILookup?Npi=1841363827","1841363827")</f>
        <v>1841363827</v>
      </c>
      <c r="E21865" t="s">
        <v>5784</v>
      </c>
    </row>
    <row r="21866" spans="1:5" x14ac:dyDescent="0.25">
      <c r="A21866" t="s">
        <v>4</v>
      </c>
      <c r="B21866" t="s">
        <v>4111</v>
      </c>
      <c r="C21866" s="1" t="s">
        <v>23490</v>
      </c>
      <c r="D21866" s="1" t="str">
        <f>HYPERLINK("https://rhld.insurance.arkansas.gov/NPILookup?Npi=1841364072","1841364072")</f>
        <v>1841364072</v>
      </c>
      <c r="E21866" t="s">
        <v>17241</v>
      </c>
    </row>
    <row r="21867" spans="1:5" x14ac:dyDescent="0.25">
      <c r="A21867" t="s">
        <v>4</v>
      </c>
      <c r="B21867" t="s">
        <v>4111</v>
      </c>
      <c r="C21867" s="1" t="s">
        <v>23490</v>
      </c>
      <c r="D21867" s="1" t="str">
        <f>HYPERLINK("https://rhld.insurance.arkansas.gov/NPILookup?Npi=1841377538","1841377538")</f>
        <v>1841377538</v>
      </c>
      <c r="E21867" t="s">
        <v>5785</v>
      </c>
    </row>
    <row r="21868" spans="1:5" x14ac:dyDescent="0.25">
      <c r="A21868" t="s">
        <v>4</v>
      </c>
      <c r="B21868" t="s">
        <v>4111</v>
      </c>
      <c r="C21868" s="1" t="s">
        <v>23490</v>
      </c>
      <c r="D21868" s="1" t="str">
        <f>HYPERLINK("https://rhld.insurance.arkansas.gov/NPILookup?Npi=1841385721","1841385721")</f>
        <v>1841385721</v>
      </c>
      <c r="E21868" t="s">
        <v>5786</v>
      </c>
    </row>
    <row r="21869" spans="1:5" x14ac:dyDescent="0.25">
      <c r="A21869" t="s">
        <v>4</v>
      </c>
      <c r="B21869" t="s">
        <v>4111</v>
      </c>
      <c r="C21869" s="1" t="s">
        <v>23490</v>
      </c>
      <c r="D21869" s="1" t="str">
        <f>HYPERLINK("https://rhld.insurance.arkansas.gov/NPILookup?Npi=1841388063","1841388063")</f>
        <v>1841388063</v>
      </c>
      <c r="E21869" t="s">
        <v>5787</v>
      </c>
    </row>
    <row r="21870" spans="1:5" x14ac:dyDescent="0.25">
      <c r="A21870" t="s">
        <v>4</v>
      </c>
      <c r="B21870" t="s">
        <v>4111</v>
      </c>
      <c r="C21870" s="1" t="s">
        <v>23490</v>
      </c>
      <c r="D21870" s="1" t="str">
        <f>HYPERLINK("https://rhld.insurance.arkansas.gov/NPILookup?Npi=1841405594","1841405594")</f>
        <v>1841405594</v>
      </c>
      <c r="E21870" t="s">
        <v>5788</v>
      </c>
    </row>
    <row r="21871" spans="1:5" x14ac:dyDescent="0.25">
      <c r="A21871" t="s">
        <v>4</v>
      </c>
      <c r="B21871" t="s">
        <v>4111</v>
      </c>
      <c r="C21871" s="1" t="s">
        <v>23490</v>
      </c>
      <c r="D21871" s="1" t="str">
        <f>HYPERLINK("https://rhld.insurance.arkansas.gov/NPILookup?Npi=1841406709","1841406709")</f>
        <v>1841406709</v>
      </c>
      <c r="E21871" t="s">
        <v>19251</v>
      </c>
    </row>
    <row r="21872" spans="1:5" x14ac:dyDescent="0.25">
      <c r="A21872" t="s">
        <v>4</v>
      </c>
      <c r="B21872" t="s">
        <v>4111</v>
      </c>
      <c r="C21872" s="1" t="s">
        <v>23490</v>
      </c>
      <c r="D21872" s="1" t="str">
        <f>HYPERLINK("https://rhld.insurance.arkansas.gov/NPILookup?Npi=1841426103","1841426103")</f>
        <v>1841426103</v>
      </c>
      <c r="E21872" t="s">
        <v>5789</v>
      </c>
    </row>
    <row r="21873" spans="1:5" x14ac:dyDescent="0.25">
      <c r="A21873" t="s">
        <v>4</v>
      </c>
      <c r="B21873" t="s">
        <v>4111</v>
      </c>
      <c r="C21873" s="1" t="s">
        <v>23490</v>
      </c>
      <c r="D21873" s="1" t="str">
        <f>HYPERLINK("https://rhld.insurance.arkansas.gov/NPILookup?Npi=1841437423","1841437423")</f>
        <v>1841437423</v>
      </c>
      <c r="E21873" t="s">
        <v>5790</v>
      </c>
    </row>
    <row r="21874" spans="1:5" x14ac:dyDescent="0.25">
      <c r="A21874" t="s">
        <v>4</v>
      </c>
      <c r="B21874" t="s">
        <v>4111</v>
      </c>
      <c r="C21874" s="1" t="s">
        <v>23490</v>
      </c>
      <c r="D21874" s="1" t="str">
        <f>HYPERLINK("https://rhld.insurance.arkansas.gov/NPILookup?Npi=1841444189","1841444189")</f>
        <v>1841444189</v>
      </c>
      <c r="E21874" t="s">
        <v>5791</v>
      </c>
    </row>
    <row r="21875" spans="1:5" x14ac:dyDescent="0.25">
      <c r="A21875" t="s">
        <v>4</v>
      </c>
      <c r="B21875" t="s">
        <v>4111</v>
      </c>
      <c r="C21875" s="1" t="s">
        <v>23490</v>
      </c>
      <c r="D21875" s="1" t="str">
        <f>HYPERLINK("https://rhld.insurance.arkansas.gov/NPILookup?Npi=1841448792","1841448792")</f>
        <v>1841448792</v>
      </c>
      <c r="E21875" t="s">
        <v>5792</v>
      </c>
    </row>
    <row r="21876" spans="1:5" x14ac:dyDescent="0.25">
      <c r="A21876" t="s">
        <v>4</v>
      </c>
      <c r="B21876" t="s">
        <v>4111</v>
      </c>
      <c r="C21876" s="1" t="s">
        <v>23490</v>
      </c>
      <c r="D21876" s="1" t="str">
        <f>HYPERLINK("https://rhld.insurance.arkansas.gov/NPILookup?Npi=1841451051","1841451051")</f>
        <v>1841451051</v>
      </c>
      <c r="E21876" t="s">
        <v>5793</v>
      </c>
    </row>
    <row r="21877" spans="1:5" x14ac:dyDescent="0.25">
      <c r="A21877" t="s">
        <v>4</v>
      </c>
      <c r="B21877" t="s">
        <v>4111</v>
      </c>
      <c r="C21877" s="1" t="s">
        <v>23490</v>
      </c>
      <c r="D21877" s="1" t="str">
        <f>HYPERLINK("https://rhld.insurance.arkansas.gov/NPILookup?Npi=1841455375","1841455375")</f>
        <v>1841455375</v>
      </c>
      <c r="E21877" t="s">
        <v>17242</v>
      </c>
    </row>
    <row r="21878" spans="1:5" x14ac:dyDescent="0.25">
      <c r="A21878" t="s">
        <v>4</v>
      </c>
      <c r="B21878" t="s">
        <v>4111</v>
      </c>
      <c r="C21878" s="1" t="s">
        <v>23490</v>
      </c>
      <c r="D21878" s="1" t="str">
        <f>HYPERLINK("https://rhld.insurance.arkansas.gov/NPILookup?Npi=1841456993","1841456993")</f>
        <v>1841456993</v>
      </c>
      <c r="E21878" t="s">
        <v>11861</v>
      </c>
    </row>
    <row r="21879" spans="1:5" x14ac:dyDescent="0.25">
      <c r="A21879" t="s">
        <v>4</v>
      </c>
      <c r="B21879" t="s">
        <v>4111</v>
      </c>
      <c r="C21879" s="1" t="s">
        <v>23490</v>
      </c>
      <c r="D21879" s="1" t="str">
        <f>HYPERLINK("https://rhld.insurance.arkansas.gov/NPILookup?Npi=1841467321","1841467321")</f>
        <v>1841467321</v>
      </c>
      <c r="E21879" t="s">
        <v>5794</v>
      </c>
    </row>
    <row r="21880" spans="1:5" x14ac:dyDescent="0.25">
      <c r="A21880" t="s">
        <v>4</v>
      </c>
      <c r="B21880" t="s">
        <v>4111</v>
      </c>
      <c r="C21880" s="1" t="s">
        <v>23490</v>
      </c>
      <c r="D21880" s="1" t="str">
        <f>HYPERLINK("https://rhld.insurance.arkansas.gov/NPILookup?Npi=1841469632","1841469632")</f>
        <v>1841469632</v>
      </c>
      <c r="E21880" t="s">
        <v>14235</v>
      </c>
    </row>
    <row r="21881" spans="1:5" x14ac:dyDescent="0.25">
      <c r="A21881" t="s">
        <v>4</v>
      </c>
      <c r="B21881" t="s">
        <v>4111</v>
      </c>
      <c r="C21881" s="1" t="s">
        <v>23490</v>
      </c>
      <c r="D21881" s="1" t="str">
        <f>HYPERLINK("https://rhld.insurance.arkansas.gov/NPILookup?Npi=1841507894","1841507894")</f>
        <v>1841507894</v>
      </c>
      <c r="E21881" t="s">
        <v>5795</v>
      </c>
    </row>
    <row r="21882" spans="1:5" x14ac:dyDescent="0.25">
      <c r="A21882" t="s">
        <v>4</v>
      </c>
      <c r="B21882" t="s">
        <v>4111</v>
      </c>
      <c r="C21882" s="1" t="s">
        <v>23490</v>
      </c>
      <c r="D21882" s="1" t="str">
        <f>HYPERLINK("https://rhld.insurance.arkansas.gov/NPILookup?Npi=1841513884","1841513884")</f>
        <v>1841513884</v>
      </c>
      <c r="E21882" t="s">
        <v>5796</v>
      </c>
    </row>
    <row r="21883" spans="1:5" x14ac:dyDescent="0.25">
      <c r="A21883" t="s">
        <v>4</v>
      </c>
      <c r="B21883" t="s">
        <v>4111</v>
      </c>
      <c r="C21883" s="1" t="s">
        <v>23490</v>
      </c>
      <c r="D21883" s="1" t="str">
        <f>HYPERLINK("https://rhld.insurance.arkansas.gov/NPILookup?Npi=1841525185","1841525185")</f>
        <v>1841525185</v>
      </c>
      <c r="E21883" t="s">
        <v>11862</v>
      </c>
    </row>
    <row r="21884" spans="1:5" x14ac:dyDescent="0.25">
      <c r="A21884" t="s">
        <v>4</v>
      </c>
      <c r="B21884" t="s">
        <v>4111</v>
      </c>
      <c r="C21884" s="1" t="s">
        <v>23490</v>
      </c>
      <c r="D21884" s="1" t="str">
        <f>HYPERLINK("https://rhld.insurance.arkansas.gov/NPILookup?Npi=1841542024","1841542024")</f>
        <v>1841542024</v>
      </c>
      <c r="E21884" t="s">
        <v>14236</v>
      </c>
    </row>
    <row r="21885" spans="1:5" x14ac:dyDescent="0.25">
      <c r="A21885" t="s">
        <v>4</v>
      </c>
      <c r="B21885" t="s">
        <v>4111</v>
      </c>
      <c r="C21885" s="1" t="s">
        <v>23490</v>
      </c>
      <c r="D21885" s="1" t="str">
        <f>HYPERLINK("https://rhld.insurance.arkansas.gov/NPILookup?Npi=1841552767","1841552767")</f>
        <v>1841552767</v>
      </c>
      <c r="E21885" t="s">
        <v>17654</v>
      </c>
    </row>
    <row r="21886" spans="1:5" x14ac:dyDescent="0.25">
      <c r="A21886" t="s">
        <v>4</v>
      </c>
      <c r="B21886" t="s">
        <v>4111</v>
      </c>
      <c r="C21886" s="1" t="s">
        <v>23490</v>
      </c>
      <c r="D21886" s="1" t="str">
        <f>HYPERLINK("https://rhld.insurance.arkansas.gov/NPILookup?Npi=1841553286","1841553286")</f>
        <v>1841553286</v>
      </c>
      <c r="E21886" t="s">
        <v>5797</v>
      </c>
    </row>
    <row r="21887" spans="1:5" x14ac:dyDescent="0.25">
      <c r="A21887" t="s">
        <v>4</v>
      </c>
      <c r="B21887" t="s">
        <v>4111</v>
      </c>
      <c r="C21887" s="1" t="s">
        <v>23490</v>
      </c>
      <c r="D21887" s="1" t="str">
        <f>HYPERLINK("https://rhld.insurance.arkansas.gov/NPILookup?Npi=1841557840","1841557840")</f>
        <v>1841557840</v>
      </c>
      <c r="E21887" t="s">
        <v>16248</v>
      </c>
    </row>
    <row r="21888" spans="1:5" x14ac:dyDescent="0.25">
      <c r="A21888" t="s">
        <v>4</v>
      </c>
      <c r="B21888" t="s">
        <v>4111</v>
      </c>
      <c r="C21888" s="1" t="s">
        <v>23490</v>
      </c>
      <c r="D21888" s="1" t="str">
        <f>HYPERLINK("https://rhld.insurance.arkansas.gov/NPILookup?Npi=1841582350","1841582350")</f>
        <v>1841582350</v>
      </c>
      <c r="E21888" t="s">
        <v>9167</v>
      </c>
    </row>
    <row r="21889" spans="1:5" x14ac:dyDescent="0.25">
      <c r="A21889" t="s">
        <v>4</v>
      </c>
      <c r="B21889" t="s">
        <v>4111</v>
      </c>
      <c r="C21889" s="1" t="s">
        <v>23490</v>
      </c>
      <c r="D21889" s="1" t="str">
        <f>HYPERLINK("https://rhld.insurance.arkansas.gov/NPILookup?Npi=1841602141","1841602141")</f>
        <v>1841602141</v>
      </c>
      <c r="E21889" t="s">
        <v>17655</v>
      </c>
    </row>
    <row r="21890" spans="1:5" x14ac:dyDescent="0.25">
      <c r="A21890" t="s">
        <v>4</v>
      </c>
      <c r="B21890" t="s">
        <v>4111</v>
      </c>
      <c r="C21890" s="1" t="s">
        <v>23490</v>
      </c>
      <c r="D21890" s="1" t="str">
        <f>HYPERLINK("https://rhld.insurance.arkansas.gov/NPILookup?Npi=1841603487","1841603487")</f>
        <v>1841603487</v>
      </c>
      <c r="E21890" t="s">
        <v>11863</v>
      </c>
    </row>
    <row r="21891" spans="1:5" x14ac:dyDescent="0.25">
      <c r="A21891" t="s">
        <v>4</v>
      </c>
      <c r="B21891" t="s">
        <v>4111</v>
      </c>
      <c r="C21891" s="1" t="s">
        <v>23490</v>
      </c>
      <c r="D21891" s="1" t="str">
        <f>HYPERLINK("https://rhld.insurance.arkansas.gov/NPILookup?Npi=1841607157","1841607157")</f>
        <v>1841607157</v>
      </c>
      <c r="E21891" t="s">
        <v>20609</v>
      </c>
    </row>
    <row r="21892" spans="1:5" x14ac:dyDescent="0.25">
      <c r="A21892" t="s">
        <v>4</v>
      </c>
      <c r="B21892" t="s">
        <v>4111</v>
      </c>
      <c r="C21892" s="1" t="s">
        <v>23490</v>
      </c>
      <c r="D21892" s="1" t="str">
        <f>HYPERLINK("https://rhld.insurance.arkansas.gov/NPILookup?Npi=1841610193","1841610193")</f>
        <v>1841610193</v>
      </c>
      <c r="E21892" t="s">
        <v>18441</v>
      </c>
    </row>
    <row r="21893" spans="1:5" x14ac:dyDescent="0.25">
      <c r="A21893" t="s">
        <v>4</v>
      </c>
      <c r="B21893" t="s">
        <v>4111</v>
      </c>
      <c r="C21893" s="1" t="s">
        <v>23490</v>
      </c>
      <c r="D21893" s="1" t="str">
        <f>HYPERLINK("https://rhld.insurance.arkansas.gov/NPILookup?Npi=1841615853","1841615853")</f>
        <v>1841615853</v>
      </c>
      <c r="E21893" t="s">
        <v>11864</v>
      </c>
    </row>
    <row r="21894" spans="1:5" x14ac:dyDescent="0.25">
      <c r="A21894" t="s">
        <v>4</v>
      </c>
      <c r="B21894" t="s">
        <v>4111</v>
      </c>
      <c r="C21894" s="1" t="s">
        <v>23490</v>
      </c>
      <c r="D21894" s="1" t="str">
        <f>HYPERLINK("https://rhld.insurance.arkansas.gov/NPILookup?Npi=1841616364","1841616364")</f>
        <v>1841616364</v>
      </c>
      <c r="E21894" t="s">
        <v>17656</v>
      </c>
    </row>
    <row r="21895" spans="1:5" x14ac:dyDescent="0.25">
      <c r="A21895" t="s">
        <v>4</v>
      </c>
      <c r="B21895" t="s">
        <v>4111</v>
      </c>
      <c r="C21895" s="1" t="s">
        <v>23490</v>
      </c>
      <c r="D21895" s="1" t="str">
        <f>HYPERLINK("https://rhld.insurance.arkansas.gov/NPILookup?Npi=1841624848","1841624848")</f>
        <v>1841624848</v>
      </c>
      <c r="E21895" t="s">
        <v>17657</v>
      </c>
    </row>
    <row r="21896" spans="1:5" x14ac:dyDescent="0.25">
      <c r="A21896" t="s">
        <v>4</v>
      </c>
      <c r="B21896" t="s">
        <v>4111</v>
      </c>
      <c r="C21896" s="1" t="s">
        <v>23490</v>
      </c>
      <c r="D21896" s="1" t="str">
        <f>HYPERLINK("https://rhld.insurance.arkansas.gov/NPILookup?Npi=1841624921","1841624921")</f>
        <v>1841624921</v>
      </c>
      <c r="E21896" t="s">
        <v>23197</v>
      </c>
    </row>
    <row r="21897" spans="1:5" x14ac:dyDescent="0.25">
      <c r="A21897" t="s">
        <v>4</v>
      </c>
      <c r="B21897" t="s">
        <v>4111</v>
      </c>
      <c r="C21897" s="1" t="s">
        <v>23490</v>
      </c>
      <c r="D21897" s="1" t="str">
        <f>HYPERLINK("https://rhld.insurance.arkansas.gov/NPILookup?Npi=1841625308","1841625308")</f>
        <v>1841625308</v>
      </c>
      <c r="E21897" t="s">
        <v>18145</v>
      </c>
    </row>
    <row r="21898" spans="1:5" x14ac:dyDescent="0.25">
      <c r="A21898" t="s">
        <v>4</v>
      </c>
      <c r="B21898" t="s">
        <v>4111</v>
      </c>
      <c r="C21898" s="1" t="s">
        <v>23490</v>
      </c>
      <c r="D21898" s="1" t="str">
        <f>HYPERLINK("https://rhld.insurance.arkansas.gov/NPILookup?Npi=1841625738","1841625738")</f>
        <v>1841625738</v>
      </c>
      <c r="E21898" t="s">
        <v>9168</v>
      </c>
    </row>
    <row r="21899" spans="1:5" x14ac:dyDescent="0.25">
      <c r="A21899" t="s">
        <v>4</v>
      </c>
      <c r="B21899" t="s">
        <v>4111</v>
      </c>
      <c r="C21899" s="1" t="s">
        <v>23490</v>
      </c>
      <c r="D21899" s="1" t="str">
        <f>HYPERLINK("https://rhld.insurance.arkansas.gov/NPILookup?Npi=1841627650","1841627650")</f>
        <v>1841627650</v>
      </c>
      <c r="E21899" t="s">
        <v>22317</v>
      </c>
    </row>
    <row r="21900" spans="1:5" x14ac:dyDescent="0.25">
      <c r="A21900" t="s">
        <v>4</v>
      </c>
      <c r="B21900" t="s">
        <v>4111</v>
      </c>
      <c r="C21900" s="1" t="s">
        <v>23490</v>
      </c>
      <c r="D21900" s="1" t="str">
        <f>HYPERLINK("https://rhld.insurance.arkansas.gov/NPILookup?Npi=1841628484","1841628484")</f>
        <v>1841628484</v>
      </c>
      <c r="E21900" t="s">
        <v>11865</v>
      </c>
    </row>
    <row r="21901" spans="1:5" x14ac:dyDescent="0.25">
      <c r="A21901" t="s">
        <v>4</v>
      </c>
      <c r="B21901" t="s">
        <v>4111</v>
      </c>
      <c r="C21901" s="1" t="s">
        <v>23490</v>
      </c>
      <c r="D21901" s="1" t="str">
        <f>HYPERLINK("https://rhld.insurance.arkansas.gov/NPILookup?Npi=1841629581","1841629581")</f>
        <v>1841629581</v>
      </c>
      <c r="E21901" t="s">
        <v>16249</v>
      </c>
    </row>
    <row r="21902" spans="1:5" x14ac:dyDescent="0.25">
      <c r="A21902" t="s">
        <v>4</v>
      </c>
      <c r="B21902" t="s">
        <v>4111</v>
      </c>
      <c r="C21902" s="1" t="s">
        <v>23490</v>
      </c>
      <c r="D21902" s="1" t="str">
        <f>HYPERLINK("https://rhld.insurance.arkansas.gov/NPILookup?Npi=1841633674","1841633674")</f>
        <v>1841633674</v>
      </c>
      <c r="E21902" t="s">
        <v>20610</v>
      </c>
    </row>
    <row r="21903" spans="1:5" x14ac:dyDescent="0.25">
      <c r="A21903" t="s">
        <v>4</v>
      </c>
      <c r="B21903" t="s">
        <v>4111</v>
      </c>
      <c r="C21903" s="1" t="s">
        <v>23490</v>
      </c>
      <c r="D21903" s="1" t="str">
        <f>HYPERLINK("https://rhld.insurance.arkansas.gov/NPILookup?Npi=1841641073","1841641073")</f>
        <v>1841641073</v>
      </c>
      <c r="E21903" t="s">
        <v>22318</v>
      </c>
    </row>
    <row r="21904" spans="1:5" x14ac:dyDescent="0.25">
      <c r="A21904" t="s">
        <v>4</v>
      </c>
      <c r="B21904" t="s">
        <v>4111</v>
      </c>
      <c r="C21904" s="1" t="s">
        <v>23490</v>
      </c>
      <c r="D21904" s="1" t="str">
        <f>HYPERLINK("https://rhld.insurance.arkansas.gov/NPILookup?Npi=1841658564","1841658564")</f>
        <v>1841658564</v>
      </c>
      <c r="E21904" t="s">
        <v>20611</v>
      </c>
    </row>
    <row r="21905" spans="1:5" x14ac:dyDescent="0.25">
      <c r="A21905" t="s">
        <v>4</v>
      </c>
      <c r="B21905" t="s">
        <v>4111</v>
      </c>
      <c r="C21905" s="1" t="s">
        <v>23490</v>
      </c>
      <c r="D21905" s="1" t="str">
        <f>HYPERLINK("https://rhld.insurance.arkansas.gov/NPILookup?Npi=1841682184","1841682184")</f>
        <v>1841682184</v>
      </c>
      <c r="E21905" t="s">
        <v>20612</v>
      </c>
    </row>
    <row r="21906" spans="1:5" x14ac:dyDescent="0.25">
      <c r="A21906" t="s">
        <v>4</v>
      </c>
      <c r="B21906" t="s">
        <v>4111</v>
      </c>
      <c r="C21906" s="1" t="s">
        <v>23490</v>
      </c>
      <c r="D21906" s="1" t="str">
        <f>HYPERLINK("https://rhld.insurance.arkansas.gov/NPILookup?Npi=1841698370","1841698370")</f>
        <v>1841698370</v>
      </c>
      <c r="E21906" t="s">
        <v>18146</v>
      </c>
    </row>
    <row r="21907" spans="1:5" x14ac:dyDescent="0.25">
      <c r="A21907" t="s">
        <v>4</v>
      </c>
      <c r="B21907" t="s">
        <v>4111</v>
      </c>
      <c r="C21907" s="1" t="s">
        <v>23490</v>
      </c>
      <c r="D21907" s="1" t="str">
        <f>HYPERLINK("https://rhld.insurance.arkansas.gov/NPILookup?Npi=1841734753","1841734753")</f>
        <v>1841734753</v>
      </c>
      <c r="E21907" t="s">
        <v>3984</v>
      </c>
    </row>
    <row r="21908" spans="1:5" x14ac:dyDescent="0.25">
      <c r="A21908" t="s">
        <v>4</v>
      </c>
      <c r="B21908" t="s">
        <v>4111</v>
      </c>
      <c r="C21908" s="1" t="s">
        <v>23490</v>
      </c>
      <c r="D21908" s="1" t="str">
        <f>HYPERLINK("https://rhld.insurance.arkansas.gov/NPILookup?Npi=1841738663","1841738663")</f>
        <v>1841738663</v>
      </c>
      <c r="E21908" t="s">
        <v>19029</v>
      </c>
    </row>
    <row r="21909" spans="1:5" x14ac:dyDescent="0.25">
      <c r="A21909" t="s">
        <v>4</v>
      </c>
      <c r="B21909" t="s">
        <v>4111</v>
      </c>
      <c r="C21909" s="1" t="s">
        <v>23490</v>
      </c>
      <c r="D21909" s="1" t="str">
        <f>HYPERLINK("https://rhld.insurance.arkansas.gov/NPILookup?Npi=1841740115","1841740115")</f>
        <v>1841740115</v>
      </c>
      <c r="E21909" t="s">
        <v>17820</v>
      </c>
    </row>
    <row r="21910" spans="1:5" x14ac:dyDescent="0.25">
      <c r="A21910" t="s">
        <v>4</v>
      </c>
      <c r="B21910" t="s">
        <v>4111</v>
      </c>
      <c r="C21910" s="1" t="s">
        <v>23490</v>
      </c>
      <c r="D21910" s="1" t="str">
        <f>HYPERLINK("https://rhld.insurance.arkansas.gov/NPILookup?Npi=1841762846","1841762846")</f>
        <v>1841762846</v>
      </c>
      <c r="E21910" t="s">
        <v>18442</v>
      </c>
    </row>
    <row r="21911" spans="1:5" x14ac:dyDescent="0.25">
      <c r="A21911" t="s">
        <v>4</v>
      </c>
      <c r="B21911" t="s">
        <v>4111</v>
      </c>
      <c r="C21911" s="1" t="s">
        <v>23490</v>
      </c>
      <c r="D21911" s="1" t="str">
        <f>HYPERLINK("https://rhld.insurance.arkansas.gov/NPILookup?Npi=1841777471","1841777471")</f>
        <v>1841777471</v>
      </c>
      <c r="E21911" t="s">
        <v>20613</v>
      </c>
    </row>
    <row r="21912" spans="1:5" x14ac:dyDescent="0.25">
      <c r="A21912" t="s">
        <v>4</v>
      </c>
      <c r="B21912" t="s">
        <v>4111</v>
      </c>
      <c r="C21912" s="1" t="s">
        <v>8427</v>
      </c>
      <c r="D21912" s="1" t="str">
        <f>HYPERLINK("https://rhld.insurance.arkansas.gov/NPILookup?Npi=1841778453","1841778453")</f>
        <v>1841778453</v>
      </c>
      <c r="E21912" t="s">
        <v>23198</v>
      </c>
    </row>
    <row r="21913" spans="1:5" x14ac:dyDescent="0.25">
      <c r="A21913" t="s">
        <v>4</v>
      </c>
      <c r="B21913" t="s">
        <v>4111</v>
      </c>
      <c r="C21913" s="1" t="s">
        <v>23490</v>
      </c>
      <c r="D21913" s="1" t="str">
        <f>HYPERLINK("https://rhld.insurance.arkansas.gov/NPILookup?Npi=1841802246","1841802246")</f>
        <v>1841802246</v>
      </c>
      <c r="E21913" t="s">
        <v>21170</v>
      </c>
    </row>
    <row r="21914" spans="1:5" x14ac:dyDescent="0.25">
      <c r="A21914" t="s">
        <v>4</v>
      </c>
      <c r="B21914" t="s">
        <v>4111</v>
      </c>
      <c r="C21914" s="1" t="s">
        <v>23490</v>
      </c>
      <c r="D21914" s="1" t="str">
        <f>HYPERLINK("https://rhld.insurance.arkansas.gov/NPILookup?Npi=1841829405","1841829405")</f>
        <v>1841829405</v>
      </c>
      <c r="E21914" t="s">
        <v>18443</v>
      </c>
    </row>
    <row r="21915" spans="1:5" x14ac:dyDescent="0.25">
      <c r="A21915" t="s">
        <v>4</v>
      </c>
      <c r="B21915" t="s">
        <v>4111</v>
      </c>
      <c r="C21915" s="1" t="s">
        <v>23490</v>
      </c>
      <c r="D21915" s="1" t="str">
        <f>HYPERLINK("https://rhld.insurance.arkansas.gov/NPILookup?Npi=1841832318","1841832318")</f>
        <v>1841832318</v>
      </c>
      <c r="E21915" t="s">
        <v>22319</v>
      </c>
    </row>
    <row r="21916" spans="1:5" x14ac:dyDescent="0.25">
      <c r="A21916" t="s">
        <v>4</v>
      </c>
      <c r="B21916" t="s">
        <v>4111</v>
      </c>
      <c r="C21916" s="1" t="s">
        <v>23490</v>
      </c>
      <c r="D21916" s="1" t="str">
        <f>HYPERLINK("https://rhld.insurance.arkansas.gov/NPILookup?Npi=1841832698","1841832698")</f>
        <v>1841832698</v>
      </c>
      <c r="E21916" t="s">
        <v>22320</v>
      </c>
    </row>
    <row r="21917" spans="1:5" x14ac:dyDescent="0.25">
      <c r="A21917" t="s">
        <v>4</v>
      </c>
      <c r="B21917" t="s">
        <v>4111</v>
      </c>
      <c r="C21917" s="1" t="s">
        <v>23490</v>
      </c>
      <c r="D21917" s="1" t="str">
        <f>HYPERLINK("https://rhld.insurance.arkansas.gov/NPILookup?Npi=1841844560","1841844560")</f>
        <v>1841844560</v>
      </c>
      <c r="E21917" t="s">
        <v>22321</v>
      </c>
    </row>
    <row r="21918" spans="1:5" x14ac:dyDescent="0.25">
      <c r="A21918" t="s">
        <v>4</v>
      </c>
      <c r="B21918" t="s">
        <v>4111</v>
      </c>
      <c r="C21918" s="1" t="s">
        <v>23490</v>
      </c>
      <c r="D21918" s="1" t="str">
        <f>HYPERLINK("https://rhld.insurance.arkansas.gov/NPILookup?Npi=1841850435","1841850435")</f>
        <v>1841850435</v>
      </c>
      <c r="E21918" t="s">
        <v>16250</v>
      </c>
    </row>
    <row r="21919" spans="1:5" x14ac:dyDescent="0.25">
      <c r="A21919" t="s">
        <v>4</v>
      </c>
      <c r="B21919" t="s">
        <v>4111</v>
      </c>
      <c r="C21919" s="1" t="s">
        <v>23490</v>
      </c>
      <c r="D21919" s="1" t="str">
        <f>HYPERLINK("https://rhld.insurance.arkansas.gov/NPILookup?Npi=1841852233","1841852233")</f>
        <v>1841852233</v>
      </c>
      <c r="E21919" t="s">
        <v>17243</v>
      </c>
    </row>
    <row r="21920" spans="1:5" x14ac:dyDescent="0.25">
      <c r="A21920" t="s">
        <v>4</v>
      </c>
      <c r="B21920" t="s">
        <v>4111</v>
      </c>
      <c r="C21920" s="1" t="s">
        <v>23490</v>
      </c>
      <c r="D21920" s="1" t="str">
        <f>HYPERLINK("https://rhld.insurance.arkansas.gov/NPILookup?Npi=1841853736","1841853736")</f>
        <v>1841853736</v>
      </c>
      <c r="E21920" t="s">
        <v>22322</v>
      </c>
    </row>
    <row r="21921" spans="1:5" x14ac:dyDescent="0.25">
      <c r="A21921" t="s">
        <v>4</v>
      </c>
      <c r="B21921" t="s">
        <v>4111</v>
      </c>
      <c r="C21921" s="1" t="s">
        <v>23490</v>
      </c>
      <c r="D21921" s="1" t="str">
        <f>HYPERLINK("https://rhld.insurance.arkansas.gov/NPILookup?Npi=1841866308","1841866308")</f>
        <v>1841866308</v>
      </c>
      <c r="E21921" t="s">
        <v>22323</v>
      </c>
    </row>
    <row r="21922" spans="1:5" x14ac:dyDescent="0.25">
      <c r="A21922" t="s">
        <v>4</v>
      </c>
      <c r="B21922" t="s">
        <v>4111</v>
      </c>
      <c r="C21922" s="1" t="s">
        <v>23490</v>
      </c>
      <c r="D21922" s="1" t="str">
        <f>HYPERLINK("https://rhld.insurance.arkansas.gov/NPILookup?Npi=1841911831","1841911831")</f>
        <v>1841911831</v>
      </c>
      <c r="E21922" t="s">
        <v>22324</v>
      </c>
    </row>
    <row r="21923" spans="1:5" x14ac:dyDescent="0.25">
      <c r="A21923" t="s">
        <v>4</v>
      </c>
      <c r="B21923" t="s">
        <v>4111</v>
      </c>
      <c r="C21923" s="1" t="s">
        <v>8427</v>
      </c>
      <c r="D21923" s="1" t="str">
        <f>HYPERLINK("https://rhld.insurance.arkansas.gov/NPILookup?Npi=1841941770","1841941770")</f>
        <v>1841941770</v>
      </c>
      <c r="E21923" t="s">
        <v>23199</v>
      </c>
    </row>
    <row r="21924" spans="1:5" x14ac:dyDescent="0.25">
      <c r="A21924" t="s">
        <v>4</v>
      </c>
      <c r="B21924" t="s">
        <v>4111</v>
      </c>
      <c r="C21924" s="1" t="s">
        <v>8427</v>
      </c>
      <c r="D21924" s="1" t="str">
        <f>HYPERLINK("https://rhld.insurance.arkansas.gov/NPILookup?Npi=1851001507","1851001507")</f>
        <v>1851001507</v>
      </c>
      <c r="E21924" t="s">
        <v>23200</v>
      </c>
    </row>
    <row r="21925" spans="1:5" x14ac:dyDescent="0.25">
      <c r="A21925" t="s">
        <v>4</v>
      </c>
      <c r="B21925" t="s">
        <v>4111</v>
      </c>
      <c r="C21925" s="1" t="s">
        <v>23490</v>
      </c>
      <c r="D21925" s="1" t="str">
        <f>HYPERLINK("https://rhld.insurance.arkansas.gov/NPILookup?Npi=1851304810","1851304810")</f>
        <v>1851304810</v>
      </c>
      <c r="E21925" t="s">
        <v>5798</v>
      </c>
    </row>
    <row r="21926" spans="1:5" x14ac:dyDescent="0.25">
      <c r="A21926" t="s">
        <v>4</v>
      </c>
      <c r="B21926" t="s">
        <v>4111</v>
      </c>
      <c r="C21926" s="1" t="s">
        <v>23490</v>
      </c>
      <c r="D21926" s="1" t="str">
        <f>HYPERLINK("https://rhld.insurance.arkansas.gov/NPILookup?Npi=1851305445","1851305445")</f>
        <v>1851305445</v>
      </c>
      <c r="E21926" t="s">
        <v>13216</v>
      </c>
    </row>
    <row r="21927" spans="1:5" x14ac:dyDescent="0.25">
      <c r="A21927" t="s">
        <v>4</v>
      </c>
      <c r="B21927" t="s">
        <v>4111</v>
      </c>
      <c r="C21927" s="1" t="s">
        <v>23490</v>
      </c>
      <c r="D21927" s="1" t="str">
        <f>HYPERLINK("https://rhld.insurance.arkansas.gov/NPILookup?Npi=1851322739","1851322739")</f>
        <v>1851322739</v>
      </c>
      <c r="E21927" t="s">
        <v>5799</v>
      </c>
    </row>
    <row r="21928" spans="1:5" x14ac:dyDescent="0.25">
      <c r="A21928" t="s">
        <v>4</v>
      </c>
      <c r="B21928" t="s">
        <v>4111</v>
      </c>
      <c r="C21928" s="1" t="s">
        <v>23490</v>
      </c>
      <c r="D21928" s="1" t="str">
        <f>HYPERLINK("https://rhld.insurance.arkansas.gov/NPILookup?Npi=1851323539","1851323539")</f>
        <v>1851323539</v>
      </c>
      <c r="E21928" t="s">
        <v>5800</v>
      </c>
    </row>
    <row r="21929" spans="1:5" x14ac:dyDescent="0.25">
      <c r="A21929" t="s">
        <v>4</v>
      </c>
      <c r="B21929" t="s">
        <v>4111</v>
      </c>
      <c r="C21929" s="1" t="s">
        <v>23490</v>
      </c>
      <c r="D21929" s="1" t="str">
        <f>HYPERLINK("https://rhld.insurance.arkansas.gov/NPILookup?Npi=1851341010","1851341010")</f>
        <v>1851341010</v>
      </c>
      <c r="E21929" t="s">
        <v>5801</v>
      </c>
    </row>
    <row r="21930" spans="1:5" x14ac:dyDescent="0.25">
      <c r="A21930" t="s">
        <v>4</v>
      </c>
      <c r="B21930" t="s">
        <v>4111</v>
      </c>
      <c r="C21930" s="1" t="s">
        <v>23490</v>
      </c>
      <c r="D21930" s="1" t="str">
        <f>HYPERLINK("https://rhld.insurance.arkansas.gov/NPILookup?Npi=1851343867","1851343867")</f>
        <v>1851343867</v>
      </c>
      <c r="E21930" t="s">
        <v>11866</v>
      </c>
    </row>
    <row r="21931" spans="1:5" x14ac:dyDescent="0.25">
      <c r="A21931" t="s">
        <v>4</v>
      </c>
      <c r="B21931" t="s">
        <v>4111</v>
      </c>
      <c r="C21931" s="1" t="s">
        <v>23490</v>
      </c>
      <c r="D21931" s="1" t="str">
        <f>HYPERLINK("https://rhld.insurance.arkansas.gov/NPILookup?Npi=1851354930","1851354930")</f>
        <v>1851354930</v>
      </c>
      <c r="E21931" t="s">
        <v>5802</v>
      </c>
    </row>
    <row r="21932" spans="1:5" x14ac:dyDescent="0.25">
      <c r="A21932" t="s">
        <v>4</v>
      </c>
      <c r="B21932" t="s">
        <v>4111</v>
      </c>
      <c r="C21932" s="1" t="s">
        <v>23490</v>
      </c>
      <c r="D21932" s="1" t="str">
        <f>HYPERLINK("https://rhld.insurance.arkansas.gov/NPILookup?Npi=1851358618","1851358618")</f>
        <v>1851358618</v>
      </c>
      <c r="E21932" t="s">
        <v>5803</v>
      </c>
    </row>
    <row r="21933" spans="1:5" x14ac:dyDescent="0.25">
      <c r="A21933" t="s">
        <v>4</v>
      </c>
      <c r="B21933" t="s">
        <v>4111</v>
      </c>
      <c r="C21933" s="1" t="s">
        <v>23490</v>
      </c>
      <c r="D21933" s="1" t="str">
        <f>HYPERLINK("https://rhld.insurance.arkansas.gov/NPILookup?Npi=1851379218","1851379218")</f>
        <v>1851379218</v>
      </c>
      <c r="E21933" t="s">
        <v>5804</v>
      </c>
    </row>
    <row r="21934" spans="1:5" x14ac:dyDescent="0.25">
      <c r="A21934" t="s">
        <v>4</v>
      </c>
      <c r="B21934" t="s">
        <v>4111</v>
      </c>
      <c r="C21934" s="1" t="s">
        <v>23490</v>
      </c>
      <c r="D21934" s="1" t="str">
        <f>HYPERLINK("https://rhld.insurance.arkansas.gov/NPILookup?Npi=1851381339","1851381339")</f>
        <v>1851381339</v>
      </c>
      <c r="E21934" t="s">
        <v>9203</v>
      </c>
    </row>
    <row r="21935" spans="1:5" x14ac:dyDescent="0.25">
      <c r="A21935" t="s">
        <v>4</v>
      </c>
      <c r="B21935" t="s">
        <v>4111</v>
      </c>
      <c r="C21935" s="1" t="s">
        <v>23490</v>
      </c>
      <c r="D21935" s="1" t="str">
        <f>HYPERLINK("https://rhld.insurance.arkansas.gov/NPILookup?Npi=1851402200","1851402200")</f>
        <v>1851402200</v>
      </c>
      <c r="E21935" t="s">
        <v>5805</v>
      </c>
    </row>
    <row r="21936" spans="1:5" x14ac:dyDescent="0.25">
      <c r="A21936" t="s">
        <v>4</v>
      </c>
      <c r="B21936" t="s">
        <v>4111</v>
      </c>
      <c r="C21936" s="1" t="s">
        <v>23490</v>
      </c>
      <c r="D21936" s="1" t="str">
        <f>HYPERLINK("https://rhld.insurance.arkansas.gov/NPILookup?Npi=1851419873","1851419873")</f>
        <v>1851419873</v>
      </c>
      <c r="E21936" t="s">
        <v>7424</v>
      </c>
    </row>
    <row r="21937" spans="1:5" x14ac:dyDescent="0.25">
      <c r="A21937" t="s">
        <v>4</v>
      </c>
      <c r="B21937" t="s">
        <v>4111</v>
      </c>
      <c r="C21937" s="1" t="s">
        <v>23490</v>
      </c>
      <c r="D21937" s="1" t="str">
        <f>HYPERLINK("https://rhld.insurance.arkansas.gov/NPILookup?Npi=1851420764","1851420764")</f>
        <v>1851420764</v>
      </c>
      <c r="E21937" t="s">
        <v>11867</v>
      </c>
    </row>
    <row r="21938" spans="1:5" x14ac:dyDescent="0.25">
      <c r="A21938" t="s">
        <v>4</v>
      </c>
      <c r="B21938" t="s">
        <v>4111</v>
      </c>
      <c r="C21938" s="1" t="s">
        <v>23490</v>
      </c>
      <c r="D21938" s="1" t="str">
        <f>HYPERLINK("https://rhld.insurance.arkansas.gov/NPILookup?Npi=1851428742","1851428742")</f>
        <v>1851428742</v>
      </c>
      <c r="E21938" t="s">
        <v>21171</v>
      </c>
    </row>
    <row r="21939" spans="1:5" x14ac:dyDescent="0.25">
      <c r="A21939" t="s">
        <v>4</v>
      </c>
      <c r="B21939" t="s">
        <v>4111</v>
      </c>
      <c r="C21939" s="1" t="s">
        <v>23490</v>
      </c>
      <c r="D21939" s="1" t="str">
        <f>HYPERLINK("https://rhld.insurance.arkansas.gov/NPILookup?Npi=1851433700","1851433700")</f>
        <v>1851433700</v>
      </c>
      <c r="E21939" t="s">
        <v>5806</v>
      </c>
    </row>
    <row r="21940" spans="1:5" x14ac:dyDescent="0.25">
      <c r="A21940" t="s">
        <v>4</v>
      </c>
      <c r="B21940" t="s">
        <v>4111</v>
      </c>
      <c r="C21940" s="1" t="s">
        <v>23490</v>
      </c>
      <c r="D21940" s="1" t="str">
        <f>HYPERLINK("https://rhld.insurance.arkansas.gov/NPILookup?Npi=1851435069","1851435069")</f>
        <v>1851435069</v>
      </c>
      <c r="E21940" t="s">
        <v>13217</v>
      </c>
    </row>
    <row r="21941" spans="1:5" x14ac:dyDescent="0.25">
      <c r="A21941" t="s">
        <v>4</v>
      </c>
      <c r="B21941" t="s">
        <v>4111</v>
      </c>
      <c r="C21941" s="1" t="s">
        <v>23490</v>
      </c>
      <c r="D21941" s="1" t="str">
        <f>HYPERLINK("https://rhld.insurance.arkansas.gov/NPILookup?Npi=1851442768","1851442768")</f>
        <v>1851442768</v>
      </c>
      <c r="E21941" t="s">
        <v>22325</v>
      </c>
    </row>
    <row r="21942" spans="1:5" x14ac:dyDescent="0.25">
      <c r="A21942" t="s">
        <v>4</v>
      </c>
      <c r="B21942" t="s">
        <v>4111</v>
      </c>
      <c r="C21942" s="1" t="s">
        <v>23490</v>
      </c>
      <c r="D21942" s="1" t="str">
        <f>HYPERLINK("https://rhld.insurance.arkansas.gov/NPILookup?Npi=1851453781","1851453781")</f>
        <v>1851453781</v>
      </c>
      <c r="E21942" t="s">
        <v>5807</v>
      </c>
    </row>
    <row r="21943" spans="1:5" x14ac:dyDescent="0.25">
      <c r="A21943" t="s">
        <v>4</v>
      </c>
      <c r="B21943" t="s">
        <v>4111</v>
      </c>
      <c r="C21943" s="1" t="s">
        <v>23490</v>
      </c>
      <c r="D21943" s="1" t="str">
        <f>HYPERLINK("https://rhld.insurance.arkansas.gov/NPILookup?Npi=1851455505","1851455505")</f>
        <v>1851455505</v>
      </c>
      <c r="E21943" t="s">
        <v>14237</v>
      </c>
    </row>
    <row r="21944" spans="1:5" x14ac:dyDescent="0.25">
      <c r="A21944" t="s">
        <v>4</v>
      </c>
      <c r="B21944" t="s">
        <v>4111</v>
      </c>
      <c r="C21944" s="1" t="s">
        <v>23490</v>
      </c>
      <c r="D21944" s="1" t="str">
        <f>HYPERLINK("https://rhld.insurance.arkansas.gov/NPILookup?Npi=1851457188","1851457188")</f>
        <v>1851457188</v>
      </c>
      <c r="E21944" t="s">
        <v>22326</v>
      </c>
    </row>
    <row r="21945" spans="1:5" x14ac:dyDescent="0.25">
      <c r="A21945" t="s">
        <v>4</v>
      </c>
      <c r="B21945" t="s">
        <v>4111</v>
      </c>
      <c r="C21945" s="1" t="s">
        <v>23490</v>
      </c>
      <c r="D21945" s="1" t="str">
        <f>HYPERLINK("https://rhld.insurance.arkansas.gov/NPILookup?Npi=1851465009","1851465009")</f>
        <v>1851465009</v>
      </c>
      <c r="E21945" t="s">
        <v>5808</v>
      </c>
    </row>
    <row r="21946" spans="1:5" x14ac:dyDescent="0.25">
      <c r="A21946" t="s">
        <v>4</v>
      </c>
      <c r="B21946" t="s">
        <v>4111</v>
      </c>
      <c r="C21946" s="1" t="s">
        <v>23490</v>
      </c>
      <c r="D21946" s="1" t="str">
        <f>HYPERLINK("https://rhld.insurance.arkansas.gov/NPILookup?Npi=1851475701","1851475701")</f>
        <v>1851475701</v>
      </c>
      <c r="E21946" t="s">
        <v>5809</v>
      </c>
    </row>
    <row r="21947" spans="1:5" x14ac:dyDescent="0.25">
      <c r="A21947" t="s">
        <v>4</v>
      </c>
      <c r="B21947" t="s">
        <v>4111</v>
      </c>
      <c r="C21947" s="1" t="s">
        <v>23490</v>
      </c>
      <c r="D21947" s="1" t="str">
        <f>HYPERLINK("https://rhld.insurance.arkansas.gov/NPILookup?Npi=1851478689","1851478689")</f>
        <v>1851478689</v>
      </c>
      <c r="E21947" t="s">
        <v>5810</v>
      </c>
    </row>
    <row r="21948" spans="1:5" x14ac:dyDescent="0.25">
      <c r="A21948" t="s">
        <v>4</v>
      </c>
      <c r="B21948" t="s">
        <v>4111</v>
      </c>
      <c r="C21948" s="1" t="s">
        <v>23490</v>
      </c>
      <c r="D21948" s="1" t="str">
        <f>HYPERLINK("https://rhld.insurance.arkansas.gov/NPILookup?Npi=1851482921","1851482921")</f>
        <v>1851482921</v>
      </c>
      <c r="E21948" t="s">
        <v>13749</v>
      </c>
    </row>
    <row r="21949" spans="1:5" x14ac:dyDescent="0.25">
      <c r="A21949" t="s">
        <v>4</v>
      </c>
      <c r="B21949" t="s">
        <v>4111</v>
      </c>
      <c r="C21949" s="1" t="s">
        <v>23490</v>
      </c>
      <c r="D21949" s="1" t="str">
        <f>HYPERLINK("https://rhld.insurance.arkansas.gov/NPILookup?Npi=1851501803","1851501803")</f>
        <v>1851501803</v>
      </c>
      <c r="E21949" t="s">
        <v>5811</v>
      </c>
    </row>
    <row r="21950" spans="1:5" x14ac:dyDescent="0.25">
      <c r="A21950" t="s">
        <v>4</v>
      </c>
      <c r="B21950" t="s">
        <v>4111</v>
      </c>
      <c r="C21950" s="1" t="s">
        <v>23490</v>
      </c>
      <c r="D21950" s="1" t="str">
        <f>HYPERLINK("https://rhld.insurance.arkansas.gov/NPILookup?Npi=1851506570","1851506570")</f>
        <v>1851506570</v>
      </c>
      <c r="E21950" t="s">
        <v>5812</v>
      </c>
    </row>
    <row r="21951" spans="1:5" x14ac:dyDescent="0.25">
      <c r="A21951" t="s">
        <v>4</v>
      </c>
      <c r="B21951" t="s">
        <v>4111</v>
      </c>
      <c r="C21951" s="1" t="s">
        <v>23490</v>
      </c>
      <c r="D21951" s="1" t="str">
        <f>HYPERLINK("https://rhld.insurance.arkansas.gov/NPILookup?Npi=1851528707","1851528707")</f>
        <v>1851528707</v>
      </c>
      <c r="E21951" t="s">
        <v>11868</v>
      </c>
    </row>
    <row r="21952" spans="1:5" x14ac:dyDescent="0.25">
      <c r="A21952" t="s">
        <v>4</v>
      </c>
      <c r="B21952" t="s">
        <v>4111</v>
      </c>
      <c r="C21952" s="1" t="s">
        <v>23490</v>
      </c>
      <c r="D21952" s="1" t="str">
        <f>HYPERLINK("https://rhld.insurance.arkansas.gov/NPILookup?Npi=1851580013","1851580013")</f>
        <v>1851580013</v>
      </c>
      <c r="E21952" t="s">
        <v>5813</v>
      </c>
    </row>
    <row r="21953" spans="1:5" x14ac:dyDescent="0.25">
      <c r="A21953" t="s">
        <v>4</v>
      </c>
      <c r="B21953" t="s">
        <v>4111</v>
      </c>
      <c r="C21953" s="1" t="s">
        <v>23490</v>
      </c>
      <c r="D21953" s="1" t="str">
        <f>HYPERLINK("https://rhld.insurance.arkansas.gov/NPILookup?Npi=1851580369","1851580369")</f>
        <v>1851580369</v>
      </c>
      <c r="E21953" t="s">
        <v>11869</v>
      </c>
    </row>
    <row r="21954" spans="1:5" x14ac:dyDescent="0.25">
      <c r="A21954" t="s">
        <v>4</v>
      </c>
      <c r="B21954" t="s">
        <v>4111</v>
      </c>
      <c r="C21954" s="1" t="s">
        <v>23490</v>
      </c>
      <c r="D21954" s="1" t="str">
        <f>HYPERLINK("https://rhld.insurance.arkansas.gov/NPILookup?Npi=1851583447","1851583447")</f>
        <v>1851583447</v>
      </c>
      <c r="E21954" t="s">
        <v>5814</v>
      </c>
    </row>
    <row r="21955" spans="1:5" x14ac:dyDescent="0.25">
      <c r="A21955" t="s">
        <v>4</v>
      </c>
      <c r="B21955" t="s">
        <v>4111</v>
      </c>
      <c r="C21955" s="1" t="s">
        <v>23490</v>
      </c>
      <c r="D21955" s="1" t="str">
        <f>HYPERLINK("https://rhld.insurance.arkansas.gov/NPILookup?Npi=1851586838","1851586838")</f>
        <v>1851586838</v>
      </c>
      <c r="E21955" t="s">
        <v>16251</v>
      </c>
    </row>
    <row r="21956" spans="1:5" x14ac:dyDescent="0.25">
      <c r="A21956" t="s">
        <v>4</v>
      </c>
      <c r="B21956" t="s">
        <v>4111</v>
      </c>
      <c r="C21956" s="1" t="s">
        <v>23490</v>
      </c>
      <c r="D21956" s="1" t="str">
        <f>HYPERLINK("https://rhld.insurance.arkansas.gov/NPILookup?Npi=1851616239","1851616239")</f>
        <v>1851616239</v>
      </c>
      <c r="E21956" t="s">
        <v>5815</v>
      </c>
    </row>
    <row r="21957" spans="1:5" x14ac:dyDescent="0.25">
      <c r="A21957" t="s">
        <v>4</v>
      </c>
      <c r="B21957" t="s">
        <v>4111</v>
      </c>
      <c r="C21957" s="1" t="s">
        <v>23490</v>
      </c>
      <c r="D21957" s="1" t="str">
        <f>HYPERLINK("https://rhld.insurance.arkansas.gov/NPILookup?Npi=1851628481","1851628481")</f>
        <v>1851628481</v>
      </c>
      <c r="E21957" t="s">
        <v>5816</v>
      </c>
    </row>
    <row r="21958" spans="1:5" x14ac:dyDescent="0.25">
      <c r="A21958" t="s">
        <v>4</v>
      </c>
      <c r="B21958" t="s">
        <v>4111</v>
      </c>
      <c r="C21958" s="1" t="s">
        <v>23490</v>
      </c>
      <c r="D21958" s="1" t="str">
        <f>HYPERLINK("https://rhld.insurance.arkansas.gov/NPILookup?Npi=1851641161","1851641161")</f>
        <v>1851641161</v>
      </c>
      <c r="E21958" t="s">
        <v>20614</v>
      </c>
    </row>
    <row r="21959" spans="1:5" x14ac:dyDescent="0.25">
      <c r="A21959" t="s">
        <v>4</v>
      </c>
      <c r="B21959" t="s">
        <v>4111</v>
      </c>
      <c r="C21959" s="1" t="s">
        <v>23490</v>
      </c>
      <c r="D21959" s="1" t="str">
        <f>HYPERLINK("https://rhld.insurance.arkansas.gov/NPILookup?Npi=1851641237","1851641237")</f>
        <v>1851641237</v>
      </c>
      <c r="E21959" t="s">
        <v>5817</v>
      </c>
    </row>
    <row r="21960" spans="1:5" x14ac:dyDescent="0.25">
      <c r="A21960" t="s">
        <v>4</v>
      </c>
      <c r="B21960" t="s">
        <v>4111</v>
      </c>
      <c r="C21960" s="1" t="s">
        <v>23490</v>
      </c>
      <c r="D21960" s="1" t="str">
        <f>HYPERLINK("https://rhld.insurance.arkansas.gov/NPILookup?Npi=1851648976","1851648976")</f>
        <v>1851648976</v>
      </c>
      <c r="E21960" t="s">
        <v>5818</v>
      </c>
    </row>
    <row r="21961" spans="1:5" x14ac:dyDescent="0.25">
      <c r="A21961" t="s">
        <v>4</v>
      </c>
      <c r="B21961" t="s">
        <v>4111</v>
      </c>
      <c r="C21961" s="1" t="s">
        <v>23490</v>
      </c>
      <c r="D21961" s="1" t="str">
        <f>HYPERLINK("https://rhld.insurance.arkansas.gov/NPILookup?Npi=1851656094","1851656094")</f>
        <v>1851656094</v>
      </c>
      <c r="E21961" t="s">
        <v>22327</v>
      </c>
    </row>
    <row r="21962" spans="1:5" x14ac:dyDescent="0.25">
      <c r="A21962" t="s">
        <v>4</v>
      </c>
      <c r="B21962" t="s">
        <v>4111</v>
      </c>
      <c r="C21962" s="1" t="s">
        <v>23490</v>
      </c>
      <c r="D21962" s="1" t="str">
        <f>HYPERLINK("https://rhld.insurance.arkansas.gov/NPILookup?Npi=1851659882","1851659882")</f>
        <v>1851659882</v>
      </c>
      <c r="E21962" t="s">
        <v>5819</v>
      </c>
    </row>
    <row r="21963" spans="1:5" x14ac:dyDescent="0.25">
      <c r="A21963" t="s">
        <v>4</v>
      </c>
      <c r="B21963" t="s">
        <v>4111</v>
      </c>
      <c r="C21963" s="1" t="s">
        <v>23490</v>
      </c>
      <c r="D21963" s="1" t="str">
        <f>HYPERLINK("https://rhld.insurance.arkansas.gov/NPILookup?Npi=1851667349","1851667349")</f>
        <v>1851667349</v>
      </c>
      <c r="E21963" t="s">
        <v>5820</v>
      </c>
    </row>
    <row r="21964" spans="1:5" x14ac:dyDescent="0.25">
      <c r="A21964" t="s">
        <v>4</v>
      </c>
      <c r="B21964" t="s">
        <v>4111</v>
      </c>
      <c r="C21964" s="1" t="s">
        <v>23490</v>
      </c>
      <c r="D21964" s="1" t="str">
        <f>HYPERLINK("https://rhld.insurance.arkansas.gov/NPILookup?Npi=1851669568","1851669568")</f>
        <v>1851669568</v>
      </c>
      <c r="E21964" t="s">
        <v>13218</v>
      </c>
    </row>
    <row r="21965" spans="1:5" x14ac:dyDescent="0.25">
      <c r="A21965" t="s">
        <v>4</v>
      </c>
      <c r="B21965" t="s">
        <v>4111</v>
      </c>
      <c r="C21965" s="1" t="s">
        <v>23490</v>
      </c>
      <c r="D21965" s="1" t="str">
        <f>HYPERLINK("https://rhld.insurance.arkansas.gov/NPILookup?Npi=1851675037","1851675037")</f>
        <v>1851675037</v>
      </c>
      <c r="E21965" t="s">
        <v>14238</v>
      </c>
    </row>
    <row r="21966" spans="1:5" x14ac:dyDescent="0.25">
      <c r="A21966" t="s">
        <v>4</v>
      </c>
      <c r="B21966" t="s">
        <v>4111</v>
      </c>
      <c r="C21966" s="1" t="s">
        <v>23490</v>
      </c>
      <c r="D21966" s="1" t="str">
        <f>HYPERLINK("https://rhld.insurance.arkansas.gov/NPILookup?Npi=1851679963","1851679963")</f>
        <v>1851679963</v>
      </c>
      <c r="E21966" t="s">
        <v>14239</v>
      </c>
    </row>
    <row r="21967" spans="1:5" x14ac:dyDescent="0.25">
      <c r="A21967" t="s">
        <v>4</v>
      </c>
      <c r="B21967" t="s">
        <v>4111</v>
      </c>
      <c r="C21967" s="1" t="s">
        <v>23490</v>
      </c>
      <c r="D21967" s="1" t="str">
        <f>HYPERLINK("https://rhld.insurance.arkansas.gov/NPILookup?Npi=1851682116","1851682116")</f>
        <v>1851682116</v>
      </c>
      <c r="E21967" t="s">
        <v>9169</v>
      </c>
    </row>
    <row r="21968" spans="1:5" x14ac:dyDescent="0.25">
      <c r="A21968" t="s">
        <v>4</v>
      </c>
      <c r="B21968" t="s">
        <v>4111</v>
      </c>
      <c r="C21968" s="1" t="s">
        <v>23490</v>
      </c>
      <c r="D21968" s="1" t="str">
        <f>HYPERLINK("https://rhld.insurance.arkansas.gov/NPILookup?Npi=1851685945","1851685945")</f>
        <v>1851685945</v>
      </c>
      <c r="E21968" t="s">
        <v>13219</v>
      </c>
    </row>
    <row r="21969" spans="1:5" x14ac:dyDescent="0.25">
      <c r="A21969" t="s">
        <v>4</v>
      </c>
      <c r="B21969" t="s">
        <v>4111</v>
      </c>
      <c r="C21969" s="1" t="s">
        <v>23490</v>
      </c>
      <c r="D21969" s="1" t="str">
        <f>HYPERLINK("https://rhld.insurance.arkansas.gov/NPILookup?Npi=1851697528","1851697528")</f>
        <v>1851697528</v>
      </c>
      <c r="E21969" t="s">
        <v>5821</v>
      </c>
    </row>
    <row r="21970" spans="1:5" x14ac:dyDescent="0.25">
      <c r="A21970" t="s">
        <v>4</v>
      </c>
      <c r="B21970" t="s">
        <v>4111</v>
      </c>
      <c r="C21970" s="1" t="s">
        <v>23490</v>
      </c>
      <c r="D21970" s="1" t="str">
        <f>HYPERLINK("https://rhld.insurance.arkansas.gov/NPILookup?Npi=1851699524","1851699524")</f>
        <v>1851699524</v>
      </c>
      <c r="E21970" t="s">
        <v>11870</v>
      </c>
    </row>
    <row r="21971" spans="1:5" x14ac:dyDescent="0.25">
      <c r="A21971" t="s">
        <v>4</v>
      </c>
      <c r="B21971" t="s">
        <v>4111</v>
      </c>
      <c r="C21971" s="1" t="s">
        <v>23490</v>
      </c>
      <c r="D21971" s="1" t="str">
        <f>HYPERLINK("https://rhld.insurance.arkansas.gov/NPILookup?Npi=1851700330","1851700330")</f>
        <v>1851700330</v>
      </c>
      <c r="E21971" t="s">
        <v>11871</v>
      </c>
    </row>
    <row r="21972" spans="1:5" x14ac:dyDescent="0.25">
      <c r="A21972" t="s">
        <v>4</v>
      </c>
      <c r="B21972" t="s">
        <v>4111</v>
      </c>
      <c r="C21972" s="1" t="s">
        <v>23490</v>
      </c>
      <c r="D21972" s="1" t="str">
        <f>HYPERLINK("https://rhld.insurance.arkansas.gov/NPILookup?Npi=1851723084","1851723084")</f>
        <v>1851723084</v>
      </c>
      <c r="E21972" t="s">
        <v>5822</v>
      </c>
    </row>
    <row r="21973" spans="1:5" x14ac:dyDescent="0.25">
      <c r="A21973" t="s">
        <v>4</v>
      </c>
      <c r="B21973" t="s">
        <v>4111</v>
      </c>
      <c r="C21973" s="1" t="s">
        <v>23490</v>
      </c>
      <c r="D21973" s="1" t="str">
        <f>HYPERLINK("https://rhld.insurance.arkansas.gov/NPILookup?Npi=1851728174","1851728174")</f>
        <v>1851728174</v>
      </c>
      <c r="E21973" t="s">
        <v>11872</v>
      </c>
    </row>
    <row r="21974" spans="1:5" x14ac:dyDescent="0.25">
      <c r="A21974" t="s">
        <v>4</v>
      </c>
      <c r="B21974" t="s">
        <v>4111</v>
      </c>
      <c r="C21974" s="1" t="s">
        <v>23490</v>
      </c>
      <c r="D21974" s="1" t="str">
        <f>HYPERLINK("https://rhld.insurance.arkansas.gov/NPILookup?Npi=1851737787","1851737787")</f>
        <v>1851737787</v>
      </c>
      <c r="E21974" t="s">
        <v>13752</v>
      </c>
    </row>
    <row r="21975" spans="1:5" x14ac:dyDescent="0.25">
      <c r="A21975" t="s">
        <v>4</v>
      </c>
      <c r="B21975" t="s">
        <v>4111</v>
      </c>
      <c r="C21975" s="1" t="s">
        <v>23490</v>
      </c>
      <c r="D21975" s="1" t="str">
        <f>HYPERLINK("https://rhld.insurance.arkansas.gov/NPILookup?Npi=1851738660","1851738660")</f>
        <v>1851738660</v>
      </c>
      <c r="E21975" t="s">
        <v>14240</v>
      </c>
    </row>
    <row r="21976" spans="1:5" x14ac:dyDescent="0.25">
      <c r="A21976" t="s">
        <v>4</v>
      </c>
      <c r="B21976" t="s">
        <v>4111</v>
      </c>
      <c r="C21976" s="1" t="s">
        <v>23490</v>
      </c>
      <c r="D21976" s="1" t="str">
        <f>HYPERLINK("https://rhld.insurance.arkansas.gov/NPILookup?Npi=1851742746","1851742746")</f>
        <v>1851742746</v>
      </c>
      <c r="E21976" t="s">
        <v>17658</v>
      </c>
    </row>
    <row r="21977" spans="1:5" x14ac:dyDescent="0.25">
      <c r="A21977" t="s">
        <v>4</v>
      </c>
      <c r="B21977" t="s">
        <v>4111</v>
      </c>
      <c r="C21977" s="1" t="s">
        <v>23490</v>
      </c>
      <c r="D21977" s="1" t="str">
        <f>HYPERLINK("https://rhld.insurance.arkansas.gov/NPILookup?Npi=1851754972","1851754972")</f>
        <v>1851754972</v>
      </c>
      <c r="E21977" t="s">
        <v>16252</v>
      </c>
    </row>
    <row r="21978" spans="1:5" x14ac:dyDescent="0.25">
      <c r="A21978" t="s">
        <v>4</v>
      </c>
      <c r="B21978" t="s">
        <v>4111</v>
      </c>
      <c r="C21978" s="1" t="s">
        <v>23490</v>
      </c>
      <c r="D21978" s="1" t="str">
        <f>HYPERLINK("https://rhld.insurance.arkansas.gov/NPILookup?Npi=1851769350","1851769350")</f>
        <v>1851769350</v>
      </c>
      <c r="E21978" t="s">
        <v>22328</v>
      </c>
    </row>
    <row r="21979" spans="1:5" x14ac:dyDescent="0.25">
      <c r="A21979" t="s">
        <v>4</v>
      </c>
      <c r="B21979" t="s">
        <v>4111</v>
      </c>
      <c r="C21979" s="1" t="s">
        <v>23490</v>
      </c>
      <c r="D21979" s="1" t="str">
        <f>HYPERLINK("https://rhld.insurance.arkansas.gov/NPILookup?Npi=1851770937","1851770937")</f>
        <v>1851770937</v>
      </c>
      <c r="E21979" t="s">
        <v>22329</v>
      </c>
    </row>
    <row r="21980" spans="1:5" x14ac:dyDescent="0.25">
      <c r="A21980" t="s">
        <v>4</v>
      </c>
      <c r="B21980" t="s">
        <v>4111</v>
      </c>
      <c r="C21980" s="1" t="s">
        <v>23490</v>
      </c>
      <c r="D21980" s="1" t="str">
        <f>HYPERLINK("https://rhld.insurance.arkansas.gov/NPILookup?Npi=1851779011","1851779011")</f>
        <v>1851779011</v>
      </c>
      <c r="E21980" t="s">
        <v>13220</v>
      </c>
    </row>
    <row r="21981" spans="1:5" x14ac:dyDescent="0.25">
      <c r="A21981" t="s">
        <v>4</v>
      </c>
      <c r="B21981" t="s">
        <v>4111</v>
      </c>
      <c r="C21981" s="1" t="s">
        <v>23490</v>
      </c>
      <c r="D21981" s="1" t="str">
        <f>HYPERLINK("https://rhld.insurance.arkansas.gov/NPILookup?Npi=1851779680","1851779680")</f>
        <v>1851779680</v>
      </c>
      <c r="E21981" t="s">
        <v>18444</v>
      </c>
    </row>
    <row r="21982" spans="1:5" x14ac:dyDescent="0.25">
      <c r="A21982" t="s">
        <v>4</v>
      </c>
      <c r="B21982" t="s">
        <v>4111</v>
      </c>
      <c r="C21982" s="1" t="s">
        <v>23490</v>
      </c>
      <c r="D21982" s="1" t="str">
        <f>HYPERLINK("https://rhld.insurance.arkansas.gov/NPILookup?Npi=1851782700","1851782700")</f>
        <v>1851782700</v>
      </c>
      <c r="E21982" t="s">
        <v>20615</v>
      </c>
    </row>
    <row r="21983" spans="1:5" x14ac:dyDescent="0.25">
      <c r="A21983" t="s">
        <v>4</v>
      </c>
      <c r="B21983" t="s">
        <v>4111</v>
      </c>
      <c r="C21983" s="1" t="s">
        <v>23490</v>
      </c>
      <c r="D21983" s="1" t="str">
        <f>HYPERLINK("https://rhld.insurance.arkansas.gov/NPILookup?Npi=1851794523","1851794523")</f>
        <v>1851794523</v>
      </c>
      <c r="E21983" t="s">
        <v>9170</v>
      </c>
    </row>
    <row r="21984" spans="1:5" x14ac:dyDescent="0.25">
      <c r="A21984" t="s">
        <v>4</v>
      </c>
      <c r="B21984" t="s">
        <v>4111</v>
      </c>
      <c r="C21984" s="1" t="s">
        <v>23490</v>
      </c>
      <c r="D21984" s="1" t="str">
        <f>HYPERLINK("https://rhld.insurance.arkansas.gov/NPILookup?Npi=1851848683","1851848683")</f>
        <v>1851848683</v>
      </c>
      <c r="E21984" t="s">
        <v>16253</v>
      </c>
    </row>
    <row r="21985" spans="1:5" x14ac:dyDescent="0.25">
      <c r="A21985" t="s">
        <v>4</v>
      </c>
      <c r="B21985" t="s">
        <v>4111</v>
      </c>
      <c r="C21985" s="1" t="s">
        <v>23490</v>
      </c>
      <c r="D21985" s="1" t="str">
        <f>HYPERLINK("https://rhld.insurance.arkansas.gov/NPILookup?Npi=1851871115","1851871115")</f>
        <v>1851871115</v>
      </c>
      <c r="E21985" t="s">
        <v>17659</v>
      </c>
    </row>
    <row r="21986" spans="1:5" x14ac:dyDescent="0.25">
      <c r="A21986" t="s">
        <v>4</v>
      </c>
      <c r="B21986" t="s">
        <v>4111</v>
      </c>
      <c r="C21986" s="1" t="s">
        <v>23490</v>
      </c>
      <c r="D21986" s="1" t="str">
        <f>HYPERLINK("https://rhld.insurance.arkansas.gov/NPILookup?Npi=1851875413","1851875413")</f>
        <v>1851875413</v>
      </c>
      <c r="E21986" t="s">
        <v>22330</v>
      </c>
    </row>
    <row r="21987" spans="1:5" x14ac:dyDescent="0.25">
      <c r="A21987" t="s">
        <v>4</v>
      </c>
      <c r="B21987" t="s">
        <v>4111</v>
      </c>
      <c r="C21987" s="1" t="s">
        <v>23490</v>
      </c>
      <c r="D21987" s="1" t="str">
        <f>HYPERLINK("https://rhld.insurance.arkansas.gov/NPILookup?Npi=1851897516","1851897516")</f>
        <v>1851897516</v>
      </c>
      <c r="E21987" t="s">
        <v>22331</v>
      </c>
    </row>
    <row r="21988" spans="1:5" x14ac:dyDescent="0.25">
      <c r="A21988" t="s">
        <v>4</v>
      </c>
      <c r="B21988" t="s">
        <v>4111</v>
      </c>
      <c r="C21988" s="1" t="s">
        <v>23490</v>
      </c>
      <c r="D21988" s="1" t="str">
        <f>HYPERLINK("https://rhld.insurance.arkansas.gov/NPILookup?Npi=1851913016","1851913016")</f>
        <v>1851913016</v>
      </c>
      <c r="E21988" t="s">
        <v>22332</v>
      </c>
    </row>
    <row r="21989" spans="1:5" x14ac:dyDescent="0.25">
      <c r="A21989" t="s">
        <v>4</v>
      </c>
      <c r="B21989" t="s">
        <v>4111</v>
      </c>
      <c r="C21989" s="1" t="s">
        <v>23490</v>
      </c>
      <c r="D21989" s="1" t="str">
        <f>HYPERLINK("https://rhld.insurance.arkansas.gov/NPILookup?Npi=1851923171","1851923171")</f>
        <v>1851923171</v>
      </c>
      <c r="E21989" t="s">
        <v>17660</v>
      </c>
    </row>
    <row r="21990" spans="1:5" x14ac:dyDescent="0.25">
      <c r="A21990" t="s">
        <v>4</v>
      </c>
      <c r="B21990" t="s">
        <v>4111</v>
      </c>
      <c r="C21990" s="1" t="s">
        <v>23490</v>
      </c>
      <c r="D21990" s="1" t="str">
        <f>HYPERLINK("https://rhld.insurance.arkansas.gov/NPILookup?Npi=1851937528","1851937528")</f>
        <v>1851937528</v>
      </c>
      <c r="E21990" t="s">
        <v>22333</v>
      </c>
    </row>
    <row r="21991" spans="1:5" x14ac:dyDescent="0.25">
      <c r="A21991" t="s">
        <v>4</v>
      </c>
      <c r="B21991" t="s">
        <v>4111</v>
      </c>
      <c r="C21991" s="1" t="s">
        <v>23490</v>
      </c>
      <c r="D21991" s="1" t="str">
        <f>HYPERLINK("https://rhld.insurance.arkansas.gov/NPILookup?Npi=1851939235","1851939235")</f>
        <v>1851939235</v>
      </c>
      <c r="E21991" t="s">
        <v>19030</v>
      </c>
    </row>
    <row r="21992" spans="1:5" x14ac:dyDescent="0.25">
      <c r="A21992" t="s">
        <v>4</v>
      </c>
      <c r="B21992" t="s">
        <v>4111</v>
      </c>
      <c r="C21992" s="1" t="s">
        <v>23490</v>
      </c>
      <c r="D21992" s="1" t="str">
        <f>HYPERLINK("https://rhld.insurance.arkansas.gov/NPILookup?Npi=1851943872","1851943872")</f>
        <v>1851943872</v>
      </c>
      <c r="E21992" t="s">
        <v>22334</v>
      </c>
    </row>
    <row r="21993" spans="1:5" x14ac:dyDescent="0.25">
      <c r="A21993" t="s">
        <v>4</v>
      </c>
      <c r="B21993" t="s">
        <v>4111</v>
      </c>
      <c r="C21993" s="1" t="s">
        <v>23490</v>
      </c>
      <c r="D21993" s="1" t="str">
        <f>HYPERLINK("https://rhld.insurance.arkansas.gov/NPILookup?Npi=1851945083","1851945083")</f>
        <v>1851945083</v>
      </c>
      <c r="E21993" t="s">
        <v>19031</v>
      </c>
    </row>
    <row r="21994" spans="1:5" x14ac:dyDescent="0.25">
      <c r="A21994" t="s">
        <v>4</v>
      </c>
      <c r="B21994" t="s">
        <v>4111</v>
      </c>
      <c r="C21994" s="1" t="s">
        <v>23490</v>
      </c>
      <c r="D21994" s="1" t="str">
        <f>HYPERLINK("https://rhld.insurance.arkansas.gov/NPILookup?Npi=1851956734","1851956734")</f>
        <v>1851956734</v>
      </c>
      <c r="E21994" t="s">
        <v>18445</v>
      </c>
    </row>
    <row r="21995" spans="1:5" x14ac:dyDescent="0.25">
      <c r="A21995" t="s">
        <v>4</v>
      </c>
      <c r="B21995" t="s">
        <v>4111</v>
      </c>
      <c r="C21995" s="1" t="s">
        <v>23490</v>
      </c>
      <c r="D21995" s="1" t="str">
        <f>HYPERLINK("https://rhld.insurance.arkansas.gov/NPILookup?Npi=1851971881","1851971881")</f>
        <v>1851971881</v>
      </c>
      <c r="E21995" t="s">
        <v>22335</v>
      </c>
    </row>
    <row r="21996" spans="1:5" x14ac:dyDescent="0.25">
      <c r="A21996" t="s">
        <v>4</v>
      </c>
      <c r="B21996" t="s">
        <v>4111</v>
      </c>
      <c r="C21996" s="1" t="s">
        <v>23490</v>
      </c>
      <c r="D21996" s="1" t="str">
        <f>HYPERLINK("https://rhld.insurance.arkansas.gov/NPILookup?Npi=1851973747","1851973747")</f>
        <v>1851973747</v>
      </c>
      <c r="E21996" t="s">
        <v>21172</v>
      </c>
    </row>
    <row r="21997" spans="1:5" x14ac:dyDescent="0.25">
      <c r="A21997" t="s">
        <v>4</v>
      </c>
      <c r="B21997" t="s">
        <v>4111</v>
      </c>
      <c r="C21997" s="1" t="s">
        <v>23490</v>
      </c>
      <c r="D21997" s="1" t="str">
        <f>HYPERLINK("https://rhld.insurance.arkansas.gov/NPILookup?Npi=1851985857","1851985857")</f>
        <v>1851985857</v>
      </c>
      <c r="E21997" t="s">
        <v>18446</v>
      </c>
    </row>
    <row r="21998" spans="1:5" x14ac:dyDescent="0.25">
      <c r="A21998" t="s">
        <v>4</v>
      </c>
      <c r="B21998" t="s">
        <v>4111</v>
      </c>
      <c r="C21998" s="1" t="s">
        <v>23490</v>
      </c>
      <c r="D21998" s="1" t="str">
        <f>HYPERLINK("https://rhld.insurance.arkansas.gov/NPILookup?Npi=1861060360","1861060360")</f>
        <v>1861060360</v>
      </c>
      <c r="E21998" t="s">
        <v>20616</v>
      </c>
    </row>
    <row r="21999" spans="1:5" x14ac:dyDescent="0.25">
      <c r="A21999" t="s">
        <v>4</v>
      </c>
      <c r="B21999" t="s">
        <v>4111</v>
      </c>
      <c r="C21999" s="1" t="s">
        <v>23490</v>
      </c>
      <c r="D21999" s="1" t="str">
        <f>HYPERLINK("https://rhld.insurance.arkansas.gov/NPILookup?Npi=1861067548","1861067548")</f>
        <v>1861067548</v>
      </c>
      <c r="E21999" t="s">
        <v>20617</v>
      </c>
    </row>
    <row r="22000" spans="1:5" x14ac:dyDescent="0.25">
      <c r="A22000" t="s">
        <v>4</v>
      </c>
      <c r="B22000" t="s">
        <v>4111</v>
      </c>
      <c r="C22000" s="1" t="s">
        <v>23490</v>
      </c>
      <c r="D22000" s="1" t="str">
        <f>HYPERLINK("https://rhld.insurance.arkansas.gov/NPILookup?Npi=1861117103","1861117103")</f>
        <v>1861117103</v>
      </c>
      <c r="E22000" t="s">
        <v>22336</v>
      </c>
    </row>
    <row r="22001" spans="1:5" x14ac:dyDescent="0.25">
      <c r="A22001" t="s">
        <v>4</v>
      </c>
      <c r="B22001" t="s">
        <v>4111</v>
      </c>
      <c r="C22001" s="1" t="s">
        <v>23490</v>
      </c>
      <c r="D22001" s="1" t="str">
        <f>HYPERLINK("https://rhld.insurance.arkansas.gov/NPILookup?Npi=1861128076","1861128076")</f>
        <v>1861128076</v>
      </c>
      <c r="E22001" t="s">
        <v>22337</v>
      </c>
    </row>
    <row r="22002" spans="1:5" x14ac:dyDescent="0.25">
      <c r="A22002" t="s">
        <v>4</v>
      </c>
      <c r="B22002" t="s">
        <v>4111</v>
      </c>
      <c r="C22002" s="1" t="s">
        <v>23490</v>
      </c>
      <c r="D22002" s="1" t="str">
        <f>HYPERLINK("https://rhld.insurance.arkansas.gov/NPILookup?Npi=1861131252","1861131252")</f>
        <v>1861131252</v>
      </c>
      <c r="E22002" t="s">
        <v>22338</v>
      </c>
    </row>
    <row r="22003" spans="1:5" x14ac:dyDescent="0.25">
      <c r="A22003" t="s">
        <v>4</v>
      </c>
      <c r="B22003" t="s">
        <v>4111</v>
      </c>
      <c r="C22003" s="1" t="s">
        <v>23490</v>
      </c>
      <c r="D22003" s="1" t="str">
        <f>HYPERLINK("https://rhld.insurance.arkansas.gov/NPILookup?Npi=1861146235","1861146235")</f>
        <v>1861146235</v>
      </c>
      <c r="E22003" t="s">
        <v>20618</v>
      </c>
    </row>
    <row r="22004" spans="1:5" x14ac:dyDescent="0.25">
      <c r="A22004" t="s">
        <v>4</v>
      </c>
      <c r="B22004" t="s">
        <v>4111</v>
      </c>
      <c r="C22004" s="1" t="s">
        <v>23490</v>
      </c>
      <c r="D22004" s="1" t="str">
        <f>HYPERLINK("https://rhld.insurance.arkansas.gov/NPILookup?Npi=1861157067","1861157067")</f>
        <v>1861157067</v>
      </c>
      <c r="E22004" t="s">
        <v>22339</v>
      </c>
    </row>
    <row r="22005" spans="1:5" x14ac:dyDescent="0.25">
      <c r="A22005" t="s">
        <v>4</v>
      </c>
      <c r="B22005" t="s">
        <v>4111</v>
      </c>
      <c r="C22005" s="1" t="s">
        <v>23490</v>
      </c>
      <c r="D22005" s="1" t="str">
        <f>HYPERLINK("https://rhld.insurance.arkansas.gov/NPILookup?Npi=1861161101","1861161101")</f>
        <v>1861161101</v>
      </c>
      <c r="E22005" t="s">
        <v>22340</v>
      </c>
    </row>
    <row r="22006" spans="1:5" x14ac:dyDescent="0.25">
      <c r="A22006" t="s">
        <v>4</v>
      </c>
      <c r="B22006" t="s">
        <v>4111</v>
      </c>
      <c r="C22006" s="1" t="s">
        <v>8427</v>
      </c>
      <c r="D22006" s="1" t="str">
        <f>HYPERLINK("https://rhld.insurance.arkansas.gov/NPILookup?Npi=1861186181","1861186181")</f>
        <v>1861186181</v>
      </c>
      <c r="E22006" t="s">
        <v>23201</v>
      </c>
    </row>
    <row r="22007" spans="1:5" x14ac:dyDescent="0.25">
      <c r="A22007" t="s">
        <v>4</v>
      </c>
      <c r="B22007" t="s">
        <v>4111</v>
      </c>
      <c r="C22007" s="1" t="s">
        <v>23490</v>
      </c>
      <c r="D22007" s="1" t="str">
        <f>HYPERLINK("https://rhld.insurance.arkansas.gov/NPILookup?Npi=1861400608","1861400608")</f>
        <v>1861400608</v>
      </c>
      <c r="E22007" t="s">
        <v>5823</v>
      </c>
    </row>
    <row r="22008" spans="1:5" x14ac:dyDescent="0.25">
      <c r="A22008" t="s">
        <v>4</v>
      </c>
      <c r="B22008" t="s">
        <v>4111</v>
      </c>
      <c r="C22008" s="1" t="s">
        <v>23490</v>
      </c>
      <c r="D22008" s="1" t="str">
        <f>HYPERLINK("https://rhld.insurance.arkansas.gov/NPILookup?Npi=1861407520","1861407520")</f>
        <v>1861407520</v>
      </c>
      <c r="E22008" t="s">
        <v>5824</v>
      </c>
    </row>
    <row r="22009" spans="1:5" x14ac:dyDescent="0.25">
      <c r="A22009" t="s">
        <v>4</v>
      </c>
      <c r="B22009" t="s">
        <v>4111</v>
      </c>
      <c r="C22009" s="1" t="s">
        <v>23490</v>
      </c>
      <c r="D22009" s="1" t="str">
        <f>HYPERLINK("https://rhld.insurance.arkansas.gov/NPILookup?Npi=1861411167","1861411167")</f>
        <v>1861411167</v>
      </c>
      <c r="E22009" t="s">
        <v>5825</v>
      </c>
    </row>
    <row r="22010" spans="1:5" x14ac:dyDescent="0.25">
      <c r="A22010" t="s">
        <v>4</v>
      </c>
      <c r="B22010" t="s">
        <v>4111</v>
      </c>
      <c r="C22010" s="1" t="s">
        <v>23490</v>
      </c>
      <c r="D22010" s="1" t="str">
        <f>HYPERLINK("https://rhld.insurance.arkansas.gov/NPILookup?Npi=1861422495","1861422495")</f>
        <v>1861422495</v>
      </c>
      <c r="E22010" t="s">
        <v>14241</v>
      </c>
    </row>
    <row r="22011" spans="1:5" x14ac:dyDescent="0.25">
      <c r="A22011" t="s">
        <v>4</v>
      </c>
      <c r="B22011" t="s">
        <v>4111</v>
      </c>
      <c r="C22011" s="1" t="s">
        <v>23490</v>
      </c>
      <c r="D22011" s="1" t="str">
        <f>HYPERLINK("https://rhld.insurance.arkansas.gov/NPILookup?Npi=1861431082","1861431082")</f>
        <v>1861431082</v>
      </c>
      <c r="E22011" t="s">
        <v>16254</v>
      </c>
    </row>
    <row r="22012" spans="1:5" x14ac:dyDescent="0.25">
      <c r="A22012" t="s">
        <v>4</v>
      </c>
      <c r="B22012" t="s">
        <v>4111</v>
      </c>
      <c r="C22012" s="1" t="s">
        <v>23490</v>
      </c>
      <c r="D22012" s="1" t="str">
        <f>HYPERLINK("https://rhld.insurance.arkansas.gov/NPILookup?Npi=1861464885","1861464885")</f>
        <v>1861464885</v>
      </c>
      <c r="E22012" t="s">
        <v>5826</v>
      </c>
    </row>
    <row r="22013" spans="1:5" x14ac:dyDescent="0.25">
      <c r="A22013" t="s">
        <v>4</v>
      </c>
      <c r="B22013" t="s">
        <v>4111</v>
      </c>
      <c r="C22013" s="1" t="s">
        <v>23490</v>
      </c>
      <c r="D22013" s="1" t="str">
        <f>HYPERLINK("https://rhld.insurance.arkansas.gov/NPILookup?Npi=1861473449","1861473449")</f>
        <v>1861473449</v>
      </c>
      <c r="E22013" t="s">
        <v>3213</v>
      </c>
    </row>
    <row r="22014" spans="1:5" x14ac:dyDescent="0.25">
      <c r="A22014" t="s">
        <v>4</v>
      </c>
      <c r="B22014" t="s">
        <v>4111</v>
      </c>
      <c r="C22014" s="1" t="s">
        <v>23490</v>
      </c>
      <c r="D22014" s="1" t="str">
        <f>HYPERLINK("https://rhld.insurance.arkansas.gov/NPILookup?Npi=1861506271","1861506271")</f>
        <v>1861506271</v>
      </c>
      <c r="E22014" t="s">
        <v>14242</v>
      </c>
    </row>
    <row r="22015" spans="1:5" x14ac:dyDescent="0.25">
      <c r="A22015" t="s">
        <v>4</v>
      </c>
      <c r="B22015" t="s">
        <v>4111</v>
      </c>
      <c r="C22015" s="1" t="s">
        <v>23490</v>
      </c>
      <c r="D22015" s="1" t="str">
        <f>HYPERLINK("https://rhld.insurance.arkansas.gov/NPILookup?Npi=1861565574","1861565574")</f>
        <v>1861565574</v>
      </c>
      <c r="E22015" t="s">
        <v>5827</v>
      </c>
    </row>
    <row r="22016" spans="1:5" x14ac:dyDescent="0.25">
      <c r="A22016" t="s">
        <v>4</v>
      </c>
      <c r="B22016" t="s">
        <v>4111</v>
      </c>
      <c r="C22016" s="1" t="s">
        <v>23490</v>
      </c>
      <c r="D22016" s="1" t="str">
        <f>HYPERLINK("https://rhld.insurance.arkansas.gov/NPILookup?Npi=1861572380","1861572380")</f>
        <v>1861572380</v>
      </c>
      <c r="E22016" t="s">
        <v>5828</v>
      </c>
    </row>
    <row r="22017" spans="1:5" x14ac:dyDescent="0.25">
      <c r="A22017" t="s">
        <v>4</v>
      </c>
      <c r="B22017" t="s">
        <v>4111</v>
      </c>
      <c r="C22017" s="1" t="s">
        <v>23490</v>
      </c>
      <c r="D22017" s="1" t="str">
        <f>HYPERLINK("https://rhld.insurance.arkansas.gov/NPILookup?Npi=1861580805","1861580805")</f>
        <v>1861580805</v>
      </c>
      <c r="E22017" t="s">
        <v>5829</v>
      </c>
    </row>
    <row r="22018" spans="1:5" x14ac:dyDescent="0.25">
      <c r="A22018" t="s">
        <v>4</v>
      </c>
      <c r="B22018" t="s">
        <v>4111</v>
      </c>
      <c r="C22018" s="1" t="s">
        <v>23490</v>
      </c>
      <c r="D22018" s="1" t="str">
        <f>HYPERLINK("https://rhld.insurance.arkansas.gov/NPILookup?Npi=1861586018","1861586018")</f>
        <v>1861586018</v>
      </c>
      <c r="E22018" t="s">
        <v>18447</v>
      </c>
    </row>
    <row r="22019" spans="1:5" x14ac:dyDescent="0.25">
      <c r="A22019" t="s">
        <v>4</v>
      </c>
      <c r="B22019" t="s">
        <v>4111</v>
      </c>
      <c r="C22019" s="1" t="s">
        <v>23490</v>
      </c>
      <c r="D22019" s="1" t="str">
        <f>HYPERLINK("https://rhld.insurance.arkansas.gov/NPILookup?Npi=1861588873","1861588873")</f>
        <v>1861588873</v>
      </c>
      <c r="E22019" t="s">
        <v>16255</v>
      </c>
    </row>
    <row r="22020" spans="1:5" x14ac:dyDescent="0.25">
      <c r="A22020" t="s">
        <v>4</v>
      </c>
      <c r="B22020" t="s">
        <v>4111</v>
      </c>
      <c r="C22020" s="1" t="s">
        <v>23490</v>
      </c>
      <c r="D22020" s="1" t="str">
        <f>HYPERLINK("https://rhld.insurance.arkansas.gov/NPILookup?Npi=1861594483","1861594483")</f>
        <v>1861594483</v>
      </c>
      <c r="E22020" t="s">
        <v>5830</v>
      </c>
    </row>
    <row r="22021" spans="1:5" x14ac:dyDescent="0.25">
      <c r="A22021" t="s">
        <v>4</v>
      </c>
      <c r="B22021" t="s">
        <v>4111</v>
      </c>
      <c r="C22021" s="1" t="s">
        <v>23490</v>
      </c>
      <c r="D22021" s="1" t="str">
        <f>HYPERLINK("https://rhld.insurance.arkansas.gov/NPILookup?Npi=1861604456","1861604456")</f>
        <v>1861604456</v>
      </c>
      <c r="E22021" t="s">
        <v>5831</v>
      </c>
    </row>
    <row r="22022" spans="1:5" x14ac:dyDescent="0.25">
      <c r="A22022" t="s">
        <v>4</v>
      </c>
      <c r="B22022" t="s">
        <v>4111</v>
      </c>
      <c r="C22022" s="1" t="s">
        <v>23490</v>
      </c>
      <c r="D22022" s="1" t="str">
        <f>HYPERLINK("https://rhld.insurance.arkansas.gov/NPILookup?Npi=1861607319","1861607319")</f>
        <v>1861607319</v>
      </c>
      <c r="E22022" t="s">
        <v>13221</v>
      </c>
    </row>
    <row r="22023" spans="1:5" x14ac:dyDescent="0.25">
      <c r="A22023" t="s">
        <v>4</v>
      </c>
      <c r="B22023" t="s">
        <v>4111</v>
      </c>
      <c r="C22023" s="1" t="s">
        <v>23490</v>
      </c>
      <c r="D22023" s="1" t="str">
        <f>HYPERLINK("https://rhld.insurance.arkansas.gov/NPILookup?Npi=1861630519","1861630519")</f>
        <v>1861630519</v>
      </c>
      <c r="E22023" t="s">
        <v>5832</v>
      </c>
    </row>
    <row r="22024" spans="1:5" x14ac:dyDescent="0.25">
      <c r="A22024" t="s">
        <v>4</v>
      </c>
      <c r="B22024" t="s">
        <v>4111</v>
      </c>
      <c r="C22024" s="1" t="s">
        <v>23490</v>
      </c>
      <c r="D22024" s="1" t="str">
        <f>HYPERLINK("https://rhld.insurance.arkansas.gov/NPILookup?Npi=1861639940","1861639940")</f>
        <v>1861639940</v>
      </c>
      <c r="E22024" t="s">
        <v>5833</v>
      </c>
    </row>
    <row r="22025" spans="1:5" x14ac:dyDescent="0.25">
      <c r="A22025" t="s">
        <v>4</v>
      </c>
      <c r="B22025" t="s">
        <v>4111</v>
      </c>
      <c r="C22025" s="1" t="s">
        <v>23490</v>
      </c>
      <c r="D22025" s="1" t="str">
        <f>HYPERLINK("https://rhld.insurance.arkansas.gov/NPILookup?Npi=1861641144","1861641144")</f>
        <v>1861641144</v>
      </c>
      <c r="E22025" t="s">
        <v>5834</v>
      </c>
    </row>
    <row r="22026" spans="1:5" x14ac:dyDescent="0.25">
      <c r="A22026" t="s">
        <v>4</v>
      </c>
      <c r="B22026" t="s">
        <v>4111</v>
      </c>
      <c r="C22026" s="1" t="s">
        <v>23490</v>
      </c>
      <c r="D22026" s="1" t="str">
        <f>HYPERLINK("https://rhld.insurance.arkansas.gov/NPILookup?Npi=1861646473","1861646473")</f>
        <v>1861646473</v>
      </c>
      <c r="E22026" t="s">
        <v>16256</v>
      </c>
    </row>
    <row r="22027" spans="1:5" x14ac:dyDescent="0.25">
      <c r="A22027" t="s">
        <v>4</v>
      </c>
      <c r="B22027" t="s">
        <v>4111</v>
      </c>
      <c r="C22027" s="1" t="s">
        <v>23490</v>
      </c>
      <c r="D22027" s="1" t="str">
        <f>HYPERLINK("https://rhld.insurance.arkansas.gov/NPILookup?Npi=1861647406","1861647406")</f>
        <v>1861647406</v>
      </c>
      <c r="E22027" t="s">
        <v>13222</v>
      </c>
    </row>
    <row r="22028" spans="1:5" x14ac:dyDescent="0.25">
      <c r="A22028" t="s">
        <v>4</v>
      </c>
      <c r="B22028" t="s">
        <v>4111</v>
      </c>
      <c r="C22028" s="1" t="s">
        <v>23490</v>
      </c>
      <c r="D22028" s="1" t="str">
        <f>HYPERLINK("https://rhld.insurance.arkansas.gov/NPILookup?Npi=1861680852","1861680852")</f>
        <v>1861680852</v>
      </c>
      <c r="E22028" t="s">
        <v>11873</v>
      </c>
    </row>
    <row r="22029" spans="1:5" x14ac:dyDescent="0.25">
      <c r="A22029" t="s">
        <v>4</v>
      </c>
      <c r="B22029" t="s">
        <v>4111</v>
      </c>
      <c r="C22029" s="1" t="s">
        <v>23490</v>
      </c>
      <c r="D22029" s="1" t="str">
        <f>HYPERLINK("https://rhld.insurance.arkansas.gov/NPILookup?Npi=1861684060","1861684060")</f>
        <v>1861684060</v>
      </c>
      <c r="E22029" t="s">
        <v>20270</v>
      </c>
    </row>
    <row r="22030" spans="1:5" x14ac:dyDescent="0.25">
      <c r="A22030" t="s">
        <v>4</v>
      </c>
      <c r="B22030" t="s">
        <v>4111</v>
      </c>
      <c r="C22030" s="1" t="s">
        <v>23490</v>
      </c>
      <c r="D22030" s="1" t="str">
        <f>HYPERLINK("https://rhld.insurance.arkansas.gov/NPILookup?Npi=1861725707","1861725707")</f>
        <v>1861725707</v>
      </c>
      <c r="E22030" t="s">
        <v>5835</v>
      </c>
    </row>
    <row r="22031" spans="1:5" x14ac:dyDescent="0.25">
      <c r="A22031" t="s">
        <v>4</v>
      </c>
      <c r="B22031" t="s">
        <v>4111</v>
      </c>
      <c r="C22031" s="1" t="s">
        <v>23490</v>
      </c>
      <c r="D22031" s="1" t="str">
        <f>HYPERLINK("https://rhld.insurance.arkansas.gov/NPILookup?Npi=1861737256","1861737256")</f>
        <v>1861737256</v>
      </c>
      <c r="E22031" t="s">
        <v>11874</v>
      </c>
    </row>
    <row r="22032" spans="1:5" x14ac:dyDescent="0.25">
      <c r="A22032" t="s">
        <v>4</v>
      </c>
      <c r="B22032" t="s">
        <v>4111</v>
      </c>
      <c r="C22032" s="1" t="s">
        <v>23490</v>
      </c>
      <c r="D22032" s="1" t="str">
        <f>HYPERLINK("https://rhld.insurance.arkansas.gov/NPILookup?Npi=1861745564","1861745564")</f>
        <v>1861745564</v>
      </c>
      <c r="E22032" t="s">
        <v>5836</v>
      </c>
    </row>
    <row r="22033" spans="1:5" x14ac:dyDescent="0.25">
      <c r="A22033" t="s">
        <v>4</v>
      </c>
      <c r="B22033" t="s">
        <v>4111</v>
      </c>
      <c r="C22033" s="1" t="s">
        <v>23490</v>
      </c>
      <c r="D22033" s="1" t="str">
        <f>HYPERLINK("https://rhld.insurance.arkansas.gov/NPILookup?Npi=1861748964","1861748964")</f>
        <v>1861748964</v>
      </c>
      <c r="E22033" t="s">
        <v>14243</v>
      </c>
    </row>
    <row r="22034" spans="1:5" x14ac:dyDescent="0.25">
      <c r="A22034" t="s">
        <v>4</v>
      </c>
      <c r="B22034" t="s">
        <v>4111</v>
      </c>
      <c r="C22034" s="1" t="s">
        <v>23490</v>
      </c>
      <c r="D22034" s="1" t="str">
        <f>HYPERLINK("https://rhld.insurance.arkansas.gov/NPILookup?Npi=1861765976","1861765976")</f>
        <v>1861765976</v>
      </c>
      <c r="E22034" t="s">
        <v>22341</v>
      </c>
    </row>
    <row r="22035" spans="1:5" x14ac:dyDescent="0.25">
      <c r="A22035" t="s">
        <v>4</v>
      </c>
      <c r="B22035" t="s">
        <v>4111</v>
      </c>
      <c r="C22035" s="1" t="s">
        <v>23490</v>
      </c>
      <c r="D22035" s="1" t="str">
        <f>HYPERLINK("https://rhld.insurance.arkansas.gov/NPILookup?Npi=1861765984","1861765984")</f>
        <v>1861765984</v>
      </c>
      <c r="E22035" t="s">
        <v>5837</v>
      </c>
    </row>
    <row r="22036" spans="1:5" x14ac:dyDescent="0.25">
      <c r="A22036" t="s">
        <v>4</v>
      </c>
      <c r="B22036" t="s">
        <v>4111</v>
      </c>
      <c r="C22036" s="1" t="s">
        <v>23490</v>
      </c>
      <c r="D22036" s="1" t="str">
        <f>HYPERLINK("https://rhld.insurance.arkansas.gov/NPILookup?Npi=1861775041","1861775041")</f>
        <v>1861775041</v>
      </c>
      <c r="E22036" t="s">
        <v>5838</v>
      </c>
    </row>
    <row r="22037" spans="1:5" x14ac:dyDescent="0.25">
      <c r="A22037" t="s">
        <v>4</v>
      </c>
      <c r="B22037" t="s">
        <v>4111</v>
      </c>
      <c r="C22037" s="1" t="s">
        <v>23490</v>
      </c>
      <c r="D22037" s="1" t="str">
        <f>HYPERLINK("https://rhld.insurance.arkansas.gov/NPILookup?Npi=1861785578","1861785578")</f>
        <v>1861785578</v>
      </c>
      <c r="E22037" t="s">
        <v>11875</v>
      </c>
    </row>
    <row r="22038" spans="1:5" x14ac:dyDescent="0.25">
      <c r="A22038" t="s">
        <v>4</v>
      </c>
      <c r="B22038" t="s">
        <v>4111</v>
      </c>
      <c r="C22038" s="1" t="s">
        <v>23490</v>
      </c>
      <c r="D22038" s="1" t="str">
        <f>HYPERLINK("https://rhld.insurance.arkansas.gov/NPILookup?Npi=1861786436","1861786436")</f>
        <v>1861786436</v>
      </c>
      <c r="E22038" t="s">
        <v>5839</v>
      </c>
    </row>
    <row r="22039" spans="1:5" x14ac:dyDescent="0.25">
      <c r="A22039" t="s">
        <v>4</v>
      </c>
      <c r="B22039" t="s">
        <v>4111</v>
      </c>
      <c r="C22039" s="1" t="s">
        <v>23490</v>
      </c>
      <c r="D22039" s="1" t="str">
        <f>HYPERLINK("https://rhld.insurance.arkansas.gov/NPILookup?Npi=1861797227","1861797227")</f>
        <v>1861797227</v>
      </c>
      <c r="E22039" t="s">
        <v>14244</v>
      </c>
    </row>
    <row r="22040" spans="1:5" x14ac:dyDescent="0.25">
      <c r="A22040" t="s">
        <v>4</v>
      </c>
      <c r="B22040" t="s">
        <v>4111</v>
      </c>
      <c r="C22040" s="1" t="s">
        <v>23490</v>
      </c>
      <c r="D22040" s="1" t="str">
        <f>HYPERLINK("https://rhld.insurance.arkansas.gov/NPILookup?Npi=1861797821","1861797821")</f>
        <v>1861797821</v>
      </c>
      <c r="E22040" t="s">
        <v>5840</v>
      </c>
    </row>
    <row r="22041" spans="1:5" x14ac:dyDescent="0.25">
      <c r="A22041" t="s">
        <v>4</v>
      </c>
      <c r="B22041" t="s">
        <v>4111</v>
      </c>
      <c r="C22041" s="1" t="s">
        <v>23490</v>
      </c>
      <c r="D22041" s="1" t="str">
        <f>HYPERLINK("https://rhld.insurance.arkansas.gov/NPILookup?Npi=1861829392","1861829392")</f>
        <v>1861829392</v>
      </c>
      <c r="E22041" t="s">
        <v>22342</v>
      </c>
    </row>
    <row r="22042" spans="1:5" x14ac:dyDescent="0.25">
      <c r="A22042" t="s">
        <v>4</v>
      </c>
      <c r="B22042" t="s">
        <v>4111</v>
      </c>
      <c r="C22042" s="1" t="s">
        <v>23490</v>
      </c>
      <c r="D22042" s="1" t="str">
        <f>HYPERLINK("https://rhld.insurance.arkansas.gov/NPILookup?Npi=1861831349","1861831349")</f>
        <v>1861831349</v>
      </c>
      <c r="E22042" t="s">
        <v>11876</v>
      </c>
    </row>
    <row r="22043" spans="1:5" x14ac:dyDescent="0.25">
      <c r="A22043" t="s">
        <v>4</v>
      </c>
      <c r="B22043" t="s">
        <v>4111</v>
      </c>
      <c r="C22043" s="1" t="s">
        <v>23490</v>
      </c>
      <c r="D22043" s="1" t="str">
        <f>HYPERLINK("https://rhld.insurance.arkansas.gov/NPILookup?Npi=1861834525","1861834525")</f>
        <v>1861834525</v>
      </c>
      <c r="E22043" t="s">
        <v>11877</v>
      </c>
    </row>
    <row r="22044" spans="1:5" x14ac:dyDescent="0.25">
      <c r="A22044" t="s">
        <v>4</v>
      </c>
      <c r="B22044" t="s">
        <v>4111</v>
      </c>
      <c r="C22044" s="1" t="s">
        <v>23490</v>
      </c>
      <c r="D22044" s="1" t="str">
        <f>HYPERLINK("https://rhld.insurance.arkansas.gov/NPILookup?Npi=1861840811","1861840811")</f>
        <v>1861840811</v>
      </c>
      <c r="E22044" t="s">
        <v>11878</v>
      </c>
    </row>
    <row r="22045" spans="1:5" x14ac:dyDescent="0.25">
      <c r="A22045" t="s">
        <v>4</v>
      </c>
      <c r="B22045" t="s">
        <v>4111</v>
      </c>
      <c r="C22045" s="1" t="s">
        <v>23490</v>
      </c>
      <c r="D22045" s="1" t="str">
        <f>HYPERLINK("https://rhld.insurance.arkansas.gov/NPILookup?Npi=1861841876","1861841876")</f>
        <v>1861841876</v>
      </c>
      <c r="E22045" t="s">
        <v>22343</v>
      </c>
    </row>
    <row r="22046" spans="1:5" x14ac:dyDescent="0.25">
      <c r="A22046" t="s">
        <v>4</v>
      </c>
      <c r="B22046" t="s">
        <v>4111</v>
      </c>
      <c r="C22046" s="1" t="s">
        <v>23490</v>
      </c>
      <c r="D22046" s="1" t="str">
        <f>HYPERLINK("https://rhld.insurance.arkansas.gov/NPILookup?Npi=1861843831","1861843831")</f>
        <v>1861843831</v>
      </c>
      <c r="E22046" t="s">
        <v>11879</v>
      </c>
    </row>
    <row r="22047" spans="1:5" x14ac:dyDescent="0.25">
      <c r="A22047" t="s">
        <v>4</v>
      </c>
      <c r="B22047" t="s">
        <v>4111</v>
      </c>
      <c r="C22047" s="1" t="s">
        <v>23490</v>
      </c>
      <c r="D22047" s="1" t="str">
        <f>HYPERLINK("https://rhld.insurance.arkansas.gov/NPILookup?Npi=1861844755","1861844755")</f>
        <v>1861844755</v>
      </c>
      <c r="E22047" t="s">
        <v>22344</v>
      </c>
    </row>
    <row r="22048" spans="1:5" x14ac:dyDescent="0.25">
      <c r="A22048" t="s">
        <v>4</v>
      </c>
      <c r="B22048" t="s">
        <v>4111</v>
      </c>
      <c r="C22048" s="1" t="s">
        <v>23490</v>
      </c>
      <c r="D22048" s="1" t="str">
        <f>HYPERLINK("https://rhld.insurance.arkansas.gov/NPILookup?Npi=1861846974","1861846974")</f>
        <v>1861846974</v>
      </c>
      <c r="E22048" t="s">
        <v>17244</v>
      </c>
    </row>
    <row r="22049" spans="1:5" x14ac:dyDescent="0.25">
      <c r="A22049" t="s">
        <v>4</v>
      </c>
      <c r="B22049" t="s">
        <v>4111</v>
      </c>
      <c r="C22049" s="1" t="s">
        <v>23490</v>
      </c>
      <c r="D22049" s="1" t="str">
        <f>HYPERLINK("https://rhld.insurance.arkansas.gov/NPILookup?Npi=1861855769","1861855769")</f>
        <v>1861855769</v>
      </c>
      <c r="E22049" t="s">
        <v>14245</v>
      </c>
    </row>
    <row r="22050" spans="1:5" x14ac:dyDescent="0.25">
      <c r="A22050" t="s">
        <v>4</v>
      </c>
      <c r="B22050" t="s">
        <v>4111</v>
      </c>
      <c r="C22050" s="1" t="s">
        <v>23490</v>
      </c>
      <c r="D22050" s="1" t="str">
        <f>HYPERLINK("https://rhld.insurance.arkansas.gov/NPILookup?Npi=1861868564","1861868564")</f>
        <v>1861868564</v>
      </c>
      <c r="E22050" t="s">
        <v>22345</v>
      </c>
    </row>
    <row r="22051" spans="1:5" x14ac:dyDescent="0.25">
      <c r="A22051" t="s">
        <v>4</v>
      </c>
      <c r="B22051" t="s">
        <v>4111</v>
      </c>
      <c r="C22051" s="1" t="s">
        <v>23490</v>
      </c>
      <c r="D22051" s="1" t="str">
        <f>HYPERLINK("https://rhld.insurance.arkansas.gov/NPILookup?Npi=1861872871","1861872871")</f>
        <v>1861872871</v>
      </c>
      <c r="E22051" t="s">
        <v>19032</v>
      </c>
    </row>
    <row r="22052" spans="1:5" x14ac:dyDescent="0.25">
      <c r="A22052" t="s">
        <v>4</v>
      </c>
      <c r="B22052" t="s">
        <v>4111</v>
      </c>
      <c r="C22052" s="1" t="s">
        <v>23490</v>
      </c>
      <c r="D22052" s="1" t="str">
        <f>HYPERLINK("https://rhld.insurance.arkansas.gov/NPILookup?Npi=1861873929","1861873929")</f>
        <v>1861873929</v>
      </c>
      <c r="E22052" t="s">
        <v>13223</v>
      </c>
    </row>
    <row r="22053" spans="1:5" x14ac:dyDescent="0.25">
      <c r="A22053" t="s">
        <v>4</v>
      </c>
      <c r="B22053" t="s">
        <v>4111</v>
      </c>
      <c r="C22053" s="1" t="s">
        <v>23490</v>
      </c>
      <c r="D22053" s="1" t="str">
        <f>HYPERLINK("https://rhld.insurance.arkansas.gov/NPILookup?Npi=1861875346","1861875346")</f>
        <v>1861875346</v>
      </c>
      <c r="E22053" t="s">
        <v>14246</v>
      </c>
    </row>
    <row r="22054" spans="1:5" x14ac:dyDescent="0.25">
      <c r="A22054" t="s">
        <v>4</v>
      </c>
      <c r="B22054" t="s">
        <v>4111</v>
      </c>
      <c r="C22054" s="1" t="s">
        <v>23490</v>
      </c>
      <c r="D22054" s="1" t="str">
        <f>HYPERLINK("https://rhld.insurance.arkansas.gov/NPILookup?Npi=1861881989","1861881989")</f>
        <v>1861881989</v>
      </c>
      <c r="E22054" t="s">
        <v>17661</v>
      </c>
    </row>
    <row r="22055" spans="1:5" x14ac:dyDescent="0.25">
      <c r="A22055" t="s">
        <v>4</v>
      </c>
      <c r="B22055" t="s">
        <v>4111</v>
      </c>
      <c r="C22055" s="1" t="s">
        <v>23490</v>
      </c>
      <c r="D22055" s="1" t="str">
        <f>HYPERLINK("https://rhld.insurance.arkansas.gov/NPILookup?Npi=1861882847","1861882847")</f>
        <v>1861882847</v>
      </c>
      <c r="E22055" t="s">
        <v>11880</v>
      </c>
    </row>
    <row r="22056" spans="1:5" x14ac:dyDescent="0.25">
      <c r="A22056" t="s">
        <v>4</v>
      </c>
      <c r="B22056" t="s">
        <v>4111</v>
      </c>
      <c r="C22056" s="1" t="s">
        <v>23490</v>
      </c>
      <c r="D22056" s="1" t="str">
        <f>HYPERLINK("https://rhld.insurance.arkansas.gov/NPILookup?Npi=1861883159","1861883159")</f>
        <v>1861883159</v>
      </c>
      <c r="E22056" t="s">
        <v>11881</v>
      </c>
    </row>
    <row r="22057" spans="1:5" x14ac:dyDescent="0.25">
      <c r="A22057" t="s">
        <v>4</v>
      </c>
      <c r="B22057" t="s">
        <v>4111</v>
      </c>
      <c r="C22057" s="1" t="s">
        <v>23490</v>
      </c>
      <c r="D22057" s="1" t="str">
        <f>HYPERLINK("https://rhld.insurance.arkansas.gov/NPILookup?Npi=1861890535","1861890535")</f>
        <v>1861890535</v>
      </c>
      <c r="E22057" t="s">
        <v>19033</v>
      </c>
    </row>
    <row r="22058" spans="1:5" x14ac:dyDescent="0.25">
      <c r="A22058" t="s">
        <v>4</v>
      </c>
      <c r="B22058" t="s">
        <v>4111</v>
      </c>
      <c r="C22058" s="1" t="s">
        <v>23490</v>
      </c>
      <c r="D22058" s="1" t="str">
        <f>HYPERLINK("https://rhld.insurance.arkansas.gov/NPILookup?Npi=1861907644","1861907644")</f>
        <v>1861907644</v>
      </c>
      <c r="E22058" t="s">
        <v>23202</v>
      </c>
    </row>
    <row r="22059" spans="1:5" x14ac:dyDescent="0.25">
      <c r="A22059" t="s">
        <v>4</v>
      </c>
      <c r="B22059" t="s">
        <v>4111</v>
      </c>
      <c r="C22059" s="1" t="s">
        <v>23490</v>
      </c>
      <c r="D22059" s="1" t="str">
        <f>HYPERLINK("https://rhld.insurance.arkansas.gov/NPILookup?Npi=1861909632","1861909632")</f>
        <v>1861909632</v>
      </c>
      <c r="E22059" t="s">
        <v>17662</v>
      </c>
    </row>
    <row r="22060" spans="1:5" x14ac:dyDescent="0.25">
      <c r="A22060" t="s">
        <v>4</v>
      </c>
      <c r="B22060" t="s">
        <v>4111</v>
      </c>
      <c r="C22060" s="1" t="s">
        <v>23490</v>
      </c>
      <c r="D22060" s="1" t="str">
        <f>HYPERLINK("https://rhld.insurance.arkansas.gov/NPILookup?Npi=1861911091","1861911091")</f>
        <v>1861911091</v>
      </c>
      <c r="E22060" t="s">
        <v>12927</v>
      </c>
    </row>
    <row r="22061" spans="1:5" x14ac:dyDescent="0.25">
      <c r="A22061" t="s">
        <v>4</v>
      </c>
      <c r="B22061" t="s">
        <v>4111</v>
      </c>
      <c r="C22061" s="1" t="s">
        <v>23490</v>
      </c>
      <c r="D22061" s="1" t="str">
        <f>HYPERLINK("https://rhld.insurance.arkansas.gov/NPILookup?Npi=1861915159","1861915159")</f>
        <v>1861915159</v>
      </c>
      <c r="E22061" t="s">
        <v>11882</v>
      </c>
    </row>
    <row r="22062" spans="1:5" x14ac:dyDescent="0.25">
      <c r="A22062" t="s">
        <v>4</v>
      </c>
      <c r="B22062" t="s">
        <v>4111</v>
      </c>
      <c r="C22062" s="1" t="s">
        <v>23490</v>
      </c>
      <c r="D22062" s="1" t="str">
        <f>HYPERLINK("https://rhld.insurance.arkansas.gov/NPILookup?Npi=1861959066","1861959066")</f>
        <v>1861959066</v>
      </c>
      <c r="E22062" t="s">
        <v>14247</v>
      </c>
    </row>
    <row r="22063" spans="1:5" x14ac:dyDescent="0.25">
      <c r="A22063" t="s">
        <v>4</v>
      </c>
      <c r="B22063" t="s">
        <v>4111</v>
      </c>
      <c r="C22063" s="1" t="s">
        <v>23490</v>
      </c>
      <c r="D22063" s="1" t="str">
        <f>HYPERLINK("https://rhld.insurance.arkansas.gov/NPILookup?Npi=1861979494","1861979494")</f>
        <v>1861979494</v>
      </c>
      <c r="E22063" t="s">
        <v>17663</v>
      </c>
    </row>
    <row r="22064" spans="1:5" x14ac:dyDescent="0.25">
      <c r="A22064" t="s">
        <v>4</v>
      </c>
      <c r="B22064" t="s">
        <v>4111</v>
      </c>
      <c r="C22064" s="1" t="s">
        <v>23490</v>
      </c>
      <c r="D22064" s="1" t="str">
        <f>HYPERLINK("https://rhld.insurance.arkansas.gov/NPILookup?Npi=1861997009","1861997009")</f>
        <v>1861997009</v>
      </c>
      <c r="E22064" t="s">
        <v>22346</v>
      </c>
    </row>
    <row r="22065" spans="1:5" x14ac:dyDescent="0.25">
      <c r="A22065" t="s">
        <v>4</v>
      </c>
      <c r="B22065" t="s">
        <v>4111</v>
      </c>
      <c r="C22065" s="1" t="s">
        <v>23490</v>
      </c>
      <c r="D22065" s="1" t="str">
        <f>HYPERLINK("https://rhld.insurance.arkansas.gov/NPILookup?Npi=1871003327","1871003327")</f>
        <v>1871003327</v>
      </c>
      <c r="E22065" t="s">
        <v>22347</v>
      </c>
    </row>
    <row r="22066" spans="1:5" x14ac:dyDescent="0.25">
      <c r="A22066" t="s">
        <v>4</v>
      </c>
      <c r="B22066" t="s">
        <v>4111</v>
      </c>
      <c r="C22066" s="1" t="s">
        <v>23490</v>
      </c>
      <c r="D22066" s="1" t="str">
        <f>HYPERLINK("https://rhld.insurance.arkansas.gov/NPILookup?Npi=1871005827","1871005827")</f>
        <v>1871005827</v>
      </c>
      <c r="E22066" t="s">
        <v>22348</v>
      </c>
    </row>
    <row r="22067" spans="1:5" x14ac:dyDescent="0.25">
      <c r="A22067" t="s">
        <v>4</v>
      </c>
      <c r="B22067" t="s">
        <v>4111</v>
      </c>
      <c r="C22067" s="1" t="s">
        <v>23490</v>
      </c>
      <c r="D22067" s="1" t="str">
        <f>HYPERLINK("https://rhld.insurance.arkansas.gov/NPILookup?Npi=1871039404","1871039404")</f>
        <v>1871039404</v>
      </c>
      <c r="E22067" t="s">
        <v>18448</v>
      </c>
    </row>
    <row r="22068" spans="1:5" x14ac:dyDescent="0.25">
      <c r="A22068" t="s">
        <v>4</v>
      </c>
      <c r="B22068" t="s">
        <v>4111</v>
      </c>
      <c r="C22068" s="1" t="s">
        <v>23490</v>
      </c>
      <c r="D22068" s="1" t="str">
        <f>HYPERLINK("https://rhld.insurance.arkansas.gov/NPILookup?Npi=1871070565","1871070565")</f>
        <v>1871070565</v>
      </c>
      <c r="E22068" t="s">
        <v>5452</v>
      </c>
    </row>
    <row r="22069" spans="1:5" x14ac:dyDescent="0.25">
      <c r="A22069" t="s">
        <v>4</v>
      </c>
      <c r="B22069" t="s">
        <v>4111</v>
      </c>
      <c r="C22069" s="1" t="s">
        <v>23490</v>
      </c>
      <c r="D22069" s="1" t="str">
        <f>HYPERLINK("https://rhld.insurance.arkansas.gov/NPILookup?Npi=1871073577","1871073577")</f>
        <v>1871073577</v>
      </c>
      <c r="E22069" t="s">
        <v>13759</v>
      </c>
    </row>
    <row r="22070" spans="1:5" x14ac:dyDescent="0.25">
      <c r="A22070" t="s">
        <v>4</v>
      </c>
      <c r="B22070" t="s">
        <v>4111</v>
      </c>
      <c r="C22070" s="1" t="s">
        <v>23490</v>
      </c>
      <c r="D22070" s="1" t="str">
        <f>HYPERLINK("https://rhld.insurance.arkansas.gov/NPILookup?Npi=1871090183","1871090183")</f>
        <v>1871090183</v>
      </c>
      <c r="E22070" t="s">
        <v>18449</v>
      </c>
    </row>
    <row r="22071" spans="1:5" x14ac:dyDescent="0.25">
      <c r="A22071" t="s">
        <v>4</v>
      </c>
      <c r="B22071" t="s">
        <v>4111</v>
      </c>
      <c r="C22071" s="1" t="s">
        <v>23490</v>
      </c>
      <c r="D22071" s="1" t="str">
        <f>HYPERLINK("https://rhld.insurance.arkansas.gov/NPILookup?Npi=1871144105","1871144105")</f>
        <v>1871144105</v>
      </c>
      <c r="E22071" t="s">
        <v>18450</v>
      </c>
    </row>
    <row r="22072" spans="1:5" x14ac:dyDescent="0.25">
      <c r="A22072" t="s">
        <v>4</v>
      </c>
      <c r="B22072" t="s">
        <v>4111</v>
      </c>
      <c r="C22072" s="1" t="s">
        <v>23490</v>
      </c>
      <c r="D22072" s="1" t="str">
        <f>HYPERLINK("https://rhld.insurance.arkansas.gov/NPILookup?Npi=1871162206","1871162206")</f>
        <v>1871162206</v>
      </c>
      <c r="E22072" t="s">
        <v>20086</v>
      </c>
    </row>
    <row r="22073" spans="1:5" x14ac:dyDescent="0.25">
      <c r="A22073" t="s">
        <v>4</v>
      </c>
      <c r="B22073" t="s">
        <v>4111</v>
      </c>
      <c r="C22073" s="1" t="s">
        <v>23490</v>
      </c>
      <c r="D22073" s="1" t="str">
        <f>HYPERLINK("https://rhld.insurance.arkansas.gov/NPILookup?Npi=1871163303","1871163303")</f>
        <v>1871163303</v>
      </c>
      <c r="E22073" t="s">
        <v>22349</v>
      </c>
    </row>
    <row r="22074" spans="1:5" x14ac:dyDescent="0.25">
      <c r="A22074" t="s">
        <v>4</v>
      </c>
      <c r="B22074" t="s">
        <v>4111</v>
      </c>
      <c r="C22074" s="1" t="s">
        <v>23490</v>
      </c>
      <c r="D22074" s="1" t="str">
        <f>HYPERLINK("https://rhld.insurance.arkansas.gov/NPILookup?Npi=1871185066","1871185066")</f>
        <v>1871185066</v>
      </c>
      <c r="E22074" t="s">
        <v>18161</v>
      </c>
    </row>
    <row r="22075" spans="1:5" x14ac:dyDescent="0.25">
      <c r="A22075" t="s">
        <v>4</v>
      </c>
      <c r="B22075" t="s">
        <v>4111</v>
      </c>
      <c r="C22075" s="1" t="s">
        <v>23490</v>
      </c>
      <c r="D22075" s="1" t="str">
        <f>HYPERLINK("https://rhld.insurance.arkansas.gov/NPILookup?Npi=1871185736","1871185736")</f>
        <v>1871185736</v>
      </c>
      <c r="E22075" t="s">
        <v>22350</v>
      </c>
    </row>
    <row r="22076" spans="1:5" x14ac:dyDescent="0.25">
      <c r="A22076" t="s">
        <v>4</v>
      </c>
      <c r="B22076" t="s">
        <v>4111</v>
      </c>
      <c r="C22076" s="1" t="s">
        <v>23490</v>
      </c>
      <c r="D22076" s="1" t="str">
        <f>HYPERLINK("https://rhld.insurance.arkansas.gov/NPILookup?Npi=1871196808","1871196808")</f>
        <v>1871196808</v>
      </c>
      <c r="E22076" t="s">
        <v>22351</v>
      </c>
    </row>
    <row r="22077" spans="1:5" x14ac:dyDescent="0.25">
      <c r="A22077" t="s">
        <v>4</v>
      </c>
      <c r="B22077" t="s">
        <v>4111</v>
      </c>
      <c r="C22077" s="1" t="s">
        <v>23490</v>
      </c>
      <c r="D22077" s="1" t="str">
        <f>HYPERLINK("https://rhld.insurance.arkansas.gov/NPILookup?Npi=1871525071","1871525071")</f>
        <v>1871525071</v>
      </c>
      <c r="E22077" t="s">
        <v>5841</v>
      </c>
    </row>
    <row r="22078" spans="1:5" x14ac:dyDescent="0.25">
      <c r="A22078" t="s">
        <v>4</v>
      </c>
      <c r="B22078" t="s">
        <v>4111</v>
      </c>
      <c r="C22078" s="1" t="s">
        <v>23490</v>
      </c>
      <c r="D22078" s="1" t="str">
        <f>HYPERLINK("https://rhld.insurance.arkansas.gov/NPILookup?Npi=1871527267","1871527267")</f>
        <v>1871527267</v>
      </c>
      <c r="E22078" t="s">
        <v>5842</v>
      </c>
    </row>
    <row r="22079" spans="1:5" x14ac:dyDescent="0.25">
      <c r="A22079" t="s">
        <v>4</v>
      </c>
      <c r="B22079" t="s">
        <v>4111</v>
      </c>
      <c r="C22079" s="1" t="s">
        <v>23490</v>
      </c>
      <c r="D22079" s="1" t="str">
        <f>HYPERLINK("https://rhld.insurance.arkansas.gov/NPILookup?Npi=1871535013","1871535013")</f>
        <v>1871535013</v>
      </c>
      <c r="E22079" t="s">
        <v>5843</v>
      </c>
    </row>
    <row r="22080" spans="1:5" x14ac:dyDescent="0.25">
      <c r="A22080" t="s">
        <v>4</v>
      </c>
      <c r="B22080" t="s">
        <v>4111</v>
      </c>
      <c r="C22080" s="1" t="s">
        <v>23490</v>
      </c>
      <c r="D22080" s="1" t="str">
        <f>HYPERLINK("https://rhld.insurance.arkansas.gov/NPILookup?Npi=1871537415","1871537415")</f>
        <v>1871537415</v>
      </c>
      <c r="E22080" t="s">
        <v>5844</v>
      </c>
    </row>
    <row r="22081" spans="1:5" x14ac:dyDescent="0.25">
      <c r="A22081" t="s">
        <v>4</v>
      </c>
      <c r="B22081" t="s">
        <v>4111</v>
      </c>
      <c r="C22081" s="1" t="s">
        <v>23490</v>
      </c>
      <c r="D22081" s="1" t="str">
        <f>HYPERLINK("https://rhld.insurance.arkansas.gov/NPILookup?Npi=1871539510","1871539510")</f>
        <v>1871539510</v>
      </c>
      <c r="E22081" t="s">
        <v>14248</v>
      </c>
    </row>
    <row r="22082" spans="1:5" x14ac:dyDescent="0.25">
      <c r="A22082" t="s">
        <v>4</v>
      </c>
      <c r="B22082" t="s">
        <v>4111</v>
      </c>
      <c r="C22082" s="1" t="s">
        <v>23490</v>
      </c>
      <c r="D22082" s="1" t="str">
        <f>HYPERLINK("https://rhld.insurance.arkansas.gov/NPILookup?Npi=1871541359","1871541359")</f>
        <v>1871541359</v>
      </c>
      <c r="E22082" t="s">
        <v>5845</v>
      </c>
    </row>
    <row r="22083" spans="1:5" x14ac:dyDescent="0.25">
      <c r="A22083" t="s">
        <v>4</v>
      </c>
      <c r="B22083" t="s">
        <v>4111</v>
      </c>
      <c r="C22083" s="1" t="s">
        <v>23490</v>
      </c>
      <c r="D22083" s="1" t="str">
        <f>HYPERLINK("https://rhld.insurance.arkansas.gov/NPILookup?Npi=1871546051","1871546051")</f>
        <v>1871546051</v>
      </c>
      <c r="E22083" t="s">
        <v>11883</v>
      </c>
    </row>
    <row r="22084" spans="1:5" x14ac:dyDescent="0.25">
      <c r="A22084" t="s">
        <v>4</v>
      </c>
      <c r="B22084" t="s">
        <v>4111</v>
      </c>
      <c r="C22084" s="1" t="s">
        <v>23490</v>
      </c>
      <c r="D22084" s="1" t="str">
        <f>HYPERLINK("https://rhld.insurance.arkansas.gov/NPILookup?Npi=1871569624","1871569624")</f>
        <v>1871569624</v>
      </c>
      <c r="E22084" t="s">
        <v>4418</v>
      </c>
    </row>
    <row r="22085" spans="1:5" x14ac:dyDescent="0.25">
      <c r="A22085" t="s">
        <v>4</v>
      </c>
      <c r="B22085" t="s">
        <v>4111</v>
      </c>
      <c r="C22085" s="1" t="s">
        <v>23490</v>
      </c>
      <c r="D22085" s="1" t="str">
        <f>HYPERLINK("https://rhld.insurance.arkansas.gov/NPILookup?Npi=1871571240","1871571240")</f>
        <v>1871571240</v>
      </c>
      <c r="E22085" t="s">
        <v>5846</v>
      </c>
    </row>
    <row r="22086" spans="1:5" x14ac:dyDescent="0.25">
      <c r="A22086" t="s">
        <v>4</v>
      </c>
      <c r="B22086" t="s">
        <v>4111</v>
      </c>
      <c r="C22086" s="1" t="s">
        <v>23490</v>
      </c>
      <c r="D22086" s="1" t="str">
        <f>HYPERLINK("https://rhld.insurance.arkansas.gov/NPILookup?Npi=1871573790","1871573790")</f>
        <v>1871573790</v>
      </c>
      <c r="E22086" t="s">
        <v>11884</v>
      </c>
    </row>
    <row r="22087" spans="1:5" x14ac:dyDescent="0.25">
      <c r="A22087" t="s">
        <v>4</v>
      </c>
      <c r="B22087" t="s">
        <v>4111</v>
      </c>
      <c r="C22087" s="1" t="s">
        <v>23490</v>
      </c>
      <c r="D22087" s="1" t="str">
        <f>HYPERLINK("https://rhld.insurance.arkansas.gov/NPILookup?Npi=1871581124","1871581124")</f>
        <v>1871581124</v>
      </c>
      <c r="E22087" t="s">
        <v>5847</v>
      </c>
    </row>
    <row r="22088" spans="1:5" x14ac:dyDescent="0.25">
      <c r="A22088" t="s">
        <v>4</v>
      </c>
      <c r="B22088" t="s">
        <v>4111</v>
      </c>
      <c r="C22088" s="1" t="s">
        <v>23490</v>
      </c>
      <c r="D22088" s="1" t="str">
        <f>HYPERLINK("https://rhld.insurance.arkansas.gov/NPILookup?Npi=1871588392","1871588392")</f>
        <v>1871588392</v>
      </c>
      <c r="E22088" t="s">
        <v>22352</v>
      </c>
    </row>
    <row r="22089" spans="1:5" x14ac:dyDescent="0.25">
      <c r="A22089" t="s">
        <v>4</v>
      </c>
      <c r="B22089" t="s">
        <v>4111</v>
      </c>
      <c r="C22089" s="1" t="s">
        <v>23490</v>
      </c>
      <c r="D22089" s="1" t="str">
        <f>HYPERLINK("https://rhld.insurance.arkansas.gov/NPILookup?Npi=1871604181","1871604181")</f>
        <v>1871604181</v>
      </c>
      <c r="E22089" t="s">
        <v>5849</v>
      </c>
    </row>
    <row r="22090" spans="1:5" x14ac:dyDescent="0.25">
      <c r="A22090" t="s">
        <v>4</v>
      </c>
      <c r="B22090" t="s">
        <v>4111</v>
      </c>
      <c r="C22090" s="1" t="s">
        <v>23490</v>
      </c>
      <c r="D22090" s="1" t="str">
        <f>HYPERLINK("https://rhld.insurance.arkansas.gov/NPILookup?Npi=1871627661","1871627661")</f>
        <v>1871627661</v>
      </c>
      <c r="E22090" t="s">
        <v>5850</v>
      </c>
    </row>
    <row r="22091" spans="1:5" x14ac:dyDescent="0.25">
      <c r="A22091" t="s">
        <v>4</v>
      </c>
      <c r="B22091" t="s">
        <v>4111</v>
      </c>
      <c r="C22091" s="1" t="s">
        <v>23490</v>
      </c>
      <c r="D22091" s="1" t="str">
        <f>HYPERLINK("https://rhld.insurance.arkansas.gov/NPILookup?Npi=1871630178","1871630178")</f>
        <v>1871630178</v>
      </c>
      <c r="E22091" t="s">
        <v>5851</v>
      </c>
    </row>
    <row r="22092" spans="1:5" x14ac:dyDescent="0.25">
      <c r="A22092" t="s">
        <v>4</v>
      </c>
      <c r="B22092" t="s">
        <v>4111</v>
      </c>
      <c r="C22092" s="1" t="s">
        <v>23490</v>
      </c>
      <c r="D22092" s="1" t="str">
        <f>HYPERLINK("https://rhld.insurance.arkansas.gov/NPILookup?Npi=1871637132","1871637132")</f>
        <v>1871637132</v>
      </c>
      <c r="E22092" t="s">
        <v>5852</v>
      </c>
    </row>
    <row r="22093" spans="1:5" x14ac:dyDescent="0.25">
      <c r="A22093" t="s">
        <v>4</v>
      </c>
      <c r="B22093" t="s">
        <v>4111</v>
      </c>
      <c r="C22093" s="1" t="s">
        <v>23490</v>
      </c>
      <c r="D22093" s="1" t="str">
        <f>HYPERLINK("https://rhld.insurance.arkansas.gov/NPILookup?Npi=1871637363","1871637363")</f>
        <v>1871637363</v>
      </c>
      <c r="E22093" t="s">
        <v>14249</v>
      </c>
    </row>
    <row r="22094" spans="1:5" x14ac:dyDescent="0.25">
      <c r="A22094" t="s">
        <v>4</v>
      </c>
      <c r="B22094" t="s">
        <v>4111</v>
      </c>
      <c r="C22094" s="1" t="s">
        <v>23490</v>
      </c>
      <c r="D22094" s="1" t="str">
        <f>HYPERLINK("https://rhld.insurance.arkansas.gov/NPILookup?Npi=1871695742","1871695742")</f>
        <v>1871695742</v>
      </c>
      <c r="E22094" t="s">
        <v>11886</v>
      </c>
    </row>
    <row r="22095" spans="1:5" x14ac:dyDescent="0.25">
      <c r="A22095" t="s">
        <v>4</v>
      </c>
      <c r="B22095" t="s">
        <v>4111</v>
      </c>
      <c r="C22095" s="1" t="s">
        <v>23490</v>
      </c>
      <c r="D22095" s="1" t="str">
        <f>HYPERLINK("https://rhld.insurance.arkansas.gov/NPILookup?Npi=1871696575","1871696575")</f>
        <v>1871696575</v>
      </c>
      <c r="E22095" t="s">
        <v>11887</v>
      </c>
    </row>
    <row r="22096" spans="1:5" x14ac:dyDescent="0.25">
      <c r="A22096" t="s">
        <v>4</v>
      </c>
      <c r="B22096" t="s">
        <v>4111</v>
      </c>
      <c r="C22096" s="1" t="s">
        <v>23490</v>
      </c>
      <c r="D22096" s="1" t="str">
        <f>HYPERLINK("https://rhld.insurance.arkansas.gov/NPILookup?Npi=1871703421","1871703421")</f>
        <v>1871703421</v>
      </c>
      <c r="E22096" t="s">
        <v>11888</v>
      </c>
    </row>
    <row r="22097" spans="1:5" x14ac:dyDescent="0.25">
      <c r="A22097" t="s">
        <v>4</v>
      </c>
      <c r="B22097" t="s">
        <v>4111</v>
      </c>
      <c r="C22097" s="1" t="s">
        <v>23490</v>
      </c>
      <c r="D22097" s="1" t="str">
        <f>HYPERLINK("https://rhld.insurance.arkansas.gov/NPILookup?Npi=1871709923","1871709923")</f>
        <v>1871709923</v>
      </c>
      <c r="E22097" t="s">
        <v>5853</v>
      </c>
    </row>
    <row r="22098" spans="1:5" x14ac:dyDescent="0.25">
      <c r="A22098" t="s">
        <v>4</v>
      </c>
      <c r="B22098" t="s">
        <v>4111</v>
      </c>
      <c r="C22098" s="1" t="s">
        <v>23490</v>
      </c>
      <c r="D22098" s="1" t="str">
        <f>HYPERLINK("https://rhld.insurance.arkansas.gov/NPILookup?Npi=1871718890","1871718890")</f>
        <v>1871718890</v>
      </c>
      <c r="E22098" t="s">
        <v>17245</v>
      </c>
    </row>
    <row r="22099" spans="1:5" x14ac:dyDescent="0.25">
      <c r="A22099" t="s">
        <v>4</v>
      </c>
      <c r="B22099" t="s">
        <v>4111</v>
      </c>
      <c r="C22099" s="1" t="s">
        <v>23490</v>
      </c>
      <c r="D22099" s="1" t="str">
        <f>HYPERLINK("https://rhld.insurance.arkansas.gov/NPILookup?Npi=1871737502","1871737502")</f>
        <v>1871737502</v>
      </c>
      <c r="E22099" t="s">
        <v>14250</v>
      </c>
    </row>
    <row r="22100" spans="1:5" x14ac:dyDescent="0.25">
      <c r="A22100" t="s">
        <v>4</v>
      </c>
      <c r="B22100" t="s">
        <v>4111</v>
      </c>
      <c r="C22100" s="1" t="s">
        <v>23490</v>
      </c>
      <c r="D22100" s="1" t="str">
        <f>HYPERLINK("https://rhld.insurance.arkansas.gov/NPILookup?Npi=1871743096","1871743096")</f>
        <v>1871743096</v>
      </c>
      <c r="E22100" t="s">
        <v>5854</v>
      </c>
    </row>
    <row r="22101" spans="1:5" x14ac:dyDescent="0.25">
      <c r="A22101" t="s">
        <v>4</v>
      </c>
      <c r="B22101" t="s">
        <v>4111</v>
      </c>
      <c r="C22101" s="1" t="s">
        <v>23490</v>
      </c>
      <c r="D22101" s="1" t="str">
        <f>HYPERLINK("https://rhld.insurance.arkansas.gov/NPILookup?Npi=1871748756","1871748756")</f>
        <v>1871748756</v>
      </c>
      <c r="E22101" t="s">
        <v>18451</v>
      </c>
    </row>
    <row r="22102" spans="1:5" x14ac:dyDescent="0.25">
      <c r="A22102" t="s">
        <v>4</v>
      </c>
      <c r="B22102" t="s">
        <v>4111</v>
      </c>
      <c r="C22102" s="1" t="s">
        <v>23490</v>
      </c>
      <c r="D22102" s="1" t="str">
        <f>HYPERLINK("https://rhld.insurance.arkansas.gov/NPILookup?Npi=1871750950","1871750950")</f>
        <v>1871750950</v>
      </c>
      <c r="E22102" t="s">
        <v>5855</v>
      </c>
    </row>
    <row r="22103" spans="1:5" x14ac:dyDescent="0.25">
      <c r="A22103" t="s">
        <v>4</v>
      </c>
      <c r="B22103" t="s">
        <v>4111</v>
      </c>
      <c r="C22103" s="1" t="s">
        <v>23490</v>
      </c>
      <c r="D22103" s="1" t="str">
        <f>HYPERLINK("https://rhld.insurance.arkansas.gov/NPILookup?Npi=1871757898","1871757898")</f>
        <v>1871757898</v>
      </c>
      <c r="E22103" t="s">
        <v>5856</v>
      </c>
    </row>
    <row r="22104" spans="1:5" x14ac:dyDescent="0.25">
      <c r="A22104" t="s">
        <v>4</v>
      </c>
      <c r="B22104" t="s">
        <v>4111</v>
      </c>
      <c r="C22104" s="1" t="s">
        <v>23490</v>
      </c>
      <c r="D22104" s="1" t="str">
        <f>HYPERLINK("https://rhld.insurance.arkansas.gov/NPILookup?Npi=1871766824","1871766824")</f>
        <v>1871766824</v>
      </c>
      <c r="E22104" t="s">
        <v>9171</v>
      </c>
    </row>
    <row r="22105" spans="1:5" x14ac:dyDescent="0.25">
      <c r="A22105" t="s">
        <v>4</v>
      </c>
      <c r="B22105" t="s">
        <v>4111</v>
      </c>
      <c r="C22105" s="1" t="s">
        <v>23490</v>
      </c>
      <c r="D22105" s="1" t="str">
        <f>HYPERLINK("https://rhld.insurance.arkansas.gov/NPILookup?Npi=1871790873","1871790873")</f>
        <v>1871790873</v>
      </c>
      <c r="E22105" t="s">
        <v>16257</v>
      </c>
    </row>
    <row r="22106" spans="1:5" x14ac:dyDescent="0.25">
      <c r="A22106" t="s">
        <v>4</v>
      </c>
      <c r="B22106" t="s">
        <v>4111</v>
      </c>
      <c r="C22106" s="1" t="s">
        <v>23490</v>
      </c>
      <c r="D22106" s="1" t="str">
        <f>HYPERLINK("https://rhld.insurance.arkansas.gov/NPILookup?Npi=1871793935","1871793935")</f>
        <v>1871793935</v>
      </c>
      <c r="E22106" t="s">
        <v>5857</v>
      </c>
    </row>
    <row r="22107" spans="1:5" x14ac:dyDescent="0.25">
      <c r="A22107" t="s">
        <v>4</v>
      </c>
      <c r="B22107" t="s">
        <v>4111</v>
      </c>
      <c r="C22107" s="1" t="s">
        <v>23490</v>
      </c>
      <c r="D22107" s="1" t="str">
        <f>HYPERLINK("https://rhld.insurance.arkansas.gov/NPILookup?Npi=1871819219","1871819219")</f>
        <v>1871819219</v>
      </c>
      <c r="E22107" t="s">
        <v>5858</v>
      </c>
    </row>
    <row r="22108" spans="1:5" x14ac:dyDescent="0.25">
      <c r="A22108" t="s">
        <v>4</v>
      </c>
      <c r="B22108" t="s">
        <v>4111</v>
      </c>
      <c r="C22108" s="1" t="s">
        <v>23490</v>
      </c>
      <c r="D22108" s="1" t="str">
        <f>HYPERLINK("https://rhld.insurance.arkansas.gov/NPILookup?Npi=1871820993","1871820993")</f>
        <v>1871820993</v>
      </c>
      <c r="E22108" t="s">
        <v>5859</v>
      </c>
    </row>
    <row r="22109" spans="1:5" x14ac:dyDescent="0.25">
      <c r="A22109" t="s">
        <v>4</v>
      </c>
      <c r="B22109" t="s">
        <v>4111</v>
      </c>
      <c r="C22109" s="1" t="s">
        <v>23490</v>
      </c>
      <c r="D22109" s="1" t="str">
        <f>HYPERLINK("https://rhld.insurance.arkansas.gov/NPILookup?Npi=1871832196","1871832196")</f>
        <v>1871832196</v>
      </c>
      <c r="E22109" t="s">
        <v>9172</v>
      </c>
    </row>
    <row r="22110" spans="1:5" x14ac:dyDescent="0.25">
      <c r="A22110" t="s">
        <v>4</v>
      </c>
      <c r="B22110" t="s">
        <v>4111</v>
      </c>
      <c r="C22110" s="1" t="s">
        <v>23490</v>
      </c>
      <c r="D22110" s="1" t="str">
        <f>HYPERLINK("https://rhld.insurance.arkansas.gov/NPILookup?Npi=1871834184","1871834184")</f>
        <v>1871834184</v>
      </c>
      <c r="E22110" t="s">
        <v>18452</v>
      </c>
    </row>
    <row r="22111" spans="1:5" x14ac:dyDescent="0.25">
      <c r="A22111" t="s">
        <v>4</v>
      </c>
      <c r="B22111" t="s">
        <v>4111</v>
      </c>
      <c r="C22111" s="1" t="s">
        <v>23490</v>
      </c>
      <c r="D22111" s="1" t="str">
        <f>HYPERLINK("https://rhld.insurance.arkansas.gov/NPILookup?Npi=1871849422","1871849422")</f>
        <v>1871849422</v>
      </c>
      <c r="E22111" t="s">
        <v>18453</v>
      </c>
    </row>
    <row r="22112" spans="1:5" x14ac:dyDescent="0.25">
      <c r="A22112" t="s">
        <v>4</v>
      </c>
      <c r="B22112" t="s">
        <v>4111</v>
      </c>
      <c r="C22112" s="1" t="s">
        <v>23490</v>
      </c>
      <c r="D22112" s="1" t="str">
        <f>HYPERLINK("https://rhld.insurance.arkansas.gov/NPILookup?Npi=1871854653","1871854653")</f>
        <v>1871854653</v>
      </c>
      <c r="E22112" t="s">
        <v>14251</v>
      </c>
    </row>
    <row r="22113" spans="1:5" x14ac:dyDescent="0.25">
      <c r="A22113" t="s">
        <v>4</v>
      </c>
      <c r="B22113" t="s">
        <v>4111</v>
      </c>
      <c r="C22113" s="1" t="s">
        <v>23490</v>
      </c>
      <c r="D22113" s="1" t="str">
        <f>HYPERLINK("https://rhld.insurance.arkansas.gov/NPILookup?Npi=1871854851","1871854851")</f>
        <v>1871854851</v>
      </c>
      <c r="E22113" t="s">
        <v>17664</v>
      </c>
    </row>
    <row r="22114" spans="1:5" x14ac:dyDescent="0.25">
      <c r="A22114" t="s">
        <v>4</v>
      </c>
      <c r="B22114" t="s">
        <v>4111</v>
      </c>
      <c r="C22114" s="1" t="s">
        <v>23490</v>
      </c>
      <c r="D22114" s="1" t="str">
        <f>HYPERLINK("https://rhld.insurance.arkansas.gov/NPILookup?Npi=1871875385","1871875385")</f>
        <v>1871875385</v>
      </c>
      <c r="E22114" t="s">
        <v>18454</v>
      </c>
    </row>
    <row r="22115" spans="1:5" x14ac:dyDescent="0.25">
      <c r="A22115" t="s">
        <v>4</v>
      </c>
      <c r="B22115" t="s">
        <v>4111</v>
      </c>
      <c r="C22115" s="1" t="s">
        <v>23490</v>
      </c>
      <c r="D22115" s="1" t="str">
        <f>HYPERLINK("https://rhld.insurance.arkansas.gov/NPILookup?Npi=1871901595","1871901595")</f>
        <v>1871901595</v>
      </c>
      <c r="E22115" t="s">
        <v>11889</v>
      </c>
    </row>
    <row r="22116" spans="1:5" x14ac:dyDescent="0.25">
      <c r="A22116" t="s">
        <v>4</v>
      </c>
      <c r="B22116" t="s">
        <v>4111</v>
      </c>
      <c r="C22116" s="1" t="s">
        <v>23490</v>
      </c>
      <c r="D22116" s="1" t="str">
        <f>HYPERLINK("https://rhld.insurance.arkansas.gov/NPILookup?Npi=1871907337","1871907337")</f>
        <v>1871907337</v>
      </c>
      <c r="E22116" t="s">
        <v>14252</v>
      </c>
    </row>
    <row r="22117" spans="1:5" x14ac:dyDescent="0.25">
      <c r="A22117" t="s">
        <v>4</v>
      </c>
      <c r="B22117" t="s">
        <v>4111</v>
      </c>
      <c r="C22117" s="1" t="s">
        <v>23490</v>
      </c>
      <c r="D22117" s="1" t="str">
        <f>HYPERLINK("https://rhld.insurance.arkansas.gov/NPILookup?Npi=1871919704","1871919704")</f>
        <v>1871919704</v>
      </c>
      <c r="E22117" t="s">
        <v>20619</v>
      </c>
    </row>
    <row r="22118" spans="1:5" x14ac:dyDescent="0.25">
      <c r="A22118" t="s">
        <v>4</v>
      </c>
      <c r="B22118" t="s">
        <v>4111</v>
      </c>
      <c r="C22118" s="1" t="s">
        <v>23490</v>
      </c>
      <c r="D22118" s="1" t="str">
        <f>HYPERLINK("https://rhld.insurance.arkansas.gov/NPILookup?Npi=1871931022","1871931022")</f>
        <v>1871931022</v>
      </c>
      <c r="E22118" t="s">
        <v>22353</v>
      </c>
    </row>
    <row r="22119" spans="1:5" x14ac:dyDescent="0.25">
      <c r="A22119" t="s">
        <v>4</v>
      </c>
      <c r="B22119" t="s">
        <v>4111</v>
      </c>
      <c r="C22119" s="1" t="s">
        <v>23490</v>
      </c>
      <c r="D22119" s="1" t="str">
        <f>HYPERLINK("https://rhld.insurance.arkansas.gov/NPILookup?Npi=1871932210","1871932210")</f>
        <v>1871932210</v>
      </c>
      <c r="E22119" t="s">
        <v>9173</v>
      </c>
    </row>
    <row r="22120" spans="1:5" x14ac:dyDescent="0.25">
      <c r="A22120" t="s">
        <v>4</v>
      </c>
      <c r="B22120" t="s">
        <v>4111</v>
      </c>
      <c r="C22120" s="1" t="s">
        <v>23490</v>
      </c>
      <c r="D22120" s="1" t="str">
        <f>HYPERLINK("https://rhld.insurance.arkansas.gov/NPILookup?Npi=1871976738","1871976738")</f>
        <v>1871976738</v>
      </c>
      <c r="E22120" t="s">
        <v>3076</v>
      </c>
    </row>
    <row r="22121" spans="1:5" x14ac:dyDescent="0.25">
      <c r="A22121" t="s">
        <v>4</v>
      </c>
      <c r="B22121" t="s">
        <v>4111</v>
      </c>
      <c r="C22121" s="1" t="s">
        <v>23490</v>
      </c>
      <c r="D22121" s="1" t="str">
        <f>HYPERLINK("https://rhld.insurance.arkansas.gov/NPILookup?Npi=1871994145","1871994145")</f>
        <v>1871994145</v>
      </c>
      <c r="E22121" t="s">
        <v>5860</v>
      </c>
    </row>
    <row r="22122" spans="1:5" x14ac:dyDescent="0.25">
      <c r="A22122" t="s">
        <v>4</v>
      </c>
      <c r="B22122" t="s">
        <v>4111</v>
      </c>
      <c r="C22122" s="1" t="s">
        <v>23490</v>
      </c>
      <c r="D22122" s="1" t="str">
        <f>HYPERLINK("https://rhld.insurance.arkansas.gov/NPILookup?Npi=1881019867","1881019867")</f>
        <v>1881019867</v>
      </c>
      <c r="E22122" t="s">
        <v>20620</v>
      </c>
    </row>
    <row r="22123" spans="1:5" x14ac:dyDescent="0.25">
      <c r="A22123" t="s">
        <v>4</v>
      </c>
      <c r="B22123" t="s">
        <v>4111</v>
      </c>
      <c r="C22123" s="1" t="s">
        <v>23490</v>
      </c>
      <c r="D22123" s="1" t="str">
        <f>HYPERLINK("https://rhld.insurance.arkansas.gov/NPILookup?Npi=1881023828","1881023828")</f>
        <v>1881023828</v>
      </c>
      <c r="E22123" t="s">
        <v>5861</v>
      </c>
    </row>
    <row r="22124" spans="1:5" x14ac:dyDescent="0.25">
      <c r="A22124" t="s">
        <v>4</v>
      </c>
      <c r="B22124" t="s">
        <v>4111</v>
      </c>
      <c r="C22124" s="1" t="s">
        <v>23490</v>
      </c>
      <c r="D22124" s="1" t="str">
        <f>HYPERLINK("https://rhld.insurance.arkansas.gov/NPILookup?Npi=1881030013","1881030013")</f>
        <v>1881030013</v>
      </c>
      <c r="E22124" t="s">
        <v>11890</v>
      </c>
    </row>
    <row r="22125" spans="1:5" x14ac:dyDescent="0.25">
      <c r="A22125" t="s">
        <v>4</v>
      </c>
      <c r="B22125" t="s">
        <v>4111</v>
      </c>
      <c r="C22125" s="1" t="s">
        <v>23490</v>
      </c>
      <c r="D22125" s="1" t="str">
        <f>HYPERLINK("https://rhld.insurance.arkansas.gov/NPILookup?Npi=1881032225","1881032225")</f>
        <v>1881032225</v>
      </c>
      <c r="E22125" t="s">
        <v>13224</v>
      </c>
    </row>
    <row r="22126" spans="1:5" x14ac:dyDescent="0.25">
      <c r="A22126" t="s">
        <v>4</v>
      </c>
      <c r="B22126" t="s">
        <v>4111</v>
      </c>
      <c r="C22126" s="1" t="s">
        <v>23490</v>
      </c>
      <c r="D22126" s="1" t="str">
        <f>HYPERLINK("https://rhld.insurance.arkansas.gov/NPILookup?Npi=1881033538","1881033538")</f>
        <v>1881033538</v>
      </c>
      <c r="E22126" t="s">
        <v>11891</v>
      </c>
    </row>
    <row r="22127" spans="1:5" x14ac:dyDescent="0.25">
      <c r="A22127" t="s">
        <v>4</v>
      </c>
      <c r="B22127" t="s">
        <v>4111</v>
      </c>
      <c r="C22127" s="1" t="s">
        <v>23490</v>
      </c>
      <c r="D22127" s="1" t="str">
        <f>HYPERLINK("https://rhld.insurance.arkansas.gov/NPILookup?Npi=1881052785","1881052785")</f>
        <v>1881052785</v>
      </c>
      <c r="E22127" t="s">
        <v>11892</v>
      </c>
    </row>
    <row r="22128" spans="1:5" x14ac:dyDescent="0.25">
      <c r="A22128" t="s">
        <v>4</v>
      </c>
      <c r="B22128" t="s">
        <v>4111</v>
      </c>
      <c r="C22128" s="1" t="s">
        <v>23490</v>
      </c>
      <c r="D22128" s="1" t="str">
        <f>HYPERLINK("https://rhld.insurance.arkansas.gov/NPILookup?Npi=1881063410","1881063410")</f>
        <v>1881063410</v>
      </c>
      <c r="E22128" t="s">
        <v>17665</v>
      </c>
    </row>
    <row r="22129" spans="1:5" x14ac:dyDescent="0.25">
      <c r="A22129" t="s">
        <v>4</v>
      </c>
      <c r="B22129" t="s">
        <v>4111</v>
      </c>
      <c r="C22129" s="1" t="s">
        <v>23490</v>
      </c>
      <c r="D22129" s="1" t="str">
        <f>HYPERLINK("https://rhld.insurance.arkansas.gov/NPILookup?Npi=1881074755","1881074755")</f>
        <v>1881074755</v>
      </c>
      <c r="E22129" t="s">
        <v>5862</v>
      </c>
    </row>
    <row r="22130" spans="1:5" x14ac:dyDescent="0.25">
      <c r="A22130" t="s">
        <v>4</v>
      </c>
      <c r="B22130" t="s">
        <v>4111</v>
      </c>
      <c r="C22130" s="1" t="s">
        <v>23490</v>
      </c>
      <c r="D22130" s="1" t="str">
        <f>HYPERLINK("https://rhld.insurance.arkansas.gov/NPILookup?Npi=1881090439","1881090439")</f>
        <v>1881090439</v>
      </c>
      <c r="E22130" t="s">
        <v>17666</v>
      </c>
    </row>
    <row r="22131" spans="1:5" x14ac:dyDescent="0.25">
      <c r="A22131" t="s">
        <v>4</v>
      </c>
      <c r="B22131" t="s">
        <v>4111</v>
      </c>
      <c r="C22131" s="1" t="s">
        <v>23490</v>
      </c>
      <c r="D22131" s="1" t="str">
        <f>HYPERLINK("https://rhld.insurance.arkansas.gov/NPILookup?Npi=1881102820","1881102820")</f>
        <v>1881102820</v>
      </c>
      <c r="E22131" t="s">
        <v>18455</v>
      </c>
    </row>
    <row r="22132" spans="1:5" x14ac:dyDescent="0.25">
      <c r="A22132" t="s">
        <v>4</v>
      </c>
      <c r="B22132" t="s">
        <v>4111</v>
      </c>
      <c r="C22132" s="1" t="s">
        <v>23490</v>
      </c>
      <c r="D22132" s="1" t="str">
        <f>HYPERLINK("https://rhld.insurance.arkansas.gov/NPILookup?Npi=1881114320","1881114320")</f>
        <v>1881114320</v>
      </c>
      <c r="E22132" t="s">
        <v>16258</v>
      </c>
    </row>
    <row r="22133" spans="1:5" x14ac:dyDescent="0.25">
      <c r="A22133" t="s">
        <v>4</v>
      </c>
      <c r="B22133" t="s">
        <v>4111</v>
      </c>
      <c r="C22133" s="1" t="s">
        <v>23490</v>
      </c>
      <c r="D22133" s="1" t="str">
        <f>HYPERLINK("https://rhld.insurance.arkansas.gov/NPILookup?Npi=1881114544","1881114544")</f>
        <v>1881114544</v>
      </c>
      <c r="E22133" t="s">
        <v>22354</v>
      </c>
    </row>
    <row r="22134" spans="1:5" x14ac:dyDescent="0.25">
      <c r="A22134" t="s">
        <v>4</v>
      </c>
      <c r="B22134" t="s">
        <v>4111</v>
      </c>
      <c r="C22134" s="1" t="s">
        <v>23490</v>
      </c>
      <c r="D22134" s="1" t="str">
        <f>HYPERLINK("https://rhld.insurance.arkansas.gov/NPILookup?Npi=1881117182","1881117182")</f>
        <v>1881117182</v>
      </c>
      <c r="E22134" t="s">
        <v>19034</v>
      </c>
    </row>
    <row r="22135" spans="1:5" x14ac:dyDescent="0.25">
      <c r="A22135" t="s">
        <v>4</v>
      </c>
      <c r="B22135" t="s">
        <v>4111</v>
      </c>
      <c r="C22135" s="1" t="s">
        <v>23490</v>
      </c>
      <c r="D22135" s="1" t="str">
        <f>HYPERLINK("https://rhld.insurance.arkansas.gov/NPILookup?Npi=1881118057","1881118057")</f>
        <v>1881118057</v>
      </c>
      <c r="E22135" t="s">
        <v>19035</v>
      </c>
    </row>
    <row r="22136" spans="1:5" x14ac:dyDescent="0.25">
      <c r="A22136" t="s">
        <v>4</v>
      </c>
      <c r="B22136" t="s">
        <v>4111</v>
      </c>
      <c r="C22136" s="1" t="s">
        <v>23490</v>
      </c>
      <c r="D22136" s="1" t="str">
        <f>HYPERLINK("https://rhld.insurance.arkansas.gov/NPILookup?Npi=1881120715","1881120715")</f>
        <v>1881120715</v>
      </c>
      <c r="E22136" t="s">
        <v>11352</v>
      </c>
    </row>
    <row r="22137" spans="1:5" x14ac:dyDescent="0.25">
      <c r="A22137" t="s">
        <v>4</v>
      </c>
      <c r="B22137" t="s">
        <v>4111</v>
      </c>
      <c r="C22137" s="1" t="s">
        <v>23490</v>
      </c>
      <c r="D22137" s="1" t="str">
        <f>HYPERLINK("https://rhld.insurance.arkansas.gov/NPILookup?Npi=1881121879","1881121879")</f>
        <v>1881121879</v>
      </c>
      <c r="E22137" t="s">
        <v>23203</v>
      </c>
    </row>
    <row r="22138" spans="1:5" x14ac:dyDescent="0.25">
      <c r="A22138" t="s">
        <v>4</v>
      </c>
      <c r="B22138" t="s">
        <v>4111</v>
      </c>
      <c r="C22138" s="1" t="s">
        <v>23490</v>
      </c>
      <c r="D22138" s="1" t="str">
        <f>HYPERLINK("https://rhld.insurance.arkansas.gov/NPILookup?Npi=1881130292","1881130292")</f>
        <v>1881130292</v>
      </c>
      <c r="E22138" t="s">
        <v>22355</v>
      </c>
    </row>
    <row r="22139" spans="1:5" x14ac:dyDescent="0.25">
      <c r="A22139" t="s">
        <v>4</v>
      </c>
      <c r="B22139" t="s">
        <v>4111</v>
      </c>
      <c r="C22139" s="1" t="s">
        <v>23490</v>
      </c>
      <c r="D22139" s="1" t="str">
        <f>HYPERLINK("https://rhld.insurance.arkansas.gov/NPILookup?Npi=1881138550","1881138550")</f>
        <v>1881138550</v>
      </c>
      <c r="E22139" t="s">
        <v>18456</v>
      </c>
    </row>
    <row r="22140" spans="1:5" x14ac:dyDescent="0.25">
      <c r="A22140" t="s">
        <v>4</v>
      </c>
      <c r="B22140" t="s">
        <v>4111</v>
      </c>
      <c r="C22140" s="1" t="s">
        <v>23490</v>
      </c>
      <c r="D22140" s="1" t="str">
        <f>HYPERLINK("https://rhld.insurance.arkansas.gov/NPILookup?Npi=1881147122","1881147122")</f>
        <v>1881147122</v>
      </c>
      <c r="E22140" t="s">
        <v>17667</v>
      </c>
    </row>
    <row r="22141" spans="1:5" x14ac:dyDescent="0.25">
      <c r="A22141" t="s">
        <v>4</v>
      </c>
      <c r="B22141" t="s">
        <v>4111</v>
      </c>
      <c r="C22141" s="1" t="s">
        <v>23490</v>
      </c>
      <c r="D22141" s="1" t="str">
        <f>HYPERLINK("https://rhld.insurance.arkansas.gov/NPILookup?Npi=1881171809","1881171809")</f>
        <v>1881171809</v>
      </c>
      <c r="E22141" t="s">
        <v>20621</v>
      </c>
    </row>
    <row r="22142" spans="1:5" x14ac:dyDescent="0.25">
      <c r="A22142" t="s">
        <v>4</v>
      </c>
      <c r="B22142" t="s">
        <v>4111</v>
      </c>
      <c r="C22142" s="1" t="s">
        <v>23490</v>
      </c>
      <c r="D22142" s="1" t="str">
        <f>HYPERLINK("https://rhld.insurance.arkansas.gov/NPILookup?Npi=1881207785","1881207785")</f>
        <v>1881207785</v>
      </c>
      <c r="E22142" t="s">
        <v>18457</v>
      </c>
    </row>
    <row r="22143" spans="1:5" x14ac:dyDescent="0.25">
      <c r="A22143" t="s">
        <v>4</v>
      </c>
      <c r="B22143" t="s">
        <v>4111</v>
      </c>
      <c r="C22143" s="1" t="s">
        <v>23490</v>
      </c>
      <c r="D22143" s="1" t="str">
        <f>HYPERLINK("https://rhld.insurance.arkansas.gov/NPILookup?Npi=1881231728","1881231728")</f>
        <v>1881231728</v>
      </c>
      <c r="E22143" t="s">
        <v>20622</v>
      </c>
    </row>
    <row r="22144" spans="1:5" x14ac:dyDescent="0.25">
      <c r="A22144" t="s">
        <v>4</v>
      </c>
      <c r="B22144" t="s">
        <v>4111</v>
      </c>
      <c r="C22144" s="1" t="s">
        <v>23490</v>
      </c>
      <c r="D22144" s="1" t="str">
        <f>HYPERLINK("https://rhld.insurance.arkansas.gov/NPILookup?Npi=1881244200","1881244200")</f>
        <v>1881244200</v>
      </c>
      <c r="E22144" t="s">
        <v>18458</v>
      </c>
    </row>
    <row r="22145" spans="1:5" x14ac:dyDescent="0.25">
      <c r="A22145" t="s">
        <v>4</v>
      </c>
      <c r="B22145" t="s">
        <v>4111</v>
      </c>
      <c r="C22145" s="1" t="s">
        <v>8427</v>
      </c>
      <c r="D22145" s="1" t="str">
        <f>HYPERLINK("https://rhld.insurance.arkansas.gov/NPILookup?Npi=1881253664","1881253664")</f>
        <v>1881253664</v>
      </c>
      <c r="E22145" t="s">
        <v>23204</v>
      </c>
    </row>
    <row r="22146" spans="1:5" x14ac:dyDescent="0.25">
      <c r="A22146" t="s">
        <v>4</v>
      </c>
      <c r="B22146" t="s">
        <v>4111</v>
      </c>
      <c r="C22146" s="1" t="s">
        <v>23490</v>
      </c>
      <c r="D22146" s="1" t="str">
        <f>HYPERLINK("https://rhld.insurance.arkansas.gov/NPILookup?Npi=1881259430","1881259430")</f>
        <v>1881259430</v>
      </c>
      <c r="E22146" t="s">
        <v>22356</v>
      </c>
    </row>
    <row r="22147" spans="1:5" x14ac:dyDescent="0.25">
      <c r="A22147" t="s">
        <v>4</v>
      </c>
      <c r="B22147" t="s">
        <v>4111</v>
      </c>
      <c r="C22147" s="1" t="s">
        <v>23490</v>
      </c>
      <c r="D22147" s="1" t="str">
        <f>HYPERLINK("https://rhld.insurance.arkansas.gov/NPILookup?Npi=1881295434","1881295434")</f>
        <v>1881295434</v>
      </c>
      <c r="E22147" t="s">
        <v>22357</v>
      </c>
    </row>
    <row r="22148" spans="1:5" x14ac:dyDescent="0.25">
      <c r="A22148" t="s">
        <v>4</v>
      </c>
      <c r="B22148" t="s">
        <v>4111</v>
      </c>
      <c r="C22148" s="1" t="s">
        <v>23490</v>
      </c>
      <c r="D22148" s="1" t="str">
        <f>HYPERLINK("https://rhld.insurance.arkansas.gov/NPILookup?Npi=1881311447","1881311447")</f>
        <v>1881311447</v>
      </c>
      <c r="E22148" t="s">
        <v>22358</v>
      </c>
    </row>
    <row r="22149" spans="1:5" x14ac:dyDescent="0.25">
      <c r="A22149" t="s">
        <v>4</v>
      </c>
      <c r="B22149" t="s">
        <v>4111</v>
      </c>
      <c r="C22149" s="1" t="s">
        <v>23490</v>
      </c>
      <c r="D22149" s="1" t="str">
        <f>HYPERLINK("https://rhld.insurance.arkansas.gov/NPILookup?Npi=1881335537","1881335537")</f>
        <v>1881335537</v>
      </c>
      <c r="E22149" t="s">
        <v>22359</v>
      </c>
    </row>
    <row r="22150" spans="1:5" x14ac:dyDescent="0.25">
      <c r="A22150" t="s">
        <v>4</v>
      </c>
      <c r="B22150" t="s">
        <v>4111</v>
      </c>
      <c r="C22150" s="1" t="s">
        <v>8427</v>
      </c>
      <c r="D22150" s="1" t="str">
        <f>HYPERLINK("https://rhld.insurance.arkansas.gov/NPILookup?Npi=1881373769","1881373769")</f>
        <v>1881373769</v>
      </c>
      <c r="E22150" t="s">
        <v>23205</v>
      </c>
    </row>
    <row r="22151" spans="1:5" x14ac:dyDescent="0.25">
      <c r="A22151" t="s">
        <v>4</v>
      </c>
      <c r="B22151" t="s">
        <v>4111</v>
      </c>
      <c r="C22151" s="1" t="s">
        <v>8427</v>
      </c>
      <c r="D22151" s="1" t="str">
        <f>HYPERLINK("https://rhld.insurance.arkansas.gov/NPILookup?Npi=1881384949","1881384949")</f>
        <v>1881384949</v>
      </c>
      <c r="E22151" t="s">
        <v>23206</v>
      </c>
    </row>
    <row r="22152" spans="1:5" x14ac:dyDescent="0.25">
      <c r="A22152" t="s">
        <v>4</v>
      </c>
      <c r="B22152" t="s">
        <v>4111</v>
      </c>
      <c r="C22152" s="1" t="s">
        <v>23490</v>
      </c>
      <c r="D22152" s="1" t="str">
        <f>HYPERLINK("https://rhld.insurance.arkansas.gov/NPILookup?Npi=1881613503","1881613503")</f>
        <v>1881613503</v>
      </c>
      <c r="E22152" t="s">
        <v>5863</v>
      </c>
    </row>
    <row r="22153" spans="1:5" x14ac:dyDescent="0.25">
      <c r="A22153" t="s">
        <v>4</v>
      </c>
      <c r="B22153" t="s">
        <v>4111</v>
      </c>
      <c r="C22153" s="1" t="s">
        <v>23490</v>
      </c>
      <c r="D22153" s="1" t="str">
        <f>HYPERLINK("https://rhld.insurance.arkansas.gov/NPILookup?Npi=1881623197","1881623197")</f>
        <v>1881623197</v>
      </c>
      <c r="E22153" t="s">
        <v>5864</v>
      </c>
    </row>
    <row r="22154" spans="1:5" x14ac:dyDescent="0.25">
      <c r="A22154" t="s">
        <v>4</v>
      </c>
      <c r="B22154" t="s">
        <v>4111</v>
      </c>
      <c r="C22154" s="1" t="s">
        <v>23490</v>
      </c>
      <c r="D22154" s="1" t="str">
        <f>HYPERLINK("https://rhld.insurance.arkansas.gov/NPILookup?Npi=1881635316","1881635316")</f>
        <v>1881635316</v>
      </c>
      <c r="E22154" t="s">
        <v>4973</v>
      </c>
    </row>
    <row r="22155" spans="1:5" x14ac:dyDescent="0.25">
      <c r="A22155" t="s">
        <v>4</v>
      </c>
      <c r="B22155" t="s">
        <v>4111</v>
      </c>
      <c r="C22155" s="1" t="s">
        <v>23490</v>
      </c>
      <c r="D22155" s="1" t="str">
        <f>HYPERLINK("https://rhld.insurance.arkansas.gov/NPILookup?Npi=1881636967","1881636967")</f>
        <v>1881636967</v>
      </c>
      <c r="E22155" t="s">
        <v>14253</v>
      </c>
    </row>
    <row r="22156" spans="1:5" x14ac:dyDescent="0.25">
      <c r="A22156" t="s">
        <v>4</v>
      </c>
      <c r="B22156" t="s">
        <v>4111</v>
      </c>
      <c r="C22156" s="1" t="s">
        <v>23490</v>
      </c>
      <c r="D22156" s="1" t="str">
        <f>HYPERLINK("https://rhld.insurance.arkansas.gov/NPILookup?Npi=1881641066","1881641066")</f>
        <v>1881641066</v>
      </c>
      <c r="E22156" t="s">
        <v>5865</v>
      </c>
    </row>
    <row r="22157" spans="1:5" x14ac:dyDescent="0.25">
      <c r="A22157" t="s">
        <v>4</v>
      </c>
      <c r="B22157" t="s">
        <v>4111</v>
      </c>
      <c r="C22157" s="1" t="s">
        <v>23490</v>
      </c>
      <c r="D22157" s="1" t="str">
        <f>HYPERLINK("https://rhld.insurance.arkansas.gov/NPILookup?Npi=1881672400","1881672400")</f>
        <v>1881672400</v>
      </c>
      <c r="E22157" t="s">
        <v>16259</v>
      </c>
    </row>
    <row r="22158" spans="1:5" x14ac:dyDescent="0.25">
      <c r="A22158" t="s">
        <v>4</v>
      </c>
      <c r="B22158" t="s">
        <v>4111</v>
      </c>
      <c r="C22158" s="1" t="s">
        <v>23490</v>
      </c>
      <c r="D22158" s="1" t="str">
        <f>HYPERLINK("https://rhld.insurance.arkansas.gov/NPILookup?Npi=1881712891","1881712891")</f>
        <v>1881712891</v>
      </c>
      <c r="E22158" t="s">
        <v>5866</v>
      </c>
    </row>
    <row r="22159" spans="1:5" x14ac:dyDescent="0.25">
      <c r="A22159" t="s">
        <v>4</v>
      </c>
      <c r="B22159" t="s">
        <v>4111</v>
      </c>
      <c r="C22159" s="1" t="s">
        <v>23490</v>
      </c>
      <c r="D22159" s="1" t="str">
        <f>HYPERLINK("https://rhld.insurance.arkansas.gov/NPILookup?Npi=1881719136","1881719136")</f>
        <v>1881719136</v>
      </c>
      <c r="E22159" t="s">
        <v>5867</v>
      </c>
    </row>
    <row r="22160" spans="1:5" x14ac:dyDescent="0.25">
      <c r="A22160" t="s">
        <v>4</v>
      </c>
      <c r="B22160" t="s">
        <v>4111</v>
      </c>
      <c r="C22160" s="1" t="s">
        <v>23490</v>
      </c>
      <c r="D22160" s="1" t="str">
        <f>HYPERLINK("https://rhld.insurance.arkansas.gov/NPILookup?Npi=1881731446","1881731446")</f>
        <v>1881731446</v>
      </c>
      <c r="E22160" t="s">
        <v>9174</v>
      </c>
    </row>
    <row r="22161" spans="1:5" x14ac:dyDescent="0.25">
      <c r="A22161" t="s">
        <v>4</v>
      </c>
      <c r="B22161" t="s">
        <v>4111</v>
      </c>
      <c r="C22161" s="1" t="s">
        <v>23490</v>
      </c>
      <c r="D22161" s="1" t="str">
        <f>HYPERLINK("https://rhld.insurance.arkansas.gov/NPILookup?Npi=1881783959","1881783959")</f>
        <v>1881783959</v>
      </c>
      <c r="E22161" t="s">
        <v>5868</v>
      </c>
    </row>
    <row r="22162" spans="1:5" x14ac:dyDescent="0.25">
      <c r="A22162" t="s">
        <v>4</v>
      </c>
      <c r="B22162" t="s">
        <v>4111</v>
      </c>
      <c r="C22162" s="1" t="s">
        <v>23490</v>
      </c>
      <c r="D22162" s="1" t="str">
        <f>HYPERLINK("https://rhld.insurance.arkansas.gov/NPILookup?Npi=1881797793","1881797793")</f>
        <v>1881797793</v>
      </c>
      <c r="E22162" t="s">
        <v>14254</v>
      </c>
    </row>
    <row r="22163" spans="1:5" x14ac:dyDescent="0.25">
      <c r="A22163" t="s">
        <v>4</v>
      </c>
      <c r="B22163" t="s">
        <v>4111</v>
      </c>
      <c r="C22163" s="1" t="s">
        <v>23490</v>
      </c>
      <c r="D22163" s="1" t="str">
        <f>HYPERLINK("https://rhld.insurance.arkansas.gov/NPILookup?Npi=1881803203","1881803203")</f>
        <v>1881803203</v>
      </c>
      <c r="E22163" t="s">
        <v>4327</v>
      </c>
    </row>
    <row r="22164" spans="1:5" x14ac:dyDescent="0.25">
      <c r="A22164" t="s">
        <v>4</v>
      </c>
      <c r="B22164" t="s">
        <v>4111</v>
      </c>
      <c r="C22164" s="1" t="s">
        <v>23490</v>
      </c>
      <c r="D22164" s="1" t="str">
        <f>HYPERLINK("https://rhld.insurance.arkansas.gov/NPILookup?Npi=1881811248","1881811248")</f>
        <v>1881811248</v>
      </c>
      <c r="E22164" t="s">
        <v>5869</v>
      </c>
    </row>
    <row r="22165" spans="1:5" x14ac:dyDescent="0.25">
      <c r="A22165" t="s">
        <v>4</v>
      </c>
      <c r="B22165" t="s">
        <v>4111</v>
      </c>
      <c r="C22165" s="1" t="s">
        <v>23490</v>
      </c>
      <c r="D22165" s="1" t="str">
        <f>HYPERLINK("https://rhld.insurance.arkansas.gov/NPILookup?Npi=1881837649","1881837649")</f>
        <v>1881837649</v>
      </c>
      <c r="E22165" t="s">
        <v>16260</v>
      </c>
    </row>
    <row r="22166" spans="1:5" x14ac:dyDescent="0.25">
      <c r="A22166" t="s">
        <v>4</v>
      </c>
      <c r="B22166" t="s">
        <v>4111</v>
      </c>
      <c r="C22166" s="1" t="s">
        <v>23490</v>
      </c>
      <c r="D22166" s="1" t="str">
        <f>HYPERLINK("https://rhld.insurance.arkansas.gov/NPILookup?Npi=1881844561","1881844561")</f>
        <v>1881844561</v>
      </c>
      <c r="E22166" t="s">
        <v>5870</v>
      </c>
    </row>
    <row r="22167" spans="1:5" x14ac:dyDescent="0.25">
      <c r="A22167" t="s">
        <v>4</v>
      </c>
      <c r="B22167" t="s">
        <v>4111</v>
      </c>
      <c r="C22167" s="1" t="s">
        <v>23490</v>
      </c>
      <c r="D22167" s="1" t="str">
        <f>HYPERLINK("https://rhld.insurance.arkansas.gov/NPILookup?Npi=1881845113","1881845113")</f>
        <v>1881845113</v>
      </c>
      <c r="E22167" t="s">
        <v>13225</v>
      </c>
    </row>
    <row r="22168" spans="1:5" x14ac:dyDescent="0.25">
      <c r="A22168" t="s">
        <v>4</v>
      </c>
      <c r="B22168" t="s">
        <v>4111</v>
      </c>
      <c r="C22168" s="1" t="s">
        <v>23490</v>
      </c>
      <c r="D22168" s="1" t="str">
        <f>HYPERLINK("https://rhld.insurance.arkansas.gov/NPILookup?Npi=1881848265","1881848265")</f>
        <v>1881848265</v>
      </c>
      <c r="E22168" t="s">
        <v>13226</v>
      </c>
    </row>
    <row r="22169" spans="1:5" x14ac:dyDescent="0.25">
      <c r="A22169" t="s">
        <v>4</v>
      </c>
      <c r="B22169" t="s">
        <v>4111</v>
      </c>
      <c r="C22169" s="1" t="s">
        <v>23490</v>
      </c>
      <c r="D22169" s="1" t="str">
        <f>HYPERLINK("https://rhld.insurance.arkansas.gov/NPILookup?Npi=1881878478","1881878478")</f>
        <v>1881878478</v>
      </c>
      <c r="E22169" t="s">
        <v>5871</v>
      </c>
    </row>
    <row r="22170" spans="1:5" x14ac:dyDescent="0.25">
      <c r="A22170" t="s">
        <v>4</v>
      </c>
      <c r="B22170" t="s">
        <v>4111</v>
      </c>
      <c r="C22170" s="1" t="s">
        <v>23490</v>
      </c>
      <c r="D22170" s="1" t="str">
        <f>HYPERLINK("https://rhld.insurance.arkansas.gov/NPILookup?Npi=1881893758","1881893758")</f>
        <v>1881893758</v>
      </c>
      <c r="E22170" t="s">
        <v>11893</v>
      </c>
    </row>
    <row r="22171" spans="1:5" x14ac:dyDescent="0.25">
      <c r="A22171" t="s">
        <v>4</v>
      </c>
      <c r="B22171" t="s">
        <v>4111</v>
      </c>
      <c r="C22171" s="1" t="s">
        <v>23490</v>
      </c>
      <c r="D22171" s="1" t="str">
        <f>HYPERLINK("https://rhld.insurance.arkansas.gov/NPILookup?Npi=1881912137","1881912137")</f>
        <v>1881912137</v>
      </c>
      <c r="E22171" t="s">
        <v>5872</v>
      </c>
    </row>
    <row r="22172" spans="1:5" x14ac:dyDescent="0.25">
      <c r="A22172" t="s">
        <v>4</v>
      </c>
      <c r="B22172" t="s">
        <v>4111</v>
      </c>
      <c r="C22172" s="1" t="s">
        <v>23490</v>
      </c>
      <c r="D22172" s="1" t="str">
        <f>HYPERLINK("https://rhld.insurance.arkansas.gov/NPILookup?Npi=1881915668","1881915668")</f>
        <v>1881915668</v>
      </c>
      <c r="E22172" t="s">
        <v>17668</v>
      </c>
    </row>
    <row r="22173" spans="1:5" x14ac:dyDescent="0.25">
      <c r="A22173" t="s">
        <v>4</v>
      </c>
      <c r="B22173" t="s">
        <v>4111</v>
      </c>
      <c r="C22173" s="1" t="s">
        <v>23490</v>
      </c>
      <c r="D22173" s="1" t="str">
        <f>HYPERLINK("https://rhld.insurance.arkansas.gov/NPILookup?Npi=1881935344","1881935344")</f>
        <v>1881935344</v>
      </c>
      <c r="E22173" t="s">
        <v>11894</v>
      </c>
    </row>
    <row r="22174" spans="1:5" x14ac:dyDescent="0.25">
      <c r="A22174" t="s">
        <v>4</v>
      </c>
      <c r="B22174" t="s">
        <v>4111</v>
      </c>
      <c r="C22174" s="1" t="s">
        <v>23490</v>
      </c>
      <c r="D22174" s="1" t="str">
        <f>HYPERLINK("https://rhld.insurance.arkansas.gov/NPILookup?Npi=1881979193","1881979193")</f>
        <v>1881979193</v>
      </c>
      <c r="E22174" t="s">
        <v>5873</v>
      </c>
    </row>
    <row r="22175" spans="1:5" x14ac:dyDescent="0.25">
      <c r="A22175" t="s">
        <v>4</v>
      </c>
      <c r="B22175" t="s">
        <v>4111</v>
      </c>
      <c r="C22175" s="1" t="s">
        <v>23490</v>
      </c>
      <c r="D22175" s="1" t="str">
        <f>HYPERLINK("https://rhld.insurance.arkansas.gov/NPILookup?Npi=1881982973","1881982973")</f>
        <v>1881982973</v>
      </c>
      <c r="E22175" t="s">
        <v>19036</v>
      </c>
    </row>
    <row r="22176" spans="1:5" x14ac:dyDescent="0.25">
      <c r="A22176" t="s">
        <v>4</v>
      </c>
      <c r="B22176" t="s">
        <v>4111</v>
      </c>
      <c r="C22176" s="1" t="s">
        <v>23490</v>
      </c>
      <c r="D22176" s="1" t="str">
        <f>HYPERLINK("https://rhld.insurance.arkansas.gov/NPILookup?Npi=1881983633","1881983633")</f>
        <v>1881983633</v>
      </c>
      <c r="E22176" t="s">
        <v>20623</v>
      </c>
    </row>
    <row r="22177" spans="1:5" x14ac:dyDescent="0.25">
      <c r="A22177" t="s">
        <v>4</v>
      </c>
      <c r="B22177" t="s">
        <v>4111</v>
      </c>
      <c r="C22177" s="1" t="s">
        <v>23490</v>
      </c>
      <c r="D22177" s="1" t="str">
        <f>HYPERLINK("https://rhld.insurance.arkansas.gov/NPILookup?Npi=1881994440","1881994440")</f>
        <v>1881994440</v>
      </c>
      <c r="E22177" t="s">
        <v>3111</v>
      </c>
    </row>
    <row r="22178" spans="1:5" x14ac:dyDescent="0.25">
      <c r="A22178" t="s">
        <v>4</v>
      </c>
      <c r="B22178" t="s">
        <v>4111</v>
      </c>
      <c r="C22178" s="1" t="s">
        <v>23490</v>
      </c>
      <c r="D22178" s="1" t="str">
        <f>HYPERLINK("https://rhld.insurance.arkansas.gov/NPILookup?Npi=1881998441","1881998441")</f>
        <v>1881998441</v>
      </c>
      <c r="E22178" t="s">
        <v>5874</v>
      </c>
    </row>
    <row r="22179" spans="1:5" x14ac:dyDescent="0.25">
      <c r="A22179" t="s">
        <v>4</v>
      </c>
      <c r="B22179" t="s">
        <v>4111</v>
      </c>
      <c r="C22179" s="1" t="s">
        <v>23490</v>
      </c>
      <c r="D22179" s="1" t="str">
        <f>HYPERLINK("https://rhld.insurance.arkansas.gov/NPILookup?Npi=1891012340","1891012340")</f>
        <v>1891012340</v>
      </c>
      <c r="E22179" t="s">
        <v>5875</v>
      </c>
    </row>
    <row r="22180" spans="1:5" x14ac:dyDescent="0.25">
      <c r="A22180" t="s">
        <v>4</v>
      </c>
      <c r="B22180" t="s">
        <v>4111</v>
      </c>
      <c r="C22180" s="1" t="s">
        <v>23490</v>
      </c>
      <c r="D22180" s="1" t="str">
        <f>HYPERLINK("https://rhld.insurance.arkansas.gov/NPILookup?Npi=1891021754","1891021754")</f>
        <v>1891021754</v>
      </c>
      <c r="E22180" t="s">
        <v>5876</v>
      </c>
    </row>
    <row r="22181" spans="1:5" x14ac:dyDescent="0.25">
      <c r="A22181" t="s">
        <v>4</v>
      </c>
      <c r="B22181" t="s">
        <v>4111</v>
      </c>
      <c r="C22181" s="1" t="s">
        <v>23490</v>
      </c>
      <c r="D22181" s="1" t="str">
        <f>HYPERLINK("https://rhld.insurance.arkansas.gov/NPILookup?Npi=1891071452","1891071452")</f>
        <v>1891071452</v>
      </c>
      <c r="E22181" t="s">
        <v>18459</v>
      </c>
    </row>
    <row r="22182" spans="1:5" x14ac:dyDescent="0.25">
      <c r="A22182" t="s">
        <v>4</v>
      </c>
      <c r="B22182" t="s">
        <v>4111</v>
      </c>
      <c r="C22182" s="1" t="s">
        <v>23490</v>
      </c>
      <c r="D22182" s="1" t="str">
        <f>HYPERLINK("https://rhld.insurance.arkansas.gov/NPILookup?Npi=1891087045","1891087045")</f>
        <v>1891087045</v>
      </c>
      <c r="E22182" t="s">
        <v>5877</v>
      </c>
    </row>
    <row r="22183" spans="1:5" x14ac:dyDescent="0.25">
      <c r="A22183" t="s">
        <v>4</v>
      </c>
      <c r="B22183" t="s">
        <v>4111</v>
      </c>
      <c r="C22183" s="1" t="s">
        <v>23490</v>
      </c>
      <c r="D22183" s="1" t="str">
        <f>HYPERLINK("https://rhld.insurance.arkansas.gov/NPILookup?Npi=1891091609","1891091609")</f>
        <v>1891091609</v>
      </c>
      <c r="E22183" t="s">
        <v>21173</v>
      </c>
    </row>
    <row r="22184" spans="1:5" x14ac:dyDescent="0.25">
      <c r="A22184" t="s">
        <v>4</v>
      </c>
      <c r="B22184" t="s">
        <v>4111</v>
      </c>
      <c r="C22184" s="1" t="s">
        <v>23490</v>
      </c>
      <c r="D22184" s="1" t="str">
        <f>HYPERLINK("https://rhld.insurance.arkansas.gov/NPILookup?Npi=1891092425","1891092425")</f>
        <v>1891092425</v>
      </c>
      <c r="E22184" t="s">
        <v>11895</v>
      </c>
    </row>
    <row r="22185" spans="1:5" x14ac:dyDescent="0.25">
      <c r="A22185" t="s">
        <v>4</v>
      </c>
      <c r="B22185" t="s">
        <v>4111</v>
      </c>
      <c r="C22185" s="1" t="s">
        <v>23490</v>
      </c>
      <c r="D22185" s="1" t="str">
        <f>HYPERLINK("https://rhld.insurance.arkansas.gov/NPILookup?Npi=1891097465","1891097465")</f>
        <v>1891097465</v>
      </c>
      <c r="E22185" t="s">
        <v>11896</v>
      </c>
    </row>
    <row r="22186" spans="1:5" x14ac:dyDescent="0.25">
      <c r="A22186" t="s">
        <v>4</v>
      </c>
      <c r="B22186" t="s">
        <v>4111</v>
      </c>
      <c r="C22186" s="1" t="s">
        <v>23490</v>
      </c>
      <c r="D22186" s="1" t="str">
        <f>HYPERLINK("https://rhld.insurance.arkansas.gov/NPILookup?Npi=1891099834","1891099834")</f>
        <v>1891099834</v>
      </c>
      <c r="E22186" t="s">
        <v>15891</v>
      </c>
    </row>
    <row r="22187" spans="1:5" x14ac:dyDescent="0.25">
      <c r="A22187" t="s">
        <v>4</v>
      </c>
      <c r="B22187" t="s">
        <v>4111</v>
      </c>
      <c r="C22187" s="1" t="s">
        <v>23490</v>
      </c>
      <c r="D22187" s="1" t="str">
        <f>HYPERLINK("https://rhld.insurance.arkansas.gov/NPILookup?Npi=1891107660","1891107660")</f>
        <v>1891107660</v>
      </c>
      <c r="E22187" t="s">
        <v>18460</v>
      </c>
    </row>
    <row r="22188" spans="1:5" x14ac:dyDescent="0.25">
      <c r="A22188" t="s">
        <v>4</v>
      </c>
      <c r="B22188" t="s">
        <v>4111</v>
      </c>
      <c r="C22188" s="1" t="s">
        <v>23490</v>
      </c>
      <c r="D22188" s="1" t="str">
        <f>HYPERLINK("https://rhld.insurance.arkansas.gov/NPILookup?Npi=1891114385","1891114385")</f>
        <v>1891114385</v>
      </c>
      <c r="E22188" t="s">
        <v>16261</v>
      </c>
    </row>
    <row r="22189" spans="1:5" x14ac:dyDescent="0.25">
      <c r="A22189" t="s">
        <v>4</v>
      </c>
      <c r="B22189" t="s">
        <v>4111</v>
      </c>
      <c r="C22189" s="1" t="s">
        <v>23490</v>
      </c>
      <c r="D22189" s="1" t="str">
        <f>HYPERLINK("https://rhld.insurance.arkansas.gov/NPILookup?Npi=1891118246","1891118246")</f>
        <v>1891118246</v>
      </c>
      <c r="E22189" t="s">
        <v>11897</v>
      </c>
    </row>
    <row r="22190" spans="1:5" x14ac:dyDescent="0.25">
      <c r="A22190" t="s">
        <v>4</v>
      </c>
      <c r="B22190" t="s">
        <v>4111</v>
      </c>
      <c r="C22190" s="1" t="s">
        <v>23490</v>
      </c>
      <c r="D22190" s="1" t="str">
        <f>HYPERLINK("https://rhld.insurance.arkansas.gov/NPILookup?Npi=1891118808","1891118808")</f>
        <v>1891118808</v>
      </c>
      <c r="E22190" t="s">
        <v>5878</v>
      </c>
    </row>
    <row r="22191" spans="1:5" x14ac:dyDescent="0.25">
      <c r="A22191" t="s">
        <v>4</v>
      </c>
      <c r="B22191" t="s">
        <v>4111</v>
      </c>
      <c r="C22191" s="1" t="s">
        <v>23490</v>
      </c>
      <c r="D22191" s="1" t="str">
        <f>HYPERLINK("https://rhld.insurance.arkansas.gov/NPILookup?Npi=1891123071","1891123071")</f>
        <v>1891123071</v>
      </c>
      <c r="E22191" t="s">
        <v>458</v>
      </c>
    </row>
    <row r="22192" spans="1:5" x14ac:dyDescent="0.25">
      <c r="A22192" t="s">
        <v>4</v>
      </c>
      <c r="B22192" t="s">
        <v>4111</v>
      </c>
      <c r="C22192" s="1" t="s">
        <v>23490</v>
      </c>
      <c r="D22192" s="1" t="str">
        <f>HYPERLINK("https://rhld.insurance.arkansas.gov/NPILookup?Npi=1891130555","1891130555")</f>
        <v>1891130555</v>
      </c>
      <c r="E22192" t="s">
        <v>5879</v>
      </c>
    </row>
    <row r="22193" spans="1:5" x14ac:dyDescent="0.25">
      <c r="A22193" t="s">
        <v>4</v>
      </c>
      <c r="B22193" t="s">
        <v>4111</v>
      </c>
      <c r="C22193" s="1" t="s">
        <v>23490</v>
      </c>
      <c r="D22193" s="1" t="str">
        <f>HYPERLINK("https://rhld.insurance.arkansas.gov/NPILookup?Npi=1891141644","1891141644")</f>
        <v>1891141644</v>
      </c>
      <c r="E22193" t="s">
        <v>16262</v>
      </c>
    </row>
    <row r="22194" spans="1:5" x14ac:dyDescent="0.25">
      <c r="A22194" t="s">
        <v>4</v>
      </c>
      <c r="B22194" t="s">
        <v>4111</v>
      </c>
      <c r="C22194" s="1" t="s">
        <v>23490</v>
      </c>
      <c r="D22194" s="1" t="str">
        <f>HYPERLINK("https://rhld.insurance.arkansas.gov/NPILookup?Npi=1891170288","1891170288")</f>
        <v>1891170288</v>
      </c>
      <c r="E22194" t="s">
        <v>18461</v>
      </c>
    </row>
    <row r="22195" spans="1:5" x14ac:dyDescent="0.25">
      <c r="A22195" t="s">
        <v>4</v>
      </c>
      <c r="B22195" t="s">
        <v>4111</v>
      </c>
      <c r="C22195" s="1" t="s">
        <v>23490</v>
      </c>
      <c r="D22195" s="1" t="str">
        <f>HYPERLINK("https://rhld.insurance.arkansas.gov/NPILookup?Npi=1891245932","1891245932")</f>
        <v>1891245932</v>
      </c>
      <c r="E22195" t="s">
        <v>14255</v>
      </c>
    </row>
    <row r="22196" spans="1:5" x14ac:dyDescent="0.25">
      <c r="A22196" t="s">
        <v>4</v>
      </c>
      <c r="B22196" t="s">
        <v>4111</v>
      </c>
      <c r="C22196" s="1" t="s">
        <v>23490</v>
      </c>
      <c r="D22196" s="1" t="str">
        <f>HYPERLINK("https://rhld.insurance.arkansas.gov/NPILookup?Npi=1891249157","1891249157")</f>
        <v>1891249157</v>
      </c>
      <c r="E22196" t="s">
        <v>20624</v>
      </c>
    </row>
    <row r="22197" spans="1:5" x14ac:dyDescent="0.25">
      <c r="A22197" t="s">
        <v>4</v>
      </c>
      <c r="B22197" t="s">
        <v>4111</v>
      </c>
      <c r="C22197" s="1" t="s">
        <v>23490</v>
      </c>
      <c r="D22197" s="1" t="str">
        <f>HYPERLINK("https://rhld.insurance.arkansas.gov/NPILookup?Npi=1891270963","1891270963")</f>
        <v>1891270963</v>
      </c>
      <c r="E22197" t="s">
        <v>18462</v>
      </c>
    </row>
    <row r="22198" spans="1:5" x14ac:dyDescent="0.25">
      <c r="A22198" t="s">
        <v>4</v>
      </c>
      <c r="B22198" t="s">
        <v>4111</v>
      </c>
      <c r="C22198" s="1" t="s">
        <v>23490</v>
      </c>
      <c r="D22198" s="1" t="str">
        <f>HYPERLINK("https://rhld.insurance.arkansas.gov/NPILookup?Npi=1891300703","1891300703")</f>
        <v>1891300703</v>
      </c>
      <c r="E22198" t="s">
        <v>19450</v>
      </c>
    </row>
    <row r="22199" spans="1:5" x14ac:dyDescent="0.25">
      <c r="A22199" t="s">
        <v>4</v>
      </c>
      <c r="B22199" t="s">
        <v>4111</v>
      </c>
      <c r="C22199" s="1" t="s">
        <v>23490</v>
      </c>
      <c r="D22199" s="1" t="str">
        <f>HYPERLINK("https://rhld.insurance.arkansas.gov/NPILookup?Npi=1891346664","1891346664")</f>
        <v>1891346664</v>
      </c>
      <c r="E22199" t="s">
        <v>18463</v>
      </c>
    </row>
    <row r="22200" spans="1:5" x14ac:dyDescent="0.25">
      <c r="A22200" t="s">
        <v>4</v>
      </c>
      <c r="B22200" t="s">
        <v>4111</v>
      </c>
      <c r="C22200" s="1" t="s">
        <v>23490</v>
      </c>
      <c r="D22200" s="1" t="str">
        <f>HYPERLINK("https://rhld.insurance.arkansas.gov/NPILookup?Npi=1891379731","1891379731")</f>
        <v>1891379731</v>
      </c>
      <c r="E22200" t="s">
        <v>19037</v>
      </c>
    </row>
    <row r="22201" spans="1:5" x14ac:dyDescent="0.25">
      <c r="A22201" t="s">
        <v>4</v>
      </c>
      <c r="B22201" t="s">
        <v>4111</v>
      </c>
      <c r="C22201" s="1" t="s">
        <v>23490</v>
      </c>
      <c r="D22201" s="1" t="str">
        <f>HYPERLINK("https://rhld.insurance.arkansas.gov/NPILookup?Npi=1891442125","1891442125")</f>
        <v>1891442125</v>
      </c>
      <c r="E22201" t="s">
        <v>21174</v>
      </c>
    </row>
    <row r="22202" spans="1:5" x14ac:dyDescent="0.25">
      <c r="A22202" t="s">
        <v>4</v>
      </c>
      <c r="B22202" t="s">
        <v>4111</v>
      </c>
      <c r="C22202" s="1" t="s">
        <v>23490</v>
      </c>
      <c r="D22202" s="1" t="str">
        <f>HYPERLINK("https://rhld.insurance.arkansas.gov/NPILookup?Npi=1891442802","1891442802")</f>
        <v>1891442802</v>
      </c>
      <c r="E22202" t="s">
        <v>22360</v>
      </c>
    </row>
    <row r="22203" spans="1:5" x14ac:dyDescent="0.25">
      <c r="A22203" t="s">
        <v>4</v>
      </c>
      <c r="B22203" t="s">
        <v>4111</v>
      </c>
      <c r="C22203" s="1" t="s">
        <v>23490</v>
      </c>
      <c r="D22203" s="1" t="str">
        <f>HYPERLINK("https://rhld.insurance.arkansas.gov/NPILookup?Npi=1891460044","1891460044")</f>
        <v>1891460044</v>
      </c>
      <c r="E22203" t="s">
        <v>20625</v>
      </c>
    </row>
    <row r="22204" spans="1:5" x14ac:dyDescent="0.25">
      <c r="A22204" t="s">
        <v>4</v>
      </c>
      <c r="B22204" t="s">
        <v>4111</v>
      </c>
      <c r="C22204" s="1" t="s">
        <v>23490</v>
      </c>
      <c r="D22204" s="1" t="str">
        <f>HYPERLINK("https://rhld.insurance.arkansas.gov/NPILookup?Npi=1891467726","1891467726")</f>
        <v>1891467726</v>
      </c>
      <c r="E22204" t="s">
        <v>23004</v>
      </c>
    </row>
    <row r="22205" spans="1:5" x14ac:dyDescent="0.25">
      <c r="A22205" t="s">
        <v>4</v>
      </c>
      <c r="B22205" t="s">
        <v>4111</v>
      </c>
      <c r="C22205" s="1" t="s">
        <v>23490</v>
      </c>
      <c r="D22205" s="1" t="str">
        <f>HYPERLINK("https://rhld.insurance.arkansas.gov/NPILookup?Npi=1891740502","1891740502")</f>
        <v>1891740502</v>
      </c>
      <c r="E22205" t="s">
        <v>5880</v>
      </c>
    </row>
    <row r="22206" spans="1:5" x14ac:dyDescent="0.25">
      <c r="A22206" t="s">
        <v>4</v>
      </c>
      <c r="B22206" t="s">
        <v>4111</v>
      </c>
      <c r="C22206" s="1" t="s">
        <v>23490</v>
      </c>
      <c r="D22206" s="1" t="str">
        <f>HYPERLINK("https://rhld.insurance.arkansas.gov/NPILookup?Npi=1891754040","1891754040")</f>
        <v>1891754040</v>
      </c>
      <c r="E22206" t="s">
        <v>5881</v>
      </c>
    </row>
    <row r="22207" spans="1:5" x14ac:dyDescent="0.25">
      <c r="A22207" t="s">
        <v>4</v>
      </c>
      <c r="B22207" t="s">
        <v>4111</v>
      </c>
      <c r="C22207" s="1" t="s">
        <v>23490</v>
      </c>
      <c r="D22207" s="1" t="str">
        <f>HYPERLINK("https://rhld.insurance.arkansas.gov/NPILookup?Npi=1891759122","1891759122")</f>
        <v>1891759122</v>
      </c>
      <c r="E22207" t="s">
        <v>5882</v>
      </c>
    </row>
    <row r="22208" spans="1:5" x14ac:dyDescent="0.25">
      <c r="A22208" t="s">
        <v>4</v>
      </c>
      <c r="B22208" t="s">
        <v>4111</v>
      </c>
      <c r="C22208" s="1" t="s">
        <v>23490</v>
      </c>
      <c r="D22208" s="1" t="str">
        <f>HYPERLINK("https://rhld.insurance.arkansas.gov/NPILookup?Npi=1891781449","1891781449")</f>
        <v>1891781449</v>
      </c>
      <c r="E22208" t="s">
        <v>16263</v>
      </c>
    </row>
    <row r="22209" spans="1:5" x14ac:dyDescent="0.25">
      <c r="A22209" t="s">
        <v>4</v>
      </c>
      <c r="B22209" t="s">
        <v>4111</v>
      </c>
      <c r="C22209" s="1" t="s">
        <v>23490</v>
      </c>
      <c r="D22209" s="1" t="str">
        <f>HYPERLINK("https://rhld.insurance.arkansas.gov/NPILookup?Npi=1891788758","1891788758")</f>
        <v>1891788758</v>
      </c>
      <c r="E22209" t="s">
        <v>9175</v>
      </c>
    </row>
    <row r="22210" spans="1:5" x14ac:dyDescent="0.25">
      <c r="A22210" t="s">
        <v>4</v>
      </c>
      <c r="B22210" t="s">
        <v>4111</v>
      </c>
      <c r="C22210" s="1" t="s">
        <v>23490</v>
      </c>
      <c r="D22210" s="1" t="str">
        <f>HYPERLINK("https://rhld.insurance.arkansas.gov/NPILookup?Npi=1891798989","1891798989")</f>
        <v>1891798989</v>
      </c>
      <c r="E22210" t="s">
        <v>5883</v>
      </c>
    </row>
    <row r="22211" spans="1:5" x14ac:dyDescent="0.25">
      <c r="A22211" t="s">
        <v>4</v>
      </c>
      <c r="B22211" t="s">
        <v>4111</v>
      </c>
      <c r="C22211" s="1" t="s">
        <v>23490</v>
      </c>
      <c r="D22211" s="1" t="str">
        <f>HYPERLINK("https://rhld.insurance.arkansas.gov/NPILookup?Npi=1891802948","1891802948")</f>
        <v>1891802948</v>
      </c>
      <c r="E22211" t="s">
        <v>5884</v>
      </c>
    </row>
    <row r="22212" spans="1:5" x14ac:dyDescent="0.25">
      <c r="A22212" t="s">
        <v>4</v>
      </c>
      <c r="B22212" t="s">
        <v>4111</v>
      </c>
      <c r="C22212" s="1" t="s">
        <v>23490</v>
      </c>
      <c r="D22212" s="1" t="str">
        <f>HYPERLINK("https://rhld.insurance.arkansas.gov/NPILookup?Npi=1891806782","1891806782")</f>
        <v>1891806782</v>
      </c>
      <c r="E22212" t="s">
        <v>22361</v>
      </c>
    </row>
    <row r="22213" spans="1:5" x14ac:dyDescent="0.25">
      <c r="A22213" t="s">
        <v>4</v>
      </c>
      <c r="B22213" t="s">
        <v>4111</v>
      </c>
      <c r="C22213" s="1" t="s">
        <v>23490</v>
      </c>
      <c r="D22213" s="1" t="str">
        <f>HYPERLINK("https://rhld.insurance.arkansas.gov/NPILookup?Npi=1891807285","1891807285")</f>
        <v>1891807285</v>
      </c>
      <c r="E22213" t="s">
        <v>16264</v>
      </c>
    </row>
    <row r="22214" spans="1:5" x14ac:dyDescent="0.25">
      <c r="A22214" t="s">
        <v>4</v>
      </c>
      <c r="B22214" t="s">
        <v>4111</v>
      </c>
      <c r="C22214" s="1" t="s">
        <v>23490</v>
      </c>
      <c r="D22214" s="1" t="str">
        <f>HYPERLINK("https://rhld.insurance.arkansas.gov/NPILookup?Npi=1891822573","1891822573")</f>
        <v>1891822573</v>
      </c>
      <c r="E22214" t="s">
        <v>5885</v>
      </c>
    </row>
    <row r="22215" spans="1:5" x14ac:dyDescent="0.25">
      <c r="A22215" t="s">
        <v>4</v>
      </c>
      <c r="B22215" t="s">
        <v>4111</v>
      </c>
      <c r="C22215" s="1" t="s">
        <v>23490</v>
      </c>
      <c r="D22215" s="1" t="str">
        <f>HYPERLINK("https://rhld.insurance.arkansas.gov/NPILookup?Npi=1891829784","1891829784")</f>
        <v>1891829784</v>
      </c>
      <c r="E22215" t="s">
        <v>5886</v>
      </c>
    </row>
    <row r="22216" spans="1:5" x14ac:dyDescent="0.25">
      <c r="A22216" t="s">
        <v>4</v>
      </c>
      <c r="B22216" t="s">
        <v>4111</v>
      </c>
      <c r="C22216" s="1" t="s">
        <v>23490</v>
      </c>
      <c r="D22216" s="1" t="str">
        <f>HYPERLINK("https://rhld.insurance.arkansas.gov/NPILookup?Npi=1891848164","1891848164")</f>
        <v>1891848164</v>
      </c>
      <c r="E22216" t="s">
        <v>5887</v>
      </c>
    </row>
    <row r="22217" spans="1:5" x14ac:dyDescent="0.25">
      <c r="A22217" t="s">
        <v>4</v>
      </c>
      <c r="B22217" t="s">
        <v>4111</v>
      </c>
      <c r="C22217" s="1" t="s">
        <v>23490</v>
      </c>
      <c r="D22217" s="1" t="str">
        <f>HYPERLINK("https://rhld.insurance.arkansas.gov/NPILookup?Npi=1891856696","1891856696")</f>
        <v>1891856696</v>
      </c>
      <c r="E22217" t="s">
        <v>5888</v>
      </c>
    </row>
    <row r="22218" spans="1:5" x14ac:dyDescent="0.25">
      <c r="A22218" t="s">
        <v>4</v>
      </c>
      <c r="B22218" t="s">
        <v>4111</v>
      </c>
      <c r="C22218" s="1" t="s">
        <v>23490</v>
      </c>
      <c r="D22218" s="1" t="str">
        <f>HYPERLINK("https://rhld.insurance.arkansas.gov/NPILookup?Npi=1891861167","1891861167")</f>
        <v>1891861167</v>
      </c>
      <c r="E22218" t="s">
        <v>23207</v>
      </c>
    </row>
    <row r="22219" spans="1:5" x14ac:dyDescent="0.25">
      <c r="A22219" t="s">
        <v>4</v>
      </c>
      <c r="B22219" t="s">
        <v>4111</v>
      </c>
      <c r="C22219" s="1" t="s">
        <v>23490</v>
      </c>
      <c r="D22219" s="1" t="str">
        <f>HYPERLINK("https://rhld.insurance.arkansas.gov/NPILookup?Npi=1891875449","1891875449")</f>
        <v>1891875449</v>
      </c>
      <c r="E22219" t="s">
        <v>5889</v>
      </c>
    </row>
    <row r="22220" spans="1:5" x14ac:dyDescent="0.25">
      <c r="A22220" t="s">
        <v>4</v>
      </c>
      <c r="B22220" t="s">
        <v>4111</v>
      </c>
      <c r="C22220" s="1" t="s">
        <v>23490</v>
      </c>
      <c r="D22220" s="1" t="str">
        <f>HYPERLINK("https://rhld.insurance.arkansas.gov/NPILookup?Npi=1891880258","1891880258")</f>
        <v>1891880258</v>
      </c>
      <c r="E22220" t="s">
        <v>15059</v>
      </c>
    </row>
    <row r="22221" spans="1:5" x14ac:dyDescent="0.25">
      <c r="A22221" t="s">
        <v>4</v>
      </c>
      <c r="B22221" t="s">
        <v>4111</v>
      </c>
      <c r="C22221" s="1" t="s">
        <v>23490</v>
      </c>
      <c r="D22221" s="1" t="str">
        <f>HYPERLINK("https://rhld.insurance.arkansas.gov/NPILookup?Npi=1891880373","1891880373")</f>
        <v>1891880373</v>
      </c>
      <c r="E22221" t="s">
        <v>5890</v>
      </c>
    </row>
    <row r="22222" spans="1:5" x14ac:dyDescent="0.25">
      <c r="A22222" t="s">
        <v>4</v>
      </c>
      <c r="B22222" t="s">
        <v>4111</v>
      </c>
      <c r="C22222" s="1" t="s">
        <v>23490</v>
      </c>
      <c r="D22222" s="1" t="str">
        <f>HYPERLINK("https://rhld.insurance.arkansas.gov/NPILookup?Npi=1891885463","1891885463")</f>
        <v>1891885463</v>
      </c>
      <c r="E22222" t="s">
        <v>5891</v>
      </c>
    </row>
    <row r="22223" spans="1:5" x14ac:dyDescent="0.25">
      <c r="A22223" t="s">
        <v>4</v>
      </c>
      <c r="B22223" t="s">
        <v>4111</v>
      </c>
      <c r="C22223" s="1" t="s">
        <v>23490</v>
      </c>
      <c r="D22223" s="1" t="str">
        <f>HYPERLINK("https://rhld.insurance.arkansas.gov/NPILookup?Npi=1891893400","1891893400")</f>
        <v>1891893400</v>
      </c>
      <c r="E22223" t="s">
        <v>16265</v>
      </c>
    </row>
    <row r="22224" spans="1:5" x14ac:dyDescent="0.25">
      <c r="A22224" t="s">
        <v>4</v>
      </c>
      <c r="B22224" t="s">
        <v>4111</v>
      </c>
      <c r="C22224" s="1" t="s">
        <v>23490</v>
      </c>
      <c r="D22224" s="1" t="str">
        <f>HYPERLINK("https://rhld.insurance.arkansas.gov/NPILookup?Npi=1891908513","1891908513")</f>
        <v>1891908513</v>
      </c>
      <c r="E22224" t="s">
        <v>11898</v>
      </c>
    </row>
    <row r="22225" spans="1:5" x14ac:dyDescent="0.25">
      <c r="A22225" t="s">
        <v>4</v>
      </c>
      <c r="B22225" t="s">
        <v>4111</v>
      </c>
      <c r="C22225" s="1" t="s">
        <v>23490</v>
      </c>
      <c r="D22225" s="1" t="str">
        <f>HYPERLINK("https://rhld.insurance.arkansas.gov/NPILookup?Npi=1891933826","1891933826")</f>
        <v>1891933826</v>
      </c>
      <c r="E22225" t="s">
        <v>5892</v>
      </c>
    </row>
    <row r="22226" spans="1:5" x14ac:dyDescent="0.25">
      <c r="A22226" t="s">
        <v>4</v>
      </c>
      <c r="B22226" t="s">
        <v>4111</v>
      </c>
      <c r="C22226" s="1" t="s">
        <v>23490</v>
      </c>
      <c r="D22226" s="1" t="str">
        <f>HYPERLINK("https://rhld.insurance.arkansas.gov/NPILookup?Npi=1891936514","1891936514")</f>
        <v>1891936514</v>
      </c>
      <c r="E22226" t="s">
        <v>16266</v>
      </c>
    </row>
    <row r="22227" spans="1:5" x14ac:dyDescent="0.25">
      <c r="A22227" t="s">
        <v>4</v>
      </c>
      <c r="B22227" t="s">
        <v>4111</v>
      </c>
      <c r="C22227" s="1" t="s">
        <v>23490</v>
      </c>
      <c r="D22227" s="1" t="str">
        <f>HYPERLINK("https://rhld.insurance.arkansas.gov/NPILookup?Npi=1891942975","1891942975")</f>
        <v>1891942975</v>
      </c>
      <c r="E22227" t="s">
        <v>14256</v>
      </c>
    </row>
    <row r="22228" spans="1:5" x14ac:dyDescent="0.25">
      <c r="A22228" t="s">
        <v>4</v>
      </c>
      <c r="B22228" t="s">
        <v>4111</v>
      </c>
      <c r="C22228" s="1" t="s">
        <v>23490</v>
      </c>
      <c r="D22228" s="1" t="str">
        <f>HYPERLINK("https://rhld.insurance.arkansas.gov/NPILookup?Npi=1891946075","1891946075")</f>
        <v>1891946075</v>
      </c>
      <c r="E22228" t="s">
        <v>5893</v>
      </c>
    </row>
    <row r="22229" spans="1:5" x14ac:dyDescent="0.25">
      <c r="A22229" t="s">
        <v>4</v>
      </c>
      <c r="B22229" t="s">
        <v>4111</v>
      </c>
      <c r="C22229" s="1" t="s">
        <v>23490</v>
      </c>
      <c r="D22229" s="1" t="str">
        <f>HYPERLINK("https://rhld.insurance.arkansas.gov/NPILookup?Npi=1891946133","1891946133")</f>
        <v>1891946133</v>
      </c>
      <c r="E22229" t="s">
        <v>14257</v>
      </c>
    </row>
    <row r="22230" spans="1:5" x14ac:dyDescent="0.25">
      <c r="A22230" t="s">
        <v>4</v>
      </c>
      <c r="B22230" t="s">
        <v>4111</v>
      </c>
      <c r="C22230" s="1" t="s">
        <v>23490</v>
      </c>
      <c r="D22230" s="1" t="str">
        <f>HYPERLINK("https://rhld.insurance.arkansas.gov/NPILookup?Npi=1891959797","1891959797")</f>
        <v>1891959797</v>
      </c>
      <c r="E22230" t="s">
        <v>11899</v>
      </c>
    </row>
    <row r="22231" spans="1:5" x14ac:dyDescent="0.25">
      <c r="A22231" t="s">
        <v>4</v>
      </c>
      <c r="B22231" t="s">
        <v>4111</v>
      </c>
      <c r="C22231" s="1" t="s">
        <v>23490</v>
      </c>
      <c r="D22231" s="1" t="str">
        <f>HYPERLINK("https://rhld.insurance.arkansas.gov/NPILookup?Npi=1902011000","1902011000")</f>
        <v>1902011000</v>
      </c>
      <c r="E22231" t="s">
        <v>13227</v>
      </c>
    </row>
    <row r="22232" spans="1:5" x14ac:dyDescent="0.25">
      <c r="A22232" t="s">
        <v>4</v>
      </c>
      <c r="B22232" t="s">
        <v>4111</v>
      </c>
      <c r="C22232" s="1" t="s">
        <v>23490</v>
      </c>
      <c r="D22232" s="1" t="str">
        <f>HYPERLINK("https://rhld.insurance.arkansas.gov/NPILookup?Npi=1902039480","1902039480")</f>
        <v>1902039480</v>
      </c>
      <c r="E22232" t="s">
        <v>11900</v>
      </c>
    </row>
    <row r="22233" spans="1:5" x14ac:dyDescent="0.25">
      <c r="A22233" t="s">
        <v>4</v>
      </c>
      <c r="B22233" t="s">
        <v>4111</v>
      </c>
      <c r="C22233" s="1" t="s">
        <v>23490</v>
      </c>
      <c r="D22233" s="1" t="str">
        <f>HYPERLINK("https://rhld.insurance.arkansas.gov/NPILookup?Npi=1902051170","1902051170")</f>
        <v>1902051170</v>
      </c>
      <c r="E22233" t="s">
        <v>16267</v>
      </c>
    </row>
    <row r="22234" spans="1:5" x14ac:dyDescent="0.25">
      <c r="A22234" t="s">
        <v>4</v>
      </c>
      <c r="B22234" t="s">
        <v>4111</v>
      </c>
      <c r="C22234" s="1" t="s">
        <v>23490</v>
      </c>
      <c r="D22234" s="1" t="str">
        <f>HYPERLINK("https://rhld.insurance.arkansas.gov/NPILookup?Npi=1902056682","1902056682")</f>
        <v>1902056682</v>
      </c>
      <c r="E22234" t="s">
        <v>17669</v>
      </c>
    </row>
    <row r="22235" spans="1:5" x14ac:dyDescent="0.25">
      <c r="A22235" t="s">
        <v>4</v>
      </c>
      <c r="B22235" t="s">
        <v>4111</v>
      </c>
      <c r="C22235" s="1" t="s">
        <v>23490</v>
      </c>
      <c r="D22235" s="1" t="str">
        <f>HYPERLINK("https://rhld.insurance.arkansas.gov/NPILookup?Npi=1902073430","1902073430")</f>
        <v>1902073430</v>
      </c>
      <c r="E22235" t="s">
        <v>11901</v>
      </c>
    </row>
    <row r="22236" spans="1:5" x14ac:dyDescent="0.25">
      <c r="A22236" t="s">
        <v>4</v>
      </c>
      <c r="B22236" t="s">
        <v>4111</v>
      </c>
      <c r="C22236" s="1" t="s">
        <v>23490</v>
      </c>
      <c r="D22236" s="1" t="str">
        <f>HYPERLINK("https://rhld.insurance.arkansas.gov/NPILookup?Npi=1902096498","1902096498")</f>
        <v>1902096498</v>
      </c>
      <c r="E22236" t="s">
        <v>5894</v>
      </c>
    </row>
    <row r="22237" spans="1:5" x14ac:dyDescent="0.25">
      <c r="A22237" t="s">
        <v>4</v>
      </c>
      <c r="B22237" t="s">
        <v>4111</v>
      </c>
      <c r="C22237" s="1" t="s">
        <v>23490</v>
      </c>
      <c r="D22237" s="1" t="str">
        <f>HYPERLINK("https://rhld.insurance.arkansas.gov/NPILookup?Npi=1902101835","1902101835")</f>
        <v>1902101835</v>
      </c>
      <c r="E22237" t="s">
        <v>5895</v>
      </c>
    </row>
    <row r="22238" spans="1:5" x14ac:dyDescent="0.25">
      <c r="A22238" t="s">
        <v>4</v>
      </c>
      <c r="B22238" t="s">
        <v>4111</v>
      </c>
      <c r="C22238" s="1" t="s">
        <v>23490</v>
      </c>
      <c r="D22238" s="1" t="str">
        <f>HYPERLINK("https://rhld.insurance.arkansas.gov/NPILookup?Npi=1902113913","1902113913")</f>
        <v>1902113913</v>
      </c>
      <c r="E22238" t="s">
        <v>5896</v>
      </c>
    </row>
    <row r="22239" spans="1:5" x14ac:dyDescent="0.25">
      <c r="A22239" t="s">
        <v>4</v>
      </c>
      <c r="B22239" t="s">
        <v>4111</v>
      </c>
      <c r="C22239" s="1" t="s">
        <v>23490</v>
      </c>
      <c r="D22239" s="1" t="str">
        <f>HYPERLINK("https://rhld.insurance.arkansas.gov/NPILookup?Npi=1902125891","1902125891")</f>
        <v>1902125891</v>
      </c>
      <c r="E22239" t="s">
        <v>5897</v>
      </c>
    </row>
    <row r="22240" spans="1:5" x14ac:dyDescent="0.25">
      <c r="A22240" t="s">
        <v>4</v>
      </c>
      <c r="B22240" t="s">
        <v>4111</v>
      </c>
      <c r="C22240" s="1" t="s">
        <v>23490</v>
      </c>
      <c r="D22240" s="1" t="str">
        <f>HYPERLINK("https://rhld.insurance.arkansas.gov/NPILookup?Npi=1902126691","1902126691")</f>
        <v>1902126691</v>
      </c>
      <c r="E22240" t="s">
        <v>14258</v>
      </c>
    </row>
    <row r="22241" spans="1:5" x14ac:dyDescent="0.25">
      <c r="A22241" t="s">
        <v>4</v>
      </c>
      <c r="B22241" t="s">
        <v>4111</v>
      </c>
      <c r="C22241" s="1" t="s">
        <v>23490</v>
      </c>
      <c r="D22241" s="1" t="str">
        <f>HYPERLINK("https://rhld.insurance.arkansas.gov/NPILookup?Npi=1902128663","1902128663")</f>
        <v>1902128663</v>
      </c>
      <c r="E22241" t="s">
        <v>9176</v>
      </c>
    </row>
    <row r="22242" spans="1:5" x14ac:dyDescent="0.25">
      <c r="A22242" t="s">
        <v>4</v>
      </c>
      <c r="B22242" t="s">
        <v>4111</v>
      </c>
      <c r="C22242" s="1" t="s">
        <v>23490</v>
      </c>
      <c r="D22242" s="1" t="str">
        <f>HYPERLINK("https://rhld.insurance.arkansas.gov/NPILookup?Npi=1902140858","1902140858")</f>
        <v>1902140858</v>
      </c>
      <c r="E22242" t="s">
        <v>11902</v>
      </c>
    </row>
    <row r="22243" spans="1:5" x14ac:dyDescent="0.25">
      <c r="A22243" t="s">
        <v>4</v>
      </c>
      <c r="B22243" t="s">
        <v>4111</v>
      </c>
      <c r="C22243" s="1" t="s">
        <v>23490</v>
      </c>
      <c r="D22243" s="1" t="str">
        <f>HYPERLINK("https://rhld.insurance.arkansas.gov/NPILookup?Npi=1902157993","1902157993")</f>
        <v>1902157993</v>
      </c>
      <c r="E22243" t="s">
        <v>5898</v>
      </c>
    </row>
    <row r="22244" spans="1:5" x14ac:dyDescent="0.25">
      <c r="A22244" t="s">
        <v>4</v>
      </c>
      <c r="B22244" t="s">
        <v>4111</v>
      </c>
      <c r="C22244" s="1" t="s">
        <v>23490</v>
      </c>
      <c r="D22244" s="1" t="str">
        <f>HYPERLINK("https://rhld.insurance.arkansas.gov/NPILookup?Npi=1902175474","1902175474")</f>
        <v>1902175474</v>
      </c>
      <c r="E22244" t="s">
        <v>5899</v>
      </c>
    </row>
    <row r="22245" spans="1:5" x14ac:dyDescent="0.25">
      <c r="A22245" t="s">
        <v>4</v>
      </c>
      <c r="B22245" t="s">
        <v>4111</v>
      </c>
      <c r="C22245" s="1" t="s">
        <v>23490</v>
      </c>
      <c r="D22245" s="1" t="str">
        <f>HYPERLINK("https://rhld.insurance.arkansas.gov/NPILookup?Npi=1902193337","1902193337")</f>
        <v>1902193337</v>
      </c>
      <c r="E22245" t="s">
        <v>14259</v>
      </c>
    </row>
    <row r="22246" spans="1:5" x14ac:dyDescent="0.25">
      <c r="A22246" t="s">
        <v>4</v>
      </c>
      <c r="B22246" t="s">
        <v>4111</v>
      </c>
      <c r="C22246" s="1" t="s">
        <v>23490</v>
      </c>
      <c r="D22246" s="1" t="str">
        <f>HYPERLINK("https://rhld.insurance.arkansas.gov/NPILookup?Npi=1902201346","1902201346")</f>
        <v>1902201346</v>
      </c>
      <c r="E22246" t="s">
        <v>13228</v>
      </c>
    </row>
    <row r="22247" spans="1:5" x14ac:dyDescent="0.25">
      <c r="A22247" t="s">
        <v>4</v>
      </c>
      <c r="B22247" t="s">
        <v>4111</v>
      </c>
      <c r="C22247" s="1" t="s">
        <v>23490</v>
      </c>
      <c r="D22247" s="1" t="str">
        <f>HYPERLINK("https://rhld.insurance.arkansas.gov/NPILookup?Npi=1902208853","1902208853")</f>
        <v>1902208853</v>
      </c>
      <c r="E22247" t="s">
        <v>11903</v>
      </c>
    </row>
    <row r="22248" spans="1:5" x14ac:dyDescent="0.25">
      <c r="A22248" t="s">
        <v>4</v>
      </c>
      <c r="B22248" t="s">
        <v>4111</v>
      </c>
      <c r="C22248" s="1" t="s">
        <v>23490</v>
      </c>
      <c r="D22248" s="1" t="str">
        <f>HYPERLINK("https://rhld.insurance.arkansas.gov/NPILookup?Npi=1902209562","1902209562")</f>
        <v>1902209562</v>
      </c>
      <c r="E22248" t="s">
        <v>11904</v>
      </c>
    </row>
    <row r="22249" spans="1:5" x14ac:dyDescent="0.25">
      <c r="A22249" t="s">
        <v>4</v>
      </c>
      <c r="B22249" t="s">
        <v>4111</v>
      </c>
      <c r="C22249" s="1" t="s">
        <v>23490</v>
      </c>
      <c r="D22249" s="1" t="str">
        <f>HYPERLINK("https://rhld.insurance.arkansas.gov/NPILookup?Npi=1902215221","1902215221")</f>
        <v>1902215221</v>
      </c>
      <c r="E22249" t="s">
        <v>11905</v>
      </c>
    </row>
    <row r="22250" spans="1:5" x14ac:dyDescent="0.25">
      <c r="A22250" t="s">
        <v>4</v>
      </c>
      <c r="B22250" t="s">
        <v>4111</v>
      </c>
      <c r="C22250" s="1" t="s">
        <v>23490</v>
      </c>
      <c r="D22250" s="1" t="str">
        <f>HYPERLINK("https://rhld.insurance.arkansas.gov/NPILookup?Npi=1902219587","1902219587")</f>
        <v>1902219587</v>
      </c>
      <c r="E22250" t="s">
        <v>21175</v>
      </c>
    </row>
    <row r="22251" spans="1:5" x14ac:dyDescent="0.25">
      <c r="A22251" t="s">
        <v>4</v>
      </c>
      <c r="B22251" t="s">
        <v>4111</v>
      </c>
      <c r="C22251" s="1" t="s">
        <v>23490</v>
      </c>
      <c r="D22251" s="1" t="str">
        <f>HYPERLINK("https://rhld.insurance.arkansas.gov/NPILookup?Npi=1902220668","1902220668")</f>
        <v>1902220668</v>
      </c>
      <c r="E22251" t="s">
        <v>5900</v>
      </c>
    </row>
    <row r="22252" spans="1:5" x14ac:dyDescent="0.25">
      <c r="A22252" t="s">
        <v>4</v>
      </c>
      <c r="B22252" t="s">
        <v>4111</v>
      </c>
      <c r="C22252" s="1" t="s">
        <v>23490</v>
      </c>
      <c r="D22252" s="1" t="str">
        <f>HYPERLINK("https://rhld.insurance.arkansas.gov/NPILookup?Npi=1902228554","1902228554")</f>
        <v>1902228554</v>
      </c>
      <c r="E22252" t="s">
        <v>11906</v>
      </c>
    </row>
    <row r="22253" spans="1:5" x14ac:dyDescent="0.25">
      <c r="A22253" t="s">
        <v>4</v>
      </c>
      <c r="B22253" t="s">
        <v>4111</v>
      </c>
      <c r="C22253" s="1" t="s">
        <v>23490</v>
      </c>
      <c r="D22253" s="1" t="str">
        <f>HYPERLINK("https://rhld.insurance.arkansas.gov/NPILookup?Npi=1902228992","1902228992")</f>
        <v>1902228992</v>
      </c>
      <c r="E22253" t="s">
        <v>16268</v>
      </c>
    </row>
    <row r="22254" spans="1:5" x14ac:dyDescent="0.25">
      <c r="A22254" t="s">
        <v>4</v>
      </c>
      <c r="B22254" t="s">
        <v>4111</v>
      </c>
      <c r="C22254" s="1" t="s">
        <v>23490</v>
      </c>
      <c r="D22254" s="1" t="str">
        <f>HYPERLINK("https://rhld.insurance.arkansas.gov/NPILookup?Npi=1902232671","1902232671")</f>
        <v>1902232671</v>
      </c>
      <c r="E22254" t="s">
        <v>17670</v>
      </c>
    </row>
    <row r="22255" spans="1:5" x14ac:dyDescent="0.25">
      <c r="A22255" t="s">
        <v>4</v>
      </c>
      <c r="B22255" t="s">
        <v>4111</v>
      </c>
      <c r="C22255" s="1" t="s">
        <v>23490</v>
      </c>
      <c r="D22255" s="1" t="str">
        <f>HYPERLINK("https://rhld.insurance.arkansas.gov/NPILookup?Npi=1902241045","1902241045")</f>
        <v>1902241045</v>
      </c>
      <c r="E22255" t="s">
        <v>20626</v>
      </c>
    </row>
    <row r="22256" spans="1:5" x14ac:dyDescent="0.25">
      <c r="A22256" t="s">
        <v>4</v>
      </c>
      <c r="B22256" t="s">
        <v>4111</v>
      </c>
      <c r="C22256" s="1" t="s">
        <v>23490</v>
      </c>
      <c r="D22256" s="1" t="str">
        <f>HYPERLINK("https://rhld.insurance.arkansas.gov/NPILookup?Npi=1902243645","1902243645")</f>
        <v>1902243645</v>
      </c>
      <c r="E22256" t="s">
        <v>20627</v>
      </c>
    </row>
    <row r="22257" spans="1:5" x14ac:dyDescent="0.25">
      <c r="A22257" t="s">
        <v>4</v>
      </c>
      <c r="B22257" t="s">
        <v>4111</v>
      </c>
      <c r="C22257" s="1" t="s">
        <v>23490</v>
      </c>
      <c r="D22257" s="1" t="str">
        <f>HYPERLINK("https://rhld.insurance.arkansas.gov/NPILookup?Npi=1902244908","1902244908")</f>
        <v>1902244908</v>
      </c>
      <c r="E22257" t="s">
        <v>14260</v>
      </c>
    </row>
    <row r="22258" spans="1:5" x14ac:dyDescent="0.25">
      <c r="A22258" t="s">
        <v>4</v>
      </c>
      <c r="B22258" t="s">
        <v>4111</v>
      </c>
      <c r="C22258" s="1" t="s">
        <v>23490</v>
      </c>
      <c r="D22258" s="1" t="str">
        <f>HYPERLINK("https://rhld.insurance.arkansas.gov/NPILookup?Npi=1902267248","1902267248")</f>
        <v>1902267248</v>
      </c>
      <c r="E22258" t="s">
        <v>11907</v>
      </c>
    </row>
    <row r="22259" spans="1:5" x14ac:dyDescent="0.25">
      <c r="A22259" t="s">
        <v>4</v>
      </c>
      <c r="B22259" t="s">
        <v>4111</v>
      </c>
      <c r="C22259" s="1" t="s">
        <v>23490</v>
      </c>
      <c r="D22259" s="1" t="str">
        <f>HYPERLINK("https://rhld.insurance.arkansas.gov/NPILookup?Npi=1902277924","1902277924")</f>
        <v>1902277924</v>
      </c>
      <c r="E22259" t="s">
        <v>14261</v>
      </c>
    </row>
    <row r="22260" spans="1:5" x14ac:dyDescent="0.25">
      <c r="A22260" t="s">
        <v>4</v>
      </c>
      <c r="B22260" t="s">
        <v>4111</v>
      </c>
      <c r="C22260" s="1" t="s">
        <v>23490</v>
      </c>
      <c r="D22260" s="1" t="str">
        <f>HYPERLINK("https://rhld.insurance.arkansas.gov/NPILookup?Npi=1902284979","1902284979")</f>
        <v>1902284979</v>
      </c>
      <c r="E22260" t="s">
        <v>13229</v>
      </c>
    </row>
    <row r="22261" spans="1:5" x14ac:dyDescent="0.25">
      <c r="A22261" t="s">
        <v>4</v>
      </c>
      <c r="B22261" t="s">
        <v>4111</v>
      </c>
      <c r="C22261" s="1" t="s">
        <v>23490</v>
      </c>
      <c r="D22261" s="1" t="str">
        <f>HYPERLINK("https://rhld.insurance.arkansas.gov/NPILookup?Npi=1902290174","1902290174")</f>
        <v>1902290174</v>
      </c>
      <c r="E22261" t="s">
        <v>3670</v>
      </c>
    </row>
    <row r="22262" spans="1:5" x14ac:dyDescent="0.25">
      <c r="A22262" t="s">
        <v>4</v>
      </c>
      <c r="B22262" t="s">
        <v>4111</v>
      </c>
      <c r="C22262" s="1" t="s">
        <v>23490</v>
      </c>
      <c r="D22262" s="1" t="str">
        <f>HYPERLINK("https://rhld.insurance.arkansas.gov/NPILookup?Npi=1902296775","1902296775")</f>
        <v>1902296775</v>
      </c>
      <c r="E22262" t="s">
        <v>22362</v>
      </c>
    </row>
    <row r="22263" spans="1:5" x14ac:dyDescent="0.25">
      <c r="A22263" t="s">
        <v>4</v>
      </c>
      <c r="B22263" t="s">
        <v>4111</v>
      </c>
      <c r="C22263" s="1" t="s">
        <v>23490</v>
      </c>
      <c r="D22263" s="1" t="str">
        <f>HYPERLINK("https://rhld.insurance.arkansas.gov/NPILookup?Npi=1902322845","1902322845")</f>
        <v>1902322845</v>
      </c>
      <c r="E22263" t="s">
        <v>18464</v>
      </c>
    </row>
    <row r="22264" spans="1:5" x14ac:dyDescent="0.25">
      <c r="A22264" t="s">
        <v>4</v>
      </c>
      <c r="B22264" t="s">
        <v>4111</v>
      </c>
      <c r="C22264" s="1" t="s">
        <v>23490</v>
      </c>
      <c r="D22264" s="1" t="str">
        <f>HYPERLINK("https://rhld.insurance.arkansas.gov/NPILookup?Npi=1902331747","1902331747")</f>
        <v>1902331747</v>
      </c>
      <c r="E22264" t="s">
        <v>20628</v>
      </c>
    </row>
    <row r="22265" spans="1:5" x14ac:dyDescent="0.25">
      <c r="A22265" t="s">
        <v>4</v>
      </c>
      <c r="B22265" t="s">
        <v>4111</v>
      </c>
      <c r="C22265" s="1" t="s">
        <v>23490</v>
      </c>
      <c r="D22265" s="1" t="str">
        <f>HYPERLINK("https://rhld.insurance.arkansas.gov/NPILookup?Npi=1902343023","1902343023")</f>
        <v>1902343023</v>
      </c>
      <c r="E22265" t="s">
        <v>17246</v>
      </c>
    </row>
    <row r="22266" spans="1:5" x14ac:dyDescent="0.25">
      <c r="A22266" t="s">
        <v>4</v>
      </c>
      <c r="B22266" t="s">
        <v>4111</v>
      </c>
      <c r="C22266" s="1" t="s">
        <v>23490</v>
      </c>
      <c r="D22266" s="1" t="str">
        <f>HYPERLINK("https://rhld.insurance.arkansas.gov/NPILookup?Npi=1902345416","1902345416")</f>
        <v>1902345416</v>
      </c>
      <c r="E22266" t="s">
        <v>17671</v>
      </c>
    </row>
    <row r="22267" spans="1:5" x14ac:dyDescent="0.25">
      <c r="A22267" t="s">
        <v>4</v>
      </c>
      <c r="B22267" t="s">
        <v>4111</v>
      </c>
      <c r="C22267" s="1" t="s">
        <v>23490</v>
      </c>
      <c r="D22267" s="1" t="str">
        <f>HYPERLINK("https://rhld.insurance.arkansas.gov/NPILookup?Npi=1902381023","1902381023")</f>
        <v>1902381023</v>
      </c>
      <c r="E22267" t="s">
        <v>18465</v>
      </c>
    </row>
    <row r="22268" spans="1:5" x14ac:dyDescent="0.25">
      <c r="A22268" t="s">
        <v>4</v>
      </c>
      <c r="B22268" t="s">
        <v>4111</v>
      </c>
      <c r="C22268" s="1" t="s">
        <v>23490</v>
      </c>
      <c r="D22268" s="1" t="str">
        <f>HYPERLINK("https://rhld.insurance.arkansas.gov/NPILookup?Npi=1902383516","1902383516")</f>
        <v>1902383516</v>
      </c>
      <c r="E22268" t="s">
        <v>22363</v>
      </c>
    </row>
    <row r="22269" spans="1:5" x14ac:dyDescent="0.25">
      <c r="A22269" t="s">
        <v>4</v>
      </c>
      <c r="B22269" t="s">
        <v>4111</v>
      </c>
      <c r="C22269" s="1" t="s">
        <v>23490</v>
      </c>
      <c r="D22269" s="1" t="str">
        <f>HYPERLINK("https://rhld.insurance.arkansas.gov/NPILookup?Npi=1902385214","1902385214")</f>
        <v>1902385214</v>
      </c>
      <c r="E22269" t="s">
        <v>20629</v>
      </c>
    </row>
    <row r="22270" spans="1:5" x14ac:dyDescent="0.25">
      <c r="A22270" t="s">
        <v>4</v>
      </c>
      <c r="B22270" t="s">
        <v>4111</v>
      </c>
      <c r="C22270" s="1" t="s">
        <v>23490</v>
      </c>
      <c r="D22270" s="1" t="str">
        <f>HYPERLINK("https://rhld.insurance.arkansas.gov/NPILookup?Npi=1902386345","1902386345")</f>
        <v>1902386345</v>
      </c>
      <c r="E22270" t="s">
        <v>23208</v>
      </c>
    </row>
    <row r="22271" spans="1:5" x14ac:dyDescent="0.25">
      <c r="A22271" t="s">
        <v>4</v>
      </c>
      <c r="B22271" t="s">
        <v>4111</v>
      </c>
      <c r="C22271" s="1" t="s">
        <v>23490</v>
      </c>
      <c r="D22271" s="1" t="str">
        <f>HYPERLINK("https://rhld.insurance.arkansas.gov/NPILookup?Npi=1902424336","1902424336")</f>
        <v>1902424336</v>
      </c>
      <c r="E22271" t="s">
        <v>22364</v>
      </c>
    </row>
    <row r="22272" spans="1:5" x14ac:dyDescent="0.25">
      <c r="A22272" t="s">
        <v>4</v>
      </c>
      <c r="B22272" t="s">
        <v>4111</v>
      </c>
      <c r="C22272" s="1" t="s">
        <v>23490</v>
      </c>
      <c r="D22272" s="1" t="str">
        <f>HYPERLINK("https://rhld.insurance.arkansas.gov/NPILookup?Npi=1902433006","1902433006")</f>
        <v>1902433006</v>
      </c>
      <c r="E22272" t="s">
        <v>20630</v>
      </c>
    </row>
    <row r="22273" spans="1:5" x14ac:dyDescent="0.25">
      <c r="A22273" t="s">
        <v>4</v>
      </c>
      <c r="B22273" t="s">
        <v>4111</v>
      </c>
      <c r="C22273" s="1" t="s">
        <v>23490</v>
      </c>
      <c r="D22273" s="1" t="str">
        <f>HYPERLINK("https://rhld.insurance.arkansas.gov/NPILookup?Npi=1902433287","1902433287")</f>
        <v>1902433287</v>
      </c>
      <c r="E22273" t="s">
        <v>22365</v>
      </c>
    </row>
    <row r="22274" spans="1:5" x14ac:dyDescent="0.25">
      <c r="A22274" t="s">
        <v>4</v>
      </c>
      <c r="B22274" t="s">
        <v>4111</v>
      </c>
      <c r="C22274" s="1" t="s">
        <v>8427</v>
      </c>
      <c r="D22274" s="1" t="str">
        <f>HYPERLINK("https://rhld.insurance.arkansas.gov/NPILookup?Npi=1902483993","1902483993")</f>
        <v>1902483993</v>
      </c>
      <c r="E22274" t="s">
        <v>23209</v>
      </c>
    </row>
    <row r="22275" spans="1:5" x14ac:dyDescent="0.25">
      <c r="A22275" t="s">
        <v>4</v>
      </c>
      <c r="B22275" t="s">
        <v>4111</v>
      </c>
      <c r="C22275" s="1" t="s">
        <v>23490</v>
      </c>
      <c r="D22275" s="1" t="str">
        <f>HYPERLINK("https://rhld.insurance.arkansas.gov/NPILookup?Npi=1902497076","1902497076")</f>
        <v>1902497076</v>
      </c>
      <c r="E22275" t="s">
        <v>22366</v>
      </c>
    </row>
    <row r="22276" spans="1:5" x14ac:dyDescent="0.25">
      <c r="A22276" t="s">
        <v>4</v>
      </c>
      <c r="B22276" t="s">
        <v>4111</v>
      </c>
      <c r="C22276" s="1" t="s">
        <v>23490</v>
      </c>
      <c r="D22276" s="1" t="str">
        <f>HYPERLINK("https://rhld.insurance.arkansas.gov/NPILookup?Npi=1902550221","1902550221")</f>
        <v>1902550221</v>
      </c>
      <c r="E22276" t="s">
        <v>22367</v>
      </c>
    </row>
    <row r="22277" spans="1:5" x14ac:dyDescent="0.25">
      <c r="A22277" t="s">
        <v>4</v>
      </c>
      <c r="B22277" t="s">
        <v>4111</v>
      </c>
      <c r="C22277" s="1" t="s">
        <v>8427</v>
      </c>
      <c r="D22277" s="1" t="str">
        <f>HYPERLINK("https://rhld.insurance.arkansas.gov/NPILookup?Npi=1902585227","1902585227")</f>
        <v>1902585227</v>
      </c>
      <c r="E22277" t="s">
        <v>23210</v>
      </c>
    </row>
    <row r="22278" spans="1:5" x14ac:dyDescent="0.25">
      <c r="A22278" t="s">
        <v>4</v>
      </c>
      <c r="B22278" t="s">
        <v>4111</v>
      </c>
      <c r="C22278" s="1" t="s">
        <v>23490</v>
      </c>
      <c r="D22278" s="1" t="str">
        <f>HYPERLINK("https://rhld.insurance.arkansas.gov/NPILookup?Npi=1902836471","1902836471")</f>
        <v>1902836471</v>
      </c>
      <c r="E22278" t="s">
        <v>5901</v>
      </c>
    </row>
    <row r="22279" spans="1:5" x14ac:dyDescent="0.25">
      <c r="A22279" t="s">
        <v>4</v>
      </c>
      <c r="B22279" t="s">
        <v>4111</v>
      </c>
      <c r="C22279" s="1" t="s">
        <v>23490</v>
      </c>
      <c r="D22279" s="1" t="str">
        <f>HYPERLINK("https://rhld.insurance.arkansas.gov/NPILookup?Npi=1902840531","1902840531")</f>
        <v>1902840531</v>
      </c>
      <c r="E22279" t="s">
        <v>5902</v>
      </c>
    </row>
    <row r="22280" spans="1:5" x14ac:dyDescent="0.25">
      <c r="A22280" t="s">
        <v>4</v>
      </c>
      <c r="B22280" t="s">
        <v>4111</v>
      </c>
      <c r="C22280" s="1" t="s">
        <v>23490</v>
      </c>
      <c r="D22280" s="1" t="str">
        <f>HYPERLINK("https://rhld.insurance.arkansas.gov/NPILookup?Npi=1902849102","1902849102")</f>
        <v>1902849102</v>
      </c>
      <c r="E22280" t="s">
        <v>16269</v>
      </c>
    </row>
    <row r="22281" spans="1:5" x14ac:dyDescent="0.25">
      <c r="A22281" t="s">
        <v>4</v>
      </c>
      <c r="B22281" t="s">
        <v>4111</v>
      </c>
      <c r="C22281" s="1" t="s">
        <v>23490</v>
      </c>
      <c r="D22281" s="1" t="str">
        <f>HYPERLINK("https://rhld.insurance.arkansas.gov/NPILookup?Npi=1902856867","1902856867")</f>
        <v>1902856867</v>
      </c>
      <c r="E22281" t="s">
        <v>5903</v>
      </c>
    </row>
    <row r="22282" spans="1:5" x14ac:dyDescent="0.25">
      <c r="A22282" t="s">
        <v>4</v>
      </c>
      <c r="B22282" t="s">
        <v>4111</v>
      </c>
      <c r="C22282" s="1" t="s">
        <v>23490</v>
      </c>
      <c r="D22282" s="1" t="str">
        <f>HYPERLINK("https://rhld.insurance.arkansas.gov/NPILookup?Npi=1902865926","1902865926")</f>
        <v>1902865926</v>
      </c>
      <c r="E22282" t="s">
        <v>5904</v>
      </c>
    </row>
    <row r="22283" spans="1:5" x14ac:dyDescent="0.25">
      <c r="A22283" t="s">
        <v>4</v>
      </c>
      <c r="B22283" t="s">
        <v>4111</v>
      </c>
      <c r="C22283" s="1" t="s">
        <v>23490</v>
      </c>
      <c r="D22283" s="1" t="str">
        <f>HYPERLINK("https://rhld.insurance.arkansas.gov/NPILookup?Npi=1902874209","1902874209")</f>
        <v>1902874209</v>
      </c>
      <c r="E22283" t="s">
        <v>5905</v>
      </c>
    </row>
    <row r="22284" spans="1:5" x14ac:dyDescent="0.25">
      <c r="A22284" t="s">
        <v>4</v>
      </c>
      <c r="B22284" t="s">
        <v>4111</v>
      </c>
      <c r="C22284" s="1" t="s">
        <v>23490</v>
      </c>
      <c r="D22284" s="1" t="str">
        <f>HYPERLINK("https://rhld.insurance.arkansas.gov/NPILookup?Npi=1902878473","1902878473")</f>
        <v>1902878473</v>
      </c>
      <c r="E22284" t="s">
        <v>5906</v>
      </c>
    </row>
    <row r="22285" spans="1:5" x14ac:dyDescent="0.25">
      <c r="A22285" t="s">
        <v>4</v>
      </c>
      <c r="B22285" t="s">
        <v>4111</v>
      </c>
      <c r="C22285" s="1" t="s">
        <v>23490</v>
      </c>
      <c r="D22285" s="1" t="str">
        <f>HYPERLINK("https://rhld.insurance.arkansas.gov/NPILookup?Npi=1902892052","1902892052")</f>
        <v>1902892052</v>
      </c>
      <c r="E22285" t="s">
        <v>13230</v>
      </c>
    </row>
    <row r="22286" spans="1:5" x14ac:dyDescent="0.25">
      <c r="A22286" t="s">
        <v>4</v>
      </c>
      <c r="B22286" t="s">
        <v>4111</v>
      </c>
      <c r="C22286" s="1" t="s">
        <v>23490</v>
      </c>
      <c r="D22286" s="1" t="str">
        <f>HYPERLINK("https://rhld.insurance.arkansas.gov/NPILookup?Npi=1902929417","1902929417")</f>
        <v>1902929417</v>
      </c>
      <c r="E22286" t="s">
        <v>9177</v>
      </c>
    </row>
    <row r="22287" spans="1:5" x14ac:dyDescent="0.25">
      <c r="A22287" t="s">
        <v>4</v>
      </c>
      <c r="B22287" t="s">
        <v>4111</v>
      </c>
      <c r="C22287" s="1" t="s">
        <v>23490</v>
      </c>
      <c r="D22287" s="1" t="str">
        <f>HYPERLINK("https://rhld.insurance.arkansas.gov/NPILookup?Npi=1902933104","1902933104")</f>
        <v>1902933104</v>
      </c>
      <c r="E22287" t="s">
        <v>14262</v>
      </c>
    </row>
    <row r="22288" spans="1:5" x14ac:dyDescent="0.25">
      <c r="A22288" t="s">
        <v>4</v>
      </c>
      <c r="B22288" t="s">
        <v>4111</v>
      </c>
      <c r="C22288" s="1" t="s">
        <v>23490</v>
      </c>
      <c r="D22288" s="1" t="str">
        <f>HYPERLINK("https://rhld.insurance.arkansas.gov/NPILookup?Npi=1902935562","1902935562")</f>
        <v>1902935562</v>
      </c>
      <c r="E22288" t="s">
        <v>16270</v>
      </c>
    </row>
    <row r="22289" spans="1:5" x14ac:dyDescent="0.25">
      <c r="A22289" t="s">
        <v>4</v>
      </c>
      <c r="B22289" t="s">
        <v>4111</v>
      </c>
      <c r="C22289" s="1" t="s">
        <v>23490</v>
      </c>
      <c r="D22289" s="1" t="str">
        <f>HYPERLINK("https://rhld.insurance.arkansas.gov/NPILookup?Npi=1902937261","1902937261")</f>
        <v>1902937261</v>
      </c>
      <c r="E22289" t="s">
        <v>9178</v>
      </c>
    </row>
    <row r="22290" spans="1:5" x14ac:dyDescent="0.25">
      <c r="A22290" t="s">
        <v>4</v>
      </c>
      <c r="B22290" t="s">
        <v>4111</v>
      </c>
      <c r="C22290" s="1" t="s">
        <v>23490</v>
      </c>
      <c r="D22290" s="1" t="str">
        <f>HYPERLINK("https://rhld.insurance.arkansas.gov/NPILookup?Npi=1902966765","1902966765")</f>
        <v>1902966765</v>
      </c>
      <c r="E22290" t="s">
        <v>22368</v>
      </c>
    </row>
    <row r="22291" spans="1:5" x14ac:dyDescent="0.25">
      <c r="A22291" t="s">
        <v>4</v>
      </c>
      <c r="B22291" t="s">
        <v>4111</v>
      </c>
      <c r="C22291" s="1" t="s">
        <v>23490</v>
      </c>
      <c r="D22291" s="1" t="str">
        <f>HYPERLINK("https://rhld.insurance.arkansas.gov/NPILookup?Npi=1912013053","1912013053")</f>
        <v>1912013053</v>
      </c>
      <c r="E22291" t="s">
        <v>5907</v>
      </c>
    </row>
    <row r="22292" spans="1:5" x14ac:dyDescent="0.25">
      <c r="A22292" t="s">
        <v>4</v>
      </c>
      <c r="B22292" t="s">
        <v>4111</v>
      </c>
      <c r="C22292" s="1" t="s">
        <v>23490</v>
      </c>
      <c r="D22292" s="1" t="str">
        <f>HYPERLINK("https://rhld.insurance.arkansas.gov/NPILookup?Npi=1912023938","1912023938")</f>
        <v>1912023938</v>
      </c>
      <c r="E22292" t="s">
        <v>4434</v>
      </c>
    </row>
    <row r="22293" spans="1:5" x14ac:dyDescent="0.25">
      <c r="A22293" t="s">
        <v>4</v>
      </c>
      <c r="B22293" t="s">
        <v>4111</v>
      </c>
      <c r="C22293" s="1" t="s">
        <v>23490</v>
      </c>
      <c r="D22293" s="1" t="str">
        <f>HYPERLINK("https://rhld.insurance.arkansas.gov/NPILookup?Npi=1912034836","1912034836")</f>
        <v>1912034836</v>
      </c>
      <c r="E22293" t="s">
        <v>5908</v>
      </c>
    </row>
    <row r="22294" spans="1:5" x14ac:dyDescent="0.25">
      <c r="A22294" t="s">
        <v>4</v>
      </c>
      <c r="B22294" t="s">
        <v>4111</v>
      </c>
      <c r="C22294" s="1" t="s">
        <v>23490</v>
      </c>
      <c r="D22294" s="1" t="str">
        <f>HYPERLINK("https://rhld.insurance.arkansas.gov/NPILookup?Npi=1912038753","1912038753")</f>
        <v>1912038753</v>
      </c>
      <c r="E22294" t="s">
        <v>17247</v>
      </c>
    </row>
    <row r="22295" spans="1:5" x14ac:dyDescent="0.25">
      <c r="A22295" t="s">
        <v>4</v>
      </c>
      <c r="B22295" t="s">
        <v>4111</v>
      </c>
      <c r="C22295" s="1" t="s">
        <v>23490</v>
      </c>
      <c r="D22295" s="1" t="str">
        <f>HYPERLINK("https://rhld.insurance.arkansas.gov/NPILookup?Npi=1912054016","1912054016")</f>
        <v>1912054016</v>
      </c>
      <c r="E22295" t="s">
        <v>5909</v>
      </c>
    </row>
    <row r="22296" spans="1:5" x14ac:dyDescent="0.25">
      <c r="A22296" t="s">
        <v>4</v>
      </c>
      <c r="B22296" t="s">
        <v>4111</v>
      </c>
      <c r="C22296" s="1" t="s">
        <v>23490</v>
      </c>
      <c r="D22296" s="1" t="str">
        <f>HYPERLINK("https://rhld.insurance.arkansas.gov/NPILookup?Npi=1912069352","1912069352")</f>
        <v>1912069352</v>
      </c>
      <c r="E22296" t="s">
        <v>11908</v>
      </c>
    </row>
    <row r="22297" spans="1:5" x14ac:dyDescent="0.25">
      <c r="A22297" t="s">
        <v>4</v>
      </c>
      <c r="B22297" t="s">
        <v>4111</v>
      </c>
      <c r="C22297" s="1" t="s">
        <v>23490</v>
      </c>
      <c r="D22297" s="1" t="str">
        <f>HYPERLINK("https://rhld.insurance.arkansas.gov/NPILookup?Npi=1912072125","1912072125")</f>
        <v>1912072125</v>
      </c>
      <c r="E22297" t="s">
        <v>16271</v>
      </c>
    </row>
    <row r="22298" spans="1:5" x14ac:dyDescent="0.25">
      <c r="A22298" t="s">
        <v>4</v>
      </c>
      <c r="B22298" t="s">
        <v>4111</v>
      </c>
      <c r="C22298" s="1" t="s">
        <v>23490</v>
      </c>
      <c r="D22298" s="1" t="str">
        <f>HYPERLINK("https://rhld.insurance.arkansas.gov/NPILookup?Npi=1912077397","1912077397")</f>
        <v>1912077397</v>
      </c>
      <c r="E22298" t="s">
        <v>5910</v>
      </c>
    </row>
    <row r="22299" spans="1:5" x14ac:dyDescent="0.25">
      <c r="A22299" t="s">
        <v>4</v>
      </c>
      <c r="B22299" t="s">
        <v>4111</v>
      </c>
      <c r="C22299" s="1" t="s">
        <v>23490</v>
      </c>
      <c r="D22299" s="1" t="str">
        <f>HYPERLINK("https://rhld.insurance.arkansas.gov/NPILookup?Npi=1912079245","1912079245")</f>
        <v>1912079245</v>
      </c>
      <c r="E22299" t="s">
        <v>5911</v>
      </c>
    </row>
    <row r="22300" spans="1:5" x14ac:dyDescent="0.25">
      <c r="A22300" t="s">
        <v>4</v>
      </c>
      <c r="B22300" t="s">
        <v>4111</v>
      </c>
      <c r="C22300" s="1" t="s">
        <v>23490</v>
      </c>
      <c r="D22300" s="1" t="str">
        <f>HYPERLINK("https://rhld.insurance.arkansas.gov/NPILookup?Npi=1912094020","1912094020")</f>
        <v>1912094020</v>
      </c>
      <c r="E22300" t="s">
        <v>22369</v>
      </c>
    </row>
    <row r="22301" spans="1:5" x14ac:dyDescent="0.25">
      <c r="A22301" t="s">
        <v>4</v>
      </c>
      <c r="B22301" t="s">
        <v>4111</v>
      </c>
      <c r="C22301" s="1" t="s">
        <v>23490</v>
      </c>
      <c r="D22301" s="1" t="str">
        <f>HYPERLINK("https://rhld.insurance.arkansas.gov/NPILookup?Npi=1912097585","1912097585")</f>
        <v>1912097585</v>
      </c>
      <c r="E22301" t="s">
        <v>5912</v>
      </c>
    </row>
    <row r="22302" spans="1:5" x14ac:dyDescent="0.25">
      <c r="A22302" t="s">
        <v>4</v>
      </c>
      <c r="B22302" t="s">
        <v>4111</v>
      </c>
      <c r="C22302" s="1" t="s">
        <v>23490</v>
      </c>
      <c r="D22302" s="1" t="str">
        <f>HYPERLINK("https://rhld.insurance.arkansas.gov/NPILookup?Npi=1912110842","1912110842")</f>
        <v>1912110842</v>
      </c>
      <c r="E22302" t="s">
        <v>5913</v>
      </c>
    </row>
    <row r="22303" spans="1:5" x14ac:dyDescent="0.25">
      <c r="A22303" t="s">
        <v>4</v>
      </c>
      <c r="B22303" t="s">
        <v>4111</v>
      </c>
      <c r="C22303" s="1" t="s">
        <v>23490</v>
      </c>
      <c r="D22303" s="1" t="str">
        <f>HYPERLINK("https://rhld.insurance.arkansas.gov/NPILookup?Npi=1912114281","1912114281")</f>
        <v>1912114281</v>
      </c>
      <c r="E22303" t="s">
        <v>22370</v>
      </c>
    </row>
    <row r="22304" spans="1:5" x14ac:dyDescent="0.25">
      <c r="A22304" t="s">
        <v>4</v>
      </c>
      <c r="B22304" t="s">
        <v>4111</v>
      </c>
      <c r="C22304" s="1" t="s">
        <v>23490</v>
      </c>
      <c r="D22304" s="1" t="str">
        <f>HYPERLINK("https://rhld.insurance.arkansas.gov/NPILookup?Npi=1912115353","1912115353")</f>
        <v>1912115353</v>
      </c>
      <c r="E22304" t="s">
        <v>5914</v>
      </c>
    </row>
    <row r="22305" spans="1:5" x14ac:dyDescent="0.25">
      <c r="A22305" t="s">
        <v>4</v>
      </c>
      <c r="B22305" t="s">
        <v>4111</v>
      </c>
      <c r="C22305" s="1" t="s">
        <v>23490</v>
      </c>
      <c r="D22305" s="1" t="str">
        <f>HYPERLINK("https://rhld.insurance.arkansas.gov/NPILookup?Npi=1912136045","1912136045")</f>
        <v>1912136045</v>
      </c>
      <c r="E22305" t="s">
        <v>5915</v>
      </c>
    </row>
    <row r="22306" spans="1:5" x14ac:dyDescent="0.25">
      <c r="A22306" t="s">
        <v>4</v>
      </c>
      <c r="B22306" t="s">
        <v>4111</v>
      </c>
      <c r="C22306" s="1" t="s">
        <v>23490</v>
      </c>
      <c r="D22306" s="1" t="str">
        <f>HYPERLINK("https://rhld.insurance.arkansas.gov/NPILookup?Npi=1912149618","1912149618")</f>
        <v>1912149618</v>
      </c>
      <c r="E22306" t="s">
        <v>5916</v>
      </c>
    </row>
    <row r="22307" spans="1:5" x14ac:dyDescent="0.25">
      <c r="A22307" t="s">
        <v>4</v>
      </c>
      <c r="B22307" t="s">
        <v>4111</v>
      </c>
      <c r="C22307" s="1" t="s">
        <v>23490</v>
      </c>
      <c r="D22307" s="1" t="str">
        <f>HYPERLINK("https://rhld.insurance.arkansas.gov/NPILookup?Npi=1912154311","1912154311")</f>
        <v>1912154311</v>
      </c>
      <c r="E22307" t="s">
        <v>14263</v>
      </c>
    </row>
    <row r="22308" spans="1:5" x14ac:dyDescent="0.25">
      <c r="A22308" t="s">
        <v>4</v>
      </c>
      <c r="B22308" t="s">
        <v>4111</v>
      </c>
      <c r="C22308" s="1" t="s">
        <v>23490</v>
      </c>
      <c r="D22308" s="1" t="str">
        <f>HYPERLINK("https://rhld.insurance.arkansas.gov/NPILookup?Npi=1912155862","1912155862")</f>
        <v>1912155862</v>
      </c>
      <c r="E22308" t="s">
        <v>17672</v>
      </c>
    </row>
    <row r="22309" spans="1:5" x14ac:dyDescent="0.25">
      <c r="A22309" t="s">
        <v>4</v>
      </c>
      <c r="B22309" t="s">
        <v>4111</v>
      </c>
      <c r="C22309" s="1" t="s">
        <v>23490</v>
      </c>
      <c r="D22309" s="1" t="str">
        <f>HYPERLINK("https://rhld.insurance.arkansas.gov/NPILookup?Npi=1912156928","1912156928")</f>
        <v>1912156928</v>
      </c>
      <c r="E22309" t="s">
        <v>17248</v>
      </c>
    </row>
    <row r="22310" spans="1:5" x14ac:dyDescent="0.25">
      <c r="A22310" t="s">
        <v>4</v>
      </c>
      <c r="B22310" t="s">
        <v>4111</v>
      </c>
      <c r="C22310" s="1" t="s">
        <v>23490</v>
      </c>
      <c r="D22310" s="1" t="str">
        <f>HYPERLINK("https://rhld.insurance.arkansas.gov/NPILookup?Npi=1912159831","1912159831")</f>
        <v>1912159831</v>
      </c>
      <c r="E22310" t="s">
        <v>5917</v>
      </c>
    </row>
    <row r="22311" spans="1:5" x14ac:dyDescent="0.25">
      <c r="A22311" t="s">
        <v>4</v>
      </c>
      <c r="B22311" t="s">
        <v>4111</v>
      </c>
      <c r="C22311" s="1" t="s">
        <v>23490</v>
      </c>
      <c r="D22311" s="1" t="str">
        <f>HYPERLINK("https://rhld.insurance.arkansas.gov/NPILookup?Npi=1912164229","1912164229")</f>
        <v>1912164229</v>
      </c>
      <c r="E22311" t="s">
        <v>18466</v>
      </c>
    </row>
    <row r="22312" spans="1:5" x14ac:dyDescent="0.25">
      <c r="A22312" t="s">
        <v>4</v>
      </c>
      <c r="B22312" t="s">
        <v>4111</v>
      </c>
      <c r="C22312" s="1" t="s">
        <v>23490</v>
      </c>
      <c r="D22312" s="1" t="str">
        <f>HYPERLINK("https://rhld.insurance.arkansas.gov/NPILookup?Npi=1912177486","1912177486")</f>
        <v>1912177486</v>
      </c>
      <c r="E22312" t="s">
        <v>13231</v>
      </c>
    </row>
    <row r="22313" spans="1:5" x14ac:dyDescent="0.25">
      <c r="A22313" t="s">
        <v>4</v>
      </c>
      <c r="B22313" t="s">
        <v>4111</v>
      </c>
      <c r="C22313" s="1" t="s">
        <v>23490</v>
      </c>
      <c r="D22313" s="1" t="str">
        <f>HYPERLINK("https://rhld.insurance.arkansas.gov/NPILookup?Npi=1912189077","1912189077")</f>
        <v>1912189077</v>
      </c>
      <c r="E22313" t="s">
        <v>5918</v>
      </c>
    </row>
    <row r="22314" spans="1:5" x14ac:dyDescent="0.25">
      <c r="A22314" t="s">
        <v>4</v>
      </c>
      <c r="B22314" t="s">
        <v>4111</v>
      </c>
      <c r="C22314" s="1" t="s">
        <v>23490</v>
      </c>
      <c r="D22314" s="1" t="str">
        <f>HYPERLINK("https://rhld.insurance.arkansas.gov/NPILookup?Npi=1912203399","1912203399")</f>
        <v>1912203399</v>
      </c>
      <c r="E22314" t="s">
        <v>14264</v>
      </c>
    </row>
    <row r="22315" spans="1:5" x14ac:dyDescent="0.25">
      <c r="A22315" t="s">
        <v>4</v>
      </c>
      <c r="B22315" t="s">
        <v>4111</v>
      </c>
      <c r="C22315" s="1" t="s">
        <v>23490</v>
      </c>
      <c r="D22315" s="1" t="str">
        <f>HYPERLINK("https://rhld.insurance.arkansas.gov/NPILookup?Npi=1912212705","1912212705")</f>
        <v>1912212705</v>
      </c>
      <c r="E22315" t="s">
        <v>9179</v>
      </c>
    </row>
    <row r="22316" spans="1:5" x14ac:dyDescent="0.25">
      <c r="A22316" t="s">
        <v>4</v>
      </c>
      <c r="B22316" t="s">
        <v>4111</v>
      </c>
      <c r="C22316" s="1" t="s">
        <v>23490</v>
      </c>
      <c r="D22316" s="1" t="str">
        <f>HYPERLINK("https://rhld.insurance.arkansas.gov/NPILookup?Npi=1912217449","1912217449")</f>
        <v>1912217449</v>
      </c>
      <c r="E22316" t="s">
        <v>5919</v>
      </c>
    </row>
    <row r="22317" spans="1:5" x14ac:dyDescent="0.25">
      <c r="A22317" t="s">
        <v>4</v>
      </c>
      <c r="B22317" t="s">
        <v>4111</v>
      </c>
      <c r="C22317" s="1" t="s">
        <v>23490</v>
      </c>
      <c r="D22317" s="1" t="str">
        <f>HYPERLINK("https://rhld.insurance.arkansas.gov/NPILookup?Npi=1912226499","1912226499")</f>
        <v>1912226499</v>
      </c>
      <c r="E22317" t="s">
        <v>17249</v>
      </c>
    </row>
    <row r="22318" spans="1:5" x14ac:dyDescent="0.25">
      <c r="A22318" t="s">
        <v>4</v>
      </c>
      <c r="B22318" t="s">
        <v>4111</v>
      </c>
      <c r="C22318" s="1" t="s">
        <v>23490</v>
      </c>
      <c r="D22318" s="1" t="str">
        <f>HYPERLINK("https://rhld.insurance.arkansas.gov/NPILookup?Npi=1912230889","1912230889")</f>
        <v>1912230889</v>
      </c>
      <c r="E22318" t="s">
        <v>14265</v>
      </c>
    </row>
    <row r="22319" spans="1:5" x14ac:dyDescent="0.25">
      <c r="A22319" t="s">
        <v>4</v>
      </c>
      <c r="B22319" t="s">
        <v>4111</v>
      </c>
      <c r="C22319" s="1" t="s">
        <v>23490</v>
      </c>
      <c r="D22319" s="1" t="str">
        <f>HYPERLINK("https://rhld.insurance.arkansas.gov/NPILookup?Npi=1912245671","1912245671")</f>
        <v>1912245671</v>
      </c>
      <c r="E22319" t="s">
        <v>14266</v>
      </c>
    </row>
    <row r="22320" spans="1:5" x14ac:dyDescent="0.25">
      <c r="A22320" t="s">
        <v>4</v>
      </c>
      <c r="B22320" t="s">
        <v>4111</v>
      </c>
      <c r="C22320" s="1" t="s">
        <v>23490</v>
      </c>
      <c r="D22320" s="1" t="str">
        <f>HYPERLINK("https://rhld.insurance.arkansas.gov/NPILookup?Npi=1912247933","1912247933")</f>
        <v>1912247933</v>
      </c>
      <c r="E22320" t="s">
        <v>14267</v>
      </c>
    </row>
    <row r="22321" spans="1:5" x14ac:dyDescent="0.25">
      <c r="A22321" t="s">
        <v>4</v>
      </c>
      <c r="B22321" t="s">
        <v>4111</v>
      </c>
      <c r="C22321" s="1" t="s">
        <v>23490</v>
      </c>
      <c r="D22321" s="1" t="str">
        <f>HYPERLINK("https://rhld.insurance.arkansas.gov/NPILookup?Npi=1912256124","1912256124")</f>
        <v>1912256124</v>
      </c>
      <c r="E22321" t="s">
        <v>9180</v>
      </c>
    </row>
    <row r="22322" spans="1:5" x14ac:dyDescent="0.25">
      <c r="A22322" t="s">
        <v>4</v>
      </c>
      <c r="B22322" t="s">
        <v>4111</v>
      </c>
      <c r="C22322" s="1" t="s">
        <v>23490</v>
      </c>
      <c r="D22322" s="1" t="str">
        <f>HYPERLINK("https://rhld.insurance.arkansas.gov/NPILookup?Npi=1912260738","1912260738")</f>
        <v>1912260738</v>
      </c>
      <c r="E22322" t="s">
        <v>20631</v>
      </c>
    </row>
    <row r="22323" spans="1:5" x14ac:dyDescent="0.25">
      <c r="A22323" t="s">
        <v>4</v>
      </c>
      <c r="B22323" t="s">
        <v>4111</v>
      </c>
      <c r="C22323" s="1" t="s">
        <v>23490</v>
      </c>
      <c r="D22323" s="1" t="str">
        <f>HYPERLINK("https://rhld.insurance.arkansas.gov/NPILookup?Npi=1912268160","1912268160")</f>
        <v>1912268160</v>
      </c>
      <c r="E22323" t="s">
        <v>21176</v>
      </c>
    </row>
    <row r="22324" spans="1:5" x14ac:dyDescent="0.25">
      <c r="A22324" t="s">
        <v>4</v>
      </c>
      <c r="B22324" t="s">
        <v>4111</v>
      </c>
      <c r="C22324" s="1" t="s">
        <v>23490</v>
      </c>
      <c r="D22324" s="1" t="str">
        <f>HYPERLINK("https://rhld.insurance.arkansas.gov/NPILookup?Npi=1912271826","1912271826")</f>
        <v>1912271826</v>
      </c>
      <c r="E22324" t="s">
        <v>5920</v>
      </c>
    </row>
    <row r="22325" spans="1:5" x14ac:dyDescent="0.25">
      <c r="A22325" t="s">
        <v>4</v>
      </c>
      <c r="B22325" t="s">
        <v>4111</v>
      </c>
      <c r="C22325" s="1" t="s">
        <v>23490</v>
      </c>
      <c r="D22325" s="1" t="str">
        <f>HYPERLINK("https://rhld.insurance.arkansas.gov/NPILookup?Npi=1912274606","1912274606")</f>
        <v>1912274606</v>
      </c>
      <c r="E22325" t="s">
        <v>5921</v>
      </c>
    </row>
    <row r="22326" spans="1:5" x14ac:dyDescent="0.25">
      <c r="A22326" t="s">
        <v>4</v>
      </c>
      <c r="B22326" t="s">
        <v>4111</v>
      </c>
      <c r="C22326" s="1" t="s">
        <v>23490</v>
      </c>
      <c r="D22326" s="1" t="str">
        <f>HYPERLINK("https://rhld.insurance.arkansas.gov/NPILookup?Npi=1912278409","1912278409")</f>
        <v>1912278409</v>
      </c>
      <c r="E22326" t="s">
        <v>5922</v>
      </c>
    </row>
    <row r="22327" spans="1:5" x14ac:dyDescent="0.25">
      <c r="A22327" t="s">
        <v>4</v>
      </c>
      <c r="B22327" t="s">
        <v>4111</v>
      </c>
      <c r="C22327" s="1" t="s">
        <v>23490</v>
      </c>
      <c r="D22327" s="1" t="str">
        <f>HYPERLINK("https://rhld.insurance.arkansas.gov/NPILookup?Npi=1912281387","1912281387")</f>
        <v>1912281387</v>
      </c>
      <c r="E22327" t="s">
        <v>9181</v>
      </c>
    </row>
    <row r="22328" spans="1:5" x14ac:dyDescent="0.25">
      <c r="A22328" t="s">
        <v>4</v>
      </c>
      <c r="B22328" t="s">
        <v>4111</v>
      </c>
      <c r="C22328" s="1" t="s">
        <v>23490</v>
      </c>
      <c r="D22328" s="1" t="str">
        <f>HYPERLINK("https://rhld.insurance.arkansas.gov/NPILookup?Npi=1912298811","1912298811")</f>
        <v>1912298811</v>
      </c>
      <c r="E22328" t="s">
        <v>11909</v>
      </c>
    </row>
    <row r="22329" spans="1:5" x14ac:dyDescent="0.25">
      <c r="A22329" t="s">
        <v>4</v>
      </c>
      <c r="B22329" t="s">
        <v>4111</v>
      </c>
      <c r="C22329" s="1" t="s">
        <v>23490</v>
      </c>
      <c r="D22329" s="1" t="str">
        <f>HYPERLINK("https://rhld.insurance.arkansas.gov/NPILookup?Npi=1912305053","1912305053")</f>
        <v>1912305053</v>
      </c>
      <c r="E22329" t="s">
        <v>16272</v>
      </c>
    </row>
    <row r="22330" spans="1:5" x14ac:dyDescent="0.25">
      <c r="A22330" t="s">
        <v>4</v>
      </c>
      <c r="B22330" t="s">
        <v>4111</v>
      </c>
      <c r="C22330" s="1" t="s">
        <v>23490</v>
      </c>
      <c r="D22330" s="1" t="str">
        <f>HYPERLINK("https://rhld.insurance.arkansas.gov/NPILookup?Npi=1912309261","1912309261")</f>
        <v>1912309261</v>
      </c>
      <c r="E22330" t="s">
        <v>13232</v>
      </c>
    </row>
    <row r="22331" spans="1:5" x14ac:dyDescent="0.25">
      <c r="A22331" t="s">
        <v>4</v>
      </c>
      <c r="B22331" t="s">
        <v>4111</v>
      </c>
      <c r="C22331" s="1" t="s">
        <v>23490</v>
      </c>
      <c r="D22331" s="1" t="str">
        <f>HYPERLINK("https://rhld.insurance.arkansas.gov/NPILookup?Npi=1912310186","1912310186")</f>
        <v>1912310186</v>
      </c>
      <c r="E22331" t="s">
        <v>11910</v>
      </c>
    </row>
    <row r="22332" spans="1:5" x14ac:dyDescent="0.25">
      <c r="A22332" t="s">
        <v>4</v>
      </c>
      <c r="B22332" t="s">
        <v>4111</v>
      </c>
      <c r="C22332" s="1" t="s">
        <v>23490</v>
      </c>
      <c r="D22332" s="1" t="str">
        <f>HYPERLINK("https://rhld.insurance.arkansas.gov/NPILookup?Npi=1912319567","1912319567")</f>
        <v>1912319567</v>
      </c>
      <c r="E22332" t="s">
        <v>14268</v>
      </c>
    </row>
    <row r="22333" spans="1:5" x14ac:dyDescent="0.25">
      <c r="A22333" t="s">
        <v>4</v>
      </c>
      <c r="B22333" t="s">
        <v>4111</v>
      </c>
      <c r="C22333" s="1" t="s">
        <v>23490</v>
      </c>
      <c r="D22333" s="1" t="str">
        <f>HYPERLINK("https://rhld.insurance.arkansas.gov/NPILookup?Npi=1912330119","1912330119")</f>
        <v>1912330119</v>
      </c>
      <c r="E22333" t="s">
        <v>11911</v>
      </c>
    </row>
    <row r="22334" spans="1:5" x14ac:dyDescent="0.25">
      <c r="A22334" t="s">
        <v>4</v>
      </c>
      <c r="B22334" t="s">
        <v>4111</v>
      </c>
      <c r="C22334" s="1" t="s">
        <v>23490</v>
      </c>
      <c r="D22334" s="1" t="str">
        <f>HYPERLINK("https://rhld.insurance.arkansas.gov/NPILookup?Npi=1912334236","1912334236")</f>
        <v>1912334236</v>
      </c>
      <c r="E22334" t="s">
        <v>18467</v>
      </c>
    </row>
    <row r="22335" spans="1:5" x14ac:dyDescent="0.25">
      <c r="A22335" t="s">
        <v>4</v>
      </c>
      <c r="B22335" t="s">
        <v>4111</v>
      </c>
      <c r="C22335" s="1" t="s">
        <v>23490</v>
      </c>
      <c r="D22335" s="1" t="str">
        <f>HYPERLINK("https://rhld.insurance.arkansas.gov/NPILookup?Npi=1912348863","1912348863")</f>
        <v>1912348863</v>
      </c>
      <c r="E22335" t="s">
        <v>14269</v>
      </c>
    </row>
    <row r="22336" spans="1:5" x14ac:dyDescent="0.25">
      <c r="A22336" t="s">
        <v>4</v>
      </c>
      <c r="B22336" t="s">
        <v>4111</v>
      </c>
      <c r="C22336" s="1" t="s">
        <v>23490</v>
      </c>
      <c r="D22336" s="1" t="str">
        <f>HYPERLINK("https://rhld.insurance.arkansas.gov/NPILookup?Npi=1912349713","1912349713")</f>
        <v>1912349713</v>
      </c>
      <c r="E22336" t="s">
        <v>11912</v>
      </c>
    </row>
    <row r="22337" spans="1:5" x14ac:dyDescent="0.25">
      <c r="A22337" t="s">
        <v>4</v>
      </c>
      <c r="B22337" t="s">
        <v>4111</v>
      </c>
      <c r="C22337" s="1" t="s">
        <v>23490</v>
      </c>
      <c r="D22337" s="1" t="str">
        <f>HYPERLINK("https://rhld.insurance.arkansas.gov/NPILookup?Npi=1912379892","1912379892")</f>
        <v>1912379892</v>
      </c>
      <c r="E22337" t="s">
        <v>14270</v>
      </c>
    </row>
    <row r="22338" spans="1:5" x14ac:dyDescent="0.25">
      <c r="A22338" t="s">
        <v>4</v>
      </c>
      <c r="B22338" t="s">
        <v>4111</v>
      </c>
      <c r="C22338" s="1" t="s">
        <v>23490</v>
      </c>
      <c r="D22338" s="1" t="str">
        <f>HYPERLINK("https://rhld.insurance.arkansas.gov/NPILookup?Npi=1912402900","1912402900")</f>
        <v>1912402900</v>
      </c>
      <c r="E22338" t="s">
        <v>22371</v>
      </c>
    </row>
    <row r="22339" spans="1:5" x14ac:dyDescent="0.25">
      <c r="A22339" t="s">
        <v>4</v>
      </c>
      <c r="B22339" t="s">
        <v>4111</v>
      </c>
      <c r="C22339" s="1" t="s">
        <v>23490</v>
      </c>
      <c r="D22339" s="1" t="str">
        <f>HYPERLINK("https://rhld.insurance.arkansas.gov/NPILookup?Npi=1912422684","1912422684")</f>
        <v>1912422684</v>
      </c>
      <c r="E22339" t="s">
        <v>17673</v>
      </c>
    </row>
    <row r="22340" spans="1:5" x14ac:dyDescent="0.25">
      <c r="A22340" t="s">
        <v>4</v>
      </c>
      <c r="B22340" t="s">
        <v>4111</v>
      </c>
      <c r="C22340" s="1" t="s">
        <v>23490</v>
      </c>
      <c r="D22340" s="1" t="str">
        <f>HYPERLINK("https://rhld.insurance.arkansas.gov/NPILookup?Npi=1912435074","1912435074")</f>
        <v>1912435074</v>
      </c>
      <c r="E22340" t="s">
        <v>17250</v>
      </c>
    </row>
    <row r="22341" spans="1:5" x14ac:dyDescent="0.25">
      <c r="A22341" t="s">
        <v>4</v>
      </c>
      <c r="B22341" t="s">
        <v>4111</v>
      </c>
      <c r="C22341" s="1" t="s">
        <v>23490</v>
      </c>
      <c r="D22341" s="1" t="str">
        <f>HYPERLINK("https://rhld.insurance.arkansas.gov/NPILookup?Npi=1912459926","1912459926")</f>
        <v>1912459926</v>
      </c>
      <c r="E22341" t="s">
        <v>17251</v>
      </c>
    </row>
    <row r="22342" spans="1:5" x14ac:dyDescent="0.25">
      <c r="A22342" t="s">
        <v>4</v>
      </c>
      <c r="B22342" t="s">
        <v>4111</v>
      </c>
      <c r="C22342" s="1" t="s">
        <v>23490</v>
      </c>
      <c r="D22342" s="1" t="str">
        <f>HYPERLINK("https://rhld.insurance.arkansas.gov/NPILookup?Npi=1912463902","1912463902")</f>
        <v>1912463902</v>
      </c>
      <c r="E22342" t="s">
        <v>22372</v>
      </c>
    </row>
    <row r="22343" spans="1:5" x14ac:dyDescent="0.25">
      <c r="A22343" t="s">
        <v>4</v>
      </c>
      <c r="B22343" t="s">
        <v>4111</v>
      </c>
      <c r="C22343" s="1" t="s">
        <v>8427</v>
      </c>
      <c r="D22343" s="1" t="str">
        <f>HYPERLINK("https://rhld.insurance.arkansas.gov/NPILookup?Npi=1912467101","1912467101")</f>
        <v>1912467101</v>
      </c>
      <c r="E22343" t="s">
        <v>23211</v>
      </c>
    </row>
    <row r="22344" spans="1:5" x14ac:dyDescent="0.25">
      <c r="A22344" t="s">
        <v>4</v>
      </c>
      <c r="B22344" t="s">
        <v>4111</v>
      </c>
      <c r="C22344" s="1" t="s">
        <v>23490</v>
      </c>
      <c r="D22344" s="1" t="str">
        <f>HYPERLINK("https://rhld.insurance.arkansas.gov/NPILookup?Npi=1912473125","1912473125")</f>
        <v>1912473125</v>
      </c>
      <c r="E22344" t="s">
        <v>18468</v>
      </c>
    </row>
    <row r="22345" spans="1:5" x14ac:dyDescent="0.25">
      <c r="A22345" t="s">
        <v>4</v>
      </c>
      <c r="B22345" t="s">
        <v>4111</v>
      </c>
      <c r="C22345" s="1" t="s">
        <v>23490</v>
      </c>
      <c r="D22345" s="1" t="str">
        <f>HYPERLINK("https://rhld.insurance.arkansas.gov/NPILookup?Npi=1912482019","1912482019")</f>
        <v>1912482019</v>
      </c>
      <c r="E22345" t="s">
        <v>18469</v>
      </c>
    </row>
    <row r="22346" spans="1:5" x14ac:dyDescent="0.25">
      <c r="A22346" t="s">
        <v>4</v>
      </c>
      <c r="B22346" t="s">
        <v>4111</v>
      </c>
      <c r="C22346" s="1" t="s">
        <v>23490</v>
      </c>
      <c r="D22346" s="1" t="str">
        <f>HYPERLINK("https://rhld.insurance.arkansas.gov/NPILookup?Npi=1912494139","1912494139")</f>
        <v>1912494139</v>
      </c>
      <c r="E22346" t="s">
        <v>17252</v>
      </c>
    </row>
    <row r="22347" spans="1:5" x14ac:dyDescent="0.25">
      <c r="A22347" t="s">
        <v>4</v>
      </c>
      <c r="B22347" t="s">
        <v>4111</v>
      </c>
      <c r="C22347" s="1" t="s">
        <v>23490</v>
      </c>
      <c r="D22347" s="1" t="str">
        <f>HYPERLINK("https://rhld.insurance.arkansas.gov/NPILookup?Npi=1912509225","1912509225")</f>
        <v>1912509225</v>
      </c>
      <c r="E22347" t="s">
        <v>22373</v>
      </c>
    </row>
    <row r="22348" spans="1:5" x14ac:dyDescent="0.25">
      <c r="A22348" t="s">
        <v>4</v>
      </c>
      <c r="B22348" t="s">
        <v>4111</v>
      </c>
      <c r="C22348" s="1" t="s">
        <v>23490</v>
      </c>
      <c r="D22348" s="1" t="str">
        <f>HYPERLINK("https://rhld.insurance.arkansas.gov/NPILookup?Npi=1912530692","1912530692")</f>
        <v>1912530692</v>
      </c>
      <c r="E22348" t="s">
        <v>17253</v>
      </c>
    </row>
    <row r="22349" spans="1:5" x14ac:dyDescent="0.25">
      <c r="A22349" t="s">
        <v>4</v>
      </c>
      <c r="B22349" t="s">
        <v>4111</v>
      </c>
      <c r="C22349" s="1" t="s">
        <v>8427</v>
      </c>
      <c r="D22349" s="1" t="str">
        <f>HYPERLINK("https://rhld.insurance.arkansas.gov/NPILookup?Npi=1912533126","1912533126")</f>
        <v>1912533126</v>
      </c>
      <c r="E22349" t="s">
        <v>23212</v>
      </c>
    </row>
    <row r="22350" spans="1:5" x14ac:dyDescent="0.25">
      <c r="A22350" t="s">
        <v>4</v>
      </c>
      <c r="B22350" t="s">
        <v>4111</v>
      </c>
      <c r="C22350" s="1" t="s">
        <v>23490</v>
      </c>
      <c r="D22350" s="1" t="str">
        <f>HYPERLINK("https://rhld.insurance.arkansas.gov/NPILookup?Npi=1912539594","1912539594")</f>
        <v>1912539594</v>
      </c>
      <c r="E22350" t="s">
        <v>18470</v>
      </c>
    </row>
    <row r="22351" spans="1:5" x14ac:dyDescent="0.25">
      <c r="A22351" t="s">
        <v>4</v>
      </c>
      <c r="B22351" t="s">
        <v>4111</v>
      </c>
      <c r="C22351" s="1" t="s">
        <v>8427</v>
      </c>
      <c r="D22351" s="1" t="str">
        <f>HYPERLINK("https://rhld.insurance.arkansas.gov/NPILookup?Npi=1912573262","1912573262")</f>
        <v>1912573262</v>
      </c>
      <c r="E22351" t="s">
        <v>23213</v>
      </c>
    </row>
    <row r="22352" spans="1:5" x14ac:dyDescent="0.25">
      <c r="A22352" t="s">
        <v>4</v>
      </c>
      <c r="B22352" t="s">
        <v>4111</v>
      </c>
      <c r="C22352" s="1" t="s">
        <v>23490</v>
      </c>
      <c r="D22352" s="1" t="str">
        <f>HYPERLINK("https://rhld.insurance.arkansas.gov/NPILookup?Npi=1912577099","1912577099")</f>
        <v>1912577099</v>
      </c>
      <c r="E22352" t="s">
        <v>19038</v>
      </c>
    </row>
    <row r="22353" spans="1:5" x14ac:dyDescent="0.25">
      <c r="A22353" t="s">
        <v>4</v>
      </c>
      <c r="B22353" t="s">
        <v>4111</v>
      </c>
      <c r="C22353" s="1" t="s">
        <v>8427</v>
      </c>
      <c r="D22353" s="1" t="str">
        <f>HYPERLINK("https://rhld.insurance.arkansas.gov/NPILookup?Npi=1912631185","1912631185")</f>
        <v>1912631185</v>
      </c>
      <c r="E22353" t="s">
        <v>23214</v>
      </c>
    </row>
    <row r="22354" spans="1:5" x14ac:dyDescent="0.25">
      <c r="A22354" t="s">
        <v>4</v>
      </c>
      <c r="B22354" t="s">
        <v>4111</v>
      </c>
      <c r="C22354" s="1" t="s">
        <v>23490</v>
      </c>
      <c r="D22354" s="1" t="str">
        <f>HYPERLINK("https://rhld.insurance.arkansas.gov/NPILookup?Npi=1912646548","1912646548")</f>
        <v>1912646548</v>
      </c>
      <c r="E22354" t="s">
        <v>22374</v>
      </c>
    </row>
    <row r="22355" spans="1:5" x14ac:dyDescent="0.25">
      <c r="A22355" t="s">
        <v>4</v>
      </c>
      <c r="B22355" t="s">
        <v>4111</v>
      </c>
      <c r="C22355" s="1" t="s">
        <v>23490</v>
      </c>
      <c r="D22355" s="1" t="str">
        <f>HYPERLINK("https://rhld.insurance.arkansas.gov/NPILookup?Npi=1912654203","1912654203")</f>
        <v>1912654203</v>
      </c>
      <c r="E22355" t="s">
        <v>20632</v>
      </c>
    </row>
    <row r="22356" spans="1:5" x14ac:dyDescent="0.25">
      <c r="A22356" t="s">
        <v>4</v>
      </c>
      <c r="B22356" t="s">
        <v>4111</v>
      </c>
      <c r="C22356" s="1" t="s">
        <v>23490</v>
      </c>
      <c r="D22356" s="1" t="str">
        <f>HYPERLINK("https://rhld.insurance.arkansas.gov/NPILookup?Npi=1912663758","1912663758")</f>
        <v>1912663758</v>
      </c>
      <c r="E22356" t="s">
        <v>20633</v>
      </c>
    </row>
    <row r="22357" spans="1:5" x14ac:dyDescent="0.25">
      <c r="A22357" t="s">
        <v>4</v>
      </c>
      <c r="B22357" t="s">
        <v>4111</v>
      </c>
      <c r="C22357" s="1" t="s">
        <v>23490</v>
      </c>
      <c r="D22357" s="1" t="str">
        <f>HYPERLINK("https://rhld.insurance.arkansas.gov/NPILookup?Npi=1912905837","1912905837")</f>
        <v>1912905837</v>
      </c>
      <c r="E22357" t="s">
        <v>5923</v>
      </c>
    </row>
    <row r="22358" spans="1:5" x14ac:dyDescent="0.25">
      <c r="A22358" t="s">
        <v>4</v>
      </c>
      <c r="B22358" t="s">
        <v>4111</v>
      </c>
      <c r="C22358" s="1" t="s">
        <v>23490</v>
      </c>
      <c r="D22358" s="1" t="str">
        <f>HYPERLINK("https://rhld.insurance.arkansas.gov/NPILookup?Npi=1912916701","1912916701")</f>
        <v>1912916701</v>
      </c>
      <c r="E22358" t="s">
        <v>5924</v>
      </c>
    </row>
    <row r="22359" spans="1:5" x14ac:dyDescent="0.25">
      <c r="A22359" t="s">
        <v>4</v>
      </c>
      <c r="B22359" t="s">
        <v>4111</v>
      </c>
      <c r="C22359" s="1" t="s">
        <v>23490</v>
      </c>
      <c r="D22359" s="1" t="str">
        <f>HYPERLINK("https://rhld.insurance.arkansas.gov/NPILookup?Npi=1912919168","1912919168")</f>
        <v>1912919168</v>
      </c>
      <c r="E22359" t="s">
        <v>9182</v>
      </c>
    </row>
    <row r="22360" spans="1:5" x14ac:dyDescent="0.25">
      <c r="A22360" t="s">
        <v>4</v>
      </c>
      <c r="B22360" t="s">
        <v>4111</v>
      </c>
      <c r="C22360" s="1" t="s">
        <v>23490</v>
      </c>
      <c r="D22360" s="1" t="str">
        <f>HYPERLINK("https://rhld.insurance.arkansas.gov/NPILookup?Npi=1912931916","1912931916")</f>
        <v>1912931916</v>
      </c>
      <c r="E22360" t="s">
        <v>5925</v>
      </c>
    </row>
    <row r="22361" spans="1:5" x14ac:dyDescent="0.25">
      <c r="A22361" t="s">
        <v>4</v>
      </c>
      <c r="B22361" t="s">
        <v>4111</v>
      </c>
      <c r="C22361" s="1" t="s">
        <v>23490</v>
      </c>
      <c r="D22361" s="1" t="str">
        <f>HYPERLINK("https://rhld.insurance.arkansas.gov/NPILookup?Npi=1912934662","1912934662")</f>
        <v>1912934662</v>
      </c>
      <c r="E22361" t="s">
        <v>5926</v>
      </c>
    </row>
    <row r="22362" spans="1:5" x14ac:dyDescent="0.25">
      <c r="A22362" t="s">
        <v>4</v>
      </c>
      <c r="B22362" t="s">
        <v>4111</v>
      </c>
      <c r="C22362" s="1" t="s">
        <v>23490</v>
      </c>
      <c r="D22362" s="1" t="str">
        <f>HYPERLINK("https://rhld.insurance.arkansas.gov/NPILookup?Npi=1912944158","1912944158")</f>
        <v>1912944158</v>
      </c>
      <c r="E22362" t="s">
        <v>5927</v>
      </c>
    </row>
    <row r="22363" spans="1:5" x14ac:dyDescent="0.25">
      <c r="A22363" t="s">
        <v>4</v>
      </c>
      <c r="B22363" t="s">
        <v>4111</v>
      </c>
      <c r="C22363" s="1" t="s">
        <v>23490</v>
      </c>
      <c r="D22363" s="1" t="str">
        <f>HYPERLINK("https://rhld.insurance.arkansas.gov/NPILookup?Npi=1912974577","1912974577")</f>
        <v>1912974577</v>
      </c>
      <c r="E22363" t="s">
        <v>5928</v>
      </c>
    </row>
    <row r="22364" spans="1:5" x14ac:dyDescent="0.25">
      <c r="A22364" t="s">
        <v>4</v>
      </c>
      <c r="B22364" t="s">
        <v>4111</v>
      </c>
      <c r="C22364" s="1" t="s">
        <v>23490</v>
      </c>
      <c r="D22364" s="1" t="str">
        <f>HYPERLINK("https://rhld.insurance.arkansas.gov/NPILookup?Npi=1922004787","1922004787")</f>
        <v>1922004787</v>
      </c>
      <c r="E22364" t="s">
        <v>5929</v>
      </c>
    </row>
    <row r="22365" spans="1:5" x14ac:dyDescent="0.25">
      <c r="A22365" t="s">
        <v>4</v>
      </c>
      <c r="B22365" t="s">
        <v>4111</v>
      </c>
      <c r="C22365" s="1" t="s">
        <v>23490</v>
      </c>
      <c r="D22365" s="1" t="str">
        <f>HYPERLINK("https://rhld.insurance.arkansas.gov/NPILookup?Npi=1922027655","1922027655")</f>
        <v>1922027655</v>
      </c>
      <c r="E22365" t="s">
        <v>5931</v>
      </c>
    </row>
    <row r="22366" spans="1:5" x14ac:dyDescent="0.25">
      <c r="A22366" t="s">
        <v>4</v>
      </c>
      <c r="B22366" t="s">
        <v>4111</v>
      </c>
      <c r="C22366" s="1" t="s">
        <v>23490</v>
      </c>
      <c r="D22366" s="1" t="str">
        <f>HYPERLINK("https://rhld.insurance.arkansas.gov/NPILookup?Npi=1922041995","1922041995")</f>
        <v>1922041995</v>
      </c>
      <c r="E22366" t="s">
        <v>5932</v>
      </c>
    </row>
    <row r="22367" spans="1:5" x14ac:dyDescent="0.25">
      <c r="A22367" t="s">
        <v>4</v>
      </c>
      <c r="B22367" t="s">
        <v>4111</v>
      </c>
      <c r="C22367" s="1" t="s">
        <v>23490</v>
      </c>
      <c r="D22367" s="1" t="str">
        <f>HYPERLINK("https://rhld.insurance.arkansas.gov/NPILookup?Npi=1922044213","1922044213")</f>
        <v>1922044213</v>
      </c>
      <c r="E22367" t="s">
        <v>5933</v>
      </c>
    </row>
    <row r="22368" spans="1:5" x14ac:dyDescent="0.25">
      <c r="A22368" t="s">
        <v>4</v>
      </c>
      <c r="B22368" t="s">
        <v>4111</v>
      </c>
      <c r="C22368" s="1" t="s">
        <v>23490</v>
      </c>
      <c r="D22368" s="1" t="str">
        <f>HYPERLINK("https://rhld.insurance.arkansas.gov/NPILookup?Npi=1922066232","1922066232")</f>
        <v>1922066232</v>
      </c>
      <c r="E22368" t="s">
        <v>11913</v>
      </c>
    </row>
    <row r="22369" spans="1:5" x14ac:dyDescent="0.25">
      <c r="A22369" t="s">
        <v>4</v>
      </c>
      <c r="B22369" t="s">
        <v>4111</v>
      </c>
      <c r="C22369" s="1" t="s">
        <v>23490</v>
      </c>
      <c r="D22369" s="1" t="str">
        <f>HYPERLINK("https://rhld.insurance.arkansas.gov/NPILookup?Npi=1922078138","1922078138")</f>
        <v>1922078138</v>
      </c>
      <c r="E22369" t="s">
        <v>5934</v>
      </c>
    </row>
    <row r="22370" spans="1:5" x14ac:dyDescent="0.25">
      <c r="A22370" t="s">
        <v>4</v>
      </c>
      <c r="B22370" t="s">
        <v>4111</v>
      </c>
      <c r="C22370" s="1" t="s">
        <v>23490</v>
      </c>
      <c r="D22370" s="1" t="str">
        <f>HYPERLINK("https://rhld.insurance.arkansas.gov/NPILookup?Npi=1922086735","1922086735")</f>
        <v>1922086735</v>
      </c>
      <c r="E22370" t="s">
        <v>5935</v>
      </c>
    </row>
    <row r="22371" spans="1:5" x14ac:dyDescent="0.25">
      <c r="A22371" t="s">
        <v>4</v>
      </c>
      <c r="B22371" t="s">
        <v>4111</v>
      </c>
      <c r="C22371" s="1" t="s">
        <v>23490</v>
      </c>
      <c r="D22371" s="1" t="str">
        <f>HYPERLINK("https://rhld.insurance.arkansas.gov/NPILookup?Npi=1922088848","1922088848")</f>
        <v>1922088848</v>
      </c>
      <c r="E22371" t="s">
        <v>14271</v>
      </c>
    </row>
    <row r="22372" spans="1:5" x14ac:dyDescent="0.25">
      <c r="A22372" t="s">
        <v>4</v>
      </c>
      <c r="B22372" t="s">
        <v>4111</v>
      </c>
      <c r="C22372" s="1" t="s">
        <v>23490</v>
      </c>
      <c r="D22372" s="1" t="str">
        <f>HYPERLINK("https://rhld.insurance.arkansas.gov/NPILookup?Npi=1922098631","1922098631")</f>
        <v>1922098631</v>
      </c>
      <c r="E22372" t="s">
        <v>22375</v>
      </c>
    </row>
    <row r="22373" spans="1:5" x14ac:dyDescent="0.25">
      <c r="A22373" t="s">
        <v>4</v>
      </c>
      <c r="B22373" t="s">
        <v>4111</v>
      </c>
      <c r="C22373" s="1" t="s">
        <v>23490</v>
      </c>
      <c r="D22373" s="1" t="str">
        <f>HYPERLINK("https://rhld.insurance.arkansas.gov/NPILookup?Npi=1922101120","1922101120")</f>
        <v>1922101120</v>
      </c>
      <c r="E22373" t="s">
        <v>5936</v>
      </c>
    </row>
    <row r="22374" spans="1:5" x14ac:dyDescent="0.25">
      <c r="A22374" t="s">
        <v>4</v>
      </c>
      <c r="B22374" t="s">
        <v>4111</v>
      </c>
      <c r="C22374" s="1" t="s">
        <v>23490</v>
      </c>
      <c r="D22374" s="1" t="str">
        <f>HYPERLINK("https://rhld.insurance.arkansas.gov/NPILookup?Npi=1922123645","1922123645")</f>
        <v>1922123645</v>
      </c>
      <c r="E22374" t="s">
        <v>19039</v>
      </c>
    </row>
    <row r="22375" spans="1:5" x14ac:dyDescent="0.25">
      <c r="A22375" t="s">
        <v>4</v>
      </c>
      <c r="B22375" t="s">
        <v>4111</v>
      </c>
      <c r="C22375" s="1" t="s">
        <v>23490</v>
      </c>
      <c r="D22375" s="1" t="str">
        <f>HYPERLINK("https://rhld.insurance.arkansas.gov/NPILookup?Npi=1922129311","1922129311")</f>
        <v>1922129311</v>
      </c>
      <c r="E22375" t="s">
        <v>17254</v>
      </c>
    </row>
    <row r="22376" spans="1:5" x14ac:dyDescent="0.25">
      <c r="A22376" t="s">
        <v>4</v>
      </c>
      <c r="B22376" t="s">
        <v>4111</v>
      </c>
      <c r="C22376" s="1" t="s">
        <v>23490</v>
      </c>
      <c r="D22376" s="1" t="str">
        <f>HYPERLINK("https://rhld.insurance.arkansas.gov/NPILookup?Npi=1922129998","1922129998")</f>
        <v>1922129998</v>
      </c>
      <c r="E22376" t="s">
        <v>5937</v>
      </c>
    </row>
    <row r="22377" spans="1:5" x14ac:dyDescent="0.25">
      <c r="A22377" t="s">
        <v>4</v>
      </c>
      <c r="B22377" t="s">
        <v>4111</v>
      </c>
      <c r="C22377" s="1" t="s">
        <v>23490</v>
      </c>
      <c r="D22377" s="1" t="str">
        <f>HYPERLINK("https://rhld.insurance.arkansas.gov/NPILookup?Npi=1922141845","1922141845")</f>
        <v>1922141845</v>
      </c>
      <c r="E22377" t="s">
        <v>5938</v>
      </c>
    </row>
    <row r="22378" spans="1:5" x14ac:dyDescent="0.25">
      <c r="A22378" t="s">
        <v>4</v>
      </c>
      <c r="B22378" t="s">
        <v>4111</v>
      </c>
      <c r="C22378" s="1" t="s">
        <v>23490</v>
      </c>
      <c r="D22378" s="1" t="str">
        <f>HYPERLINK("https://rhld.insurance.arkansas.gov/NPILookup?Npi=1922198589","1922198589")</f>
        <v>1922198589</v>
      </c>
      <c r="E22378" t="s">
        <v>5939</v>
      </c>
    </row>
    <row r="22379" spans="1:5" x14ac:dyDescent="0.25">
      <c r="A22379" t="s">
        <v>4</v>
      </c>
      <c r="B22379" t="s">
        <v>4111</v>
      </c>
      <c r="C22379" s="1" t="s">
        <v>23490</v>
      </c>
      <c r="D22379" s="1" t="str">
        <f>HYPERLINK("https://rhld.insurance.arkansas.gov/NPILookup?Npi=1922208925","1922208925")</f>
        <v>1922208925</v>
      </c>
      <c r="E22379" t="s">
        <v>22376</v>
      </c>
    </row>
    <row r="22380" spans="1:5" x14ac:dyDescent="0.25">
      <c r="A22380" t="s">
        <v>4</v>
      </c>
      <c r="B22380" t="s">
        <v>4111</v>
      </c>
      <c r="C22380" s="1" t="s">
        <v>23490</v>
      </c>
      <c r="D22380" s="1" t="str">
        <f>HYPERLINK("https://rhld.insurance.arkansas.gov/NPILookup?Npi=1922218254","1922218254")</f>
        <v>1922218254</v>
      </c>
      <c r="E22380" t="s">
        <v>9183</v>
      </c>
    </row>
    <row r="22381" spans="1:5" x14ac:dyDescent="0.25">
      <c r="A22381" t="s">
        <v>4</v>
      </c>
      <c r="B22381" t="s">
        <v>4111</v>
      </c>
      <c r="C22381" s="1" t="s">
        <v>23490</v>
      </c>
      <c r="D22381" s="1" t="str">
        <f>HYPERLINK("https://rhld.insurance.arkansas.gov/NPILookup?Npi=1922238559","1922238559")</f>
        <v>1922238559</v>
      </c>
      <c r="E22381" t="s">
        <v>23215</v>
      </c>
    </row>
    <row r="22382" spans="1:5" x14ac:dyDescent="0.25">
      <c r="A22382" t="s">
        <v>4</v>
      </c>
      <c r="B22382" t="s">
        <v>4111</v>
      </c>
      <c r="C22382" s="1" t="s">
        <v>23490</v>
      </c>
      <c r="D22382" s="1" t="str">
        <f>HYPERLINK("https://rhld.insurance.arkansas.gov/NPILookup?Npi=1922251974","1922251974")</f>
        <v>1922251974</v>
      </c>
      <c r="E22382" t="s">
        <v>5940</v>
      </c>
    </row>
    <row r="22383" spans="1:5" x14ac:dyDescent="0.25">
      <c r="A22383" t="s">
        <v>4</v>
      </c>
      <c r="B22383" t="s">
        <v>4111</v>
      </c>
      <c r="C22383" s="1" t="s">
        <v>23490</v>
      </c>
      <c r="D22383" s="1" t="str">
        <f>HYPERLINK("https://rhld.insurance.arkansas.gov/NPILookup?Npi=1922257187","1922257187")</f>
        <v>1922257187</v>
      </c>
      <c r="E22383" t="s">
        <v>5941</v>
      </c>
    </row>
    <row r="22384" spans="1:5" x14ac:dyDescent="0.25">
      <c r="A22384" t="s">
        <v>4</v>
      </c>
      <c r="B22384" t="s">
        <v>4111</v>
      </c>
      <c r="C22384" s="1" t="s">
        <v>23490</v>
      </c>
      <c r="D22384" s="1" t="str">
        <f>HYPERLINK("https://rhld.insurance.arkansas.gov/NPILookup?Npi=1922272327","1922272327")</f>
        <v>1922272327</v>
      </c>
      <c r="E22384" t="s">
        <v>5942</v>
      </c>
    </row>
    <row r="22385" spans="1:5" x14ac:dyDescent="0.25">
      <c r="A22385" t="s">
        <v>4</v>
      </c>
      <c r="B22385" t="s">
        <v>4111</v>
      </c>
      <c r="C22385" s="1" t="s">
        <v>23490</v>
      </c>
      <c r="D22385" s="1" t="str">
        <f>HYPERLINK("https://rhld.insurance.arkansas.gov/NPILookup?Npi=1922275213","1922275213")</f>
        <v>1922275213</v>
      </c>
      <c r="E22385" t="s">
        <v>5943</v>
      </c>
    </row>
    <row r="22386" spans="1:5" x14ac:dyDescent="0.25">
      <c r="A22386" t="s">
        <v>4</v>
      </c>
      <c r="B22386" t="s">
        <v>4111</v>
      </c>
      <c r="C22386" s="1" t="s">
        <v>23490</v>
      </c>
      <c r="D22386" s="1" t="str">
        <f>HYPERLINK("https://rhld.insurance.arkansas.gov/NPILookup?Npi=1922276518","1922276518")</f>
        <v>1922276518</v>
      </c>
      <c r="E22386" t="s">
        <v>5944</v>
      </c>
    </row>
    <row r="22387" spans="1:5" x14ac:dyDescent="0.25">
      <c r="A22387" t="s">
        <v>4</v>
      </c>
      <c r="B22387" t="s">
        <v>4111</v>
      </c>
      <c r="C22387" s="1" t="s">
        <v>23490</v>
      </c>
      <c r="D22387" s="1" t="str">
        <f>HYPERLINK("https://rhld.insurance.arkansas.gov/NPILookup?Npi=1922286160","1922286160")</f>
        <v>1922286160</v>
      </c>
      <c r="E22387" t="s">
        <v>5945</v>
      </c>
    </row>
    <row r="22388" spans="1:5" x14ac:dyDescent="0.25">
      <c r="A22388" t="s">
        <v>4</v>
      </c>
      <c r="B22388" t="s">
        <v>4111</v>
      </c>
      <c r="C22388" s="1" t="s">
        <v>23490</v>
      </c>
      <c r="D22388" s="1" t="str">
        <f>HYPERLINK("https://rhld.insurance.arkansas.gov/NPILookup?Npi=1922288273","1922288273")</f>
        <v>1922288273</v>
      </c>
      <c r="E22388" t="s">
        <v>5946</v>
      </c>
    </row>
    <row r="22389" spans="1:5" x14ac:dyDescent="0.25">
      <c r="A22389" t="s">
        <v>4</v>
      </c>
      <c r="B22389" t="s">
        <v>4111</v>
      </c>
      <c r="C22389" s="1" t="s">
        <v>23490</v>
      </c>
      <c r="D22389" s="1" t="str">
        <f>HYPERLINK("https://rhld.insurance.arkansas.gov/NPILookup?Npi=1922312164","1922312164")</f>
        <v>1922312164</v>
      </c>
      <c r="E22389" t="s">
        <v>22377</v>
      </c>
    </row>
    <row r="22390" spans="1:5" x14ac:dyDescent="0.25">
      <c r="A22390" t="s">
        <v>4</v>
      </c>
      <c r="B22390" t="s">
        <v>4111</v>
      </c>
      <c r="C22390" s="1" t="s">
        <v>23490</v>
      </c>
      <c r="D22390" s="1" t="str">
        <f>HYPERLINK("https://rhld.insurance.arkansas.gov/NPILookup?Npi=1922315613","1922315613")</f>
        <v>1922315613</v>
      </c>
      <c r="E22390" t="s">
        <v>18471</v>
      </c>
    </row>
    <row r="22391" spans="1:5" x14ac:dyDescent="0.25">
      <c r="A22391" t="s">
        <v>4</v>
      </c>
      <c r="B22391" t="s">
        <v>4111</v>
      </c>
      <c r="C22391" s="1" t="s">
        <v>23490</v>
      </c>
      <c r="D22391" s="1" t="str">
        <f>HYPERLINK("https://rhld.insurance.arkansas.gov/NPILookup?Npi=1922331925","1922331925")</f>
        <v>1922331925</v>
      </c>
      <c r="E22391" t="s">
        <v>13233</v>
      </c>
    </row>
    <row r="22392" spans="1:5" x14ac:dyDescent="0.25">
      <c r="A22392" t="s">
        <v>4</v>
      </c>
      <c r="B22392" t="s">
        <v>4111</v>
      </c>
      <c r="C22392" s="1" t="s">
        <v>23490</v>
      </c>
      <c r="D22392" s="1" t="str">
        <f>HYPERLINK("https://rhld.insurance.arkansas.gov/NPILookup?Npi=1922335728","1922335728")</f>
        <v>1922335728</v>
      </c>
      <c r="E22392" t="s">
        <v>13234</v>
      </c>
    </row>
    <row r="22393" spans="1:5" x14ac:dyDescent="0.25">
      <c r="A22393" t="s">
        <v>4</v>
      </c>
      <c r="B22393" t="s">
        <v>4111</v>
      </c>
      <c r="C22393" s="1" t="s">
        <v>23490</v>
      </c>
      <c r="D22393" s="1" t="str">
        <f>HYPERLINK("https://rhld.insurance.arkansas.gov/NPILookup?Npi=1922341353","1922341353")</f>
        <v>1922341353</v>
      </c>
      <c r="E22393" t="s">
        <v>5947</v>
      </c>
    </row>
    <row r="22394" spans="1:5" x14ac:dyDescent="0.25">
      <c r="A22394" t="s">
        <v>4</v>
      </c>
      <c r="B22394" t="s">
        <v>4111</v>
      </c>
      <c r="C22394" s="1" t="s">
        <v>23490</v>
      </c>
      <c r="D22394" s="1" t="str">
        <f>HYPERLINK("https://rhld.insurance.arkansas.gov/NPILookup?Npi=1922355841","1922355841")</f>
        <v>1922355841</v>
      </c>
      <c r="E22394" t="s">
        <v>5948</v>
      </c>
    </row>
    <row r="22395" spans="1:5" x14ac:dyDescent="0.25">
      <c r="A22395" t="s">
        <v>4</v>
      </c>
      <c r="B22395" t="s">
        <v>4111</v>
      </c>
      <c r="C22395" s="1" t="s">
        <v>23490</v>
      </c>
      <c r="D22395" s="1" t="str">
        <f>HYPERLINK("https://rhld.insurance.arkansas.gov/NPILookup?Npi=1922365691","1922365691")</f>
        <v>1922365691</v>
      </c>
      <c r="E22395" t="s">
        <v>14272</v>
      </c>
    </row>
    <row r="22396" spans="1:5" x14ac:dyDescent="0.25">
      <c r="A22396" t="s">
        <v>4</v>
      </c>
      <c r="B22396" t="s">
        <v>4111</v>
      </c>
      <c r="C22396" s="1" t="s">
        <v>23490</v>
      </c>
      <c r="D22396" s="1" t="str">
        <f>HYPERLINK("https://rhld.insurance.arkansas.gov/NPILookup?Npi=1922370949","1922370949")</f>
        <v>1922370949</v>
      </c>
      <c r="E22396" t="s">
        <v>16273</v>
      </c>
    </row>
    <row r="22397" spans="1:5" x14ac:dyDescent="0.25">
      <c r="A22397" t="s">
        <v>4</v>
      </c>
      <c r="B22397" t="s">
        <v>4111</v>
      </c>
      <c r="C22397" s="1" t="s">
        <v>23490</v>
      </c>
      <c r="D22397" s="1" t="str">
        <f>HYPERLINK("https://rhld.insurance.arkansas.gov/NPILookup?Npi=1922380187","1922380187")</f>
        <v>1922380187</v>
      </c>
      <c r="E22397" t="s">
        <v>5949</v>
      </c>
    </row>
    <row r="22398" spans="1:5" x14ac:dyDescent="0.25">
      <c r="A22398" t="s">
        <v>4</v>
      </c>
      <c r="B22398" t="s">
        <v>4111</v>
      </c>
      <c r="C22398" s="1" t="s">
        <v>23490</v>
      </c>
      <c r="D22398" s="1" t="str">
        <f>HYPERLINK("https://rhld.insurance.arkansas.gov/NPILookup?Npi=1922384684","1922384684")</f>
        <v>1922384684</v>
      </c>
      <c r="E22398" t="s">
        <v>22378</v>
      </c>
    </row>
    <row r="22399" spans="1:5" x14ac:dyDescent="0.25">
      <c r="A22399" t="s">
        <v>4</v>
      </c>
      <c r="B22399" t="s">
        <v>4111</v>
      </c>
      <c r="C22399" s="1" t="s">
        <v>23490</v>
      </c>
      <c r="D22399" s="1" t="str">
        <f>HYPERLINK("https://rhld.insurance.arkansas.gov/NPILookup?Npi=1922390947","1922390947")</f>
        <v>1922390947</v>
      </c>
      <c r="E22399" t="s">
        <v>11914</v>
      </c>
    </row>
    <row r="22400" spans="1:5" x14ac:dyDescent="0.25">
      <c r="A22400" t="s">
        <v>4</v>
      </c>
      <c r="B22400" t="s">
        <v>4111</v>
      </c>
      <c r="C22400" s="1" t="s">
        <v>23490</v>
      </c>
      <c r="D22400" s="1" t="str">
        <f>HYPERLINK("https://rhld.insurance.arkansas.gov/NPILookup?Npi=1922395870","1922395870")</f>
        <v>1922395870</v>
      </c>
      <c r="E22400" t="s">
        <v>18472</v>
      </c>
    </row>
    <row r="22401" spans="1:5" x14ac:dyDescent="0.25">
      <c r="A22401" t="s">
        <v>4</v>
      </c>
      <c r="B22401" t="s">
        <v>4111</v>
      </c>
      <c r="C22401" s="1" t="s">
        <v>23490</v>
      </c>
      <c r="D22401" s="1" t="str">
        <f>HYPERLINK("https://rhld.insurance.arkansas.gov/NPILookup?Npi=1922424597","1922424597")</f>
        <v>1922424597</v>
      </c>
      <c r="E22401" t="s">
        <v>11915</v>
      </c>
    </row>
    <row r="22402" spans="1:5" x14ac:dyDescent="0.25">
      <c r="A22402" t="s">
        <v>4</v>
      </c>
      <c r="B22402" t="s">
        <v>4111</v>
      </c>
      <c r="C22402" s="1" t="s">
        <v>23490</v>
      </c>
      <c r="D22402" s="1" t="str">
        <f>HYPERLINK("https://rhld.insurance.arkansas.gov/NPILookup?Npi=1922443993","1922443993")</f>
        <v>1922443993</v>
      </c>
      <c r="E22402" t="s">
        <v>17674</v>
      </c>
    </row>
    <row r="22403" spans="1:5" x14ac:dyDescent="0.25">
      <c r="A22403" t="s">
        <v>4</v>
      </c>
      <c r="B22403" t="s">
        <v>4111</v>
      </c>
      <c r="C22403" s="1" t="s">
        <v>23490</v>
      </c>
      <c r="D22403" s="1" t="str">
        <f>HYPERLINK("https://rhld.insurance.arkansas.gov/NPILookup?Npi=1922453422","1922453422")</f>
        <v>1922453422</v>
      </c>
      <c r="E22403" t="s">
        <v>14273</v>
      </c>
    </row>
    <row r="22404" spans="1:5" x14ac:dyDescent="0.25">
      <c r="A22404" t="s">
        <v>4</v>
      </c>
      <c r="B22404" t="s">
        <v>4111</v>
      </c>
      <c r="C22404" s="1" t="s">
        <v>23490</v>
      </c>
      <c r="D22404" s="1" t="str">
        <f>HYPERLINK("https://rhld.insurance.arkansas.gov/NPILookup?Npi=1922457100","1922457100")</f>
        <v>1922457100</v>
      </c>
      <c r="E22404" t="s">
        <v>22379</v>
      </c>
    </row>
    <row r="22405" spans="1:5" x14ac:dyDescent="0.25">
      <c r="A22405" t="s">
        <v>4</v>
      </c>
      <c r="B22405" t="s">
        <v>4111</v>
      </c>
      <c r="C22405" s="1" t="s">
        <v>23490</v>
      </c>
      <c r="D22405" s="1" t="str">
        <f>HYPERLINK("https://rhld.insurance.arkansas.gov/NPILookup?Npi=1922497734","1922497734")</f>
        <v>1922497734</v>
      </c>
      <c r="E22405" t="s">
        <v>11916</v>
      </c>
    </row>
    <row r="22406" spans="1:5" x14ac:dyDescent="0.25">
      <c r="A22406" t="s">
        <v>4</v>
      </c>
      <c r="B22406" t="s">
        <v>4111</v>
      </c>
      <c r="C22406" s="1" t="s">
        <v>23490</v>
      </c>
      <c r="D22406" s="1" t="str">
        <f>HYPERLINK("https://rhld.insurance.arkansas.gov/NPILookup?Npi=1922498807","1922498807")</f>
        <v>1922498807</v>
      </c>
      <c r="E22406" t="s">
        <v>14274</v>
      </c>
    </row>
    <row r="22407" spans="1:5" x14ac:dyDescent="0.25">
      <c r="A22407" t="s">
        <v>4</v>
      </c>
      <c r="B22407" t="s">
        <v>4111</v>
      </c>
      <c r="C22407" s="1" t="s">
        <v>23490</v>
      </c>
      <c r="D22407" s="1" t="str">
        <f>HYPERLINK("https://rhld.insurance.arkansas.gov/NPILookup?Npi=1922532621","1922532621")</f>
        <v>1922532621</v>
      </c>
      <c r="E22407" t="s">
        <v>18473</v>
      </c>
    </row>
    <row r="22408" spans="1:5" x14ac:dyDescent="0.25">
      <c r="A22408" t="s">
        <v>4</v>
      </c>
      <c r="B22408" t="s">
        <v>4111</v>
      </c>
      <c r="C22408" s="1" t="s">
        <v>23490</v>
      </c>
      <c r="D22408" s="1" t="str">
        <f>HYPERLINK("https://rhld.insurance.arkansas.gov/NPILookup?Npi=1922537695","1922537695")</f>
        <v>1922537695</v>
      </c>
      <c r="E22408" t="s">
        <v>20634</v>
      </c>
    </row>
    <row r="22409" spans="1:5" x14ac:dyDescent="0.25">
      <c r="A22409" t="s">
        <v>4</v>
      </c>
      <c r="B22409" t="s">
        <v>4111</v>
      </c>
      <c r="C22409" s="1" t="s">
        <v>23490</v>
      </c>
      <c r="D22409" s="1" t="str">
        <f>HYPERLINK("https://rhld.insurance.arkansas.gov/NPILookup?Npi=1922539915","1922539915")</f>
        <v>1922539915</v>
      </c>
      <c r="E22409" t="s">
        <v>11458</v>
      </c>
    </row>
    <row r="22410" spans="1:5" x14ac:dyDescent="0.25">
      <c r="A22410" t="s">
        <v>4</v>
      </c>
      <c r="B22410" t="s">
        <v>4111</v>
      </c>
      <c r="C22410" s="1" t="s">
        <v>23490</v>
      </c>
      <c r="D22410" s="1" t="str">
        <f>HYPERLINK("https://rhld.insurance.arkansas.gov/NPILookup?Npi=1922548056","1922548056")</f>
        <v>1922548056</v>
      </c>
      <c r="E22410" t="s">
        <v>14275</v>
      </c>
    </row>
    <row r="22411" spans="1:5" x14ac:dyDescent="0.25">
      <c r="A22411" t="s">
        <v>4</v>
      </c>
      <c r="B22411" t="s">
        <v>4111</v>
      </c>
      <c r="C22411" s="1" t="s">
        <v>23490</v>
      </c>
      <c r="D22411" s="1" t="str">
        <f>HYPERLINK("https://rhld.insurance.arkansas.gov/NPILookup?Npi=1922575042","1922575042")</f>
        <v>1922575042</v>
      </c>
      <c r="E22411" t="s">
        <v>14276</v>
      </c>
    </row>
    <row r="22412" spans="1:5" x14ac:dyDescent="0.25">
      <c r="A22412" t="s">
        <v>4</v>
      </c>
      <c r="B22412" t="s">
        <v>4111</v>
      </c>
      <c r="C22412" s="1" t="s">
        <v>23490</v>
      </c>
      <c r="D22412" s="1" t="str">
        <f>HYPERLINK("https://rhld.insurance.arkansas.gov/NPILookup?Npi=1922582154","1922582154")</f>
        <v>1922582154</v>
      </c>
      <c r="E22412" t="s">
        <v>22380</v>
      </c>
    </row>
    <row r="22413" spans="1:5" x14ac:dyDescent="0.25">
      <c r="A22413" t="s">
        <v>4</v>
      </c>
      <c r="B22413" t="s">
        <v>4111</v>
      </c>
      <c r="C22413" s="1" t="s">
        <v>23490</v>
      </c>
      <c r="D22413" s="1" t="str">
        <f>HYPERLINK("https://rhld.insurance.arkansas.gov/NPILookup?Npi=1922602358","1922602358")</f>
        <v>1922602358</v>
      </c>
      <c r="E22413" t="s">
        <v>20635</v>
      </c>
    </row>
    <row r="22414" spans="1:5" x14ac:dyDescent="0.25">
      <c r="A22414" t="s">
        <v>4</v>
      </c>
      <c r="B22414" t="s">
        <v>4111</v>
      </c>
      <c r="C22414" s="1" t="s">
        <v>23490</v>
      </c>
      <c r="D22414" s="1" t="str">
        <f>HYPERLINK("https://rhld.insurance.arkansas.gov/NPILookup?Npi=1922603653","1922603653")</f>
        <v>1922603653</v>
      </c>
      <c r="E22414" t="s">
        <v>18474</v>
      </c>
    </row>
    <row r="22415" spans="1:5" x14ac:dyDescent="0.25">
      <c r="A22415" t="s">
        <v>4</v>
      </c>
      <c r="B22415" t="s">
        <v>4111</v>
      </c>
      <c r="C22415" s="1" t="s">
        <v>23490</v>
      </c>
      <c r="D22415" s="1" t="str">
        <f>HYPERLINK("https://rhld.insurance.arkansas.gov/NPILookup?Npi=1922624162","1922624162")</f>
        <v>1922624162</v>
      </c>
      <c r="E22415" t="s">
        <v>22381</v>
      </c>
    </row>
    <row r="22416" spans="1:5" x14ac:dyDescent="0.25">
      <c r="A22416" t="s">
        <v>4</v>
      </c>
      <c r="B22416" t="s">
        <v>4111</v>
      </c>
      <c r="C22416" s="1" t="s">
        <v>23490</v>
      </c>
      <c r="D22416" s="1" t="str">
        <f>HYPERLINK("https://rhld.insurance.arkansas.gov/NPILookup?Npi=1922634161","1922634161")</f>
        <v>1922634161</v>
      </c>
      <c r="E22416" t="s">
        <v>22382</v>
      </c>
    </row>
    <row r="22417" spans="1:5" x14ac:dyDescent="0.25">
      <c r="A22417" t="s">
        <v>4</v>
      </c>
      <c r="B22417" t="s">
        <v>4111</v>
      </c>
      <c r="C22417" s="1" t="s">
        <v>23490</v>
      </c>
      <c r="D22417" s="1" t="str">
        <f>HYPERLINK("https://rhld.insurance.arkansas.gov/NPILookup?Npi=1922648336","1922648336")</f>
        <v>1922648336</v>
      </c>
      <c r="E22417" t="s">
        <v>22383</v>
      </c>
    </row>
    <row r="22418" spans="1:5" x14ac:dyDescent="0.25">
      <c r="A22418" t="s">
        <v>4</v>
      </c>
      <c r="B22418" t="s">
        <v>4111</v>
      </c>
      <c r="C22418" s="1" t="s">
        <v>23490</v>
      </c>
      <c r="D22418" s="1" t="str">
        <f>HYPERLINK("https://rhld.insurance.arkansas.gov/NPILookup?Npi=1922648815","1922648815")</f>
        <v>1922648815</v>
      </c>
      <c r="E22418" t="s">
        <v>20636</v>
      </c>
    </row>
    <row r="22419" spans="1:5" x14ac:dyDescent="0.25">
      <c r="A22419" t="s">
        <v>4</v>
      </c>
      <c r="B22419" t="s">
        <v>4111</v>
      </c>
      <c r="C22419" s="1" t="s">
        <v>23490</v>
      </c>
      <c r="D22419" s="1" t="str">
        <f>HYPERLINK("https://rhld.insurance.arkansas.gov/NPILookup?Npi=1922649532","1922649532")</f>
        <v>1922649532</v>
      </c>
      <c r="E22419" t="s">
        <v>20637</v>
      </c>
    </row>
    <row r="22420" spans="1:5" x14ac:dyDescent="0.25">
      <c r="A22420" t="s">
        <v>4</v>
      </c>
      <c r="B22420" t="s">
        <v>4111</v>
      </c>
      <c r="C22420" s="1" t="s">
        <v>23490</v>
      </c>
      <c r="D22420" s="1" t="str">
        <f>HYPERLINK("https://rhld.insurance.arkansas.gov/NPILookup?Npi=1922654185","1922654185")</f>
        <v>1922654185</v>
      </c>
      <c r="E22420" t="s">
        <v>22384</v>
      </c>
    </row>
    <row r="22421" spans="1:5" x14ac:dyDescent="0.25">
      <c r="A22421" t="s">
        <v>4</v>
      </c>
      <c r="B22421" t="s">
        <v>4111</v>
      </c>
      <c r="C22421" s="1" t="s">
        <v>23490</v>
      </c>
      <c r="D22421" s="1" t="str">
        <f>HYPERLINK("https://rhld.insurance.arkansas.gov/NPILookup?Npi=1922662378","1922662378")</f>
        <v>1922662378</v>
      </c>
      <c r="E22421" t="s">
        <v>22385</v>
      </c>
    </row>
    <row r="22422" spans="1:5" x14ac:dyDescent="0.25">
      <c r="A22422" t="s">
        <v>4</v>
      </c>
      <c r="B22422" t="s">
        <v>4111</v>
      </c>
      <c r="C22422" s="1" t="s">
        <v>23490</v>
      </c>
      <c r="D22422" s="1" t="str">
        <f>HYPERLINK("https://rhld.insurance.arkansas.gov/NPILookup?Npi=1922674266","1922674266")</f>
        <v>1922674266</v>
      </c>
      <c r="E22422" t="s">
        <v>21177</v>
      </c>
    </row>
    <row r="22423" spans="1:5" x14ac:dyDescent="0.25">
      <c r="A22423" t="s">
        <v>4</v>
      </c>
      <c r="B22423" t="s">
        <v>4111</v>
      </c>
      <c r="C22423" s="1" t="s">
        <v>23490</v>
      </c>
      <c r="D22423" s="1" t="str">
        <f>HYPERLINK("https://rhld.insurance.arkansas.gov/NPILookup?Npi=1922722032","1922722032")</f>
        <v>1922722032</v>
      </c>
      <c r="E22423" t="s">
        <v>22386</v>
      </c>
    </row>
    <row r="22424" spans="1:5" x14ac:dyDescent="0.25">
      <c r="A22424" t="s">
        <v>4</v>
      </c>
      <c r="B22424" t="s">
        <v>4111</v>
      </c>
      <c r="C22424" s="1" t="s">
        <v>23490</v>
      </c>
      <c r="D22424" s="1" t="str">
        <f>HYPERLINK("https://rhld.insurance.arkansas.gov/NPILookup?Npi=1922728815","1922728815")</f>
        <v>1922728815</v>
      </c>
      <c r="E22424" t="s">
        <v>22387</v>
      </c>
    </row>
    <row r="22425" spans="1:5" x14ac:dyDescent="0.25">
      <c r="A22425" t="s">
        <v>4</v>
      </c>
      <c r="B22425" t="s">
        <v>4111</v>
      </c>
      <c r="C22425" s="1" t="s">
        <v>23490</v>
      </c>
      <c r="D22425" s="1" t="str">
        <f>HYPERLINK("https://rhld.insurance.arkansas.gov/NPILookup?Npi=1922758259","1922758259")</f>
        <v>1922758259</v>
      </c>
      <c r="E22425" t="s">
        <v>20136</v>
      </c>
    </row>
    <row r="22426" spans="1:5" x14ac:dyDescent="0.25">
      <c r="A22426" t="s">
        <v>4</v>
      </c>
      <c r="B22426" t="s">
        <v>4111</v>
      </c>
      <c r="C22426" s="1" t="s">
        <v>23490</v>
      </c>
      <c r="D22426" s="1" t="str">
        <f>HYPERLINK("https://rhld.insurance.arkansas.gov/NPILookup?Npi=1932138278","1932138278")</f>
        <v>1932138278</v>
      </c>
      <c r="E22426" t="s">
        <v>5950</v>
      </c>
    </row>
    <row r="22427" spans="1:5" x14ac:dyDescent="0.25">
      <c r="A22427" t="s">
        <v>4</v>
      </c>
      <c r="B22427" t="s">
        <v>4111</v>
      </c>
      <c r="C22427" s="1" t="s">
        <v>23490</v>
      </c>
      <c r="D22427" s="1" t="str">
        <f>HYPERLINK("https://rhld.insurance.arkansas.gov/NPILookup?Npi=1932138492","1932138492")</f>
        <v>1932138492</v>
      </c>
      <c r="E22427" t="s">
        <v>5951</v>
      </c>
    </row>
    <row r="22428" spans="1:5" x14ac:dyDescent="0.25">
      <c r="A22428" t="s">
        <v>4</v>
      </c>
      <c r="B22428" t="s">
        <v>4111</v>
      </c>
      <c r="C22428" s="1" t="s">
        <v>23490</v>
      </c>
      <c r="D22428" s="1" t="str">
        <f>HYPERLINK("https://rhld.insurance.arkansas.gov/NPILookup?Npi=1932159209","1932159209")</f>
        <v>1932159209</v>
      </c>
      <c r="E22428" t="s">
        <v>5952</v>
      </c>
    </row>
    <row r="22429" spans="1:5" x14ac:dyDescent="0.25">
      <c r="A22429" t="s">
        <v>4</v>
      </c>
      <c r="B22429" t="s">
        <v>4111</v>
      </c>
      <c r="C22429" s="1" t="s">
        <v>23490</v>
      </c>
      <c r="D22429" s="1" t="str">
        <f>HYPERLINK("https://rhld.insurance.arkansas.gov/NPILookup?Npi=1932177078","1932177078")</f>
        <v>1932177078</v>
      </c>
      <c r="E22429" t="s">
        <v>5953</v>
      </c>
    </row>
    <row r="22430" spans="1:5" x14ac:dyDescent="0.25">
      <c r="A22430" t="s">
        <v>4</v>
      </c>
      <c r="B22430" t="s">
        <v>4111</v>
      </c>
      <c r="C22430" s="1" t="s">
        <v>23490</v>
      </c>
      <c r="D22430" s="1" t="str">
        <f>HYPERLINK("https://rhld.insurance.arkansas.gov/NPILookup?Npi=1932181849","1932181849")</f>
        <v>1932181849</v>
      </c>
      <c r="E22430" t="s">
        <v>22388</v>
      </c>
    </row>
    <row r="22431" spans="1:5" x14ac:dyDescent="0.25">
      <c r="A22431" t="s">
        <v>4</v>
      </c>
      <c r="B22431" t="s">
        <v>4111</v>
      </c>
      <c r="C22431" s="1" t="s">
        <v>23490</v>
      </c>
      <c r="D22431" s="1" t="str">
        <f>HYPERLINK("https://rhld.insurance.arkansas.gov/NPILookup?Npi=1932194453","1932194453")</f>
        <v>1932194453</v>
      </c>
      <c r="E22431" t="s">
        <v>5954</v>
      </c>
    </row>
    <row r="22432" spans="1:5" x14ac:dyDescent="0.25">
      <c r="A22432" t="s">
        <v>4</v>
      </c>
      <c r="B22432" t="s">
        <v>4111</v>
      </c>
      <c r="C22432" s="1" t="s">
        <v>23490</v>
      </c>
      <c r="D22432" s="1" t="str">
        <f>HYPERLINK("https://rhld.insurance.arkansas.gov/NPILookup?Npi=1932196425","1932196425")</f>
        <v>1932196425</v>
      </c>
      <c r="E22432" t="s">
        <v>5955</v>
      </c>
    </row>
    <row r="22433" spans="1:5" x14ac:dyDescent="0.25">
      <c r="A22433" t="s">
        <v>4</v>
      </c>
      <c r="B22433" t="s">
        <v>4111</v>
      </c>
      <c r="C22433" s="1" t="s">
        <v>23490</v>
      </c>
      <c r="D22433" s="1" t="str">
        <f>HYPERLINK("https://rhld.insurance.arkansas.gov/NPILookup?Npi=1932216090","1932216090")</f>
        <v>1932216090</v>
      </c>
      <c r="E22433" t="s">
        <v>20139</v>
      </c>
    </row>
    <row r="22434" spans="1:5" x14ac:dyDescent="0.25">
      <c r="A22434" t="s">
        <v>4</v>
      </c>
      <c r="B22434" t="s">
        <v>4111</v>
      </c>
      <c r="C22434" s="1" t="s">
        <v>23490</v>
      </c>
      <c r="D22434" s="1" t="str">
        <f>HYPERLINK("https://rhld.insurance.arkansas.gov/NPILookup?Npi=1932229069","1932229069")</f>
        <v>1932229069</v>
      </c>
      <c r="E22434" t="s">
        <v>5956</v>
      </c>
    </row>
    <row r="22435" spans="1:5" x14ac:dyDescent="0.25">
      <c r="A22435" t="s">
        <v>4</v>
      </c>
      <c r="B22435" t="s">
        <v>4111</v>
      </c>
      <c r="C22435" s="1" t="s">
        <v>23490</v>
      </c>
      <c r="D22435" s="1" t="str">
        <f>HYPERLINK("https://rhld.insurance.arkansas.gov/NPILookup?Npi=1932241809","1932241809")</f>
        <v>1932241809</v>
      </c>
      <c r="E22435" t="s">
        <v>5957</v>
      </c>
    </row>
    <row r="22436" spans="1:5" x14ac:dyDescent="0.25">
      <c r="A22436" t="s">
        <v>4</v>
      </c>
      <c r="B22436" t="s">
        <v>4111</v>
      </c>
      <c r="C22436" s="1" t="s">
        <v>23490</v>
      </c>
      <c r="D22436" s="1" t="str">
        <f>HYPERLINK("https://rhld.insurance.arkansas.gov/NPILookup?Npi=1932247392","1932247392")</f>
        <v>1932247392</v>
      </c>
      <c r="E22436" t="s">
        <v>5958</v>
      </c>
    </row>
    <row r="22437" spans="1:5" x14ac:dyDescent="0.25">
      <c r="A22437" t="s">
        <v>4</v>
      </c>
      <c r="B22437" t="s">
        <v>4111</v>
      </c>
      <c r="C22437" s="1" t="s">
        <v>23490</v>
      </c>
      <c r="D22437" s="1" t="str">
        <f>HYPERLINK("https://rhld.insurance.arkansas.gov/NPILookup?Npi=1932263613","1932263613")</f>
        <v>1932263613</v>
      </c>
      <c r="E22437" t="s">
        <v>22389</v>
      </c>
    </row>
    <row r="22438" spans="1:5" x14ac:dyDescent="0.25">
      <c r="A22438" t="s">
        <v>4</v>
      </c>
      <c r="B22438" t="s">
        <v>4111</v>
      </c>
      <c r="C22438" s="1" t="s">
        <v>23490</v>
      </c>
      <c r="D22438" s="1" t="str">
        <f>HYPERLINK("https://rhld.insurance.arkansas.gov/NPILookup?Npi=1932332509","1932332509")</f>
        <v>1932332509</v>
      </c>
      <c r="E22438" t="s">
        <v>2681</v>
      </c>
    </row>
    <row r="22439" spans="1:5" x14ac:dyDescent="0.25">
      <c r="A22439" t="s">
        <v>4</v>
      </c>
      <c r="B22439" t="s">
        <v>4111</v>
      </c>
      <c r="C22439" s="1" t="s">
        <v>23490</v>
      </c>
      <c r="D22439" s="1" t="str">
        <f>HYPERLINK("https://rhld.insurance.arkansas.gov/NPILookup?Npi=1932336054","1932336054")</f>
        <v>1932336054</v>
      </c>
      <c r="E22439" t="s">
        <v>14277</v>
      </c>
    </row>
    <row r="22440" spans="1:5" x14ac:dyDescent="0.25">
      <c r="A22440" t="s">
        <v>4</v>
      </c>
      <c r="B22440" t="s">
        <v>4111</v>
      </c>
      <c r="C22440" s="1" t="s">
        <v>23490</v>
      </c>
      <c r="D22440" s="1" t="str">
        <f>HYPERLINK("https://rhld.insurance.arkansas.gov/NPILookup?Npi=1932339603","1932339603")</f>
        <v>1932339603</v>
      </c>
      <c r="E22440" t="s">
        <v>18475</v>
      </c>
    </row>
    <row r="22441" spans="1:5" x14ac:dyDescent="0.25">
      <c r="A22441" t="s">
        <v>4</v>
      </c>
      <c r="B22441" t="s">
        <v>4111</v>
      </c>
      <c r="C22441" s="1" t="s">
        <v>23490</v>
      </c>
      <c r="D22441" s="1" t="str">
        <f>HYPERLINK("https://rhld.insurance.arkansas.gov/NPILookup?Npi=1932349610","1932349610")</f>
        <v>1932349610</v>
      </c>
      <c r="E22441" t="s">
        <v>5959</v>
      </c>
    </row>
    <row r="22442" spans="1:5" x14ac:dyDescent="0.25">
      <c r="A22442" t="s">
        <v>4</v>
      </c>
      <c r="B22442" t="s">
        <v>4111</v>
      </c>
      <c r="C22442" s="1" t="s">
        <v>23490</v>
      </c>
      <c r="D22442" s="1" t="str">
        <f>HYPERLINK("https://rhld.insurance.arkansas.gov/NPILookup?Npi=1932350998","1932350998")</f>
        <v>1932350998</v>
      </c>
      <c r="E22442" t="s">
        <v>5960</v>
      </c>
    </row>
    <row r="22443" spans="1:5" x14ac:dyDescent="0.25">
      <c r="A22443" t="s">
        <v>4</v>
      </c>
      <c r="B22443" t="s">
        <v>4111</v>
      </c>
      <c r="C22443" s="1" t="s">
        <v>23490</v>
      </c>
      <c r="D22443" s="1" t="str">
        <f>HYPERLINK("https://rhld.insurance.arkansas.gov/NPILookup?Npi=1932351756","1932351756")</f>
        <v>1932351756</v>
      </c>
      <c r="E22443" t="s">
        <v>20638</v>
      </c>
    </row>
    <row r="22444" spans="1:5" x14ac:dyDescent="0.25">
      <c r="A22444" t="s">
        <v>4</v>
      </c>
      <c r="B22444" t="s">
        <v>4111</v>
      </c>
      <c r="C22444" s="1" t="s">
        <v>23490</v>
      </c>
      <c r="D22444" s="1" t="str">
        <f>HYPERLINK("https://rhld.insurance.arkansas.gov/NPILookup?Npi=1932357175","1932357175")</f>
        <v>1932357175</v>
      </c>
      <c r="E22444" t="s">
        <v>11917</v>
      </c>
    </row>
    <row r="22445" spans="1:5" x14ac:dyDescent="0.25">
      <c r="A22445" t="s">
        <v>4</v>
      </c>
      <c r="B22445" t="s">
        <v>4111</v>
      </c>
      <c r="C22445" s="1" t="s">
        <v>23490</v>
      </c>
      <c r="D22445" s="1" t="str">
        <f>HYPERLINK("https://rhld.insurance.arkansas.gov/NPILookup?Npi=1932358389","1932358389")</f>
        <v>1932358389</v>
      </c>
      <c r="E22445" t="s">
        <v>11918</v>
      </c>
    </row>
    <row r="22446" spans="1:5" x14ac:dyDescent="0.25">
      <c r="A22446" t="s">
        <v>4</v>
      </c>
      <c r="B22446" t="s">
        <v>4111</v>
      </c>
      <c r="C22446" s="1" t="s">
        <v>23490</v>
      </c>
      <c r="D22446" s="1" t="str">
        <f>HYPERLINK("https://rhld.insurance.arkansas.gov/NPILookup?Npi=1932358751","1932358751")</f>
        <v>1932358751</v>
      </c>
      <c r="E22446" t="s">
        <v>18476</v>
      </c>
    </row>
    <row r="22447" spans="1:5" x14ac:dyDescent="0.25">
      <c r="A22447" t="s">
        <v>4</v>
      </c>
      <c r="B22447" t="s">
        <v>4111</v>
      </c>
      <c r="C22447" s="1" t="s">
        <v>23490</v>
      </c>
      <c r="D22447" s="1" t="str">
        <f>HYPERLINK("https://rhld.insurance.arkansas.gov/NPILookup?Npi=1932374964","1932374964")</f>
        <v>1932374964</v>
      </c>
      <c r="E22447" t="s">
        <v>13235</v>
      </c>
    </row>
    <row r="22448" spans="1:5" x14ac:dyDescent="0.25">
      <c r="A22448" t="s">
        <v>4</v>
      </c>
      <c r="B22448" t="s">
        <v>4111</v>
      </c>
      <c r="C22448" s="1" t="s">
        <v>23490</v>
      </c>
      <c r="D22448" s="1" t="str">
        <f>HYPERLINK("https://rhld.insurance.arkansas.gov/NPILookup?Npi=1932384849","1932384849")</f>
        <v>1932384849</v>
      </c>
      <c r="E22448" t="s">
        <v>5961</v>
      </c>
    </row>
    <row r="22449" spans="1:5" x14ac:dyDescent="0.25">
      <c r="A22449" t="s">
        <v>4</v>
      </c>
      <c r="B22449" t="s">
        <v>4111</v>
      </c>
      <c r="C22449" s="1" t="s">
        <v>23490</v>
      </c>
      <c r="D22449" s="1" t="str">
        <f>HYPERLINK("https://rhld.insurance.arkansas.gov/NPILookup?Npi=1932386281","1932386281")</f>
        <v>1932386281</v>
      </c>
      <c r="E22449" t="s">
        <v>9184</v>
      </c>
    </row>
    <row r="22450" spans="1:5" x14ac:dyDescent="0.25">
      <c r="A22450" t="s">
        <v>4</v>
      </c>
      <c r="B22450" t="s">
        <v>4111</v>
      </c>
      <c r="C22450" s="1" t="s">
        <v>23490</v>
      </c>
      <c r="D22450" s="1" t="str">
        <f>HYPERLINK("https://rhld.insurance.arkansas.gov/NPILookup?Npi=1932387016","1932387016")</f>
        <v>1932387016</v>
      </c>
      <c r="E22450" t="s">
        <v>5962</v>
      </c>
    </row>
    <row r="22451" spans="1:5" x14ac:dyDescent="0.25">
      <c r="A22451" t="s">
        <v>4</v>
      </c>
      <c r="B22451" t="s">
        <v>4111</v>
      </c>
      <c r="C22451" s="1" t="s">
        <v>23490</v>
      </c>
      <c r="D22451" s="1" t="str">
        <f>HYPERLINK("https://rhld.insurance.arkansas.gov/NPILookup?Npi=1932389947","1932389947")</f>
        <v>1932389947</v>
      </c>
      <c r="E22451" t="s">
        <v>22390</v>
      </c>
    </row>
    <row r="22452" spans="1:5" x14ac:dyDescent="0.25">
      <c r="A22452" t="s">
        <v>4</v>
      </c>
      <c r="B22452" t="s">
        <v>4111</v>
      </c>
      <c r="C22452" s="1" t="s">
        <v>23490</v>
      </c>
      <c r="D22452" s="1" t="str">
        <f>HYPERLINK("https://rhld.insurance.arkansas.gov/NPILookup?Npi=1932393139","1932393139")</f>
        <v>1932393139</v>
      </c>
      <c r="E22452" t="s">
        <v>9185</v>
      </c>
    </row>
    <row r="22453" spans="1:5" x14ac:dyDescent="0.25">
      <c r="A22453" t="s">
        <v>4</v>
      </c>
      <c r="B22453" t="s">
        <v>4111</v>
      </c>
      <c r="C22453" s="1" t="s">
        <v>23490</v>
      </c>
      <c r="D22453" s="1" t="str">
        <f>HYPERLINK("https://rhld.insurance.arkansas.gov/NPILookup?Npi=1932398617","1932398617")</f>
        <v>1932398617</v>
      </c>
      <c r="E22453" t="s">
        <v>5963</v>
      </c>
    </row>
    <row r="22454" spans="1:5" x14ac:dyDescent="0.25">
      <c r="A22454" t="s">
        <v>4</v>
      </c>
      <c r="B22454" t="s">
        <v>4111</v>
      </c>
      <c r="C22454" s="1" t="s">
        <v>23490</v>
      </c>
      <c r="D22454" s="1" t="str">
        <f>HYPERLINK("https://rhld.insurance.arkansas.gov/NPILookup?Npi=1932406766","1932406766")</f>
        <v>1932406766</v>
      </c>
      <c r="E22454" t="s">
        <v>16274</v>
      </c>
    </row>
    <row r="22455" spans="1:5" x14ac:dyDescent="0.25">
      <c r="A22455" t="s">
        <v>4</v>
      </c>
      <c r="B22455" t="s">
        <v>4111</v>
      </c>
      <c r="C22455" s="1" t="s">
        <v>23490</v>
      </c>
      <c r="D22455" s="1" t="str">
        <f>HYPERLINK("https://rhld.insurance.arkansas.gov/NPILookup?Npi=1932408531","1932408531")</f>
        <v>1932408531</v>
      </c>
      <c r="E22455" t="s">
        <v>5964</v>
      </c>
    </row>
    <row r="22456" spans="1:5" x14ac:dyDescent="0.25">
      <c r="A22456" t="s">
        <v>4</v>
      </c>
      <c r="B22456" t="s">
        <v>4111</v>
      </c>
      <c r="C22456" s="1" t="s">
        <v>23490</v>
      </c>
      <c r="D22456" s="1" t="str">
        <f>HYPERLINK("https://rhld.insurance.arkansas.gov/NPILookup?Npi=1932416237","1932416237")</f>
        <v>1932416237</v>
      </c>
      <c r="E22456" t="s">
        <v>11919</v>
      </c>
    </row>
    <row r="22457" spans="1:5" x14ac:dyDescent="0.25">
      <c r="A22457" t="s">
        <v>4</v>
      </c>
      <c r="B22457" t="s">
        <v>4111</v>
      </c>
      <c r="C22457" s="1" t="s">
        <v>23490</v>
      </c>
      <c r="D22457" s="1" t="str">
        <f>HYPERLINK("https://rhld.insurance.arkansas.gov/NPILookup?Npi=1932417631","1932417631")</f>
        <v>1932417631</v>
      </c>
      <c r="E22457" t="s">
        <v>5965</v>
      </c>
    </row>
    <row r="22458" spans="1:5" x14ac:dyDescent="0.25">
      <c r="A22458" t="s">
        <v>4</v>
      </c>
      <c r="B22458" t="s">
        <v>4111</v>
      </c>
      <c r="C22458" s="1" t="s">
        <v>23490</v>
      </c>
      <c r="D22458" s="1" t="str">
        <f>HYPERLINK("https://rhld.insurance.arkansas.gov/NPILookup?Npi=1932424827","1932424827")</f>
        <v>1932424827</v>
      </c>
      <c r="E22458" t="s">
        <v>5966</v>
      </c>
    </row>
    <row r="22459" spans="1:5" x14ac:dyDescent="0.25">
      <c r="A22459" t="s">
        <v>4</v>
      </c>
      <c r="B22459" t="s">
        <v>4111</v>
      </c>
      <c r="C22459" s="1" t="s">
        <v>23490</v>
      </c>
      <c r="D22459" s="1" t="str">
        <f>HYPERLINK("https://rhld.insurance.arkansas.gov/NPILookup?Npi=1932440799","1932440799")</f>
        <v>1932440799</v>
      </c>
      <c r="E22459" t="s">
        <v>13236</v>
      </c>
    </row>
    <row r="22460" spans="1:5" x14ac:dyDescent="0.25">
      <c r="A22460" t="s">
        <v>4</v>
      </c>
      <c r="B22460" t="s">
        <v>4111</v>
      </c>
      <c r="C22460" s="1" t="s">
        <v>23490</v>
      </c>
      <c r="D22460" s="1" t="str">
        <f>HYPERLINK("https://rhld.insurance.arkansas.gov/NPILookup?Npi=1932451416","1932451416")</f>
        <v>1932451416</v>
      </c>
      <c r="E22460" t="s">
        <v>9186</v>
      </c>
    </row>
    <row r="22461" spans="1:5" x14ac:dyDescent="0.25">
      <c r="A22461" t="s">
        <v>4</v>
      </c>
      <c r="B22461" t="s">
        <v>4111</v>
      </c>
      <c r="C22461" s="1" t="s">
        <v>23490</v>
      </c>
      <c r="D22461" s="1" t="str">
        <f>HYPERLINK("https://rhld.insurance.arkansas.gov/NPILookup?Npi=1932471745","1932471745")</f>
        <v>1932471745</v>
      </c>
      <c r="E22461" t="s">
        <v>22391</v>
      </c>
    </row>
    <row r="22462" spans="1:5" x14ac:dyDescent="0.25">
      <c r="A22462" t="s">
        <v>4</v>
      </c>
      <c r="B22462" t="s">
        <v>4111</v>
      </c>
      <c r="C22462" s="1" t="s">
        <v>23490</v>
      </c>
      <c r="D22462" s="1" t="str">
        <f>HYPERLINK("https://rhld.insurance.arkansas.gov/NPILookup?Npi=1932475993","1932475993")</f>
        <v>1932475993</v>
      </c>
      <c r="E22462" t="s">
        <v>11920</v>
      </c>
    </row>
    <row r="22463" spans="1:5" x14ac:dyDescent="0.25">
      <c r="A22463" t="s">
        <v>4</v>
      </c>
      <c r="B22463" t="s">
        <v>4111</v>
      </c>
      <c r="C22463" s="1" t="s">
        <v>23490</v>
      </c>
      <c r="D22463" s="1" t="str">
        <f>HYPERLINK("https://rhld.insurance.arkansas.gov/NPILookup?Npi=1932496247","1932496247")</f>
        <v>1932496247</v>
      </c>
      <c r="E22463" t="s">
        <v>18477</v>
      </c>
    </row>
    <row r="22464" spans="1:5" x14ac:dyDescent="0.25">
      <c r="A22464" t="s">
        <v>4</v>
      </c>
      <c r="B22464" t="s">
        <v>4111</v>
      </c>
      <c r="C22464" s="1" t="s">
        <v>23490</v>
      </c>
      <c r="D22464" s="1" t="str">
        <f>HYPERLINK("https://rhld.insurance.arkansas.gov/NPILookup?Npi=1932508041","1932508041")</f>
        <v>1932508041</v>
      </c>
      <c r="E22464" t="s">
        <v>13237</v>
      </c>
    </row>
    <row r="22465" spans="1:5" x14ac:dyDescent="0.25">
      <c r="A22465" t="s">
        <v>4</v>
      </c>
      <c r="B22465" t="s">
        <v>4111</v>
      </c>
      <c r="C22465" s="1" t="s">
        <v>23490</v>
      </c>
      <c r="D22465" s="1" t="str">
        <f>HYPERLINK("https://rhld.insurance.arkansas.gov/NPILookup?Npi=1932511177","1932511177")</f>
        <v>1932511177</v>
      </c>
      <c r="E22465" t="s">
        <v>5967</v>
      </c>
    </row>
    <row r="22466" spans="1:5" x14ac:dyDescent="0.25">
      <c r="A22466" t="s">
        <v>4</v>
      </c>
      <c r="B22466" t="s">
        <v>4111</v>
      </c>
      <c r="C22466" s="1" t="s">
        <v>23490</v>
      </c>
      <c r="D22466" s="1" t="str">
        <f>HYPERLINK("https://rhld.insurance.arkansas.gov/NPILookup?Npi=1932512068","1932512068")</f>
        <v>1932512068</v>
      </c>
      <c r="E22466" t="s">
        <v>11921</v>
      </c>
    </row>
    <row r="22467" spans="1:5" x14ac:dyDescent="0.25">
      <c r="A22467" t="s">
        <v>4</v>
      </c>
      <c r="B22467" t="s">
        <v>4111</v>
      </c>
      <c r="C22467" s="1" t="s">
        <v>23490</v>
      </c>
      <c r="D22467" s="1" t="str">
        <f>HYPERLINK("https://rhld.insurance.arkansas.gov/NPILookup?Npi=1932535671","1932535671")</f>
        <v>1932535671</v>
      </c>
      <c r="E22467" t="s">
        <v>11922</v>
      </c>
    </row>
    <row r="22468" spans="1:5" x14ac:dyDescent="0.25">
      <c r="A22468" t="s">
        <v>4</v>
      </c>
      <c r="B22468" t="s">
        <v>4111</v>
      </c>
      <c r="C22468" s="1" t="s">
        <v>23490</v>
      </c>
      <c r="D22468" s="1" t="str">
        <f>HYPERLINK("https://rhld.insurance.arkansas.gov/NPILookup?Npi=1932536471","1932536471")</f>
        <v>1932536471</v>
      </c>
      <c r="E22468" t="s">
        <v>17675</v>
      </c>
    </row>
    <row r="22469" spans="1:5" x14ac:dyDescent="0.25">
      <c r="A22469" t="s">
        <v>4</v>
      </c>
      <c r="B22469" t="s">
        <v>4111</v>
      </c>
      <c r="C22469" s="1" t="s">
        <v>23490</v>
      </c>
      <c r="D22469" s="1" t="str">
        <f>HYPERLINK("https://rhld.insurance.arkansas.gov/NPILookup?Npi=1932546371","1932546371")</f>
        <v>1932546371</v>
      </c>
      <c r="E22469" t="s">
        <v>14278</v>
      </c>
    </row>
    <row r="22470" spans="1:5" x14ac:dyDescent="0.25">
      <c r="A22470" t="s">
        <v>4</v>
      </c>
      <c r="B22470" t="s">
        <v>4111</v>
      </c>
      <c r="C22470" s="1" t="s">
        <v>23490</v>
      </c>
      <c r="D22470" s="1" t="str">
        <f>HYPERLINK("https://rhld.insurance.arkansas.gov/NPILookup?Npi=1932558467","1932558467")</f>
        <v>1932558467</v>
      </c>
      <c r="E22470" t="s">
        <v>18478</v>
      </c>
    </row>
    <row r="22471" spans="1:5" x14ac:dyDescent="0.25">
      <c r="A22471" t="s">
        <v>4</v>
      </c>
      <c r="B22471" t="s">
        <v>4111</v>
      </c>
      <c r="C22471" s="1" t="s">
        <v>23490</v>
      </c>
      <c r="D22471" s="1" t="str">
        <f>HYPERLINK("https://rhld.insurance.arkansas.gov/NPILookup?Npi=1932559671","1932559671")</f>
        <v>1932559671</v>
      </c>
      <c r="E22471" t="s">
        <v>23216</v>
      </c>
    </row>
    <row r="22472" spans="1:5" x14ac:dyDescent="0.25">
      <c r="A22472" t="s">
        <v>4</v>
      </c>
      <c r="B22472" t="s">
        <v>4111</v>
      </c>
      <c r="C22472" s="1" t="s">
        <v>23490</v>
      </c>
      <c r="D22472" s="1" t="str">
        <f>HYPERLINK("https://rhld.insurance.arkansas.gov/NPILookup?Npi=1932561958","1932561958")</f>
        <v>1932561958</v>
      </c>
      <c r="E22472" t="s">
        <v>18479</v>
      </c>
    </row>
    <row r="22473" spans="1:5" x14ac:dyDescent="0.25">
      <c r="A22473" t="s">
        <v>4</v>
      </c>
      <c r="B22473" t="s">
        <v>4111</v>
      </c>
      <c r="C22473" s="1" t="s">
        <v>23490</v>
      </c>
      <c r="D22473" s="1" t="str">
        <f>HYPERLINK("https://rhld.insurance.arkansas.gov/NPILookup?Npi=1932563095","1932563095")</f>
        <v>1932563095</v>
      </c>
      <c r="E22473" t="s">
        <v>21425</v>
      </c>
    </row>
    <row r="22474" spans="1:5" x14ac:dyDescent="0.25">
      <c r="A22474" t="s">
        <v>4</v>
      </c>
      <c r="B22474" t="s">
        <v>4111</v>
      </c>
      <c r="C22474" s="1" t="s">
        <v>23490</v>
      </c>
      <c r="D22474" s="1" t="str">
        <f>HYPERLINK("https://rhld.insurance.arkansas.gov/NPILookup?Npi=1932581386","1932581386")</f>
        <v>1932581386</v>
      </c>
      <c r="E22474" t="s">
        <v>14279</v>
      </c>
    </row>
    <row r="22475" spans="1:5" x14ac:dyDescent="0.25">
      <c r="A22475" t="s">
        <v>4</v>
      </c>
      <c r="B22475" t="s">
        <v>4111</v>
      </c>
      <c r="C22475" s="1" t="s">
        <v>23490</v>
      </c>
      <c r="D22475" s="1" t="str">
        <f>HYPERLINK("https://rhld.insurance.arkansas.gov/NPILookup?Npi=1932610524","1932610524")</f>
        <v>1932610524</v>
      </c>
      <c r="E22475" t="s">
        <v>16275</v>
      </c>
    </row>
    <row r="22476" spans="1:5" x14ac:dyDescent="0.25">
      <c r="A22476" t="s">
        <v>4</v>
      </c>
      <c r="B22476" t="s">
        <v>4111</v>
      </c>
      <c r="C22476" s="1" t="s">
        <v>23490</v>
      </c>
      <c r="D22476" s="1" t="str">
        <f>HYPERLINK("https://rhld.insurance.arkansas.gov/NPILookup?Npi=1932617123","1932617123")</f>
        <v>1932617123</v>
      </c>
      <c r="E22476" t="s">
        <v>18480</v>
      </c>
    </row>
    <row r="22477" spans="1:5" x14ac:dyDescent="0.25">
      <c r="A22477" t="s">
        <v>4</v>
      </c>
      <c r="B22477" t="s">
        <v>4111</v>
      </c>
      <c r="C22477" s="1" t="s">
        <v>23490</v>
      </c>
      <c r="D22477" s="1" t="str">
        <f>HYPERLINK("https://rhld.insurance.arkansas.gov/NPILookup?Npi=1932617875","1932617875")</f>
        <v>1932617875</v>
      </c>
      <c r="E22477" t="s">
        <v>21178</v>
      </c>
    </row>
    <row r="22478" spans="1:5" x14ac:dyDescent="0.25">
      <c r="A22478" t="s">
        <v>4</v>
      </c>
      <c r="B22478" t="s">
        <v>4111</v>
      </c>
      <c r="C22478" s="1" t="s">
        <v>23490</v>
      </c>
      <c r="D22478" s="1" t="str">
        <f>HYPERLINK("https://rhld.insurance.arkansas.gov/NPILookup?Npi=1932645439","1932645439")</f>
        <v>1932645439</v>
      </c>
      <c r="E22478" t="s">
        <v>20639</v>
      </c>
    </row>
    <row r="22479" spans="1:5" x14ac:dyDescent="0.25">
      <c r="A22479" t="s">
        <v>4</v>
      </c>
      <c r="B22479" t="s">
        <v>4111</v>
      </c>
      <c r="C22479" s="1" t="s">
        <v>8427</v>
      </c>
      <c r="D22479" s="1" t="str">
        <f>HYPERLINK("https://rhld.insurance.arkansas.gov/NPILookup?Npi=1932657541","1932657541")</f>
        <v>1932657541</v>
      </c>
      <c r="E22479" t="s">
        <v>23217</v>
      </c>
    </row>
    <row r="22480" spans="1:5" x14ac:dyDescent="0.25">
      <c r="A22480" t="s">
        <v>4</v>
      </c>
      <c r="B22480" t="s">
        <v>4111</v>
      </c>
      <c r="C22480" s="1" t="s">
        <v>23490</v>
      </c>
      <c r="D22480" s="1" t="str">
        <f>HYPERLINK("https://rhld.insurance.arkansas.gov/NPILookup?Npi=1932684040","1932684040")</f>
        <v>1932684040</v>
      </c>
      <c r="E22480" t="s">
        <v>14062</v>
      </c>
    </row>
    <row r="22481" spans="1:5" x14ac:dyDescent="0.25">
      <c r="A22481" t="s">
        <v>4</v>
      </c>
      <c r="B22481" t="s">
        <v>4111</v>
      </c>
      <c r="C22481" s="1" t="s">
        <v>23490</v>
      </c>
      <c r="D22481" s="1" t="str">
        <f>HYPERLINK("https://rhld.insurance.arkansas.gov/NPILookup?Npi=1932687274","1932687274")</f>
        <v>1932687274</v>
      </c>
      <c r="E22481" t="s">
        <v>2766</v>
      </c>
    </row>
    <row r="22482" spans="1:5" x14ac:dyDescent="0.25">
      <c r="A22482" t="s">
        <v>4</v>
      </c>
      <c r="B22482" t="s">
        <v>4111</v>
      </c>
      <c r="C22482" s="1" t="s">
        <v>23490</v>
      </c>
      <c r="D22482" s="1" t="str">
        <f>HYPERLINK("https://rhld.insurance.arkansas.gov/NPILookup?Npi=1932694171","1932694171")</f>
        <v>1932694171</v>
      </c>
      <c r="E22482" t="s">
        <v>22392</v>
      </c>
    </row>
    <row r="22483" spans="1:5" x14ac:dyDescent="0.25">
      <c r="A22483" t="s">
        <v>4</v>
      </c>
      <c r="B22483" t="s">
        <v>4111</v>
      </c>
      <c r="C22483" s="1" t="s">
        <v>23490</v>
      </c>
      <c r="D22483" s="1" t="str">
        <f>HYPERLINK("https://rhld.insurance.arkansas.gov/NPILookup?Npi=1932705084","1932705084")</f>
        <v>1932705084</v>
      </c>
      <c r="E22483" t="s">
        <v>22393</v>
      </c>
    </row>
    <row r="22484" spans="1:5" x14ac:dyDescent="0.25">
      <c r="A22484" t="s">
        <v>4</v>
      </c>
      <c r="B22484" t="s">
        <v>4111</v>
      </c>
      <c r="C22484" s="1" t="s">
        <v>23490</v>
      </c>
      <c r="D22484" s="1" t="str">
        <f>HYPERLINK("https://rhld.insurance.arkansas.gov/NPILookup?Npi=1932711009","1932711009")</f>
        <v>1932711009</v>
      </c>
      <c r="E22484" t="s">
        <v>22394</v>
      </c>
    </row>
    <row r="22485" spans="1:5" x14ac:dyDescent="0.25">
      <c r="A22485" t="s">
        <v>4</v>
      </c>
      <c r="B22485" t="s">
        <v>4111</v>
      </c>
      <c r="C22485" s="1" t="s">
        <v>23490</v>
      </c>
      <c r="D22485" s="1" t="str">
        <f>HYPERLINK("https://rhld.insurance.arkansas.gov/NPILookup?Npi=1932714144","1932714144")</f>
        <v>1932714144</v>
      </c>
      <c r="E22485" t="s">
        <v>20640</v>
      </c>
    </row>
    <row r="22486" spans="1:5" x14ac:dyDescent="0.25">
      <c r="A22486" t="s">
        <v>4</v>
      </c>
      <c r="B22486" t="s">
        <v>4111</v>
      </c>
      <c r="C22486" s="1" t="s">
        <v>23490</v>
      </c>
      <c r="D22486" s="1" t="str">
        <f>HYPERLINK("https://rhld.insurance.arkansas.gov/NPILookup?Npi=1932741709","1932741709")</f>
        <v>1932741709</v>
      </c>
      <c r="E22486" t="s">
        <v>17676</v>
      </c>
    </row>
    <row r="22487" spans="1:5" x14ac:dyDescent="0.25">
      <c r="A22487" t="s">
        <v>4</v>
      </c>
      <c r="B22487" t="s">
        <v>4111</v>
      </c>
      <c r="C22487" s="1" t="s">
        <v>23490</v>
      </c>
      <c r="D22487" s="1" t="str">
        <f>HYPERLINK("https://rhld.insurance.arkansas.gov/NPILookup?Npi=1932742400","1932742400")</f>
        <v>1932742400</v>
      </c>
      <c r="E22487" t="s">
        <v>20148</v>
      </c>
    </row>
    <row r="22488" spans="1:5" x14ac:dyDescent="0.25">
      <c r="A22488" t="s">
        <v>4</v>
      </c>
      <c r="B22488" t="s">
        <v>4111</v>
      </c>
      <c r="C22488" s="1" t="s">
        <v>23490</v>
      </c>
      <c r="D22488" s="1" t="str">
        <f>HYPERLINK("https://rhld.insurance.arkansas.gov/NPILookup?Npi=1932747656","1932747656")</f>
        <v>1932747656</v>
      </c>
      <c r="E22488" t="s">
        <v>20641</v>
      </c>
    </row>
    <row r="22489" spans="1:5" x14ac:dyDescent="0.25">
      <c r="A22489" t="s">
        <v>4</v>
      </c>
      <c r="B22489" t="s">
        <v>4111</v>
      </c>
      <c r="C22489" s="1" t="s">
        <v>8427</v>
      </c>
      <c r="D22489" s="1" t="str">
        <f>HYPERLINK("https://rhld.insurance.arkansas.gov/NPILookup?Npi=1932797859","1932797859")</f>
        <v>1932797859</v>
      </c>
      <c r="E22489" t="s">
        <v>23218</v>
      </c>
    </row>
    <row r="22490" spans="1:5" x14ac:dyDescent="0.25">
      <c r="A22490" t="s">
        <v>4</v>
      </c>
      <c r="B22490" t="s">
        <v>4111</v>
      </c>
      <c r="C22490" s="1" t="s">
        <v>23490</v>
      </c>
      <c r="D22490" s="1" t="str">
        <f>HYPERLINK("https://rhld.insurance.arkansas.gov/NPILookup?Npi=1932823358","1932823358")</f>
        <v>1932823358</v>
      </c>
      <c r="E22490" t="s">
        <v>22395</v>
      </c>
    </row>
    <row r="22491" spans="1:5" x14ac:dyDescent="0.25">
      <c r="A22491" t="s">
        <v>4</v>
      </c>
      <c r="B22491" t="s">
        <v>4111</v>
      </c>
      <c r="C22491" s="1" t="s">
        <v>23490</v>
      </c>
      <c r="D22491" s="1" t="str">
        <f>HYPERLINK("https://rhld.insurance.arkansas.gov/NPILookup?Npi=1932873247","1932873247")</f>
        <v>1932873247</v>
      </c>
      <c r="E22491" t="s">
        <v>17428</v>
      </c>
    </row>
    <row r="22492" spans="1:5" x14ac:dyDescent="0.25">
      <c r="A22492" t="s">
        <v>4</v>
      </c>
      <c r="B22492" t="s">
        <v>4111</v>
      </c>
      <c r="C22492" s="1" t="s">
        <v>23490</v>
      </c>
      <c r="D22492" s="1" t="str">
        <f>HYPERLINK("https://rhld.insurance.arkansas.gov/NPILookup?Npi=1932876000","1932876000")</f>
        <v>1932876000</v>
      </c>
      <c r="E22492" t="s">
        <v>20642</v>
      </c>
    </row>
    <row r="22493" spans="1:5" x14ac:dyDescent="0.25">
      <c r="A22493" t="s">
        <v>4</v>
      </c>
      <c r="B22493" t="s">
        <v>4111</v>
      </c>
      <c r="C22493" s="1" t="s">
        <v>23490</v>
      </c>
      <c r="D22493" s="1" t="str">
        <f>HYPERLINK("https://rhld.insurance.arkansas.gov/NPILookup?Npi=1942207345","1942207345")</f>
        <v>1942207345</v>
      </c>
      <c r="E22493" t="s">
        <v>5968</v>
      </c>
    </row>
    <row r="22494" spans="1:5" x14ac:dyDescent="0.25">
      <c r="A22494" t="s">
        <v>4</v>
      </c>
      <c r="B22494" t="s">
        <v>4111</v>
      </c>
      <c r="C22494" s="1" t="s">
        <v>23490</v>
      </c>
      <c r="D22494" s="1" t="str">
        <f>HYPERLINK("https://rhld.insurance.arkansas.gov/NPILookup?Npi=1942236047","1942236047")</f>
        <v>1942236047</v>
      </c>
      <c r="E22494" t="s">
        <v>5969</v>
      </c>
    </row>
    <row r="22495" spans="1:5" x14ac:dyDescent="0.25">
      <c r="A22495" t="s">
        <v>4</v>
      </c>
      <c r="B22495" t="s">
        <v>4111</v>
      </c>
      <c r="C22495" s="1" t="s">
        <v>23490</v>
      </c>
      <c r="D22495" s="1" t="str">
        <f>HYPERLINK("https://rhld.insurance.arkansas.gov/NPILookup?Npi=1942243571","1942243571")</f>
        <v>1942243571</v>
      </c>
      <c r="E22495" t="s">
        <v>14280</v>
      </c>
    </row>
    <row r="22496" spans="1:5" x14ac:dyDescent="0.25">
      <c r="A22496" t="s">
        <v>4</v>
      </c>
      <c r="B22496" t="s">
        <v>4111</v>
      </c>
      <c r="C22496" s="1" t="s">
        <v>23490</v>
      </c>
      <c r="D22496" s="1" t="str">
        <f>HYPERLINK("https://rhld.insurance.arkansas.gov/NPILookup?Npi=1942254602","1942254602")</f>
        <v>1942254602</v>
      </c>
      <c r="E22496" t="s">
        <v>5970</v>
      </c>
    </row>
    <row r="22497" spans="1:5" x14ac:dyDescent="0.25">
      <c r="A22497" t="s">
        <v>4</v>
      </c>
      <c r="B22497" t="s">
        <v>4111</v>
      </c>
      <c r="C22497" s="1" t="s">
        <v>23490</v>
      </c>
      <c r="D22497" s="1" t="str">
        <f>HYPERLINK("https://rhld.insurance.arkansas.gov/NPILookup?Npi=1942255336","1942255336")</f>
        <v>1942255336</v>
      </c>
      <c r="E22497" t="s">
        <v>5971</v>
      </c>
    </row>
    <row r="22498" spans="1:5" x14ac:dyDescent="0.25">
      <c r="A22498" t="s">
        <v>4</v>
      </c>
      <c r="B22498" t="s">
        <v>4111</v>
      </c>
      <c r="C22498" s="1" t="s">
        <v>23490</v>
      </c>
      <c r="D22498" s="1" t="str">
        <f>HYPERLINK("https://rhld.insurance.arkansas.gov/NPILookup?Npi=1942257563","1942257563")</f>
        <v>1942257563</v>
      </c>
      <c r="E22498" t="s">
        <v>5972</v>
      </c>
    </row>
    <row r="22499" spans="1:5" x14ac:dyDescent="0.25">
      <c r="A22499" t="s">
        <v>4</v>
      </c>
      <c r="B22499" t="s">
        <v>4111</v>
      </c>
      <c r="C22499" s="1" t="s">
        <v>23490</v>
      </c>
      <c r="D22499" s="1" t="str">
        <f>HYPERLINK("https://rhld.insurance.arkansas.gov/NPILookup?Npi=1942266309","1942266309")</f>
        <v>1942266309</v>
      </c>
      <c r="E22499" t="s">
        <v>5973</v>
      </c>
    </row>
    <row r="22500" spans="1:5" x14ac:dyDescent="0.25">
      <c r="A22500" t="s">
        <v>4</v>
      </c>
      <c r="B22500" t="s">
        <v>4111</v>
      </c>
      <c r="C22500" s="1" t="s">
        <v>23490</v>
      </c>
      <c r="D22500" s="1" t="str">
        <f>HYPERLINK("https://rhld.insurance.arkansas.gov/NPILookup?Npi=1942336789","1942336789")</f>
        <v>1942336789</v>
      </c>
      <c r="E22500" t="s">
        <v>5974</v>
      </c>
    </row>
    <row r="22501" spans="1:5" x14ac:dyDescent="0.25">
      <c r="A22501" t="s">
        <v>4</v>
      </c>
      <c r="B22501" t="s">
        <v>4111</v>
      </c>
      <c r="C22501" s="1" t="s">
        <v>23490</v>
      </c>
      <c r="D22501" s="1" t="str">
        <f>HYPERLINK("https://rhld.insurance.arkansas.gov/NPILookup?Npi=1942337613","1942337613")</f>
        <v>1942337613</v>
      </c>
      <c r="E22501" t="s">
        <v>5975</v>
      </c>
    </row>
    <row r="22502" spans="1:5" x14ac:dyDescent="0.25">
      <c r="A22502" t="s">
        <v>4</v>
      </c>
      <c r="B22502" t="s">
        <v>4111</v>
      </c>
      <c r="C22502" s="1" t="s">
        <v>23490</v>
      </c>
      <c r="D22502" s="1" t="str">
        <f>HYPERLINK("https://rhld.insurance.arkansas.gov/NPILookup?Npi=1942342043","1942342043")</f>
        <v>1942342043</v>
      </c>
      <c r="E22502" t="s">
        <v>16276</v>
      </c>
    </row>
    <row r="22503" spans="1:5" x14ac:dyDescent="0.25">
      <c r="A22503" t="s">
        <v>4</v>
      </c>
      <c r="B22503" t="s">
        <v>4111</v>
      </c>
      <c r="C22503" s="1" t="s">
        <v>23490</v>
      </c>
      <c r="D22503" s="1" t="str">
        <f>HYPERLINK("https://rhld.insurance.arkansas.gov/NPILookup?Npi=1942345525","1942345525")</f>
        <v>1942345525</v>
      </c>
      <c r="E22503" t="s">
        <v>5976</v>
      </c>
    </row>
    <row r="22504" spans="1:5" x14ac:dyDescent="0.25">
      <c r="A22504" t="s">
        <v>4</v>
      </c>
      <c r="B22504" t="s">
        <v>4111</v>
      </c>
      <c r="C22504" s="1" t="s">
        <v>23490</v>
      </c>
      <c r="D22504" s="1" t="str">
        <f>HYPERLINK("https://rhld.insurance.arkansas.gov/NPILookup?Npi=1942348735","1942348735")</f>
        <v>1942348735</v>
      </c>
      <c r="E22504" t="s">
        <v>5977</v>
      </c>
    </row>
    <row r="22505" spans="1:5" x14ac:dyDescent="0.25">
      <c r="A22505" t="s">
        <v>4</v>
      </c>
      <c r="B22505" t="s">
        <v>4111</v>
      </c>
      <c r="C22505" s="1" t="s">
        <v>23490</v>
      </c>
      <c r="D22505" s="1" t="str">
        <f>HYPERLINK("https://rhld.insurance.arkansas.gov/NPILookup?Npi=1942349105","1942349105")</f>
        <v>1942349105</v>
      </c>
      <c r="E22505" t="s">
        <v>5978</v>
      </c>
    </row>
    <row r="22506" spans="1:5" x14ac:dyDescent="0.25">
      <c r="A22506" t="s">
        <v>4</v>
      </c>
      <c r="B22506" t="s">
        <v>4111</v>
      </c>
      <c r="C22506" s="1" t="s">
        <v>23490</v>
      </c>
      <c r="D22506" s="1" t="str">
        <f>HYPERLINK("https://rhld.insurance.arkansas.gov/NPILookup?Npi=1942411483","1942411483")</f>
        <v>1942411483</v>
      </c>
      <c r="E22506" t="s">
        <v>5979</v>
      </c>
    </row>
    <row r="22507" spans="1:5" x14ac:dyDescent="0.25">
      <c r="A22507" t="s">
        <v>4</v>
      </c>
      <c r="B22507" t="s">
        <v>4111</v>
      </c>
      <c r="C22507" s="1" t="s">
        <v>23490</v>
      </c>
      <c r="D22507" s="1" t="str">
        <f>HYPERLINK("https://rhld.insurance.arkansas.gov/NPILookup?Npi=1942413968","1942413968")</f>
        <v>1942413968</v>
      </c>
      <c r="E22507" t="s">
        <v>5980</v>
      </c>
    </row>
    <row r="22508" spans="1:5" x14ac:dyDescent="0.25">
      <c r="A22508" t="s">
        <v>4</v>
      </c>
      <c r="B22508" t="s">
        <v>4111</v>
      </c>
      <c r="C22508" s="1" t="s">
        <v>23490</v>
      </c>
      <c r="D22508" s="1" t="str">
        <f>HYPERLINK("https://rhld.insurance.arkansas.gov/NPILookup?Npi=1942414552","1942414552")</f>
        <v>1942414552</v>
      </c>
      <c r="E22508" t="s">
        <v>5981</v>
      </c>
    </row>
    <row r="22509" spans="1:5" x14ac:dyDescent="0.25">
      <c r="A22509" t="s">
        <v>4</v>
      </c>
      <c r="B22509" t="s">
        <v>4111</v>
      </c>
      <c r="C22509" s="1" t="s">
        <v>23490</v>
      </c>
      <c r="D22509" s="1" t="str">
        <f>HYPERLINK("https://rhld.insurance.arkansas.gov/NPILookup?Npi=1942416557","1942416557")</f>
        <v>1942416557</v>
      </c>
      <c r="E22509" t="s">
        <v>5982</v>
      </c>
    </row>
    <row r="22510" spans="1:5" x14ac:dyDescent="0.25">
      <c r="A22510" t="s">
        <v>4</v>
      </c>
      <c r="B22510" t="s">
        <v>4111</v>
      </c>
      <c r="C22510" s="1" t="s">
        <v>23490</v>
      </c>
      <c r="D22510" s="1" t="str">
        <f>HYPERLINK("https://rhld.insurance.arkansas.gov/NPILookup?Npi=1942441894","1942441894")</f>
        <v>1942441894</v>
      </c>
      <c r="E22510" t="s">
        <v>5983</v>
      </c>
    </row>
    <row r="22511" spans="1:5" x14ac:dyDescent="0.25">
      <c r="A22511" t="s">
        <v>4</v>
      </c>
      <c r="B22511" t="s">
        <v>4111</v>
      </c>
      <c r="C22511" s="1" t="s">
        <v>23490</v>
      </c>
      <c r="D22511" s="1" t="str">
        <f>HYPERLINK("https://rhld.insurance.arkansas.gov/NPILookup?Npi=1942456629","1942456629")</f>
        <v>1942456629</v>
      </c>
      <c r="E22511" t="s">
        <v>5984</v>
      </c>
    </row>
    <row r="22512" spans="1:5" x14ac:dyDescent="0.25">
      <c r="A22512" t="s">
        <v>4</v>
      </c>
      <c r="B22512" t="s">
        <v>4111</v>
      </c>
      <c r="C22512" s="1" t="s">
        <v>23490</v>
      </c>
      <c r="D22512" s="1" t="str">
        <f>HYPERLINK("https://rhld.insurance.arkansas.gov/NPILookup?Npi=1942481825","1942481825")</f>
        <v>1942481825</v>
      </c>
      <c r="E22512" t="s">
        <v>11923</v>
      </c>
    </row>
    <row r="22513" spans="1:5" x14ac:dyDescent="0.25">
      <c r="A22513" t="s">
        <v>4</v>
      </c>
      <c r="B22513" t="s">
        <v>4111</v>
      </c>
      <c r="C22513" s="1" t="s">
        <v>23490</v>
      </c>
      <c r="D22513" s="1" t="str">
        <f>HYPERLINK("https://rhld.insurance.arkansas.gov/NPILookup?Npi=1942496005","1942496005")</f>
        <v>1942496005</v>
      </c>
      <c r="E22513" t="s">
        <v>5985</v>
      </c>
    </row>
    <row r="22514" spans="1:5" x14ac:dyDescent="0.25">
      <c r="A22514" t="s">
        <v>4</v>
      </c>
      <c r="B22514" t="s">
        <v>4111</v>
      </c>
      <c r="C22514" s="1" t="s">
        <v>23490</v>
      </c>
      <c r="D22514" s="1" t="str">
        <f>HYPERLINK("https://rhld.insurance.arkansas.gov/NPILookup?Npi=1942496302","1942496302")</f>
        <v>1942496302</v>
      </c>
      <c r="E22514" t="s">
        <v>5986</v>
      </c>
    </row>
    <row r="22515" spans="1:5" x14ac:dyDescent="0.25">
      <c r="A22515" t="s">
        <v>4</v>
      </c>
      <c r="B22515" t="s">
        <v>4111</v>
      </c>
      <c r="C22515" s="1" t="s">
        <v>23490</v>
      </c>
      <c r="D22515" s="1" t="str">
        <f>HYPERLINK("https://rhld.insurance.arkansas.gov/NPILookup?Npi=1942508999","1942508999")</f>
        <v>1942508999</v>
      </c>
      <c r="E22515" t="s">
        <v>3278</v>
      </c>
    </row>
    <row r="22516" spans="1:5" x14ac:dyDescent="0.25">
      <c r="A22516" t="s">
        <v>4</v>
      </c>
      <c r="B22516" t="s">
        <v>4111</v>
      </c>
      <c r="C22516" s="1" t="s">
        <v>23490</v>
      </c>
      <c r="D22516" s="1" t="str">
        <f>HYPERLINK("https://rhld.insurance.arkansas.gov/NPILookup?Npi=1942509484","1942509484")</f>
        <v>1942509484</v>
      </c>
      <c r="E22516" t="s">
        <v>18481</v>
      </c>
    </row>
    <row r="22517" spans="1:5" x14ac:dyDescent="0.25">
      <c r="A22517" t="s">
        <v>4</v>
      </c>
      <c r="B22517" t="s">
        <v>4111</v>
      </c>
      <c r="C22517" s="1" t="s">
        <v>23490</v>
      </c>
      <c r="D22517" s="1" t="str">
        <f>HYPERLINK("https://rhld.insurance.arkansas.gov/NPILookup?Npi=1942526645","1942526645")</f>
        <v>1942526645</v>
      </c>
      <c r="E22517" t="s">
        <v>20643</v>
      </c>
    </row>
    <row r="22518" spans="1:5" x14ac:dyDescent="0.25">
      <c r="A22518" t="s">
        <v>4</v>
      </c>
      <c r="B22518" t="s">
        <v>4111</v>
      </c>
      <c r="C22518" s="1" t="s">
        <v>23490</v>
      </c>
      <c r="D22518" s="1" t="str">
        <f>HYPERLINK("https://rhld.insurance.arkansas.gov/NPILookup?Npi=1942528864","1942528864")</f>
        <v>1942528864</v>
      </c>
      <c r="E22518" t="s">
        <v>9187</v>
      </c>
    </row>
    <row r="22519" spans="1:5" x14ac:dyDescent="0.25">
      <c r="A22519" t="s">
        <v>4</v>
      </c>
      <c r="B22519" t="s">
        <v>4111</v>
      </c>
      <c r="C22519" s="1" t="s">
        <v>23490</v>
      </c>
      <c r="D22519" s="1" t="str">
        <f>HYPERLINK("https://rhld.insurance.arkansas.gov/NPILookup?Npi=1942543582","1942543582")</f>
        <v>1942543582</v>
      </c>
      <c r="E22519" t="s">
        <v>18482</v>
      </c>
    </row>
    <row r="22520" spans="1:5" x14ac:dyDescent="0.25">
      <c r="A22520" t="s">
        <v>4</v>
      </c>
      <c r="B22520" t="s">
        <v>4111</v>
      </c>
      <c r="C22520" s="1" t="s">
        <v>23490</v>
      </c>
      <c r="D22520" s="1" t="str">
        <f>HYPERLINK("https://rhld.insurance.arkansas.gov/NPILookup?Npi=1942554233","1942554233")</f>
        <v>1942554233</v>
      </c>
      <c r="E22520" t="s">
        <v>16277</v>
      </c>
    </row>
    <row r="22521" spans="1:5" x14ac:dyDescent="0.25">
      <c r="A22521" t="s">
        <v>4</v>
      </c>
      <c r="B22521" t="s">
        <v>4111</v>
      </c>
      <c r="C22521" s="1" t="s">
        <v>23490</v>
      </c>
      <c r="D22521" s="1" t="str">
        <f>HYPERLINK("https://rhld.insurance.arkansas.gov/NPILookup?Npi=1942564182","1942564182")</f>
        <v>1942564182</v>
      </c>
      <c r="E22521" t="s">
        <v>5987</v>
      </c>
    </row>
    <row r="22522" spans="1:5" x14ac:dyDescent="0.25">
      <c r="A22522" t="s">
        <v>4</v>
      </c>
      <c r="B22522" t="s">
        <v>4111</v>
      </c>
      <c r="C22522" s="1" t="s">
        <v>23490</v>
      </c>
      <c r="D22522" s="1" t="str">
        <f>HYPERLINK("https://rhld.insurance.arkansas.gov/NPILookup?Npi=1942572383","1942572383")</f>
        <v>1942572383</v>
      </c>
      <c r="E22522" t="s">
        <v>11924</v>
      </c>
    </row>
    <row r="22523" spans="1:5" x14ac:dyDescent="0.25">
      <c r="A22523" t="s">
        <v>4</v>
      </c>
      <c r="B22523" t="s">
        <v>4111</v>
      </c>
      <c r="C22523" s="1" t="s">
        <v>23490</v>
      </c>
      <c r="D22523" s="1" t="str">
        <f>HYPERLINK("https://rhld.insurance.arkansas.gov/NPILookup?Npi=1942574645","1942574645")</f>
        <v>1942574645</v>
      </c>
      <c r="E22523" t="s">
        <v>5988</v>
      </c>
    </row>
    <row r="22524" spans="1:5" x14ac:dyDescent="0.25">
      <c r="A22524" t="s">
        <v>4</v>
      </c>
      <c r="B22524" t="s">
        <v>4111</v>
      </c>
      <c r="C22524" s="1" t="s">
        <v>23490</v>
      </c>
      <c r="D22524" s="1" t="str">
        <f>HYPERLINK("https://rhld.insurance.arkansas.gov/NPILookup?Npi=1942611835","1942611835")</f>
        <v>1942611835</v>
      </c>
      <c r="E22524" t="s">
        <v>1856</v>
      </c>
    </row>
    <row r="22525" spans="1:5" x14ac:dyDescent="0.25">
      <c r="A22525" t="s">
        <v>4</v>
      </c>
      <c r="B22525" t="s">
        <v>4111</v>
      </c>
      <c r="C22525" s="1" t="s">
        <v>23490</v>
      </c>
      <c r="D22525" s="1" t="str">
        <f>HYPERLINK("https://rhld.insurance.arkansas.gov/NPILookup?Npi=1942632187","1942632187")</f>
        <v>1942632187</v>
      </c>
      <c r="E22525" t="s">
        <v>9188</v>
      </c>
    </row>
    <row r="22526" spans="1:5" x14ac:dyDescent="0.25">
      <c r="A22526" t="s">
        <v>4</v>
      </c>
      <c r="B22526" t="s">
        <v>4111</v>
      </c>
      <c r="C22526" s="1" t="s">
        <v>23490</v>
      </c>
      <c r="D22526" s="1" t="str">
        <f>HYPERLINK("https://rhld.insurance.arkansas.gov/NPILookup?Npi=1942647581","1942647581")</f>
        <v>1942647581</v>
      </c>
      <c r="E22526" t="s">
        <v>14281</v>
      </c>
    </row>
    <row r="22527" spans="1:5" x14ac:dyDescent="0.25">
      <c r="A22527" t="s">
        <v>4</v>
      </c>
      <c r="B22527" t="s">
        <v>4111</v>
      </c>
      <c r="C22527" s="1" t="s">
        <v>23490</v>
      </c>
      <c r="D22527" s="1" t="str">
        <f>HYPERLINK("https://rhld.insurance.arkansas.gov/NPILookup?Npi=1942686308","1942686308")</f>
        <v>1942686308</v>
      </c>
      <c r="E22527" t="s">
        <v>22396</v>
      </c>
    </row>
    <row r="22528" spans="1:5" x14ac:dyDescent="0.25">
      <c r="A22528" t="s">
        <v>4</v>
      </c>
      <c r="B22528" t="s">
        <v>4111</v>
      </c>
      <c r="C22528" s="1" t="s">
        <v>23490</v>
      </c>
      <c r="D22528" s="1" t="str">
        <f>HYPERLINK("https://rhld.insurance.arkansas.gov/NPILookup?Npi=1942695572","1942695572")</f>
        <v>1942695572</v>
      </c>
      <c r="E22528" t="s">
        <v>11925</v>
      </c>
    </row>
    <row r="22529" spans="1:5" x14ac:dyDescent="0.25">
      <c r="A22529" t="s">
        <v>4</v>
      </c>
      <c r="B22529" t="s">
        <v>4111</v>
      </c>
      <c r="C22529" s="1" t="s">
        <v>23490</v>
      </c>
      <c r="D22529" s="1" t="str">
        <f>HYPERLINK("https://rhld.insurance.arkansas.gov/NPILookup?Npi=1942718549","1942718549")</f>
        <v>1942718549</v>
      </c>
      <c r="E22529" t="s">
        <v>13238</v>
      </c>
    </row>
    <row r="22530" spans="1:5" x14ac:dyDescent="0.25">
      <c r="A22530" t="s">
        <v>4</v>
      </c>
      <c r="B22530" t="s">
        <v>4111</v>
      </c>
      <c r="C22530" s="1" t="s">
        <v>23490</v>
      </c>
      <c r="D22530" s="1" t="str">
        <f>HYPERLINK("https://rhld.insurance.arkansas.gov/NPILookup?Npi=1942718879","1942718879")</f>
        <v>1942718879</v>
      </c>
      <c r="E22530" t="s">
        <v>13239</v>
      </c>
    </row>
    <row r="22531" spans="1:5" x14ac:dyDescent="0.25">
      <c r="A22531" t="s">
        <v>4</v>
      </c>
      <c r="B22531" t="s">
        <v>4111</v>
      </c>
      <c r="C22531" s="1" t="s">
        <v>23490</v>
      </c>
      <c r="D22531" s="1" t="str">
        <f>HYPERLINK("https://rhld.insurance.arkansas.gov/NPILookup?Npi=1942718978","1942718978")</f>
        <v>1942718978</v>
      </c>
      <c r="E22531" t="s">
        <v>18187</v>
      </c>
    </row>
    <row r="22532" spans="1:5" x14ac:dyDescent="0.25">
      <c r="A22532" t="s">
        <v>4</v>
      </c>
      <c r="B22532" t="s">
        <v>4111</v>
      </c>
      <c r="C22532" s="1" t="s">
        <v>23490</v>
      </c>
      <c r="D22532" s="1" t="str">
        <f>HYPERLINK("https://rhld.insurance.arkansas.gov/NPILookup?Npi=1942729397","1942729397")</f>
        <v>1942729397</v>
      </c>
      <c r="E22532" t="s">
        <v>11926</v>
      </c>
    </row>
    <row r="22533" spans="1:5" x14ac:dyDescent="0.25">
      <c r="A22533" t="s">
        <v>4</v>
      </c>
      <c r="B22533" t="s">
        <v>4111</v>
      </c>
      <c r="C22533" s="1" t="s">
        <v>23490</v>
      </c>
      <c r="D22533" s="1" t="str">
        <f>HYPERLINK("https://rhld.insurance.arkansas.gov/NPILookup?Npi=1942737069","1942737069")</f>
        <v>1942737069</v>
      </c>
      <c r="E22533" t="s">
        <v>21426</v>
      </c>
    </row>
    <row r="22534" spans="1:5" x14ac:dyDescent="0.25">
      <c r="A22534" t="s">
        <v>4</v>
      </c>
      <c r="B22534" t="s">
        <v>4111</v>
      </c>
      <c r="C22534" s="1" t="s">
        <v>23490</v>
      </c>
      <c r="D22534" s="1" t="str">
        <f>HYPERLINK("https://rhld.insurance.arkansas.gov/NPILookup?Npi=1942787395","1942787395")</f>
        <v>1942787395</v>
      </c>
      <c r="E22534" t="s">
        <v>19040</v>
      </c>
    </row>
    <row r="22535" spans="1:5" x14ac:dyDescent="0.25">
      <c r="A22535" t="s">
        <v>4</v>
      </c>
      <c r="B22535" t="s">
        <v>4111</v>
      </c>
      <c r="C22535" s="1" t="s">
        <v>23490</v>
      </c>
      <c r="D22535" s="1" t="str">
        <f>HYPERLINK("https://rhld.insurance.arkansas.gov/NPILookup?Npi=1942853791","1942853791")</f>
        <v>1942853791</v>
      </c>
      <c r="E22535" t="s">
        <v>16278</v>
      </c>
    </row>
    <row r="22536" spans="1:5" x14ac:dyDescent="0.25">
      <c r="A22536" t="s">
        <v>4</v>
      </c>
      <c r="B22536" t="s">
        <v>4111</v>
      </c>
      <c r="C22536" s="1" t="s">
        <v>23490</v>
      </c>
      <c r="D22536" s="1" t="str">
        <f>HYPERLINK("https://rhld.insurance.arkansas.gov/NPILookup?Npi=1942857776","1942857776")</f>
        <v>1942857776</v>
      </c>
      <c r="E22536" t="s">
        <v>20644</v>
      </c>
    </row>
    <row r="22537" spans="1:5" x14ac:dyDescent="0.25">
      <c r="A22537" t="s">
        <v>4</v>
      </c>
      <c r="B22537" t="s">
        <v>4111</v>
      </c>
      <c r="C22537" s="1" t="s">
        <v>23490</v>
      </c>
      <c r="D22537" s="1" t="str">
        <f>HYPERLINK("https://rhld.insurance.arkansas.gov/NPILookup?Npi=1942872775","1942872775")</f>
        <v>1942872775</v>
      </c>
      <c r="E22537" t="s">
        <v>22397</v>
      </c>
    </row>
    <row r="22538" spans="1:5" x14ac:dyDescent="0.25">
      <c r="A22538" t="s">
        <v>4</v>
      </c>
      <c r="B22538" t="s">
        <v>4111</v>
      </c>
      <c r="C22538" s="1" t="s">
        <v>23490</v>
      </c>
      <c r="D22538" s="1" t="str">
        <f>HYPERLINK("https://rhld.insurance.arkansas.gov/NPILookup?Npi=1942916457","1942916457")</f>
        <v>1942916457</v>
      </c>
      <c r="E22538" t="s">
        <v>22398</v>
      </c>
    </row>
    <row r="22539" spans="1:5" x14ac:dyDescent="0.25">
      <c r="A22539" t="s">
        <v>4</v>
      </c>
      <c r="B22539" t="s">
        <v>4111</v>
      </c>
      <c r="C22539" s="1" t="s">
        <v>23490</v>
      </c>
      <c r="D22539" s="1" t="str">
        <f>HYPERLINK("https://rhld.insurance.arkansas.gov/NPILookup?Npi=1942920756","1942920756")</f>
        <v>1942920756</v>
      </c>
      <c r="E22539" t="s">
        <v>22399</v>
      </c>
    </row>
    <row r="22540" spans="1:5" x14ac:dyDescent="0.25">
      <c r="A22540" t="s">
        <v>4</v>
      </c>
      <c r="B22540" t="s">
        <v>4111</v>
      </c>
      <c r="C22540" s="1" t="s">
        <v>23490</v>
      </c>
      <c r="D22540" s="1" t="str">
        <f>HYPERLINK("https://rhld.insurance.arkansas.gov/NPILookup?Npi=1942920947","1942920947")</f>
        <v>1942920947</v>
      </c>
      <c r="E22540" t="s">
        <v>22400</v>
      </c>
    </row>
    <row r="22541" spans="1:5" x14ac:dyDescent="0.25">
      <c r="A22541" t="s">
        <v>4</v>
      </c>
      <c r="B22541" t="s">
        <v>4111</v>
      </c>
      <c r="C22541" s="1" t="s">
        <v>23490</v>
      </c>
      <c r="D22541" s="1" t="str">
        <f>HYPERLINK("https://rhld.insurance.arkansas.gov/NPILookup?Npi=1942964432","1942964432")</f>
        <v>1942964432</v>
      </c>
      <c r="E22541" t="s">
        <v>20161</v>
      </c>
    </row>
    <row r="22542" spans="1:5" x14ac:dyDescent="0.25">
      <c r="A22542" t="s">
        <v>4</v>
      </c>
      <c r="B22542" t="s">
        <v>4111</v>
      </c>
      <c r="C22542" s="1" t="s">
        <v>23490</v>
      </c>
      <c r="D22542" s="1" t="str">
        <f>HYPERLINK("https://rhld.insurance.arkansas.gov/NPILookup?Npi=1952006389","1952006389")</f>
        <v>1952006389</v>
      </c>
      <c r="E22542" t="s">
        <v>22401</v>
      </c>
    </row>
    <row r="22543" spans="1:5" x14ac:dyDescent="0.25">
      <c r="A22543" t="s">
        <v>4</v>
      </c>
      <c r="B22543" t="s">
        <v>4111</v>
      </c>
      <c r="C22543" s="1" t="s">
        <v>23490</v>
      </c>
      <c r="D22543" s="1" t="str">
        <f>HYPERLINK("https://rhld.insurance.arkansas.gov/NPILookup?Npi=1952034191","1952034191")</f>
        <v>1952034191</v>
      </c>
      <c r="E22543" t="s">
        <v>22402</v>
      </c>
    </row>
    <row r="22544" spans="1:5" x14ac:dyDescent="0.25">
      <c r="A22544" t="s">
        <v>4</v>
      </c>
      <c r="B22544" t="s">
        <v>4111</v>
      </c>
      <c r="C22544" s="1" t="s">
        <v>23490</v>
      </c>
      <c r="D22544" s="1" t="str">
        <f>HYPERLINK("https://rhld.insurance.arkansas.gov/NPILookup?Npi=1952035693","1952035693")</f>
        <v>1952035693</v>
      </c>
      <c r="E22544" t="s">
        <v>12834</v>
      </c>
    </row>
    <row r="22545" spans="1:5" x14ac:dyDescent="0.25">
      <c r="A22545" t="s">
        <v>4</v>
      </c>
      <c r="B22545" t="s">
        <v>4111</v>
      </c>
      <c r="C22545" s="1" t="s">
        <v>23490</v>
      </c>
      <c r="D22545" s="1" t="str">
        <f>HYPERLINK("https://rhld.insurance.arkansas.gov/NPILookup?Npi=1952078503","1952078503")</f>
        <v>1952078503</v>
      </c>
      <c r="E22545" t="s">
        <v>22403</v>
      </c>
    </row>
    <row r="22546" spans="1:5" x14ac:dyDescent="0.25">
      <c r="A22546" t="s">
        <v>4</v>
      </c>
      <c r="B22546" t="s">
        <v>4111</v>
      </c>
      <c r="C22546" s="1" t="s">
        <v>23490</v>
      </c>
      <c r="D22546" s="1" t="str">
        <f>HYPERLINK("https://rhld.insurance.arkansas.gov/NPILookup?Npi=1952307548","1952307548")</f>
        <v>1952307548</v>
      </c>
      <c r="E22546" t="s">
        <v>5989</v>
      </c>
    </row>
    <row r="22547" spans="1:5" x14ac:dyDescent="0.25">
      <c r="A22547" t="s">
        <v>4</v>
      </c>
      <c r="B22547" t="s">
        <v>4111</v>
      </c>
      <c r="C22547" s="1" t="s">
        <v>23490</v>
      </c>
      <c r="D22547" s="1" t="str">
        <f>HYPERLINK("https://rhld.insurance.arkansas.gov/NPILookup?Npi=1952357394","1952357394")</f>
        <v>1952357394</v>
      </c>
      <c r="E22547" t="s">
        <v>5990</v>
      </c>
    </row>
    <row r="22548" spans="1:5" x14ac:dyDescent="0.25">
      <c r="A22548" t="s">
        <v>4</v>
      </c>
      <c r="B22548" t="s">
        <v>4111</v>
      </c>
      <c r="C22548" s="1" t="s">
        <v>23490</v>
      </c>
      <c r="D22548" s="1" t="str">
        <f>HYPERLINK("https://rhld.insurance.arkansas.gov/NPILookup?Npi=1952368425","1952368425")</f>
        <v>1952368425</v>
      </c>
      <c r="E22548" t="s">
        <v>16279</v>
      </c>
    </row>
    <row r="22549" spans="1:5" x14ac:dyDescent="0.25">
      <c r="A22549" t="s">
        <v>4</v>
      </c>
      <c r="B22549" t="s">
        <v>4111</v>
      </c>
      <c r="C22549" s="1" t="s">
        <v>23490</v>
      </c>
      <c r="D22549" s="1" t="str">
        <f>HYPERLINK("https://rhld.insurance.arkansas.gov/NPILookup?Npi=1952425720","1952425720")</f>
        <v>1952425720</v>
      </c>
      <c r="E22549" t="s">
        <v>9189</v>
      </c>
    </row>
    <row r="22550" spans="1:5" x14ac:dyDescent="0.25">
      <c r="A22550" t="s">
        <v>4</v>
      </c>
      <c r="B22550" t="s">
        <v>4111</v>
      </c>
      <c r="C22550" s="1" t="s">
        <v>23490</v>
      </c>
      <c r="D22550" s="1" t="str">
        <f>HYPERLINK("https://rhld.insurance.arkansas.gov/NPILookup?Npi=1952440059","1952440059")</f>
        <v>1952440059</v>
      </c>
      <c r="E22550" t="s">
        <v>5991</v>
      </c>
    </row>
    <row r="22551" spans="1:5" x14ac:dyDescent="0.25">
      <c r="A22551" t="s">
        <v>4</v>
      </c>
      <c r="B22551" t="s">
        <v>4111</v>
      </c>
      <c r="C22551" s="1" t="s">
        <v>23490</v>
      </c>
      <c r="D22551" s="1" t="str">
        <f>HYPERLINK("https://rhld.insurance.arkansas.gov/NPILookup?Npi=1952465346","1952465346")</f>
        <v>1952465346</v>
      </c>
      <c r="E22551" t="s">
        <v>9190</v>
      </c>
    </row>
    <row r="22552" spans="1:5" x14ac:dyDescent="0.25">
      <c r="A22552" t="s">
        <v>4</v>
      </c>
      <c r="B22552" t="s">
        <v>4111</v>
      </c>
      <c r="C22552" s="1" t="s">
        <v>23490</v>
      </c>
      <c r="D22552" s="1" t="str">
        <f>HYPERLINK("https://rhld.insurance.arkansas.gov/NPILookup?Npi=1952485245","1952485245")</f>
        <v>1952485245</v>
      </c>
      <c r="E22552" t="s">
        <v>5992</v>
      </c>
    </row>
    <row r="22553" spans="1:5" x14ac:dyDescent="0.25">
      <c r="A22553" t="s">
        <v>4</v>
      </c>
      <c r="B22553" t="s">
        <v>4111</v>
      </c>
      <c r="C22553" s="1" t="s">
        <v>23490</v>
      </c>
      <c r="D22553" s="1" t="str">
        <f>HYPERLINK("https://rhld.insurance.arkansas.gov/NPILookup?Npi=1952495202","1952495202")</f>
        <v>1952495202</v>
      </c>
      <c r="E22553" t="s">
        <v>5993</v>
      </c>
    </row>
    <row r="22554" spans="1:5" x14ac:dyDescent="0.25">
      <c r="A22554" t="s">
        <v>4</v>
      </c>
      <c r="B22554" t="s">
        <v>4111</v>
      </c>
      <c r="C22554" s="1" t="s">
        <v>23490</v>
      </c>
      <c r="D22554" s="1" t="str">
        <f>HYPERLINK("https://rhld.insurance.arkansas.gov/NPILookup?Npi=1952500571","1952500571")</f>
        <v>1952500571</v>
      </c>
      <c r="E22554" t="s">
        <v>17677</v>
      </c>
    </row>
    <row r="22555" spans="1:5" x14ac:dyDescent="0.25">
      <c r="A22555" t="s">
        <v>4</v>
      </c>
      <c r="B22555" t="s">
        <v>4111</v>
      </c>
      <c r="C22555" s="1" t="s">
        <v>23490</v>
      </c>
      <c r="D22555" s="1" t="str">
        <f>HYPERLINK("https://rhld.insurance.arkansas.gov/NPILookup?Npi=1952503690","1952503690")</f>
        <v>1952503690</v>
      </c>
      <c r="E22555" t="s">
        <v>22405</v>
      </c>
    </row>
    <row r="22556" spans="1:5" x14ac:dyDescent="0.25">
      <c r="A22556" t="s">
        <v>4</v>
      </c>
      <c r="B22556" t="s">
        <v>4111</v>
      </c>
      <c r="C22556" s="1" t="s">
        <v>23490</v>
      </c>
      <c r="D22556" s="1" t="str">
        <f>HYPERLINK("https://rhld.insurance.arkansas.gov/NPILookup?Npi=1952508988","1952508988")</f>
        <v>1952508988</v>
      </c>
      <c r="E22556" t="s">
        <v>5994</v>
      </c>
    </row>
    <row r="22557" spans="1:5" x14ac:dyDescent="0.25">
      <c r="A22557" t="s">
        <v>4</v>
      </c>
      <c r="B22557" t="s">
        <v>4111</v>
      </c>
      <c r="C22557" s="1" t="s">
        <v>23490</v>
      </c>
      <c r="D22557" s="1" t="str">
        <f>HYPERLINK("https://rhld.insurance.arkansas.gov/NPILookup?Npi=1952514671","1952514671")</f>
        <v>1952514671</v>
      </c>
      <c r="E22557" t="s">
        <v>14282</v>
      </c>
    </row>
    <row r="22558" spans="1:5" x14ac:dyDescent="0.25">
      <c r="A22558" t="s">
        <v>4</v>
      </c>
      <c r="B22558" t="s">
        <v>4111</v>
      </c>
      <c r="C22558" s="1" t="s">
        <v>23490</v>
      </c>
      <c r="D22558" s="1" t="str">
        <f>HYPERLINK("https://rhld.insurance.arkansas.gov/NPILookup?Npi=1952520025","1952520025")</f>
        <v>1952520025</v>
      </c>
      <c r="E22558" t="s">
        <v>5995</v>
      </c>
    </row>
    <row r="22559" spans="1:5" x14ac:dyDescent="0.25">
      <c r="A22559" t="s">
        <v>4</v>
      </c>
      <c r="B22559" t="s">
        <v>4111</v>
      </c>
      <c r="C22559" s="1" t="s">
        <v>23490</v>
      </c>
      <c r="D22559" s="1" t="str">
        <f>HYPERLINK("https://rhld.insurance.arkansas.gov/NPILookup?Npi=1952524878","1952524878")</f>
        <v>1952524878</v>
      </c>
      <c r="E22559" t="s">
        <v>5996</v>
      </c>
    </row>
    <row r="22560" spans="1:5" x14ac:dyDescent="0.25">
      <c r="A22560" t="s">
        <v>4</v>
      </c>
      <c r="B22560" t="s">
        <v>4111</v>
      </c>
      <c r="C22560" s="1" t="s">
        <v>23490</v>
      </c>
      <c r="D22560" s="1" t="str">
        <f>HYPERLINK("https://rhld.insurance.arkansas.gov/NPILookup?Npi=1952538183","1952538183")</f>
        <v>1952538183</v>
      </c>
      <c r="E22560" t="s">
        <v>16280</v>
      </c>
    </row>
    <row r="22561" spans="1:5" x14ac:dyDescent="0.25">
      <c r="A22561" t="s">
        <v>4</v>
      </c>
      <c r="B22561" t="s">
        <v>4111</v>
      </c>
      <c r="C22561" s="1" t="s">
        <v>23490</v>
      </c>
      <c r="D22561" s="1" t="str">
        <f>HYPERLINK("https://rhld.insurance.arkansas.gov/NPILookup?Npi=1952546194","1952546194")</f>
        <v>1952546194</v>
      </c>
      <c r="E22561" t="s">
        <v>5997</v>
      </c>
    </row>
    <row r="22562" spans="1:5" x14ac:dyDescent="0.25">
      <c r="A22562" t="s">
        <v>4</v>
      </c>
      <c r="B22562" t="s">
        <v>4111</v>
      </c>
      <c r="C22562" s="1" t="s">
        <v>23490</v>
      </c>
      <c r="D22562" s="1" t="str">
        <f>HYPERLINK("https://rhld.insurance.arkansas.gov/NPILookup?Npi=1952552200","1952552200")</f>
        <v>1952552200</v>
      </c>
      <c r="E22562" t="s">
        <v>14283</v>
      </c>
    </row>
    <row r="22563" spans="1:5" x14ac:dyDescent="0.25">
      <c r="A22563" t="s">
        <v>4</v>
      </c>
      <c r="B22563" t="s">
        <v>4111</v>
      </c>
      <c r="C22563" s="1" t="s">
        <v>23490</v>
      </c>
      <c r="D22563" s="1" t="str">
        <f>HYPERLINK("https://rhld.insurance.arkansas.gov/NPILookup?Npi=1952553067","1952553067")</f>
        <v>1952553067</v>
      </c>
      <c r="E22563" t="s">
        <v>9191</v>
      </c>
    </row>
    <row r="22564" spans="1:5" x14ac:dyDescent="0.25">
      <c r="A22564" t="s">
        <v>4</v>
      </c>
      <c r="B22564" t="s">
        <v>4111</v>
      </c>
      <c r="C22564" s="1" t="s">
        <v>23490</v>
      </c>
      <c r="D22564" s="1" t="str">
        <f>HYPERLINK("https://rhld.insurance.arkansas.gov/NPILookup?Npi=1952578429","1952578429")</f>
        <v>1952578429</v>
      </c>
      <c r="E22564" t="s">
        <v>5998</v>
      </c>
    </row>
    <row r="22565" spans="1:5" x14ac:dyDescent="0.25">
      <c r="A22565" t="s">
        <v>4</v>
      </c>
      <c r="B22565" t="s">
        <v>4111</v>
      </c>
      <c r="C22565" s="1" t="s">
        <v>23490</v>
      </c>
      <c r="D22565" s="1" t="str">
        <f>HYPERLINK("https://rhld.insurance.arkansas.gov/NPILookup?Npi=1952584591","1952584591")</f>
        <v>1952584591</v>
      </c>
      <c r="E22565" t="s">
        <v>9192</v>
      </c>
    </row>
    <row r="22566" spans="1:5" x14ac:dyDescent="0.25">
      <c r="A22566" t="s">
        <v>4</v>
      </c>
      <c r="B22566" t="s">
        <v>4111</v>
      </c>
      <c r="C22566" s="1" t="s">
        <v>23490</v>
      </c>
      <c r="D22566" s="1" t="str">
        <f>HYPERLINK("https://rhld.insurance.arkansas.gov/NPILookup?Npi=1952590127","1952590127")</f>
        <v>1952590127</v>
      </c>
      <c r="E22566" t="s">
        <v>20645</v>
      </c>
    </row>
    <row r="22567" spans="1:5" x14ac:dyDescent="0.25">
      <c r="A22567" t="s">
        <v>4</v>
      </c>
      <c r="B22567" t="s">
        <v>4111</v>
      </c>
      <c r="C22567" s="1" t="s">
        <v>23490</v>
      </c>
      <c r="D22567" s="1" t="str">
        <f>HYPERLINK("https://rhld.insurance.arkansas.gov/NPILookup?Npi=1952596223","1952596223")</f>
        <v>1952596223</v>
      </c>
      <c r="E22567" t="s">
        <v>5999</v>
      </c>
    </row>
    <row r="22568" spans="1:5" x14ac:dyDescent="0.25">
      <c r="A22568" t="s">
        <v>4</v>
      </c>
      <c r="B22568" t="s">
        <v>4111</v>
      </c>
      <c r="C22568" s="1" t="s">
        <v>23490</v>
      </c>
      <c r="D22568" s="1" t="str">
        <f>HYPERLINK("https://rhld.insurance.arkansas.gov/NPILookup?Npi=1952599946","1952599946")</f>
        <v>1952599946</v>
      </c>
      <c r="E22568" t="s">
        <v>6000</v>
      </c>
    </row>
    <row r="22569" spans="1:5" x14ac:dyDescent="0.25">
      <c r="A22569" t="s">
        <v>4</v>
      </c>
      <c r="B22569" t="s">
        <v>4111</v>
      </c>
      <c r="C22569" s="1" t="s">
        <v>23490</v>
      </c>
      <c r="D22569" s="1" t="str">
        <f>HYPERLINK("https://rhld.insurance.arkansas.gov/NPILookup?Npi=1952615171","1952615171")</f>
        <v>1952615171</v>
      </c>
      <c r="E22569" t="s">
        <v>14284</v>
      </c>
    </row>
    <row r="22570" spans="1:5" x14ac:dyDescent="0.25">
      <c r="A22570" t="s">
        <v>4</v>
      </c>
      <c r="B22570" t="s">
        <v>4111</v>
      </c>
      <c r="C22570" s="1" t="s">
        <v>23490</v>
      </c>
      <c r="D22570" s="1" t="str">
        <f>HYPERLINK("https://rhld.insurance.arkansas.gov/NPILookup?Npi=1952616476","1952616476")</f>
        <v>1952616476</v>
      </c>
      <c r="E22570" t="s">
        <v>23219</v>
      </c>
    </row>
    <row r="22571" spans="1:5" x14ac:dyDescent="0.25">
      <c r="A22571" t="s">
        <v>4</v>
      </c>
      <c r="B22571" t="s">
        <v>4111</v>
      </c>
      <c r="C22571" s="1" t="s">
        <v>23490</v>
      </c>
      <c r="D22571" s="1" t="str">
        <f>HYPERLINK("https://rhld.insurance.arkansas.gov/NPILookup?Npi=1952659450","1952659450")</f>
        <v>1952659450</v>
      </c>
      <c r="E22571" t="s">
        <v>11927</v>
      </c>
    </row>
    <row r="22572" spans="1:5" x14ac:dyDescent="0.25">
      <c r="A22572" t="s">
        <v>4</v>
      </c>
      <c r="B22572" t="s">
        <v>4111</v>
      </c>
      <c r="C22572" s="1" t="s">
        <v>23490</v>
      </c>
      <c r="D22572" s="1" t="str">
        <f>HYPERLINK("https://rhld.insurance.arkansas.gov/NPILookup?Npi=1952661530","1952661530")</f>
        <v>1952661530</v>
      </c>
      <c r="E22572" t="s">
        <v>11928</v>
      </c>
    </row>
    <row r="22573" spans="1:5" x14ac:dyDescent="0.25">
      <c r="A22573" t="s">
        <v>4</v>
      </c>
      <c r="B22573" t="s">
        <v>4111</v>
      </c>
      <c r="C22573" s="1" t="s">
        <v>23490</v>
      </c>
      <c r="D22573" s="1" t="str">
        <f>HYPERLINK("https://rhld.insurance.arkansas.gov/NPILookup?Npi=1952665002","1952665002")</f>
        <v>1952665002</v>
      </c>
      <c r="E22573" t="s">
        <v>6001</v>
      </c>
    </row>
    <row r="22574" spans="1:5" x14ac:dyDescent="0.25">
      <c r="A22574" t="s">
        <v>4</v>
      </c>
      <c r="B22574" t="s">
        <v>4111</v>
      </c>
      <c r="C22574" s="1" t="s">
        <v>23490</v>
      </c>
      <c r="D22574" s="1" t="str">
        <f>HYPERLINK("https://rhld.insurance.arkansas.gov/NPILookup?Npi=1952675324","1952675324")</f>
        <v>1952675324</v>
      </c>
      <c r="E22574" t="s">
        <v>19041</v>
      </c>
    </row>
    <row r="22575" spans="1:5" x14ac:dyDescent="0.25">
      <c r="A22575" t="s">
        <v>4</v>
      </c>
      <c r="B22575" t="s">
        <v>4111</v>
      </c>
      <c r="C22575" s="1" t="s">
        <v>23490</v>
      </c>
      <c r="D22575" s="1" t="str">
        <f>HYPERLINK("https://rhld.insurance.arkansas.gov/NPILookup?Npi=1952681900","1952681900")</f>
        <v>1952681900</v>
      </c>
      <c r="E22575" t="s">
        <v>14285</v>
      </c>
    </row>
    <row r="22576" spans="1:5" x14ac:dyDescent="0.25">
      <c r="A22576" t="s">
        <v>4</v>
      </c>
      <c r="B22576" t="s">
        <v>4111</v>
      </c>
      <c r="C22576" s="1" t="s">
        <v>23490</v>
      </c>
      <c r="D22576" s="1" t="str">
        <f>HYPERLINK("https://rhld.insurance.arkansas.gov/NPILookup?Npi=1952683377","1952683377")</f>
        <v>1952683377</v>
      </c>
      <c r="E22576" t="s">
        <v>6002</v>
      </c>
    </row>
    <row r="22577" spans="1:5" x14ac:dyDescent="0.25">
      <c r="A22577" t="s">
        <v>4</v>
      </c>
      <c r="B22577" t="s">
        <v>4111</v>
      </c>
      <c r="C22577" s="1" t="s">
        <v>23490</v>
      </c>
      <c r="D22577" s="1" t="str">
        <f>HYPERLINK("https://rhld.insurance.arkansas.gov/NPILookup?Npi=1952694515","1952694515")</f>
        <v>1952694515</v>
      </c>
      <c r="E22577" t="s">
        <v>6003</v>
      </c>
    </row>
    <row r="22578" spans="1:5" x14ac:dyDescent="0.25">
      <c r="A22578" t="s">
        <v>4</v>
      </c>
      <c r="B22578" t="s">
        <v>4111</v>
      </c>
      <c r="C22578" s="1" t="s">
        <v>23490</v>
      </c>
      <c r="D22578" s="1" t="str">
        <f>HYPERLINK("https://rhld.insurance.arkansas.gov/NPILookup?Npi=1952698854","1952698854")</f>
        <v>1952698854</v>
      </c>
      <c r="E22578" t="s">
        <v>6004</v>
      </c>
    </row>
    <row r="22579" spans="1:5" x14ac:dyDescent="0.25">
      <c r="A22579" t="s">
        <v>4</v>
      </c>
      <c r="B22579" t="s">
        <v>4111</v>
      </c>
      <c r="C22579" s="1" t="s">
        <v>23490</v>
      </c>
      <c r="D22579" s="1" t="str">
        <f>HYPERLINK("https://rhld.insurance.arkansas.gov/NPILookup?Npi=1952703639","1952703639")</f>
        <v>1952703639</v>
      </c>
      <c r="E22579" t="s">
        <v>14286</v>
      </c>
    </row>
    <row r="22580" spans="1:5" x14ac:dyDescent="0.25">
      <c r="A22580" t="s">
        <v>4</v>
      </c>
      <c r="B22580" t="s">
        <v>4111</v>
      </c>
      <c r="C22580" s="1" t="s">
        <v>23490</v>
      </c>
      <c r="D22580" s="1" t="str">
        <f>HYPERLINK("https://rhld.insurance.arkansas.gov/NPILookup?Npi=1952706434","1952706434")</f>
        <v>1952706434</v>
      </c>
      <c r="E22580" t="s">
        <v>22406</v>
      </c>
    </row>
    <row r="22581" spans="1:5" x14ac:dyDescent="0.25">
      <c r="A22581" t="s">
        <v>4</v>
      </c>
      <c r="B22581" t="s">
        <v>4111</v>
      </c>
      <c r="C22581" s="1" t="s">
        <v>23490</v>
      </c>
      <c r="D22581" s="1" t="str">
        <f>HYPERLINK("https://rhld.insurance.arkansas.gov/NPILookup?Npi=1952727554","1952727554")</f>
        <v>1952727554</v>
      </c>
      <c r="E22581" t="s">
        <v>11929</v>
      </c>
    </row>
    <row r="22582" spans="1:5" x14ac:dyDescent="0.25">
      <c r="A22582" t="s">
        <v>4</v>
      </c>
      <c r="B22582" t="s">
        <v>4111</v>
      </c>
      <c r="C22582" s="1" t="s">
        <v>23490</v>
      </c>
      <c r="D22582" s="1" t="str">
        <f>HYPERLINK("https://rhld.insurance.arkansas.gov/NPILookup?Npi=1952765174","1952765174")</f>
        <v>1952765174</v>
      </c>
      <c r="E22582" t="s">
        <v>17255</v>
      </c>
    </row>
    <row r="22583" spans="1:5" x14ac:dyDescent="0.25">
      <c r="A22583" t="s">
        <v>4</v>
      </c>
      <c r="B22583" t="s">
        <v>4111</v>
      </c>
      <c r="C22583" s="1" t="s">
        <v>23490</v>
      </c>
      <c r="D22583" s="1" t="str">
        <f>HYPERLINK("https://rhld.insurance.arkansas.gov/NPILookup?Npi=1952766222","1952766222")</f>
        <v>1952766222</v>
      </c>
      <c r="E22583" t="s">
        <v>17256</v>
      </c>
    </row>
    <row r="22584" spans="1:5" x14ac:dyDescent="0.25">
      <c r="A22584" t="s">
        <v>4</v>
      </c>
      <c r="B22584" t="s">
        <v>4111</v>
      </c>
      <c r="C22584" s="1" t="s">
        <v>23490</v>
      </c>
      <c r="D22584" s="1" t="str">
        <f>HYPERLINK("https://rhld.insurance.arkansas.gov/NPILookup?Npi=1952775652","1952775652")</f>
        <v>1952775652</v>
      </c>
      <c r="E22584" t="s">
        <v>11930</v>
      </c>
    </row>
    <row r="22585" spans="1:5" x14ac:dyDescent="0.25">
      <c r="A22585" t="s">
        <v>4</v>
      </c>
      <c r="B22585" t="s">
        <v>4111</v>
      </c>
      <c r="C22585" s="1" t="s">
        <v>23490</v>
      </c>
      <c r="D22585" s="1" t="str">
        <f>HYPERLINK("https://rhld.insurance.arkansas.gov/NPILookup?Npi=1952786162","1952786162")</f>
        <v>1952786162</v>
      </c>
      <c r="E22585" t="s">
        <v>20646</v>
      </c>
    </row>
    <row r="22586" spans="1:5" x14ac:dyDescent="0.25">
      <c r="A22586" t="s">
        <v>4</v>
      </c>
      <c r="B22586" t="s">
        <v>4111</v>
      </c>
      <c r="C22586" s="1" t="s">
        <v>23490</v>
      </c>
      <c r="D22586" s="1" t="str">
        <f>HYPERLINK("https://rhld.insurance.arkansas.gov/NPILookup?Npi=1952811879","1952811879")</f>
        <v>1952811879</v>
      </c>
      <c r="E22586" t="s">
        <v>21179</v>
      </c>
    </row>
    <row r="22587" spans="1:5" x14ac:dyDescent="0.25">
      <c r="A22587" t="s">
        <v>4</v>
      </c>
      <c r="B22587" t="s">
        <v>4111</v>
      </c>
      <c r="C22587" s="1" t="s">
        <v>23490</v>
      </c>
      <c r="D22587" s="1" t="str">
        <f>HYPERLINK("https://rhld.insurance.arkansas.gov/NPILookup?Npi=1952841470","1952841470")</f>
        <v>1952841470</v>
      </c>
      <c r="E22587" t="s">
        <v>13240</v>
      </c>
    </row>
    <row r="22588" spans="1:5" x14ac:dyDescent="0.25">
      <c r="A22588" t="s">
        <v>4</v>
      </c>
      <c r="B22588" t="s">
        <v>4111</v>
      </c>
      <c r="C22588" s="1" t="s">
        <v>23490</v>
      </c>
      <c r="D22588" s="1" t="str">
        <f>HYPERLINK("https://rhld.insurance.arkansas.gov/NPILookup?Npi=1952875916","1952875916")</f>
        <v>1952875916</v>
      </c>
      <c r="E22588" t="s">
        <v>14287</v>
      </c>
    </row>
    <row r="22589" spans="1:5" x14ac:dyDescent="0.25">
      <c r="A22589" t="s">
        <v>4</v>
      </c>
      <c r="B22589" t="s">
        <v>4111</v>
      </c>
      <c r="C22589" s="1" t="s">
        <v>23490</v>
      </c>
      <c r="D22589" s="1" t="str">
        <f>HYPERLINK("https://rhld.insurance.arkansas.gov/NPILookup?Npi=1952880791","1952880791")</f>
        <v>1952880791</v>
      </c>
      <c r="E22589" t="s">
        <v>14288</v>
      </c>
    </row>
    <row r="22590" spans="1:5" x14ac:dyDescent="0.25">
      <c r="A22590" t="s">
        <v>4</v>
      </c>
      <c r="B22590" t="s">
        <v>4111</v>
      </c>
      <c r="C22590" s="1" t="s">
        <v>23490</v>
      </c>
      <c r="D22590" s="1" t="str">
        <f>HYPERLINK("https://rhld.insurance.arkansas.gov/NPILookup?Npi=1952894545","1952894545")</f>
        <v>1952894545</v>
      </c>
      <c r="E22590" t="s">
        <v>17257</v>
      </c>
    </row>
    <row r="22591" spans="1:5" x14ac:dyDescent="0.25">
      <c r="A22591" t="s">
        <v>4</v>
      </c>
      <c r="B22591" t="s">
        <v>4111</v>
      </c>
      <c r="C22591" s="1" t="s">
        <v>23490</v>
      </c>
      <c r="D22591" s="1" t="str">
        <f>HYPERLINK("https://rhld.insurance.arkansas.gov/NPILookup?Npi=1952933657","1952933657")</f>
        <v>1952933657</v>
      </c>
      <c r="E22591" t="s">
        <v>17258</v>
      </c>
    </row>
    <row r="22592" spans="1:5" x14ac:dyDescent="0.25">
      <c r="A22592" t="s">
        <v>4</v>
      </c>
      <c r="B22592" t="s">
        <v>4111</v>
      </c>
      <c r="C22592" s="1" t="s">
        <v>23490</v>
      </c>
      <c r="D22592" s="1" t="str">
        <f>HYPERLINK("https://rhld.insurance.arkansas.gov/NPILookup?Npi=1952938862","1952938862")</f>
        <v>1952938862</v>
      </c>
      <c r="E22592" t="s">
        <v>22407</v>
      </c>
    </row>
    <row r="22593" spans="1:5" x14ac:dyDescent="0.25">
      <c r="A22593" t="s">
        <v>4</v>
      </c>
      <c r="B22593" t="s">
        <v>4111</v>
      </c>
      <c r="C22593" s="1" t="s">
        <v>23490</v>
      </c>
      <c r="D22593" s="1" t="str">
        <f>HYPERLINK("https://rhld.insurance.arkansas.gov/NPILookup?Npi=1952944407","1952944407")</f>
        <v>1952944407</v>
      </c>
      <c r="E22593" t="s">
        <v>22408</v>
      </c>
    </row>
    <row r="22594" spans="1:5" x14ac:dyDescent="0.25">
      <c r="A22594" t="s">
        <v>4</v>
      </c>
      <c r="B22594" t="s">
        <v>4111</v>
      </c>
      <c r="C22594" s="1" t="s">
        <v>23490</v>
      </c>
      <c r="D22594" s="1" t="str">
        <f>HYPERLINK("https://rhld.insurance.arkansas.gov/NPILookup?Npi=1952948143","1952948143")</f>
        <v>1952948143</v>
      </c>
      <c r="E22594" t="s">
        <v>11759</v>
      </c>
    </row>
    <row r="22595" spans="1:5" x14ac:dyDescent="0.25">
      <c r="A22595" t="s">
        <v>4</v>
      </c>
      <c r="B22595" t="s">
        <v>4111</v>
      </c>
      <c r="C22595" s="1" t="s">
        <v>23490</v>
      </c>
      <c r="D22595" s="1" t="str">
        <f>HYPERLINK("https://rhld.insurance.arkansas.gov/NPILookup?Npi=1952954471","1952954471")</f>
        <v>1952954471</v>
      </c>
      <c r="E22595" t="s">
        <v>22409</v>
      </c>
    </row>
    <row r="22596" spans="1:5" x14ac:dyDescent="0.25">
      <c r="A22596" t="s">
        <v>4</v>
      </c>
      <c r="B22596" t="s">
        <v>4111</v>
      </c>
      <c r="C22596" s="1" t="s">
        <v>23490</v>
      </c>
      <c r="D22596" s="1" t="str">
        <f>HYPERLINK("https://rhld.insurance.arkansas.gov/NPILookup?Npi=1952988982","1952988982")</f>
        <v>1952988982</v>
      </c>
      <c r="E22596" t="s">
        <v>22410</v>
      </c>
    </row>
    <row r="22597" spans="1:5" x14ac:dyDescent="0.25">
      <c r="A22597" t="s">
        <v>4</v>
      </c>
      <c r="B22597" t="s">
        <v>4111</v>
      </c>
      <c r="C22597" s="1" t="s">
        <v>23490</v>
      </c>
      <c r="D22597" s="1" t="str">
        <f>HYPERLINK("https://rhld.insurance.arkansas.gov/NPILookup?Npi=1962032888","1962032888")</f>
        <v>1962032888</v>
      </c>
      <c r="E22597" t="s">
        <v>18910</v>
      </c>
    </row>
    <row r="22598" spans="1:5" x14ac:dyDescent="0.25">
      <c r="A22598" t="s">
        <v>4</v>
      </c>
      <c r="B22598" t="s">
        <v>4111</v>
      </c>
      <c r="C22598" s="1" t="s">
        <v>23490</v>
      </c>
      <c r="D22598" s="1" t="str">
        <f>HYPERLINK("https://rhld.insurance.arkansas.gov/NPILookup?Npi=1962040568","1962040568")</f>
        <v>1962040568</v>
      </c>
      <c r="E22598" t="s">
        <v>20647</v>
      </c>
    </row>
    <row r="22599" spans="1:5" x14ac:dyDescent="0.25">
      <c r="A22599" t="s">
        <v>4</v>
      </c>
      <c r="B22599" t="s">
        <v>4111</v>
      </c>
      <c r="C22599" s="1" t="s">
        <v>23490</v>
      </c>
      <c r="D22599" s="1" t="str">
        <f>HYPERLINK("https://rhld.insurance.arkansas.gov/NPILookup?Npi=1962055731","1962055731")</f>
        <v>1962055731</v>
      </c>
      <c r="E22599" t="s">
        <v>22411</v>
      </c>
    </row>
    <row r="22600" spans="1:5" x14ac:dyDescent="0.25">
      <c r="A22600" t="s">
        <v>4</v>
      </c>
      <c r="B22600" t="s">
        <v>4111</v>
      </c>
      <c r="C22600" s="1" t="s">
        <v>23490</v>
      </c>
      <c r="D22600" s="1" t="str">
        <f>HYPERLINK("https://rhld.insurance.arkansas.gov/NPILookup?Npi=1962059055","1962059055")</f>
        <v>1962059055</v>
      </c>
      <c r="E22600" t="s">
        <v>16281</v>
      </c>
    </row>
    <row r="22601" spans="1:5" x14ac:dyDescent="0.25">
      <c r="A22601" t="s">
        <v>4</v>
      </c>
      <c r="B22601" t="s">
        <v>4111</v>
      </c>
      <c r="C22601" s="1" t="s">
        <v>23490</v>
      </c>
      <c r="D22601" s="1" t="str">
        <f>HYPERLINK("https://rhld.insurance.arkansas.gov/NPILookup?Npi=1962094565","1962094565")</f>
        <v>1962094565</v>
      </c>
      <c r="E22601" t="s">
        <v>18191</v>
      </c>
    </row>
    <row r="22602" spans="1:5" x14ac:dyDescent="0.25">
      <c r="A22602" t="s">
        <v>4</v>
      </c>
      <c r="B22602" t="s">
        <v>4111</v>
      </c>
      <c r="C22602" s="1" t="s">
        <v>23490</v>
      </c>
      <c r="D22602" s="1" t="str">
        <f>HYPERLINK("https://rhld.insurance.arkansas.gov/NPILookup?Npi=1962158048","1962158048")</f>
        <v>1962158048</v>
      </c>
      <c r="E22602" t="s">
        <v>20648</v>
      </c>
    </row>
    <row r="22603" spans="1:5" x14ac:dyDescent="0.25">
      <c r="A22603" t="s">
        <v>4</v>
      </c>
      <c r="B22603" t="s">
        <v>4111</v>
      </c>
      <c r="C22603" s="1" t="s">
        <v>23490</v>
      </c>
      <c r="D22603" s="1" t="str">
        <f>HYPERLINK("https://rhld.insurance.arkansas.gov/NPILookup?Npi=1962163105","1962163105")</f>
        <v>1962163105</v>
      </c>
      <c r="E22603" t="s">
        <v>20173</v>
      </c>
    </row>
    <row r="22604" spans="1:5" x14ac:dyDescent="0.25">
      <c r="A22604" t="s">
        <v>4</v>
      </c>
      <c r="B22604" t="s">
        <v>4111</v>
      </c>
      <c r="C22604" s="1" t="s">
        <v>23490</v>
      </c>
      <c r="D22604" s="1" t="str">
        <f>HYPERLINK("https://rhld.insurance.arkansas.gov/NPILookup?Npi=1962427443","1962427443")</f>
        <v>1962427443</v>
      </c>
      <c r="E22604" t="s">
        <v>14289</v>
      </c>
    </row>
    <row r="22605" spans="1:5" x14ac:dyDescent="0.25">
      <c r="A22605" t="s">
        <v>4</v>
      </c>
      <c r="B22605" t="s">
        <v>4111</v>
      </c>
      <c r="C22605" s="1" t="s">
        <v>23490</v>
      </c>
      <c r="D22605" s="1" t="str">
        <f>HYPERLINK("https://rhld.insurance.arkansas.gov/NPILookup?Npi=1962439133","1962439133")</f>
        <v>1962439133</v>
      </c>
      <c r="E22605" t="s">
        <v>5975</v>
      </c>
    </row>
    <row r="22606" spans="1:5" x14ac:dyDescent="0.25">
      <c r="A22606" t="s">
        <v>4</v>
      </c>
      <c r="B22606" t="s">
        <v>4111</v>
      </c>
      <c r="C22606" s="1" t="s">
        <v>23490</v>
      </c>
      <c r="D22606" s="1" t="str">
        <f>HYPERLINK("https://rhld.insurance.arkansas.gov/NPILookup?Npi=1962439562","1962439562")</f>
        <v>1962439562</v>
      </c>
      <c r="E22606" t="s">
        <v>16282</v>
      </c>
    </row>
    <row r="22607" spans="1:5" x14ac:dyDescent="0.25">
      <c r="A22607" t="s">
        <v>4</v>
      </c>
      <c r="B22607" t="s">
        <v>4111</v>
      </c>
      <c r="C22607" s="1" t="s">
        <v>23490</v>
      </c>
      <c r="D22607" s="1" t="str">
        <f>HYPERLINK("https://rhld.insurance.arkansas.gov/NPILookup?Npi=1962475517","1962475517")</f>
        <v>1962475517</v>
      </c>
      <c r="E22607" t="s">
        <v>6005</v>
      </c>
    </row>
    <row r="22608" spans="1:5" x14ac:dyDescent="0.25">
      <c r="A22608" t="s">
        <v>4</v>
      </c>
      <c r="B22608" t="s">
        <v>4111</v>
      </c>
      <c r="C22608" s="1" t="s">
        <v>23490</v>
      </c>
      <c r="D22608" s="1" t="str">
        <f>HYPERLINK("https://rhld.insurance.arkansas.gov/NPILookup?Npi=1962481010","1962481010")</f>
        <v>1962481010</v>
      </c>
      <c r="E22608" t="s">
        <v>20649</v>
      </c>
    </row>
    <row r="22609" spans="1:5" x14ac:dyDescent="0.25">
      <c r="A22609" t="s">
        <v>4</v>
      </c>
      <c r="B22609" t="s">
        <v>4111</v>
      </c>
      <c r="C22609" s="1" t="s">
        <v>23490</v>
      </c>
      <c r="D22609" s="1" t="str">
        <f>HYPERLINK("https://rhld.insurance.arkansas.gov/NPILookup?Npi=1962494161","1962494161")</f>
        <v>1962494161</v>
      </c>
      <c r="E22609" t="s">
        <v>16283</v>
      </c>
    </row>
    <row r="22610" spans="1:5" x14ac:dyDescent="0.25">
      <c r="A22610" t="s">
        <v>4</v>
      </c>
      <c r="B22610" t="s">
        <v>4111</v>
      </c>
      <c r="C22610" s="1" t="s">
        <v>23490</v>
      </c>
      <c r="D22610" s="1" t="str">
        <f>HYPERLINK("https://rhld.insurance.arkansas.gov/NPILookup?Npi=1962514562","1962514562")</f>
        <v>1962514562</v>
      </c>
      <c r="E22610" t="s">
        <v>6006</v>
      </c>
    </row>
    <row r="22611" spans="1:5" x14ac:dyDescent="0.25">
      <c r="A22611" t="s">
        <v>4</v>
      </c>
      <c r="B22611" t="s">
        <v>4111</v>
      </c>
      <c r="C22611" s="1" t="s">
        <v>23490</v>
      </c>
      <c r="D22611" s="1" t="str">
        <f>HYPERLINK("https://rhld.insurance.arkansas.gov/NPILookup?Npi=1962515841","1962515841")</f>
        <v>1962515841</v>
      </c>
      <c r="E22611" t="s">
        <v>14290</v>
      </c>
    </row>
    <row r="22612" spans="1:5" x14ac:dyDescent="0.25">
      <c r="A22612" t="s">
        <v>4</v>
      </c>
      <c r="B22612" t="s">
        <v>4111</v>
      </c>
      <c r="C22612" s="1" t="s">
        <v>23490</v>
      </c>
      <c r="D22612" s="1" t="str">
        <f>HYPERLINK("https://rhld.insurance.arkansas.gov/NPILookup?Npi=1962516021","1962516021")</f>
        <v>1962516021</v>
      </c>
      <c r="E22612" t="s">
        <v>6007</v>
      </c>
    </row>
    <row r="22613" spans="1:5" x14ac:dyDescent="0.25">
      <c r="A22613" t="s">
        <v>4</v>
      </c>
      <c r="B22613" t="s">
        <v>4111</v>
      </c>
      <c r="C22613" s="1" t="s">
        <v>23490</v>
      </c>
      <c r="D22613" s="1" t="str">
        <f>HYPERLINK("https://rhld.insurance.arkansas.gov/NPILookup?Npi=1962540211","1962540211")</f>
        <v>1962540211</v>
      </c>
      <c r="E22613" t="s">
        <v>16284</v>
      </c>
    </row>
    <row r="22614" spans="1:5" x14ac:dyDescent="0.25">
      <c r="A22614" t="s">
        <v>4</v>
      </c>
      <c r="B22614" t="s">
        <v>4111</v>
      </c>
      <c r="C22614" s="1" t="s">
        <v>23490</v>
      </c>
      <c r="D22614" s="1" t="str">
        <f>HYPERLINK("https://rhld.insurance.arkansas.gov/NPILookup?Npi=1962561217","1962561217")</f>
        <v>1962561217</v>
      </c>
      <c r="E22614" t="s">
        <v>6008</v>
      </c>
    </row>
    <row r="22615" spans="1:5" x14ac:dyDescent="0.25">
      <c r="A22615" t="s">
        <v>4</v>
      </c>
      <c r="B22615" t="s">
        <v>4111</v>
      </c>
      <c r="C22615" s="1" t="s">
        <v>23490</v>
      </c>
      <c r="D22615" s="1" t="str">
        <f>HYPERLINK("https://rhld.insurance.arkansas.gov/NPILookup?Npi=1962576173","1962576173")</f>
        <v>1962576173</v>
      </c>
      <c r="E22615" t="s">
        <v>6009</v>
      </c>
    </row>
    <row r="22616" spans="1:5" x14ac:dyDescent="0.25">
      <c r="A22616" t="s">
        <v>4</v>
      </c>
      <c r="B22616" t="s">
        <v>4111</v>
      </c>
      <c r="C22616" s="1" t="s">
        <v>23490</v>
      </c>
      <c r="D22616" s="1" t="str">
        <f>HYPERLINK("https://rhld.insurance.arkansas.gov/NPILookup?Npi=1962585901","1962585901")</f>
        <v>1962585901</v>
      </c>
      <c r="E22616" t="s">
        <v>11931</v>
      </c>
    </row>
    <row r="22617" spans="1:5" x14ac:dyDescent="0.25">
      <c r="A22617" t="s">
        <v>4</v>
      </c>
      <c r="B22617" t="s">
        <v>4111</v>
      </c>
      <c r="C22617" s="1" t="s">
        <v>23490</v>
      </c>
      <c r="D22617" s="1" t="str">
        <f>HYPERLINK("https://rhld.insurance.arkansas.gov/NPILookup?Npi=1962608638","1962608638")</f>
        <v>1962608638</v>
      </c>
      <c r="E22617" t="s">
        <v>6010</v>
      </c>
    </row>
    <row r="22618" spans="1:5" x14ac:dyDescent="0.25">
      <c r="A22618" t="s">
        <v>4</v>
      </c>
      <c r="B22618" t="s">
        <v>4111</v>
      </c>
      <c r="C22618" s="1" t="s">
        <v>23490</v>
      </c>
      <c r="D22618" s="1" t="str">
        <f>HYPERLINK("https://rhld.insurance.arkansas.gov/NPILookup?Npi=1962615039","1962615039")</f>
        <v>1962615039</v>
      </c>
      <c r="E22618" t="s">
        <v>2348</v>
      </c>
    </row>
    <row r="22619" spans="1:5" x14ac:dyDescent="0.25">
      <c r="A22619" t="s">
        <v>4</v>
      </c>
      <c r="B22619" t="s">
        <v>4111</v>
      </c>
      <c r="C22619" s="1" t="s">
        <v>23490</v>
      </c>
      <c r="D22619" s="1" t="str">
        <f>HYPERLINK("https://rhld.insurance.arkansas.gov/NPILookup?Npi=1962619510","1962619510")</f>
        <v>1962619510</v>
      </c>
      <c r="E22619" t="s">
        <v>6011</v>
      </c>
    </row>
    <row r="22620" spans="1:5" x14ac:dyDescent="0.25">
      <c r="A22620" t="s">
        <v>4</v>
      </c>
      <c r="B22620" t="s">
        <v>4111</v>
      </c>
      <c r="C22620" s="1" t="s">
        <v>23490</v>
      </c>
      <c r="D22620" s="1" t="str">
        <f>HYPERLINK("https://rhld.insurance.arkansas.gov/NPILookup?Npi=1962630947","1962630947")</f>
        <v>1962630947</v>
      </c>
      <c r="E22620" t="s">
        <v>13241</v>
      </c>
    </row>
    <row r="22621" spans="1:5" x14ac:dyDescent="0.25">
      <c r="A22621" t="s">
        <v>4</v>
      </c>
      <c r="B22621" t="s">
        <v>4111</v>
      </c>
      <c r="C22621" s="1" t="s">
        <v>23490</v>
      </c>
      <c r="D22621" s="1" t="str">
        <f>HYPERLINK("https://rhld.insurance.arkansas.gov/NPILookup?Npi=1962636712","1962636712")</f>
        <v>1962636712</v>
      </c>
      <c r="E22621" t="s">
        <v>6012</v>
      </c>
    </row>
    <row r="22622" spans="1:5" x14ac:dyDescent="0.25">
      <c r="A22622" t="s">
        <v>4</v>
      </c>
      <c r="B22622" t="s">
        <v>4111</v>
      </c>
      <c r="C22622" s="1" t="s">
        <v>23490</v>
      </c>
      <c r="D22622" s="1" t="str">
        <f>HYPERLINK("https://rhld.insurance.arkansas.gov/NPILookup?Npi=1962640656","1962640656")</f>
        <v>1962640656</v>
      </c>
      <c r="E22622" t="s">
        <v>6013</v>
      </c>
    </row>
    <row r="22623" spans="1:5" x14ac:dyDescent="0.25">
      <c r="A22623" t="s">
        <v>4</v>
      </c>
      <c r="B22623" t="s">
        <v>4111</v>
      </c>
      <c r="C22623" s="1" t="s">
        <v>23490</v>
      </c>
      <c r="D22623" s="1" t="str">
        <f>HYPERLINK("https://rhld.insurance.arkansas.gov/NPILookup?Npi=1962643064","1962643064")</f>
        <v>1962643064</v>
      </c>
      <c r="E22623" t="s">
        <v>16285</v>
      </c>
    </row>
    <row r="22624" spans="1:5" x14ac:dyDescent="0.25">
      <c r="A22624" t="s">
        <v>4</v>
      </c>
      <c r="B22624" t="s">
        <v>4111</v>
      </c>
      <c r="C22624" s="1" t="s">
        <v>23490</v>
      </c>
      <c r="D22624" s="1" t="str">
        <f>HYPERLINK("https://rhld.insurance.arkansas.gov/NPILookup?Npi=1962650630","1962650630")</f>
        <v>1962650630</v>
      </c>
      <c r="E22624" t="s">
        <v>9193</v>
      </c>
    </row>
    <row r="22625" spans="1:5" x14ac:dyDescent="0.25">
      <c r="A22625" t="s">
        <v>4</v>
      </c>
      <c r="B22625" t="s">
        <v>4111</v>
      </c>
      <c r="C22625" s="1" t="s">
        <v>23490</v>
      </c>
      <c r="D22625" s="1" t="str">
        <f>HYPERLINK("https://rhld.insurance.arkansas.gov/NPILookup?Npi=1962651794","1962651794")</f>
        <v>1962651794</v>
      </c>
      <c r="E22625" t="s">
        <v>11932</v>
      </c>
    </row>
    <row r="22626" spans="1:5" x14ac:dyDescent="0.25">
      <c r="A22626" t="s">
        <v>4</v>
      </c>
      <c r="B22626" t="s">
        <v>4111</v>
      </c>
      <c r="C22626" s="1" t="s">
        <v>23490</v>
      </c>
      <c r="D22626" s="1" t="str">
        <f>HYPERLINK("https://rhld.insurance.arkansas.gov/NPILookup?Npi=1962659904","1962659904")</f>
        <v>1962659904</v>
      </c>
      <c r="E22626" t="s">
        <v>13242</v>
      </c>
    </row>
    <row r="22627" spans="1:5" x14ac:dyDescent="0.25">
      <c r="A22627" t="s">
        <v>4</v>
      </c>
      <c r="B22627" t="s">
        <v>4111</v>
      </c>
      <c r="C22627" s="1" t="s">
        <v>23490</v>
      </c>
      <c r="D22627" s="1" t="str">
        <f>HYPERLINK("https://rhld.insurance.arkansas.gov/NPILookup?Npi=1962662601","1962662601")</f>
        <v>1962662601</v>
      </c>
      <c r="E22627" t="s">
        <v>6014</v>
      </c>
    </row>
    <row r="22628" spans="1:5" x14ac:dyDescent="0.25">
      <c r="A22628" t="s">
        <v>4</v>
      </c>
      <c r="B22628" t="s">
        <v>4111</v>
      </c>
      <c r="C22628" s="1" t="s">
        <v>23490</v>
      </c>
      <c r="D22628" s="1" t="str">
        <f>HYPERLINK("https://rhld.insurance.arkansas.gov/NPILookup?Npi=1962684563","1962684563")</f>
        <v>1962684563</v>
      </c>
      <c r="E22628" t="s">
        <v>6015</v>
      </c>
    </row>
    <row r="22629" spans="1:5" x14ac:dyDescent="0.25">
      <c r="A22629" t="s">
        <v>4</v>
      </c>
      <c r="B22629" t="s">
        <v>4111</v>
      </c>
      <c r="C22629" s="1" t="s">
        <v>23490</v>
      </c>
      <c r="D22629" s="1" t="str">
        <f>HYPERLINK("https://rhld.insurance.arkansas.gov/NPILookup?Npi=1962693291","1962693291")</f>
        <v>1962693291</v>
      </c>
      <c r="E22629" t="s">
        <v>16286</v>
      </c>
    </row>
    <row r="22630" spans="1:5" x14ac:dyDescent="0.25">
      <c r="A22630" t="s">
        <v>4</v>
      </c>
      <c r="B22630" t="s">
        <v>4111</v>
      </c>
      <c r="C22630" s="1" t="s">
        <v>23490</v>
      </c>
      <c r="D22630" s="1" t="str">
        <f>HYPERLINK("https://rhld.insurance.arkansas.gov/NPILookup?Npi=1962697169","1962697169")</f>
        <v>1962697169</v>
      </c>
      <c r="E22630" t="s">
        <v>14291</v>
      </c>
    </row>
    <row r="22631" spans="1:5" x14ac:dyDescent="0.25">
      <c r="A22631" t="s">
        <v>4</v>
      </c>
      <c r="B22631" t="s">
        <v>4111</v>
      </c>
      <c r="C22631" s="1" t="s">
        <v>23490</v>
      </c>
      <c r="D22631" s="1" t="str">
        <f>HYPERLINK("https://rhld.insurance.arkansas.gov/NPILookup?Npi=1962735803","1962735803")</f>
        <v>1962735803</v>
      </c>
      <c r="E22631" t="s">
        <v>6016</v>
      </c>
    </row>
    <row r="22632" spans="1:5" x14ac:dyDescent="0.25">
      <c r="A22632" t="s">
        <v>4</v>
      </c>
      <c r="B22632" t="s">
        <v>4111</v>
      </c>
      <c r="C22632" s="1" t="s">
        <v>23490</v>
      </c>
      <c r="D22632" s="1" t="str">
        <f>HYPERLINK("https://rhld.insurance.arkansas.gov/NPILookup?Npi=1962742569","1962742569")</f>
        <v>1962742569</v>
      </c>
      <c r="E22632" t="s">
        <v>11933</v>
      </c>
    </row>
    <row r="22633" spans="1:5" x14ac:dyDescent="0.25">
      <c r="A22633" t="s">
        <v>4</v>
      </c>
      <c r="B22633" t="s">
        <v>4111</v>
      </c>
      <c r="C22633" s="1" t="s">
        <v>23490</v>
      </c>
      <c r="D22633" s="1" t="str">
        <f>HYPERLINK("https://rhld.insurance.arkansas.gov/NPILookup?Npi=1962749895","1962749895")</f>
        <v>1962749895</v>
      </c>
      <c r="E22633" t="s">
        <v>14292</v>
      </c>
    </row>
    <row r="22634" spans="1:5" x14ac:dyDescent="0.25">
      <c r="A22634" t="s">
        <v>4</v>
      </c>
      <c r="B22634" t="s">
        <v>4111</v>
      </c>
      <c r="C22634" s="1" t="s">
        <v>23490</v>
      </c>
      <c r="D22634" s="1" t="str">
        <f>HYPERLINK("https://rhld.insurance.arkansas.gov/NPILookup?Npi=1962783852","1962783852")</f>
        <v>1962783852</v>
      </c>
      <c r="E22634" t="s">
        <v>6017</v>
      </c>
    </row>
    <row r="22635" spans="1:5" x14ac:dyDescent="0.25">
      <c r="A22635" t="s">
        <v>4</v>
      </c>
      <c r="B22635" t="s">
        <v>4111</v>
      </c>
      <c r="C22635" s="1" t="s">
        <v>23490</v>
      </c>
      <c r="D22635" s="1" t="str">
        <f>HYPERLINK("https://rhld.insurance.arkansas.gov/NPILookup?Npi=1962813766","1962813766")</f>
        <v>1962813766</v>
      </c>
      <c r="E22635" t="s">
        <v>14293</v>
      </c>
    </row>
    <row r="22636" spans="1:5" x14ac:dyDescent="0.25">
      <c r="A22636" t="s">
        <v>4</v>
      </c>
      <c r="B22636" t="s">
        <v>4111</v>
      </c>
      <c r="C22636" s="1" t="s">
        <v>23490</v>
      </c>
      <c r="D22636" s="1" t="str">
        <f>HYPERLINK("https://rhld.insurance.arkansas.gov/NPILookup?Npi=1962831263","1962831263")</f>
        <v>1962831263</v>
      </c>
      <c r="E22636" t="s">
        <v>20650</v>
      </c>
    </row>
    <row r="22637" spans="1:5" x14ac:dyDescent="0.25">
      <c r="A22637" t="s">
        <v>4</v>
      </c>
      <c r="B22637" t="s">
        <v>4111</v>
      </c>
      <c r="C22637" s="1" t="s">
        <v>23490</v>
      </c>
      <c r="D22637" s="1" t="str">
        <f>HYPERLINK("https://rhld.insurance.arkansas.gov/NPILookup?Npi=1962836213","1962836213")</f>
        <v>1962836213</v>
      </c>
      <c r="E22637" t="s">
        <v>3346</v>
      </c>
    </row>
    <row r="22638" spans="1:5" x14ac:dyDescent="0.25">
      <c r="A22638" t="s">
        <v>4</v>
      </c>
      <c r="B22638" t="s">
        <v>4111</v>
      </c>
      <c r="C22638" s="1" t="s">
        <v>23490</v>
      </c>
      <c r="D22638" s="1" t="str">
        <f>HYPERLINK("https://rhld.insurance.arkansas.gov/NPILookup?Npi=1962855676","1962855676")</f>
        <v>1962855676</v>
      </c>
      <c r="E22638" t="s">
        <v>22412</v>
      </c>
    </row>
    <row r="22639" spans="1:5" x14ac:dyDescent="0.25">
      <c r="A22639" t="s">
        <v>4</v>
      </c>
      <c r="B22639" t="s">
        <v>4111</v>
      </c>
      <c r="C22639" s="1" t="s">
        <v>23490</v>
      </c>
      <c r="D22639" s="1" t="str">
        <f>HYPERLINK("https://rhld.insurance.arkansas.gov/NPILookup?Npi=1962870618","1962870618")</f>
        <v>1962870618</v>
      </c>
      <c r="E22639" t="s">
        <v>17259</v>
      </c>
    </row>
    <row r="22640" spans="1:5" x14ac:dyDescent="0.25">
      <c r="A22640" t="s">
        <v>4</v>
      </c>
      <c r="B22640" t="s">
        <v>4111</v>
      </c>
      <c r="C22640" s="1" t="s">
        <v>23490</v>
      </c>
      <c r="D22640" s="1" t="str">
        <f>HYPERLINK("https://rhld.insurance.arkansas.gov/NPILookup?Npi=1962909002","1962909002")</f>
        <v>1962909002</v>
      </c>
      <c r="E22640" t="s">
        <v>20651</v>
      </c>
    </row>
    <row r="22641" spans="1:5" x14ac:dyDescent="0.25">
      <c r="A22641" t="s">
        <v>4</v>
      </c>
      <c r="B22641" t="s">
        <v>4111</v>
      </c>
      <c r="C22641" s="1" t="s">
        <v>23490</v>
      </c>
      <c r="D22641" s="1" t="str">
        <f>HYPERLINK("https://rhld.insurance.arkansas.gov/NPILookup?Npi=1962942656","1962942656")</f>
        <v>1962942656</v>
      </c>
      <c r="E22641" t="s">
        <v>17678</v>
      </c>
    </row>
    <row r="22642" spans="1:5" x14ac:dyDescent="0.25">
      <c r="A22642" t="s">
        <v>4</v>
      </c>
      <c r="B22642" t="s">
        <v>4111</v>
      </c>
      <c r="C22642" s="1" t="s">
        <v>23490</v>
      </c>
      <c r="D22642" s="1" t="str">
        <f>HYPERLINK("https://rhld.insurance.arkansas.gov/NPILookup?Npi=1962946848","1962946848")</f>
        <v>1962946848</v>
      </c>
      <c r="E22642" t="s">
        <v>13243</v>
      </c>
    </row>
    <row r="22643" spans="1:5" x14ac:dyDescent="0.25">
      <c r="A22643" t="s">
        <v>4</v>
      </c>
      <c r="B22643" t="s">
        <v>4111</v>
      </c>
      <c r="C22643" s="1" t="s">
        <v>23490</v>
      </c>
      <c r="D22643" s="1" t="str">
        <f>HYPERLINK("https://rhld.insurance.arkansas.gov/NPILookup?Npi=1962948380","1962948380")</f>
        <v>1962948380</v>
      </c>
      <c r="E22643" t="s">
        <v>14294</v>
      </c>
    </row>
    <row r="22644" spans="1:5" x14ac:dyDescent="0.25">
      <c r="A22644" t="s">
        <v>4</v>
      </c>
      <c r="B22644" t="s">
        <v>4111</v>
      </c>
      <c r="C22644" s="1" t="s">
        <v>23490</v>
      </c>
      <c r="D22644" s="1" t="str">
        <f>HYPERLINK("https://rhld.insurance.arkansas.gov/NPILookup?Npi=1962951475","1962951475")</f>
        <v>1962951475</v>
      </c>
      <c r="E22644" t="s">
        <v>22413</v>
      </c>
    </row>
    <row r="22645" spans="1:5" x14ac:dyDescent="0.25">
      <c r="A22645" t="s">
        <v>4</v>
      </c>
      <c r="B22645" t="s">
        <v>4111</v>
      </c>
      <c r="C22645" s="1" t="s">
        <v>23490</v>
      </c>
      <c r="D22645" s="1" t="str">
        <f>HYPERLINK("https://rhld.insurance.arkansas.gov/NPILookup?Npi=1962960237","1962960237")</f>
        <v>1962960237</v>
      </c>
      <c r="E22645" t="s">
        <v>22414</v>
      </c>
    </row>
    <row r="22646" spans="1:5" x14ac:dyDescent="0.25">
      <c r="A22646" t="s">
        <v>4</v>
      </c>
      <c r="B22646" t="s">
        <v>4111</v>
      </c>
      <c r="C22646" s="1" t="s">
        <v>23490</v>
      </c>
      <c r="D22646" s="1" t="str">
        <f>HYPERLINK("https://rhld.insurance.arkansas.gov/NPILookup?Npi=1962965111","1962965111")</f>
        <v>1962965111</v>
      </c>
      <c r="E22646" t="s">
        <v>20652</v>
      </c>
    </row>
    <row r="22647" spans="1:5" x14ac:dyDescent="0.25">
      <c r="A22647" t="s">
        <v>4</v>
      </c>
      <c r="B22647" t="s">
        <v>4111</v>
      </c>
      <c r="C22647" s="1" t="s">
        <v>23490</v>
      </c>
      <c r="D22647" s="1" t="str">
        <f>HYPERLINK("https://rhld.insurance.arkansas.gov/NPILookup?Npi=1962969386","1962969386")</f>
        <v>1962969386</v>
      </c>
      <c r="E22647" t="s">
        <v>18483</v>
      </c>
    </row>
    <row r="22648" spans="1:5" x14ac:dyDescent="0.25">
      <c r="A22648" t="s">
        <v>4</v>
      </c>
      <c r="B22648" t="s">
        <v>4111</v>
      </c>
      <c r="C22648" s="1" t="s">
        <v>23490</v>
      </c>
      <c r="D22648" s="1" t="str">
        <f>HYPERLINK("https://rhld.insurance.arkansas.gov/NPILookup?Npi=1962988253","1962988253")</f>
        <v>1962988253</v>
      </c>
      <c r="E22648" t="s">
        <v>20653</v>
      </c>
    </row>
    <row r="22649" spans="1:5" x14ac:dyDescent="0.25">
      <c r="A22649" t="s">
        <v>4</v>
      </c>
      <c r="B22649" t="s">
        <v>4111</v>
      </c>
      <c r="C22649" s="1" t="s">
        <v>23490</v>
      </c>
      <c r="D22649" s="1" t="str">
        <f>HYPERLINK("https://rhld.insurance.arkansas.gov/NPILookup?Npi=1972003317","1972003317")</f>
        <v>1972003317</v>
      </c>
      <c r="E22649" t="s">
        <v>17679</v>
      </c>
    </row>
    <row r="22650" spans="1:5" x14ac:dyDescent="0.25">
      <c r="A22650" t="s">
        <v>4</v>
      </c>
      <c r="B22650" t="s">
        <v>4111</v>
      </c>
      <c r="C22650" s="1" t="s">
        <v>23490</v>
      </c>
      <c r="D22650" s="1" t="str">
        <f>HYPERLINK("https://rhld.insurance.arkansas.gov/NPILookup?Npi=1972018760","1972018760")</f>
        <v>1972018760</v>
      </c>
      <c r="E22650" t="s">
        <v>20654</v>
      </c>
    </row>
    <row r="22651" spans="1:5" x14ac:dyDescent="0.25">
      <c r="A22651" t="s">
        <v>4</v>
      </c>
      <c r="B22651" t="s">
        <v>4111</v>
      </c>
      <c r="C22651" s="1" t="s">
        <v>8427</v>
      </c>
      <c r="D22651" s="1" t="str">
        <f>HYPERLINK("https://rhld.insurance.arkansas.gov/NPILookup?Npi=1972043024","1972043024")</f>
        <v>1972043024</v>
      </c>
      <c r="E22651" t="s">
        <v>23220</v>
      </c>
    </row>
    <row r="22652" spans="1:5" x14ac:dyDescent="0.25">
      <c r="A22652" t="s">
        <v>4</v>
      </c>
      <c r="B22652" t="s">
        <v>4111</v>
      </c>
      <c r="C22652" s="1" t="s">
        <v>23490</v>
      </c>
      <c r="D22652" s="1" t="str">
        <f>HYPERLINK("https://rhld.insurance.arkansas.gov/NPILookup?Npi=1972043792","1972043792")</f>
        <v>1972043792</v>
      </c>
      <c r="E22652" t="s">
        <v>20655</v>
      </c>
    </row>
    <row r="22653" spans="1:5" x14ac:dyDescent="0.25">
      <c r="A22653" t="s">
        <v>4</v>
      </c>
      <c r="B22653" t="s">
        <v>4111</v>
      </c>
      <c r="C22653" s="1" t="s">
        <v>23490</v>
      </c>
      <c r="D22653" s="1" t="str">
        <f>HYPERLINK("https://rhld.insurance.arkansas.gov/NPILookup?Npi=1972049476","1972049476")</f>
        <v>1972049476</v>
      </c>
      <c r="E22653" t="s">
        <v>13244</v>
      </c>
    </row>
    <row r="22654" spans="1:5" x14ac:dyDescent="0.25">
      <c r="A22654" t="s">
        <v>4</v>
      </c>
      <c r="B22654" t="s">
        <v>4111</v>
      </c>
      <c r="C22654" s="1" t="s">
        <v>23490</v>
      </c>
      <c r="D22654" s="1" t="str">
        <f>HYPERLINK("https://rhld.insurance.arkansas.gov/NPILookup?Npi=1972051126","1972051126")</f>
        <v>1972051126</v>
      </c>
      <c r="E22654" t="s">
        <v>17680</v>
      </c>
    </row>
    <row r="22655" spans="1:5" x14ac:dyDescent="0.25">
      <c r="A22655" t="s">
        <v>4</v>
      </c>
      <c r="B22655" t="s">
        <v>4111</v>
      </c>
      <c r="C22655" s="1" t="s">
        <v>23490</v>
      </c>
      <c r="D22655" s="1" t="str">
        <f>HYPERLINK("https://rhld.insurance.arkansas.gov/NPILookup?Npi=1972071587","1972071587")</f>
        <v>1972071587</v>
      </c>
      <c r="E22655" t="s">
        <v>14295</v>
      </c>
    </row>
    <row r="22656" spans="1:5" x14ac:dyDescent="0.25">
      <c r="A22656" t="s">
        <v>4</v>
      </c>
      <c r="B22656" t="s">
        <v>4111</v>
      </c>
      <c r="C22656" s="1" t="s">
        <v>23490</v>
      </c>
      <c r="D22656" s="1" t="str">
        <f>HYPERLINK("https://rhld.insurance.arkansas.gov/NPILookup?Npi=1972086346","1972086346")</f>
        <v>1972086346</v>
      </c>
      <c r="E22656" t="s">
        <v>14296</v>
      </c>
    </row>
    <row r="22657" spans="1:5" x14ac:dyDescent="0.25">
      <c r="A22657" t="s">
        <v>4</v>
      </c>
      <c r="B22657" t="s">
        <v>4111</v>
      </c>
      <c r="C22657" s="1" t="s">
        <v>23490</v>
      </c>
      <c r="D22657" s="1" t="str">
        <f>HYPERLINK("https://rhld.insurance.arkansas.gov/NPILookup?Npi=1972143907","1972143907")</f>
        <v>1972143907</v>
      </c>
      <c r="E22657" t="s">
        <v>21180</v>
      </c>
    </row>
    <row r="22658" spans="1:5" x14ac:dyDescent="0.25">
      <c r="A22658" t="s">
        <v>4</v>
      </c>
      <c r="B22658" t="s">
        <v>4111</v>
      </c>
      <c r="C22658" s="1" t="s">
        <v>23490</v>
      </c>
      <c r="D22658" s="1" t="str">
        <f>HYPERLINK("https://rhld.insurance.arkansas.gov/NPILookup?Npi=1972157386","1972157386")</f>
        <v>1972157386</v>
      </c>
      <c r="E22658" t="s">
        <v>16287</v>
      </c>
    </row>
    <row r="22659" spans="1:5" x14ac:dyDescent="0.25">
      <c r="A22659" t="s">
        <v>4</v>
      </c>
      <c r="B22659" t="s">
        <v>4111</v>
      </c>
      <c r="C22659" s="1" t="s">
        <v>23490</v>
      </c>
      <c r="D22659" s="1" t="str">
        <f>HYPERLINK("https://rhld.insurance.arkansas.gov/NPILookup?Npi=1972199842","1972199842")</f>
        <v>1972199842</v>
      </c>
      <c r="E22659" t="s">
        <v>22415</v>
      </c>
    </row>
    <row r="22660" spans="1:5" x14ac:dyDescent="0.25">
      <c r="A22660" t="s">
        <v>4</v>
      </c>
      <c r="B22660" t="s">
        <v>4111</v>
      </c>
      <c r="C22660" s="1" t="s">
        <v>23490</v>
      </c>
      <c r="D22660" s="1" t="str">
        <f>HYPERLINK("https://rhld.insurance.arkansas.gov/NPILookup?Npi=1972232593","1972232593")</f>
        <v>1972232593</v>
      </c>
      <c r="E22660" t="s">
        <v>21411</v>
      </c>
    </row>
    <row r="22661" spans="1:5" x14ac:dyDescent="0.25">
      <c r="A22661" t="s">
        <v>4</v>
      </c>
      <c r="B22661" t="s">
        <v>4111</v>
      </c>
      <c r="C22661" s="1" t="s">
        <v>23490</v>
      </c>
      <c r="D22661" s="1" t="str">
        <f>HYPERLINK("https://rhld.insurance.arkansas.gov/NPILookup?Npi=1972508034","1972508034")</f>
        <v>1972508034</v>
      </c>
      <c r="E22661" t="s">
        <v>6018</v>
      </c>
    </row>
    <row r="22662" spans="1:5" x14ac:dyDescent="0.25">
      <c r="A22662" t="s">
        <v>4</v>
      </c>
      <c r="B22662" t="s">
        <v>4111</v>
      </c>
      <c r="C22662" s="1" t="s">
        <v>23490</v>
      </c>
      <c r="D22662" s="1" t="str">
        <f>HYPERLINK("https://rhld.insurance.arkansas.gov/NPILookup?Npi=1972511301","1972511301")</f>
        <v>1972511301</v>
      </c>
      <c r="E22662" t="s">
        <v>6019</v>
      </c>
    </row>
    <row r="22663" spans="1:5" x14ac:dyDescent="0.25">
      <c r="A22663" t="s">
        <v>4</v>
      </c>
      <c r="B22663" t="s">
        <v>4111</v>
      </c>
      <c r="C22663" s="1" t="s">
        <v>8427</v>
      </c>
      <c r="D22663" s="1" t="str">
        <f>HYPERLINK("https://rhld.insurance.arkansas.gov/NPILookup?Npi=1972517308","1972517308")</f>
        <v>1972517308</v>
      </c>
      <c r="E22663" t="s">
        <v>23221</v>
      </c>
    </row>
    <row r="22664" spans="1:5" x14ac:dyDescent="0.25">
      <c r="A22664" t="s">
        <v>4</v>
      </c>
      <c r="B22664" t="s">
        <v>4111</v>
      </c>
      <c r="C22664" s="1" t="s">
        <v>23490</v>
      </c>
      <c r="D22664" s="1" t="str">
        <f>HYPERLINK("https://rhld.insurance.arkansas.gov/NPILookup?Npi=1972533453","1972533453")</f>
        <v>1972533453</v>
      </c>
      <c r="E22664" t="s">
        <v>6020</v>
      </c>
    </row>
    <row r="22665" spans="1:5" x14ac:dyDescent="0.25">
      <c r="A22665" t="s">
        <v>4</v>
      </c>
      <c r="B22665" t="s">
        <v>4111</v>
      </c>
      <c r="C22665" s="1" t="s">
        <v>23490</v>
      </c>
      <c r="D22665" s="1" t="str">
        <f>HYPERLINK("https://rhld.insurance.arkansas.gov/NPILookup?Npi=1972544138","1972544138")</f>
        <v>1972544138</v>
      </c>
      <c r="E22665" t="s">
        <v>22416</v>
      </c>
    </row>
    <row r="22666" spans="1:5" x14ac:dyDescent="0.25">
      <c r="A22666" t="s">
        <v>4</v>
      </c>
      <c r="B22666" t="s">
        <v>4111</v>
      </c>
      <c r="C22666" s="1" t="s">
        <v>23490</v>
      </c>
      <c r="D22666" s="1" t="str">
        <f>HYPERLINK("https://rhld.insurance.arkansas.gov/NPILookup?Npi=1972549079","1972549079")</f>
        <v>1972549079</v>
      </c>
      <c r="E22666" t="s">
        <v>6021</v>
      </c>
    </row>
    <row r="22667" spans="1:5" x14ac:dyDescent="0.25">
      <c r="A22667" t="s">
        <v>4</v>
      </c>
      <c r="B22667" t="s">
        <v>4111</v>
      </c>
      <c r="C22667" s="1" t="s">
        <v>23490</v>
      </c>
      <c r="D22667" s="1" t="str">
        <f>HYPERLINK("https://rhld.insurance.arkansas.gov/NPILookup?Npi=1972553329","1972553329")</f>
        <v>1972553329</v>
      </c>
      <c r="E22667" t="s">
        <v>6022</v>
      </c>
    </row>
    <row r="22668" spans="1:5" x14ac:dyDescent="0.25">
      <c r="A22668" t="s">
        <v>4</v>
      </c>
      <c r="B22668" t="s">
        <v>4111</v>
      </c>
      <c r="C22668" s="1" t="s">
        <v>23490</v>
      </c>
      <c r="D22668" s="1" t="str">
        <f>HYPERLINK("https://rhld.insurance.arkansas.gov/NPILookup?Npi=1972560233","1972560233")</f>
        <v>1972560233</v>
      </c>
      <c r="E22668" t="s">
        <v>6023</v>
      </c>
    </row>
    <row r="22669" spans="1:5" x14ac:dyDescent="0.25">
      <c r="A22669" t="s">
        <v>4</v>
      </c>
      <c r="B22669" t="s">
        <v>4111</v>
      </c>
      <c r="C22669" s="1" t="s">
        <v>23490</v>
      </c>
      <c r="D22669" s="1" t="str">
        <f>HYPERLINK("https://rhld.insurance.arkansas.gov/NPILookup?Npi=1972566784","1972566784")</f>
        <v>1972566784</v>
      </c>
      <c r="E22669" t="s">
        <v>14297</v>
      </c>
    </row>
    <row r="22670" spans="1:5" x14ac:dyDescent="0.25">
      <c r="A22670" t="s">
        <v>4</v>
      </c>
      <c r="B22670" t="s">
        <v>4111</v>
      </c>
      <c r="C22670" s="1" t="s">
        <v>23490</v>
      </c>
      <c r="D22670" s="1" t="str">
        <f>HYPERLINK("https://rhld.insurance.arkansas.gov/NPILookup?Npi=1972569077","1972569077")</f>
        <v>1972569077</v>
      </c>
      <c r="E22670" t="s">
        <v>6024</v>
      </c>
    </row>
    <row r="22671" spans="1:5" x14ac:dyDescent="0.25">
      <c r="A22671" t="s">
        <v>4</v>
      </c>
      <c r="B22671" t="s">
        <v>4111</v>
      </c>
      <c r="C22671" s="1" t="s">
        <v>23490</v>
      </c>
      <c r="D22671" s="1" t="str">
        <f>HYPERLINK("https://rhld.insurance.arkansas.gov/NPILookup?Npi=1972569366","1972569366")</f>
        <v>1972569366</v>
      </c>
      <c r="E22671" t="s">
        <v>6025</v>
      </c>
    </row>
    <row r="22672" spans="1:5" x14ac:dyDescent="0.25">
      <c r="A22672" t="s">
        <v>4</v>
      </c>
      <c r="B22672" t="s">
        <v>4111</v>
      </c>
      <c r="C22672" s="1" t="s">
        <v>23490</v>
      </c>
      <c r="D22672" s="1" t="str">
        <f>HYPERLINK("https://rhld.insurance.arkansas.gov/NPILookup?Npi=1972590537","1972590537")</f>
        <v>1972590537</v>
      </c>
      <c r="E22672" t="s">
        <v>22417</v>
      </c>
    </row>
    <row r="22673" spans="1:5" x14ac:dyDescent="0.25">
      <c r="A22673" t="s">
        <v>4</v>
      </c>
      <c r="B22673" t="s">
        <v>4111</v>
      </c>
      <c r="C22673" s="1" t="s">
        <v>23490</v>
      </c>
      <c r="D22673" s="1" t="str">
        <f>HYPERLINK("https://rhld.insurance.arkansas.gov/NPILookup?Npi=1972611424","1972611424")</f>
        <v>1972611424</v>
      </c>
      <c r="E22673" t="s">
        <v>14298</v>
      </c>
    </row>
    <row r="22674" spans="1:5" x14ac:dyDescent="0.25">
      <c r="A22674" t="s">
        <v>4</v>
      </c>
      <c r="B22674" t="s">
        <v>4111</v>
      </c>
      <c r="C22674" s="1" t="s">
        <v>23490</v>
      </c>
      <c r="D22674" s="1" t="str">
        <f>HYPERLINK("https://rhld.insurance.arkansas.gov/NPILookup?Npi=1972639326","1972639326")</f>
        <v>1972639326</v>
      </c>
      <c r="E22674" t="s">
        <v>17681</v>
      </c>
    </row>
    <row r="22675" spans="1:5" x14ac:dyDescent="0.25">
      <c r="A22675" t="s">
        <v>4</v>
      </c>
      <c r="B22675" t="s">
        <v>4111</v>
      </c>
      <c r="C22675" s="1" t="s">
        <v>23490</v>
      </c>
      <c r="D22675" s="1" t="str">
        <f>HYPERLINK("https://rhld.insurance.arkansas.gov/NPILookup?Npi=1972640951","1972640951")</f>
        <v>1972640951</v>
      </c>
      <c r="E22675" t="s">
        <v>6026</v>
      </c>
    </row>
    <row r="22676" spans="1:5" x14ac:dyDescent="0.25">
      <c r="A22676" t="s">
        <v>4</v>
      </c>
      <c r="B22676" t="s">
        <v>4111</v>
      </c>
      <c r="C22676" s="1" t="s">
        <v>23490</v>
      </c>
      <c r="D22676" s="1" t="str">
        <f>HYPERLINK("https://rhld.insurance.arkansas.gov/NPILookup?Npi=1972678399","1972678399")</f>
        <v>1972678399</v>
      </c>
      <c r="E22676" t="s">
        <v>16288</v>
      </c>
    </row>
    <row r="22677" spans="1:5" x14ac:dyDescent="0.25">
      <c r="A22677" t="s">
        <v>4</v>
      </c>
      <c r="B22677" t="s">
        <v>4111</v>
      </c>
      <c r="C22677" s="1" t="s">
        <v>23490</v>
      </c>
      <c r="D22677" s="1" t="str">
        <f>HYPERLINK("https://rhld.insurance.arkansas.gov/NPILookup?Npi=1972690006","1972690006")</f>
        <v>1972690006</v>
      </c>
      <c r="E22677" t="s">
        <v>22418</v>
      </c>
    </row>
    <row r="22678" spans="1:5" x14ac:dyDescent="0.25">
      <c r="A22678" t="s">
        <v>4</v>
      </c>
      <c r="B22678" t="s">
        <v>4111</v>
      </c>
      <c r="C22678" s="1" t="s">
        <v>23490</v>
      </c>
      <c r="D22678" s="1" t="str">
        <f>HYPERLINK("https://rhld.insurance.arkansas.gov/NPILookup?Npi=1972697415","1972697415")</f>
        <v>1972697415</v>
      </c>
      <c r="E22678" t="s">
        <v>16289</v>
      </c>
    </row>
    <row r="22679" spans="1:5" x14ac:dyDescent="0.25">
      <c r="A22679" t="s">
        <v>4</v>
      </c>
      <c r="B22679" t="s">
        <v>4111</v>
      </c>
      <c r="C22679" s="1" t="s">
        <v>23490</v>
      </c>
      <c r="D22679" s="1" t="str">
        <f>HYPERLINK("https://rhld.insurance.arkansas.gov/NPILookup?Npi=1972698041","1972698041")</f>
        <v>1972698041</v>
      </c>
      <c r="E22679" t="s">
        <v>6027</v>
      </c>
    </row>
    <row r="22680" spans="1:5" x14ac:dyDescent="0.25">
      <c r="A22680" t="s">
        <v>4</v>
      </c>
      <c r="B22680" t="s">
        <v>4111</v>
      </c>
      <c r="C22680" s="1" t="s">
        <v>23490</v>
      </c>
      <c r="D22680" s="1" t="str">
        <f>HYPERLINK("https://rhld.insurance.arkansas.gov/NPILookup?Npi=1972731578","1972731578")</f>
        <v>1972731578</v>
      </c>
      <c r="E22680" t="s">
        <v>6028</v>
      </c>
    </row>
    <row r="22681" spans="1:5" x14ac:dyDescent="0.25">
      <c r="A22681" t="s">
        <v>4</v>
      </c>
      <c r="B22681" t="s">
        <v>4111</v>
      </c>
      <c r="C22681" s="1" t="s">
        <v>23490</v>
      </c>
      <c r="D22681" s="1" t="str">
        <f>HYPERLINK("https://rhld.insurance.arkansas.gov/NPILookup?Npi=1972747228","1972747228")</f>
        <v>1972747228</v>
      </c>
      <c r="E22681" t="s">
        <v>18484</v>
      </c>
    </row>
    <row r="22682" spans="1:5" x14ac:dyDescent="0.25">
      <c r="A22682" t="s">
        <v>4</v>
      </c>
      <c r="B22682" t="s">
        <v>4111</v>
      </c>
      <c r="C22682" s="1" t="s">
        <v>23490</v>
      </c>
      <c r="D22682" s="1" t="str">
        <f>HYPERLINK("https://rhld.insurance.arkansas.gov/NPILookup?Npi=1972751170","1972751170")</f>
        <v>1972751170</v>
      </c>
      <c r="E22682" t="s">
        <v>6029</v>
      </c>
    </row>
    <row r="22683" spans="1:5" x14ac:dyDescent="0.25">
      <c r="A22683" t="s">
        <v>4</v>
      </c>
      <c r="B22683" t="s">
        <v>4111</v>
      </c>
      <c r="C22683" s="1" t="s">
        <v>23490</v>
      </c>
      <c r="D22683" s="1" t="str">
        <f>HYPERLINK("https://rhld.insurance.arkansas.gov/NPILookup?Npi=1972770329","1972770329")</f>
        <v>1972770329</v>
      </c>
      <c r="E22683" t="s">
        <v>6030</v>
      </c>
    </row>
    <row r="22684" spans="1:5" x14ac:dyDescent="0.25">
      <c r="A22684" t="s">
        <v>4</v>
      </c>
      <c r="B22684" t="s">
        <v>4111</v>
      </c>
      <c r="C22684" s="1" t="s">
        <v>23490</v>
      </c>
      <c r="D22684" s="1" t="str">
        <f>HYPERLINK("https://rhld.insurance.arkansas.gov/NPILookup?Npi=1972798965","1972798965")</f>
        <v>1972798965</v>
      </c>
      <c r="E22684" t="s">
        <v>13908</v>
      </c>
    </row>
    <row r="22685" spans="1:5" x14ac:dyDescent="0.25">
      <c r="A22685" t="s">
        <v>4</v>
      </c>
      <c r="B22685" t="s">
        <v>4111</v>
      </c>
      <c r="C22685" s="1" t="s">
        <v>23490</v>
      </c>
      <c r="D22685" s="1" t="str">
        <f>HYPERLINK("https://rhld.insurance.arkansas.gov/NPILookup?Npi=1972806164","1972806164")</f>
        <v>1972806164</v>
      </c>
      <c r="E22685" t="s">
        <v>22419</v>
      </c>
    </row>
    <row r="22686" spans="1:5" x14ac:dyDescent="0.25">
      <c r="A22686" t="s">
        <v>4</v>
      </c>
      <c r="B22686" t="s">
        <v>4111</v>
      </c>
      <c r="C22686" s="1" t="s">
        <v>23490</v>
      </c>
      <c r="D22686" s="1" t="str">
        <f>HYPERLINK("https://rhld.insurance.arkansas.gov/NPILookup?Npi=1972821866","1972821866")</f>
        <v>1972821866</v>
      </c>
      <c r="E22686" t="s">
        <v>11934</v>
      </c>
    </row>
    <row r="22687" spans="1:5" x14ac:dyDescent="0.25">
      <c r="A22687" t="s">
        <v>4</v>
      </c>
      <c r="B22687" t="s">
        <v>4111</v>
      </c>
      <c r="C22687" s="1" t="s">
        <v>23490</v>
      </c>
      <c r="D22687" s="1" t="str">
        <f>HYPERLINK("https://rhld.insurance.arkansas.gov/NPILookup?Npi=1972833143","1972833143")</f>
        <v>1972833143</v>
      </c>
      <c r="E22687" t="s">
        <v>7805</v>
      </c>
    </row>
    <row r="22688" spans="1:5" x14ac:dyDescent="0.25">
      <c r="A22688" t="s">
        <v>4</v>
      </c>
      <c r="B22688" t="s">
        <v>4111</v>
      </c>
      <c r="C22688" s="1" t="s">
        <v>23490</v>
      </c>
      <c r="D22688" s="1" t="str">
        <f>HYPERLINK("https://rhld.insurance.arkansas.gov/NPILookup?Npi=1972839272","1972839272")</f>
        <v>1972839272</v>
      </c>
      <c r="E22688" t="s">
        <v>11935</v>
      </c>
    </row>
    <row r="22689" spans="1:5" x14ac:dyDescent="0.25">
      <c r="A22689" t="s">
        <v>4</v>
      </c>
      <c r="B22689" t="s">
        <v>4111</v>
      </c>
      <c r="C22689" s="1" t="s">
        <v>23490</v>
      </c>
      <c r="D22689" s="1" t="str">
        <f>HYPERLINK("https://rhld.insurance.arkansas.gov/NPILookup?Npi=1972862225","1972862225")</f>
        <v>1972862225</v>
      </c>
      <c r="E22689" t="s">
        <v>11936</v>
      </c>
    </row>
    <row r="22690" spans="1:5" x14ac:dyDescent="0.25">
      <c r="A22690" t="s">
        <v>4</v>
      </c>
      <c r="B22690" t="s">
        <v>4111</v>
      </c>
      <c r="C22690" s="1" t="s">
        <v>23490</v>
      </c>
      <c r="D22690" s="1" t="str">
        <f>HYPERLINK("https://rhld.insurance.arkansas.gov/NPILookup?Npi=1972874584","1972874584")</f>
        <v>1972874584</v>
      </c>
      <c r="E22690" t="s">
        <v>16290</v>
      </c>
    </row>
    <row r="22691" spans="1:5" x14ac:dyDescent="0.25">
      <c r="A22691" t="s">
        <v>4</v>
      </c>
      <c r="B22691" t="s">
        <v>4111</v>
      </c>
      <c r="C22691" s="1" t="s">
        <v>23490</v>
      </c>
      <c r="D22691" s="1" t="str">
        <f>HYPERLINK("https://rhld.insurance.arkansas.gov/NPILookup?Npi=1972889061","1972889061")</f>
        <v>1972889061</v>
      </c>
      <c r="E22691" t="s">
        <v>19042</v>
      </c>
    </row>
    <row r="22692" spans="1:5" x14ac:dyDescent="0.25">
      <c r="A22692" t="s">
        <v>4</v>
      </c>
      <c r="B22692" t="s">
        <v>4111</v>
      </c>
      <c r="C22692" s="1" t="s">
        <v>23490</v>
      </c>
      <c r="D22692" s="1" t="str">
        <f>HYPERLINK("https://rhld.insurance.arkansas.gov/NPILookup?Npi=1972896686","1972896686")</f>
        <v>1972896686</v>
      </c>
      <c r="E22692" t="s">
        <v>14299</v>
      </c>
    </row>
    <row r="22693" spans="1:5" x14ac:dyDescent="0.25">
      <c r="A22693" t="s">
        <v>4</v>
      </c>
      <c r="B22693" t="s">
        <v>4111</v>
      </c>
      <c r="C22693" s="1" t="s">
        <v>23490</v>
      </c>
      <c r="D22693" s="1" t="str">
        <f>HYPERLINK("https://rhld.insurance.arkansas.gov/NPILookup?Npi=1972899052","1972899052")</f>
        <v>1972899052</v>
      </c>
      <c r="E22693" t="s">
        <v>11937</v>
      </c>
    </row>
    <row r="22694" spans="1:5" x14ac:dyDescent="0.25">
      <c r="A22694" t="s">
        <v>4</v>
      </c>
      <c r="B22694" t="s">
        <v>4111</v>
      </c>
      <c r="C22694" s="1" t="s">
        <v>8427</v>
      </c>
      <c r="D22694" s="1" t="str">
        <f>HYPERLINK("https://rhld.insurance.arkansas.gov/NPILookup?Npi=1972929511","1972929511")</f>
        <v>1972929511</v>
      </c>
      <c r="E22694" t="s">
        <v>23222</v>
      </c>
    </row>
    <row r="22695" spans="1:5" x14ac:dyDescent="0.25">
      <c r="A22695" t="s">
        <v>4</v>
      </c>
      <c r="B22695" t="s">
        <v>4111</v>
      </c>
      <c r="C22695" s="1" t="s">
        <v>23490</v>
      </c>
      <c r="D22695" s="1" t="str">
        <f>HYPERLINK("https://rhld.insurance.arkansas.gov/NPILookup?Npi=1972939304","1972939304")</f>
        <v>1972939304</v>
      </c>
      <c r="E22695" t="s">
        <v>17682</v>
      </c>
    </row>
    <row r="22696" spans="1:5" x14ac:dyDescent="0.25">
      <c r="A22696" t="s">
        <v>4</v>
      </c>
      <c r="B22696" t="s">
        <v>4111</v>
      </c>
      <c r="C22696" s="1" t="s">
        <v>23490</v>
      </c>
      <c r="D22696" s="1" t="str">
        <f>HYPERLINK("https://rhld.insurance.arkansas.gov/NPILookup?Npi=1972947034","1972947034")</f>
        <v>1972947034</v>
      </c>
      <c r="E22696" t="s">
        <v>6031</v>
      </c>
    </row>
    <row r="22697" spans="1:5" x14ac:dyDescent="0.25">
      <c r="A22697" t="s">
        <v>4</v>
      </c>
      <c r="B22697" t="s">
        <v>4111</v>
      </c>
      <c r="C22697" s="1" t="s">
        <v>23490</v>
      </c>
      <c r="D22697" s="1" t="str">
        <f>HYPERLINK("https://rhld.insurance.arkansas.gov/NPILookup?Npi=1972991842","1972991842")</f>
        <v>1972991842</v>
      </c>
      <c r="E22697" t="s">
        <v>20656</v>
      </c>
    </row>
    <row r="22698" spans="1:5" x14ac:dyDescent="0.25">
      <c r="A22698" t="s">
        <v>4</v>
      </c>
      <c r="B22698" t="s">
        <v>4111</v>
      </c>
      <c r="C22698" s="1" t="s">
        <v>23490</v>
      </c>
      <c r="D22698" s="1" t="str">
        <f>HYPERLINK("https://rhld.insurance.arkansas.gov/NPILookup?Npi=1982011235","1982011235")</f>
        <v>1982011235</v>
      </c>
      <c r="E22698" t="s">
        <v>20657</v>
      </c>
    </row>
    <row r="22699" spans="1:5" x14ac:dyDescent="0.25">
      <c r="A22699" t="s">
        <v>4</v>
      </c>
      <c r="B22699" t="s">
        <v>4111</v>
      </c>
      <c r="C22699" s="1" t="s">
        <v>23490</v>
      </c>
      <c r="D22699" s="1" t="str">
        <f>HYPERLINK("https://rhld.insurance.arkansas.gov/NPILookup?Npi=1982031514","1982031514")</f>
        <v>1982031514</v>
      </c>
      <c r="E22699" t="s">
        <v>6032</v>
      </c>
    </row>
    <row r="22700" spans="1:5" x14ac:dyDescent="0.25">
      <c r="A22700" t="s">
        <v>4</v>
      </c>
      <c r="B22700" t="s">
        <v>4111</v>
      </c>
      <c r="C22700" s="1" t="s">
        <v>23490</v>
      </c>
      <c r="D22700" s="1" t="str">
        <f>HYPERLINK("https://rhld.insurance.arkansas.gov/NPILookup?Npi=1982045803","1982045803")</f>
        <v>1982045803</v>
      </c>
      <c r="E22700" t="s">
        <v>11938</v>
      </c>
    </row>
    <row r="22701" spans="1:5" x14ac:dyDescent="0.25">
      <c r="A22701" t="s">
        <v>4</v>
      </c>
      <c r="B22701" t="s">
        <v>4111</v>
      </c>
      <c r="C22701" s="1" t="s">
        <v>23490</v>
      </c>
      <c r="D22701" s="1" t="str">
        <f>HYPERLINK("https://rhld.insurance.arkansas.gov/NPILookup?Npi=1982055828","1982055828")</f>
        <v>1982055828</v>
      </c>
      <c r="E22701" t="s">
        <v>14300</v>
      </c>
    </row>
    <row r="22702" spans="1:5" x14ac:dyDescent="0.25">
      <c r="A22702" t="s">
        <v>4</v>
      </c>
      <c r="B22702" t="s">
        <v>4111</v>
      </c>
      <c r="C22702" s="1" t="s">
        <v>23490</v>
      </c>
      <c r="D22702" s="1" t="str">
        <f>HYPERLINK("https://rhld.insurance.arkansas.gov/NPILookup?Npi=1982058723","1982058723")</f>
        <v>1982058723</v>
      </c>
      <c r="E22702" t="s">
        <v>16291</v>
      </c>
    </row>
    <row r="22703" spans="1:5" x14ac:dyDescent="0.25">
      <c r="A22703" t="s">
        <v>4</v>
      </c>
      <c r="B22703" t="s">
        <v>4111</v>
      </c>
      <c r="C22703" s="1" t="s">
        <v>23490</v>
      </c>
      <c r="D22703" s="1" t="str">
        <f>HYPERLINK("https://rhld.insurance.arkansas.gov/NPILookup?Npi=1982058780","1982058780")</f>
        <v>1982058780</v>
      </c>
      <c r="E22703" t="s">
        <v>14301</v>
      </c>
    </row>
    <row r="22704" spans="1:5" x14ac:dyDescent="0.25">
      <c r="A22704" t="s">
        <v>4</v>
      </c>
      <c r="B22704" t="s">
        <v>4111</v>
      </c>
      <c r="C22704" s="1" t="s">
        <v>23490</v>
      </c>
      <c r="D22704" s="1" t="str">
        <f>HYPERLINK("https://rhld.insurance.arkansas.gov/NPILookup?Npi=1982084646","1982084646")</f>
        <v>1982084646</v>
      </c>
      <c r="E22704" t="s">
        <v>14302</v>
      </c>
    </row>
    <row r="22705" spans="1:5" x14ac:dyDescent="0.25">
      <c r="A22705" t="s">
        <v>4</v>
      </c>
      <c r="B22705" t="s">
        <v>4111</v>
      </c>
      <c r="C22705" s="1" t="s">
        <v>23490</v>
      </c>
      <c r="D22705" s="1" t="str">
        <f>HYPERLINK("https://rhld.insurance.arkansas.gov/NPILookup?Npi=1982138533","1982138533")</f>
        <v>1982138533</v>
      </c>
      <c r="E22705" t="s">
        <v>11939</v>
      </c>
    </row>
    <row r="22706" spans="1:5" x14ac:dyDescent="0.25">
      <c r="A22706" t="s">
        <v>4</v>
      </c>
      <c r="B22706" t="s">
        <v>4111</v>
      </c>
      <c r="C22706" s="1" t="s">
        <v>23490</v>
      </c>
      <c r="D22706" s="1" t="str">
        <f>HYPERLINK("https://rhld.insurance.arkansas.gov/NPILookup?Npi=1982145660","1982145660")</f>
        <v>1982145660</v>
      </c>
      <c r="E22706" t="s">
        <v>14303</v>
      </c>
    </row>
    <row r="22707" spans="1:5" x14ac:dyDescent="0.25">
      <c r="A22707" t="s">
        <v>4</v>
      </c>
      <c r="B22707" t="s">
        <v>4111</v>
      </c>
      <c r="C22707" s="1" t="s">
        <v>23490</v>
      </c>
      <c r="D22707" s="1" t="str">
        <f>HYPERLINK("https://rhld.insurance.arkansas.gov/NPILookup?Npi=1982189007","1982189007")</f>
        <v>1982189007</v>
      </c>
      <c r="E22707" t="s">
        <v>18485</v>
      </c>
    </row>
    <row r="22708" spans="1:5" x14ac:dyDescent="0.25">
      <c r="A22708" t="s">
        <v>4</v>
      </c>
      <c r="B22708" t="s">
        <v>4111</v>
      </c>
      <c r="C22708" s="1" t="s">
        <v>23490</v>
      </c>
      <c r="D22708" s="1" t="str">
        <f>HYPERLINK("https://rhld.insurance.arkansas.gov/NPILookup?Npi=1982194601","1982194601")</f>
        <v>1982194601</v>
      </c>
      <c r="E22708" t="s">
        <v>17683</v>
      </c>
    </row>
    <row r="22709" spans="1:5" x14ac:dyDescent="0.25">
      <c r="A22709" t="s">
        <v>4</v>
      </c>
      <c r="B22709" t="s">
        <v>4111</v>
      </c>
      <c r="C22709" s="1" t="s">
        <v>23490</v>
      </c>
      <c r="D22709" s="1" t="str">
        <f>HYPERLINK("https://rhld.insurance.arkansas.gov/NPILookup?Npi=1982214367","1982214367")</f>
        <v>1982214367</v>
      </c>
      <c r="E22709" t="s">
        <v>23223</v>
      </c>
    </row>
    <row r="22710" spans="1:5" x14ac:dyDescent="0.25">
      <c r="A22710" t="s">
        <v>4</v>
      </c>
      <c r="B22710" t="s">
        <v>4111</v>
      </c>
      <c r="C22710" s="1" t="s">
        <v>23490</v>
      </c>
      <c r="D22710" s="1" t="str">
        <f>HYPERLINK("https://rhld.insurance.arkansas.gov/NPILookup?Npi=1982218830","1982218830")</f>
        <v>1982218830</v>
      </c>
      <c r="E22710" t="s">
        <v>22420</v>
      </c>
    </row>
    <row r="22711" spans="1:5" x14ac:dyDescent="0.25">
      <c r="A22711" t="s">
        <v>4</v>
      </c>
      <c r="B22711" t="s">
        <v>4111</v>
      </c>
      <c r="C22711" s="1" t="s">
        <v>23490</v>
      </c>
      <c r="D22711" s="1" t="str">
        <f>HYPERLINK("https://rhld.insurance.arkansas.gov/NPILookup?Npi=1982229787","1982229787")</f>
        <v>1982229787</v>
      </c>
      <c r="E22711" t="s">
        <v>17684</v>
      </c>
    </row>
    <row r="22712" spans="1:5" x14ac:dyDescent="0.25">
      <c r="A22712" t="s">
        <v>4</v>
      </c>
      <c r="B22712" t="s">
        <v>4111</v>
      </c>
      <c r="C22712" s="1" t="s">
        <v>23490</v>
      </c>
      <c r="D22712" s="1" t="str">
        <f>HYPERLINK("https://rhld.insurance.arkansas.gov/NPILookup?Npi=1982241246","1982241246")</f>
        <v>1982241246</v>
      </c>
      <c r="E22712" t="s">
        <v>21427</v>
      </c>
    </row>
    <row r="22713" spans="1:5" x14ac:dyDescent="0.25">
      <c r="A22713" t="s">
        <v>4</v>
      </c>
      <c r="B22713" t="s">
        <v>4111</v>
      </c>
      <c r="C22713" s="1" t="s">
        <v>8427</v>
      </c>
      <c r="D22713" s="1" t="str">
        <f>HYPERLINK("https://rhld.insurance.arkansas.gov/NPILookup?Npi=1982258794","1982258794")</f>
        <v>1982258794</v>
      </c>
      <c r="E22713" t="s">
        <v>23224</v>
      </c>
    </row>
    <row r="22714" spans="1:5" x14ac:dyDescent="0.25">
      <c r="A22714" t="s">
        <v>4</v>
      </c>
      <c r="B22714" t="s">
        <v>4111</v>
      </c>
      <c r="C22714" s="1" t="s">
        <v>23490</v>
      </c>
      <c r="D22714" s="1" t="str">
        <f>HYPERLINK("https://rhld.insurance.arkansas.gov/NPILookup?Npi=1982261251","1982261251")</f>
        <v>1982261251</v>
      </c>
      <c r="E22714" t="s">
        <v>16292</v>
      </c>
    </row>
    <row r="22715" spans="1:5" x14ac:dyDescent="0.25">
      <c r="A22715" t="s">
        <v>4</v>
      </c>
      <c r="B22715" t="s">
        <v>4111</v>
      </c>
      <c r="C22715" s="1" t="s">
        <v>23490</v>
      </c>
      <c r="D22715" s="1" t="str">
        <f>HYPERLINK("https://rhld.insurance.arkansas.gov/NPILookup?Npi=1982288494","1982288494")</f>
        <v>1982288494</v>
      </c>
      <c r="E22715" t="s">
        <v>19043</v>
      </c>
    </row>
    <row r="22716" spans="1:5" x14ac:dyDescent="0.25">
      <c r="A22716" t="s">
        <v>4</v>
      </c>
      <c r="B22716" t="s">
        <v>4111</v>
      </c>
      <c r="C22716" s="1" t="s">
        <v>23490</v>
      </c>
      <c r="D22716" s="1" t="str">
        <f>HYPERLINK("https://rhld.insurance.arkansas.gov/NPILookup?Npi=1982297560","1982297560")</f>
        <v>1982297560</v>
      </c>
      <c r="E22716" t="s">
        <v>22421</v>
      </c>
    </row>
    <row r="22717" spans="1:5" x14ac:dyDescent="0.25">
      <c r="A22717" t="s">
        <v>4</v>
      </c>
      <c r="B22717" t="s">
        <v>4111</v>
      </c>
      <c r="C22717" s="1" t="s">
        <v>23490</v>
      </c>
      <c r="D22717" s="1" t="str">
        <f>HYPERLINK("https://rhld.insurance.arkansas.gov/NPILookup?Npi=1982605960","1982605960")</f>
        <v>1982605960</v>
      </c>
      <c r="E22717" t="s">
        <v>22422</v>
      </c>
    </row>
    <row r="22718" spans="1:5" x14ac:dyDescent="0.25">
      <c r="A22718" t="s">
        <v>4</v>
      </c>
      <c r="B22718" t="s">
        <v>4111</v>
      </c>
      <c r="C22718" s="1" t="s">
        <v>23490</v>
      </c>
      <c r="D22718" s="1" t="str">
        <f>HYPERLINK("https://rhld.insurance.arkansas.gov/NPILookup?Npi=1982616421","1982616421")</f>
        <v>1982616421</v>
      </c>
      <c r="E22718" t="s">
        <v>6033</v>
      </c>
    </row>
    <row r="22719" spans="1:5" x14ac:dyDescent="0.25">
      <c r="A22719" t="s">
        <v>4</v>
      </c>
      <c r="B22719" t="s">
        <v>4111</v>
      </c>
      <c r="C22719" s="1" t="s">
        <v>23490</v>
      </c>
      <c r="D22719" s="1" t="str">
        <f>HYPERLINK("https://rhld.insurance.arkansas.gov/NPILookup?Npi=1982630778","1982630778")</f>
        <v>1982630778</v>
      </c>
      <c r="E22719" t="s">
        <v>20658</v>
      </c>
    </row>
    <row r="22720" spans="1:5" x14ac:dyDescent="0.25">
      <c r="A22720" t="s">
        <v>4</v>
      </c>
      <c r="B22720" t="s">
        <v>4111</v>
      </c>
      <c r="C22720" s="1" t="s">
        <v>23490</v>
      </c>
      <c r="D22720" s="1" t="str">
        <f>HYPERLINK("https://rhld.insurance.arkansas.gov/NPILookup?Npi=1982632360","1982632360")</f>
        <v>1982632360</v>
      </c>
      <c r="E22720" t="s">
        <v>6034</v>
      </c>
    </row>
    <row r="22721" spans="1:5" x14ac:dyDescent="0.25">
      <c r="A22721" t="s">
        <v>4</v>
      </c>
      <c r="B22721" t="s">
        <v>4111</v>
      </c>
      <c r="C22721" s="1" t="s">
        <v>23490</v>
      </c>
      <c r="D22721" s="1" t="str">
        <f>HYPERLINK("https://rhld.insurance.arkansas.gov/NPILookup?Npi=1982634390","1982634390")</f>
        <v>1982634390</v>
      </c>
      <c r="E22721" t="s">
        <v>6035</v>
      </c>
    </row>
    <row r="22722" spans="1:5" x14ac:dyDescent="0.25">
      <c r="A22722" t="s">
        <v>4</v>
      </c>
      <c r="B22722" t="s">
        <v>4111</v>
      </c>
      <c r="C22722" s="1" t="s">
        <v>23490</v>
      </c>
      <c r="D22722" s="1" t="str">
        <f>HYPERLINK("https://rhld.insurance.arkansas.gov/NPILookup?Npi=1982653895","1982653895")</f>
        <v>1982653895</v>
      </c>
      <c r="E22722" t="s">
        <v>6036</v>
      </c>
    </row>
    <row r="22723" spans="1:5" x14ac:dyDescent="0.25">
      <c r="A22723" t="s">
        <v>4</v>
      </c>
      <c r="B22723" t="s">
        <v>4111</v>
      </c>
      <c r="C22723" s="1" t="s">
        <v>23490</v>
      </c>
      <c r="D22723" s="1" t="str">
        <f>HYPERLINK("https://rhld.insurance.arkansas.gov/NPILookup?Npi=1982677928","1982677928")</f>
        <v>1982677928</v>
      </c>
      <c r="E22723" t="s">
        <v>16293</v>
      </c>
    </row>
    <row r="22724" spans="1:5" x14ac:dyDescent="0.25">
      <c r="A22724" t="s">
        <v>4</v>
      </c>
      <c r="B22724" t="s">
        <v>4111</v>
      </c>
      <c r="C22724" s="1" t="s">
        <v>23490</v>
      </c>
      <c r="D22724" s="1" t="str">
        <f>HYPERLINK("https://rhld.insurance.arkansas.gov/NPILookup?Npi=1982701140","1982701140")</f>
        <v>1982701140</v>
      </c>
      <c r="E22724" t="s">
        <v>21181</v>
      </c>
    </row>
    <row r="22725" spans="1:5" x14ac:dyDescent="0.25">
      <c r="A22725" t="s">
        <v>4</v>
      </c>
      <c r="B22725" t="s">
        <v>4111</v>
      </c>
      <c r="C22725" s="1" t="s">
        <v>23490</v>
      </c>
      <c r="D22725" s="1" t="str">
        <f>HYPERLINK("https://rhld.insurance.arkansas.gov/NPILookup?Npi=1982703609","1982703609")</f>
        <v>1982703609</v>
      </c>
      <c r="E22725" t="s">
        <v>6038</v>
      </c>
    </row>
    <row r="22726" spans="1:5" x14ac:dyDescent="0.25">
      <c r="A22726" t="s">
        <v>4</v>
      </c>
      <c r="B22726" t="s">
        <v>4111</v>
      </c>
      <c r="C22726" s="1" t="s">
        <v>23490</v>
      </c>
      <c r="D22726" s="1" t="str">
        <f>HYPERLINK("https://rhld.insurance.arkansas.gov/NPILookup?Npi=1982712907","1982712907")</f>
        <v>1982712907</v>
      </c>
      <c r="E22726" t="s">
        <v>6039</v>
      </c>
    </row>
    <row r="22727" spans="1:5" x14ac:dyDescent="0.25">
      <c r="A22727" t="s">
        <v>4</v>
      </c>
      <c r="B22727" t="s">
        <v>4111</v>
      </c>
      <c r="C22727" s="1" t="s">
        <v>23490</v>
      </c>
      <c r="D22727" s="1" t="str">
        <f>HYPERLINK("https://rhld.insurance.arkansas.gov/NPILookup?Npi=1982731709","1982731709")</f>
        <v>1982731709</v>
      </c>
      <c r="E22727" t="s">
        <v>14304</v>
      </c>
    </row>
    <row r="22728" spans="1:5" x14ac:dyDescent="0.25">
      <c r="A22728" t="s">
        <v>4</v>
      </c>
      <c r="B22728" t="s">
        <v>4111</v>
      </c>
      <c r="C22728" s="1" t="s">
        <v>23490</v>
      </c>
      <c r="D22728" s="1" t="str">
        <f>HYPERLINK("https://rhld.insurance.arkansas.gov/NPILookup?Npi=1982734950","1982734950")</f>
        <v>1982734950</v>
      </c>
      <c r="E22728" t="s">
        <v>14305</v>
      </c>
    </row>
    <row r="22729" spans="1:5" x14ac:dyDescent="0.25">
      <c r="A22729" t="s">
        <v>4</v>
      </c>
      <c r="B22729" t="s">
        <v>4111</v>
      </c>
      <c r="C22729" s="1" t="s">
        <v>23490</v>
      </c>
      <c r="D22729" s="1" t="str">
        <f>HYPERLINK("https://rhld.insurance.arkansas.gov/NPILookup?Npi=1982738456","1982738456")</f>
        <v>1982738456</v>
      </c>
      <c r="E22729" t="s">
        <v>6040</v>
      </c>
    </row>
    <row r="22730" spans="1:5" x14ac:dyDescent="0.25">
      <c r="A22730" t="s">
        <v>4</v>
      </c>
      <c r="B22730" t="s">
        <v>4111</v>
      </c>
      <c r="C22730" s="1" t="s">
        <v>23490</v>
      </c>
      <c r="D22730" s="1" t="str">
        <f>HYPERLINK("https://rhld.insurance.arkansas.gov/NPILookup?Npi=1982751574","1982751574")</f>
        <v>1982751574</v>
      </c>
      <c r="E22730" t="s">
        <v>11940</v>
      </c>
    </row>
    <row r="22731" spans="1:5" x14ac:dyDescent="0.25">
      <c r="A22731" t="s">
        <v>4</v>
      </c>
      <c r="B22731" t="s">
        <v>4111</v>
      </c>
      <c r="C22731" s="1" t="s">
        <v>23490</v>
      </c>
      <c r="D22731" s="1" t="str">
        <f>HYPERLINK("https://rhld.insurance.arkansas.gov/NPILookup?Npi=1982753554","1982753554")</f>
        <v>1982753554</v>
      </c>
      <c r="E22731" t="s">
        <v>22423</v>
      </c>
    </row>
    <row r="22732" spans="1:5" x14ac:dyDescent="0.25">
      <c r="A22732" t="s">
        <v>4</v>
      </c>
      <c r="B22732" t="s">
        <v>4111</v>
      </c>
      <c r="C22732" s="1" t="s">
        <v>23490</v>
      </c>
      <c r="D22732" s="1" t="str">
        <f>HYPERLINK("https://rhld.insurance.arkansas.gov/NPILookup?Npi=1982774576","1982774576")</f>
        <v>1982774576</v>
      </c>
      <c r="E22732" t="s">
        <v>9194</v>
      </c>
    </row>
    <row r="22733" spans="1:5" x14ac:dyDescent="0.25">
      <c r="A22733" t="s">
        <v>4</v>
      </c>
      <c r="B22733" t="s">
        <v>4111</v>
      </c>
      <c r="C22733" s="1" t="s">
        <v>23490</v>
      </c>
      <c r="D22733" s="1" t="str">
        <f>HYPERLINK("https://rhld.insurance.arkansas.gov/NPILookup?Npi=1982776936","1982776936")</f>
        <v>1982776936</v>
      </c>
      <c r="E22733" t="s">
        <v>6041</v>
      </c>
    </row>
    <row r="22734" spans="1:5" x14ac:dyDescent="0.25">
      <c r="A22734" t="s">
        <v>4</v>
      </c>
      <c r="B22734" t="s">
        <v>4111</v>
      </c>
      <c r="C22734" s="1" t="s">
        <v>23490</v>
      </c>
      <c r="D22734" s="1" t="str">
        <f>HYPERLINK("https://rhld.insurance.arkansas.gov/NPILookup?Npi=1982782157","1982782157")</f>
        <v>1982782157</v>
      </c>
      <c r="E22734" t="s">
        <v>6042</v>
      </c>
    </row>
    <row r="22735" spans="1:5" x14ac:dyDescent="0.25">
      <c r="A22735" t="s">
        <v>4</v>
      </c>
      <c r="B22735" t="s">
        <v>4111</v>
      </c>
      <c r="C22735" s="1" t="s">
        <v>23490</v>
      </c>
      <c r="D22735" s="1" t="str">
        <f>HYPERLINK("https://rhld.insurance.arkansas.gov/NPILookup?Npi=1982794558","1982794558")</f>
        <v>1982794558</v>
      </c>
      <c r="E22735" t="s">
        <v>6043</v>
      </c>
    </row>
    <row r="22736" spans="1:5" x14ac:dyDescent="0.25">
      <c r="A22736" t="s">
        <v>4</v>
      </c>
      <c r="B22736" t="s">
        <v>4111</v>
      </c>
      <c r="C22736" s="1" t="s">
        <v>23490</v>
      </c>
      <c r="D22736" s="1" t="str">
        <f>HYPERLINK("https://rhld.insurance.arkansas.gov/NPILookup?Npi=1982795290","1982795290")</f>
        <v>1982795290</v>
      </c>
      <c r="E22736" t="s">
        <v>6044</v>
      </c>
    </row>
    <row r="22737" spans="1:5" x14ac:dyDescent="0.25">
      <c r="A22737" t="s">
        <v>4</v>
      </c>
      <c r="B22737" t="s">
        <v>4111</v>
      </c>
      <c r="C22737" s="1" t="s">
        <v>23490</v>
      </c>
      <c r="D22737" s="1" t="str">
        <f>HYPERLINK("https://rhld.insurance.arkansas.gov/NPILookup?Npi=1982799904","1982799904")</f>
        <v>1982799904</v>
      </c>
      <c r="E22737" t="s">
        <v>6045</v>
      </c>
    </row>
    <row r="22738" spans="1:5" x14ac:dyDescent="0.25">
      <c r="A22738" t="s">
        <v>4</v>
      </c>
      <c r="B22738" t="s">
        <v>4111</v>
      </c>
      <c r="C22738" s="1" t="s">
        <v>23490</v>
      </c>
      <c r="D22738" s="1" t="str">
        <f>HYPERLINK("https://rhld.insurance.arkansas.gov/NPILookup?Npi=1982822466","1982822466")</f>
        <v>1982822466</v>
      </c>
      <c r="E22738" t="s">
        <v>6046</v>
      </c>
    </row>
    <row r="22739" spans="1:5" x14ac:dyDescent="0.25">
      <c r="A22739" t="s">
        <v>4</v>
      </c>
      <c r="B22739" t="s">
        <v>4111</v>
      </c>
      <c r="C22739" s="1" t="s">
        <v>23490</v>
      </c>
      <c r="D22739" s="1" t="str">
        <f>HYPERLINK("https://rhld.insurance.arkansas.gov/NPILookup?Npi=1982853479","1982853479")</f>
        <v>1982853479</v>
      </c>
      <c r="E22739" t="s">
        <v>6047</v>
      </c>
    </row>
    <row r="22740" spans="1:5" x14ac:dyDescent="0.25">
      <c r="A22740" t="s">
        <v>4</v>
      </c>
      <c r="B22740" t="s">
        <v>4111</v>
      </c>
      <c r="C22740" s="1" t="s">
        <v>23490</v>
      </c>
      <c r="D22740" s="1" t="str">
        <f>HYPERLINK("https://rhld.insurance.arkansas.gov/NPILookup?Npi=1982855979","1982855979")</f>
        <v>1982855979</v>
      </c>
      <c r="E22740" t="s">
        <v>6048</v>
      </c>
    </row>
    <row r="22741" spans="1:5" x14ac:dyDescent="0.25">
      <c r="A22741" t="s">
        <v>4</v>
      </c>
      <c r="B22741" t="s">
        <v>4111</v>
      </c>
      <c r="C22741" s="1" t="s">
        <v>23490</v>
      </c>
      <c r="D22741" s="1" t="str">
        <f>HYPERLINK("https://rhld.insurance.arkansas.gov/NPILookup?Npi=1982856142","1982856142")</f>
        <v>1982856142</v>
      </c>
      <c r="E22741" t="s">
        <v>6049</v>
      </c>
    </row>
    <row r="22742" spans="1:5" x14ac:dyDescent="0.25">
      <c r="A22742" t="s">
        <v>4</v>
      </c>
      <c r="B22742" t="s">
        <v>4111</v>
      </c>
      <c r="C22742" s="1" t="s">
        <v>23490</v>
      </c>
      <c r="D22742" s="1" t="str">
        <f>HYPERLINK("https://rhld.insurance.arkansas.gov/NPILookup?Npi=1982857934","1982857934")</f>
        <v>1982857934</v>
      </c>
      <c r="E22742" t="s">
        <v>6050</v>
      </c>
    </row>
    <row r="22743" spans="1:5" x14ac:dyDescent="0.25">
      <c r="A22743" t="s">
        <v>4</v>
      </c>
      <c r="B22743" t="s">
        <v>4111</v>
      </c>
      <c r="C22743" s="1" t="s">
        <v>23490</v>
      </c>
      <c r="D22743" s="1" t="str">
        <f>HYPERLINK("https://rhld.insurance.arkansas.gov/NPILookup?Npi=1982890083","1982890083")</f>
        <v>1982890083</v>
      </c>
      <c r="E22743" t="s">
        <v>6051</v>
      </c>
    </row>
    <row r="22744" spans="1:5" x14ac:dyDescent="0.25">
      <c r="A22744" t="s">
        <v>4</v>
      </c>
      <c r="B22744" t="s">
        <v>4111</v>
      </c>
      <c r="C22744" s="1" t="s">
        <v>23490</v>
      </c>
      <c r="D22744" s="1" t="str">
        <f>HYPERLINK("https://rhld.insurance.arkansas.gov/NPILookup?Npi=1982915419","1982915419")</f>
        <v>1982915419</v>
      </c>
      <c r="E22744" t="s">
        <v>20659</v>
      </c>
    </row>
    <row r="22745" spans="1:5" x14ac:dyDescent="0.25">
      <c r="A22745" t="s">
        <v>4</v>
      </c>
      <c r="B22745" t="s">
        <v>4111</v>
      </c>
      <c r="C22745" s="1" t="s">
        <v>23490</v>
      </c>
      <c r="D22745" s="1" t="str">
        <f>HYPERLINK("https://rhld.insurance.arkansas.gov/NPILookup?Npi=1982922035","1982922035")</f>
        <v>1982922035</v>
      </c>
      <c r="E22745" t="s">
        <v>23225</v>
      </c>
    </row>
    <row r="22746" spans="1:5" x14ac:dyDescent="0.25">
      <c r="A22746" t="s">
        <v>4</v>
      </c>
      <c r="B22746" t="s">
        <v>4111</v>
      </c>
      <c r="C22746" s="1" t="s">
        <v>23490</v>
      </c>
      <c r="D22746" s="1" t="str">
        <f>HYPERLINK("https://rhld.insurance.arkansas.gov/NPILookup?Npi=1982926671","1982926671")</f>
        <v>1982926671</v>
      </c>
      <c r="E22746" t="s">
        <v>22424</v>
      </c>
    </row>
    <row r="22747" spans="1:5" x14ac:dyDescent="0.25">
      <c r="A22747" t="s">
        <v>4</v>
      </c>
      <c r="B22747" t="s">
        <v>4111</v>
      </c>
      <c r="C22747" s="1" t="s">
        <v>23490</v>
      </c>
      <c r="D22747" s="1" t="str">
        <f>HYPERLINK("https://rhld.insurance.arkansas.gov/NPILookup?Npi=1982926978","1982926978")</f>
        <v>1982926978</v>
      </c>
      <c r="E22747" t="s">
        <v>11941</v>
      </c>
    </row>
    <row r="22748" spans="1:5" x14ac:dyDescent="0.25">
      <c r="A22748" t="s">
        <v>4</v>
      </c>
      <c r="B22748" t="s">
        <v>4111</v>
      </c>
      <c r="C22748" s="1" t="s">
        <v>23490</v>
      </c>
      <c r="D22748" s="1" t="str">
        <f>HYPERLINK("https://rhld.insurance.arkansas.gov/NPILookup?Npi=1982938205","1982938205")</f>
        <v>1982938205</v>
      </c>
      <c r="E22748" t="s">
        <v>18915</v>
      </c>
    </row>
    <row r="22749" spans="1:5" x14ac:dyDescent="0.25">
      <c r="A22749" t="s">
        <v>4</v>
      </c>
      <c r="B22749" t="s">
        <v>4111</v>
      </c>
      <c r="C22749" s="1" t="s">
        <v>23490</v>
      </c>
      <c r="D22749" s="1" t="str">
        <f>HYPERLINK("https://rhld.insurance.arkansas.gov/NPILookup?Npi=1982938999","1982938999")</f>
        <v>1982938999</v>
      </c>
      <c r="E22749" t="s">
        <v>11942</v>
      </c>
    </row>
    <row r="22750" spans="1:5" x14ac:dyDescent="0.25">
      <c r="A22750" t="s">
        <v>4</v>
      </c>
      <c r="B22750" t="s">
        <v>4111</v>
      </c>
      <c r="C22750" s="1" t="s">
        <v>23490</v>
      </c>
      <c r="D22750" s="1" t="str">
        <f>HYPERLINK("https://rhld.insurance.arkansas.gov/NPILookup?Npi=1982943221","1982943221")</f>
        <v>1982943221</v>
      </c>
      <c r="E22750" t="s">
        <v>6052</v>
      </c>
    </row>
    <row r="22751" spans="1:5" x14ac:dyDescent="0.25">
      <c r="A22751" t="s">
        <v>4</v>
      </c>
      <c r="B22751" t="s">
        <v>4111</v>
      </c>
      <c r="C22751" s="1" t="s">
        <v>23490</v>
      </c>
      <c r="D22751" s="1" t="str">
        <f>HYPERLINK("https://rhld.insurance.arkansas.gov/NPILookup?Npi=1982947040","1982947040")</f>
        <v>1982947040</v>
      </c>
      <c r="E22751" t="s">
        <v>16294</v>
      </c>
    </row>
    <row r="22752" spans="1:5" x14ac:dyDescent="0.25">
      <c r="A22752" t="s">
        <v>4</v>
      </c>
      <c r="B22752" t="s">
        <v>4111</v>
      </c>
      <c r="C22752" s="1" t="s">
        <v>23490</v>
      </c>
      <c r="D22752" s="1" t="str">
        <f>HYPERLINK("https://rhld.insurance.arkansas.gov/NPILookup?Npi=1982966701","1982966701")</f>
        <v>1982966701</v>
      </c>
      <c r="E22752" t="s">
        <v>14306</v>
      </c>
    </row>
    <row r="22753" spans="1:5" x14ac:dyDescent="0.25">
      <c r="A22753" t="s">
        <v>4</v>
      </c>
      <c r="B22753" t="s">
        <v>4111</v>
      </c>
      <c r="C22753" s="1" t="s">
        <v>23490</v>
      </c>
      <c r="D22753" s="1" t="str">
        <f>HYPERLINK("https://rhld.insurance.arkansas.gov/NPILookup?Npi=1982972584","1982972584")</f>
        <v>1982972584</v>
      </c>
      <c r="E22753" t="s">
        <v>17260</v>
      </c>
    </row>
    <row r="22754" spans="1:5" x14ac:dyDescent="0.25">
      <c r="A22754" t="s">
        <v>4</v>
      </c>
      <c r="B22754" t="s">
        <v>4111</v>
      </c>
      <c r="C22754" s="1" t="s">
        <v>23490</v>
      </c>
      <c r="D22754" s="1" t="str">
        <f>HYPERLINK("https://rhld.insurance.arkansas.gov/NPILookup?Npi=1982981866","1982981866")</f>
        <v>1982981866</v>
      </c>
      <c r="E22754" t="s">
        <v>6053</v>
      </c>
    </row>
    <row r="22755" spans="1:5" x14ac:dyDescent="0.25">
      <c r="A22755" t="s">
        <v>4</v>
      </c>
      <c r="B22755" t="s">
        <v>4111</v>
      </c>
      <c r="C22755" s="1" t="s">
        <v>23490</v>
      </c>
      <c r="D22755" s="1" t="str">
        <f>HYPERLINK("https://rhld.insurance.arkansas.gov/NPILookup?Npi=1992025100","1992025100")</f>
        <v>1992025100</v>
      </c>
      <c r="E22755" t="s">
        <v>6054</v>
      </c>
    </row>
    <row r="22756" spans="1:5" x14ac:dyDescent="0.25">
      <c r="A22756" t="s">
        <v>4</v>
      </c>
      <c r="B22756" t="s">
        <v>4111</v>
      </c>
      <c r="C22756" s="1" t="s">
        <v>23490</v>
      </c>
      <c r="D22756" s="1" t="str">
        <f>HYPERLINK("https://rhld.insurance.arkansas.gov/NPILookup?Npi=1992039341","1992039341")</f>
        <v>1992039341</v>
      </c>
      <c r="E22756" t="s">
        <v>6055</v>
      </c>
    </row>
    <row r="22757" spans="1:5" x14ac:dyDescent="0.25">
      <c r="A22757" t="s">
        <v>4</v>
      </c>
      <c r="B22757" t="s">
        <v>4111</v>
      </c>
      <c r="C22757" s="1" t="s">
        <v>23490</v>
      </c>
      <c r="D22757" s="1" t="str">
        <f>HYPERLINK("https://rhld.insurance.arkansas.gov/NPILookup?Npi=1992062996","1992062996")</f>
        <v>1992062996</v>
      </c>
      <c r="E22757" t="s">
        <v>11943</v>
      </c>
    </row>
    <row r="22758" spans="1:5" x14ac:dyDescent="0.25">
      <c r="A22758" t="s">
        <v>4</v>
      </c>
      <c r="B22758" t="s">
        <v>4111</v>
      </c>
      <c r="C22758" s="1" t="s">
        <v>23490</v>
      </c>
      <c r="D22758" s="1" t="str">
        <f>HYPERLINK("https://rhld.insurance.arkansas.gov/NPILookup?Npi=1992081491","1992081491")</f>
        <v>1992081491</v>
      </c>
      <c r="E22758" t="s">
        <v>6056</v>
      </c>
    </row>
    <row r="22759" spans="1:5" x14ac:dyDescent="0.25">
      <c r="A22759" t="s">
        <v>4</v>
      </c>
      <c r="B22759" t="s">
        <v>4111</v>
      </c>
      <c r="C22759" s="1" t="s">
        <v>23490</v>
      </c>
      <c r="D22759" s="1" t="str">
        <f>HYPERLINK("https://rhld.insurance.arkansas.gov/NPILookup?Npi=1992087589","1992087589")</f>
        <v>1992087589</v>
      </c>
      <c r="E22759" t="s">
        <v>14307</v>
      </c>
    </row>
    <row r="22760" spans="1:5" x14ac:dyDescent="0.25">
      <c r="A22760" t="s">
        <v>4</v>
      </c>
      <c r="B22760" t="s">
        <v>4111</v>
      </c>
      <c r="C22760" s="1" t="s">
        <v>23490</v>
      </c>
      <c r="D22760" s="1" t="str">
        <f>HYPERLINK("https://rhld.insurance.arkansas.gov/NPILookup?Npi=1992118681","1992118681")</f>
        <v>1992118681</v>
      </c>
      <c r="E22760" t="s">
        <v>20660</v>
      </c>
    </row>
    <row r="22761" spans="1:5" x14ac:dyDescent="0.25">
      <c r="A22761" t="s">
        <v>4</v>
      </c>
      <c r="B22761" t="s">
        <v>4111</v>
      </c>
      <c r="C22761" s="1" t="s">
        <v>23490</v>
      </c>
      <c r="D22761" s="1" t="str">
        <f>HYPERLINK("https://rhld.insurance.arkansas.gov/NPILookup?Npi=1992145387","1992145387")</f>
        <v>1992145387</v>
      </c>
      <c r="E22761" t="s">
        <v>11944</v>
      </c>
    </row>
    <row r="22762" spans="1:5" x14ac:dyDescent="0.25">
      <c r="A22762" t="s">
        <v>4</v>
      </c>
      <c r="B22762" t="s">
        <v>4111</v>
      </c>
      <c r="C22762" s="1" t="s">
        <v>23490</v>
      </c>
      <c r="D22762" s="1" t="str">
        <f>HYPERLINK("https://rhld.insurance.arkansas.gov/NPILookup?Npi=1992164263","1992164263")</f>
        <v>1992164263</v>
      </c>
      <c r="E22762" t="s">
        <v>11945</v>
      </c>
    </row>
    <row r="22763" spans="1:5" x14ac:dyDescent="0.25">
      <c r="A22763" t="s">
        <v>4</v>
      </c>
      <c r="B22763" t="s">
        <v>4111</v>
      </c>
      <c r="C22763" s="1" t="s">
        <v>23490</v>
      </c>
      <c r="D22763" s="1" t="str">
        <f>HYPERLINK("https://rhld.insurance.arkansas.gov/NPILookup?Npi=1992176036","1992176036")</f>
        <v>1992176036</v>
      </c>
      <c r="E22763" t="s">
        <v>6058</v>
      </c>
    </row>
    <row r="22764" spans="1:5" x14ac:dyDescent="0.25">
      <c r="A22764" t="s">
        <v>4</v>
      </c>
      <c r="B22764" t="s">
        <v>4111</v>
      </c>
      <c r="C22764" s="1" t="s">
        <v>23490</v>
      </c>
      <c r="D22764" s="1" t="str">
        <f>HYPERLINK("https://rhld.insurance.arkansas.gov/NPILookup?Npi=1992187561","1992187561")</f>
        <v>1992187561</v>
      </c>
      <c r="E22764" t="s">
        <v>13245</v>
      </c>
    </row>
    <row r="22765" spans="1:5" x14ac:dyDescent="0.25">
      <c r="A22765" t="s">
        <v>4</v>
      </c>
      <c r="B22765" t="s">
        <v>4111</v>
      </c>
      <c r="C22765" s="1" t="s">
        <v>23490</v>
      </c>
      <c r="D22765" s="1" t="str">
        <f>HYPERLINK("https://rhld.insurance.arkansas.gov/NPILookup?Npi=1992193361","1992193361")</f>
        <v>1992193361</v>
      </c>
      <c r="E22765" t="s">
        <v>18486</v>
      </c>
    </row>
    <row r="22766" spans="1:5" x14ac:dyDescent="0.25">
      <c r="A22766" t="s">
        <v>4</v>
      </c>
      <c r="B22766" t="s">
        <v>4111</v>
      </c>
      <c r="C22766" s="1" t="s">
        <v>23490</v>
      </c>
      <c r="D22766" s="1" t="str">
        <f>HYPERLINK("https://rhld.insurance.arkansas.gov/NPILookup?Npi=1992227011","1992227011")</f>
        <v>1992227011</v>
      </c>
      <c r="E22766" t="s">
        <v>14308</v>
      </c>
    </row>
    <row r="22767" spans="1:5" x14ac:dyDescent="0.25">
      <c r="A22767" t="s">
        <v>4</v>
      </c>
      <c r="B22767" t="s">
        <v>4111</v>
      </c>
      <c r="C22767" s="1" t="s">
        <v>23490</v>
      </c>
      <c r="D22767" s="1" t="str">
        <f>HYPERLINK("https://rhld.insurance.arkansas.gov/NPILookup?Npi=1992229082","1992229082")</f>
        <v>1992229082</v>
      </c>
      <c r="E22767" t="s">
        <v>19252</v>
      </c>
    </row>
    <row r="22768" spans="1:5" x14ac:dyDescent="0.25">
      <c r="A22768" t="s">
        <v>4</v>
      </c>
      <c r="B22768" t="s">
        <v>4111</v>
      </c>
      <c r="C22768" s="1" t="s">
        <v>23490</v>
      </c>
      <c r="D22768" s="1" t="str">
        <f>HYPERLINK("https://rhld.insurance.arkansas.gov/NPILookup?Npi=1992254486","1992254486")</f>
        <v>1992254486</v>
      </c>
      <c r="E22768" t="s">
        <v>11425</v>
      </c>
    </row>
    <row r="22769" spans="1:5" x14ac:dyDescent="0.25">
      <c r="A22769" t="s">
        <v>4</v>
      </c>
      <c r="B22769" t="s">
        <v>4111</v>
      </c>
      <c r="C22769" s="1" t="s">
        <v>23490</v>
      </c>
      <c r="D22769" s="1" t="str">
        <f>HYPERLINK("https://rhld.insurance.arkansas.gov/NPILookup?Npi=1992257646","1992257646")</f>
        <v>1992257646</v>
      </c>
      <c r="E22769" t="s">
        <v>11946</v>
      </c>
    </row>
    <row r="22770" spans="1:5" x14ac:dyDescent="0.25">
      <c r="A22770" t="s">
        <v>4</v>
      </c>
      <c r="B22770" t="s">
        <v>4111</v>
      </c>
      <c r="C22770" s="1" t="s">
        <v>23490</v>
      </c>
      <c r="D22770" s="1" t="str">
        <f>HYPERLINK("https://rhld.insurance.arkansas.gov/NPILookup?Npi=1992273122","1992273122")</f>
        <v>1992273122</v>
      </c>
      <c r="E22770" t="s">
        <v>18487</v>
      </c>
    </row>
    <row r="22771" spans="1:5" x14ac:dyDescent="0.25">
      <c r="A22771" t="s">
        <v>4</v>
      </c>
      <c r="B22771" t="s">
        <v>4111</v>
      </c>
      <c r="C22771" s="1" t="s">
        <v>23490</v>
      </c>
      <c r="D22771" s="1" t="str">
        <f>HYPERLINK("https://rhld.insurance.arkansas.gov/NPILookup?Npi=1992280077","1992280077")</f>
        <v>1992280077</v>
      </c>
      <c r="E22771" t="s">
        <v>14309</v>
      </c>
    </row>
    <row r="22772" spans="1:5" x14ac:dyDescent="0.25">
      <c r="A22772" t="s">
        <v>4</v>
      </c>
      <c r="B22772" t="s">
        <v>4111</v>
      </c>
      <c r="C22772" s="1" t="s">
        <v>23490</v>
      </c>
      <c r="D22772" s="1" t="str">
        <f>HYPERLINK("https://rhld.insurance.arkansas.gov/NPILookup?Npi=1992281935","1992281935")</f>
        <v>1992281935</v>
      </c>
      <c r="E22772" t="s">
        <v>18201</v>
      </c>
    </row>
    <row r="22773" spans="1:5" x14ac:dyDescent="0.25">
      <c r="A22773" t="s">
        <v>4</v>
      </c>
      <c r="B22773" t="s">
        <v>4111</v>
      </c>
      <c r="C22773" s="1" t="s">
        <v>23490</v>
      </c>
      <c r="D22773" s="1" t="str">
        <f>HYPERLINK("https://rhld.insurance.arkansas.gov/NPILookup?Npi=1992339519","1992339519")</f>
        <v>1992339519</v>
      </c>
      <c r="E22773" t="s">
        <v>19044</v>
      </c>
    </row>
    <row r="22774" spans="1:5" x14ac:dyDescent="0.25">
      <c r="A22774" t="s">
        <v>4</v>
      </c>
      <c r="B22774" t="s">
        <v>4111</v>
      </c>
      <c r="C22774" s="1" t="s">
        <v>23490</v>
      </c>
      <c r="D22774" s="1" t="str">
        <f>HYPERLINK("https://rhld.insurance.arkansas.gov/NPILookup?Npi=1992346001","1992346001")</f>
        <v>1992346001</v>
      </c>
      <c r="E22774" t="s">
        <v>22425</v>
      </c>
    </row>
    <row r="22775" spans="1:5" x14ac:dyDescent="0.25">
      <c r="A22775" t="s">
        <v>4</v>
      </c>
      <c r="B22775" t="s">
        <v>4111</v>
      </c>
      <c r="C22775" s="1" t="s">
        <v>23490</v>
      </c>
      <c r="D22775" s="1" t="str">
        <f>HYPERLINK("https://rhld.insurance.arkansas.gov/NPILookup?Npi=1992447858","1992447858")</f>
        <v>1992447858</v>
      </c>
      <c r="E22775" t="s">
        <v>22426</v>
      </c>
    </row>
    <row r="22776" spans="1:5" x14ac:dyDescent="0.25">
      <c r="A22776" t="s">
        <v>4</v>
      </c>
      <c r="B22776" t="s">
        <v>4111</v>
      </c>
      <c r="C22776" s="1" t="s">
        <v>23490</v>
      </c>
      <c r="D22776" s="1" t="str">
        <f>HYPERLINK("https://rhld.insurance.arkansas.gov/NPILookup?Npi=1992454581","1992454581")</f>
        <v>1992454581</v>
      </c>
      <c r="E22776" t="s">
        <v>22427</v>
      </c>
    </row>
    <row r="22777" spans="1:5" x14ac:dyDescent="0.25">
      <c r="A22777" t="s">
        <v>4</v>
      </c>
      <c r="B22777" t="s">
        <v>4111</v>
      </c>
      <c r="C22777" s="1" t="s">
        <v>23490</v>
      </c>
      <c r="D22777" s="1" t="str">
        <f>HYPERLINK("https://rhld.insurance.arkansas.gov/NPILookup?Npi=1992463079","1992463079")</f>
        <v>1992463079</v>
      </c>
      <c r="E22777" t="s">
        <v>20661</v>
      </c>
    </row>
    <row r="22778" spans="1:5" x14ac:dyDescent="0.25">
      <c r="A22778" t="s">
        <v>4</v>
      </c>
      <c r="B22778" t="s">
        <v>4111</v>
      </c>
      <c r="C22778" s="1" t="s">
        <v>23490</v>
      </c>
      <c r="D22778" s="1" t="str">
        <f>HYPERLINK("https://rhld.insurance.arkansas.gov/NPILookup?Npi=1992711386","1992711386")</f>
        <v>1992711386</v>
      </c>
      <c r="E22778" t="s">
        <v>6059</v>
      </c>
    </row>
    <row r="22779" spans="1:5" x14ac:dyDescent="0.25">
      <c r="A22779" t="s">
        <v>4</v>
      </c>
      <c r="B22779" t="s">
        <v>4111</v>
      </c>
      <c r="C22779" s="1" t="s">
        <v>23490</v>
      </c>
      <c r="D22779" s="1" t="str">
        <f>HYPERLINK("https://rhld.insurance.arkansas.gov/NPILookup?Npi=1992715700","1992715700")</f>
        <v>1992715700</v>
      </c>
      <c r="E22779" t="s">
        <v>16295</v>
      </c>
    </row>
    <row r="22780" spans="1:5" x14ac:dyDescent="0.25">
      <c r="A22780" t="s">
        <v>4</v>
      </c>
      <c r="B22780" t="s">
        <v>4111</v>
      </c>
      <c r="C22780" s="1" t="s">
        <v>23490</v>
      </c>
      <c r="D22780" s="1" t="str">
        <f>HYPERLINK("https://rhld.insurance.arkansas.gov/NPILookup?Npi=1992721716","1992721716")</f>
        <v>1992721716</v>
      </c>
      <c r="E22780" t="s">
        <v>23226</v>
      </c>
    </row>
    <row r="22781" spans="1:5" x14ac:dyDescent="0.25">
      <c r="A22781" t="s">
        <v>4</v>
      </c>
      <c r="B22781" t="s">
        <v>4111</v>
      </c>
      <c r="C22781" s="1" t="s">
        <v>23490</v>
      </c>
      <c r="D22781" s="1" t="str">
        <f>HYPERLINK("https://rhld.insurance.arkansas.gov/NPILookup?Npi=1992724462","1992724462")</f>
        <v>1992724462</v>
      </c>
      <c r="E22781" t="s">
        <v>6060</v>
      </c>
    </row>
    <row r="22782" spans="1:5" x14ac:dyDescent="0.25">
      <c r="A22782" t="s">
        <v>4</v>
      </c>
      <c r="B22782" t="s">
        <v>4111</v>
      </c>
      <c r="C22782" s="1" t="s">
        <v>23490</v>
      </c>
      <c r="D22782" s="1" t="str">
        <f>HYPERLINK("https://rhld.insurance.arkansas.gov/NPILookup?Npi=1992729016","1992729016")</f>
        <v>1992729016</v>
      </c>
      <c r="E22782" t="s">
        <v>16296</v>
      </c>
    </row>
    <row r="22783" spans="1:5" x14ac:dyDescent="0.25">
      <c r="A22783" t="s">
        <v>4</v>
      </c>
      <c r="B22783" t="s">
        <v>4111</v>
      </c>
      <c r="C22783" s="1" t="s">
        <v>23490</v>
      </c>
      <c r="D22783" s="1" t="str">
        <f>HYPERLINK("https://rhld.insurance.arkansas.gov/NPILookup?Npi=1992730949","1992730949")</f>
        <v>1992730949</v>
      </c>
      <c r="E22783" t="s">
        <v>16297</v>
      </c>
    </row>
    <row r="22784" spans="1:5" x14ac:dyDescent="0.25">
      <c r="A22784" t="s">
        <v>4</v>
      </c>
      <c r="B22784" t="s">
        <v>4111</v>
      </c>
      <c r="C22784" s="1" t="s">
        <v>23490</v>
      </c>
      <c r="D22784" s="1" t="str">
        <f>HYPERLINK("https://rhld.insurance.arkansas.gov/NPILookup?Npi=1992737670","1992737670")</f>
        <v>1992737670</v>
      </c>
      <c r="E22784" t="s">
        <v>6061</v>
      </c>
    </row>
    <row r="22785" spans="1:5" x14ac:dyDescent="0.25">
      <c r="A22785" t="s">
        <v>4</v>
      </c>
      <c r="B22785" t="s">
        <v>4111</v>
      </c>
      <c r="C22785" s="1" t="s">
        <v>23490</v>
      </c>
      <c r="D22785" s="1" t="str">
        <f>HYPERLINK("https://rhld.insurance.arkansas.gov/NPILookup?Npi=1992740393","1992740393")</f>
        <v>1992740393</v>
      </c>
      <c r="E22785" t="s">
        <v>6062</v>
      </c>
    </row>
    <row r="22786" spans="1:5" x14ac:dyDescent="0.25">
      <c r="A22786" t="s">
        <v>4</v>
      </c>
      <c r="B22786" t="s">
        <v>4111</v>
      </c>
      <c r="C22786" s="1" t="s">
        <v>23490</v>
      </c>
      <c r="D22786" s="1" t="str">
        <f>HYPERLINK("https://rhld.insurance.arkansas.gov/NPILookup?Npi=1992743926","1992743926")</f>
        <v>1992743926</v>
      </c>
      <c r="E22786" t="s">
        <v>6063</v>
      </c>
    </row>
    <row r="22787" spans="1:5" x14ac:dyDescent="0.25">
      <c r="A22787" t="s">
        <v>4</v>
      </c>
      <c r="B22787" t="s">
        <v>4111</v>
      </c>
      <c r="C22787" s="1" t="s">
        <v>23490</v>
      </c>
      <c r="D22787" s="1" t="str">
        <f>HYPERLINK("https://rhld.insurance.arkansas.gov/NPILookup?Npi=1992743942","1992743942")</f>
        <v>1992743942</v>
      </c>
      <c r="E22787" t="s">
        <v>20662</v>
      </c>
    </row>
    <row r="22788" spans="1:5" x14ac:dyDescent="0.25">
      <c r="A22788" t="s">
        <v>4</v>
      </c>
      <c r="B22788" t="s">
        <v>4111</v>
      </c>
      <c r="C22788" s="1" t="s">
        <v>23490</v>
      </c>
      <c r="D22788" s="1" t="str">
        <f>HYPERLINK("https://rhld.insurance.arkansas.gov/NPILookup?Npi=1992755433","1992755433")</f>
        <v>1992755433</v>
      </c>
      <c r="E22788" t="s">
        <v>11947</v>
      </c>
    </row>
    <row r="22789" spans="1:5" x14ac:dyDescent="0.25">
      <c r="A22789" t="s">
        <v>4</v>
      </c>
      <c r="B22789" t="s">
        <v>4111</v>
      </c>
      <c r="C22789" s="1" t="s">
        <v>23490</v>
      </c>
      <c r="D22789" s="1" t="str">
        <f>HYPERLINK("https://rhld.insurance.arkansas.gov/NPILookup?Npi=1992806103","1992806103")</f>
        <v>1992806103</v>
      </c>
      <c r="E22789" t="s">
        <v>6064</v>
      </c>
    </row>
    <row r="22790" spans="1:5" x14ac:dyDescent="0.25">
      <c r="A22790" t="s">
        <v>4</v>
      </c>
      <c r="B22790" t="s">
        <v>4111</v>
      </c>
      <c r="C22790" s="1" t="s">
        <v>23490</v>
      </c>
      <c r="D22790" s="1" t="str">
        <f>HYPERLINK("https://rhld.insurance.arkansas.gov/NPILookup?Npi=1992841654","1992841654")</f>
        <v>1992841654</v>
      </c>
      <c r="E22790" t="s">
        <v>20663</v>
      </c>
    </row>
    <row r="22791" spans="1:5" x14ac:dyDescent="0.25">
      <c r="A22791" t="s">
        <v>4</v>
      </c>
      <c r="B22791" t="s">
        <v>4111</v>
      </c>
      <c r="C22791" s="1" t="s">
        <v>23490</v>
      </c>
      <c r="D22791" s="1" t="str">
        <f>HYPERLINK("https://rhld.insurance.arkansas.gov/NPILookup?Npi=1992844310","1992844310")</f>
        <v>1992844310</v>
      </c>
      <c r="E22791" t="s">
        <v>6065</v>
      </c>
    </row>
    <row r="22792" spans="1:5" x14ac:dyDescent="0.25">
      <c r="A22792" t="s">
        <v>4</v>
      </c>
      <c r="B22792" t="s">
        <v>4111</v>
      </c>
      <c r="C22792" s="1" t="s">
        <v>23490</v>
      </c>
      <c r="D22792" s="1" t="str">
        <f>HYPERLINK("https://rhld.insurance.arkansas.gov/NPILookup?Npi=1992881684","1992881684")</f>
        <v>1992881684</v>
      </c>
      <c r="E22792" t="s">
        <v>6066</v>
      </c>
    </row>
    <row r="22793" spans="1:5" x14ac:dyDescent="0.25">
      <c r="A22793" t="s">
        <v>4</v>
      </c>
      <c r="B22793" t="s">
        <v>4111</v>
      </c>
      <c r="C22793" s="1" t="s">
        <v>23490</v>
      </c>
      <c r="D22793" s="1" t="str">
        <f>HYPERLINK("https://rhld.insurance.arkansas.gov/NPILookup?Npi=1992902464","1992902464")</f>
        <v>1992902464</v>
      </c>
      <c r="E22793" t="s">
        <v>6067</v>
      </c>
    </row>
    <row r="22794" spans="1:5" x14ac:dyDescent="0.25">
      <c r="A22794" t="s">
        <v>4</v>
      </c>
      <c r="B22794" t="s">
        <v>4111</v>
      </c>
      <c r="C22794" s="1" t="s">
        <v>23490</v>
      </c>
      <c r="D22794" s="1" t="str">
        <f>HYPERLINK("https://rhld.insurance.arkansas.gov/NPILookup?Npi=1992914832","1992914832")</f>
        <v>1992914832</v>
      </c>
      <c r="E22794" t="s">
        <v>14310</v>
      </c>
    </row>
    <row r="22795" spans="1:5" x14ac:dyDescent="0.25">
      <c r="A22795" t="s">
        <v>4</v>
      </c>
      <c r="B22795" t="s">
        <v>4111</v>
      </c>
      <c r="C22795" s="1" t="s">
        <v>23490</v>
      </c>
      <c r="D22795" s="1" t="str">
        <f>HYPERLINK("https://rhld.insurance.arkansas.gov/NPILookup?Npi=1992927255","1992927255")</f>
        <v>1992927255</v>
      </c>
      <c r="E22795" t="s">
        <v>13246</v>
      </c>
    </row>
    <row r="22796" spans="1:5" x14ac:dyDescent="0.25">
      <c r="A22796" t="s">
        <v>4</v>
      </c>
      <c r="B22796" t="s">
        <v>4111</v>
      </c>
      <c r="C22796" s="1" t="s">
        <v>23490</v>
      </c>
      <c r="D22796" s="1" t="str">
        <f>HYPERLINK("https://rhld.insurance.arkansas.gov/NPILookup?Npi=1992940464","1992940464")</f>
        <v>1992940464</v>
      </c>
      <c r="E22796" t="s">
        <v>6068</v>
      </c>
    </row>
    <row r="22797" spans="1:5" x14ac:dyDescent="0.25">
      <c r="A22797" t="s">
        <v>4</v>
      </c>
      <c r="B22797" t="s">
        <v>4111</v>
      </c>
      <c r="C22797" s="1" t="s">
        <v>23490</v>
      </c>
      <c r="D22797" s="1" t="str">
        <f>HYPERLINK("https://rhld.insurance.arkansas.gov/NPILookup?Npi=1992952543","1992952543")</f>
        <v>1992952543</v>
      </c>
      <c r="E22797" t="s">
        <v>6069</v>
      </c>
    </row>
    <row r="22798" spans="1:5" x14ac:dyDescent="0.25">
      <c r="A22798" t="s">
        <v>4</v>
      </c>
      <c r="B22798" t="s">
        <v>4111</v>
      </c>
      <c r="C22798" s="1" t="s">
        <v>23490</v>
      </c>
      <c r="D22798" s="1" t="str">
        <f>HYPERLINK("https://rhld.insurance.arkansas.gov/NPILookup?Npi=1992954747","1992954747")</f>
        <v>1992954747</v>
      </c>
      <c r="E22798" t="s">
        <v>6070</v>
      </c>
    </row>
    <row r="22799" spans="1:5" x14ac:dyDescent="0.25">
      <c r="A22799" t="s">
        <v>4</v>
      </c>
      <c r="B22799" t="s">
        <v>4111</v>
      </c>
      <c r="C22799" s="1" t="s">
        <v>23490</v>
      </c>
      <c r="D22799" s="1" t="str">
        <f>HYPERLINK("https://rhld.insurance.arkansas.gov/NPILookup?Npi=1992961692","1992961692")</f>
        <v>1992961692</v>
      </c>
      <c r="E22799" t="s">
        <v>16298</v>
      </c>
    </row>
    <row r="22800" spans="1:5" x14ac:dyDescent="0.25">
      <c r="A22800" t="s">
        <v>4</v>
      </c>
      <c r="B22800" t="s">
        <v>4111</v>
      </c>
      <c r="C22800" s="1" t="s">
        <v>23490</v>
      </c>
      <c r="D22800" s="1" t="str">
        <f>HYPERLINK("https://rhld.insurance.arkansas.gov/NPILookup?Npi=1992968838","1992968838")</f>
        <v>1992968838</v>
      </c>
      <c r="E22800" t="s">
        <v>6071</v>
      </c>
    </row>
    <row r="22801" spans="1:5" x14ac:dyDescent="0.25">
      <c r="A22801" t="s">
        <v>4</v>
      </c>
      <c r="B22801" t="s">
        <v>4111</v>
      </c>
      <c r="C22801" s="1" t="s">
        <v>23490</v>
      </c>
      <c r="D22801" s="1" t="str">
        <f>HYPERLINK("https://rhld.insurance.arkansas.gov/NPILookup?Npi=1992968978","1992968978")</f>
        <v>1992968978</v>
      </c>
      <c r="E22801" t="s">
        <v>6072</v>
      </c>
    </row>
    <row r="22802" spans="1:5" x14ac:dyDescent="0.25">
      <c r="A22802" t="s">
        <v>4</v>
      </c>
      <c r="B22802" t="s">
        <v>4111</v>
      </c>
      <c r="C22802" s="1" t="s">
        <v>23490</v>
      </c>
      <c r="D22802" s="1" t="str">
        <f>HYPERLINK("https://rhld.insurance.arkansas.gov/NPILookup?Npi=1992975841","1992975841")</f>
        <v>1992975841</v>
      </c>
      <c r="E22802" t="s">
        <v>14311</v>
      </c>
    </row>
    <row r="22803" spans="1:5" x14ac:dyDescent="0.25">
      <c r="A22803" t="s">
        <v>5</v>
      </c>
      <c r="B22803" t="s">
        <v>6073</v>
      </c>
      <c r="C22803" s="1" t="s">
        <v>23490</v>
      </c>
      <c r="D22803" s="1" t="str">
        <f>HYPERLINK("https://rhld.insurance.arkansas.gov/NPILookup?Npi=1003027061","1003027061")</f>
        <v>1003027061</v>
      </c>
      <c r="E22803" t="s">
        <v>4113</v>
      </c>
    </row>
    <row r="22804" spans="1:5" x14ac:dyDescent="0.25">
      <c r="A22804" t="s">
        <v>5</v>
      </c>
      <c r="B22804" t="s">
        <v>6073</v>
      </c>
      <c r="C22804" s="1" t="s">
        <v>23490</v>
      </c>
      <c r="D22804" s="1" t="str">
        <f>HYPERLINK("https://rhld.insurance.arkansas.gov/NPILookup?Npi=1003138710","1003138710")</f>
        <v>1003138710</v>
      </c>
      <c r="E22804" t="s">
        <v>18228</v>
      </c>
    </row>
    <row r="22805" spans="1:5" x14ac:dyDescent="0.25">
      <c r="A22805" t="s">
        <v>5</v>
      </c>
      <c r="B22805" t="s">
        <v>6073</v>
      </c>
      <c r="C22805" s="1" t="s">
        <v>23490</v>
      </c>
      <c r="D22805" s="1" t="str">
        <f>HYPERLINK("https://rhld.insurance.arkansas.gov/NPILookup?Npi=1003163080","1003163080")</f>
        <v>1003163080</v>
      </c>
      <c r="E22805" t="s">
        <v>4122</v>
      </c>
    </row>
    <row r="22806" spans="1:5" x14ac:dyDescent="0.25">
      <c r="A22806" t="s">
        <v>5</v>
      </c>
      <c r="B22806" t="s">
        <v>6073</v>
      </c>
      <c r="C22806" s="1" t="s">
        <v>23490</v>
      </c>
      <c r="D22806" s="1" t="str">
        <f>HYPERLINK("https://rhld.insurance.arkansas.gov/NPILookup?Npi=1003192972","1003192972")</f>
        <v>1003192972</v>
      </c>
      <c r="E22806" t="s">
        <v>4124</v>
      </c>
    </row>
    <row r="22807" spans="1:5" x14ac:dyDescent="0.25">
      <c r="A22807" t="s">
        <v>5</v>
      </c>
      <c r="B22807" t="s">
        <v>6073</v>
      </c>
      <c r="C22807" s="1" t="s">
        <v>23490</v>
      </c>
      <c r="D22807" s="1" t="str">
        <f>HYPERLINK("https://rhld.insurance.arkansas.gov/NPILookup?Npi=1003223926","1003223926")</f>
        <v>1003223926</v>
      </c>
      <c r="E22807" t="s">
        <v>19045</v>
      </c>
    </row>
    <row r="22808" spans="1:5" x14ac:dyDescent="0.25">
      <c r="A22808" t="s">
        <v>5</v>
      </c>
      <c r="B22808" t="s">
        <v>6073</v>
      </c>
      <c r="C22808" s="1" t="s">
        <v>23490</v>
      </c>
      <c r="D22808" s="1" t="str">
        <f>HYPERLINK("https://rhld.insurance.arkansas.gov/NPILookup?Npi=1003237900","1003237900")</f>
        <v>1003237900</v>
      </c>
      <c r="E22808" t="s">
        <v>13892</v>
      </c>
    </row>
    <row r="22809" spans="1:5" x14ac:dyDescent="0.25">
      <c r="A22809" t="s">
        <v>5</v>
      </c>
      <c r="B22809" t="s">
        <v>6073</v>
      </c>
      <c r="C22809" s="1" t="s">
        <v>23490</v>
      </c>
      <c r="D22809" s="1" t="str">
        <f>HYPERLINK("https://rhld.insurance.arkansas.gov/NPILookup?Npi=1003284274","1003284274")</f>
        <v>1003284274</v>
      </c>
      <c r="E22809" t="s">
        <v>13893</v>
      </c>
    </row>
    <row r="22810" spans="1:5" x14ac:dyDescent="0.25">
      <c r="A22810" t="s">
        <v>5</v>
      </c>
      <c r="B22810" t="s">
        <v>6073</v>
      </c>
      <c r="C22810" s="1" t="s">
        <v>23490</v>
      </c>
      <c r="D22810" s="1" t="str">
        <f>HYPERLINK("https://rhld.insurance.arkansas.gov/NPILookup?Npi=1003306853","1003306853")</f>
        <v>1003306853</v>
      </c>
      <c r="E22810" t="s">
        <v>21773</v>
      </c>
    </row>
    <row r="22811" spans="1:5" x14ac:dyDescent="0.25">
      <c r="A22811" t="s">
        <v>5</v>
      </c>
      <c r="B22811" t="s">
        <v>6073</v>
      </c>
      <c r="C22811" s="1" t="s">
        <v>23490</v>
      </c>
      <c r="D22811" s="1" t="str">
        <f>HYPERLINK("https://rhld.insurance.arkansas.gov/NPILookup?Npi=1003369950","1003369950")</f>
        <v>1003369950</v>
      </c>
      <c r="E22811" t="s">
        <v>11502</v>
      </c>
    </row>
    <row r="22812" spans="1:5" x14ac:dyDescent="0.25">
      <c r="A22812" t="s">
        <v>5</v>
      </c>
      <c r="B22812" t="s">
        <v>6073</v>
      </c>
      <c r="C22812" s="1" t="s">
        <v>8427</v>
      </c>
      <c r="D22812" s="1" t="str">
        <f>HYPERLINK("https://rhld.insurance.arkansas.gov/NPILookup?Npi=1003490384","1003490384")</f>
        <v>1003490384</v>
      </c>
      <c r="E22812" t="s">
        <v>23227</v>
      </c>
    </row>
    <row r="22813" spans="1:5" x14ac:dyDescent="0.25">
      <c r="A22813" t="s">
        <v>5</v>
      </c>
      <c r="B22813" t="s">
        <v>6073</v>
      </c>
      <c r="C22813" s="1" t="s">
        <v>23490</v>
      </c>
      <c r="D22813" s="1" t="str">
        <f>HYPERLINK("https://rhld.insurance.arkansas.gov/NPILookup?Npi=1013041847","1013041847")</f>
        <v>1013041847</v>
      </c>
      <c r="E22813" t="s">
        <v>11503</v>
      </c>
    </row>
    <row r="22814" spans="1:5" x14ac:dyDescent="0.25">
      <c r="A22814" t="s">
        <v>5</v>
      </c>
      <c r="B22814" t="s">
        <v>6073</v>
      </c>
      <c r="C22814" s="1" t="s">
        <v>23490</v>
      </c>
      <c r="D22814" s="1" t="str">
        <f>HYPERLINK("https://rhld.insurance.arkansas.gov/NPILookup?Npi=1013236033","1013236033")</f>
        <v>1013236033</v>
      </c>
      <c r="E22814" t="s">
        <v>13899</v>
      </c>
    </row>
    <row r="22815" spans="1:5" x14ac:dyDescent="0.25">
      <c r="A22815" t="s">
        <v>5</v>
      </c>
      <c r="B22815" t="s">
        <v>6073</v>
      </c>
      <c r="C22815" s="1" t="s">
        <v>23490</v>
      </c>
      <c r="D22815" s="1" t="str">
        <f>HYPERLINK("https://rhld.insurance.arkansas.gov/NPILookup?Npi=1013268531","1013268531")</f>
        <v>1013268531</v>
      </c>
      <c r="E22815" t="s">
        <v>11504</v>
      </c>
    </row>
    <row r="22816" spans="1:5" x14ac:dyDescent="0.25">
      <c r="A22816" t="s">
        <v>5</v>
      </c>
      <c r="B22816" t="s">
        <v>6073</v>
      </c>
      <c r="C22816" s="1" t="s">
        <v>23490</v>
      </c>
      <c r="D22816" s="1" t="str">
        <f>HYPERLINK("https://rhld.insurance.arkansas.gov/NPILookup?Npi=1013296300","1013296300")</f>
        <v>1013296300</v>
      </c>
      <c r="E22816" t="s">
        <v>11505</v>
      </c>
    </row>
    <row r="22817" spans="1:5" x14ac:dyDescent="0.25">
      <c r="A22817" t="s">
        <v>5</v>
      </c>
      <c r="B22817" t="s">
        <v>6073</v>
      </c>
      <c r="C22817" s="1" t="s">
        <v>23490</v>
      </c>
      <c r="D22817" s="1" t="str">
        <f>HYPERLINK("https://rhld.insurance.arkansas.gov/NPILookup?Npi=1013366459","1013366459")</f>
        <v>1013366459</v>
      </c>
      <c r="E22817" t="s">
        <v>22428</v>
      </c>
    </row>
    <row r="22818" spans="1:5" x14ac:dyDescent="0.25">
      <c r="A22818" t="s">
        <v>5</v>
      </c>
      <c r="B22818" t="s">
        <v>6073</v>
      </c>
      <c r="C22818" s="1" t="s">
        <v>23490</v>
      </c>
      <c r="D22818" s="1" t="str">
        <f>HYPERLINK("https://rhld.insurance.arkansas.gov/NPILookup?Npi=1013380930","1013380930")</f>
        <v>1013380930</v>
      </c>
      <c r="E22818" t="s">
        <v>18230</v>
      </c>
    </row>
    <row r="22819" spans="1:5" x14ac:dyDescent="0.25">
      <c r="A22819" t="s">
        <v>5</v>
      </c>
      <c r="B22819" t="s">
        <v>6073</v>
      </c>
      <c r="C22819" s="1" t="s">
        <v>23490</v>
      </c>
      <c r="D22819" s="1" t="str">
        <f>HYPERLINK("https://rhld.insurance.arkansas.gov/NPILookup?Npi=1013492511","1013492511")</f>
        <v>1013492511</v>
      </c>
      <c r="E22819" t="s">
        <v>13900</v>
      </c>
    </row>
    <row r="22820" spans="1:5" x14ac:dyDescent="0.25">
      <c r="A22820" t="s">
        <v>5</v>
      </c>
      <c r="B22820" t="s">
        <v>6073</v>
      </c>
      <c r="C22820" s="1" t="s">
        <v>23490</v>
      </c>
      <c r="D22820" s="1" t="str">
        <f>HYPERLINK("https://rhld.insurance.arkansas.gov/NPILookup?Npi=1013532563","1013532563")</f>
        <v>1013532563</v>
      </c>
      <c r="E22820" t="s">
        <v>20295</v>
      </c>
    </row>
    <row r="22821" spans="1:5" x14ac:dyDescent="0.25">
      <c r="A22821" t="s">
        <v>5</v>
      </c>
      <c r="B22821" t="s">
        <v>6073</v>
      </c>
      <c r="C22821" s="1" t="s">
        <v>23490</v>
      </c>
      <c r="D22821" s="1" t="str">
        <f>HYPERLINK("https://rhld.insurance.arkansas.gov/NPILookup?Npi=1013546654","1013546654")</f>
        <v>1013546654</v>
      </c>
      <c r="E22821" t="s">
        <v>20296</v>
      </c>
    </row>
    <row r="22822" spans="1:5" x14ac:dyDescent="0.25">
      <c r="A22822" t="s">
        <v>5</v>
      </c>
      <c r="B22822" t="s">
        <v>6073</v>
      </c>
      <c r="C22822" s="1" t="s">
        <v>23490</v>
      </c>
      <c r="D22822" s="1" t="str">
        <f>HYPERLINK("https://rhld.insurance.arkansas.gov/NPILookup?Npi=1013554211","1013554211")</f>
        <v>1013554211</v>
      </c>
      <c r="E22822" t="s">
        <v>21182</v>
      </c>
    </row>
    <row r="22823" spans="1:5" x14ac:dyDescent="0.25">
      <c r="A22823" t="s">
        <v>5</v>
      </c>
      <c r="B22823" t="s">
        <v>6073</v>
      </c>
      <c r="C22823" s="1" t="s">
        <v>23490</v>
      </c>
      <c r="D22823" s="1" t="str">
        <f>HYPERLINK("https://rhld.insurance.arkansas.gov/NPILookup?Npi=1013677681","1013677681")</f>
        <v>1013677681</v>
      </c>
      <c r="E22823" t="s">
        <v>21780</v>
      </c>
    </row>
    <row r="22824" spans="1:5" x14ac:dyDescent="0.25">
      <c r="A22824" t="s">
        <v>5</v>
      </c>
      <c r="B22824" t="s">
        <v>6073</v>
      </c>
      <c r="C22824" s="1" t="s">
        <v>23490</v>
      </c>
      <c r="D22824" s="1" t="str">
        <f>HYPERLINK("https://rhld.insurance.arkansas.gov/NPILookup?Npi=1013970797","1013970797")</f>
        <v>1013970797</v>
      </c>
      <c r="E22824" t="s">
        <v>4145</v>
      </c>
    </row>
    <row r="22825" spans="1:5" x14ac:dyDescent="0.25">
      <c r="A22825" t="s">
        <v>5</v>
      </c>
      <c r="B22825" t="s">
        <v>6073</v>
      </c>
      <c r="C22825" s="1" t="s">
        <v>23490</v>
      </c>
      <c r="D22825" s="1" t="str">
        <f>HYPERLINK("https://rhld.insurance.arkansas.gov/NPILookup?Npi=1023286481","1023286481")</f>
        <v>1023286481</v>
      </c>
      <c r="E22825" t="s">
        <v>11509</v>
      </c>
    </row>
    <row r="22826" spans="1:5" x14ac:dyDescent="0.25">
      <c r="A22826" t="s">
        <v>5</v>
      </c>
      <c r="B22826" t="s">
        <v>6073</v>
      </c>
      <c r="C22826" s="1" t="s">
        <v>23490</v>
      </c>
      <c r="D22826" s="1" t="str">
        <f>HYPERLINK("https://rhld.insurance.arkansas.gov/NPILookup?Npi=1023423837","1023423837")</f>
        <v>1023423837</v>
      </c>
      <c r="E22826" t="s">
        <v>11513</v>
      </c>
    </row>
    <row r="22827" spans="1:5" x14ac:dyDescent="0.25">
      <c r="A22827" t="s">
        <v>5</v>
      </c>
      <c r="B22827" t="s">
        <v>6073</v>
      </c>
      <c r="C22827" s="1" t="s">
        <v>23490</v>
      </c>
      <c r="D22827" s="1" t="str">
        <f>HYPERLINK("https://rhld.insurance.arkansas.gov/NPILookup?Npi=1023490604","1023490604")</f>
        <v>1023490604</v>
      </c>
      <c r="E22827" t="s">
        <v>20304</v>
      </c>
    </row>
    <row r="22828" spans="1:5" x14ac:dyDescent="0.25">
      <c r="A22828" t="s">
        <v>5</v>
      </c>
      <c r="B22828" t="s">
        <v>6073</v>
      </c>
      <c r="C22828" s="1" t="s">
        <v>23490</v>
      </c>
      <c r="D22828" s="1" t="str">
        <f>HYPERLINK("https://rhld.insurance.arkansas.gov/NPILookup?Npi=1023519717","1023519717")</f>
        <v>1023519717</v>
      </c>
      <c r="E22828" t="s">
        <v>18233</v>
      </c>
    </row>
    <row r="22829" spans="1:5" x14ac:dyDescent="0.25">
      <c r="A22829" t="s">
        <v>5</v>
      </c>
      <c r="B22829" t="s">
        <v>6073</v>
      </c>
      <c r="C22829" s="1" t="s">
        <v>23490</v>
      </c>
      <c r="D22829" s="1" t="str">
        <f>HYPERLINK("https://rhld.insurance.arkansas.gov/NPILookup?Npi=1023580990","1023580990")</f>
        <v>1023580990</v>
      </c>
      <c r="E22829" t="s">
        <v>21183</v>
      </c>
    </row>
    <row r="22830" spans="1:5" x14ac:dyDescent="0.25">
      <c r="A22830" t="s">
        <v>5</v>
      </c>
      <c r="B22830" t="s">
        <v>6073</v>
      </c>
      <c r="C22830" s="1" t="s">
        <v>23490</v>
      </c>
      <c r="D22830" s="1" t="str">
        <f>HYPERLINK("https://rhld.insurance.arkansas.gov/NPILookup?Npi=1033289665","1033289665")</f>
        <v>1033289665</v>
      </c>
      <c r="E22830" t="s">
        <v>13902</v>
      </c>
    </row>
    <row r="22831" spans="1:5" x14ac:dyDescent="0.25">
      <c r="A22831" t="s">
        <v>5</v>
      </c>
      <c r="B22831" t="s">
        <v>6073</v>
      </c>
      <c r="C22831" s="1" t="s">
        <v>23490</v>
      </c>
      <c r="D22831" s="1" t="str">
        <f>HYPERLINK("https://rhld.insurance.arkansas.gov/NPILookup?Npi=1033618376","1033618376")</f>
        <v>1033618376</v>
      </c>
      <c r="E22831" t="s">
        <v>19046</v>
      </c>
    </row>
    <row r="22832" spans="1:5" x14ac:dyDescent="0.25">
      <c r="A22832" t="s">
        <v>5</v>
      </c>
      <c r="B22832" t="s">
        <v>6073</v>
      </c>
      <c r="C22832" s="1" t="s">
        <v>23490</v>
      </c>
      <c r="D22832" s="1" t="str">
        <f>HYPERLINK("https://rhld.insurance.arkansas.gov/NPILookup?Npi=1033633581","1033633581")</f>
        <v>1033633581</v>
      </c>
      <c r="E22832" t="s">
        <v>18933</v>
      </c>
    </row>
    <row r="22833" spans="1:5" x14ac:dyDescent="0.25">
      <c r="A22833" t="s">
        <v>5</v>
      </c>
      <c r="B22833" t="s">
        <v>6073</v>
      </c>
      <c r="C22833" s="1" t="s">
        <v>23490</v>
      </c>
      <c r="D22833" s="1" t="str">
        <f>HYPERLINK("https://rhld.insurance.arkansas.gov/NPILookup?Npi=1033635974","1033635974")</f>
        <v>1033635974</v>
      </c>
      <c r="E22833" t="s">
        <v>13907</v>
      </c>
    </row>
    <row r="22834" spans="1:5" x14ac:dyDescent="0.25">
      <c r="A22834" t="s">
        <v>5</v>
      </c>
      <c r="B22834" t="s">
        <v>6073</v>
      </c>
      <c r="C22834" s="1" t="s">
        <v>23490</v>
      </c>
      <c r="D22834" s="1" t="str">
        <f>HYPERLINK("https://rhld.insurance.arkansas.gov/NPILookup?Npi=1033682554","1033682554")</f>
        <v>1033682554</v>
      </c>
      <c r="E22834" t="s">
        <v>19047</v>
      </c>
    </row>
    <row r="22835" spans="1:5" x14ac:dyDescent="0.25">
      <c r="A22835" t="s">
        <v>5</v>
      </c>
      <c r="B22835" t="s">
        <v>6073</v>
      </c>
      <c r="C22835" s="1" t="s">
        <v>23490</v>
      </c>
      <c r="D22835" s="1" t="str">
        <f>HYPERLINK("https://rhld.insurance.arkansas.gov/NPILookup?Npi=1033721816","1033721816")</f>
        <v>1033721816</v>
      </c>
      <c r="E22835" t="s">
        <v>20311</v>
      </c>
    </row>
    <row r="22836" spans="1:5" x14ac:dyDescent="0.25">
      <c r="A22836" t="s">
        <v>5</v>
      </c>
      <c r="B22836" t="s">
        <v>6073</v>
      </c>
      <c r="C22836" s="1" t="s">
        <v>23490</v>
      </c>
      <c r="D22836" s="1" t="str">
        <f>HYPERLINK("https://rhld.insurance.arkansas.gov/NPILookup?Npi=1033740808","1033740808")</f>
        <v>1033740808</v>
      </c>
      <c r="E22836" t="s">
        <v>21184</v>
      </c>
    </row>
    <row r="22837" spans="1:5" x14ac:dyDescent="0.25">
      <c r="A22837" t="s">
        <v>5</v>
      </c>
      <c r="B22837" t="s">
        <v>6073</v>
      </c>
      <c r="C22837" s="1" t="s">
        <v>23490</v>
      </c>
      <c r="D22837" s="1" t="str">
        <f>HYPERLINK("https://rhld.insurance.arkansas.gov/NPILookup?Npi=1043264443","1043264443")</f>
        <v>1043264443</v>
      </c>
      <c r="E22837" t="s">
        <v>6074</v>
      </c>
    </row>
    <row r="22838" spans="1:5" x14ac:dyDescent="0.25">
      <c r="A22838" t="s">
        <v>5</v>
      </c>
      <c r="B22838" t="s">
        <v>6073</v>
      </c>
      <c r="C22838" s="1" t="s">
        <v>23490</v>
      </c>
      <c r="D22838" s="1" t="str">
        <f>HYPERLINK("https://rhld.insurance.arkansas.gov/NPILookup?Npi=1043795958","1043795958")</f>
        <v>1043795958</v>
      </c>
      <c r="E22838" t="s">
        <v>20314</v>
      </c>
    </row>
    <row r="22839" spans="1:5" x14ac:dyDescent="0.25">
      <c r="A22839" t="s">
        <v>5</v>
      </c>
      <c r="B22839" t="s">
        <v>6073</v>
      </c>
      <c r="C22839" s="1" t="s">
        <v>23490</v>
      </c>
      <c r="D22839" s="1" t="str">
        <f>HYPERLINK("https://rhld.insurance.arkansas.gov/NPILookup?Npi=1043804446","1043804446")</f>
        <v>1043804446</v>
      </c>
      <c r="E22839" t="s">
        <v>21802</v>
      </c>
    </row>
    <row r="22840" spans="1:5" x14ac:dyDescent="0.25">
      <c r="A22840" t="s">
        <v>5</v>
      </c>
      <c r="B22840" t="s">
        <v>6073</v>
      </c>
      <c r="C22840" s="1" t="s">
        <v>23490</v>
      </c>
      <c r="D22840" s="1" t="str">
        <f>HYPERLINK("https://rhld.insurance.arkansas.gov/NPILookup?Npi=1043809791","1043809791")</f>
        <v>1043809791</v>
      </c>
      <c r="E22840" t="s">
        <v>20316</v>
      </c>
    </row>
    <row r="22841" spans="1:5" x14ac:dyDescent="0.25">
      <c r="A22841" t="s">
        <v>5</v>
      </c>
      <c r="B22841" t="s">
        <v>6073</v>
      </c>
      <c r="C22841" s="1" t="s">
        <v>23490</v>
      </c>
      <c r="D22841" s="1" t="str">
        <f>HYPERLINK("https://rhld.insurance.arkansas.gov/NPILookup?Npi=1043897937","1043897937")</f>
        <v>1043897937</v>
      </c>
      <c r="E22841" t="s">
        <v>20664</v>
      </c>
    </row>
    <row r="22842" spans="1:5" x14ac:dyDescent="0.25">
      <c r="A22842" t="s">
        <v>5</v>
      </c>
      <c r="B22842" t="s">
        <v>6073</v>
      </c>
      <c r="C22842" s="1" t="s">
        <v>23490</v>
      </c>
      <c r="D22842" s="1" t="str">
        <f>HYPERLINK("https://rhld.insurance.arkansas.gov/NPILookup?Npi=1053348474","1053348474")</f>
        <v>1053348474</v>
      </c>
      <c r="E22842" t="s">
        <v>4214</v>
      </c>
    </row>
    <row r="22843" spans="1:5" x14ac:dyDescent="0.25">
      <c r="A22843" t="s">
        <v>5</v>
      </c>
      <c r="B22843" t="s">
        <v>6073</v>
      </c>
      <c r="C22843" s="1" t="s">
        <v>23490</v>
      </c>
      <c r="D22843" s="1" t="str">
        <f>HYPERLINK("https://rhld.insurance.arkansas.gov/NPILookup?Npi=1053489666","1053489666")</f>
        <v>1053489666</v>
      </c>
      <c r="E22843" t="s">
        <v>4221</v>
      </c>
    </row>
    <row r="22844" spans="1:5" x14ac:dyDescent="0.25">
      <c r="A22844" t="s">
        <v>5</v>
      </c>
      <c r="B22844" t="s">
        <v>6073</v>
      </c>
      <c r="C22844" s="1" t="s">
        <v>23490</v>
      </c>
      <c r="D22844" s="1" t="str">
        <f>HYPERLINK("https://rhld.insurance.arkansas.gov/NPILookup?Npi=1053720144","1053720144")</f>
        <v>1053720144</v>
      </c>
      <c r="E22844" t="s">
        <v>11517</v>
      </c>
    </row>
    <row r="22845" spans="1:5" x14ac:dyDescent="0.25">
      <c r="A22845" t="s">
        <v>5</v>
      </c>
      <c r="B22845" t="s">
        <v>6073</v>
      </c>
      <c r="C22845" s="1" t="s">
        <v>23490</v>
      </c>
      <c r="D22845" s="1" t="str">
        <f>HYPERLINK("https://rhld.insurance.arkansas.gov/NPILookup?Npi=1053888768","1053888768")</f>
        <v>1053888768</v>
      </c>
      <c r="E22845" t="s">
        <v>15960</v>
      </c>
    </row>
    <row r="22846" spans="1:5" x14ac:dyDescent="0.25">
      <c r="A22846" t="s">
        <v>5</v>
      </c>
      <c r="B22846" t="s">
        <v>6073</v>
      </c>
      <c r="C22846" s="1" t="s">
        <v>23490</v>
      </c>
      <c r="D22846" s="1" t="str">
        <f>HYPERLINK("https://rhld.insurance.arkansas.gov/NPILookup?Npi=1063536837","1063536837")</f>
        <v>1063536837</v>
      </c>
      <c r="E22846" t="s">
        <v>11518</v>
      </c>
    </row>
    <row r="22847" spans="1:5" x14ac:dyDescent="0.25">
      <c r="A22847" t="s">
        <v>5</v>
      </c>
      <c r="B22847" t="s">
        <v>6073</v>
      </c>
      <c r="C22847" s="1" t="s">
        <v>23490</v>
      </c>
      <c r="D22847" s="1" t="str">
        <f>HYPERLINK("https://rhld.insurance.arkansas.gov/NPILookup?Npi=1063898989","1063898989")</f>
        <v>1063898989</v>
      </c>
      <c r="E22847" t="s">
        <v>21185</v>
      </c>
    </row>
    <row r="22848" spans="1:5" x14ac:dyDescent="0.25">
      <c r="A22848" t="s">
        <v>5</v>
      </c>
      <c r="B22848" t="s">
        <v>6073</v>
      </c>
      <c r="C22848" s="1" t="s">
        <v>8427</v>
      </c>
      <c r="D22848" s="1" t="str">
        <f>HYPERLINK("https://rhld.insurance.arkansas.gov/NPILookup?Npi=1073193892","1073193892")</f>
        <v>1073193892</v>
      </c>
      <c r="E22848" t="s">
        <v>23228</v>
      </c>
    </row>
    <row r="22849" spans="1:5" x14ac:dyDescent="0.25">
      <c r="A22849" t="s">
        <v>5</v>
      </c>
      <c r="B22849" t="s">
        <v>6073</v>
      </c>
      <c r="C22849" s="1" t="s">
        <v>8427</v>
      </c>
      <c r="D22849" s="1" t="str">
        <f>HYPERLINK("https://rhld.insurance.arkansas.gov/NPILookup?Npi=1073751301","1073751301")</f>
        <v>1073751301</v>
      </c>
      <c r="E22849" t="s">
        <v>23229</v>
      </c>
    </row>
    <row r="22850" spans="1:5" x14ac:dyDescent="0.25">
      <c r="A22850" t="s">
        <v>5</v>
      </c>
      <c r="B22850" t="s">
        <v>6073</v>
      </c>
      <c r="C22850" s="1" t="s">
        <v>23490</v>
      </c>
      <c r="D22850" s="1" t="str">
        <f>HYPERLINK("https://rhld.insurance.arkansas.gov/NPILookup?Npi=1073806790","1073806790")</f>
        <v>1073806790</v>
      </c>
      <c r="E22850" t="s">
        <v>20326</v>
      </c>
    </row>
    <row r="22851" spans="1:5" x14ac:dyDescent="0.25">
      <c r="A22851" t="s">
        <v>5</v>
      </c>
      <c r="B22851" t="s">
        <v>6073</v>
      </c>
      <c r="C22851" s="1" t="s">
        <v>23490</v>
      </c>
      <c r="D22851" s="1" t="str">
        <f>HYPERLINK("https://rhld.insurance.arkansas.gov/NPILookup?Npi=1073811329","1073811329")</f>
        <v>1073811329</v>
      </c>
      <c r="E22851" t="s">
        <v>11523</v>
      </c>
    </row>
    <row r="22852" spans="1:5" x14ac:dyDescent="0.25">
      <c r="A22852" t="s">
        <v>5</v>
      </c>
      <c r="B22852" t="s">
        <v>6073</v>
      </c>
      <c r="C22852" s="1" t="s">
        <v>23490</v>
      </c>
      <c r="D22852" s="1" t="str">
        <f>HYPERLINK("https://rhld.insurance.arkansas.gov/NPILookup?Npi=1073851952","1073851952")</f>
        <v>1073851952</v>
      </c>
      <c r="E22852" t="s">
        <v>20327</v>
      </c>
    </row>
    <row r="22853" spans="1:5" x14ac:dyDescent="0.25">
      <c r="A22853" t="s">
        <v>5</v>
      </c>
      <c r="B22853" t="s">
        <v>6073</v>
      </c>
      <c r="C22853" s="1" t="s">
        <v>23490</v>
      </c>
      <c r="D22853" s="1" t="str">
        <f>HYPERLINK("https://rhld.insurance.arkansas.gov/NPILookup?Npi=1073888756","1073888756")</f>
        <v>1073888756</v>
      </c>
      <c r="E22853" t="s">
        <v>11524</v>
      </c>
    </row>
    <row r="22854" spans="1:5" x14ac:dyDescent="0.25">
      <c r="A22854" t="s">
        <v>5</v>
      </c>
      <c r="B22854" t="s">
        <v>6073</v>
      </c>
      <c r="C22854" s="1" t="s">
        <v>8427</v>
      </c>
      <c r="D22854" s="1" t="str">
        <f>HYPERLINK("https://rhld.insurance.arkansas.gov/NPILookup?Npi=1073923504","1073923504")</f>
        <v>1073923504</v>
      </c>
      <c r="E22854" t="s">
        <v>23230</v>
      </c>
    </row>
    <row r="22855" spans="1:5" x14ac:dyDescent="0.25">
      <c r="A22855" t="s">
        <v>5</v>
      </c>
      <c r="B22855" t="s">
        <v>6073</v>
      </c>
      <c r="C22855" s="1" t="s">
        <v>23490</v>
      </c>
      <c r="D22855" s="1" t="str">
        <f>HYPERLINK("https://rhld.insurance.arkansas.gov/NPILookup?Npi=1073941514","1073941514")</f>
        <v>1073941514</v>
      </c>
      <c r="E22855" t="s">
        <v>11525</v>
      </c>
    </row>
    <row r="22856" spans="1:5" x14ac:dyDescent="0.25">
      <c r="A22856" t="s">
        <v>5</v>
      </c>
      <c r="B22856" t="s">
        <v>6073</v>
      </c>
      <c r="C22856" s="1" t="s">
        <v>23490</v>
      </c>
      <c r="D22856" s="1" t="str">
        <f>HYPERLINK("https://rhld.insurance.arkansas.gov/NPILookup?Npi=1073971255","1073971255")</f>
        <v>1073971255</v>
      </c>
      <c r="E22856" t="s">
        <v>13921</v>
      </c>
    </row>
    <row r="22857" spans="1:5" x14ac:dyDescent="0.25">
      <c r="A22857" t="s">
        <v>5</v>
      </c>
      <c r="B22857" t="s">
        <v>6073</v>
      </c>
      <c r="C22857" s="1" t="s">
        <v>23490</v>
      </c>
      <c r="D22857" s="1" t="str">
        <f>HYPERLINK("https://rhld.insurance.arkansas.gov/NPILookup?Npi=1073977203","1073977203")</f>
        <v>1073977203</v>
      </c>
      <c r="E22857" t="s">
        <v>20328</v>
      </c>
    </row>
    <row r="22858" spans="1:5" x14ac:dyDescent="0.25">
      <c r="A22858" t="s">
        <v>5</v>
      </c>
      <c r="B22858" t="s">
        <v>6073</v>
      </c>
      <c r="C22858" s="1" t="s">
        <v>23490</v>
      </c>
      <c r="D22858" s="1" t="str">
        <f>HYPERLINK("https://rhld.insurance.arkansas.gov/NPILookup?Npi=1083031603","1083031603")</f>
        <v>1083031603</v>
      </c>
      <c r="E22858" t="s">
        <v>13924</v>
      </c>
    </row>
    <row r="22859" spans="1:5" x14ac:dyDescent="0.25">
      <c r="A22859" t="s">
        <v>5</v>
      </c>
      <c r="B22859" t="s">
        <v>6073</v>
      </c>
      <c r="C22859" s="1" t="s">
        <v>23490</v>
      </c>
      <c r="D22859" s="1" t="str">
        <f>HYPERLINK("https://rhld.insurance.arkansas.gov/NPILookup?Npi=1083095541","1083095541")</f>
        <v>1083095541</v>
      </c>
      <c r="E22859" t="s">
        <v>13927</v>
      </c>
    </row>
    <row r="22860" spans="1:5" x14ac:dyDescent="0.25">
      <c r="A22860" t="s">
        <v>5</v>
      </c>
      <c r="B22860" t="s">
        <v>6073</v>
      </c>
      <c r="C22860" s="1" t="s">
        <v>23490</v>
      </c>
      <c r="D22860" s="1" t="str">
        <f>HYPERLINK("https://rhld.insurance.arkansas.gov/NPILookup?Npi=1083186274","1083186274")</f>
        <v>1083186274</v>
      </c>
      <c r="E22860" t="s">
        <v>13928</v>
      </c>
    </row>
    <row r="22861" spans="1:5" x14ac:dyDescent="0.25">
      <c r="A22861" t="s">
        <v>5</v>
      </c>
      <c r="B22861" t="s">
        <v>6073</v>
      </c>
      <c r="C22861" s="1" t="s">
        <v>23490</v>
      </c>
      <c r="D22861" s="1" t="str">
        <f>HYPERLINK("https://rhld.insurance.arkansas.gov/NPILookup?Npi=1083223010","1083223010")</f>
        <v>1083223010</v>
      </c>
      <c r="E22861" t="s">
        <v>20329</v>
      </c>
    </row>
    <row r="22862" spans="1:5" x14ac:dyDescent="0.25">
      <c r="A22862" t="s">
        <v>5</v>
      </c>
      <c r="B22862" t="s">
        <v>6073</v>
      </c>
      <c r="C22862" s="1" t="s">
        <v>23490</v>
      </c>
      <c r="D22862" s="1" t="str">
        <f>HYPERLINK("https://rhld.insurance.arkansas.gov/NPILookup?Npi=1083256820","1083256820")</f>
        <v>1083256820</v>
      </c>
      <c r="E22862" t="s">
        <v>21186</v>
      </c>
    </row>
    <row r="22863" spans="1:5" x14ac:dyDescent="0.25">
      <c r="A22863" t="s">
        <v>5</v>
      </c>
      <c r="B22863" t="s">
        <v>6073</v>
      </c>
      <c r="C22863" s="1" t="s">
        <v>23490</v>
      </c>
      <c r="D22863" s="1" t="str">
        <f>HYPERLINK("https://rhld.insurance.arkansas.gov/NPILookup?Npi=1083644645","1083644645")</f>
        <v>1083644645</v>
      </c>
      <c r="E22863" t="s">
        <v>4268</v>
      </c>
    </row>
    <row r="22864" spans="1:5" x14ac:dyDescent="0.25">
      <c r="A22864" t="s">
        <v>5</v>
      </c>
      <c r="B22864" t="s">
        <v>6073</v>
      </c>
      <c r="C22864" s="1" t="s">
        <v>23490</v>
      </c>
      <c r="D22864" s="1" t="str">
        <f>HYPERLINK("https://rhld.insurance.arkansas.gov/NPILookup?Npi=1093091167","1093091167")</f>
        <v>1093091167</v>
      </c>
      <c r="E22864" t="s">
        <v>11528</v>
      </c>
    </row>
    <row r="22865" spans="1:5" x14ac:dyDescent="0.25">
      <c r="A22865" t="s">
        <v>5</v>
      </c>
      <c r="B22865" t="s">
        <v>6073</v>
      </c>
      <c r="C22865" s="1" t="s">
        <v>23490</v>
      </c>
      <c r="D22865" s="1" t="str">
        <f>HYPERLINK("https://rhld.insurance.arkansas.gov/NPILookup?Npi=1093091522","1093091522")</f>
        <v>1093091522</v>
      </c>
      <c r="E22865" t="s">
        <v>19048</v>
      </c>
    </row>
    <row r="22866" spans="1:5" x14ac:dyDescent="0.25">
      <c r="A22866" t="s">
        <v>5</v>
      </c>
      <c r="B22866" t="s">
        <v>6073</v>
      </c>
      <c r="C22866" s="1" t="s">
        <v>23490</v>
      </c>
      <c r="D22866" s="1" t="str">
        <f>HYPERLINK("https://rhld.insurance.arkansas.gov/NPILookup?Npi=1093180580","1093180580")</f>
        <v>1093180580</v>
      </c>
      <c r="E22866" t="s">
        <v>20341</v>
      </c>
    </row>
    <row r="22867" spans="1:5" x14ac:dyDescent="0.25">
      <c r="A22867" t="s">
        <v>5</v>
      </c>
      <c r="B22867" t="s">
        <v>6073</v>
      </c>
      <c r="C22867" s="1" t="s">
        <v>23490</v>
      </c>
      <c r="D22867" s="1" t="str">
        <f>HYPERLINK("https://rhld.insurance.arkansas.gov/NPILookup?Npi=1093192338","1093192338")</f>
        <v>1093192338</v>
      </c>
      <c r="E22867" t="s">
        <v>18250</v>
      </c>
    </row>
    <row r="22868" spans="1:5" x14ac:dyDescent="0.25">
      <c r="A22868" t="s">
        <v>5</v>
      </c>
      <c r="B22868" t="s">
        <v>6073</v>
      </c>
      <c r="C22868" s="1" t="s">
        <v>23490</v>
      </c>
      <c r="D22868" s="1" t="str">
        <f>HYPERLINK("https://rhld.insurance.arkansas.gov/NPILookup?Npi=1093225849","1093225849")</f>
        <v>1093225849</v>
      </c>
      <c r="E22868" t="s">
        <v>18251</v>
      </c>
    </row>
    <row r="22869" spans="1:5" x14ac:dyDescent="0.25">
      <c r="A22869" t="s">
        <v>5</v>
      </c>
      <c r="B22869" t="s">
        <v>6073</v>
      </c>
      <c r="C22869" s="1" t="s">
        <v>23490</v>
      </c>
      <c r="D22869" s="1" t="str">
        <f>HYPERLINK("https://rhld.insurance.arkansas.gov/NPILookup?Npi=1093231441","1093231441")</f>
        <v>1093231441</v>
      </c>
      <c r="E22869" t="s">
        <v>19049</v>
      </c>
    </row>
    <row r="22870" spans="1:5" x14ac:dyDescent="0.25">
      <c r="A22870" t="s">
        <v>5</v>
      </c>
      <c r="B22870" t="s">
        <v>6073</v>
      </c>
      <c r="C22870" s="1" t="s">
        <v>23490</v>
      </c>
      <c r="D22870" s="1" t="str">
        <f>HYPERLINK("https://rhld.insurance.arkansas.gov/NPILookup?Npi=1093317166","1093317166")</f>
        <v>1093317166</v>
      </c>
      <c r="E22870" t="s">
        <v>19050</v>
      </c>
    </row>
    <row r="22871" spans="1:5" x14ac:dyDescent="0.25">
      <c r="A22871" t="s">
        <v>5</v>
      </c>
      <c r="B22871" t="s">
        <v>6073</v>
      </c>
      <c r="C22871" s="1" t="s">
        <v>8427</v>
      </c>
      <c r="D22871" s="1" t="str">
        <f>HYPERLINK("https://rhld.insurance.arkansas.gov/NPILookup?Npi=1093367138","1093367138")</f>
        <v>1093367138</v>
      </c>
      <c r="E22871" t="s">
        <v>23041</v>
      </c>
    </row>
    <row r="22872" spans="1:5" x14ac:dyDescent="0.25">
      <c r="A22872" t="s">
        <v>5</v>
      </c>
      <c r="B22872" t="s">
        <v>6073</v>
      </c>
      <c r="C22872" s="1" t="s">
        <v>23490</v>
      </c>
      <c r="D22872" s="1" t="str">
        <f>HYPERLINK("https://rhld.insurance.arkansas.gov/NPILookup?Npi=1093901928","1093901928")</f>
        <v>1093901928</v>
      </c>
      <c r="E22872" t="s">
        <v>13938</v>
      </c>
    </row>
    <row r="22873" spans="1:5" x14ac:dyDescent="0.25">
      <c r="A22873" t="s">
        <v>5</v>
      </c>
      <c r="B22873" t="s">
        <v>6073</v>
      </c>
      <c r="C22873" s="1" t="s">
        <v>23490</v>
      </c>
      <c r="D22873" s="1" t="str">
        <f>HYPERLINK("https://rhld.insurance.arkansas.gov/NPILookup?Npi=1104015668","1104015668")</f>
        <v>1104015668</v>
      </c>
      <c r="E22873" t="s">
        <v>13939</v>
      </c>
    </row>
    <row r="22874" spans="1:5" x14ac:dyDescent="0.25">
      <c r="A22874" t="s">
        <v>5</v>
      </c>
      <c r="B22874" t="s">
        <v>6073</v>
      </c>
      <c r="C22874" s="1" t="s">
        <v>23490</v>
      </c>
      <c r="D22874" s="1" t="str">
        <f>HYPERLINK("https://rhld.insurance.arkansas.gov/NPILookup?Npi=1104019108","1104019108")</f>
        <v>1104019108</v>
      </c>
      <c r="E22874" t="s">
        <v>18488</v>
      </c>
    </row>
    <row r="22875" spans="1:5" x14ac:dyDescent="0.25">
      <c r="A22875" t="s">
        <v>5</v>
      </c>
      <c r="B22875" t="s">
        <v>6073</v>
      </c>
      <c r="C22875" s="1" t="s">
        <v>23490</v>
      </c>
      <c r="D22875" s="1" t="str">
        <f>HYPERLINK("https://rhld.insurance.arkansas.gov/NPILookup?Npi=1104152800","1104152800")</f>
        <v>1104152800</v>
      </c>
      <c r="E22875" t="s">
        <v>18489</v>
      </c>
    </row>
    <row r="22876" spans="1:5" x14ac:dyDescent="0.25">
      <c r="A22876" t="s">
        <v>5</v>
      </c>
      <c r="B22876" t="s">
        <v>6073</v>
      </c>
      <c r="C22876" s="1" t="s">
        <v>23490</v>
      </c>
      <c r="D22876" s="1" t="str">
        <f>HYPERLINK("https://rhld.insurance.arkansas.gov/NPILookup?Npi=1104214576","1104214576")</f>
        <v>1104214576</v>
      </c>
      <c r="E22876" t="s">
        <v>20665</v>
      </c>
    </row>
    <row r="22877" spans="1:5" x14ac:dyDescent="0.25">
      <c r="A22877" t="s">
        <v>5</v>
      </c>
      <c r="B22877" t="s">
        <v>6073</v>
      </c>
      <c r="C22877" s="1" t="s">
        <v>23490</v>
      </c>
      <c r="D22877" s="1" t="str">
        <f>HYPERLINK("https://rhld.insurance.arkansas.gov/NPILookup?Npi=1104227586","1104227586")</f>
        <v>1104227586</v>
      </c>
      <c r="E22877" t="s">
        <v>19051</v>
      </c>
    </row>
    <row r="22878" spans="1:5" x14ac:dyDescent="0.25">
      <c r="A22878" t="s">
        <v>5</v>
      </c>
      <c r="B22878" t="s">
        <v>6073</v>
      </c>
      <c r="C22878" s="1" t="s">
        <v>23490</v>
      </c>
      <c r="D22878" s="1" t="str">
        <f>HYPERLINK("https://rhld.insurance.arkansas.gov/NPILookup?Npi=1104234004","1104234004")</f>
        <v>1104234004</v>
      </c>
      <c r="E22878" t="s">
        <v>11531</v>
      </c>
    </row>
    <row r="22879" spans="1:5" x14ac:dyDescent="0.25">
      <c r="A22879" t="s">
        <v>5</v>
      </c>
      <c r="B22879" t="s">
        <v>6073</v>
      </c>
      <c r="C22879" s="1" t="s">
        <v>23490</v>
      </c>
      <c r="D22879" s="1" t="str">
        <f>HYPERLINK("https://rhld.insurance.arkansas.gov/NPILookup?Npi=1104272616","1104272616")</f>
        <v>1104272616</v>
      </c>
      <c r="E22879" t="s">
        <v>13943</v>
      </c>
    </row>
    <row r="22880" spans="1:5" x14ac:dyDescent="0.25">
      <c r="A22880" t="s">
        <v>5</v>
      </c>
      <c r="B22880" t="s">
        <v>6073</v>
      </c>
      <c r="C22880" s="1" t="s">
        <v>23490</v>
      </c>
      <c r="D22880" s="1" t="str">
        <f>HYPERLINK("https://rhld.insurance.arkansas.gov/NPILookup?Npi=1104442565","1104442565")</f>
        <v>1104442565</v>
      </c>
      <c r="E22880" t="s">
        <v>18490</v>
      </c>
    </row>
    <row r="22881" spans="1:5" x14ac:dyDescent="0.25">
      <c r="A22881" t="s">
        <v>5</v>
      </c>
      <c r="B22881" t="s">
        <v>6073</v>
      </c>
      <c r="C22881" s="1" t="s">
        <v>23490</v>
      </c>
      <c r="D22881" s="1" t="str">
        <f>HYPERLINK("https://rhld.insurance.arkansas.gov/NPILookup?Npi=1104807635","1104807635")</f>
        <v>1104807635</v>
      </c>
      <c r="E22881" t="s">
        <v>11533</v>
      </c>
    </row>
    <row r="22882" spans="1:5" x14ac:dyDescent="0.25">
      <c r="A22882" t="s">
        <v>5</v>
      </c>
      <c r="B22882" t="s">
        <v>6073</v>
      </c>
      <c r="C22882" s="1" t="s">
        <v>23490</v>
      </c>
      <c r="D22882" s="1" t="str">
        <f>HYPERLINK("https://rhld.insurance.arkansas.gov/NPILookup?Npi=1104822097","1104822097")</f>
        <v>1104822097</v>
      </c>
      <c r="E22882" t="s">
        <v>4304</v>
      </c>
    </row>
    <row r="22883" spans="1:5" x14ac:dyDescent="0.25">
      <c r="A22883" t="s">
        <v>5</v>
      </c>
      <c r="B22883" t="s">
        <v>6073</v>
      </c>
      <c r="C22883" s="1" t="s">
        <v>23490</v>
      </c>
      <c r="D22883" s="1" t="str">
        <f>HYPERLINK("https://rhld.insurance.arkansas.gov/NPILookup?Npi=1114030277","1114030277")</f>
        <v>1114030277</v>
      </c>
      <c r="E22883" t="s">
        <v>13945</v>
      </c>
    </row>
    <row r="22884" spans="1:5" x14ac:dyDescent="0.25">
      <c r="A22884" t="s">
        <v>5</v>
      </c>
      <c r="B22884" t="s">
        <v>6073</v>
      </c>
      <c r="C22884" s="1" t="s">
        <v>23490</v>
      </c>
      <c r="D22884" s="1" t="str">
        <f>HYPERLINK("https://rhld.insurance.arkansas.gov/NPILookup?Npi=1114063765","1114063765")</f>
        <v>1114063765</v>
      </c>
      <c r="E22884" t="s">
        <v>13946</v>
      </c>
    </row>
    <row r="22885" spans="1:5" x14ac:dyDescent="0.25">
      <c r="A22885" t="s">
        <v>5</v>
      </c>
      <c r="B22885" t="s">
        <v>6073</v>
      </c>
      <c r="C22885" s="1" t="s">
        <v>23490</v>
      </c>
      <c r="D22885" s="1" t="str">
        <f>HYPERLINK("https://rhld.insurance.arkansas.gov/NPILookup?Npi=1114229077","1114229077")</f>
        <v>1114229077</v>
      </c>
      <c r="E22885" t="s">
        <v>18491</v>
      </c>
    </row>
    <row r="22886" spans="1:5" x14ac:dyDescent="0.25">
      <c r="A22886" t="s">
        <v>5</v>
      </c>
      <c r="B22886" t="s">
        <v>6073</v>
      </c>
      <c r="C22886" s="1" t="s">
        <v>23490</v>
      </c>
      <c r="D22886" s="1" t="str">
        <f>HYPERLINK("https://rhld.insurance.arkansas.gov/NPILookup?Npi=1114236130","1114236130")</f>
        <v>1114236130</v>
      </c>
      <c r="E22886" t="s">
        <v>11534</v>
      </c>
    </row>
    <row r="22887" spans="1:5" x14ac:dyDescent="0.25">
      <c r="A22887" t="s">
        <v>5</v>
      </c>
      <c r="B22887" t="s">
        <v>6073</v>
      </c>
      <c r="C22887" s="1" t="s">
        <v>23490</v>
      </c>
      <c r="D22887" s="1" t="str">
        <f>HYPERLINK("https://rhld.insurance.arkansas.gov/NPILookup?Npi=1114460466","1114460466")</f>
        <v>1114460466</v>
      </c>
      <c r="E22887" t="s">
        <v>13953</v>
      </c>
    </row>
    <row r="22888" spans="1:5" x14ac:dyDescent="0.25">
      <c r="A22888" t="s">
        <v>5</v>
      </c>
      <c r="B22888" t="s">
        <v>6073</v>
      </c>
      <c r="C22888" s="1" t="s">
        <v>23490</v>
      </c>
      <c r="D22888" s="1" t="str">
        <f>HYPERLINK("https://rhld.insurance.arkansas.gov/NPILookup?Npi=1114473261","1114473261")</f>
        <v>1114473261</v>
      </c>
      <c r="E22888" t="s">
        <v>13954</v>
      </c>
    </row>
    <row r="22889" spans="1:5" x14ac:dyDescent="0.25">
      <c r="A22889" t="s">
        <v>5</v>
      </c>
      <c r="B22889" t="s">
        <v>6073</v>
      </c>
      <c r="C22889" s="1" t="s">
        <v>23490</v>
      </c>
      <c r="D22889" s="1" t="str">
        <f>HYPERLINK("https://rhld.insurance.arkansas.gov/NPILookup?Npi=1114525284","1114525284")</f>
        <v>1114525284</v>
      </c>
      <c r="E22889" t="s">
        <v>21187</v>
      </c>
    </row>
    <row r="22890" spans="1:5" x14ac:dyDescent="0.25">
      <c r="A22890" t="s">
        <v>5</v>
      </c>
      <c r="B22890" t="s">
        <v>6073</v>
      </c>
      <c r="C22890" s="1" t="s">
        <v>23490</v>
      </c>
      <c r="D22890" s="1" t="str">
        <f>HYPERLINK("https://rhld.insurance.arkansas.gov/NPILookup?Npi=1124224035","1124224035")</f>
        <v>1124224035</v>
      </c>
      <c r="E22890" t="s">
        <v>11537</v>
      </c>
    </row>
    <row r="22891" spans="1:5" x14ac:dyDescent="0.25">
      <c r="A22891" t="s">
        <v>5</v>
      </c>
      <c r="B22891" t="s">
        <v>6073</v>
      </c>
      <c r="C22891" s="1" t="s">
        <v>23490</v>
      </c>
      <c r="D22891" s="1" t="str">
        <f>HYPERLINK("https://rhld.insurance.arkansas.gov/NPILookup?Npi=1124243985","1124243985")</f>
        <v>1124243985</v>
      </c>
      <c r="E22891" t="s">
        <v>20355</v>
      </c>
    </row>
    <row r="22892" spans="1:5" x14ac:dyDescent="0.25">
      <c r="A22892" t="s">
        <v>5</v>
      </c>
      <c r="B22892" t="s">
        <v>6073</v>
      </c>
      <c r="C22892" s="1" t="s">
        <v>23490</v>
      </c>
      <c r="D22892" s="1" t="str">
        <f>HYPERLINK("https://rhld.insurance.arkansas.gov/NPILookup?Npi=1124386248","1124386248")</f>
        <v>1124386248</v>
      </c>
      <c r="E22892" t="s">
        <v>20357</v>
      </c>
    </row>
    <row r="22893" spans="1:5" x14ac:dyDescent="0.25">
      <c r="A22893" t="s">
        <v>5</v>
      </c>
      <c r="B22893" t="s">
        <v>6073</v>
      </c>
      <c r="C22893" s="1" t="s">
        <v>23490</v>
      </c>
      <c r="D22893" s="1" t="str">
        <f>HYPERLINK("https://rhld.insurance.arkansas.gov/NPILookup?Npi=1124455225","1124455225")</f>
        <v>1124455225</v>
      </c>
      <c r="E22893" t="s">
        <v>11539</v>
      </c>
    </row>
    <row r="22894" spans="1:5" x14ac:dyDescent="0.25">
      <c r="A22894" t="s">
        <v>5</v>
      </c>
      <c r="B22894" t="s">
        <v>6073</v>
      </c>
      <c r="C22894" s="1" t="s">
        <v>8427</v>
      </c>
      <c r="D22894" s="1" t="str">
        <f>HYPERLINK("https://rhld.insurance.arkansas.gov/NPILookup?Npi=1124671722","1124671722")</f>
        <v>1124671722</v>
      </c>
      <c r="E22894" t="s">
        <v>20219</v>
      </c>
    </row>
    <row r="22895" spans="1:5" x14ac:dyDescent="0.25">
      <c r="A22895" t="s">
        <v>5</v>
      </c>
      <c r="B22895" t="s">
        <v>6073</v>
      </c>
      <c r="C22895" s="1" t="s">
        <v>23490</v>
      </c>
      <c r="D22895" s="1" t="str">
        <f>HYPERLINK("https://rhld.insurance.arkansas.gov/NPILookup?Npi=1134143159","1134143159")</f>
        <v>1134143159</v>
      </c>
      <c r="E22895" t="s">
        <v>18492</v>
      </c>
    </row>
    <row r="22896" spans="1:5" x14ac:dyDescent="0.25">
      <c r="A22896" t="s">
        <v>5</v>
      </c>
      <c r="B22896" t="s">
        <v>6073</v>
      </c>
      <c r="C22896" s="1" t="s">
        <v>23490</v>
      </c>
      <c r="D22896" s="1" t="str">
        <f>HYPERLINK("https://rhld.insurance.arkansas.gov/NPILookup?Npi=1134396807","1134396807")</f>
        <v>1134396807</v>
      </c>
      <c r="E22896" t="s">
        <v>20361</v>
      </c>
    </row>
    <row r="22897" spans="1:5" x14ac:dyDescent="0.25">
      <c r="A22897" t="s">
        <v>5</v>
      </c>
      <c r="B22897" t="s">
        <v>6073</v>
      </c>
      <c r="C22897" s="1" t="s">
        <v>8427</v>
      </c>
      <c r="D22897" s="1" t="str">
        <f>HYPERLINK("https://rhld.insurance.arkansas.gov/NPILookup?Npi=1134410467","1134410467")</f>
        <v>1134410467</v>
      </c>
      <c r="E22897" t="s">
        <v>23051</v>
      </c>
    </row>
    <row r="22898" spans="1:5" x14ac:dyDescent="0.25">
      <c r="A22898" t="s">
        <v>5</v>
      </c>
      <c r="B22898" t="s">
        <v>6073</v>
      </c>
      <c r="C22898" s="1" t="s">
        <v>23490</v>
      </c>
      <c r="D22898" s="1" t="str">
        <f>HYPERLINK("https://rhld.insurance.arkansas.gov/NPILookup?Npi=1134468895","1134468895")</f>
        <v>1134468895</v>
      </c>
      <c r="E22898" t="s">
        <v>11543</v>
      </c>
    </row>
    <row r="22899" spans="1:5" x14ac:dyDescent="0.25">
      <c r="A22899" t="s">
        <v>5</v>
      </c>
      <c r="B22899" t="s">
        <v>6073</v>
      </c>
      <c r="C22899" s="1" t="s">
        <v>23490</v>
      </c>
      <c r="D22899" s="1" t="str">
        <f>HYPERLINK("https://rhld.insurance.arkansas.gov/NPILookup?Npi=1134588452","1134588452")</f>
        <v>1134588452</v>
      </c>
      <c r="E22899" t="s">
        <v>18265</v>
      </c>
    </row>
    <row r="22900" spans="1:5" x14ac:dyDescent="0.25">
      <c r="A22900" t="s">
        <v>5</v>
      </c>
      <c r="B22900" t="s">
        <v>6073</v>
      </c>
      <c r="C22900" s="1" t="s">
        <v>23490</v>
      </c>
      <c r="D22900" s="1" t="str">
        <f>HYPERLINK("https://rhld.insurance.arkansas.gov/NPILookup?Npi=1134603236","1134603236")</f>
        <v>1134603236</v>
      </c>
      <c r="E22900" t="s">
        <v>11092</v>
      </c>
    </row>
    <row r="22901" spans="1:5" x14ac:dyDescent="0.25">
      <c r="A22901" t="s">
        <v>5</v>
      </c>
      <c r="B22901" t="s">
        <v>6073</v>
      </c>
      <c r="C22901" s="1" t="s">
        <v>23490</v>
      </c>
      <c r="D22901" s="1" t="str">
        <f>HYPERLINK("https://rhld.insurance.arkansas.gov/NPILookup?Npi=1134608698","1134608698")</f>
        <v>1134608698</v>
      </c>
      <c r="E22901" t="s">
        <v>21188</v>
      </c>
    </row>
    <row r="22902" spans="1:5" x14ac:dyDescent="0.25">
      <c r="A22902" t="s">
        <v>5</v>
      </c>
      <c r="B22902" t="s">
        <v>6073</v>
      </c>
      <c r="C22902" s="1" t="s">
        <v>23490</v>
      </c>
      <c r="D22902" s="1" t="str">
        <f>HYPERLINK("https://rhld.insurance.arkansas.gov/NPILookup?Npi=1134643174","1134643174")</f>
        <v>1134643174</v>
      </c>
      <c r="E22902" t="s">
        <v>18493</v>
      </c>
    </row>
    <row r="22903" spans="1:5" x14ac:dyDescent="0.25">
      <c r="A22903" t="s">
        <v>5</v>
      </c>
      <c r="B22903" t="s">
        <v>6073</v>
      </c>
      <c r="C22903" s="1" t="s">
        <v>23490</v>
      </c>
      <c r="D22903" s="1" t="str">
        <f>HYPERLINK("https://rhld.insurance.arkansas.gov/NPILookup?Npi=1134666472","1134666472")</f>
        <v>1134666472</v>
      </c>
      <c r="E22903" t="s">
        <v>20364</v>
      </c>
    </row>
    <row r="22904" spans="1:5" x14ac:dyDescent="0.25">
      <c r="A22904" t="s">
        <v>5</v>
      </c>
      <c r="B22904" t="s">
        <v>6073</v>
      </c>
      <c r="C22904" s="1" t="s">
        <v>23490</v>
      </c>
      <c r="D22904" s="1" t="str">
        <f>HYPERLINK("https://rhld.insurance.arkansas.gov/NPILookup?Npi=1134674906","1134674906")</f>
        <v>1134674906</v>
      </c>
      <c r="E22904" t="s">
        <v>13964</v>
      </c>
    </row>
    <row r="22905" spans="1:5" x14ac:dyDescent="0.25">
      <c r="A22905" t="s">
        <v>5</v>
      </c>
      <c r="B22905" t="s">
        <v>6073</v>
      </c>
      <c r="C22905" s="1" t="s">
        <v>8427</v>
      </c>
      <c r="D22905" s="1" t="str">
        <f>HYPERLINK("https://rhld.insurance.arkansas.gov/NPILookup?Npi=1134734494","1134734494")</f>
        <v>1134734494</v>
      </c>
      <c r="E22905" t="s">
        <v>23231</v>
      </c>
    </row>
    <row r="22906" spans="1:5" x14ac:dyDescent="0.25">
      <c r="A22906" t="s">
        <v>5</v>
      </c>
      <c r="B22906" t="s">
        <v>6073</v>
      </c>
      <c r="C22906" s="1" t="s">
        <v>8427</v>
      </c>
      <c r="D22906" s="1" t="str">
        <f>HYPERLINK("https://rhld.insurance.arkansas.gov/NPILookup?Npi=1144003518","1144003518")</f>
        <v>1144003518</v>
      </c>
      <c r="E22906" t="s">
        <v>23232</v>
      </c>
    </row>
    <row r="22907" spans="1:5" x14ac:dyDescent="0.25">
      <c r="A22907" t="s">
        <v>5</v>
      </c>
      <c r="B22907" t="s">
        <v>6073</v>
      </c>
      <c r="C22907" s="1" t="s">
        <v>23490</v>
      </c>
      <c r="D22907" s="1" t="str">
        <f>HYPERLINK("https://rhld.insurance.arkansas.gov/NPILookup?Npi=1144498981","1144498981")</f>
        <v>1144498981</v>
      </c>
      <c r="E22907" t="s">
        <v>11544</v>
      </c>
    </row>
    <row r="22908" spans="1:5" x14ac:dyDescent="0.25">
      <c r="A22908" t="s">
        <v>5</v>
      </c>
      <c r="B22908" t="s">
        <v>6073</v>
      </c>
      <c r="C22908" s="1" t="s">
        <v>23490</v>
      </c>
      <c r="D22908" s="1" t="str">
        <f>HYPERLINK("https://rhld.insurance.arkansas.gov/NPILookup?Npi=1144502238","1144502238")</f>
        <v>1144502238</v>
      </c>
      <c r="E22908" t="s">
        <v>18950</v>
      </c>
    </row>
    <row r="22909" spans="1:5" x14ac:dyDescent="0.25">
      <c r="A22909" t="s">
        <v>5</v>
      </c>
      <c r="B22909" t="s">
        <v>6073</v>
      </c>
      <c r="C22909" s="1" t="s">
        <v>23490</v>
      </c>
      <c r="D22909" s="1" t="str">
        <f>HYPERLINK("https://rhld.insurance.arkansas.gov/NPILookup?Npi=1144543026","1144543026")</f>
        <v>1144543026</v>
      </c>
      <c r="E22909" t="s">
        <v>11546</v>
      </c>
    </row>
    <row r="22910" spans="1:5" x14ac:dyDescent="0.25">
      <c r="A22910" t="s">
        <v>5</v>
      </c>
      <c r="B22910" t="s">
        <v>6073</v>
      </c>
      <c r="C22910" s="1" t="s">
        <v>23490</v>
      </c>
      <c r="D22910" s="1" t="str">
        <f>HYPERLINK("https://rhld.insurance.arkansas.gov/NPILookup?Npi=1144697475","1144697475")</f>
        <v>1144697475</v>
      </c>
      <c r="E22910" t="s">
        <v>20666</v>
      </c>
    </row>
    <row r="22911" spans="1:5" x14ac:dyDescent="0.25">
      <c r="A22911" t="s">
        <v>5</v>
      </c>
      <c r="B22911" t="s">
        <v>6073</v>
      </c>
      <c r="C22911" s="1" t="s">
        <v>8427</v>
      </c>
      <c r="D22911" s="1" t="str">
        <f>HYPERLINK("https://rhld.insurance.arkansas.gov/NPILookup?Npi=1144700725","1144700725")</f>
        <v>1144700725</v>
      </c>
      <c r="E22911" t="s">
        <v>23053</v>
      </c>
    </row>
    <row r="22912" spans="1:5" x14ac:dyDescent="0.25">
      <c r="A22912" t="s">
        <v>5</v>
      </c>
      <c r="B22912" t="s">
        <v>6073</v>
      </c>
      <c r="C22912" s="1" t="s">
        <v>23490</v>
      </c>
      <c r="D22912" s="1" t="str">
        <f>HYPERLINK("https://rhld.insurance.arkansas.gov/NPILookup?Npi=1144732405","1144732405")</f>
        <v>1144732405</v>
      </c>
      <c r="E22912" t="s">
        <v>18951</v>
      </c>
    </row>
    <row r="22913" spans="1:5" x14ac:dyDescent="0.25">
      <c r="A22913" t="s">
        <v>5</v>
      </c>
      <c r="B22913" t="s">
        <v>6073</v>
      </c>
      <c r="C22913" s="1" t="s">
        <v>23490</v>
      </c>
      <c r="D22913" s="1" t="str">
        <f>HYPERLINK("https://rhld.insurance.arkansas.gov/NPILookup?Npi=1144879404","1144879404")</f>
        <v>1144879404</v>
      </c>
      <c r="E22913" t="s">
        <v>18271</v>
      </c>
    </row>
    <row r="22914" spans="1:5" x14ac:dyDescent="0.25">
      <c r="A22914" t="s">
        <v>5</v>
      </c>
      <c r="B22914" t="s">
        <v>6073</v>
      </c>
      <c r="C22914" s="1" t="s">
        <v>23490</v>
      </c>
      <c r="D22914" s="1" t="str">
        <f>HYPERLINK("https://rhld.insurance.arkansas.gov/NPILookup?Npi=1144890708","1144890708")</f>
        <v>1144890708</v>
      </c>
      <c r="E22914" t="s">
        <v>19052</v>
      </c>
    </row>
    <row r="22915" spans="1:5" x14ac:dyDescent="0.25">
      <c r="A22915" t="s">
        <v>5</v>
      </c>
      <c r="B22915" t="s">
        <v>6073</v>
      </c>
      <c r="C22915" s="1" t="s">
        <v>23490</v>
      </c>
      <c r="D22915" s="1" t="str">
        <f>HYPERLINK("https://rhld.insurance.arkansas.gov/NPILookup?Npi=1154069367","1154069367")</f>
        <v>1154069367</v>
      </c>
      <c r="E22915" t="s">
        <v>21189</v>
      </c>
    </row>
    <row r="22916" spans="1:5" x14ac:dyDescent="0.25">
      <c r="A22916" t="s">
        <v>5</v>
      </c>
      <c r="B22916" t="s">
        <v>6073</v>
      </c>
      <c r="C22916" s="1" t="s">
        <v>23490</v>
      </c>
      <c r="D22916" s="1" t="str">
        <f>HYPERLINK("https://rhld.insurance.arkansas.gov/NPILookup?Npi=1154574176","1154574176")</f>
        <v>1154574176</v>
      </c>
      <c r="E22916" t="s">
        <v>20369</v>
      </c>
    </row>
    <row r="22917" spans="1:5" x14ac:dyDescent="0.25">
      <c r="A22917" t="s">
        <v>5</v>
      </c>
      <c r="B22917" t="s">
        <v>6073</v>
      </c>
      <c r="C22917" s="1" t="s">
        <v>23490</v>
      </c>
      <c r="D22917" s="1" t="str">
        <f>HYPERLINK("https://rhld.insurance.arkansas.gov/NPILookup?Npi=1154600088","1154600088")</f>
        <v>1154600088</v>
      </c>
      <c r="E22917" t="s">
        <v>18494</v>
      </c>
    </row>
    <row r="22918" spans="1:5" x14ac:dyDescent="0.25">
      <c r="A22918" t="s">
        <v>5</v>
      </c>
      <c r="B22918" t="s">
        <v>6073</v>
      </c>
      <c r="C22918" s="1" t="s">
        <v>23490</v>
      </c>
      <c r="D22918" s="1" t="str">
        <f>HYPERLINK("https://rhld.insurance.arkansas.gov/NPILookup?Npi=1154800563","1154800563")</f>
        <v>1154800563</v>
      </c>
      <c r="E22918" t="s">
        <v>20667</v>
      </c>
    </row>
    <row r="22919" spans="1:5" x14ac:dyDescent="0.25">
      <c r="A22919" t="s">
        <v>5</v>
      </c>
      <c r="B22919" t="s">
        <v>6073</v>
      </c>
      <c r="C22919" s="1" t="s">
        <v>23490</v>
      </c>
      <c r="D22919" s="1" t="str">
        <f>HYPERLINK("https://rhld.insurance.arkansas.gov/NPILookup?Npi=1154847325","1154847325")</f>
        <v>1154847325</v>
      </c>
      <c r="E22919" t="s">
        <v>21190</v>
      </c>
    </row>
    <row r="22920" spans="1:5" x14ac:dyDescent="0.25">
      <c r="A22920" t="s">
        <v>5</v>
      </c>
      <c r="B22920" t="s">
        <v>6073</v>
      </c>
      <c r="C22920" s="1" t="s">
        <v>23490</v>
      </c>
      <c r="D22920" s="1" t="str">
        <f>HYPERLINK("https://rhld.insurance.arkansas.gov/NPILookup?Npi=1164031951","1164031951")</f>
        <v>1164031951</v>
      </c>
      <c r="E22920" t="s">
        <v>21191</v>
      </c>
    </row>
    <row r="22921" spans="1:5" x14ac:dyDescent="0.25">
      <c r="A22921" t="s">
        <v>5</v>
      </c>
      <c r="B22921" t="s">
        <v>6073</v>
      </c>
      <c r="C22921" s="1" t="s">
        <v>8427</v>
      </c>
      <c r="D22921" s="1" t="str">
        <f>HYPERLINK("https://rhld.insurance.arkansas.gov/NPILookup?Npi=1164131330","1164131330")</f>
        <v>1164131330</v>
      </c>
      <c r="E22921" t="s">
        <v>21884</v>
      </c>
    </row>
    <row r="22922" spans="1:5" x14ac:dyDescent="0.25">
      <c r="A22922" t="s">
        <v>5</v>
      </c>
      <c r="B22922" t="s">
        <v>6073</v>
      </c>
      <c r="C22922" s="1" t="s">
        <v>23490</v>
      </c>
      <c r="D22922" s="1" t="str">
        <f>HYPERLINK("https://rhld.insurance.arkansas.gov/NPILookup?Npi=1164489290","1164489290")</f>
        <v>1164489290</v>
      </c>
      <c r="E22922" t="s">
        <v>4412</v>
      </c>
    </row>
    <row r="22923" spans="1:5" x14ac:dyDescent="0.25">
      <c r="A22923" t="s">
        <v>5</v>
      </c>
      <c r="B22923" t="s">
        <v>6073</v>
      </c>
      <c r="C22923" s="1" t="s">
        <v>23490</v>
      </c>
      <c r="D22923" s="1" t="str">
        <f>HYPERLINK("https://rhld.insurance.arkansas.gov/NPILookup?Npi=1164512737","1164512737")</f>
        <v>1164512737</v>
      </c>
      <c r="E22923" t="s">
        <v>6075</v>
      </c>
    </row>
    <row r="22924" spans="1:5" x14ac:dyDescent="0.25">
      <c r="A22924" t="s">
        <v>5</v>
      </c>
      <c r="B22924" t="s">
        <v>6073</v>
      </c>
      <c r="C22924" s="1" t="s">
        <v>23490</v>
      </c>
      <c r="D22924" s="1" t="str">
        <f>HYPERLINK("https://rhld.insurance.arkansas.gov/NPILookup?Npi=1164604443","1164604443")</f>
        <v>1164604443</v>
      </c>
      <c r="E22924" t="s">
        <v>18495</v>
      </c>
    </row>
    <row r="22925" spans="1:5" x14ac:dyDescent="0.25">
      <c r="A22925" t="s">
        <v>5</v>
      </c>
      <c r="B22925" t="s">
        <v>6073</v>
      </c>
      <c r="C22925" s="1" t="s">
        <v>23490</v>
      </c>
      <c r="D22925" s="1" t="str">
        <f>HYPERLINK("https://rhld.insurance.arkansas.gov/NPILookup?Npi=1164672291","1164672291")</f>
        <v>1164672291</v>
      </c>
      <c r="E22925" t="s">
        <v>13086</v>
      </c>
    </row>
    <row r="22926" spans="1:5" x14ac:dyDescent="0.25">
      <c r="A22926" t="s">
        <v>5</v>
      </c>
      <c r="B22926" t="s">
        <v>6073</v>
      </c>
      <c r="C22926" s="1" t="s">
        <v>23490</v>
      </c>
      <c r="D22926" s="1" t="str">
        <f>HYPERLINK("https://rhld.insurance.arkansas.gov/NPILookup?Npi=1164707824","1164707824")</f>
        <v>1164707824</v>
      </c>
      <c r="E22926" t="s">
        <v>13972</v>
      </c>
    </row>
    <row r="22927" spans="1:5" x14ac:dyDescent="0.25">
      <c r="A22927" t="s">
        <v>5</v>
      </c>
      <c r="B22927" t="s">
        <v>6073</v>
      </c>
      <c r="C22927" s="1" t="s">
        <v>23490</v>
      </c>
      <c r="D22927" s="1" t="str">
        <f>HYPERLINK("https://rhld.insurance.arkansas.gov/NPILookup?Npi=1164713582","1164713582")</f>
        <v>1164713582</v>
      </c>
      <c r="E22927" t="s">
        <v>11550</v>
      </c>
    </row>
    <row r="22928" spans="1:5" x14ac:dyDescent="0.25">
      <c r="A22928" t="s">
        <v>5</v>
      </c>
      <c r="B22928" t="s">
        <v>6073</v>
      </c>
      <c r="C22928" s="1" t="s">
        <v>23490</v>
      </c>
      <c r="D22928" s="1" t="str">
        <f>HYPERLINK("https://rhld.insurance.arkansas.gov/NPILookup?Npi=1164782124","1164782124")</f>
        <v>1164782124</v>
      </c>
      <c r="E22928" t="s">
        <v>20373</v>
      </c>
    </row>
    <row r="22929" spans="1:5" x14ac:dyDescent="0.25">
      <c r="A22929" t="s">
        <v>5</v>
      </c>
      <c r="B22929" t="s">
        <v>6073</v>
      </c>
      <c r="C22929" s="1" t="s">
        <v>23490</v>
      </c>
      <c r="D22929" s="1" t="str">
        <f>HYPERLINK("https://rhld.insurance.arkansas.gov/NPILookup?Npi=1164822086","1164822086")</f>
        <v>1164822086</v>
      </c>
      <c r="E22929" t="s">
        <v>11551</v>
      </c>
    </row>
    <row r="22930" spans="1:5" x14ac:dyDescent="0.25">
      <c r="A22930" t="s">
        <v>5</v>
      </c>
      <c r="B22930" t="s">
        <v>6073</v>
      </c>
      <c r="C22930" s="1" t="s">
        <v>8427</v>
      </c>
      <c r="D22930" s="1" t="str">
        <f>HYPERLINK("https://rhld.insurance.arkansas.gov/NPILookup?Npi=1164838660","1164838660")</f>
        <v>1164838660</v>
      </c>
      <c r="E22930" t="s">
        <v>23059</v>
      </c>
    </row>
    <row r="22931" spans="1:5" x14ac:dyDescent="0.25">
      <c r="A22931" t="s">
        <v>5</v>
      </c>
      <c r="B22931" t="s">
        <v>6073</v>
      </c>
      <c r="C22931" s="1" t="s">
        <v>23490</v>
      </c>
      <c r="D22931" s="1" t="str">
        <f>HYPERLINK("https://rhld.insurance.arkansas.gov/NPILookup?Npi=1164887600","1164887600")</f>
        <v>1164887600</v>
      </c>
      <c r="E22931" t="s">
        <v>18278</v>
      </c>
    </row>
    <row r="22932" spans="1:5" x14ac:dyDescent="0.25">
      <c r="A22932" t="s">
        <v>5</v>
      </c>
      <c r="B22932" t="s">
        <v>6073</v>
      </c>
      <c r="C22932" s="1" t="s">
        <v>23490</v>
      </c>
      <c r="D22932" s="1" t="str">
        <f>HYPERLINK("https://rhld.insurance.arkansas.gov/NPILookup?Npi=1174094825","1174094825")</f>
        <v>1174094825</v>
      </c>
      <c r="E22932" t="s">
        <v>13977</v>
      </c>
    </row>
    <row r="22933" spans="1:5" x14ac:dyDescent="0.25">
      <c r="A22933" t="s">
        <v>5</v>
      </c>
      <c r="B22933" t="s">
        <v>6073</v>
      </c>
      <c r="C22933" s="1" t="s">
        <v>23490</v>
      </c>
      <c r="D22933" s="1" t="str">
        <f>HYPERLINK("https://rhld.insurance.arkansas.gov/NPILookup?Npi=1174548317","1174548317")</f>
        <v>1174548317</v>
      </c>
      <c r="E22933" t="s">
        <v>13978</v>
      </c>
    </row>
    <row r="22934" spans="1:5" x14ac:dyDescent="0.25">
      <c r="A22934" t="s">
        <v>5</v>
      </c>
      <c r="B22934" t="s">
        <v>6073</v>
      </c>
      <c r="C22934" s="1" t="s">
        <v>23490</v>
      </c>
      <c r="D22934" s="1" t="str">
        <f>HYPERLINK("https://rhld.insurance.arkansas.gov/NPILookup?Npi=1174613749","1174613749")</f>
        <v>1174613749</v>
      </c>
      <c r="E22934" t="s">
        <v>4433</v>
      </c>
    </row>
    <row r="22935" spans="1:5" x14ac:dyDescent="0.25">
      <c r="A22935" t="s">
        <v>5</v>
      </c>
      <c r="B22935" t="s">
        <v>6073</v>
      </c>
      <c r="C22935" s="1" t="s">
        <v>23490</v>
      </c>
      <c r="D22935" s="1" t="str">
        <f>HYPERLINK("https://rhld.insurance.arkansas.gov/NPILookup?Npi=1174752364","1174752364")</f>
        <v>1174752364</v>
      </c>
      <c r="E22935" t="s">
        <v>11557</v>
      </c>
    </row>
    <row r="22936" spans="1:5" x14ac:dyDescent="0.25">
      <c r="A22936" t="s">
        <v>5</v>
      </c>
      <c r="B22936" t="s">
        <v>6073</v>
      </c>
      <c r="C22936" s="1" t="s">
        <v>23490</v>
      </c>
      <c r="D22936" s="1" t="str">
        <f>HYPERLINK("https://rhld.insurance.arkansas.gov/NPILookup?Npi=1174811236","1174811236")</f>
        <v>1174811236</v>
      </c>
      <c r="E22936" t="s">
        <v>11558</v>
      </c>
    </row>
    <row r="22937" spans="1:5" x14ac:dyDescent="0.25">
      <c r="A22937" t="s">
        <v>5</v>
      </c>
      <c r="B22937" t="s">
        <v>6073</v>
      </c>
      <c r="C22937" s="1" t="s">
        <v>23490</v>
      </c>
      <c r="D22937" s="1" t="str">
        <f>HYPERLINK("https://rhld.insurance.arkansas.gov/NPILookup?Npi=1174845242","1174845242")</f>
        <v>1174845242</v>
      </c>
      <c r="E22937" t="s">
        <v>20668</v>
      </c>
    </row>
    <row r="22938" spans="1:5" x14ac:dyDescent="0.25">
      <c r="A22938" t="s">
        <v>5</v>
      </c>
      <c r="B22938" t="s">
        <v>6073</v>
      </c>
      <c r="C22938" s="1" t="s">
        <v>23490</v>
      </c>
      <c r="D22938" s="1" t="str">
        <f>HYPERLINK("https://rhld.insurance.arkansas.gov/NPILookup?Npi=1174981724","1174981724")</f>
        <v>1174981724</v>
      </c>
      <c r="E22938" t="s">
        <v>11559</v>
      </c>
    </row>
    <row r="22939" spans="1:5" x14ac:dyDescent="0.25">
      <c r="A22939" t="s">
        <v>5</v>
      </c>
      <c r="B22939" t="s">
        <v>6073</v>
      </c>
      <c r="C22939" s="1" t="s">
        <v>23490</v>
      </c>
      <c r="D22939" s="1" t="str">
        <f>HYPERLINK("https://rhld.insurance.arkansas.gov/NPILookup?Npi=1184034126","1184034126")</f>
        <v>1184034126</v>
      </c>
      <c r="E22939" t="s">
        <v>11561</v>
      </c>
    </row>
    <row r="22940" spans="1:5" x14ac:dyDescent="0.25">
      <c r="A22940" t="s">
        <v>5</v>
      </c>
      <c r="B22940" t="s">
        <v>6073</v>
      </c>
      <c r="C22940" s="1" t="s">
        <v>23490</v>
      </c>
      <c r="D22940" s="1" t="str">
        <f>HYPERLINK("https://rhld.insurance.arkansas.gov/NPILookup?Npi=1184041808","1184041808")</f>
        <v>1184041808</v>
      </c>
      <c r="E22940" t="s">
        <v>13981</v>
      </c>
    </row>
    <row r="22941" spans="1:5" x14ac:dyDescent="0.25">
      <c r="A22941" t="s">
        <v>5</v>
      </c>
      <c r="B22941" t="s">
        <v>6073</v>
      </c>
      <c r="C22941" s="1" t="s">
        <v>23490</v>
      </c>
      <c r="D22941" s="1" t="str">
        <f>HYPERLINK("https://rhld.insurance.arkansas.gov/NPILookup?Npi=1184133548","1184133548")</f>
        <v>1184133548</v>
      </c>
      <c r="E22941" t="s">
        <v>18281</v>
      </c>
    </row>
    <row r="22942" spans="1:5" x14ac:dyDescent="0.25">
      <c r="A22942" t="s">
        <v>5</v>
      </c>
      <c r="B22942" t="s">
        <v>6073</v>
      </c>
      <c r="C22942" s="1" t="s">
        <v>23490</v>
      </c>
      <c r="D22942" s="1" t="str">
        <f>HYPERLINK("https://rhld.insurance.arkansas.gov/NPILookup?Npi=1184168999","1184168999")</f>
        <v>1184168999</v>
      </c>
      <c r="E22942" t="s">
        <v>13983</v>
      </c>
    </row>
    <row r="22943" spans="1:5" x14ac:dyDescent="0.25">
      <c r="A22943" t="s">
        <v>5</v>
      </c>
      <c r="B22943" t="s">
        <v>6073</v>
      </c>
      <c r="C22943" s="1" t="s">
        <v>8427</v>
      </c>
      <c r="D22943" s="1" t="str">
        <f>HYPERLINK("https://rhld.insurance.arkansas.gov/NPILookup?Npi=1184316366","1184316366")</f>
        <v>1184316366</v>
      </c>
      <c r="E22943" t="s">
        <v>23233</v>
      </c>
    </row>
    <row r="22944" spans="1:5" x14ac:dyDescent="0.25">
      <c r="A22944" t="s">
        <v>5</v>
      </c>
      <c r="B22944" t="s">
        <v>6073</v>
      </c>
      <c r="C22944" s="1" t="s">
        <v>23490</v>
      </c>
      <c r="D22944" s="1" t="str">
        <f>HYPERLINK("https://rhld.insurance.arkansas.gov/NPILookup?Npi=1184723207","1184723207")</f>
        <v>1184723207</v>
      </c>
      <c r="E22944" t="s">
        <v>11564</v>
      </c>
    </row>
    <row r="22945" spans="1:5" x14ac:dyDescent="0.25">
      <c r="A22945" t="s">
        <v>5</v>
      </c>
      <c r="B22945" t="s">
        <v>6073</v>
      </c>
      <c r="C22945" s="1" t="s">
        <v>23490</v>
      </c>
      <c r="D22945" s="1" t="str">
        <f>HYPERLINK("https://rhld.insurance.arkansas.gov/NPILookup?Npi=1184839706","1184839706")</f>
        <v>1184839706</v>
      </c>
      <c r="E22945" t="s">
        <v>19053</v>
      </c>
    </row>
    <row r="22946" spans="1:5" x14ac:dyDescent="0.25">
      <c r="A22946" t="s">
        <v>5</v>
      </c>
      <c r="B22946" t="s">
        <v>6073</v>
      </c>
      <c r="C22946" s="1" t="s">
        <v>23490</v>
      </c>
      <c r="D22946" s="1" t="str">
        <f>HYPERLINK("https://rhld.insurance.arkansas.gov/NPILookup?Npi=1184847303","1184847303")</f>
        <v>1184847303</v>
      </c>
      <c r="E22946" t="s">
        <v>11565</v>
      </c>
    </row>
    <row r="22947" spans="1:5" x14ac:dyDescent="0.25">
      <c r="A22947" t="s">
        <v>5</v>
      </c>
      <c r="B22947" t="s">
        <v>6073</v>
      </c>
      <c r="C22947" s="1" t="s">
        <v>23490</v>
      </c>
      <c r="D22947" s="1" t="str">
        <f>HYPERLINK("https://rhld.insurance.arkansas.gov/NPILookup?Npi=1184857369","1184857369")</f>
        <v>1184857369</v>
      </c>
      <c r="E22947" t="s">
        <v>11566</v>
      </c>
    </row>
    <row r="22948" spans="1:5" x14ac:dyDescent="0.25">
      <c r="A22948" t="s">
        <v>5</v>
      </c>
      <c r="B22948" t="s">
        <v>6073</v>
      </c>
      <c r="C22948" s="1" t="s">
        <v>23490</v>
      </c>
      <c r="D22948" s="1" t="str">
        <f>HYPERLINK("https://rhld.insurance.arkansas.gov/NPILookup?Npi=1184921603","1184921603")</f>
        <v>1184921603</v>
      </c>
      <c r="E22948" t="s">
        <v>1290</v>
      </c>
    </row>
    <row r="22949" spans="1:5" x14ac:dyDescent="0.25">
      <c r="A22949" t="s">
        <v>5</v>
      </c>
      <c r="B22949" t="s">
        <v>6073</v>
      </c>
      <c r="C22949" s="1" t="s">
        <v>23490</v>
      </c>
      <c r="D22949" s="1" t="str">
        <f>HYPERLINK("https://rhld.insurance.arkansas.gov/NPILookup?Npi=1184974487","1184974487")</f>
        <v>1184974487</v>
      </c>
      <c r="E22949" t="s">
        <v>19054</v>
      </c>
    </row>
    <row r="22950" spans="1:5" x14ac:dyDescent="0.25">
      <c r="A22950" t="s">
        <v>5</v>
      </c>
      <c r="B22950" t="s">
        <v>6073</v>
      </c>
      <c r="C22950" s="1" t="s">
        <v>23490</v>
      </c>
      <c r="D22950" s="1" t="str">
        <f>HYPERLINK("https://rhld.insurance.arkansas.gov/NPILookup?Npi=1194097824","1194097824")</f>
        <v>1194097824</v>
      </c>
      <c r="E22950" t="s">
        <v>11568</v>
      </c>
    </row>
    <row r="22951" spans="1:5" x14ac:dyDescent="0.25">
      <c r="A22951" t="s">
        <v>5</v>
      </c>
      <c r="B22951" t="s">
        <v>6073</v>
      </c>
      <c r="C22951" s="1" t="s">
        <v>23490</v>
      </c>
      <c r="D22951" s="1" t="str">
        <f>HYPERLINK("https://rhld.insurance.arkansas.gov/NPILookup?Npi=1194187815","1194187815")</f>
        <v>1194187815</v>
      </c>
      <c r="E22951" t="s">
        <v>18286</v>
      </c>
    </row>
    <row r="22952" spans="1:5" x14ac:dyDescent="0.25">
      <c r="A22952" t="s">
        <v>5</v>
      </c>
      <c r="B22952" t="s">
        <v>6073</v>
      </c>
      <c r="C22952" s="1" t="s">
        <v>23490</v>
      </c>
      <c r="D22952" s="1" t="str">
        <f>HYPERLINK("https://rhld.insurance.arkansas.gov/NPILookup?Npi=1194194076","1194194076")</f>
        <v>1194194076</v>
      </c>
      <c r="E22952" t="s">
        <v>13986</v>
      </c>
    </row>
    <row r="22953" spans="1:5" x14ac:dyDescent="0.25">
      <c r="A22953" t="s">
        <v>5</v>
      </c>
      <c r="B22953" t="s">
        <v>6073</v>
      </c>
      <c r="C22953" s="1" t="s">
        <v>23490</v>
      </c>
      <c r="D22953" s="1" t="str">
        <f>HYPERLINK("https://rhld.insurance.arkansas.gov/NPILookup?Npi=1194267401","1194267401")</f>
        <v>1194267401</v>
      </c>
      <c r="E22953" t="s">
        <v>13987</v>
      </c>
    </row>
    <row r="22954" spans="1:5" x14ac:dyDescent="0.25">
      <c r="A22954" t="s">
        <v>5</v>
      </c>
      <c r="B22954" t="s">
        <v>6073</v>
      </c>
      <c r="C22954" s="1" t="s">
        <v>8427</v>
      </c>
      <c r="D22954" s="1" t="str">
        <f>HYPERLINK("https://rhld.insurance.arkansas.gov/NPILookup?Npi=1194359182","1194359182")</f>
        <v>1194359182</v>
      </c>
      <c r="E22954" t="s">
        <v>21901</v>
      </c>
    </row>
    <row r="22955" spans="1:5" x14ac:dyDescent="0.25">
      <c r="A22955" t="s">
        <v>5</v>
      </c>
      <c r="B22955" t="s">
        <v>6073</v>
      </c>
      <c r="C22955" s="1" t="s">
        <v>8427</v>
      </c>
      <c r="D22955" s="1" t="str">
        <f>HYPERLINK("https://rhld.insurance.arkansas.gov/NPILookup?Npi=1194406645","1194406645")</f>
        <v>1194406645</v>
      </c>
      <c r="E22955" t="s">
        <v>23234</v>
      </c>
    </row>
    <row r="22956" spans="1:5" x14ac:dyDescent="0.25">
      <c r="A22956" t="s">
        <v>5</v>
      </c>
      <c r="B22956" t="s">
        <v>6073</v>
      </c>
      <c r="C22956" s="1" t="s">
        <v>23490</v>
      </c>
      <c r="D22956" s="1" t="str">
        <f>HYPERLINK("https://rhld.insurance.arkansas.gov/NPILookup?Npi=1205004926","1205004926")</f>
        <v>1205004926</v>
      </c>
      <c r="E22956" t="s">
        <v>11571</v>
      </c>
    </row>
    <row r="22957" spans="1:5" x14ac:dyDescent="0.25">
      <c r="A22957" t="s">
        <v>5</v>
      </c>
      <c r="B22957" t="s">
        <v>6073</v>
      </c>
      <c r="C22957" s="1" t="s">
        <v>23490</v>
      </c>
      <c r="D22957" s="1" t="str">
        <f>HYPERLINK("https://rhld.insurance.arkansas.gov/NPILookup?Npi=1205222460","1205222460")</f>
        <v>1205222460</v>
      </c>
      <c r="E22957" t="s">
        <v>13989</v>
      </c>
    </row>
    <row r="22958" spans="1:5" x14ac:dyDescent="0.25">
      <c r="A22958" t="s">
        <v>5</v>
      </c>
      <c r="B22958" t="s">
        <v>6073</v>
      </c>
      <c r="C22958" s="1" t="s">
        <v>23490</v>
      </c>
      <c r="D22958" s="1" t="str">
        <f>HYPERLINK("https://rhld.insurance.arkansas.gov/NPILookup?Npi=1205292042","1205292042")</f>
        <v>1205292042</v>
      </c>
      <c r="E22958" t="s">
        <v>11572</v>
      </c>
    </row>
    <row r="22959" spans="1:5" x14ac:dyDescent="0.25">
      <c r="A22959" t="s">
        <v>5</v>
      </c>
      <c r="B22959" t="s">
        <v>6073</v>
      </c>
      <c r="C22959" s="1" t="s">
        <v>23490</v>
      </c>
      <c r="D22959" s="1" t="str">
        <f>HYPERLINK("https://rhld.insurance.arkansas.gov/NPILookup?Npi=1205432382","1205432382")</f>
        <v>1205432382</v>
      </c>
      <c r="E22959" t="s">
        <v>20669</v>
      </c>
    </row>
    <row r="22960" spans="1:5" x14ac:dyDescent="0.25">
      <c r="A22960" t="s">
        <v>5</v>
      </c>
      <c r="B22960" t="s">
        <v>6073</v>
      </c>
      <c r="C22960" s="1" t="s">
        <v>8427</v>
      </c>
      <c r="D22960" s="1" t="str">
        <f>HYPERLINK("https://rhld.insurance.arkansas.gov/NPILookup?Npi=1205434917","1205434917")</f>
        <v>1205434917</v>
      </c>
      <c r="E22960" t="s">
        <v>23235</v>
      </c>
    </row>
    <row r="22961" spans="1:5" x14ac:dyDescent="0.25">
      <c r="A22961" t="s">
        <v>5</v>
      </c>
      <c r="B22961" t="s">
        <v>6073</v>
      </c>
      <c r="C22961" s="1" t="s">
        <v>23490</v>
      </c>
      <c r="D22961" s="1" t="str">
        <f>HYPERLINK("https://rhld.insurance.arkansas.gov/NPILookup?Npi=1215108097","1215108097")</f>
        <v>1215108097</v>
      </c>
      <c r="E22961" t="s">
        <v>11574</v>
      </c>
    </row>
    <row r="22962" spans="1:5" x14ac:dyDescent="0.25">
      <c r="A22962" t="s">
        <v>5</v>
      </c>
      <c r="B22962" t="s">
        <v>6073</v>
      </c>
      <c r="C22962" s="1" t="s">
        <v>23490</v>
      </c>
      <c r="D22962" s="1" t="str">
        <f>HYPERLINK("https://rhld.insurance.arkansas.gov/NPILookup?Npi=1215492046","1215492046")</f>
        <v>1215492046</v>
      </c>
      <c r="E22962" t="s">
        <v>19055</v>
      </c>
    </row>
    <row r="22963" spans="1:5" x14ac:dyDescent="0.25">
      <c r="A22963" t="s">
        <v>5</v>
      </c>
      <c r="B22963" t="s">
        <v>6073</v>
      </c>
      <c r="C22963" s="1" t="s">
        <v>23490</v>
      </c>
      <c r="D22963" s="1" t="str">
        <f>HYPERLINK("https://rhld.insurance.arkansas.gov/NPILookup?Npi=1215505961","1215505961")</f>
        <v>1215505961</v>
      </c>
      <c r="E22963" t="s">
        <v>19056</v>
      </c>
    </row>
    <row r="22964" spans="1:5" x14ac:dyDescent="0.25">
      <c r="A22964" t="s">
        <v>5</v>
      </c>
      <c r="B22964" t="s">
        <v>6073</v>
      </c>
      <c r="C22964" s="1" t="s">
        <v>23490</v>
      </c>
      <c r="D22964" s="1" t="str">
        <f>HYPERLINK("https://rhld.insurance.arkansas.gov/NPILookup?Npi=1215567128","1215567128")</f>
        <v>1215567128</v>
      </c>
      <c r="E22964" t="s">
        <v>20388</v>
      </c>
    </row>
    <row r="22965" spans="1:5" x14ac:dyDescent="0.25">
      <c r="A22965" t="s">
        <v>5</v>
      </c>
      <c r="B22965" t="s">
        <v>6073</v>
      </c>
      <c r="C22965" s="1" t="s">
        <v>23490</v>
      </c>
      <c r="D22965" s="1" t="str">
        <f>HYPERLINK("https://rhld.insurance.arkansas.gov/NPILookup?Npi=1225284201","1225284201")</f>
        <v>1225284201</v>
      </c>
      <c r="E22965" t="s">
        <v>11575</v>
      </c>
    </row>
    <row r="22966" spans="1:5" x14ac:dyDescent="0.25">
      <c r="A22966" t="s">
        <v>5</v>
      </c>
      <c r="B22966" t="s">
        <v>6073</v>
      </c>
      <c r="C22966" s="1" t="s">
        <v>23490</v>
      </c>
      <c r="D22966" s="1" t="str">
        <f>HYPERLINK("https://rhld.insurance.arkansas.gov/NPILookup?Npi=1225317092","1225317092")</f>
        <v>1225317092</v>
      </c>
      <c r="E22966" t="s">
        <v>18300</v>
      </c>
    </row>
    <row r="22967" spans="1:5" x14ac:dyDescent="0.25">
      <c r="A22967" t="s">
        <v>5</v>
      </c>
      <c r="B22967" t="s">
        <v>6073</v>
      </c>
      <c r="C22967" s="1" t="s">
        <v>23490</v>
      </c>
      <c r="D22967" s="1" t="str">
        <f>HYPERLINK("https://rhld.insurance.arkansas.gov/NPILookup?Npi=1225320518","1225320518")</f>
        <v>1225320518</v>
      </c>
      <c r="E22967" t="s">
        <v>11576</v>
      </c>
    </row>
    <row r="22968" spans="1:5" x14ac:dyDescent="0.25">
      <c r="A22968" t="s">
        <v>5</v>
      </c>
      <c r="B22968" t="s">
        <v>6073</v>
      </c>
      <c r="C22968" s="1" t="s">
        <v>23490</v>
      </c>
      <c r="D22968" s="1" t="str">
        <f>HYPERLINK("https://rhld.insurance.arkansas.gov/NPILookup?Npi=1225411143","1225411143")</f>
        <v>1225411143</v>
      </c>
      <c r="E22968" t="s">
        <v>11578</v>
      </c>
    </row>
    <row r="22969" spans="1:5" x14ac:dyDescent="0.25">
      <c r="A22969" t="s">
        <v>5</v>
      </c>
      <c r="B22969" t="s">
        <v>6073</v>
      </c>
      <c r="C22969" s="1" t="s">
        <v>23490</v>
      </c>
      <c r="D22969" s="1" t="str">
        <f>HYPERLINK("https://rhld.insurance.arkansas.gov/NPILookup?Npi=1225633340","1225633340")</f>
        <v>1225633340</v>
      </c>
      <c r="E22969" t="s">
        <v>20670</v>
      </c>
    </row>
    <row r="22970" spans="1:5" x14ac:dyDescent="0.25">
      <c r="A22970" t="s">
        <v>5</v>
      </c>
      <c r="B22970" t="s">
        <v>6073</v>
      </c>
      <c r="C22970" s="1" t="s">
        <v>23490</v>
      </c>
      <c r="D22970" s="1" t="str">
        <f>HYPERLINK("https://rhld.insurance.arkansas.gov/NPILookup?Npi=1225691058","1225691058")</f>
        <v>1225691058</v>
      </c>
      <c r="E22970" t="s">
        <v>19057</v>
      </c>
    </row>
    <row r="22971" spans="1:5" x14ac:dyDescent="0.25">
      <c r="A22971" t="s">
        <v>5</v>
      </c>
      <c r="B22971" t="s">
        <v>6073</v>
      </c>
      <c r="C22971" s="1" t="s">
        <v>23490</v>
      </c>
      <c r="D22971" s="1" t="str">
        <f>HYPERLINK("https://rhld.insurance.arkansas.gov/NPILookup?Npi=1225792294","1225792294")</f>
        <v>1225792294</v>
      </c>
      <c r="E22971" t="s">
        <v>20391</v>
      </c>
    </row>
    <row r="22972" spans="1:5" x14ac:dyDescent="0.25">
      <c r="A22972" t="s">
        <v>5</v>
      </c>
      <c r="B22972" t="s">
        <v>6073</v>
      </c>
      <c r="C22972" s="1" t="s">
        <v>23490</v>
      </c>
      <c r="D22972" s="1" t="str">
        <f>HYPERLINK("https://rhld.insurance.arkansas.gov/NPILookup?Npi=1235339425","1235339425")</f>
        <v>1235339425</v>
      </c>
      <c r="E22972" t="s">
        <v>20392</v>
      </c>
    </row>
    <row r="22973" spans="1:5" x14ac:dyDescent="0.25">
      <c r="A22973" t="s">
        <v>5</v>
      </c>
      <c r="B22973" t="s">
        <v>6073</v>
      </c>
      <c r="C22973" s="1" t="s">
        <v>23490</v>
      </c>
      <c r="D22973" s="1" t="str">
        <f>HYPERLINK("https://rhld.insurance.arkansas.gov/NPILookup?Npi=1235462987","1235462987")</f>
        <v>1235462987</v>
      </c>
      <c r="E22973" t="s">
        <v>11582</v>
      </c>
    </row>
    <row r="22974" spans="1:5" x14ac:dyDescent="0.25">
      <c r="A22974" t="s">
        <v>5</v>
      </c>
      <c r="B22974" t="s">
        <v>6073</v>
      </c>
      <c r="C22974" s="1" t="s">
        <v>23490</v>
      </c>
      <c r="D22974" s="1" t="str">
        <f>HYPERLINK("https://rhld.insurance.arkansas.gov/NPILookup?Npi=1235506213","1235506213")</f>
        <v>1235506213</v>
      </c>
      <c r="E22974" t="s">
        <v>11583</v>
      </c>
    </row>
    <row r="22975" spans="1:5" x14ac:dyDescent="0.25">
      <c r="A22975" t="s">
        <v>5</v>
      </c>
      <c r="B22975" t="s">
        <v>6073</v>
      </c>
      <c r="C22975" s="1" t="s">
        <v>23490</v>
      </c>
      <c r="D22975" s="1" t="str">
        <f>HYPERLINK("https://rhld.insurance.arkansas.gov/NPILookup?Npi=1235518804","1235518804")</f>
        <v>1235518804</v>
      </c>
      <c r="E22975" t="s">
        <v>19058</v>
      </c>
    </row>
    <row r="22976" spans="1:5" x14ac:dyDescent="0.25">
      <c r="A22976" t="s">
        <v>5</v>
      </c>
      <c r="B22976" t="s">
        <v>6073</v>
      </c>
      <c r="C22976" s="1" t="s">
        <v>23490</v>
      </c>
      <c r="D22976" s="1" t="str">
        <f>HYPERLINK("https://rhld.insurance.arkansas.gov/NPILookup?Npi=1235565714","1235565714")</f>
        <v>1235565714</v>
      </c>
      <c r="E22976" t="s">
        <v>21192</v>
      </c>
    </row>
    <row r="22977" spans="1:5" x14ac:dyDescent="0.25">
      <c r="A22977" t="s">
        <v>5</v>
      </c>
      <c r="B22977" t="s">
        <v>6073</v>
      </c>
      <c r="C22977" s="1" t="s">
        <v>23490</v>
      </c>
      <c r="D22977" s="1" t="str">
        <f>HYPERLINK("https://rhld.insurance.arkansas.gov/NPILookup?Npi=1235574443","1235574443")</f>
        <v>1235574443</v>
      </c>
      <c r="E22977" t="s">
        <v>11585</v>
      </c>
    </row>
    <row r="22978" spans="1:5" x14ac:dyDescent="0.25">
      <c r="A22978" t="s">
        <v>5</v>
      </c>
      <c r="B22978" t="s">
        <v>6073</v>
      </c>
      <c r="C22978" s="1" t="s">
        <v>23490</v>
      </c>
      <c r="D22978" s="1" t="str">
        <f>HYPERLINK("https://rhld.insurance.arkansas.gov/NPILookup?Npi=1235590316","1235590316")</f>
        <v>1235590316</v>
      </c>
      <c r="E22978" t="s">
        <v>19059</v>
      </c>
    </row>
    <row r="22979" spans="1:5" x14ac:dyDescent="0.25">
      <c r="A22979" t="s">
        <v>5</v>
      </c>
      <c r="B22979" t="s">
        <v>6073</v>
      </c>
      <c r="C22979" s="1" t="s">
        <v>23490</v>
      </c>
      <c r="D22979" s="1" t="str">
        <f>HYPERLINK("https://rhld.insurance.arkansas.gov/NPILookup?Npi=1235600099","1235600099")</f>
        <v>1235600099</v>
      </c>
      <c r="E22979" t="s">
        <v>13995</v>
      </c>
    </row>
    <row r="22980" spans="1:5" x14ac:dyDescent="0.25">
      <c r="A22980" t="s">
        <v>5</v>
      </c>
      <c r="B22980" t="s">
        <v>6073</v>
      </c>
      <c r="C22980" s="1" t="s">
        <v>23490</v>
      </c>
      <c r="D22980" s="1" t="str">
        <f>HYPERLINK("https://rhld.insurance.arkansas.gov/NPILookup?Npi=1235625617","1235625617")</f>
        <v>1235625617</v>
      </c>
      <c r="E22980" t="s">
        <v>19060</v>
      </c>
    </row>
    <row r="22981" spans="1:5" x14ac:dyDescent="0.25">
      <c r="A22981" t="s">
        <v>5</v>
      </c>
      <c r="B22981" t="s">
        <v>6073</v>
      </c>
      <c r="C22981" s="1" t="s">
        <v>23490</v>
      </c>
      <c r="D22981" s="1" t="str">
        <f>HYPERLINK("https://rhld.insurance.arkansas.gov/NPILookup?Npi=1235739194","1235739194")</f>
        <v>1235739194</v>
      </c>
      <c r="E22981" t="s">
        <v>20394</v>
      </c>
    </row>
    <row r="22982" spans="1:5" x14ac:dyDescent="0.25">
      <c r="A22982" t="s">
        <v>5</v>
      </c>
      <c r="B22982" t="s">
        <v>6073</v>
      </c>
      <c r="C22982" s="1" t="s">
        <v>8427</v>
      </c>
      <c r="D22982" s="1" t="str">
        <f>HYPERLINK("https://rhld.insurance.arkansas.gov/NPILookup?Npi=1235750399","1235750399")</f>
        <v>1235750399</v>
      </c>
      <c r="E22982" t="s">
        <v>23070</v>
      </c>
    </row>
    <row r="22983" spans="1:5" x14ac:dyDescent="0.25">
      <c r="A22983" t="s">
        <v>5</v>
      </c>
      <c r="B22983" t="s">
        <v>6073</v>
      </c>
      <c r="C22983" s="1" t="s">
        <v>23490</v>
      </c>
      <c r="D22983" s="1" t="str">
        <f>HYPERLINK("https://rhld.insurance.arkansas.gov/NPILookup?Npi=1235781931","1235781931")</f>
        <v>1235781931</v>
      </c>
      <c r="E22983" t="s">
        <v>20671</v>
      </c>
    </row>
    <row r="22984" spans="1:5" x14ac:dyDescent="0.25">
      <c r="A22984" t="s">
        <v>5</v>
      </c>
      <c r="B22984" t="s">
        <v>6073</v>
      </c>
      <c r="C22984" s="1" t="s">
        <v>23490</v>
      </c>
      <c r="D22984" s="1" t="str">
        <f>HYPERLINK("https://rhld.insurance.arkansas.gov/NPILookup?Npi=1245230341","1245230341")</f>
        <v>1245230341</v>
      </c>
      <c r="E22984" t="s">
        <v>22429</v>
      </c>
    </row>
    <row r="22985" spans="1:5" x14ac:dyDescent="0.25">
      <c r="A22985" t="s">
        <v>5</v>
      </c>
      <c r="B22985" t="s">
        <v>6073</v>
      </c>
      <c r="C22985" s="1" t="s">
        <v>23490</v>
      </c>
      <c r="D22985" s="1" t="str">
        <f>HYPERLINK("https://rhld.insurance.arkansas.gov/NPILookup?Npi=1245454347","1245454347")</f>
        <v>1245454347</v>
      </c>
      <c r="E22985" t="s">
        <v>13996</v>
      </c>
    </row>
    <row r="22986" spans="1:5" x14ac:dyDescent="0.25">
      <c r="A22986" t="s">
        <v>5</v>
      </c>
      <c r="B22986" t="s">
        <v>6073</v>
      </c>
      <c r="C22986" s="1" t="s">
        <v>23490</v>
      </c>
      <c r="D22986" s="1" t="str">
        <f>HYPERLINK("https://rhld.insurance.arkansas.gov/NPILookup?Npi=1245481563","1245481563")</f>
        <v>1245481563</v>
      </c>
      <c r="E22986" t="s">
        <v>11586</v>
      </c>
    </row>
    <row r="22987" spans="1:5" x14ac:dyDescent="0.25">
      <c r="A22987" t="s">
        <v>5</v>
      </c>
      <c r="B22987" t="s">
        <v>6073</v>
      </c>
      <c r="C22987" s="1" t="s">
        <v>23490</v>
      </c>
      <c r="D22987" s="1" t="str">
        <f>HYPERLINK("https://rhld.insurance.arkansas.gov/NPILookup?Npi=1245605054","1245605054")</f>
        <v>1245605054</v>
      </c>
      <c r="E22987" t="s">
        <v>13998</v>
      </c>
    </row>
    <row r="22988" spans="1:5" x14ac:dyDescent="0.25">
      <c r="A22988" t="s">
        <v>5</v>
      </c>
      <c r="B22988" t="s">
        <v>6073</v>
      </c>
      <c r="C22988" s="1" t="s">
        <v>23490</v>
      </c>
      <c r="D22988" s="1" t="str">
        <f>HYPERLINK("https://rhld.insurance.arkansas.gov/NPILookup?Npi=1245659952","1245659952")</f>
        <v>1245659952</v>
      </c>
      <c r="E22988" t="s">
        <v>14000</v>
      </c>
    </row>
    <row r="22989" spans="1:5" x14ac:dyDescent="0.25">
      <c r="A22989" t="s">
        <v>5</v>
      </c>
      <c r="B22989" t="s">
        <v>6073</v>
      </c>
      <c r="C22989" s="1" t="s">
        <v>23490</v>
      </c>
      <c r="D22989" s="1" t="str">
        <f>HYPERLINK("https://rhld.insurance.arkansas.gov/NPILookup?Npi=1245842764","1245842764")</f>
        <v>1245842764</v>
      </c>
      <c r="E22989" t="s">
        <v>18306</v>
      </c>
    </row>
    <row r="22990" spans="1:5" x14ac:dyDescent="0.25">
      <c r="A22990" t="s">
        <v>5</v>
      </c>
      <c r="B22990" t="s">
        <v>6073</v>
      </c>
      <c r="C22990" s="1" t="s">
        <v>23490</v>
      </c>
      <c r="D22990" s="1" t="str">
        <f>HYPERLINK("https://rhld.insurance.arkansas.gov/NPILookup?Npi=1255063129","1255063129")</f>
        <v>1255063129</v>
      </c>
      <c r="E22990" t="s">
        <v>21193</v>
      </c>
    </row>
    <row r="22991" spans="1:5" x14ac:dyDescent="0.25">
      <c r="A22991" t="s">
        <v>5</v>
      </c>
      <c r="B22991" t="s">
        <v>6073</v>
      </c>
      <c r="C22991" s="1" t="s">
        <v>23490</v>
      </c>
      <c r="D22991" s="1" t="str">
        <f>HYPERLINK("https://rhld.insurance.arkansas.gov/NPILookup?Npi=1255347951","1255347951")</f>
        <v>1255347951</v>
      </c>
      <c r="E22991" t="s">
        <v>14004</v>
      </c>
    </row>
    <row r="22992" spans="1:5" x14ac:dyDescent="0.25">
      <c r="A22992" t="s">
        <v>5</v>
      </c>
      <c r="B22992" t="s">
        <v>6073</v>
      </c>
      <c r="C22992" s="1" t="s">
        <v>23490</v>
      </c>
      <c r="D22992" s="1" t="str">
        <f>HYPERLINK("https://rhld.insurance.arkansas.gov/NPILookup?Npi=1255560280","1255560280")</f>
        <v>1255560280</v>
      </c>
      <c r="E22992" t="s">
        <v>19244</v>
      </c>
    </row>
    <row r="22993" spans="1:5" x14ac:dyDescent="0.25">
      <c r="A22993" t="s">
        <v>5</v>
      </c>
      <c r="B22993" t="s">
        <v>6073</v>
      </c>
      <c r="C22993" s="1" t="s">
        <v>23490</v>
      </c>
      <c r="D22993" s="1" t="str">
        <f>HYPERLINK("https://rhld.insurance.arkansas.gov/NPILookup?Npi=1255886560","1255886560")</f>
        <v>1255886560</v>
      </c>
      <c r="E22993" t="s">
        <v>11592</v>
      </c>
    </row>
    <row r="22994" spans="1:5" x14ac:dyDescent="0.25">
      <c r="A22994" t="s">
        <v>5</v>
      </c>
      <c r="B22994" t="s">
        <v>6073</v>
      </c>
      <c r="C22994" s="1" t="s">
        <v>23490</v>
      </c>
      <c r="D22994" s="1" t="str">
        <f>HYPERLINK("https://rhld.insurance.arkansas.gov/NPILookup?Npi=1255925186","1255925186")</f>
        <v>1255925186</v>
      </c>
      <c r="E22994" t="s">
        <v>19061</v>
      </c>
    </row>
    <row r="22995" spans="1:5" x14ac:dyDescent="0.25">
      <c r="A22995" t="s">
        <v>5</v>
      </c>
      <c r="B22995" t="s">
        <v>6073</v>
      </c>
      <c r="C22995" s="1" t="s">
        <v>23490</v>
      </c>
      <c r="D22995" s="1" t="str">
        <f>HYPERLINK("https://rhld.insurance.arkansas.gov/NPILookup?Npi=1265609747","1265609747")</f>
        <v>1265609747</v>
      </c>
      <c r="E22995" t="s">
        <v>11594</v>
      </c>
    </row>
    <row r="22996" spans="1:5" x14ac:dyDescent="0.25">
      <c r="A22996" t="s">
        <v>5</v>
      </c>
      <c r="B22996" t="s">
        <v>6073</v>
      </c>
      <c r="C22996" s="1" t="s">
        <v>23490</v>
      </c>
      <c r="D22996" s="1" t="str">
        <f>HYPERLINK("https://rhld.insurance.arkansas.gov/NPILookup?Npi=1265612303","1265612303")</f>
        <v>1265612303</v>
      </c>
      <c r="E22996" t="s">
        <v>21194</v>
      </c>
    </row>
    <row r="22997" spans="1:5" x14ac:dyDescent="0.25">
      <c r="A22997" t="s">
        <v>5</v>
      </c>
      <c r="B22997" t="s">
        <v>6073</v>
      </c>
      <c r="C22997" s="1" t="s">
        <v>23490</v>
      </c>
      <c r="D22997" s="1" t="str">
        <f>HYPERLINK("https://rhld.insurance.arkansas.gov/NPILookup?Npi=1265713713","1265713713")</f>
        <v>1265713713</v>
      </c>
      <c r="E22997" t="s">
        <v>23236</v>
      </c>
    </row>
    <row r="22998" spans="1:5" x14ac:dyDescent="0.25">
      <c r="A22998" t="s">
        <v>5</v>
      </c>
      <c r="B22998" t="s">
        <v>6073</v>
      </c>
      <c r="C22998" s="1" t="s">
        <v>8427</v>
      </c>
      <c r="D22998" s="1" t="str">
        <f>HYPERLINK("https://rhld.insurance.arkansas.gov/NPILookup?Npi=1265834733","1265834733")</f>
        <v>1265834733</v>
      </c>
      <c r="E22998" t="s">
        <v>21944</v>
      </c>
    </row>
    <row r="22999" spans="1:5" x14ac:dyDescent="0.25">
      <c r="A22999" t="s">
        <v>5</v>
      </c>
      <c r="B22999" t="s">
        <v>6073</v>
      </c>
      <c r="C22999" s="1" t="s">
        <v>23490</v>
      </c>
      <c r="D22999" s="1" t="str">
        <f>HYPERLINK("https://rhld.insurance.arkansas.gov/NPILookup?Npi=1265842520","1265842520")</f>
        <v>1265842520</v>
      </c>
      <c r="E22999" t="s">
        <v>19062</v>
      </c>
    </row>
    <row r="23000" spans="1:5" x14ac:dyDescent="0.25">
      <c r="A23000" t="s">
        <v>5</v>
      </c>
      <c r="B23000" t="s">
        <v>6073</v>
      </c>
      <c r="C23000" s="1" t="s">
        <v>23490</v>
      </c>
      <c r="D23000" s="1" t="str">
        <f>HYPERLINK("https://rhld.insurance.arkansas.gov/NPILookup?Npi=1265843106","1265843106")</f>
        <v>1265843106</v>
      </c>
      <c r="E23000" t="s">
        <v>14875</v>
      </c>
    </row>
    <row r="23001" spans="1:5" x14ac:dyDescent="0.25">
      <c r="A23001" t="s">
        <v>5</v>
      </c>
      <c r="B23001" t="s">
        <v>6073</v>
      </c>
      <c r="C23001" s="1" t="s">
        <v>23490</v>
      </c>
      <c r="D23001" s="1" t="str">
        <f>HYPERLINK("https://rhld.insurance.arkansas.gov/NPILookup?Npi=1265857312","1265857312")</f>
        <v>1265857312</v>
      </c>
      <c r="E23001" t="s">
        <v>11597</v>
      </c>
    </row>
    <row r="23002" spans="1:5" x14ac:dyDescent="0.25">
      <c r="A23002" t="s">
        <v>5</v>
      </c>
      <c r="B23002" t="s">
        <v>6073</v>
      </c>
      <c r="C23002" s="1" t="s">
        <v>23490</v>
      </c>
      <c r="D23002" s="1" t="str">
        <f>HYPERLINK("https://rhld.insurance.arkansas.gov/NPILookup?Npi=1265899462","1265899462")</f>
        <v>1265899462</v>
      </c>
      <c r="E23002" t="s">
        <v>11598</v>
      </c>
    </row>
    <row r="23003" spans="1:5" x14ac:dyDescent="0.25">
      <c r="A23003" t="s">
        <v>5</v>
      </c>
      <c r="B23003" t="s">
        <v>6073</v>
      </c>
      <c r="C23003" s="1" t="s">
        <v>23490</v>
      </c>
      <c r="D23003" s="1" t="str">
        <f>HYPERLINK("https://rhld.insurance.arkansas.gov/NPILookup?Npi=1265919864","1265919864")</f>
        <v>1265919864</v>
      </c>
      <c r="E23003" t="s">
        <v>19063</v>
      </c>
    </row>
    <row r="23004" spans="1:5" x14ac:dyDescent="0.25">
      <c r="A23004" t="s">
        <v>5</v>
      </c>
      <c r="B23004" t="s">
        <v>6073</v>
      </c>
      <c r="C23004" s="1" t="s">
        <v>23490</v>
      </c>
      <c r="D23004" s="1" t="str">
        <f>HYPERLINK("https://rhld.insurance.arkansas.gov/NPILookup?Npi=1265986186","1265986186")</f>
        <v>1265986186</v>
      </c>
      <c r="E23004" t="s">
        <v>11600</v>
      </c>
    </row>
    <row r="23005" spans="1:5" x14ac:dyDescent="0.25">
      <c r="A23005" t="s">
        <v>5</v>
      </c>
      <c r="B23005" t="s">
        <v>6073</v>
      </c>
      <c r="C23005" s="1" t="s">
        <v>23490</v>
      </c>
      <c r="D23005" s="1" t="str">
        <f>HYPERLINK("https://rhld.insurance.arkansas.gov/NPILookup?Npi=1275141202","1275141202")</f>
        <v>1275141202</v>
      </c>
      <c r="E23005" t="s">
        <v>19064</v>
      </c>
    </row>
    <row r="23006" spans="1:5" x14ac:dyDescent="0.25">
      <c r="A23006" t="s">
        <v>5</v>
      </c>
      <c r="B23006" t="s">
        <v>6073</v>
      </c>
      <c r="C23006" s="1" t="s">
        <v>23490</v>
      </c>
      <c r="D23006" s="1" t="str">
        <f>HYPERLINK("https://rhld.insurance.arkansas.gov/NPILookup?Npi=1275164782","1275164782")</f>
        <v>1275164782</v>
      </c>
      <c r="E23006" t="s">
        <v>20406</v>
      </c>
    </row>
    <row r="23007" spans="1:5" x14ac:dyDescent="0.25">
      <c r="A23007" t="s">
        <v>5</v>
      </c>
      <c r="B23007" t="s">
        <v>6073</v>
      </c>
      <c r="C23007" s="1" t="s">
        <v>23490</v>
      </c>
      <c r="D23007" s="1" t="str">
        <f>HYPERLINK("https://rhld.insurance.arkansas.gov/NPILookup?Npi=1275713836","1275713836")</f>
        <v>1275713836</v>
      </c>
      <c r="E23007" t="s">
        <v>4622</v>
      </c>
    </row>
    <row r="23008" spans="1:5" x14ac:dyDescent="0.25">
      <c r="A23008" t="s">
        <v>5</v>
      </c>
      <c r="B23008" t="s">
        <v>6073</v>
      </c>
      <c r="C23008" s="1" t="s">
        <v>23490</v>
      </c>
      <c r="D23008" s="1" t="str">
        <f>HYPERLINK("https://rhld.insurance.arkansas.gov/NPILookup?Npi=1275861114","1275861114")</f>
        <v>1275861114</v>
      </c>
      <c r="E23008" t="s">
        <v>20410</v>
      </c>
    </row>
    <row r="23009" spans="1:5" x14ac:dyDescent="0.25">
      <c r="A23009" t="s">
        <v>5</v>
      </c>
      <c r="B23009" t="s">
        <v>6073</v>
      </c>
      <c r="C23009" s="1" t="s">
        <v>23490</v>
      </c>
      <c r="D23009" s="1" t="str">
        <f>HYPERLINK("https://rhld.insurance.arkansas.gov/NPILookup?Npi=1275916520","1275916520")</f>
        <v>1275916520</v>
      </c>
      <c r="E23009" t="s">
        <v>18310</v>
      </c>
    </row>
    <row r="23010" spans="1:5" x14ac:dyDescent="0.25">
      <c r="A23010" t="s">
        <v>5</v>
      </c>
      <c r="B23010" t="s">
        <v>6073</v>
      </c>
      <c r="C23010" s="1" t="s">
        <v>23490</v>
      </c>
      <c r="D23010" s="1" t="str">
        <f>HYPERLINK("https://rhld.insurance.arkansas.gov/NPILookup?Npi=1275960700","1275960700")</f>
        <v>1275960700</v>
      </c>
      <c r="E23010" t="s">
        <v>20411</v>
      </c>
    </row>
    <row r="23011" spans="1:5" x14ac:dyDescent="0.25">
      <c r="A23011" t="s">
        <v>5</v>
      </c>
      <c r="B23011" t="s">
        <v>6073</v>
      </c>
      <c r="C23011" s="1" t="s">
        <v>23490</v>
      </c>
      <c r="D23011" s="1" t="str">
        <f>HYPERLINK("https://rhld.insurance.arkansas.gov/NPILookup?Npi=1285151761","1285151761")</f>
        <v>1285151761</v>
      </c>
      <c r="E23011" t="s">
        <v>18314</v>
      </c>
    </row>
    <row r="23012" spans="1:5" x14ac:dyDescent="0.25">
      <c r="A23012" t="s">
        <v>5</v>
      </c>
      <c r="B23012" t="s">
        <v>6073</v>
      </c>
      <c r="C23012" s="1" t="s">
        <v>23490</v>
      </c>
      <c r="D23012" s="1" t="str">
        <f>HYPERLINK("https://rhld.insurance.arkansas.gov/NPILookup?Npi=1285671297","1285671297")</f>
        <v>1285671297</v>
      </c>
      <c r="E23012" t="s">
        <v>4633</v>
      </c>
    </row>
    <row r="23013" spans="1:5" x14ac:dyDescent="0.25">
      <c r="A23013" t="s">
        <v>5</v>
      </c>
      <c r="B23013" t="s">
        <v>6073</v>
      </c>
      <c r="C23013" s="1" t="s">
        <v>23490</v>
      </c>
      <c r="D23013" s="1" t="str">
        <f>HYPERLINK("https://rhld.insurance.arkansas.gov/NPILookup?Npi=1285679738","1285679738")</f>
        <v>1285679738</v>
      </c>
      <c r="E23013" t="s">
        <v>11605</v>
      </c>
    </row>
    <row r="23014" spans="1:5" x14ac:dyDescent="0.25">
      <c r="A23014" t="s">
        <v>5</v>
      </c>
      <c r="B23014" t="s">
        <v>6073</v>
      </c>
      <c r="C23014" s="1" t="s">
        <v>8427</v>
      </c>
      <c r="D23014" s="1" t="str">
        <f>HYPERLINK("https://rhld.insurance.arkansas.gov/NPILookup?Npi=1285906966","1285906966")</f>
        <v>1285906966</v>
      </c>
      <c r="E23014" t="s">
        <v>23237</v>
      </c>
    </row>
    <row r="23015" spans="1:5" x14ac:dyDescent="0.25">
      <c r="A23015" t="s">
        <v>5</v>
      </c>
      <c r="B23015" t="s">
        <v>6073</v>
      </c>
      <c r="C23015" s="1" t="s">
        <v>23490</v>
      </c>
      <c r="D23015" s="1" t="str">
        <f>HYPERLINK("https://rhld.insurance.arkansas.gov/NPILookup?Npi=1295018042","1295018042")</f>
        <v>1295018042</v>
      </c>
      <c r="E23015" t="s">
        <v>11609</v>
      </c>
    </row>
    <row r="23016" spans="1:5" x14ac:dyDescent="0.25">
      <c r="A23016" t="s">
        <v>5</v>
      </c>
      <c r="B23016" t="s">
        <v>6073</v>
      </c>
      <c r="C23016" s="1" t="s">
        <v>23490</v>
      </c>
      <c r="D23016" s="1" t="str">
        <f>HYPERLINK("https://rhld.insurance.arkansas.gov/NPILookup?Npi=1295079622","1295079622")</f>
        <v>1295079622</v>
      </c>
      <c r="E23016" t="s">
        <v>11611</v>
      </c>
    </row>
    <row r="23017" spans="1:5" x14ac:dyDescent="0.25">
      <c r="A23017" t="s">
        <v>5</v>
      </c>
      <c r="B23017" t="s">
        <v>6073</v>
      </c>
      <c r="C23017" s="1" t="s">
        <v>23490</v>
      </c>
      <c r="D23017" s="1" t="str">
        <f>HYPERLINK("https://rhld.insurance.arkansas.gov/NPILookup?Npi=1295146314","1295146314")</f>
        <v>1295146314</v>
      </c>
      <c r="E23017" t="s">
        <v>17562</v>
      </c>
    </row>
    <row r="23018" spans="1:5" x14ac:dyDescent="0.25">
      <c r="A23018" t="s">
        <v>5</v>
      </c>
      <c r="B23018" t="s">
        <v>6073</v>
      </c>
      <c r="C23018" s="1" t="s">
        <v>23490</v>
      </c>
      <c r="D23018" s="1" t="str">
        <f>HYPERLINK("https://rhld.insurance.arkansas.gov/NPILookup?Npi=1295214732","1295214732")</f>
        <v>1295214732</v>
      </c>
      <c r="E23018" t="s">
        <v>19065</v>
      </c>
    </row>
    <row r="23019" spans="1:5" x14ac:dyDescent="0.25">
      <c r="A23019" t="s">
        <v>5</v>
      </c>
      <c r="B23019" t="s">
        <v>6073</v>
      </c>
      <c r="C23019" s="1" t="s">
        <v>8427</v>
      </c>
      <c r="D23019" s="1" t="str">
        <f>HYPERLINK("https://rhld.insurance.arkansas.gov/NPILookup?Npi=1295285112","1295285112")</f>
        <v>1295285112</v>
      </c>
      <c r="E23019" t="s">
        <v>23238</v>
      </c>
    </row>
    <row r="23020" spans="1:5" x14ac:dyDescent="0.25">
      <c r="A23020" t="s">
        <v>5</v>
      </c>
      <c r="B23020" t="s">
        <v>6073</v>
      </c>
      <c r="C23020" s="1" t="s">
        <v>23490</v>
      </c>
      <c r="D23020" s="1" t="str">
        <f>HYPERLINK("https://rhld.insurance.arkansas.gov/NPILookup?Npi=1295847820","1295847820")</f>
        <v>1295847820</v>
      </c>
      <c r="E23020" t="s">
        <v>4657</v>
      </c>
    </row>
    <row r="23021" spans="1:5" x14ac:dyDescent="0.25">
      <c r="A23021" t="s">
        <v>5</v>
      </c>
      <c r="B23021" t="s">
        <v>6073</v>
      </c>
      <c r="C23021" s="1" t="s">
        <v>23490</v>
      </c>
      <c r="D23021" s="1" t="str">
        <f>HYPERLINK("https://rhld.insurance.arkansas.gov/NPILookup?Npi=1306002597","1306002597")</f>
        <v>1306002597</v>
      </c>
      <c r="E23021" t="s">
        <v>20420</v>
      </c>
    </row>
    <row r="23022" spans="1:5" x14ac:dyDescent="0.25">
      <c r="A23022" t="s">
        <v>5</v>
      </c>
      <c r="B23022" t="s">
        <v>6073</v>
      </c>
      <c r="C23022" s="1" t="s">
        <v>23490</v>
      </c>
      <c r="D23022" s="1" t="str">
        <f>HYPERLINK("https://rhld.insurance.arkansas.gov/NPILookup?Npi=1306003553","1306003553")</f>
        <v>1306003553</v>
      </c>
      <c r="E23022" t="s">
        <v>14019</v>
      </c>
    </row>
    <row r="23023" spans="1:5" x14ac:dyDescent="0.25">
      <c r="A23023" t="s">
        <v>5</v>
      </c>
      <c r="B23023" t="s">
        <v>6073</v>
      </c>
      <c r="C23023" s="1" t="s">
        <v>23490</v>
      </c>
      <c r="D23023" s="1" t="str">
        <f>HYPERLINK("https://rhld.insurance.arkansas.gov/NPILookup?Npi=1306032438","1306032438")</f>
        <v>1306032438</v>
      </c>
      <c r="E23023" t="s">
        <v>4671</v>
      </c>
    </row>
    <row r="23024" spans="1:5" x14ac:dyDescent="0.25">
      <c r="A23024" t="s">
        <v>5</v>
      </c>
      <c r="B23024" t="s">
        <v>6073</v>
      </c>
      <c r="C23024" s="1" t="s">
        <v>23490</v>
      </c>
      <c r="D23024" s="1" t="str">
        <f>HYPERLINK("https://rhld.insurance.arkansas.gov/NPILookup?Npi=1306096151","1306096151")</f>
        <v>1306096151</v>
      </c>
      <c r="E23024" t="s">
        <v>14020</v>
      </c>
    </row>
    <row r="23025" spans="1:5" x14ac:dyDescent="0.25">
      <c r="A23025" t="s">
        <v>5</v>
      </c>
      <c r="B23025" t="s">
        <v>6073</v>
      </c>
      <c r="C23025" s="1" t="s">
        <v>23490</v>
      </c>
      <c r="D23025" s="1" t="str">
        <f>HYPERLINK("https://rhld.insurance.arkansas.gov/NPILookup?Npi=1306177969","1306177969")</f>
        <v>1306177969</v>
      </c>
      <c r="E23025" t="s">
        <v>11618</v>
      </c>
    </row>
    <row r="23026" spans="1:5" x14ac:dyDescent="0.25">
      <c r="A23026" t="s">
        <v>5</v>
      </c>
      <c r="B23026" t="s">
        <v>6073</v>
      </c>
      <c r="C23026" s="1" t="s">
        <v>23490</v>
      </c>
      <c r="D23026" s="1" t="str">
        <f>HYPERLINK("https://rhld.insurance.arkansas.gov/NPILookup?Npi=1306375407","1306375407")</f>
        <v>1306375407</v>
      </c>
      <c r="E23026" t="s">
        <v>18317</v>
      </c>
    </row>
    <row r="23027" spans="1:5" x14ac:dyDescent="0.25">
      <c r="A23027" t="s">
        <v>5</v>
      </c>
      <c r="B23027" t="s">
        <v>6073</v>
      </c>
      <c r="C23027" s="1" t="s">
        <v>23490</v>
      </c>
      <c r="D23027" s="1" t="str">
        <f>HYPERLINK("https://rhld.insurance.arkansas.gov/NPILookup?Npi=1306509716","1306509716")</f>
        <v>1306509716</v>
      </c>
      <c r="E23027" t="s">
        <v>20421</v>
      </c>
    </row>
    <row r="23028" spans="1:5" x14ac:dyDescent="0.25">
      <c r="A23028" t="s">
        <v>5</v>
      </c>
      <c r="B23028" t="s">
        <v>6073</v>
      </c>
      <c r="C23028" s="1" t="s">
        <v>8427</v>
      </c>
      <c r="D23028" s="1" t="str">
        <f>HYPERLINK("https://rhld.insurance.arkansas.gov/NPILookup?Npi=1306593199","1306593199")</f>
        <v>1306593199</v>
      </c>
      <c r="E23028" t="s">
        <v>23075</v>
      </c>
    </row>
    <row r="23029" spans="1:5" x14ac:dyDescent="0.25">
      <c r="A23029" t="s">
        <v>5</v>
      </c>
      <c r="B23029" t="s">
        <v>6073</v>
      </c>
      <c r="C23029" s="1" t="s">
        <v>23490</v>
      </c>
      <c r="D23029" s="1" t="str">
        <f>HYPERLINK("https://rhld.insurance.arkansas.gov/NPILookup?Npi=1316098569","1316098569")</f>
        <v>1316098569</v>
      </c>
      <c r="E23029" t="s">
        <v>4701</v>
      </c>
    </row>
    <row r="23030" spans="1:5" x14ac:dyDescent="0.25">
      <c r="A23030" t="s">
        <v>5</v>
      </c>
      <c r="B23030" t="s">
        <v>6073</v>
      </c>
      <c r="C23030" s="1" t="s">
        <v>23490</v>
      </c>
      <c r="D23030" s="1" t="str">
        <f>HYPERLINK("https://rhld.insurance.arkansas.gov/NPILookup?Npi=1316163413","1316163413")</f>
        <v>1316163413</v>
      </c>
      <c r="E23030" t="s">
        <v>14026</v>
      </c>
    </row>
    <row r="23031" spans="1:5" x14ac:dyDescent="0.25">
      <c r="A23031" t="s">
        <v>5</v>
      </c>
      <c r="B23031" t="s">
        <v>6073</v>
      </c>
      <c r="C23031" s="1" t="s">
        <v>23490</v>
      </c>
      <c r="D23031" s="1" t="str">
        <f>HYPERLINK("https://rhld.insurance.arkansas.gov/NPILookup?Npi=1316310253","1316310253")</f>
        <v>1316310253</v>
      </c>
      <c r="E23031" t="s">
        <v>19066</v>
      </c>
    </row>
    <row r="23032" spans="1:5" x14ac:dyDescent="0.25">
      <c r="A23032" t="s">
        <v>5</v>
      </c>
      <c r="B23032" t="s">
        <v>6073</v>
      </c>
      <c r="C23032" s="1" t="s">
        <v>23490</v>
      </c>
      <c r="D23032" s="1" t="str">
        <f>HYPERLINK("https://rhld.insurance.arkansas.gov/NPILookup?Npi=1316328685","1316328685")</f>
        <v>1316328685</v>
      </c>
      <c r="E23032" t="s">
        <v>14027</v>
      </c>
    </row>
    <row r="23033" spans="1:5" x14ac:dyDescent="0.25">
      <c r="A23033" t="s">
        <v>5</v>
      </c>
      <c r="B23033" t="s">
        <v>6073</v>
      </c>
      <c r="C23033" s="1" t="s">
        <v>23490</v>
      </c>
      <c r="D23033" s="1" t="str">
        <f>HYPERLINK("https://rhld.insurance.arkansas.gov/NPILookup?Npi=1316383011","1316383011")</f>
        <v>1316383011</v>
      </c>
      <c r="E23033" t="s">
        <v>11621</v>
      </c>
    </row>
    <row r="23034" spans="1:5" x14ac:dyDescent="0.25">
      <c r="A23034" t="s">
        <v>5</v>
      </c>
      <c r="B23034" t="s">
        <v>6073</v>
      </c>
      <c r="C23034" s="1" t="s">
        <v>23490</v>
      </c>
      <c r="D23034" s="1" t="str">
        <f>HYPERLINK("https://rhld.insurance.arkansas.gov/NPILookup?Npi=1316426141","1316426141")</f>
        <v>1316426141</v>
      </c>
      <c r="E23034" t="s">
        <v>19067</v>
      </c>
    </row>
    <row r="23035" spans="1:5" x14ac:dyDescent="0.25">
      <c r="A23035" t="s">
        <v>5</v>
      </c>
      <c r="B23035" t="s">
        <v>6073</v>
      </c>
      <c r="C23035" s="1" t="s">
        <v>23490</v>
      </c>
      <c r="D23035" s="1" t="str">
        <f>HYPERLINK("https://rhld.insurance.arkansas.gov/NPILookup?Npi=1316495179","1316495179")</f>
        <v>1316495179</v>
      </c>
      <c r="E23035" t="s">
        <v>21195</v>
      </c>
    </row>
    <row r="23036" spans="1:5" x14ac:dyDescent="0.25">
      <c r="A23036" t="s">
        <v>5</v>
      </c>
      <c r="B23036" t="s">
        <v>6073</v>
      </c>
      <c r="C23036" s="1" t="s">
        <v>8427</v>
      </c>
      <c r="D23036" s="1" t="str">
        <f>HYPERLINK("https://rhld.insurance.arkansas.gov/NPILookup?Npi=1316633258","1316633258")</f>
        <v>1316633258</v>
      </c>
      <c r="E23036" t="s">
        <v>23239</v>
      </c>
    </row>
    <row r="23037" spans="1:5" x14ac:dyDescent="0.25">
      <c r="A23037" t="s">
        <v>5</v>
      </c>
      <c r="B23037" t="s">
        <v>6073</v>
      </c>
      <c r="C23037" s="1" t="s">
        <v>23490</v>
      </c>
      <c r="D23037" s="1" t="str">
        <f>HYPERLINK("https://rhld.insurance.arkansas.gov/NPILookup?Npi=1326222076","1326222076")</f>
        <v>1326222076</v>
      </c>
      <c r="E23037" t="s">
        <v>11624</v>
      </c>
    </row>
    <row r="23038" spans="1:5" x14ac:dyDescent="0.25">
      <c r="A23038" t="s">
        <v>5</v>
      </c>
      <c r="B23038" t="s">
        <v>6073</v>
      </c>
      <c r="C23038" s="1" t="s">
        <v>23490</v>
      </c>
      <c r="D23038" s="1" t="str">
        <f>HYPERLINK("https://rhld.insurance.arkansas.gov/NPILookup?Npi=1326258393","1326258393")</f>
        <v>1326258393</v>
      </c>
      <c r="E23038" t="s">
        <v>18496</v>
      </c>
    </row>
    <row r="23039" spans="1:5" x14ac:dyDescent="0.25">
      <c r="A23039" t="s">
        <v>5</v>
      </c>
      <c r="B23039" t="s">
        <v>6073</v>
      </c>
      <c r="C23039" s="1" t="s">
        <v>23490</v>
      </c>
      <c r="D23039" s="1" t="str">
        <f>HYPERLINK("https://rhld.insurance.arkansas.gov/NPILookup?Npi=1326389891","1326389891")</f>
        <v>1326389891</v>
      </c>
      <c r="E23039" t="s">
        <v>11627</v>
      </c>
    </row>
    <row r="23040" spans="1:5" x14ac:dyDescent="0.25">
      <c r="A23040" t="s">
        <v>5</v>
      </c>
      <c r="B23040" t="s">
        <v>6073</v>
      </c>
      <c r="C23040" s="1" t="s">
        <v>23490</v>
      </c>
      <c r="D23040" s="1" t="str">
        <f>HYPERLINK("https://rhld.insurance.arkansas.gov/NPILookup?Npi=1326393497","1326393497")</f>
        <v>1326393497</v>
      </c>
      <c r="E23040" t="s">
        <v>19068</v>
      </c>
    </row>
    <row r="23041" spans="1:5" x14ac:dyDescent="0.25">
      <c r="A23041" t="s">
        <v>5</v>
      </c>
      <c r="B23041" t="s">
        <v>6073</v>
      </c>
      <c r="C23041" s="1" t="s">
        <v>23490</v>
      </c>
      <c r="D23041" s="1" t="str">
        <f>HYPERLINK("https://rhld.insurance.arkansas.gov/NPILookup?Npi=1326415233","1326415233")</f>
        <v>1326415233</v>
      </c>
      <c r="E23041" t="s">
        <v>21196</v>
      </c>
    </row>
    <row r="23042" spans="1:5" x14ac:dyDescent="0.25">
      <c r="A23042" t="s">
        <v>5</v>
      </c>
      <c r="B23042" t="s">
        <v>6073</v>
      </c>
      <c r="C23042" s="1" t="s">
        <v>23490</v>
      </c>
      <c r="D23042" s="1" t="str">
        <f>HYPERLINK("https://rhld.insurance.arkansas.gov/NPILookup?Npi=1336283498","1336283498")</f>
        <v>1336283498</v>
      </c>
      <c r="E23042" t="s">
        <v>4745</v>
      </c>
    </row>
    <row r="23043" spans="1:5" x14ac:dyDescent="0.25">
      <c r="A23043" t="s">
        <v>5</v>
      </c>
      <c r="B23043" t="s">
        <v>6073</v>
      </c>
      <c r="C23043" s="1" t="s">
        <v>23490</v>
      </c>
      <c r="D23043" s="1" t="str">
        <f>HYPERLINK("https://rhld.insurance.arkansas.gov/NPILookup?Npi=1336364009","1336364009")</f>
        <v>1336364009</v>
      </c>
      <c r="E23043" t="s">
        <v>18497</v>
      </c>
    </row>
    <row r="23044" spans="1:5" x14ac:dyDescent="0.25">
      <c r="A23044" t="s">
        <v>5</v>
      </c>
      <c r="B23044" t="s">
        <v>6073</v>
      </c>
      <c r="C23044" s="1" t="s">
        <v>8427</v>
      </c>
      <c r="D23044" s="1" t="str">
        <f>HYPERLINK("https://rhld.insurance.arkansas.gov/NPILookup?Npi=1336619261","1336619261")</f>
        <v>1336619261</v>
      </c>
      <c r="E23044" t="s">
        <v>23240</v>
      </c>
    </row>
    <row r="23045" spans="1:5" x14ac:dyDescent="0.25">
      <c r="A23045" t="s">
        <v>5</v>
      </c>
      <c r="B23045" t="s">
        <v>6073</v>
      </c>
      <c r="C23045" s="1" t="s">
        <v>23490</v>
      </c>
      <c r="D23045" s="1" t="str">
        <f>HYPERLINK("https://rhld.insurance.arkansas.gov/NPILookup?Npi=1336630425","1336630425")</f>
        <v>1336630425</v>
      </c>
      <c r="E23045" t="s">
        <v>18327</v>
      </c>
    </row>
    <row r="23046" spans="1:5" x14ac:dyDescent="0.25">
      <c r="A23046" t="s">
        <v>5</v>
      </c>
      <c r="B23046" t="s">
        <v>6073</v>
      </c>
      <c r="C23046" s="1" t="s">
        <v>23490</v>
      </c>
      <c r="D23046" s="1" t="str">
        <f>HYPERLINK("https://rhld.insurance.arkansas.gov/NPILookup?Npi=1336693258","1336693258")</f>
        <v>1336693258</v>
      </c>
      <c r="E23046" t="s">
        <v>14042</v>
      </c>
    </row>
    <row r="23047" spans="1:5" x14ac:dyDescent="0.25">
      <c r="A23047" t="s">
        <v>5</v>
      </c>
      <c r="B23047" t="s">
        <v>6073</v>
      </c>
      <c r="C23047" s="1" t="s">
        <v>23490</v>
      </c>
      <c r="D23047" s="1" t="str">
        <f>HYPERLINK("https://rhld.insurance.arkansas.gov/NPILookup?Npi=1336762855","1336762855")</f>
        <v>1336762855</v>
      </c>
      <c r="E23047" t="s">
        <v>20432</v>
      </c>
    </row>
    <row r="23048" spans="1:5" x14ac:dyDescent="0.25">
      <c r="A23048" t="s">
        <v>5</v>
      </c>
      <c r="B23048" t="s">
        <v>6073</v>
      </c>
      <c r="C23048" s="1" t="s">
        <v>23490</v>
      </c>
      <c r="D23048" s="1" t="str">
        <f>HYPERLINK("https://rhld.insurance.arkansas.gov/NPILookup?Npi=1346501327","1346501327")</f>
        <v>1346501327</v>
      </c>
      <c r="E23048" t="s">
        <v>13119</v>
      </c>
    </row>
    <row r="23049" spans="1:5" x14ac:dyDescent="0.25">
      <c r="A23049" t="s">
        <v>5</v>
      </c>
      <c r="B23049" t="s">
        <v>6073</v>
      </c>
      <c r="C23049" s="1" t="s">
        <v>23490</v>
      </c>
      <c r="D23049" s="1" t="str">
        <f>HYPERLINK("https://rhld.insurance.arkansas.gov/NPILookup?Npi=1346508439","1346508439")</f>
        <v>1346508439</v>
      </c>
      <c r="E23049" t="s">
        <v>11632</v>
      </c>
    </row>
    <row r="23050" spans="1:5" x14ac:dyDescent="0.25">
      <c r="A23050" t="s">
        <v>5</v>
      </c>
      <c r="B23050" t="s">
        <v>6073</v>
      </c>
      <c r="C23050" s="1" t="s">
        <v>23490</v>
      </c>
      <c r="D23050" s="1" t="str">
        <f>HYPERLINK("https://rhld.insurance.arkansas.gov/NPILookup?Npi=1346644721","1346644721")</f>
        <v>1346644721</v>
      </c>
      <c r="E23050" t="s">
        <v>11633</v>
      </c>
    </row>
    <row r="23051" spans="1:5" x14ac:dyDescent="0.25">
      <c r="A23051" t="s">
        <v>5</v>
      </c>
      <c r="B23051" t="s">
        <v>6073</v>
      </c>
      <c r="C23051" s="1" t="s">
        <v>23490</v>
      </c>
      <c r="D23051" s="1" t="str">
        <f>HYPERLINK("https://rhld.insurance.arkansas.gov/NPILookup?Npi=1346706678","1346706678")</f>
        <v>1346706678</v>
      </c>
      <c r="E23051" t="s">
        <v>14048</v>
      </c>
    </row>
    <row r="23052" spans="1:5" x14ac:dyDescent="0.25">
      <c r="A23052" t="s">
        <v>5</v>
      </c>
      <c r="B23052" t="s">
        <v>6073</v>
      </c>
      <c r="C23052" s="1" t="s">
        <v>23490</v>
      </c>
      <c r="D23052" s="1" t="str">
        <f>HYPERLINK("https://rhld.insurance.arkansas.gov/NPILookup?Npi=1346776374","1346776374")</f>
        <v>1346776374</v>
      </c>
      <c r="E23052" t="s">
        <v>19069</v>
      </c>
    </row>
    <row r="23053" spans="1:5" x14ac:dyDescent="0.25">
      <c r="A23053" t="s">
        <v>5</v>
      </c>
      <c r="B23053" t="s">
        <v>6073</v>
      </c>
      <c r="C23053" s="1" t="s">
        <v>23490</v>
      </c>
      <c r="D23053" s="1" t="str">
        <f>HYPERLINK("https://rhld.insurance.arkansas.gov/NPILookup?Npi=1346835758","1346835758")</f>
        <v>1346835758</v>
      </c>
      <c r="E23053" t="s">
        <v>18329</v>
      </c>
    </row>
    <row r="23054" spans="1:5" x14ac:dyDescent="0.25">
      <c r="A23054" t="s">
        <v>5</v>
      </c>
      <c r="B23054" t="s">
        <v>6073</v>
      </c>
      <c r="C23054" s="1" t="s">
        <v>8427</v>
      </c>
      <c r="D23054" s="1" t="str">
        <f>HYPERLINK("https://rhld.insurance.arkansas.gov/NPILookup?Npi=1346847290","1346847290")</f>
        <v>1346847290</v>
      </c>
      <c r="E23054" t="s">
        <v>23085</v>
      </c>
    </row>
    <row r="23055" spans="1:5" x14ac:dyDescent="0.25">
      <c r="A23055" t="s">
        <v>5</v>
      </c>
      <c r="B23055" t="s">
        <v>6073</v>
      </c>
      <c r="C23055" s="1" t="s">
        <v>23490</v>
      </c>
      <c r="D23055" s="1" t="str">
        <f>HYPERLINK("https://rhld.insurance.arkansas.gov/NPILookup?Npi=1346866647","1346866647")</f>
        <v>1346866647</v>
      </c>
      <c r="E23055" t="s">
        <v>21197</v>
      </c>
    </row>
    <row r="23056" spans="1:5" x14ac:dyDescent="0.25">
      <c r="A23056" t="s">
        <v>5</v>
      </c>
      <c r="B23056" t="s">
        <v>6073</v>
      </c>
      <c r="C23056" s="1" t="s">
        <v>8427</v>
      </c>
      <c r="D23056" s="1" t="str">
        <f>HYPERLINK("https://rhld.insurance.arkansas.gov/NPILookup?Npi=1346950094","1346950094")</f>
        <v>1346950094</v>
      </c>
      <c r="E23056" t="s">
        <v>23086</v>
      </c>
    </row>
    <row r="23057" spans="1:5" x14ac:dyDescent="0.25">
      <c r="A23057" t="s">
        <v>5</v>
      </c>
      <c r="B23057" t="s">
        <v>6073</v>
      </c>
      <c r="C23057" s="1" t="s">
        <v>8427</v>
      </c>
      <c r="D23057" s="1" t="str">
        <f>HYPERLINK("https://rhld.insurance.arkansas.gov/NPILookup?Npi=1356126437","1356126437")</f>
        <v>1356126437</v>
      </c>
      <c r="E23057" t="s">
        <v>23241</v>
      </c>
    </row>
    <row r="23058" spans="1:5" x14ac:dyDescent="0.25">
      <c r="A23058" t="s">
        <v>5</v>
      </c>
      <c r="B23058" t="s">
        <v>6073</v>
      </c>
      <c r="C23058" s="1" t="s">
        <v>23490</v>
      </c>
      <c r="D23058" s="1" t="str">
        <f>HYPERLINK("https://rhld.insurance.arkansas.gov/NPILookup?Npi=1356679336","1356679336")</f>
        <v>1356679336</v>
      </c>
      <c r="E23058" t="s">
        <v>11637</v>
      </c>
    </row>
    <row r="23059" spans="1:5" x14ac:dyDescent="0.25">
      <c r="A23059" t="s">
        <v>5</v>
      </c>
      <c r="B23059" t="s">
        <v>6073</v>
      </c>
      <c r="C23059" s="1" t="s">
        <v>23490</v>
      </c>
      <c r="D23059" s="1" t="str">
        <f>HYPERLINK("https://rhld.insurance.arkansas.gov/NPILookup?Npi=1356706238","1356706238")</f>
        <v>1356706238</v>
      </c>
      <c r="E23059" t="s">
        <v>11638</v>
      </c>
    </row>
    <row r="23060" spans="1:5" x14ac:dyDescent="0.25">
      <c r="A23060" t="s">
        <v>5</v>
      </c>
      <c r="B23060" t="s">
        <v>6073</v>
      </c>
      <c r="C23060" s="1" t="s">
        <v>23490</v>
      </c>
      <c r="D23060" s="1" t="str">
        <f>HYPERLINK("https://rhld.insurance.arkansas.gov/NPILookup?Npi=1356717888","1356717888")</f>
        <v>1356717888</v>
      </c>
      <c r="E23060" t="s">
        <v>18331</v>
      </c>
    </row>
    <row r="23061" spans="1:5" x14ac:dyDescent="0.25">
      <c r="A23061" t="s">
        <v>5</v>
      </c>
      <c r="B23061" t="s">
        <v>6073</v>
      </c>
      <c r="C23061" s="1" t="s">
        <v>23490</v>
      </c>
      <c r="D23061" s="1" t="str">
        <f>HYPERLINK("https://rhld.insurance.arkansas.gov/NPILookup?Npi=1356756183","1356756183")</f>
        <v>1356756183</v>
      </c>
      <c r="E23061" t="s">
        <v>11639</v>
      </c>
    </row>
    <row r="23062" spans="1:5" x14ac:dyDescent="0.25">
      <c r="A23062" t="s">
        <v>5</v>
      </c>
      <c r="B23062" t="s">
        <v>6073</v>
      </c>
      <c r="C23062" s="1" t="s">
        <v>23490</v>
      </c>
      <c r="D23062" s="1" t="str">
        <f>HYPERLINK("https://rhld.insurance.arkansas.gov/NPILookup?Npi=1356831424","1356831424")</f>
        <v>1356831424</v>
      </c>
      <c r="E23062" t="s">
        <v>18974</v>
      </c>
    </row>
    <row r="23063" spans="1:5" x14ac:dyDescent="0.25">
      <c r="A23063" t="s">
        <v>5</v>
      </c>
      <c r="B23063" t="s">
        <v>6073</v>
      </c>
      <c r="C23063" s="1" t="s">
        <v>23490</v>
      </c>
      <c r="D23063" s="1" t="str">
        <f>HYPERLINK("https://rhld.insurance.arkansas.gov/NPILookup?Npi=1356869911","1356869911")</f>
        <v>1356869911</v>
      </c>
      <c r="E23063" t="s">
        <v>14052</v>
      </c>
    </row>
    <row r="23064" spans="1:5" x14ac:dyDescent="0.25">
      <c r="A23064" t="s">
        <v>5</v>
      </c>
      <c r="B23064" t="s">
        <v>6073</v>
      </c>
      <c r="C23064" s="1" t="s">
        <v>8427</v>
      </c>
      <c r="D23064" s="1" t="str">
        <f>HYPERLINK("https://rhld.insurance.arkansas.gov/NPILookup?Npi=1356991343","1356991343")</f>
        <v>1356991343</v>
      </c>
      <c r="E23064" t="s">
        <v>23088</v>
      </c>
    </row>
    <row r="23065" spans="1:5" x14ac:dyDescent="0.25">
      <c r="A23065" t="s">
        <v>5</v>
      </c>
      <c r="B23065" t="s">
        <v>6073</v>
      </c>
      <c r="C23065" s="1" t="s">
        <v>8427</v>
      </c>
      <c r="D23065" s="1" t="str">
        <f>HYPERLINK("https://rhld.insurance.arkansas.gov/NPILookup?Npi=1366055014","1366055014")</f>
        <v>1366055014</v>
      </c>
      <c r="E23065" t="s">
        <v>23089</v>
      </c>
    </row>
    <row r="23066" spans="1:5" x14ac:dyDescent="0.25">
      <c r="A23066" t="s">
        <v>5</v>
      </c>
      <c r="B23066" t="s">
        <v>6073</v>
      </c>
      <c r="C23066" s="1" t="s">
        <v>23490</v>
      </c>
      <c r="D23066" s="1" t="str">
        <f>HYPERLINK("https://rhld.insurance.arkansas.gov/NPILookup?Npi=1366630378","1366630378")</f>
        <v>1366630378</v>
      </c>
      <c r="E23066" t="s">
        <v>11641</v>
      </c>
    </row>
    <row r="23067" spans="1:5" x14ac:dyDescent="0.25">
      <c r="A23067" t="s">
        <v>5</v>
      </c>
      <c r="B23067" t="s">
        <v>6073</v>
      </c>
      <c r="C23067" s="1" t="s">
        <v>23490</v>
      </c>
      <c r="D23067" s="1" t="str">
        <f>HYPERLINK("https://rhld.insurance.arkansas.gov/NPILookup?Npi=1366645905","1366645905")</f>
        <v>1366645905</v>
      </c>
      <c r="E23067" t="s">
        <v>11642</v>
      </c>
    </row>
    <row r="23068" spans="1:5" x14ac:dyDescent="0.25">
      <c r="A23068" t="s">
        <v>5</v>
      </c>
      <c r="B23068" t="s">
        <v>6073</v>
      </c>
      <c r="C23068" s="1" t="s">
        <v>23490</v>
      </c>
      <c r="D23068" s="1" t="str">
        <f>HYPERLINK("https://rhld.insurance.arkansas.gov/NPILookup?Npi=1366785909","1366785909")</f>
        <v>1366785909</v>
      </c>
      <c r="E23068" t="s">
        <v>11644</v>
      </c>
    </row>
    <row r="23069" spans="1:5" x14ac:dyDescent="0.25">
      <c r="A23069" t="s">
        <v>5</v>
      </c>
      <c r="B23069" t="s">
        <v>6073</v>
      </c>
      <c r="C23069" s="1" t="s">
        <v>8427</v>
      </c>
      <c r="D23069" s="1" t="str">
        <f>HYPERLINK("https://rhld.insurance.arkansas.gov/NPILookup?Npi=1366803702","1366803702")</f>
        <v>1366803702</v>
      </c>
      <c r="E23069" t="s">
        <v>23090</v>
      </c>
    </row>
    <row r="23070" spans="1:5" x14ac:dyDescent="0.25">
      <c r="A23070" t="s">
        <v>5</v>
      </c>
      <c r="B23070" t="s">
        <v>6073</v>
      </c>
      <c r="C23070" s="1" t="s">
        <v>23490</v>
      </c>
      <c r="D23070" s="1" t="str">
        <f>HYPERLINK("https://rhld.insurance.arkansas.gov/NPILookup?Npi=1366804700","1366804700")</f>
        <v>1366804700</v>
      </c>
      <c r="E23070" t="s">
        <v>11645</v>
      </c>
    </row>
    <row r="23071" spans="1:5" x14ac:dyDescent="0.25">
      <c r="A23071" t="s">
        <v>5</v>
      </c>
      <c r="B23071" t="s">
        <v>6073</v>
      </c>
      <c r="C23071" s="1" t="s">
        <v>23490</v>
      </c>
      <c r="D23071" s="1" t="str">
        <f>HYPERLINK("https://rhld.insurance.arkansas.gov/NPILookup?Npi=1366865685","1366865685")</f>
        <v>1366865685</v>
      </c>
      <c r="E23071" t="s">
        <v>11646</v>
      </c>
    </row>
    <row r="23072" spans="1:5" x14ac:dyDescent="0.25">
      <c r="A23072" t="s">
        <v>5</v>
      </c>
      <c r="B23072" t="s">
        <v>6073</v>
      </c>
      <c r="C23072" s="1" t="s">
        <v>23490</v>
      </c>
      <c r="D23072" s="1" t="str">
        <f>HYPERLINK("https://rhld.insurance.arkansas.gov/NPILookup?Npi=1366954570","1366954570")</f>
        <v>1366954570</v>
      </c>
      <c r="E23072" t="s">
        <v>19070</v>
      </c>
    </row>
    <row r="23073" spans="1:5" x14ac:dyDescent="0.25">
      <c r="A23073" t="s">
        <v>5</v>
      </c>
      <c r="B23073" t="s">
        <v>6073</v>
      </c>
      <c r="C23073" s="1" t="s">
        <v>23490</v>
      </c>
      <c r="D23073" s="1" t="str">
        <f>HYPERLINK("https://rhld.insurance.arkansas.gov/NPILookup?Npi=1376139642","1376139642")</f>
        <v>1376139642</v>
      </c>
      <c r="E23073" t="s">
        <v>21198</v>
      </c>
    </row>
    <row r="23074" spans="1:5" x14ac:dyDescent="0.25">
      <c r="A23074" t="s">
        <v>5</v>
      </c>
      <c r="B23074" t="s">
        <v>6073</v>
      </c>
      <c r="C23074" s="1" t="s">
        <v>8427</v>
      </c>
      <c r="D23074" s="1" t="str">
        <f>HYPERLINK("https://rhld.insurance.arkansas.gov/NPILookup?Npi=1376168120","1376168120")</f>
        <v>1376168120</v>
      </c>
      <c r="E23074" t="s">
        <v>23242</v>
      </c>
    </row>
    <row r="23075" spans="1:5" x14ac:dyDescent="0.25">
      <c r="A23075" t="s">
        <v>5</v>
      </c>
      <c r="B23075" t="s">
        <v>6073</v>
      </c>
      <c r="C23075" s="1" t="s">
        <v>23490</v>
      </c>
      <c r="D23075" s="1" t="str">
        <f>HYPERLINK("https://rhld.insurance.arkansas.gov/NPILookup?Npi=1376186700","1376186700")</f>
        <v>1376186700</v>
      </c>
      <c r="E23075" t="s">
        <v>19071</v>
      </c>
    </row>
    <row r="23076" spans="1:5" x14ac:dyDescent="0.25">
      <c r="A23076" t="s">
        <v>5</v>
      </c>
      <c r="B23076" t="s">
        <v>6073</v>
      </c>
      <c r="C23076" s="1" t="s">
        <v>23490</v>
      </c>
      <c r="D23076" s="1" t="str">
        <f>HYPERLINK("https://rhld.insurance.arkansas.gov/NPILookup?Npi=1376719708","1376719708")</f>
        <v>1376719708</v>
      </c>
      <c r="E23076" t="s">
        <v>21199</v>
      </c>
    </row>
    <row r="23077" spans="1:5" x14ac:dyDescent="0.25">
      <c r="A23077" t="s">
        <v>5</v>
      </c>
      <c r="B23077" t="s">
        <v>6073</v>
      </c>
      <c r="C23077" s="1" t="s">
        <v>23490</v>
      </c>
      <c r="D23077" s="1" t="str">
        <f>HYPERLINK("https://rhld.insurance.arkansas.gov/NPILookup?Npi=1376915215","1376915215")</f>
        <v>1376915215</v>
      </c>
      <c r="E23077" t="s">
        <v>11650</v>
      </c>
    </row>
    <row r="23078" spans="1:5" x14ac:dyDescent="0.25">
      <c r="A23078" t="s">
        <v>5</v>
      </c>
      <c r="B23078" t="s">
        <v>6073</v>
      </c>
      <c r="C23078" s="1" t="s">
        <v>23490</v>
      </c>
      <c r="D23078" s="1" t="str">
        <f>HYPERLINK("https://rhld.insurance.arkansas.gov/NPILookup?Npi=1376971267","1376971267")</f>
        <v>1376971267</v>
      </c>
      <c r="E23078" t="s">
        <v>19072</v>
      </c>
    </row>
    <row r="23079" spans="1:5" x14ac:dyDescent="0.25">
      <c r="A23079" t="s">
        <v>5</v>
      </c>
      <c r="B23079" t="s">
        <v>6073</v>
      </c>
      <c r="C23079" s="1" t="s">
        <v>23490</v>
      </c>
      <c r="D23079" s="1" t="str">
        <f>HYPERLINK("https://rhld.insurance.arkansas.gov/NPILookup?Npi=1386036382","1386036382")</f>
        <v>1386036382</v>
      </c>
      <c r="E23079" t="s">
        <v>11652</v>
      </c>
    </row>
    <row r="23080" spans="1:5" x14ac:dyDescent="0.25">
      <c r="A23080" t="s">
        <v>5</v>
      </c>
      <c r="B23080" t="s">
        <v>6073</v>
      </c>
      <c r="C23080" s="1" t="s">
        <v>23490</v>
      </c>
      <c r="D23080" s="1" t="str">
        <f>HYPERLINK("https://rhld.insurance.arkansas.gov/NPILookup?Npi=1386069961","1386069961")</f>
        <v>1386069961</v>
      </c>
      <c r="E23080" t="s">
        <v>11653</v>
      </c>
    </row>
    <row r="23081" spans="1:5" x14ac:dyDescent="0.25">
      <c r="A23081" t="s">
        <v>5</v>
      </c>
      <c r="B23081" t="s">
        <v>6073</v>
      </c>
      <c r="C23081" s="1" t="s">
        <v>23490</v>
      </c>
      <c r="D23081" s="1" t="str">
        <f>HYPERLINK("https://rhld.insurance.arkansas.gov/NPILookup?Npi=1386110807","1386110807")</f>
        <v>1386110807</v>
      </c>
      <c r="E23081" t="s">
        <v>20456</v>
      </c>
    </row>
    <row r="23082" spans="1:5" x14ac:dyDescent="0.25">
      <c r="A23082" t="s">
        <v>5</v>
      </c>
      <c r="B23082" t="s">
        <v>6073</v>
      </c>
      <c r="C23082" s="1" t="s">
        <v>23490</v>
      </c>
      <c r="D23082" s="1" t="str">
        <f>HYPERLINK("https://rhld.insurance.arkansas.gov/NPILookup?Npi=1386153393","1386153393")</f>
        <v>1386153393</v>
      </c>
      <c r="E23082" t="s">
        <v>18336</v>
      </c>
    </row>
    <row r="23083" spans="1:5" x14ac:dyDescent="0.25">
      <c r="A23083" t="s">
        <v>5</v>
      </c>
      <c r="B23083" t="s">
        <v>6073</v>
      </c>
      <c r="C23083" s="1" t="s">
        <v>23490</v>
      </c>
      <c r="D23083" s="1" t="str">
        <f>HYPERLINK("https://rhld.insurance.arkansas.gov/NPILookup?Npi=1386155620","1386155620")</f>
        <v>1386155620</v>
      </c>
      <c r="E23083" t="s">
        <v>19073</v>
      </c>
    </row>
    <row r="23084" spans="1:5" x14ac:dyDescent="0.25">
      <c r="A23084" t="s">
        <v>5</v>
      </c>
      <c r="B23084" t="s">
        <v>6073</v>
      </c>
      <c r="C23084" s="1" t="s">
        <v>23490</v>
      </c>
      <c r="D23084" s="1" t="str">
        <f>HYPERLINK("https://rhld.insurance.arkansas.gov/NPILookup?Npi=1386752400","1386752400")</f>
        <v>1386752400</v>
      </c>
      <c r="E23084" t="s">
        <v>11656</v>
      </c>
    </row>
    <row r="23085" spans="1:5" x14ac:dyDescent="0.25">
      <c r="A23085" t="s">
        <v>5</v>
      </c>
      <c r="B23085" t="s">
        <v>6073</v>
      </c>
      <c r="C23085" s="1" t="s">
        <v>23490</v>
      </c>
      <c r="D23085" s="1" t="str">
        <f>HYPERLINK("https://rhld.insurance.arkansas.gov/NPILookup?Npi=1386762854","1386762854")</f>
        <v>1386762854</v>
      </c>
      <c r="E23085" t="s">
        <v>11657</v>
      </c>
    </row>
    <row r="23086" spans="1:5" x14ac:dyDescent="0.25">
      <c r="A23086" t="s">
        <v>5</v>
      </c>
      <c r="B23086" t="s">
        <v>6073</v>
      </c>
      <c r="C23086" s="1" t="s">
        <v>23490</v>
      </c>
      <c r="D23086" s="1" t="str">
        <f>HYPERLINK("https://rhld.insurance.arkansas.gov/NPILookup?Npi=1386828622","1386828622")</f>
        <v>1386828622</v>
      </c>
      <c r="E23086" t="s">
        <v>11659</v>
      </c>
    </row>
    <row r="23087" spans="1:5" x14ac:dyDescent="0.25">
      <c r="A23087" t="s">
        <v>5</v>
      </c>
      <c r="B23087" t="s">
        <v>6073</v>
      </c>
      <c r="C23087" s="1" t="s">
        <v>23490</v>
      </c>
      <c r="D23087" s="1" t="str">
        <f>HYPERLINK("https://rhld.insurance.arkansas.gov/NPILookup?Npi=1386870525","1386870525")</f>
        <v>1386870525</v>
      </c>
      <c r="E23087" t="s">
        <v>23093</v>
      </c>
    </row>
    <row r="23088" spans="1:5" x14ac:dyDescent="0.25">
      <c r="A23088" t="s">
        <v>5</v>
      </c>
      <c r="B23088" t="s">
        <v>6073</v>
      </c>
      <c r="C23088" s="1" t="s">
        <v>23490</v>
      </c>
      <c r="D23088" s="1" t="str">
        <f>HYPERLINK("https://rhld.insurance.arkansas.gov/NPILookup?Npi=1386902856","1386902856")</f>
        <v>1386902856</v>
      </c>
      <c r="E23088" t="s">
        <v>11660</v>
      </c>
    </row>
    <row r="23089" spans="1:5" x14ac:dyDescent="0.25">
      <c r="A23089" t="s">
        <v>5</v>
      </c>
      <c r="B23089" t="s">
        <v>6073</v>
      </c>
      <c r="C23089" s="1" t="s">
        <v>23490</v>
      </c>
      <c r="D23089" s="1" t="str">
        <f>HYPERLINK("https://rhld.insurance.arkansas.gov/NPILookup?Npi=1386949006","1386949006")</f>
        <v>1386949006</v>
      </c>
      <c r="E23089" t="s">
        <v>11661</v>
      </c>
    </row>
    <row r="23090" spans="1:5" x14ac:dyDescent="0.25">
      <c r="A23090" t="s">
        <v>5</v>
      </c>
      <c r="B23090" t="s">
        <v>6073</v>
      </c>
      <c r="C23090" s="1" t="s">
        <v>23490</v>
      </c>
      <c r="D23090" s="1" t="str">
        <f>HYPERLINK("https://rhld.insurance.arkansas.gov/NPILookup?Npi=1396084596","1396084596")</f>
        <v>1396084596</v>
      </c>
      <c r="E23090" t="s">
        <v>11662</v>
      </c>
    </row>
    <row r="23091" spans="1:5" x14ac:dyDescent="0.25">
      <c r="A23091" t="s">
        <v>5</v>
      </c>
      <c r="B23091" t="s">
        <v>6073</v>
      </c>
      <c r="C23091" s="1" t="s">
        <v>23490</v>
      </c>
      <c r="D23091" s="1" t="str">
        <f>HYPERLINK("https://rhld.insurance.arkansas.gov/NPILookup?Npi=1396139275","1396139275")</f>
        <v>1396139275</v>
      </c>
      <c r="E23091" t="s">
        <v>11664</v>
      </c>
    </row>
    <row r="23092" spans="1:5" x14ac:dyDescent="0.25">
      <c r="A23092" t="s">
        <v>5</v>
      </c>
      <c r="B23092" t="s">
        <v>6073</v>
      </c>
      <c r="C23092" s="1" t="s">
        <v>23490</v>
      </c>
      <c r="D23092" s="1" t="str">
        <f>HYPERLINK("https://rhld.insurance.arkansas.gov/NPILookup?Npi=1396144986","1396144986")</f>
        <v>1396144986</v>
      </c>
      <c r="E23092" t="s">
        <v>11665</v>
      </c>
    </row>
    <row r="23093" spans="1:5" x14ac:dyDescent="0.25">
      <c r="A23093" t="s">
        <v>5</v>
      </c>
      <c r="B23093" t="s">
        <v>6073</v>
      </c>
      <c r="C23093" s="1" t="s">
        <v>23490</v>
      </c>
      <c r="D23093" s="1" t="str">
        <f>HYPERLINK("https://rhld.insurance.arkansas.gov/NPILookup?Npi=1396273850","1396273850")</f>
        <v>1396273850</v>
      </c>
      <c r="E23093" t="s">
        <v>14055</v>
      </c>
    </row>
    <row r="23094" spans="1:5" x14ac:dyDescent="0.25">
      <c r="A23094" t="s">
        <v>5</v>
      </c>
      <c r="B23094" t="s">
        <v>6073</v>
      </c>
      <c r="C23094" s="1" t="s">
        <v>23490</v>
      </c>
      <c r="D23094" s="1" t="str">
        <f>HYPERLINK("https://rhld.insurance.arkansas.gov/NPILookup?Npi=1396381927","1396381927")</f>
        <v>1396381927</v>
      </c>
      <c r="E23094" t="s">
        <v>22030</v>
      </c>
    </row>
    <row r="23095" spans="1:5" x14ac:dyDescent="0.25">
      <c r="A23095" t="s">
        <v>5</v>
      </c>
      <c r="B23095" t="s">
        <v>6073</v>
      </c>
      <c r="C23095" s="1" t="s">
        <v>23490</v>
      </c>
      <c r="D23095" s="1" t="str">
        <f>HYPERLINK("https://rhld.insurance.arkansas.gov/NPILookup?Npi=1396419107","1396419107")</f>
        <v>1396419107</v>
      </c>
      <c r="E23095" t="s">
        <v>19074</v>
      </c>
    </row>
    <row r="23096" spans="1:5" x14ac:dyDescent="0.25">
      <c r="A23096" t="s">
        <v>5</v>
      </c>
      <c r="B23096" t="s">
        <v>6073</v>
      </c>
      <c r="C23096" s="1" t="s">
        <v>23490</v>
      </c>
      <c r="D23096" s="1" t="str">
        <f>HYPERLINK("https://rhld.insurance.arkansas.gov/NPILookup?Npi=1396863700","1396863700")</f>
        <v>1396863700</v>
      </c>
      <c r="E23096" t="s">
        <v>14312</v>
      </c>
    </row>
    <row r="23097" spans="1:5" x14ac:dyDescent="0.25">
      <c r="A23097" t="s">
        <v>5</v>
      </c>
      <c r="B23097" t="s">
        <v>6073</v>
      </c>
      <c r="C23097" s="1" t="s">
        <v>23490</v>
      </c>
      <c r="D23097" s="1" t="str">
        <f>HYPERLINK("https://rhld.insurance.arkansas.gov/NPILookup?Npi=1396998605","1396998605")</f>
        <v>1396998605</v>
      </c>
      <c r="E23097" t="s">
        <v>7013</v>
      </c>
    </row>
    <row r="23098" spans="1:5" x14ac:dyDescent="0.25">
      <c r="A23098" t="s">
        <v>5</v>
      </c>
      <c r="B23098" t="s">
        <v>6073</v>
      </c>
      <c r="C23098" s="1" t="s">
        <v>23490</v>
      </c>
      <c r="D23098" s="1" t="str">
        <f>HYPERLINK("https://rhld.insurance.arkansas.gov/NPILookup?Npi=1407176795","1407176795")</f>
        <v>1407176795</v>
      </c>
      <c r="E23098" t="s">
        <v>11669</v>
      </c>
    </row>
    <row r="23099" spans="1:5" x14ac:dyDescent="0.25">
      <c r="A23099" t="s">
        <v>5</v>
      </c>
      <c r="B23099" t="s">
        <v>6073</v>
      </c>
      <c r="C23099" s="1" t="s">
        <v>23490</v>
      </c>
      <c r="D23099" s="1" t="str">
        <f>HYPERLINK("https://rhld.insurance.arkansas.gov/NPILookup?Npi=1407182272","1407182272")</f>
        <v>1407182272</v>
      </c>
      <c r="E23099" t="s">
        <v>11670</v>
      </c>
    </row>
    <row r="23100" spans="1:5" x14ac:dyDescent="0.25">
      <c r="A23100" t="s">
        <v>5</v>
      </c>
      <c r="B23100" t="s">
        <v>6073</v>
      </c>
      <c r="C23100" s="1" t="s">
        <v>23490</v>
      </c>
      <c r="D23100" s="1" t="str">
        <f>HYPERLINK("https://rhld.insurance.arkansas.gov/NPILookup?Npi=1407213135","1407213135")</f>
        <v>1407213135</v>
      </c>
      <c r="E23100" t="s">
        <v>11671</v>
      </c>
    </row>
    <row r="23101" spans="1:5" x14ac:dyDescent="0.25">
      <c r="A23101" t="s">
        <v>5</v>
      </c>
      <c r="B23101" t="s">
        <v>6073</v>
      </c>
      <c r="C23101" s="1" t="s">
        <v>23490</v>
      </c>
      <c r="D23101" s="1" t="str">
        <f>HYPERLINK("https://rhld.insurance.arkansas.gov/NPILookup?Npi=1407214521","1407214521")</f>
        <v>1407214521</v>
      </c>
      <c r="E23101" t="s">
        <v>14059</v>
      </c>
    </row>
    <row r="23102" spans="1:5" x14ac:dyDescent="0.25">
      <c r="A23102" t="s">
        <v>5</v>
      </c>
      <c r="B23102" t="s">
        <v>6073</v>
      </c>
      <c r="C23102" s="1" t="s">
        <v>8427</v>
      </c>
      <c r="D23102" s="1" t="str">
        <f>HYPERLINK("https://rhld.insurance.arkansas.gov/NPILookup?Npi=1407326002","1407326002")</f>
        <v>1407326002</v>
      </c>
      <c r="E23102" t="s">
        <v>23243</v>
      </c>
    </row>
    <row r="23103" spans="1:5" x14ac:dyDescent="0.25">
      <c r="A23103" t="s">
        <v>5</v>
      </c>
      <c r="B23103" t="s">
        <v>6073</v>
      </c>
      <c r="C23103" s="1" t="s">
        <v>23490</v>
      </c>
      <c r="D23103" s="1" t="str">
        <f>HYPERLINK("https://rhld.insurance.arkansas.gov/NPILookup?Npi=1407351562","1407351562")</f>
        <v>1407351562</v>
      </c>
      <c r="E23103" t="s">
        <v>20467</v>
      </c>
    </row>
    <row r="23104" spans="1:5" x14ac:dyDescent="0.25">
      <c r="A23104" t="s">
        <v>5</v>
      </c>
      <c r="B23104" t="s">
        <v>6073</v>
      </c>
      <c r="C23104" s="1" t="s">
        <v>23490</v>
      </c>
      <c r="D23104" s="1" t="str">
        <f>HYPERLINK("https://rhld.insurance.arkansas.gov/NPILookup?Npi=1407526957","1407526957")</f>
        <v>1407526957</v>
      </c>
      <c r="E23104" t="s">
        <v>20468</v>
      </c>
    </row>
    <row r="23105" spans="1:5" x14ac:dyDescent="0.25">
      <c r="A23105" t="s">
        <v>5</v>
      </c>
      <c r="B23105" t="s">
        <v>6073</v>
      </c>
      <c r="C23105" s="1" t="s">
        <v>23490</v>
      </c>
      <c r="D23105" s="1" t="str">
        <f>HYPERLINK("https://rhld.insurance.arkansas.gov/NPILookup?Npi=1417145756","1417145756")</f>
        <v>1417145756</v>
      </c>
      <c r="E23105" t="s">
        <v>11673</v>
      </c>
    </row>
    <row r="23106" spans="1:5" x14ac:dyDescent="0.25">
      <c r="A23106" t="s">
        <v>5</v>
      </c>
      <c r="B23106" t="s">
        <v>6073</v>
      </c>
      <c r="C23106" s="1" t="s">
        <v>8427</v>
      </c>
      <c r="D23106" s="1" t="str">
        <f>HYPERLINK("https://rhld.insurance.arkansas.gov/NPILookup?Npi=1417297235","1417297235")</f>
        <v>1417297235</v>
      </c>
      <c r="E23106" t="s">
        <v>23244</v>
      </c>
    </row>
    <row r="23107" spans="1:5" x14ac:dyDescent="0.25">
      <c r="A23107" t="s">
        <v>5</v>
      </c>
      <c r="B23107" t="s">
        <v>6073</v>
      </c>
      <c r="C23107" s="1" t="s">
        <v>23490</v>
      </c>
      <c r="D23107" s="1" t="str">
        <f>HYPERLINK("https://rhld.insurance.arkansas.gov/NPILookup?Npi=1417313370","1417313370")</f>
        <v>1417313370</v>
      </c>
      <c r="E23107" t="s">
        <v>23245</v>
      </c>
    </row>
    <row r="23108" spans="1:5" x14ac:dyDescent="0.25">
      <c r="A23108" t="s">
        <v>5</v>
      </c>
      <c r="B23108" t="s">
        <v>6073</v>
      </c>
      <c r="C23108" s="1" t="s">
        <v>23490</v>
      </c>
      <c r="D23108" s="1" t="str">
        <f>HYPERLINK("https://rhld.insurance.arkansas.gov/NPILookup?Npi=1417364514","1417364514")</f>
        <v>1417364514</v>
      </c>
      <c r="E23108" t="s">
        <v>19075</v>
      </c>
    </row>
    <row r="23109" spans="1:5" x14ac:dyDescent="0.25">
      <c r="A23109" t="s">
        <v>5</v>
      </c>
      <c r="B23109" t="s">
        <v>6073</v>
      </c>
      <c r="C23109" s="1" t="s">
        <v>23490</v>
      </c>
      <c r="D23109" s="1" t="str">
        <f>HYPERLINK("https://rhld.insurance.arkansas.gov/NPILookup?Npi=1417386731","1417386731")</f>
        <v>1417386731</v>
      </c>
      <c r="E23109" t="s">
        <v>18342</v>
      </c>
    </row>
    <row r="23110" spans="1:5" x14ac:dyDescent="0.25">
      <c r="A23110" t="s">
        <v>5</v>
      </c>
      <c r="B23110" t="s">
        <v>6073</v>
      </c>
      <c r="C23110" s="1" t="s">
        <v>23490</v>
      </c>
      <c r="D23110" s="1" t="str">
        <f>HYPERLINK("https://rhld.insurance.arkansas.gov/NPILookup?Npi=1417390915","1417390915")</f>
        <v>1417390915</v>
      </c>
      <c r="E23110" t="s">
        <v>11675</v>
      </c>
    </row>
    <row r="23111" spans="1:5" x14ac:dyDescent="0.25">
      <c r="A23111" t="s">
        <v>5</v>
      </c>
      <c r="B23111" t="s">
        <v>6073</v>
      </c>
      <c r="C23111" s="1" t="s">
        <v>23490</v>
      </c>
      <c r="D23111" s="1" t="str">
        <f>HYPERLINK("https://rhld.insurance.arkansas.gov/NPILookup?Npi=1417402892","1417402892")</f>
        <v>1417402892</v>
      </c>
      <c r="E23111" t="s">
        <v>14063</v>
      </c>
    </row>
    <row r="23112" spans="1:5" x14ac:dyDescent="0.25">
      <c r="A23112" t="s">
        <v>5</v>
      </c>
      <c r="B23112" t="s">
        <v>6073</v>
      </c>
      <c r="C23112" s="1" t="s">
        <v>23490</v>
      </c>
      <c r="D23112" s="1" t="str">
        <f>HYPERLINK("https://rhld.insurance.arkansas.gov/NPILookup?Npi=1417413832","1417413832")</f>
        <v>1417413832</v>
      </c>
      <c r="E23112" t="s">
        <v>18343</v>
      </c>
    </row>
    <row r="23113" spans="1:5" x14ac:dyDescent="0.25">
      <c r="A23113" t="s">
        <v>5</v>
      </c>
      <c r="B23113" t="s">
        <v>6073</v>
      </c>
      <c r="C23113" s="1" t="s">
        <v>23490</v>
      </c>
      <c r="D23113" s="1" t="str">
        <f>HYPERLINK("https://rhld.insurance.arkansas.gov/NPILookup?Npi=1417489600","1417489600")</f>
        <v>1417489600</v>
      </c>
      <c r="E23113" t="s">
        <v>20471</v>
      </c>
    </row>
    <row r="23114" spans="1:5" x14ac:dyDescent="0.25">
      <c r="A23114" t="s">
        <v>5</v>
      </c>
      <c r="B23114" t="s">
        <v>6073</v>
      </c>
      <c r="C23114" s="1" t="s">
        <v>23490</v>
      </c>
      <c r="D23114" s="1" t="str">
        <f>HYPERLINK("https://rhld.insurance.arkansas.gov/NPILookup?Npi=1427038728","1427038728")</f>
        <v>1427038728</v>
      </c>
      <c r="E23114" t="s">
        <v>4925</v>
      </c>
    </row>
    <row r="23115" spans="1:5" x14ac:dyDescent="0.25">
      <c r="A23115" t="s">
        <v>5</v>
      </c>
      <c r="B23115" t="s">
        <v>6073</v>
      </c>
      <c r="C23115" s="1" t="s">
        <v>23490</v>
      </c>
      <c r="D23115" s="1" t="str">
        <f>HYPERLINK("https://rhld.insurance.arkansas.gov/NPILookup?Npi=1427116581","1427116581")</f>
        <v>1427116581</v>
      </c>
      <c r="E23115" t="s">
        <v>11948</v>
      </c>
    </row>
    <row r="23116" spans="1:5" x14ac:dyDescent="0.25">
      <c r="A23116" t="s">
        <v>5</v>
      </c>
      <c r="B23116" t="s">
        <v>6073</v>
      </c>
      <c r="C23116" s="1" t="s">
        <v>23490</v>
      </c>
      <c r="D23116" s="1" t="str">
        <f>HYPERLINK("https://rhld.insurance.arkansas.gov/NPILookup?Npi=1427417823","1427417823")</f>
        <v>1427417823</v>
      </c>
      <c r="E23116" t="s">
        <v>14068</v>
      </c>
    </row>
    <row r="23117" spans="1:5" x14ac:dyDescent="0.25">
      <c r="A23117" t="s">
        <v>5</v>
      </c>
      <c r="B23117" t="s">
        <v>6073</v>
      </c>
      <c r="C23117" s="1" t="s">
        <v>23490</v>
      </c>
      <c r="D23117" s="1" t="str">
        <f>HYPERLINK("https://rhld.insurance.arkansas.gov/NPILookup?Npi=1427453992","1427453992")</f>
        <v>1427453992</v>
      </c>
      <c r="E23117" t="s">
        <v>20672</v>
      </c>
    </row>
    <row r="23118" spans="1:5" x14ac:dyDescent="0.25">
      <c r="A23118" t="s">
        <v>5</v>
      </c>
      <c r="B23118" t="s">
        <v>6073</v>
      </c>
      <c r="C23118" s="1" t="s">
        <v>23490</v>
      </c>
      <c r="D23118" s="1" t="str">
        <f>HYPERLINK("https://rhld.insurance.arkansas.gov/NPILookup?Npi=1427503028","1427503028")</f>
        <v>1427503028</v>
      </c>
      <c r="E23118" t="s">
        <v>11680</v>
      </c>
    </row>
    <row r="23119" spans="1:5" x14ac:dyDescent="0.25">
      <c r="A23119" t="s">
        <v>5</v>
      </c>
      <c r="B23119" t="s">
        <v>6073</v>
      </c>
      <c r="C23119" s="1" t="s">
        <v>23490</v>
      </c>
      <c r="D23119" s="1" t="str">
        <f>HYPERLINK("https://rhld.insurance.arkansas.gov/NPILookup?Npi=1427690163","1427690163")</f>
        <v>1427690163</v>
      </c>
      <c r="E23119" t="s">
        <v>21200</v>
      </c>
    </row>
    <row r="23120" spans="1:5" x14ac:dyDescent="0.25">
      <c r="A23120" t="s">
        <v>5</v>
      </c>
      <c r="B23120" t="s">
        <v>6073</v>
      </c>
      <c r="C23120" s="1" t="s">
        <v>23490</v>
      </c>
      <c r="D23120" s="1" t="str">
        <f>HYPERLINK("https://rhld.insurance.arkansas.gov/NPILookup?Npi=1437190360","1437190360")</f>
        <v>1437190360</v>
      </c>
      <c r="E23120" t="s">
        <v>14072</v>
      </c>
    </row>
    <row r="23121" spans="1:5" x14ac:dyDescent="0.25">
      <c r="A23121" t="s">
        <v>5</v>
      </c>
      <c r="B23121" t="s">
        <v>6073</v>
      </c>
      <c r="C23121" s="1" t="s">
        <v>23490</v>
      </c>
      <c r="D23121" s="1" t="str">
        <f>HYPERLINK("https://rhld.insurance.arkansas.gov/NPILookup?Npi=1437419538","1437419538")</f>
        <v>1437419538</v>
      </c>
      <c r="E23121" t="s">
        <v>11684</v>
      </c>
    </row>
    <row r="23122" spans="1:5" x14ac:dyDescent="0.25">
      <c r="A23122" t="s">
        <v>5</v>
      </c>
      <c r="B23122" t="s">
        <v>6073</v>
      </c>
      <c r="C23122" s="1" t="s">
        <v>23490</v>
      </c>
      <c r="D23122" s="1" t="str">
        <f>HYPERLINK("https://rhld.insurance.arkansas.gov/NPILookup?Npi=1437692720","1437692720")</f>
        <v>1437692720</v>
      </c>
      <c r="E23122" t="s">
        <v>23104</v>
      </c>
    </row>
    <row r="23123" spans="1:5" x14ac:dyDescent="0.25">
      <c r="A23123" t="s">
        <v>5</v>
      </c>
      <c r="B23123" t="s">
        <v>6073</v>
      </c>
      <c r="C23123" s="1" t="s">
        <v>23490</v>
      </c>
      <c r="D23123" s="1" t="str">
        <f>HYPERLINK("https://rhld.insurance.arkansas.gov/NPILookup?Npi=1437696168","1437696168")</f>
        <v>1437696168</v>
      </c>
      <c r="E23123" t="s">
        <v>14075</v>
      </c>
    </row>
    <row r="23124" spans="1:5" x14ac:dyDescent="0.25">
      <c r="A23124" t="s">
        <v>5</v>
      </c>
      <c r="B23124" t="s">
        <v>6073</v>
      </c>
      <c r="C23124" s="1" t="s">
        <v>8427</v>
      </c>
      <c r="D23124" s="1" t="str">
        <f>HYPERLINK("https://rhld.insurance.arkansas.gov/NPILookup?Npi=1437698461","1437698461")</f>
        <v>1437698461</v>
      </c>
      <c r="E23124" t="s">
        <v>23105</v>
      </c>
    </row>
    <row r="23125" spans="1:5" x14ac:dyDescent="0.25">
      <c r="A23125" t="s">
        <v>5</v>
      </c>
      <c r="B23125" t="s">
        <v>6073</v>
      </c>
      <c r="C23125" s="1" t="s">
        <v>8427</v>
      </c>
      <c r="D23125" s="1" t="str">
        <f>HYPERLINK("https://rhld.insurance.arkansas.gov/NPILookup?Npi=1437872181","1437872181")</f>
        <v>1437872181</v>
      </c>
      <c r="E23125" t="s">
        <v>23246</v>
      </c>
    </row>
    <row r="23126" spans="1:5" x14ac:dyDescent="0.25">
      <c r="A23126" t="s">
        <v>5</v>
      </c>
      <c r="B23126" t="s">
        <v>6073</v>
      </c>
      <c r="C23126" s="1" t="s">
        <v>23490</v>
      </c>
      <c r="D23126" s="1" t="str">
        <f>HYPERLINK("https://rhld.insurance.arkansas.gov/NPILookup?Npi=1447316765","1447316765")</f>
        <v>1447316765</v>
      </c>
      <c r="E23126" t="s">
        <v>11688</v>
      </c>
    </row>
    <row r="23127" spans="1:5" x14ac:dyDescent="0.25">
      <c r="A23127" t="s">
        <v>5</v>
      </c>
      <c r="B23127" t="s">
        <v>6073</v>
      </c>
      <c r="C23127" s="1" t="s">
        <v>23490</v>
      </c>
      <c r="D23127" s="1" t="str">
        <f>HYPERLINK("https://rhld.insurance.arkansas.gov/NPILookup?Npi=1447426580","1447426580")</f>
        <v>1447426580</v>
      </c>
      <c r="E23127" t="s">
        <v>11689</v>
      </c>
    </row>
    <row r="23128" spans="1:5" x14ac:dyDescent="0.25">
      <c r="A23128" t="s">
        <v>5</v>
      </c>
      <c r="B23128" t="s">
        <v>6073</v>
      </c>
      <c r="C23128" s="1" t="s">
        <v>23490</v>
      </c>
      <c r="D23128" s="1" t="str">
        <f>HYPERLINK("https://rhld.insurance.arkansas.gov/NPILookup?Npi=1447541024","1447541024")</f>
        <v>1447541024</v>
      </c>
      <c r="E23128" t="s">
        <v>19076</v>
      </c>
    </row>
    <row r="23129" spans="1:5" x14ac:dyDescent="0.25">
      <c r="A23129" t="s">
        <v>5</v>
      </c>
      <c r="B23129" t="s">
        <v>6073</v>
      </c>
      <c r="C23129" s="1" t="s">
        <v>23490</v>
      </c>
      <c r="D23129" s="1" t="str">
        <f>HYPERLINK("https://rhld.insurance.arkansas.gov/NPILookup?Npi=1447607205","1447607205")</f>
        <v>1447607205</v>
      </c>
      <c r="E23129" t="s">
        <v>9179</v>
      </c>
    </row>
    <row r="23130" spans="1:5" x14ac:dyDescent="0.25">
      <c r="A23130" t="s">
        <v>5</v>
      </c>
      <c r="B23130" t="s">
        <v>6073</v>
      </c>
      <c r="C23130" s="1" t="s">
        <v>23490</v>
      </c>
      <c r="D23130" s="1" t="str">
        <f>HYPERLINK("https://rhld.insurance.arkansas.gov/NPILookup?Npi=1447658786","1447658786")</f>
        <v>1447658786</v>
      </c>
      <c r="E23130" t="s">
        <v>11692</v>
      </c>
    </row>
    <row r="23131" spans="1:5" x14ac:dyDescent="0.25">
      <c r="A23131" t="s">
        <v>5</v>
      </c>
      <c r="B23131" t="s">
        <v>6073</v>
      </c>
      <c r="C23131" s="1" t="s">
        <v>23490</v>
      </c>
      <c r="D23131" s="1" t="str">
        <f>HYPERLINK("https://rhld.insurance.arkansas.gov/NPILookup?Npi=1447727342","1447727342")</f>
        <v>1447727342</v>
      </c>
      <c r="E23131" t="s">
        <v>19077</v>
      </c>
    </row>
    <row r="23132" spans="1:5" x14ac:dyDescent="0.25">
      <c r="A23132" t="s">
        <v>5</v>
      </c>
      <c r="B23132" t="s">
        <v>6073</v>
      </c>
      <c r="C23132" s="1" t="s">
        <v>8427</v>
      </c>
      <c r="D23132" s="1" t="str">
        <f>HYPERLINK("https://rhld.insurance.arkansas.gov/NPILookup?Npi=1447728696","1447728696")</f>
        <v>1447728696</v>
      </c>
      <c r="E23132" t="s">
        <v>23247</v>
      </c>
    </row>
    <row r="23133" spans="1:5" x14ac:dyDescent="0.25">
      <c r="A23133" t="s">
        <v>5</v>
      </c>
      <c r="B23133" t="s">
        <v>6073</v>
      </c>
      <c r="C23133" s="1" t="s">
        <v>23490</v>
      </c>
      <c r="D23133" s="1" t="str">
        <f>HYPERLINK("https://rhld.insurance.arkansas.gov/NPILookup?Npi=1447789078","1447789078")</f>
        <v>1447789078</v>
      </c>
      <c r="E23133" t="s">
        <v>19078</v>
      </c>
    </row>
    <row r="23134" spans="1:5" x14ac:dyDescent="0.25">
      <c r="A23134" t="s">
        <v>5</v>
      </c>
      <c r="B23134" t="s">
        <v>6073</v>
      </c>
      <c r="C23134" s="1" t="s">
        <v>23490</v>
      </c>
      <c r="D23134" s="1" t="str">
        <f>HYPERLINK("https://rhld.insurance.arkansas.gov/NPILookup?Npi=1457079428","1457079428")</f>
        <v>1457079428</v>
      </c>
      <c r="E23134" t="s">
        <v>21201</v>
      </c>
    </row>
    <row r="23135" spans="1:5" x14ac:dyDescent="0.25">
      <c r="A23135" t="s">
        <v>5</v>
      </c>
      <c r="B23135" t="s">
        <v>6073</v>
      </c>
      <c r="C23135" s="1" t="s">
        <v>23490</v>
      </c>
      <c r="D23135" s="1" t="str">
        <f>HYPERLINK("https://rhld.insurance.arkansas.gov/NPILookup?Npi=1457594848","1457594848")</f>
        <v>1457594848</v>
      </c>
      <c r="E23135" t="s">
        <v>13143</v>
      </c>
    </row>
    <row r="23136" spans="1:5" x14ac:dyDescent="0.25">
      <c r="A23136" t="s">
        <v>5</v>
      </c>
      <c r="B23136" t="s">
        <v>6073</v>
      </c>
      <c r="C23136" s="1" t="s">
        <v>23490</v>
      </c>
      <c r="D23136" s="1" t="str">
        <f>HYPERLINK("https://rhld.insurance.arkansas.gov/NPILookup?Npi=1457802696","1457802696")</f>
        <v>1457802696</v>
      </c>
      <c r="E23136" t="s">
        <v>16110</v>
      </c>
    </row>
    <row r="23137" spans="1:5" x14ac:dyDescent="0.25">
      <c r="A23137" t="s">
        <v>5</v>
      </c>
      <c r="B23137" t="s">
        <v>6073</v>
      </c>
      <c r="C23137" s="1" t="s">
        <v>23490</v>
      </c>
      <c r="D23137" s="1" t="str">
        <f>HYPERLINK("https://rhld.insurance.arkansas.gov/NPILookup?Npi=1457889081","1457889081")</f>
        <v>1457889081</v>
      </c>
      <c r="E23137" t="s">
        <v>20482</v>
      </c>
    </row>
    <row r="23138" spans="1:5" x14ac:dyDescent="0.25">
      <c r="A23138" t="s">
        <v>5</v>
      </c>
      <c r="B23138" t="s">
        <v>6073</v>
      </c>
      <c r="C23138" s="1" t="s">
        <v>23490</v>
      </c>
      <c r="D23138" s="1" t="str">
        <f>HYPERLINK("https://rhld.insurance.arkansas.gov/NPILookup?Npi=1467020487","1467020487")</f>
        <v>1467020487</v>
      </c>
      <c r="E23138" t="s">
        <v>19079</v>
      </c>
    </row>
    <row r="23139" spans="1:5" x14ac:dyDescent="0.25">
      <c r="A23139" t="s">
        <v>5</v>
      </c>
      <c r="B23139" t="s">
        <v>6073</v>
      </c>
      <c r="C23139" s="1" t="s">
        <v>8427</v>
      </c>
      <c r="D23139" s="1" t="str">
        <f>HYPERLINK("https://rhld.insurance.arkansas.gov/NPILookup?Npi=1467168989","1467168989")</f>
        <v>1467168989</v>
      </c>
      <c r="E23139" t="s">
        <v>23248</v>
      </c>
    </row>
    <row r="23140" spans="1:5" x14ac:dyDescent="0.25">
      <c r="A23140" t="s">
        <v>5</v>
      </c>
      <c r="B23140" t="s">
        <v>6073</v>
      </c>
      <c r="C23140" s="1" t="s">
        <v>23490</v>
      </c>
      <c r="D23140" s="1" t="str">
        <f>HYPERLINK("https://rhld.insurance.arkansas.gov/NPILookup?Npi=1467193953","1467193953")</f>
        <v>1467193953</v>
      </c>
      <c r="E23140" t="s">
        <v>20673</v>
      </c>
    </row>
    <row r="23141" spans="1:5" x14ac:dyDescent="0.25">
      <c r="A23141" t="s">
        <v>5</v>
      </c>
      <c r="B23141" t="s">
        <v>6073</v>
      </c>
      <c r="C23141" s="1" t="s">
        <v>23490</v>
      </c>
      <c r="D23141" s="1" t="str">
        <f>HYPERLINK("https://rhld.insurance.arkansas.gov/NPILookup?Npi=1467666057","1467666057")</f>
        <v>1467666057</v>
      </c>
      <c r="E23141" t="s">
        <v>21202</v>
      </c>
    </row>
    <row r="23142" spans="1:5" x14ac:dyDescent="0.25">
      <c r="A23142" t="s">
        <v>5</v>
      </c>
      <c r="B23142" t="s">
        <v>6073</v>
      </c>
      <c r="C23142" s="1" t="s">
        <v>8427</v>
      </c>
      <c r="D23142" s="1" t="str">
        <f>HYPERLINK("https://rhld.insurance.arkansas.gov/NPILookup?Npi=1467669697","1467669697")</f>
        <v>1467669697</v>
      </c>
      <c r="E23142" t="s">
        <v>23249</v>
      </c>
    </row>
    <row r="23143" spans="1:5" x14ac:dyDescent="0.25">
      <c r="A23143" t="s">
        <v>5</v>
      </c>
      <c r="B23143" t="s">
        <v>6073</v>
      </c>
      <c r="C23143" s="1" t="s">
        <v>23490</v>
      </c>
      <c r="D23143" s="1" t="str">
        <f>HYPERLINK("https://rhld.insurance.arkansas.gov/NPILookup?Npi=1467840538","1467840538")</f>
        <v>1467840538</v>
      </c>
      <c r="E23143" t="s">
        <v>11696</v>
      </c>
    </row>
    <row r="23144" spans="1:5" x14ac:dyDescent="0.25">
      <c r="A23144" t="s">
        <v>5</v>
      </c>
      <c r="B23144" t="s">
        <v>6073</v>
      </c>
      <c r="C23144" s="1" t="s">
        <v>23490</v>
      </c>
      <c r="D23144" s="1" t="str">
        <f>HYPERLINK("https://rhld.insurance.arkansas.gov/NPILookup?Npi=1467866186","1467866186")</f>
        <v>1467866186</v>
      </c>
      <c r="E23144" t="s">
        <v>19080</v>
      </c>
    </row>
    <row r="23145" spans="1:5" x14ac:dyDescent="0.25">
      <c r="A23145" t="s">
        <v>5</v>
      </c>
      <c r="B23145" t="s">
        <v>6073</v>
      </c>
      <c r="C23145" s="1" t="s">
        <v>23490</v>
      </c>
      <c r="D23145" s="1" t="str">
        <f>HYPERLINK("https://rhld.insurance.arkansas.gov/NPILookup?Npi=1467890756","1467890756")</f>
        <v>1467890756</v>
      </c>
      <c r="E23145" t="s">
        <v>23111</v>
      </c>
    </row>
    <row r="23146" spans="1:5" x14ac:dyDescent="0.25">
      <c r="A23146" t="s">
        <v>5</v>
      </c>
      <c r="B23146" t="s">
        <v>6073</v>
      </c>
      <c r="C23146" s="1" t="s">
        <v>8427</v>
      </c>
      <c r="D23146" s="1" t="str">
        <f>HYPERLINK("https://rhld.insurance.arkansas.gov/NPILookup?Npi=1467969659","1467969659")</f>
        <v>1467969659</v>
      </c>
      <c r="E23146" t="s">
        <v>22083</v>
      </c>
    </row>
    <row r="23147" spans="1:5" x14ac:dyDescent="0.25">
      <c r="A23147" t="s">
        <v>5</v>
      </c>
      <c r="B23147" t="s">
        <v>6073</v>
      </c>
      <c r="C23147" s="1" t="s">
        <v>23490</v>
      </c>
      <c r="D23147" s="1" t="str">
        <f>HYPERLINK("https://rhld.insurance.arkansas.gov/NPILookup?Npi=1477020030","1477020030")</f>
        <v>1477020030</v>
      </c>
      <c r="E23147" t="s">
        <v>19081</v>
      </c>
    </row>
    <row r="23148" spans="1:5" x14ac:dyDescent="0.25">
      <c r="A23148" t="s">
        <v>5</v>
      </c>
      <c r="B23148" t="s">
        <v>6073</v>
      </c>
      <c r="C23148" s="1" t="s">
        <v>23490</v>
      </c>
      <c r="D23148" s="1" t="str">
        <f>HYPERLINK("https://rhld.insurance.arkansas.gov/NPILookup?Npi=1477167435","1477167435")</f>
        <v>1477167435</v>
      </c>
      <c r="E23148" t="s">
        <v>18350</v>
      </c>
    </row>
    <row r="23149" spans="1:5" x14ac:dyDescent="0.25">
      <c r="A23149" t="s">
        <v>5</v>
      </c>
      <c r="B23149" t="s">
        <v>6073</v>
      </c>
      <c r="C23149" s="1" t="s">
        <v>23490</v>
      </c>
      <c r="D23149" s="1" t="str">
        <f>HYPERLINK("https://rhld.insurance.arkansas.gov/NPILookup?Npi=1477195576","1477195576")</f>
        <v>1477195576</v>
      </c>
      <c r="E23149" t="s">
        <v>20485</v>
      </c>
    </row>
    <row r="23150" spans="1:5" x14ac:dyDescent="0.25">
      <c r="A23150" t="s">
        <v>5</v>
      </c>
      <c r="B23150" t="s">
        <v>6073</v>
      </c>
      <c r="C23150" s="1" t="s">
        <v>23490</v>
      </c>
      <c r="D23150" s="1" t="str">
        <f>HYPERLINK("https://rhld.insurance.arkansas.gov/NPILookup?Npi=1477617918","1477617918")</f>
        <v>1477617918</v>
      </c>
      <c r="E23150" t="s">
        <v>11699</v>
      </c>
    </row>
    <row r="23151" spans="1:5" x14ac:dyDescent="0.25">
      <c r="A23151" t="s">
        <v>5</v>
      </c>
      <c r="B23151" t="s">
        <v>6073</v>
      </c>
      <c r="C23151" s="1" t="s">
        <v>23490</v>
      </c>
      <c r="D23151" s="1" t="str">
        <f>HYPERLINK("https://rhld.insurance.arkansas.gov/NPILookup?Npi=1477698124","1477698124")</f>
        <v>1477698124</v>
      </c>
      <c r="E23151" t="s">
        <v>21203</v>
      </c>
    </row>
    <row r="23152" spans="1:5" x14ac:dyDescent="0.25">
      <c r="A23152" t="s">
        <v>5</v>
      </c>
      <c r="B23152" t="s">
        <v>6073</v>
      </c>
      <c r="C23152" s="1" t="s">
        <v>23490</v>
      </c>
      <c r="D23152" s="1" t="str">
        <f>HYPERLINK("https://rhld.insurance.arkansas.gov/NPILookup?Npi=1477763126","1477763126")</f>
        <v>1477763126</v>
      </c>
      <c r="E23152" t="s">
        <v>20486</v>
      </c>
    </row>
    <row r="23153" spans="1:5" x14ac:dyDescent="0.25">
      <c r="A23153" t="s">
        <v>5</v>
      </c>
      <c r="B23153" t="s">
        <v>6073</v>
      </c>
      <c r="C23153" s="1" t="s">
        <v>23490</v>
      </c>
      <c r="D23153" s="1" t="str">
        <f>HYPERLINK("https://rhld.insurance.arkansas.gov/NPILookup?Npi=1477834364","1477834364")</f>
        <v>1477834364</v>
      </c>
      <c r="E23153" t="s">
        <v>11949</v>
      </c>
    </row>
    <row r="23154" spans="1:5" x14ac:dyDescent="0.25">
      <c r="A23154" t="s">
        <v>5</v>
      </c>
      <c r="B23154" t="s">
        <v>6073</v>
      </c>
      <c r="C23154" s="1" t="s">
        <v>23490</v>
      </c>
      <c r="D23154" s="1" t="str">
        <f>HYPERLINK("https://rhld.insurance.arkansas.gov/NPILookup?Npi=1477841450","1477841450")</f>
        <v>1477841450</v>
      </c>
      <c r="E23154" t="s">
        <v>14083</v>
      </c>
    </row>
    <row r="23155" spans="1:5" x14ac:dyDescent="0.25">
      <c r="A23155" t="s">
        <v>5</v>
      </c>
      <c r="B23155" t="s">
        <v>6073</v>
      </c>
      <c r="C23155" s="1" t="s">
        <v>23490</v>
      </c>
      <c r="D23155" s="1" t="str">
        <f>HYPERLINK("https://rhld.insurance.arkansas.gov/NPILookup?Npi=1477867075","1477867075")</f>
        <v>1477867075</v>
      </c>
      <c r="E23155" t="s">
        <v>11700</v>
      </c>
    </row>
    <row r="23156" spans="1:5" x14ac:dyDescent="0.25">
      <c r="A23156" t="s">
        <v>5</v>
      </c>
      <c r="B23156" t="s">
        <v>6073</v>
      </c>
      <c r="C23156" s="1" t="s">
        <v>23490</v>
      </c>
      <c r="D23156" s="1" t="str">
        <f>HYPERLINK("https://rhld.insurance.arkansas.gov/NPILookup?Npi=1477892818","1477892818")</f>
        <v>1477892818</v>
      </c>
      <c r="E23156" t="s">
        <v>11701</v>
      </c>
    </row>
    <row r="23157" spans="1:5" x14ac:dyDescent="0.25">
      <c r="A23157" t="s">
        <v>5</v>
      </c>
      <c r="B23157" t="s">
        <v>6073</v>
      </c>
      <c r="C23157" s="1" t="s">
        <v>23490</v>
      </c>
      <c r="D23157" s="1" t="str">
        <f>HYPERLINK("https://rhld.insurance.arkansas.gov/NPILookup?Npi=1477952042","1477952042")</f>
        <v>1477952042</v>
      </c>
      <c r="E23157" t="s">
        <v>11702</v>
      </c>
    </row>
    <row r="23158" spans="1:5" x14ac:dyDescent="0.25">
      <c r="A23158" t="s">
        <v>5</v>
      </c>
      <c r="B23158" t="s">
        <v>6073</v>
      </c>
      <c r="C23158" s="1" t="s">
        <v>23490</v>
      </c>
      <c r="D23158" s="1" t="str">
        <f>HYPERLINK("https://rhld.insurance.arkansas.gov/NPILookup?Npi=1477980761","1477980761")</f>
        <v>1477980761</v>
      </c>
      <c r="E23158" t="s">
        <v>11703</v>
      </c>
    </row>
    <row r="23159" spans="1:5" x14ac:dyDescent="0.25">
      <c r="A23159" t="s">
        <v>5</v>
      </c>
      <c r="B23159" t="s">
        <v>6073</v>
      </c>
      <c r="C23159" s="1" t="s">
        <v>23490</v>
      </c>
      <c r="D23159" s="1" t="str">
        <f>HYPERLINK("https://rhld.insurance.arkansas.gov/NPILookup?Npi=1487066122","1487066122")</f>
        <v>1487066122</v>
      </c>
      <c r="E23159" t="s">
        <v>16119</v>
      </c>
    </row>
    <row r="23160" spans="1:5" x14ac:dyDescent="0.25">
      <c r="A23160" t="s">
        <v>5</v>
      </c>
      <c r="B23160" t="s">
        <v>6073</v>
      </c>
      <c r="C23160" s="1" t="s">
        <v>23490</v>
      </c>
      <c r="D23160" s="1" t="str">
        <f>HYPERLINK("https://rhld.insurance.arkansas.gov/NPILookup?Npi=1487092821","1487092821")</f>
        <v>1487092821</v>
      </c>
      <c r="E23160" t="s">
        <v>18352</v>
      </c>
    </row>
    <row r="23161" spans="1:5" x14ac:dyDescent="0.25">
      <c r="A23161" t="s">
        <v>5</v>
      </c>
      <c r="B23161" t="s">
        <v>6073</v>
      </c>
      <c r="C23161" s="1" t="s">
        <v>23490</v>
      </c>
      <c r="D23161" s="1" t="str">
        <f>HYPERLINK("https://rhld.insurance.arkansas.gov/NPILookup?Npi=1487167045","1487167045")</f>
        <v>1487167045</v>
      </c>
      <c r="E23161" t="s">
        <v>19082</v>
      </c>
    </row>
    <row r="23162" spans="1:5" x14ac:dyDescent="0.25">
      <c r="A23162" t="s">
        <v>5</v>
      </c>
      <c r="B23162" t="s">
        <v>6073</v>
      </c>
      <c r="C23162" s="1" t="s">
        <v>23490</v>
      </c>
      <c r="D23162" s="1" t="str">
        <f>HYPERLINK("https://rhld.insurance.arkansas.gov/NPILookup?Npi=1487193926","1487193926")</f>
        <v>1487193926</v>
      </c>
      <c r="E23162" t="s">
        <v>14087</v>
      </c>
    </row>
    <row r="23163" spans="1:5" x14ac:dyDescent="0.25">
      <c r="A23163" t="s">
        <v>5</v>
      </c>
      <c r="B23163" t="s">
        <v>6073</v>
      </c>
      <c r="C23163" s="1" t="s">
        <v>23490</v>
      </c>
      <c r="D23163" s="1" t="str">
        <f>HYPERLINK("https://rhld.insurance.arkansas.gov/NPILookup?Npi=1487255717","1487255717")</f>
        <v>1487255717</v>
      </c>
      <c r="E23163" t="s">
        <v>21204</v>
      </c>
    </row>
    <row r="23164" spans="1:5" x14ac:dyDescent="0.25">
      <c r="A23164" t="s">
        <v>5</v>
      </c>
      <c r="B23164" t="s">
        <v>6073</v>
      </c>
      <c r="C23164" s="1" t="s">
        <v>8427</v>
      </c>
      <c r="D23164" s="1" t="str">
        <f>HYPERLINK("https://rhld.insurance.arkansas.gov/NPILookup?Npi=1487257168","1487257168")</f>
        <v>1487257168</v>
      </c>
      <c r="E23164" t="s">
        <v>23250</v>
      </c>
    </row>
    <row r="23165" spans="1:5" x14ac:dyDescent="0.25">
      <c r="A23165" t="s">
        <v>5</v>
      </c>
      <c r="B23165" t="s">
        <v>6073</v>
      </c>
      <c r="C23165" s="1" t="s">
        <v>8427</v>
      </c>
      <c r="D23165" s="1" t="str">
        <f>HYPERLINK("https://rhld.insurance.arkansas.gov/NPILookup?Npi=1487323556","1487323556")</f>
        <v>1487323556</v>
      </c>
      <c r="E23165" t="s">
        <v>23117</v>
      </c>
    </row>
    <row r="23166" spans="1:5" x14ac:dyDescent="0.25">
      <c r="A23166" t="s">
        <v>5</v>
      </c>
      <c r="B23166" t="s">
        <v>6073</v>
      </c>
      <c r="C23166" s="1" t="s">
        <v>23490</v>
      </c>
      <c r="D23166" s="1" t="str">
        <f>HYPERLINK("https://rhld.insurance.arkansas.gov/NPILookup?Npi=1487324356","1487324356")</f>
        <v>1487324356</v>
      </c>
      <c r="E23166" t="s">
        <v>20491</v>
      </c>
    </row>
    <row r="23167" spans="1:5" x14ac:dyDescent="0.25">
      <c r="A23167" t="s">
        <v>5</v>
      </c>
      <c r="B23167" t="s">
        <v>6073</v>
      </c>
      <c r="C23167" s="1" t="s">
        <v>23490</v>
      </c>
      <c r="D23167" s="1" t="str">
        <f>HYPERLINK("https://rhld.insurance.arkansas.gov/NPILookup?Npi=1487930038","1487930038")</f>
        <v>1487930038</v>
      </c>
      <c r="E23167" t="s">
        <v>5062</v>
      </c>
    </row>
    <row r="23168" spans="1:5" x14ac:dyDescent="0.25">
      <c r="A23168" t="s">
        <v>5</v>
      </c>
      <c r="B23168" t="s">
        <v>6073</v>
      </c>
      <c r="C23168" s="1" t="s">
        <v>23490</v>
      </c>
      <c r="D23168" s="1" t="str">
        <f>HYPERLINK("https://rhld.insurance.arkansas.gov/NPILookup?Npi=1487965521","1487965521")</f>
        <v>1487965521</v>
      </c>
      <c r="E23168" t="s">
        <v>21205</v>
      </c>
    </row>
    <row r="23169" spans="1:5" x14ac:dyDescent="0.25">
      <c r="A23169" t="s">
        <v>5</v>
      </c>
      <c r="B23169" t="s">
        <v>6073</v>
      </c>
      <c r="C23169" s="1" t="s">
        <v>23490</v>
      </c>
      <c r="D23169" s="1" t="str">
        <f>HYPERLINK("https://rhld.insurance.arkansas.gov/NPILookup?Npi=1497012264","1497012264")</f>
        <v>1497012264</v>
      </c>
      <c r="E23169" t="s">
        <v>11708</v>
      </c>
    </row>
    <row r="23170" spans="1:5" x14ac:dyDescent="0.25">
      <c r="A23170" t="s">
        <v>5</v>
      </c>
      <c r="B23170" t="s">
        <v>6073</v>
      </c>
      <c r="C23170" s="1" t="s">
        <v>23490</v>
      </c>
      <c r="D23170" s="1" t="str">
        <f>HYPERLINK("https://rhld.insurance.arkansas.gov/NPILookup?Npi=1497084974","1497084974")</f>
        <v>1497084974</v>
      </c>
      <c r="E23170" t="s">
        <v>11709</v>
      </c>
    </row>
    <row r="23171" spans="1:5" x14ac:dyDescent="0.25">
      <c r="A23171" t="s">
        <v>5</v>
      </c>
      <c r="B23171" t="s">
        <v>6073</v>
      </c>
      <c r="C23171" s="1" t="s">
        <v>23490</v>
      </c>
      <c r="D23171" s="1" t="str">
        <f>HYPERLINK("https://rhld.insurance.arkansas.gov/NPILookup?Npi=1497094833","1497094833")</f>
        <v>1497094833</v>
      </c>
      <c r="E23171" t="s">
        <v>11711</v>
      </c>
    </row>
    <row r="23172" spans="1:5" x14ac:dyDescent="0.25">
      <c r="A23172" t="s">
        <v>5</v>
      </c>
      <c r="B23172" t="s">
        <v>6073</v>
      </c>
      <c r="C23172" s="1" t="s">
        <v>23490</v>
      </c>
      <c r="D23172" s="1" t="str">
        <f>HYPERLINK("https://rhld.insurance.arkansas.gov/NPILookup?Npi=1497116586","1497116586")</f>
        <v>1497116586</v>
      </c>
      <c r="E23172" t="s">
        <v>14091</v>
      </c>
    </row>
    <row r="23173" spans="1:5" x14ac:dyDescent="0.25">
      <c r="A23173" t="s">
        <v>5</v>
      </c>
      <c r="B23173" t="s">
        <v>6073</v>
      </c>
      <c r="C23173" s="1" t="s">
        <v>23490</v>
      </c>
      <c r="D23173" s="1" t="str">
        <f>HYPERLINK("https://rhld.insurance.arkansas.gov/NPILookup?Npi=1497154918","1497154918")</f>
        <v>1497154918</v>
      </c>
      <c r="E23173" t="s">
        <v>11712</v>
      </c>
    </row>
    <row r="23174" spans="1:5" x14ac:dyDescent="0.25">
      <c r="A23174" t="s">
        <v>5</v>
      </c>
      <c r="B23174" t="s">
        <v>6073</v>
      </c>
      <c r="C23174" s="1" t="s">
        <v>23490</v>
      </c>
      <c r="D23174" s="1" t="str">
        <f>HYPERLINK("https://rhld.insurance.arkansas.gov/NPILookup?Npi=1497232631","1497232631")</f>
        <v>1497232631</v>
      </c>
      <c r="E23174" t="s">
        <v>22101</v>
      </c>
    </row>
    <row r="23175" spans="1:5" x14ac:dyDescent="0.25">
      <c r="A23175" t="s">
        <v>5</v>
      </c>
      <c r="B23175" t="s">
        <v>6073</v>
      </c>
      <c r="C23175" s="1" t="s">
        <v>8427</v>
      </c>
      <c r="D23175" s="1" t="str">
        <f>HYPERLINK("https://rhld.insurance.arkansas.gov/NPILookup?Npi=1497367346","1497367346")</f>
        <v>1497367346</v>
      </c>
      <c r="E23175" t="s">
        <v>22104</v>
      </c>
    </row>
    <row r="23176" spans="1:5" x14ac:dyDescent="0.25">
      <c r="A23176" t="s">
        <v>5</v>
      </c>
      <c r="B23176" t="s">
        <v>6073</v>
      </c>
      <c r="C23176" s="1" t="s">
        <v>23490</v>
      </c>
      <c r="D23176" s="1" t="str">
        <f>HYPERLINK("https://rhld.insurance.arkansas.gov/NPILookup?Npi=1497415707","1497415707")</f>
        <v>1497415707</v>
      </c>
      <c r="E23176" t="s">
        <v>21206</v>
      </c>
    </row>
    <row r="23177" spans="1:5" x14ac:dyDescent="0.25">
      <c r="A23177" t="s">
        <v>5</v>
      </c>
      <c r="B23177" t="s">
        <v>6073</v>
      </c>
      <c r="C23177" s="1" t="s">
        <v>23490</v>
      </c>
      <c r="D23177" s="1" t="str">
        <f>HYPERLINK("https://rhld.insurance.arkansas.gov/NPILookup?Npi=1497492854","1497492854")</f>
        <v>1497492854</v>
      </c>
      <c r="E23177" t="s">
        <v>21207</v>
      </c>
    </row>
    <row r="23178" spans="1:5" x14ac:dyDescent="0.25">
      <c r="A23178" t="s">
        <v>5</v>
      </c>
      <c r="B23178" t="s">
        <v>6073</v>
      </c>
      <c r="C23178" s="1" t="s">
        <v>23490</v>
      </c>
      <c r="D23178" s="1" t="str">
        <f>HYPERLINK("https://rhld.insurance.arkansas.gov/NPILookup?Npi=1497755979","1497755979")</f>
        <v>1497755979</v>
      </c>
      <c r="E23178" t="s">
        <v>5071</v>
      </c>
    </row>
    <row r="23179" spans="1:5" x14ac:dyDescent="0.25">
      <c r="A23179" t="s">
        <v>5</v>
      </c>
      <c r="B23179" t="s">
        <v>6073</v>
      </c>
      <c r="C23179" s="1" t="s">
        <v>23490</v>
      </c>
      <c r="D23179" s="1" t="str">
        <f>HYPERLINK("https://rhld.insurance.arkansas.gov/NPILookup?Npi=1497800486","1497800486")</f>
        <v>1497800486</v>
      </c>
      <c r="E23179" t="s">
        <v>11713</v>
      </c>
    </row>
    <row r="23180" spans="1:5" x14ac:dyDescent="0.25">
      <c r="A23180" t="s">
        <v>5</v>
      </c>
      <c r="B23180" t="s">
        <v>6073</v>
      </c>
      <c r="C23180" s="1" t="s">
        <v>23490</v>
      </c>
      <c r="D23180" s="1" t="str">
        <f>HYPERLINK("https://rhld.insurance.arkansas.gov/NPILookup?Npi=1508059064","1508059064")</f>
        <v>1508059064</v>
      </c>
      <c r="E23180" t="s">
        <v>18358</v>
      </c>
    </row>
    <row r="23181" spans="1:5" x14ac:dyDescent="0.25">
      <c r="A23181" t="s">
        <v>5</v>
      </c>
      <c r="B23181" t="s">
        <v>6073</v>
      </c>
      <c r="C23181" s="1" t="s">
        <v>23490</v>
      </c>
      <c r="D23181" s="1" t="str">
        <f>HYPERLINK("https://rhld.insurance.arkansas.gov/NPILookup?Npi=1508282831","1508282831")</f>
        <v>1508282831</v>
      </c>
      <c r="E23181" t="s">
        <v>11718</v>
      </c>
    </row>
    <row r="23182" spans="1:5" x14ac:dyDescent="0.25">
      <c r="A23182" t="s">
        <v>5</v>
      </c>
      <c r="B23182" t="s">
        <v>6073</v>
      </c>
      <c r="C23182" s="1" t="s">
        <v>23490</v>
      </c>
      <c r="D23182" s="1" t="str">
        <f>HYPERLINK("https://rhld.insurance.arkansas.gov/NPILookup?Npi=1508298845","1508298845")</f>
        <v>1508298845</v>
      </c>
      <c r="E23182" t="s">
        <v>11719</v>
      </c>
    </row>
    <row r="23183" spans="1:5" x14ac:dyDescent="0.25">
      <c r="A23183" t="s">
        <v>5</v>
      </c>
      <c r="B23183" t="s">
        <v>6073</v>
      </c>
      <c r="C23183" s="1" t="s">
        <v>23490</v>
      </c>
      <c r="D23183" s="1" t="str">
        <f>HYPERLINK("https://rhld.insurance.arkansas.gov/NPILookup?Npi=1508389172","1508389172")</f>
        <v>1508389172</v>
      </c>
      <c r="E23183" t="s">
        <v>23251</v>
      </c>
    </row>
    <row r="23184" spans="1:5" x14ac:dyDescent="0.25">
      <c r="A23184" t="s">
        <v>5</v>
      </c>
      <c r="B23184" t="s">
        <v>6073</v>
      </c>
      <c r="C23184" s="1" t="s">
        <v>23490</v>
      </c>
      <c r="D23184" s="1" t="str">
        <f>HYPERLINK("https://rhld.insurance.arkansas.gov/NPILookup?Npi=1508397845","1508397845")</f>
        <v>1508397845</v>
      </c>
      <c r="E23184" t="s">
        <v>21208</v>
      </c>
    </row>
    <row r="23185" spans="1:5" x14ac:dyDescent="0.25">
      <c r="A23185" t="s">
        <v>5</v>
      </c>
      <c r="B23185" t="s">
        <v>6073</v>
      </c>
      <c r="C23185" s="1" t="s">
        <v>23490</v>
      </c>
      <c r="D23185" s="1" t="str">
        <f>HYPERLINK("https://rhld.insurance.arkansas.gov/NPILookup?Npi=1508525544","1508525544")</f>
        <v>1508525544</v>
      </c>
      <c r="E23185" t="s">
        <v>20674</v>
      </c>
    </row>
    <row r="23186" spans="1:5" x14ac:dyDescent="0.25">
      <c r="A23186" t="s">
        <v>5</v>
      </c>
      <c r="B23186" t="s">
        <v>6073</v>
      </c>
      <c r="C23186" s="1" t="s">
        <v>23490</v>
      </c>
      <c r="D23186" s="1" t="str">
        <f>HYPERLINK("https://rhld.insurance.arkansas.gov/NPILookup?Npi=1508810615","1508810615")</f>
        <v>1508810615</v>
      </c>
      <c r="E23186" t="s">
        <v>11720</v>
      </c>
    </row>
    <row r="23187" spans="1:5" x14ac:dyDescent="0.25">
      <c r="A23187" t="s">
        <v>5</v>
      </c>
      <c r="B23187" t="s">
        <v>6073</v>
      </c>
      <c r="C23187" s="1" t="s">
        <v>23490</v>
      </c>
      <c r="D23187" s="1" t="str">
        <f>HYPERLINK("https://rhld.insurance.arkansas.gov/NPILookup?Npi=1518216209","1518216209")</f>
        <v>1518216209</v>
      </c>
      <c r="E23187" t="s">
        <v>11722</v>
      </c>
    </row>
    <row r="23188" spans="1:5" x14ac:dyDescent="0.25">
      <c r="A23188" t="s">
        <v>5</v>
      </c>
      <c r="B23188" t="s">
        <v>6073</v>
      </c>
      <c r="C23188" s="1" t="s">
        <v>23490</v>
      </c>
      <c r="D23188" s="1" t="str">
        <f>HYPERLINK("https://rhld.insurance.arkansas.gov/NPILookup?Npi=1518237346","1518237346")</f>
        <v>1518237346</v>
      </c>
      <c r="E23188" t="s">
        <v>14099</v>
      </c>
    </row>
    <row r="23189" spans="1:5" x14ac:dyDescent="0.25">
      <c r="A23189" t="s">
        <v>5</v>
      </c>
      <c r="B23189" t="s">
        <v>6073</v>
      </c>
      <c r="C23189" s="1" t="s">
        <v>23490</v>
      </c>
      <c r="D23189" s="1" t="str">
        <f>HYPERLINK("https://rhld.insurance.arkansas.gov/NPILookup?Npi=1518308014","1518308014")</f>
        <v>1518308014</v>
      </c>
      <c r="E23189" t="s">
        <v>14102</v>
      </c>
    </row>
    <row r="23190" spans="1:5" x14ac:dyDescent="0.25">
      <c r="A23190" t="s">
        <v>5</v>
      </c>
      <c r="B23190" t="s">
        <v>6073</v>
      </c>
      <c r="C23190" s="1" t="s">
        <v>23490</v>
      </c>
      <c r="D23190" s="1" t="str">
        <f>HYPERLINK("https://rhld.insurance.arkansas.gov/NPILookup?Npi=1518537141","1518537141")</f>
        <v>1518537141</v>
      </c>
      <c r="E23190" t="s">
        <v>19083</v>
      </c>
    </row>
    <row r="23191" spans="1:5" x14ac:dyDescent="0.25">
      <c r="A23191" t="s">
        <v>5</v>
      </c>
      <c r="B23191" t="s">
        <v>6073</v>
      </c>
      <c r="C23191" s="1" t="s">
        <v>8427</v>
      </c>
      <c r="D23191" s="1" t="str">
        <f>HYPERLINK("https://rhld.insurance.arkansas.gov/NPILookup?Npi=1518607340","1518607340")</f>
        <v>1518607340</v>
      </c>
      <c r="E23191" t="s">
        <v>23128</v>
      </c>
    </row>
    <row r="23192" spans="1:5" x14ac:dyDescent="0.25">
      <c r="A23192" t="s">
        <v>5</v>
      </c>
      <c r="B23192" t="s">
        <v>6073</v>
      </c>
      <c r="C23192" s="1" t="s">
        <v>23490</v>
      </c>
      <c r="D23192" s="1" t="str">
        <f>HYPERLINK("https://rhld.insurance.arkansas.gov/NPILookup?Npi=1528075629","1528075629")</f>
        <v>1528075629</v>
      </c>
      <c r="E23192" t="s">
        <v>21209</v>
      </c>
    </row>
    <row r="23193" spans="1:5" x14ac:dyDescent="0.25">
      <c r="A23193" t="s">
        <v>5</v>
      </c>
      <c r="B23193" t="s">
        <v>6073</v>
      </c>
      <c r="C23193" s="1" t="s">
        <v>23490</v>
      </c>
      <c r="D23193" s="1" t="str">
        <f>HYPERLINK("https://rhld.insurance.arkansas.gov/NPILookup?Npi=1528290020","1528290020")</f>
        <v>1528290020</v>
      </c>
      <c r="E23193" t="s">
        <v>14105</v>
      </c>
    </row>
    <row r="23194" spans="1:5" x14ac:dyDescent="0.25">
      <c r="A23194" t="s">
        <v>5</v>
      </c>
      <c r="B23194" t="s">
        <v>6073</v>
      </c>
      <c r="C23194" s="1" t="s">
        <v>23490</v>
      </c>
      <c r="D23194" s="1" t="str">
        <f>HYPERLINK("https://rhld.insurance.arkansas.gov/NPILookup?Npi=1528397726","1528397726")</f>
        <v>1528397726</v>
      </c>
      <c r="E23194" t="s">
        <v>5133</v>
      </c>
    </row>
    <row r="23195" spans="1:5" x14ac:dyDescent="0.25">
      <c r="A23195" t="s">
        <v>5</v>
      </c>
      <c r="B23195" t="s">
        <v>6073</v>
      </c>
      <c r="C23195" s="1" t="s">
        <v>23490</v>
      </c>
      <c r="D23195" s="1" t="str">
        <f>HYPERLINK("https://rhld.insurance.arkansas.gov/NPILookup?Npi=1528457256","1528457256")</f>
        <v>1528457256</v>
      </c>
      <c r="E23195" t="s">
        <v>11725</v>
      </c>
    </row>
    <row r="23196" spans="1:5" x14ac:dyDescent="0.25">
      <c r="A23196" t="s">
        <v>5</v>
      </c>
      <c r="B23196" t="s">
        <v>6073</v>
      </c>
      <c r="C23196" s="1" t="s">
        <v>8427</v>
      </c>
      <c r="D23196" s="1" t="str">
        <f>HYPERLINK("https://rhld.insurance.arkansas.gov/NPILookup?Npi=1528531092","1528531092")</f>
        <v>1528531092</v>
      </c>
      <c r="E23196" t="s">
        <v>22122</v>
      </c>
    </row>
    <row r="23197" spans="1:5" x14ac:dyDescent="0.25">
      <c r="A23197" t="s">
        <v>5</v>
      </c>
      <c r="B23197" t="s">
        <v>6073</v>
      </c>
      <c r="C23197" s="1" t="s">
        <v>23490</v>
      </c>
      <c r="D23197" s="1" t="str">
        <f>HYPERLINK("https://rhld.insurance.arkansas.gov/NPILookup?Npi=1528548435","1528548435")</f>
        <v>1528548435</v>
      </c>
      <c r="E23197" t="s">
        <v>20675</v>
      </c>
    </row>
    <row r="23198" spans="1:5" x14ac:dyDescent="0.25">
      <c r="A23198" t="s">
        <v>5</v>
      </c>
      <c r="B23198" t="s">
        <v>6073</v>
      </c>
      <c r="C23198" s="1" t="s">
        <v>23490</v>
      </c>
      <c r="D23198" s="1" t="str">
        <f>HYPERLINK("https://rhld.insurance.arkansas.gov/NPILookup?Npi=1528624301","1528624301")</f>
        <v>1528624301</v>
      </c>
      <c r="E23198" t="s">
        <v>18498</v>
      </c>
    </row>
    <row r="23199" spans="1:5" x14ac:dyDescent="0.25">
      <c r="A23199" t="s">
        <v>5</v>
      </c>
      <c r="B23199" t="s">
        <v>6073</v>
      </c>
      <c r="C23199" s="1" t="s">
        <v>8427</v>
      </c>
      <c r="D23199" s="1" t="str">
        <f>HYPERLINK("https://rhld.insurance.arkansas.gov/NPILookup?Npi=1528757408","1528757408")</f>
        <v>1528757408</v>
      </c>
      <c r="E23199" t="s">
        <v>23252</v>
      </c>
    </row>
    <row r="23200" spans="1:5" x14ac:dyDescent="0.25">
      <c r="A23200" t="s">
        <v>5</v>
      </c>
      <c r="B23200" t="s">
        <v>6073</v>
      </c>
      <c r="C23200" s="1" t="s">
        <v>23490</v>
      </c>
      <c r="D23200" s="1" t="str">
        <f>HYPERLINK("https://rhld.insurance.arkansas.gov/NPILookup?Npi=1538220744","1538220744")</f>
        <v>1538220744</v>
      </c>
      <c r="E23200" t="s">
        <v>5138</v>
      </c>
    </row>
    <row r="23201" spans="1:5" x14ac:dyDescent="0.25">
      <c r="A23201" t="s">
        <v>5</v>
      </c>
      <c r="B23201" t="s">
        <v>6073</v>
      </c>
      <c r="C23201" s="1" t="s">
        <v>23490</v>
      </c>
      <c r="D23201" s="1" t="str">
        <f>HYPERLINK("https://rhld.insurance.arkansas.gov/NPILookup?Npi=1538336102","1538336102")</f>
        <v>1538336102</v>
      </c>
      <c r="E23201" t="s">
        <v>11726</v>
      </c>
    </row>
    <row r="23202" spans="1:5" x14ac:dyDescent="0.25">
      <c r="A23202" t="s">
        <v>5</v>
      </c>
      <c r="B23202" t="s">
        <v>6073</v>
      </c>
      <c r="C23202" s="1" t="s">
        <v>23490</v>
      </c>
      <c r="D23202" s="1" t="str">
        <f>HYPERLINK("https://rhld.insurance.arkansas.gov/NPILookup?Npi=1538536891","1538536891")</f>
        <v>1538536891</v>
      </c>
      <c r="E23202" t="s">
        <v>14113</v>
      </c>
    </row>
    <row r="23203" spans="1:5" x14ac:dyDescent="0.25">
      <c r="A23203" t="s">
        <v>5</v>
      </c>
      <c r="B23203" t="s">
        <v>6073</v>
      </c>
      <c r="C23203" s="1" t="s">
        <v>23490</v>
      </c>
      <c r="D23203" s="1" t="str">
        <f>HYPERLINK("https://rhld.insurance.arkansas.gov/NPILookup?Npi=1538570288","1538570288")</f>
        <v>1538570288</v>
      </c>
      <c r="E23203" t="s">
        <v>18364</v>
      </c>
    </row>
    <row r="23204" spans="1:5" x14ac:dyDescent="0.25">
      <c r="A23204" t="s">
        <v>5</v>
      </c>
      <c r="B23204" t="s">
        <v>6073</v>
      </c>
      <c r="C23204" s="1" t="s">
        <v>23490</v>
      </c>
      <c r="D23204" s="1" t="str">
        <f>HYPERLINK("https://rhld.insurance.arkansas.gov/NPILookup?Npi=1538589205","1538589205")</f>
        <v>1538589205</v>
      </c>
      <c r="E23204" t="s">
        <v>14114</v>
      </c>
    </row>
    <row r="23205" spans="1:5" x14ac:dyDescent="0.25">
      <c r="A23205" t="s">
        <v>5</v>
      </c>
      <c r="B23205" t="s">
        <v>6073</v>
      </c>
      <c r="C23205" s="1" t="s">
        <v>23490</v>
      </c>
      <c r="D23205" s="1" t="str">
        <f>HYPERLINK("https://rhld.insurance.arkansas.gov/NPILookup?Npi=1538609417","1538609417")</f>
        <v>1538609417</v>
      </c>
      <c r="E23205" t="s">
        <v>18365</v>
      </c>
    </row>
    <row r="23206" spans="1:5" x14ac:dyDescent="0.25">
      <c r="A23206" t="s">
        <v>5</v>
      </c>
      <c r="B23206" t="s">
        <v>6073</v>
      </c>
      <c r="C23206" s="1" t="s">
        <v>23490</v>
      </c>
      <c r="D23206" s="1" t="str">
        <f>HYPERLINK("https://rhld.insurance.arkansas.gov/NPILookup?Npi=1538678503","1538678503")</f>
        <v>1538678503</v>
      </c>
      <c r="E23206" t="s">
        <v>19084</v>
      </c>
    </row>
    <row r="23207" spans="1:5" x14ac:dyDescent="0.25">
      <c r="A23207" t="s">
        <v>5</v>
      </c>
      <c r="B23207" t="s">
        <v>6073</v>
      </c>
      <c r="C23207" s="1" t="s">
        <v>23490</v>
      </c>
      <c r="D23207" s="1" t="str">
        <f>HYPERLINK("https://rhld.insurance.arkansas.gov/NPILookup?Npi=1548311442","1548311442")</f>
        <v>1548311442</v>
      </c>
      <c r="E23207" t="s">
        <v>11035</v>
      </c>
    </row>
    <row r="23208" spans="1:5" x14ac:dyDescent="0.25">
      <c r="A23208" t="s">
        <v>5</v>
      </c>
      <c r="B23208" t="s">
        <v>6073</v>
      </c>
      <c r="C23208" s="1" t="s">
        <v>23490</v>
      </c>
      <c r="D23208" s="1" t="str">
        <f>HYPERLINK("https://rhld.insurance.arkansas.gov/NPILookup?Npi=1548350119","1548350119")</f>
        <v>1548350119</v>
      </c>
      <c r="E23208" t="s">
        <v>5161</v>
      </c>
    </row>
    <row r="23209" spans="1:5" x14ac:dyDescent="0.25">
      <c r="A23209" t="s">
        <v>5</v>
      </c>
      <c r="B23209" t="s">
        <v>6073</v>
      </c>
      <c r="C23209" s="1" t="s">
        <v>23490</v>
      </c>
      <c r="D23209" s="1" t="str">
        <f>HYPERLINK("https://rhld.insurance.arkansas.gov/NPILookup?Npi=1548362353","1548362353")</f>
        <v>1548362353</v>
      </c>
      <c r="E23209" t="s">
        <v>11730</v>
      </c>
    </row>
    <row r="23210" spans="1:5" x14ac:dyDescent="0.25">
      <c r="A23210" t="s">
        <v>5</v>
      </c>
      <c r="B23210" t="s">
        <v>6073</v>
      </c>
      <c r="C23210" s="1" t="s">
        <v>23490</v>
      </c>
      <c r="D23210" s="1" t="str">
        <f>HYPERLINK("https://rhld.insurance.arkansas.gov/NPILookup?Npi=1548412893","1548412893")</f>
        <v>1548412893</v>
      </c>
      <c r="E23210" t="s">
        <v>11732</v>
      </c>
    </row>
    <row r="23211" spans="1:5" x14ac:dyDescent="0.25">
      <c r="A23211" t="s">
        <v>5</v>
      </c>
      <c r="B23211" t="s">
        <v>6073</v>
      </c>
      <c r="C23211" s="1" t="s">
        <v>23490</v>
      </c>
      <c r="D23211" s="1" t="str">
        <f>HYPERLINK("https://rhld.insurance.arkansas.gov/NPILookup?Npi=1548577521","1548577521")</f>
        <v>1548577521</v>
      </c>
      <c r="E23211" t="s">
        <v>16149</v>
      </c>
    </row>
    <row r="23212" spans="1:5" x14ac:dyDescent="0.25">
      <c r="A23212" t="s">
        <v>5</v>
      </c>
      <c r="B23212" t="s">
        <v>6073</v>
      </c>
      <c r="C23212" s="1" t="s">
        <v>8427</v>
      </c>
      <c r="D23212" s="1" t="str">
        <f>HYPERLINK("https://rhld.insurance.arkansas.gov/NPILookup?Npi=1548656846","1548656846")</f>
        <v>1548656846</v>
      </c>
      <c r="E23212" t="s">
        <v>23253</v>
      </c>
    </row>
    <row r="23213" spans="1:5" x14ac:dyDescent="0.25">
      <c r="A23213" t="s">
        <v>5</v>
      </c>
      <c r="B23213" t="s">
        <v>6073</v>
      </c>
      <c r="C23213" s="1" t="s">
        <v>23490</v>
      </c>
      <c r="D23213" s="1" t="str">
        <f>HYPERLINK("https://rhld.insurance.arkansas.gov/NPILookup?Npi=1548745706","1548745706")</f>
        <v>1548745706</v>
      </c>
      <c r="E23213" t="s">
        <v>20513</v>
      </c>
    </row>
    <row r="23214" spans="1:5" x14ac:dyDescent="0.25">
      <c r="A23214" t="s">
        <v>5</v>
      </c>
      <c r="B23214" t="s">
        <v>6073</v>
      </c>
      <c r="C23214" s="1" t="s">
        <v>23490</v>
      </c>
      <c r="D23214" s="1" t="str">
        <f>HYPERLINK("https://rhld.insurance.arkansas.gov/NPILookup?Npi=1548787641","1548787641")</f>
        <v>1548787641</v>
      </c>
      <c r="E23214" t="s">
        <v>19085</v>
      </c>
    </row>
    <row r="23215" spans="1:5" x14ac:dyDescent="0.25">
      <c r="A23215" t="s">
        <v>5</v>
      </c>
      <c r="B23215" t="s">
        <v>6073</v>
      </c>
      <c r="C23215" s="1" t="s">
        <v>23490</v>
      </c>
      <c r="D23215" s="1" t="str">
        <f>HYPERLINK("https://rhld.insurance.arkansas.gov/NPILookup?Npi=1548812472","1548812472")</f>
        <v>1548812472</v>
      </c>
      <c r="E23215" t="s">
        <v>20514</v>
      </c>
    </row>
    <row r="23216" spans="1:5" x14ac:dyDescent="0.25">
      <c r="A23216" t="s">
        <v>5</v>
      </c>
      <c r="B23216" t="s">
        <v>6073</v>
      </c>
      <c r="C23216" s="1" t="s">
        <v>8427</v>
      </c>
      <c r="D23216" s="1" t="str">
        <f>HYPERLINK("https://rhld.insurance.arkansas.gov/NPILookup?Npi=1548952070","1548952070")</f>
        <v>1548952070</v>
      </c>
      <c r="E23216" t="s">
        <v>23254</v>
      </c>
    </row>
    <row r="23217" spans="1:5" x14ac:dyDescent="0.25">
      <c r="A23217" t="s">
        <v>5</v>
      </c>
      <c r="B23217" t="s">
        <v>6073</v>
      </c>
      <c r="C23217" s="1" t="s">
        <v>23490</v>
      </c>
      <c r="D23217" s="1" t="str">
        <f>HYPERLINK("https://rhld.insurance.arkansas.gov/NPILookup?Npi=1558038240","1558038240")</f>
        <v>1558038240</v>
      </c>
      <c r="E23217" t="s">
        <v>19086</v>
      </c>
    </row>
    <row r="23218" spans="1:5" x14ac:dyDescent="0.25">
      <c r="A23218" t="s">
        <v>5</v>
      </c>
      <c r="B23218" t="s">
        <v>6073</v>
      </c>
      <c r="C23218" s="1" t="s">
        <v>23490</v>
      </c>
      <c r="D23218" s="1" t="str">
        <f>HYPERLINK("https://rhld.insurance.arkansas.gov/NPILookup?Npi=1558377267","1558377267")</f>
        <v>1558377267</v>
      </c>
      <c r="E23218" t="s">
        <v>21210</v>
      </c>
    </row>
    <row r="23219" spans="1:5" x14ac:dyDescent="0.25">
      <c r="A23219" t="s">
        <v>5</v>
      </c>
      <c r="B23219" t="s">
        <v>6073</v>
      </c>
      <c r="C23219" s="1" t="s">
        <v>23490</v>
      </c>
      <c r="D23219" s="1" t="str">
        <f>HYPERLINK("https://rhld.insurance.arkansas.gov/NPILookup?Npi=1558588590","1558588590")</f>
        <v>1558588590</v>
      </c>
      <c r="E23219" t="s">
        <v>5200</v>
      </c>
    </row>
    <row r="23220" spans="1:5" x14ac:dyDescent="0.25">
      <c r="A23220" t="s">
        <v>5</v>
      </c>
      <c r="B23220" t="s">
        <v>6073</v>
      </c>
      <c r="C23220" s="1" t="s">
        <v>23490</v>
      </c>
      <c r="D23220" s="1" t="str">
        <f>HYPERLINK("https://rhld.insurance.arkansas.gov/NPILookup?Npi=1558679910","1558679910")</f>
        <v>1558679910</v>
      </c>
      <c r="E23220" t="s">
        <v>14313</v>
      </c>
    </row>
    <row r="23221" spans="1:5" x14ac:dyDescent="0.25">
      <c r="A23221" t="s">
        <v>5</v>
      </c>
      <c r="B23221" t="s">
        <v>6073</v>
      </c>
      <c r="C23221" s="1" t="s">
        <v>8427</v>
      </c>
      <c r="D23221" s="1" t="str">
        <f>HYPERLINK("https://rhld.insurance.arkansas.gov/NPILookup?Npi=1558718411","1558718411")</f>
        <v>1558718411</v>
      </c>
      <c r="E23221" t="s">
        <v>23255</v>
      </c>
    </row>
    <row r="23222" spans="1:5" x14ac:dyDescent="0.25">
      <c r="A23222" t="s">
        <v>5</v>
      </c>
      <c r="B23222" t="s">
        <v>6073</v>
      </c>
      <c r="C23222" s="1" t="s">
        <v>23490</v>
      </c>
      <c r="D23222" s="1" t="str">
        <f>HYPERLINK("https://rhld.insurance.arkansas.gov/NPILookup?Npi=1558752634","1558752634")</f>
        <v>1558752634</v>
      </c>
      <c r="E23222" t="s">
        <v>11740</v>
      </c>
    </row>
    <row r="23223" spans="1:5" x14ac:dyDescent="0.25">
      <c r="A23223" t="s">
        <v>5</v>
      </c>
      <c r="B23223" t="s">
        <v>6073</v>
      </c>
      <c r="C23223" s="1" t="s">
        <v>23490</v>
      </c>
      <c r="D23223" s="1" t="str">
        <f>HYPERLINK("https://rhld.insurance.arkansas.gov/NPILookup?Npi=1568128684","1568128684")</f>
        <v>1568128684</v>
      </c>
      <c r="E23223" t="s">
        <v>21211</v>
      </c>
    </row>
    <row r="23224" spans="1:5" x14ac:dyDescent="0.25">
      <c r="A23224" t="s">
        <v>5</v>
      </c>
      <c r="B23224" t="s">
        <v>6073</v>
      </c>
      <c r="C23224" s="1" t="s">
        <v>23490</v>
      </c>
      <c r="D23224" s="1" t="str">
        <f>HYPERLINK("https://rhld.insurance.arkansas.gov/NPILookup?Npi=1568131076","1568131076")</f>
        <v>1568131076</v>
      </c>
      <c r="E23224" t="s">
        <v>20516</v>
      </c>
    </row>
    <row r="23225" spans="1:5" x14ac:dyDescent="0.25">
      <c r="A23225" t="s">
        <v>5</v>
      </c>
      <c r="B23225" t="s">
        <v>6073</v>
      </c>
      <c r="C23225" s="1" t="s">
        <v>8427</v>
      </c>
      <c r="D23225" s="1" t="str">
        <f>HYPERLINK("https://rhld.insurance.arkansas.gov/NPILookup?Npi=1568190817","1568190817")</f>
        <v>1568190817</v>
      </c>
      <c r="E23225" t="s">
        <v>23256</v>
      </c>
    </row>
    <row r="23226" spans="1:5" x14ac:dyDescent="0.25">
      <c r="A23226" t="s">
        <v>5</v>
      </c>
      <c r="B23226" t="s">
        <v>6073</v>
      </c>
      <c r="C23226" s="1" t="s">
        <v>23490</v>
      </c>
      <c r="D23226" s="1" t="str">
        <f>HYPERLINK("https://rhld.insurance.arkansas.gov/NPILookup?Npi=1568494532","1568494532")</f>
        <v>1568494532</v>
      </c>
      <c r="E23226" t="s">
        <v>5210</v>
      </c>
    </row>
    <row r="23227" spans="1:5" x14ac:dyDescent="0.25">
      <c r="A23227" t="s">
        <v>5</v>
      </c>
      <c r="B23227" t="s">
        <v>6073</v>
      </c>
      <c r="C23227" s="1" t="s">
        <v>23490</v>
      </c>
      <c r="D23227" s="1" t="str">
        <f>HYPERLINK("https://rhld.insurance.arkansas.gov/NPILookup?Npi=1568698058","1568698058")</f>
        <v>1568698058</v>
      </c>
      <c r="E23227" t="s">
        <v>14125</v>
      </c>
    </row>
    <row r="23228" spans="1:5" x14ac:dyDescent="0.25">
      <c r="A23228" t="s">
        <v>5</v>
      </c>
      <c r="B23228" t="s">
        <v>6073</v>
      </c>
      <c r="C23228" s="1" t="s">
        <v>23490</v>
      </c>
      <c r="D23228" s="1" t="str">
        <f>HYPERLINK("https://rhld.insurance.arkansas.gov/NPILookup?Npi=1568748184","1568748184")</f>
        <v>1568748184</v>
      </c>
      <c r="E23228" t="s">
        <v>21212</v>
      </c>
    </row>
    <row r="23229" spans="1:5" x14ac:dyDescent="0.25">
      <c r="A23229" t="s">
        <v>5</v>
      </c>
      <c r="B23229" t="s">
        <v>6073</v>
      </c>
      <c r="C23229" s="1" t="s">
        <v>23490</v>
      </c>
      <c r="D23229" s="1" t="str">
        <f>HYPERLINK("https://rhld.insurance.arkansas.gov/NPILookup?Npi=1568834471","1568834471")</f>
        <v>1568834471</v>
      </c>
      <c r="E23229" t="s">
        <v>18373</v>
      </c>
    </row>
    <row r="23230" spans="1:5" x14ac:dyDescent="0.25">
      <c r="A23230" t="s">
        <v>5</v>
      </c>
      <c r="B23230" t="s">
        <v>6073</v>
      </c>
      <c r="C23230" s="1" t="s">
        <v>23490</v>
      </c>
      <c r="D23230" s="1" t="str">
        <f>HYPERLINK("https://rhld.insurance.arkansas.gov/NPILookup?Npi=1568848489","1568848489")</f>
        <v>1568848489</v>
      </c>
      <c r="E23230" t="s">
        <v>19087</v>
      </c>
    </row>
    <row r="23231" spans="1:5" x14ac:dyDescent="0.25">
      <c r="A23231" t="s">
        <v>5</v>
      </c>
      <c r="B23231" t="s">
        <v>6073</v>
      </c>
      <c r="C23231" s="1" t="s">
        <v>23490</v>
      </c>
      <c r="D23231" s="1" t="str">
        <f>HYPERLINK("https://rhld.insurance.arkansas.gov/NPILookup?Npi=1568883023","1568883023")</f>
        <v>1568883023</v>
      </c>
      <c r="E23231" t="s">
        <v>21213</v>
      </c>
    </row>
    <row r="23232" spans="1:5" x14ac:dyDescent="0.25">
      <c r="A23232" t="s">
        <v>5</v>
      </c>
      <c r="B23232" t="s">
        <v>6073</v>
      </c>
      <c r="C23232" s="1" t="s">
        <v>8427</v>
      </c>
      <c r="D23232" s="1" t="str">
        <f>HYPERLINK("https://rhld.insurance.arkansas.gov/NPILookup?Npi=1578162764","1578162764")</f>
        <v>1578162764</v>
      </c>
      <c r="E23232" t="s">
        <v>23257</v>
      </c>
    </row>
    <row r="23233" spans="1:5" x14ac:dyDescent="0.25">
      <c r="A23233" t="s">
        <v>5</v>
      </c>
      <c r="B23233" t="s">
        <v>6073</v>
      </c>
      <c r="C23233" s="1" t="s">
        <v>8427</v>
      </c>
      <c r="D23233" s="1" t="str">
        <f>HYPERLINK("https://rhld.insurance.arkansas.gov/NPILookup?Npi=1578942280","1578942280")</f>
        <v>1578942280</v>
      </c>
      <c r="E23233" t="s">
        <v>23137</v>
      </c>
    </row>
    <row r="23234" spans="1:5" x14ac:dyDescent="0.25">
      <c r="A23234" t="s">
        <v>5</v>
      </c>
      <c r="B23234" t="s">
        <v>6073</v>
      </c>
      <c r="C23234" s="1" t="s">
        <v>23490</v>
      </c>
      <c r="D23234" s="1" t="str">
        <f>HYPERLINK("https://rhld.insurance.arkansas.gov/NPILookup?Npi=1578945424","1578945424")</f>
        <v>1578945424</v>
      </c>
      <c r="E23234" t="s">
        <v>14129</v>
      </c>
    </row>
    <row r="23235" spans="1:5" x14ac:dyDescent="0.25">
      <c r="A23235" t="s">
        <v>5</v>
      </c>
      <c r="B23235" t="s">
        <v>6073</v>
      </c>
      <c r="C23235" s="1" t="s">
        <v>23490</v>
      </c>
      <c r="D23235" s="1" t="str">
        <f>HYPERLINK("https://rhld.insurance.arkansas.gov/NPILookup?Npi=1578997706","1578997706")</f>
        <v>1578997706</v>
      </c>
      <c r="E23235" t="s">
        <v>11749</v>
      </c>
    </row>
    <row r="23236" spans="1:5" x14ac:dyDescent="0.25">
      <c r="A23236" t="s">
        <v>5</v>
      </c>
      <c r="B23236" t="s">
        <v>6073</v>
      </c>
      <c r="C23236" s="1" t="s">
        <v>23490</v>
      </c>
      <c r="D23236" s="1" t="str">
        <f>HYPERLINK("https://rhld.insurance.arkansas.gov/NPILookup?Npi=1588039671","1588039671")</f>
        <v>1588039671</v>
      </c>
      <c r="E23236" t="s">
        <v>19088</v>
      </c>
    </row>
    <row r="23237" spans="1:5" x14ac:dyDescent="0.25">
      <c r="A23237" t="s">
        <v>5</v>
      </c>
      <c r="B23237" t="s">
        <v>6073</v>
      </c>
      <c r="C23237" s="1" t="s">
        <v>23490</v>
      </c>
      <c r="D23237" s="1" t="str">
        <f>HYPERLINK("https://rhld.insurance.arkansas.gov/NPILookup?Npi=1588053219","1588053219")</f>
        <v>1588053219</v>
      </c>
      <c r="E23237" t="s">
        <v>18377</v>
      </c>
    </row>
    <row r="23238" spans="1:5" x14ac:dyDescent="0.25">
      <c r="A23238" t="s">
        <v>5</v>
      </c>
      <c r="B23238" t="s">
        <v>6073</v>
      </c>
      <c r="C23238" s="1" t="s">
        <v>23490</v>
      </c>
      <c r="D23238" s="1" t="str">
        <f>HYPERLINK("https://rhld.insurance.arkansas.gov/NPILookup?Npi=1588109698","1588109698")</f>
        <v>1588109698</v>
      </c>
      <c r="E23238" t="s">
        <v>14130</v>
      </c>
    </row>
    <row r="23239" spans="1:5" x14ac:dyDescent="0.25">
      <c r="A23239" t="s">
        <v>5</v>
      </c>
      <c r="B23239" t="s">
        <v>6073</v>
      </c>
      <c r="C23239" s="1" t="s">
        <v>23490</v>
      </c>
      <c r="D23239" s="1" t="str">
        <f>HYPERLINK("https://rhld.insurance.arkansas.gov/NPILookup?Npi=1588128060","1588128060")</f>
        <v>1588128060</v>
      </c>
      <c r="E23239" t="s">
        <v>21214</v>
      </c>
    </row>
    <row r="23240" spans="1:5" x14ac:dyDescent="0.25">
      <c r="A23240" t="s">
        <v>5</v>
      </c>
      <c r="B23240" t="s">
        <v>6073</v>
      </c>
      <c r="C23240" s="1" t="s">
        <v>23490</v>
      </c>
      <c r="D23240" s="1" t="str">
        <f>HYPERLINK("https://rhld.insurance.arkansas.gov/NPILookup?Npi=1588202873","1588202873")</f>
        <v>1588202873</v>
      </c>
      <c r="E23240" t="s">
        <v>21215</v>
      </c>
    </row>
    <row r="23241" spans="1:5" x14ac:dyDescent="0.25">
      <c r="A23241" t="s">
        <v>5</v>
      </c>
      <c r="B23241" t="s">
        <v>6073</v>
      </c>
      <c r="C23241" s="1" t="s">
        <v>23490</v>
      </c>
      <c r="D23241" s="1" t="str">
        <f>HYPERLINK("https://rhld.insurance.arkansas.gov/NPILookup?Npi=1588256325","1588256325")</f>
        <v>1588256325</v>
      </c>
      <c r="E23241" t="s">
        <v>18379</v>
      </c>
    </row>
    <row r="23242" spans="1:5" x14ac:dyDescent="0.25">
      <c r="A23242" t="s">
        <v>5</v>
      </c>
      <c r="B23242" t="s">
        <v>6073</v>
      </c>
      <c r="C23242" s="1" t="s">
        <v>23490</v>
      </c>
      <c r="D23242" s="1" t="str">
        <f>HYPERLINK("https://rhld.insurance.arkansas.gov/NPILookup?Npi=1588786255","1588786255")</f>
        <v>1588786255</v>
      </c>
      <c r="E23242" t="s">
        <v>11752</v>
      </c>
    </row>
    <row r="23243" spans="1:5" x14ac:dyDescent="0.25">
      <c r="A23243" t="s">
        <v>5</v>
      </c>
      <c r="B23243" t="s">
        <v>6073</v>
      </c>
      <c r="C23243" s="1" t="s">
        <v>23490</v>
      </c>
      <c r="D23243" s="1" t="str">
        <f>HYPERLINK("https://rhld.insurance.arkansas.gov/NPILookup?Npi=1588964019","1588964019")</f>
        <v>1588964019</v>
      </c>
      <c r="E23243" t="s">
        <v>11754</v>
      </c>
    </row>
    <row r="23244" spans="1:5" x14ac:dyDescent="0.25">
      <c r="A23244" t="s">
        <v>5</v>
      </c>
      <c r="B23244" t="s">
        <v>6073</v>
      </c>
      <c r="C23244" s="1" t="s">
        <v>23490</v>
      </c>
      <c r="D23244" s="1" t="str">
        <f>HYPERLINK("https://rhld.insurance.arkansas.gov/NPILookup?Npi=1598039075","1598039075")</f>
        <v>1598039075</v>
      </c>
      <c r="E23244" t="s">
        <v>11755</v>
      </c>
    </row>
    <row r="23245" spans="1:5" x14ac:dyDescent="0.25">
      <c r="A23245" t="s">
        <v>5</v>
      </c>
      <c r="B23245" t="s">
        <v>6073</v>
      </c>
      <c r="C23245" s="1" t="s">
        <v>23490</v>
      </c>
      <c r="D23245" s="1" t="str">
        <f>HYPERLINK("https://rhld.insurance.arkansas.gov/NPILookup?Npi=1598293227","1598293227")</f>
        <v>1598293227</v>
      </c>
      <c r="E23245" t="s">
        <v>21216</v>
      </c>
    </row>
    <row r="23246" spans="1:5" x14ac:dyDescent="0.25">
      <c r="A23246" t="s">
        <v>5</v>
      </c>
      <c r="B23246" t="s">
        <v>6073</v>
      </c>
      <c r="C23246" s="1" t="s">
        <v>8427</v>
      </c>
      <c r="D23246" s="1" t="str">
        <f>HYPERLINK("https://rhld.insurance.arkansas.gov/NPILookup?Npi=1598319303","1598319303")</f>
        <v>1598319303</v>
      </c>
      <c r="E23246" t="s">
        <v>22174</v>
      </c>
    </row>
    <row r="23247" spans="1:5" x14ac:dyDescent="0.25">
      <c r="A23247" t="s">
        <v>5</v>
      </c>
      <c r="B23247" t="s">
        <v>6073</v>
      </c>
      <c r="C23247" s="1" t="s">
        <v>8427</v>
      </c>
      <c r="D23247" s="1" t="str">
        <f>HYPERLINK("https://rhld.insurance.arkansas.gov/NPILookup?Npi=1598458663","1598458663")</f>
        <v>1598458663</v>
      </c>
      <c r="E23247" t="s">
        <v>23258</v>
      </c>
    </row>
    <row r="23248" spans="1:5" x14ac:dyDescent="0.25">
      <c r="A23248" t="s">
        <v>5</v>
      </c>
      <c r="B23248" t="s">
        <v>6073</v>
      </c>
      <c r="C23248" s="1" t="s">
        <v>23490</v>
      </c>
      <c r="D23248" s="1" t="str">
        <f>HYPERLINK("https://rhld.insurance.arkansas.gov/NPILookup?Npi=1609037423","1609037423")</f>
        <v>1609037423</v>
      </c>
      <c r="E23248" t="s">
        <v>5276</v>
      </c>
    </row>
    <row r="23249" spans="1:5" x14ac:dyDescent="0.25">
      <c r="A23249" t="s">
        <v>5</v>
      </c>
      <c r="B23249" t="s">
        <v>6073</v>
      </c>
      <c r="C23249" s="1" t="s">
        <v>23490</v>
      </c>
      <c r="D23249" s="1" t="str">
        <f>HYPERLINK("https://rhld.insurance.arkansas.gov/NPILookup?Npi=1609336619","1609336619")</f>
        <v>1609336619</v>
      </c>
      <c r="E23249" t="s">
        <v>18499</v>
      </c>
    </row>
    <row r="23250" spans="1:5" x14ac:dyDescent="0.25">
      <c r="A23250" t="s">
        <v>5</v>
      </c>
      <c r="B23250" t="s">
        <v>6073</v>
      </c>
      <c r="C23250" s="1" t="s">
        <v>23490</v>
      </c>
      <c r="D23250" s="1" t="str">
        <f>HYPERLINK("https://rhld.insurance.arkansas.gov/NPILookup?Npi=1609408103","1609408103")</f>
        <v>1609408103</v>
      </c>
      <c r="E23250" t="s">
        <v>20531</v>
      </c>
    </row>
    <row r="23251" spans="1:5" x14ac:dyDescent="0.25">
      <c r="A23251" t="s">
        <v>5</v>
      </c>
      <c r="B23251" t="s">
        <v>6073</v>
      </c>
      <c r="C23251" s="1" t="s">
        <v>23490</v>
      </c>
      <c r="D23251" s="1" t="str">
        <f>HYPERLINK("https://rhld.insurance.arkansas.gov/NPILookup?Npi=1609413111","1609413111")</f>
        <v>1609413111</v>
      </c>
      <c r="E23251" t="s">
        <v>21217</v>
      </c>
    </row>
    <row r="23252" spans="1:5" x14ac:dyDescent="0.25">
      <c r="A23252" t="s">
        <v>5</v>
      </c>
      <c r="B23252" t="s">
        <v>6073</v>
      </c>
      <c r="C23252" s="1" t="s">
        <v>23490</v>
      </c>
      <c r="D23252" s="1" t="str">
        <f>HYPERLINK("https://rhld.insurance.arkansas.gov/NPILookup?Npi=1609876515","1609876515")</f>
        <v>1609876515</v>
      </c>
      <c r="E23252" t="s">
        <v>22430</v>
      </c>
    </row>
    <row r="23253" spans="1:5" x14ac:dyDescent="0.25">
      <c r="A23253" t="s">
        <v>5</v>
      </c>
      <c r="B23253" t="s">
        <v>6073</v>
      </c>
      <c r="C23253" s="1" t="s">
        <v>23490</v>
      </c>
      <c r="D23253" s="1" t="str">
        <f>HYPERLINK("https://rhld.insurance.arkansas.gov/NPILookup?Npi=1619227279","1619227279")</f>
        <v>1619227279</v>
      </c>
      <c r="E23253" t="s">
        <v>14138</v>
      </c>
    </row>
    <row r="23254" spans="1:5" x14ac:dyDescent="0.25">
      <c r="A23254" t="s">
        <v>5</v>
      </c>
      <c r="B23254" t="s">
        <v>6073</v>
      </c>
      <c r="C23254" s="1" t="s">
        <v>23490</v>
      </c>
      <c r="D23254" s="1" t="str">
        <f>HYPERLINK("https://rhld.insurance.arkansas.gov/NPILookup?Npi=1619296035","1619296035")</f>
        <v>1619296035</v>
      </c>
      <c r="E23254" t="s">
        <v>19089</v>
      </c>
    </row>
    <row r="23255" spans="1:5" x14ac:dyDescent="0.25">
      <c r="A23255" t="s">
        <v>5</v>
      </c>
      <c r="B23255" t="s">
        <v>6073</v>
      </c>
      <c r="C23255" s="1" t="s">
        <v>23490</v>
      </c>
      <c r="D23255" s="1" t="str">
        <f>HYPERLINK("https://rhld.insurance.arkansas.gov/NPILookup?Npi=1619345246","1619345246")</f>
        <v>1619345246</v>
      </c>
      <c r="E23255" t="s">
        <v>20533</v>
      </c>
    </row>
    <row r="23256" spans="1:5" x14ac:dyDescent="0.25">
      <c r="A23256" t="s">
        <v>5</v>
      </c>
      <c r="B23256" t="s">
        <v>6073</v>
      </c>
      <c r="C23256" s="1" t="s">
        <v>23490</v>
      </c>
      <c r="D23256" s="1" t="str">
        <f>HYPERLINK("https://rhld.insurance.arkansas.gov/NPILookup?Npi=1619443439","1619443439")</f>
        <v>1619443439</v>
      </c>
      <c r="E23256" t="s">
        <v>21147</v>
      </c>
    </row>
    <row r="23257" spans="1:5" x14ac:dyDescent="0.25">
      <c r="A23257" t="s">
        <v>5</v>
      </c>
      <c r="B23257" t="s">
        <v>6073</v>
      </c>
      <c r="C23257" s="1" t="s">
        <v>23490</v>
      </c>
      <c r="D23257" s="1" t="str">
        <f>HYPERLINK("https://rhld.insurance.arkansas.gov/NPILookup?Npi=1619459484","1619459484")</f>
        <v>1619459484</v>
      </c>
      <c r="E23257" t="s">
        <v>20534</v>
      </c>
    </row>
    <row r="23258" spans="1:5" x14ac:dyDescent="0.25">
      <c r="A23258" t="s">
        <v>5</v>
      </c>
      <c r="B23258" t="s">
        <v>6073</v>
      </c>
      <c r="C23258" s="1" t="s">
        <v>8427</v>
      </c>
      <c r="D23258" s="1" t="str">
        <f>HYPERLINK("https://rhld.insurance.arkansas.gov/NPILookup?Npi=1619542149","1619542149")</f>
        <v>1619542149</v>
      </c>
      <c r="E23258" t="s">
        <v>23150</v>
      </c>
    </row>
    <row r="23259" spans="1:5" x14ac:dyDescent="0.25">
      <c r="A23259" t="s">
        <v>5</v>
      </c>
      <c r="B23259" t="s">
        <v>6073</v>
      </c>
      <c r="C23259" s="1" t="s">
        <v>8427</v>
      </c>
      <c r="D23259" s="1" t="str">
        <f>HYPERLINK("https://rhld.insurance.arkansas.gov/NPILookup?Npi=1619579448","1619579448")</f>
        <v>1619579448</v>
      </c>
      <c r="E23259" t="s">
        <v>23259</v>
      </c>
    </row>
    <row r="23260" spans="1:5" x14ac:dyDescent="0.25">
      <c r="A23260" t="s">
        <v>5</v>
      </c>
      <c r="B23260" t="s">
        <v>6073</v>
      </c>
      <c r="C23260" s="1" t="s">
        <v>23490</v>
      </c>
      <c r="D23260" s="1" t="str">
        <f>HYPERLINK("https://rhld.insurance.arkansas.gov/NPILookup?Npi=1629109988","1629109988")</f>
        <v>1629109988</v>
      </c>
      <c r="E23260" t="s">
        <v>11764</v>
      </c>
    </row>
    <row r="23261" spans="1:5" x14ac:dyDescent="0.25">
      <c r="A23261" t="s">
        <v>5</v>
      </c>
      <c r="B23261" t="s">
        <v>6073</v>
      </c>
      <c r="C23261" s="1" t="s">
        <v>23490</v>
      </c>
      <c r="D23261" s="1" t="str">
        <f>HYPERLINK("https://rhld.insurance.arkansas.gov/NPILookup?Npi=1629264742","1629264742")</f>
        <v>1629264742</v>
      </c>
      <c r="E23261" t="s">
        <v>11766</v>
      </c>
    </row>
    <row r="23262" spans="1:5" x14ac:dyDescent="0.25">
      <c r="A23262" t="s">
        <v>5</v>
      </c>
      <c r="B23262" t="s">
        <v>6073</v>
      </c>
      <c r="C23262" s="1" t="s">
        <v>23490</v>
      </c>
      <c r="D23262" s="1" t="str">
        <f>HYPERLINK("https://rhld.insurance.arkansas.gov/NPILookup?Npi=1629328463","1629328463")</f>
        <v>1629328463</v>
      </c>
      <c r="E23262" t="s">
        <v>16175</v>
      </c>
    </row>
    <row r="23263" spans="1:5" x14ac:dyDescent="0.25">
      <c r="A23263" t="s">
        <v>5</v>
      </c>
      <c r="B23263" t="s">
        <v>6073</v>
      </c>
      <c r="C23263" s="1" t="s">
        <v>23490</v>
      </c>
      <c r="D23263" s="1" t="str">
        <f>HYPERLINK("https://rhld.insurance.arkansas.gov/NPILookup?Npi=1629355235","1629355235")</f>
        <v>1629355235</v>
      </c>
      <c r="E23263" t="s">
        <v>13170</v>
      </c>
    </row>
    <row r="23264" spans="1:5" x14ac:dyDescent="0.25">
      <c r="A23264" t="s">
        <v>5</v>
      </c>
      <c r="B23264" t="s">
        <v>6073</v>
      </c>
      <c r="C23264" s="1" t="s">
        <v>23490</v>
      </c>
      <c r="D23264" s="1" t="str">
        <f>HYPERLINK("https://rhld.insurance.arkansas.gov/NPILookup?Npi=1629399605","1629399605")</f>
        <v>1629399605</v>
      </c>
      <c r="E23264" t="s">
        <v>11767</v>
      </c>
    </row>
    <row r="23265" spans="1:5" x14ac:dyDescent="0.25">
      <c r="A23265" t="s">
        <v>5</v>
      </c>
      <c r="B23265" t="s">
        <v>6073</v>
      </c>
      <c r="C23265" s="1" t="s">
        <v>23490</v>
      </c>
      <c r="D23265" s="1" t="str">
        <f>HYPERLINK("https://rhld.insurance.arkansas.gov/NPILookup?Npi=1629426770","1629426770")</f>
        <v>1629426770</v>
      </c>
      <c r="E23265" t="s">
        <v>11768</v>
      </c>
    </row>
    <row r="23266" spans="1:5" x14ac:dyDescent="0.25">
      <c r="A23266" t="s">
        <v>5</v>
      </c>
      <c r="B23266" t="s">
        <v>6073</v>
      </c>
      <c r="C23266" s="1" t="s">
        <v>23490</v>
      </c>
      <c r="D23266" s="1" t="str">
        <f>HYPERLINK("https://rhld.insurance.arkansas.gov/NPILookup?Npi=1629478946","1629478946")</f>
        <v>1629478946</v>
      </c>
      <c r="E23266" t="s">
        <v>14144</v>
      </c>
    </row>
    <row r="23267" spans="1:5" x14ac:dyDescent="0.25">
      <c r="A23267" t="s">
        <v>5</v>
      </c>
      <c r="B23267" t="s">
        <v>6073</v>
      </c>
      <c r="C23267" s="1" t="s">
        <v>23490</v>
      </c>
      <c r="D23267" s="1" t="str">
        <f>HYPERLINK("https://rhld.insurance.arkansas.gov/NPILookup?Npi=1629551502","1629551502")</f>
        <v>1629551502</v>
      </c>
      <c r="E23267" t="s">
        <v>21218</v>
      </c>
    </row>
    <row r="23268" spans="1:5" x14ac:dyDescent="0.25">
      <c r="A23268" t="s">
        <v>5</v>
      </c>
      <c r="B23268" t="s">
        <v>6073</v>
      </c>
      <c r="C23268" s="1" t="s">
        <v>23490</v>
      </c>
      <c r="D23268" s="1" t="str">
        <f>HYPERLINK("https://rhld.insurance.arkansas.gov/NPILookup?Npi=1629702832","1629702832")</f>
        <v>1629702832</v>
      </c>
      <c r="E23268" t="s">
        <v>21219</v>
      </c>
    </row>
    <row r="23269" spans="1:5" x14ac:dyDescent="0.25">
      <c r="A23269" t="s">
        <v>5</v>
      </c>
      <c r="B23269" t="s">
        <v>6073</v>
      </c>
      <c r="C23269" s="1" t="s">
        <v>23490</v>
      </c>
      <c r="D23269" s="1" t="str">
        <f>HYPERLINK("https://rhld.insurance.arkansas.gov/NPILookup?Npi=1639300064","1639300064")</f>
        <v>1639300064</v>
      </c>
      <c r="E23269" t="s">
        <v>16178</v>
      </c>
    </row>
    <row r="23270" spans="1:5" x14ac:dyDescent="0.25">
      <c r="A23270" t="s">
        <v>5</v>
      </c>
      <c r="B23270" t="s">
        <v>6073</v>
      </c>
      <c r="C23270" s="1" t="s">
        <v>23490</v>
      </c>
      <c r="D23270" s="1" t="str">
        <f>HYPERLINK("https://rhld.insurance.arkansas.gov/NPILookup?Npi=1639435142","1639435142")</f>
        <v>1639435142</v>
      </c>
      <c r="E23270" t="s">
        <v>14150</v>
      </c>
    </row>
    <row r="23271" spans="1:5" x14ac:dyDescent="0.25">
      <c r="A23271" t="s">
        <v>5</v>
      </c>
      <c r="B23271" t="s">
        <v>6073</v>
      </c>
      <c r="C23271" s="1" t="s">
        <v>23490</v>
      </c>
      <c r="D23271" s="1" t="str">
        <f>HYPERLINK("https://rhld.insurance.arkansas.gov/NPILookup?Npi=1639457088","1639457088")</f>
        <v>1639457088</v>
      </c>
      <c r="E23271" t="s">
        <v>20676</v>
      </c>
    </row>
    <row r="23272" spans="1:5" x14ac:dyDescent="0.25">
      <c r="A23272" t="s">
        <v>5</v>
      </c>
      <c r="B23272" t="s">
        <v>6073</v>
      </c>
      <c r="C23272" s="1" t="s">
        <v>23490</v>
      </c>
      <c r="D23272" s="1" t="str">
        <f>HYPERLINK("https://rhld.insurance.arkansas.gov/NPILookup?Npi=1639497134","1639497134")</f>
        <v>1639497134</v>
      </c>
      <c r="E23272" t="s">
        <v>11773</v>
      </c>
    </row>
    <row r="23273" spans="1:5" x14ac:dyDescent="0.25">
      <c r="A23273" t="s">
        <v>5</v>
      </c>
      <c r="B23273" t="s">
        <v>6073</v>
      </c>
      <c r="C23273" s="1" t="s">
        <v>23490</v>
      </c>
      <c r="D23273" s="1" t="str">
        <f>HYPERLINK("https://rhld.insurance.arkansas.gov/NPILookup?Npi=1639614746","1639614746")</f>
        <v>1639614746</v>
      </c>
      <c r="E23273" t="s">
        <v>18384</v>
      </c>
    </row>
    <row r="23274" spans="1:5" x14ac:dyDescent="0.25">
      <c r="A23274" t="s">
        <v>5</v>
      </c>
      <c r="B23274" t="s">
        <v>6073</v>
      </c>
      <c r="C23274" s="1" t="s">
        <v>23490</v>
      </c>
      <c r="D23274" s="1" t="str">
        <f>HYPERLINK("https://rhld.insurance.arkansas.gov/NPILookup?Npi=1639795511","1639795511")</f>
        <v>1639795511</v>
      </c>
      <c r="E23274" t="s">
        <v>20541</v>
      </c>
    </row>
    <row r="23275" spans="1:5" x14ac:dyDescent="0.25">
      <c r="A23275" t="s">
        <v>5</v>
      </c>
      <c r="B23275" t="s">
        <v>6073</v>
      </c>
      <c r="C23275" s="1" t="s">
        <v>8427</v>
      </c>
      <c r="D23275" s="1" t="str">
        <f>HYPERLINK("https://rhld.insurance.arkansas.gov/NPILookup?Npi=1639852494","1639852494")</f>
        <v>1639852494</v>
      </c>
      <c r="E23275" t="s">
        <v>23260</v>
      </c>
    </row>
    <row r="23276" spans="1:5" x14ac:dyDescent="0.25">
      <c r="A23276" t="s">
        <v>5</v>
      </c>
      <c r="B23276" t="s">
        <v>6073</v>
      </c>
      <c r="C23276" s="1" t="s">
        <v>23490</v>
      </c>
      <c r="D23276" s="1" t="str">
        <f>HYPERLINK("https://rhld.insurance.arkansas.gov/NPILookup?Npi=1649437849","1649437849")</f>
        <v>1649437849</v>
      </c>
      <c r="E23276" t="s">
        <v>11776</v>
      </c>
    </row>
    <row r="23277" spans="1:5" x14ac:dyDescent="0.25">
      <c r="A23277" t="s">
        <v>5</v>
      </c>
      <c r="B23277" t="s">
        <v>6073</v>
      </c>
      <c r="C23277" s="1" t="s">
        <v>23490</v>
      </c>
      <c r="D23277" s="1" t="str">
        <f>HYPERLINK("https://rhld.insurance.arkansas.gov/NPILookup?Npi=1649533670","1649533670")</f>
        <v>1649533670</v>
      </c>
      <c r="E23277" t="s">
        <v>14154</v>
      </c>
    </row>
    <row r="23278" spans="1:5" x14ac:dyDescent="0.25">
      <c r="A23278" t="s">
        <v>5</v>
      </c>
      <c r="B23278" t="s">
        <v>6073</v>
      </c>
      <c r="C23278" s="1" t="s">
        <v>23490</v>
      </c>
      <c r="D23278" s="1" t="str">
        <f>HYPERLINK("https://rhld.insurance.arkansas.gov/NPILookup?Npi=1649625237","1649625237")</f>
        <v>1649625237</v>
      </c>
      <c r="E23278" t="s">
        <v>19090</v>
      </c>
    </row>
    <row r="23279" spans="1:5" x14ac:dyDescent="0.25">
      <c r="A23279" t="s">
        <v>5</v>
      </c>
      <c r="B23279" t="s">
        <v>6073</v>
      </c>
      <c r="C23279" s="1" t="s">
        <v>23490</v>
      </c>
      <c r="D23279" s="1" t="str">
        <f>HYPERLINK("https://rhld.insurance.arkansas.gov/NPILookup?Npi=1649632407","1649632407")</f>
        <v>1649632407</v>
      </c>
      <c r="E23279" t="s">
        <v>11778</v>
      </c>
    </row>
    <row r="23280" spans="1:5" x14ac:dyDescent="0.25">
      <c r="A23280" t="s">
        <v>5</v>
      </c>
      <c r="B23280" t="s">
        <v>6073</v>
      </c>
      <c r="C23280" s="1" t="s">
        <v>8427</v>
      </c>
      <c r="D23280" s="1" t="str">
        <f>HYPERLINK("https://rhld.insurance.arkansas.gov/NPILookup?Npi=1649975236","1649975236")</f>
        <v>1649975236</v>
      </c>
      <c r="E23280" t="s">
        <v>23261</v>
      </c>
    </row>
    <row r="23281" spans="1:5" x14ac:dyDescent="0.25">
      <c r="A23281" t="s">
        <v>5</v>
      </c>
      <c r="B23281" t="s">
        <v>6073</v>
      </c>
      <c r="C23281" s="1" t="s">
        <v>23490</v>
      </c>
      <c r="D23281" s="1" t="str">
        <f>HYPERLINK("https://rhld.insurance.arkansas.gov/NPILookup?Npi=1649993668","1649993668")</f>
        <v>1649993668</v>
      </c>
      <c r="E23281" t="s">
        <v>8009</v>
      </c>
    </row>
    <row r="23282" spans="1:5" x14ac:dyDescent="0.25">
      <c r="A23282" t="s">
        <v>5</v>
      </c>
      <c r="B23282" t="s">
        <v>6073</v>
      </c>
      <c r="C23282" s="1" t="s">
        <v>23490</v>
      </c>
      <c r="D23282" s="1" t="str">
        <f>HYPERLINK("https://rhld.insurance.arkansas.gov/NPILookup?Npi=1659300374","1659300374")</f>
        <v>1659300374</v>
      </c>
      <c r="E23282" t="s">
        <v>17685</v>
      </c>
    </row>
    <row r="23283" spans="1:5" x14ac:dyDescent="0.25">
      <c r="A23283" t="s">
        <v>5</v>
      </c>
      <c r="B23283" t="s">
        <v>6073</v>
      </c>
      <c r="C23283" s="1" t="s">
        <v>23490</v>
      </c>
      <c r="D23283" s="1" t="str">
        <f>HYPERLINK("https://rhld.insurance.arkansas.gov/NPILookup?Npi=1659439248","1659439248")</f>
        <v>1659439248</v>
      </c>
      <c r="E23283" t="s">
        <v>9195</v>
      </c>
    </row>
    <row r="23284" spans="1:5" x14ac:dyDescent="0.25">
      <c r="A23284" t="s">
        <v>5</v>
      </c>
      <c r="B23284" t="s">
        <v>6073</v>
      </c>
      <c r="C23284" s="1" t="s">
        <v>23490</v>
      </c>
      <c r="D23284" s="1" t="str">
        <f>HYPERLINK("https://rhld.insurance.arkansas.gov/NPILookup?Npi=1659595809","1659595809")</f>
        <v>1659595809</v>
      </c>
      <c r="E23284" t="s">
        <v>5385</v>
      </c>
    </row>
    <row r="23285" spans="1:5" x14ac:dyDescent="0.25">
      <c r="A23285" t="s">
        <v>5</v>
      </c>
      <c r="B23285" t="s">
        <v>6073</v>
      </c>
      <c r="C23285" s="1" t="s">
        <v>23490</v>
      </c>
      <c r="D23285" s="1" t="str">
        <f>HYPERLINK("https://rhld.insurance.arkansas.gov/NPILookup?Npi=1659698736","1659698736")</f>
        <v>1659698736</v>
      </c>
      <c r="E23285" t="s">
        <v>20545</v>
      </c>
    </row>
    <row r="23286" spans="1:5" x14ac:dyDescent="0.25">
      <c r="A23286" t="s">
        <v>5</v>
      </c>
      <c r="B23286" t="s">
        <v>6073</v>
      </c>
      <c r="C23286" s="1" t="s">
        <v>23490</v>
      </c>
      <c r="D23286" s="1" t="str">
        <f>HYPERLINK("https://rhld.insurance.arkansas.gov/NPILookup?Npi=1659805844","1659805844")</f>
        <v>1659805844</v>
      </c>
      <c r="E23286" t="s">
        <v>19091</v>
      </c>
    </row>
    <row r="23287" spans="1:5" x14ac:dyDescent="0.25">
      <c r="A23287" t="s">
        <v>5</v>
      </c>
      <c r="B23287" t="s">
        <v>6073</v>
      </c>
      <c r="C23287" s="1" t="s">
        <v>23490</v>
      </c>
      <c r="D23287" s="1" t="str">
        <f>HYPERLINK("https://rhld.insurance.arkansas.gov/NPILookup?Npi=1659858272","1659858272")</f>
        <v>1659858272</v>
      </c>
      <c r="E23287" t="s">
        <v>18500</v>
      </c>
    </row>
    <row r="23288" spans="1:5" x14ac:dyDescent="0.25">
      <c r="A23288" t="s">
        <v>5</v>
      </c>
      <c r="B23288" t="s">
        <v>6073</v>
      </c>
      <c r="C23288" s="1" t="s">
        <v>23490</v>
      </c>
      <c r="D23288" s="1" t="str">
        <f>HYPERLINK("https://rhld.insurance.arkansas.gov/NPILookup?Npi=1659938611","1659938611")</f>
        <v>1659938611</v>
      </c>
      <c r="E23288" t="s">
        <v>19092</v>
      </c>
    </row>
    <row r="23289" spans="1:5" x14ac:dyDescent="0.25">
      <c r="A23289" t="s">
        <v>5</v>
      </c>
      <c r="B23289" t="s">
        <v>6073</v>
      </c>
      <c r="C23289" s="1" t="s">
        <v>23490</v>
      </c>
      <c r="D23289" s="1" t="str">
        <f>HYPERLINK("https://rhld.insurance.arkansas.gov/NPILookup?Npi=1669516266","1669516266")</f>
        <v>1669516266</v>
      </c>
      <c r="E23289" t="s">
        <v>133</v>
      </c>
    </row>
    <row r="23290" spans="1:5" x14ac:dyDescent="0.25">
      <c r="A23290" t="s">
        <v>5</v>
      </c>
      <c r="B23290" t="s">
        <v>6073</v>
      </c>
      <c r="C23290" s="1" t="s">
        <v>23490</v>
      </c>
      <c r="D23290" s="1" t="str">
        <f>HYPERLINK("https://rhld.insurance.arkansas.gov/NPILookup?Npi=1669661187","1669661187")</f>
        <v>1669661187</v>
      </c>
      <c r="E23290" t="s">
        <v>5165</v>
      </c>
    </row>
    <row r="23291" spans="1:5" x14ac:dyDescent="0.25">
      <c r="A23291" t="s">
        <v>5</v>
      </c>
      <c r="B23291" t="s">
        <v>6073</v>
      </c>
      <c r="C23291" s="1" t="s">
        <v>23490</v>
      </c>
      <c r="D23291" s="1" t="str">
        <f>HYPERLINK("https://rhld.insurance.arkansas.gov/NPILookup?Npi=1669768263","1669768263")</f>
        <v>1669768263</v>
      </c>
      <c r="E23291" t="s">
        <v>21220</v>
      </c>
    </row>
    <row r="23292" spans="1:5" x14ac:dyDescent="0.25">
      <c r="A23292" t="s">
        <v>5</v>
      </c>
      <c r="B23292" t="s">
        <v>6073</v>
      </c>
      <c r="C23292" s="1" t="s">
        <v>23490</v>
      </c>
      <c r="D23292" s="1" t="str">
        <f>HYPERLINK("https://rhld.insurance.arkansas.gov/NPILookup?Npi=1669802823","1669802823")</f>
        <v>1669802823</v>
      </c>
      <c r="E23292" t="s">
        <v>11785</v>
      </c>
    </row>
    <row r="23293" spans="1:5" x14ac:dyDescent="0.25">
      <c r="A23293" t="s">
        <v>5</v>
      </c>
      <c r="B23293" t="s">
        <v>6073</v>
      </c>
      <c r="C23293" s="1" t="s">
        <v>23490</v>
      </c>
      <c r="D23293" s="1" t="str">
        <f>HYPERLINK("https://rhld.insurance.arkansas.gov/NPILookup?Npi=1669806071","1669806071")</f>
        <v>1669806071</v>
      </c>
      <c r="E23293" t="s">
        <v>20550</v>
      </c>
    </row>
    <row r="23294" spans="1:5" x14ac:dyDescent="0.25">
      <c r="A23294" t="s">
        <v>5</v>
      </c>
      <c r="B23294" t="s">
        <v>6073</v>
      </c>
      <c r="C23294" s="1" t="s">
        <v>23490</v>
      </c>
      <c r="D23294" s="1" t="str">
        <f>HYPERLINK("https://rhld.insurance.arkansas.gov/NPILookup?Npi=1679029201","1679029201")</f>
        <v>1679029201</v>
      </c>
      <c r="E23294" t="s">
        <v>14160</v>
      </c>
    </row>
    <row r="23295" spans="1:5" x14ac:dyDescent="0.25">
      <c r="A23295" t="s">
        <v>5</v>
      </c>
      <c r="B23295" t="s">
        <v>6073</v>
      </c>
      <c r="C23295" s="1" t="s">
        <v>23490</v>
      </c>
      <c r="D23295" s="1" t="str">
        <f>HYPERLINK("https://rhld.insurance.arkansas.gov/NPILookup?Npi=1679070734","1679070734")</f>
        <v>1679070734</v>
      </c>
      <c r="E23295" t="s">
        <v>20553</v>
      </c>
    </row>
    <row r="23296" spans="1:5" x14ac:dyDescent="0.25">
      <c r="A23296" t="s">
        <v>5</v>
      </c>
      <c r="B23296" t="s">
        <v>6073</v>
      </c>
      <c r="C23296" s="1" t="s">
        <v>23490</v>
      </c>
      <c r="D23296" s="1" t="str">
        <f>HYPERLINK("https://rhld.insurance.arkansas.gov/NPILookup?Npi=1679074082","1679074082")</f>
        <v>1679074082</v>
      </c>
      <c r="E23296" t="s">
        <v>14314</v>
      </c>
    </row>
    <row r="23297" spans="1:5" x14ac:dyDescent="0.25">
      <c r="A23297" t="s">
        <v>5</v>
      </c>
      <c r="B23297" t="s">
        <v>6073</v>
      </c>
      <c r="C23297" s="1" t="s">
        <v>23490</v>
      </c>
      <c r="D23297" s="1" t="str">
        <f>HYPERLINK("https://rhld.insurance.arkansas.gov/NPILookup?Npi=1679111975","1679111975")</f>
        <v>1679111975</v>
      </c>
      <c r="E23297" t="s">
        <v>19093</v>
      </c>
    </row>
    <row r="23298" spans="1:5" x14ac:dyDescent="0.25">
      <c r="A23298" t="s">
        <v>5</v>
      </c>
      <c r="B23298" t="s">
        <v>6073</v>
      </c>
      <c r="C23298" s="1" t="s">
        <v>8427</v>
      </c>
      <c r="D23298" s="1" t="str">
        <f>HYPERLINK("https://rhld.insurance.arkansas.gov/NPILookup?Npi=1679278147","1679278147")</f>
        <v>1679278147</v>
      </c>
      <c r="E23298" t="s">
        <v>23262</v>
      </c>
    </row>
    <row r="23299" spans="1:5" x14ac:dyDescent="0.25">
      <c r="A23299" t="s">
        <v>5</v>
      </c>
      <c r="B23299" t="s">
        <v>6073</v>
      </c>
      <c r="C23299" s="1" t="s">
        <v>23490</v>
      </c>
      <c r="D23299" s="1" t="str">
        <f>HYPERLINK("https://rhld.insurance.arkansas.gov/NPILookup?Npi=1679814594","1679814594")</f>
        <v>1679814594</v>
      </c>
      <c r="E23299" t="s">
        <v>19003</v>
      </c>
    </row>
    <row r="23300" spans="1:5" x14ac:dyDescent="0.25">
      <c r="A23300" t="s">
        <v>5</v>
      </c>
      <c r="B23300" t="s">
        <v>6073</v>
      </c>
      <c r="C23300" s="1" t="s">
        <v>23490</v>
      </c>
      <c r="D23300" s="1" t="str">
        <f>HYPERLINK("https://rhld.insurance.arkansas.gov/NPILookup?Npi=1679908842","1679908842")</f>
        <v>1679908842</v>
      </c>
      <c r="E23300" t="s">
        <v>11789</v>
      </c>
    </row>
    <row r="23301" spans="1:5" x14ac:dyDescent="0.25">
      <c r="A23301" t="s">
        <v>5</v>
      </c>
      <c r="B23301" t="s">
        <v>6073</v>
      </c>
      <c r="C23301" s="1" t="s">
        <v>23490</v>
      </c>
      <c r="D23301" s="1" t="str">
        <f>HYPERLINK("https://rhld.insurance.arkansas.gov/NPILookup?Npi=1679965982","1679965982")</f>
        <v>1679965982</v>
      </c>
      <c r="E23301" t="s">
        <v>11790</v>
      </c>
    </row>
    <row r="23302" spans="1:5" x14ac:dyDescent="0.25">
      <c r="A23302" t="s">
        <v>5</v>
      </c>
      <c r="B23302" t="s">
        <v>6073</v>
      </c>
      <c r="C23302" s="1" t="s">
        <v>23490</v>
      </c>
      <c r="D23302" s="1" t="str">
        <f>HYPERLINK("https://rhld.insurance.arkansas.gov/NPILookup?Npi=1689003147","1689003147")</f>
        <v>1689003147</v>
      </c>
      <c r="E23302" t="s">
        <v>20555</v>
      </c>
    </row>
    <row r="23303" spans="1:5" x14ac:dyDescent="0.25">
      <c r="A23303" t="s">
        <v>5</v>
      </c>
      <c r="B23303" t="s">
        <v>6073</v>
      </c>
      <c r="C23303" s="1" t="s">
        <v>23490</v>
      </c>
      <c r="D23303" s="1" t="str">
        <f>HYPERLINK("https://rhld.insurance.arkansas.gov/NPILookup?Npi=1689096299","1689096299")</f>
        <v>1689096299</v>
      </c>
      <c r="E23303" t="s">
        <v>11791</v>
      </c>
    </row>
    <row r="23304" spans="1:5" x14ac:dyDescent="0.25">
      <c r="A23304" t="s">
        <v>5</v>
      </c>
      <c r="B23304" t="s">
        <v>6073</v>
      </c>
      <c r="C23304" s="1" t="s">
        <v>23490</v>
      </c>
      <c r="D23304" s="1" t="str">
        <f>HYPERLINK("https://rhld.insurance.arkansas.gov/NPILookup?Npi=1689134330","1689134330")</f>
        <v>1689134330</v>
      </c>
      <c r="E23304" t="s">
        <v>18404</v>
      </c>
    </row>
    <row r="23305" spans="1:5" x14ac:dyDescent="0.25">
      <c r="A23305" t="s">
        <v>5</v>
      </c>
      <c r="B23305" t="s">
        <v>6073</v>
      </c>
      <c r="C23305" s="1" t="s">
        <v>8427</v>
      </c>
      <c r="D23305" s="1" t="str">
        <f>HYPERLINK("https://rhld.insurance.arkansas.gov/NPILookup?Npi=1689222598","1689222598")</f>
        <v>1689222598</v>
      </c>
      <c r="E23305" t="s">
        <v>22216</v>
      </c>
    </row>
    <row r="23306" spans="1:5" x14ac:dyDescent="0.25">
      <c r="A23306" t="s">
        <v>5</v>
      </c>
      <c r="B23306" t="s">
        <v>6073</v>
      </c>
      <c r="C23306" s="1" t="s">
        <v>23490</v>
      </c>
      <c r="D23306" s="1" t="str">
        <f>HYPERLINK("https://rhld.insurance.arkansas.gov/NPILookup?Npi=1689327868","1689327868")</f>
        <v>1689327868</v>
      </c>
      <c r="E23306" t="s">
        <v>20677</v>
      </c>
    </row>
    <row r="23307" spans="1:5" x14ac:dyDescent="0.25">
      <c r="A23307" t="s">
        <v>5</v>
      </c>
      <c r="B23307" t="s">
        <v>6073</v>
      </c>
      <c r="C23307" s="1" t="s">
        <v>23490</v>
      </c>
      <c r="D23307" s="1" t="str">
        <f>HYPERLINK("https://rhld.insurance.arkansas.gov/NPILookup?Npi=1689660441","1689660441")</f>
        <v>1689660441</v>
      </c>
      <c r="E23307" t="s">
        <v>5438</v>
      </c>
    </row>
    <row r="23308" spans="1:5" x14ac:dyDescent="0.25">
      <c r="A23308" t="s">
        <v>5</v>
      </c>
      <c r="B23308" t="s">
        <v>6073</v>
      </c>
      <c r="C23308" s="1" t="s">
        <v>23490</v>
      </c>
      <c r="D23308" s="1" t="str">
        <f>HYPERLINK("https://rhld.insurance.arkansas.gov/NPILookup?Npi=1689835225","1689835225")</f>
        <v>1689835225</v>
      </c>
      <c r="E23308" t="s">
        <v>20678</v>
      </c>
    </row>
    <row r="23309" spans="1:5" x14ac:dyDescent="0.25">
      <c r="A23309" t="s">
        <v>5</v>
      </c>
      <c r="B23309" t="s">
        <v>6073</v>
      </c>
      <c r="C23309" s="1" t="s">
        <v>23490</v>
      </c>
      <c r="D23309" s="1" t="str">
        <f>HYPERLINK("https://rhld.insurance.arkansas.gov/NPILookup?Npi=1699057851","1699057851")</f>
        <v>1699057851</v>
      </c>
      <c r="E23309" t="s">
        <v>14167</v>
      </c>
    </row>
    <row r="23310" spans="1:5" x14ac:dyDescent="0.25">
      <c r="A23310" t="s">
        <v>5</v>
      </c>
      <c r="B23310" t="s">
        <v>6073</v>
      </c>
      <c r="C23310" s="1" t="s">
        <v>23490</v>
      </c>
      <c r="D23310" s="1" t="str">
        <f>HYPERLINK("https://rhld.insurance.arkansas.gov/NPILookup?Npi=1699151928","1699151928")</f>
        <v>1699151928</v>
      </c>
      <c r="E23310" t="s">
        <v>21221</v>
      </c>
    </row>
    <row r="23311" spans="1:5" x14ac:dyDescent="0.25">
      <c r="A23311" t="s">
        <v>5</v>
      </c>
      <c r="B23311" t="s">
        <v>6073</v>
      </c>
      <c r="C23311" s="1" t="s">
        <v>23490</v>
      </c>
      <c r="D23311" s="1" t="str">
        <f>HYPERLINK("https://rhld.insurance.arkansas.gov/NPILookup?Npi=1699196691","1699196691")</f>
        <v>1699196691</v>
      </c>
      <c r="E23311" t="s">
        <v>18405</v>
      </c>
    </row>
    <row r="23312" spans="1:5" x14ac:dyDescent="0.25">
      <c r="A23312" t="s">
        <v>5</v>
      </c>
      <c r="B23312" t="s">
        <v>6073</v>
      </c>
      <c r="C23312" s="1" t="s">
        <v>23490</v>
      </c>
      <c r="D23312" s="1" t="str">
        <f>HYPERLINK("https://rhld.insurance.arkansas.gov/NPILookup?Npi=1699231472","1699231472")</f>
        <v>1699231472</v>
      </c>
      <c r="E23312" t="s">
        <v>20679</v>
      </c>
    </row>
    <row r="23313" spans="1:5" x14ac:dyDescent="0.25">
      <c r="A23313" t="s">
        <v>5</v>
      </c>
      <c r="B23313" t="s">
        <v>6073</v>
      </c>
      <c r="C23313" s="1" t="s">
        <v>23490</v>
      </c>
      <c r="D23313" s="1" t="str">
        <f>HYPERLINK("https://rhld.insurance.arkansas.gov/NPILookup?Npi=1699807388","1699807388")</f>
        <v>1699807388</v>
      </c>
      <c r="E23313" t="s">
        <v>6076</v>
      </c>
    </row>
    <row r="23314" spans="1:5" x14ac:dyDescent="0.25">
      <c r="A23314" t="s">
        <v>5</v>
      </c>
      <c r="B23314" t="s">
        <v>6073</v>
      </c>
      <c r="C23314" s="1" t="s">
        <v>23490</v>
      </c>
      <c r="D23314" s="1" t="str">
        <f>HYPERLINK("https://rhld.insurance.arkansas.gov/NPILookup?Npi=1699818468","1699818468")</f>
        <v>1699818468</v>
      </c>
      <c r="E23314" t="s">
        <v>11793</v>
      </c>
    </row>
    <row r="23315" spans="1:5" x14ac:dyDescent="0.25">
      <c r="A23315" t="s">
        <v>5</v>
      </c>
      <c r="B23315" t="s">
        <v>6073</v>
      </c>
      <c r="C23315" s="1" t="s">
        <v>23490</v>
      </c>
      <c r="D23315" s="1" t="str">
        <f>HYPERLINK("https://rhld.insurance.arkansas.gov/NPILookup?Npi=1699840140","1699840140")</f>
        <v>1699840140</v>
      </c>
      <c r="E23315" t="s">
        <v>5468</v>
      </c>
    </row>
    <row r="23316" spans="1:5" x14ac:dyDescent="0.25">
      <c r="A23316" t="s">
        <v>5</v>
      </c>
      <c r="B23316" t="s">
        <v>6073</v>
      </c>
      <c r="C23316" s="1" t="s">
        <v>23490</v>
      </c>
      <c r="D23316" s="1" t="str">
        <f>HYPERLINK("https://rhld.insurance.arkansas.gov/NPILookup?Npi=1699966697","1699966697")</f>
        <v>1699966697</v>
      </c>
      <c r="E23316" t="s">
        <v>11795</v>
      </c>
    </row>
    <row r="23317" spans="1:5" x14ac:dyDescent="0.25">
      <c r="A23317" t="s">
        <v>5</v>
      </c>
      <c r="B23317" t="s">
        <v>6073</v>
      </c>
      <c r="C23317" s="1" t="s">
        <v>23490</v>
      </c>
      <c r="D23317" s="1" t="str">
        <f>HYPERLINK("https://rhld.insurance.arkansas.gov/NPILookup?Npi=1700032810","1700032810")</f>
        <v>1700032810</v>
      </c>
      <c r="E23317" t="s">
        <v>11796</v>
      </c>
    </row>
    <row r="23318" spans="1:5" x14ac:dyDescent="0.25">
      <c r="A23318" t="s">
        <v>5</v>
      </c>
      <c r="B23318" t="s">
        <v>6073</v>
      </c>
      <c r="C23318" s="1" t="s">
        <v>23490</v>
      </c>
      <c r="D23318" s="1" t="str">
        <f>HYPERLINK("https://rhld.insurance.arkansas.gov/NPILookup?Npi=1700093812","1700093812")</f>
        <v>1700093812</v>
      </c>
      <c r="E23318" t="s">
        <v>14171</v>
      </c>
    </row>
    <row r="23319" spans="1:5" x14ac:dyDescent="0.25">
      <c r="A23319" t="s">
        <v>5</v>
      </c>
      <c r="B23319" t="s">
        <v>6073</v>
      </c>
      <c r="C23319" s="1" t="s">
        <v>23490</v>
      </c>
      <c r="D23319" s="1" t="str">
        <f>HYPERLINK("https://rhld.insurance.arkansas.gov/NPILookup?Npi=1700147709","1700147709")</f>
        <v>1700147709</v>
      </c>
      <c r="E23319" t="s">
        <v>11797</v>
      </c>
    </row>
    <row r="23320" spans="1:5" x14ac:dyDescent="0.25">
      <c r="A23320" t="s">
        <v>5</v>
      </c>
      <c r="B23320" t="s">
        <v>6073</v>
      </c>
      <c r="C23320" s="1" t="s">
        <v>23490</v>
      </c>
      <c r="D23320" s="1" t="str">
        <f>HYPERLINK("https://rhld.insurance.arkansas.gov/NPILookup?Npi=1700202991","1700202991")</f>
        <v>1700202991</v>
      </c>
      <c r="E23320" t="s">
        <v>14172</v>
      </c>
    </row>
    <row r="23321" spans="1:5" x14ac:dyDescent="0.25">
      <c r="A23321" t="s">
        <v>5</v>
      </c>
      <c r="B23321" t="s">
        <v>6073</v>
      </c>
      <c r="C23321" s="1" t="s">
        <v>23490</v>
      </c>
      <c r="D23321" s="1" t="str">
        <f>HYPERLINK("https://rhld.insurance.arkansas.gov/NPILookup?Npi=1700233558","1700233558")</f>
        <v>1700233558</v>
      </c>
      <c r="E23321" t="s">
        <v>19094</v>
      </c>
    </row>
    <row r="23322" spans="1:5" x14ac:dyDescent="0.25">
      <c r="A23322" t="s">
        <v>5</v>
      </c>
      <c r="B23322" t="s">
        <v>6073</v>
      </c>
      <c r="C23322" s="1" t="s">
        <v>8427</v>
      </c>
      <c r="D23322" s="1" t="str">
        <f>HYPERLINK("https://rhld.insurance.arkansas.gov/NPILookup?Npi=1700305729","1700305729")</f>
        <v>1700305729</v>
      </c>
      <c r="E23322" t="s">
        <v>23263</v>
      </c>
    </row>
    <row r="23323" spans="1:5" x14ac:dyDescent="0.25">
      <c r="A23323" t="s">
        <v>5</v>
      </c>
      <c r="B23323" t="s">
        <v>6073</v>
      </c>
      <c r="C23323" s="1" t="s">
        <v>23490</v>
      </c>
      <c r="D23323" s="1" t="str">
        <f>HYPERLINK("https://rhld.insurance.arkansas.gov/NPILookup?Npi=1700372562","1700372562")</f>
        <v>1700372562</v>
      </c>
      <c r="E23323" t="s">
        <v>18501</v>
      </c>
    </row>
    <row r="23324" spans="1:5" x14ac:dyDescent="0.25">
      <c r="A23324" t="s">
        <v>5</v>
      </c>
      <c r="B23324" t="s">
        <v>6073</v>
      </c>
      <c r="C23324" s="1" t="s">
        <v>23490</v>
      </c>
      <c r="D23324" s="1" t="str">
        <f>HYPERLINK("https://rhld.insurance.arkansas.gov/NPILookup?Npi=1700412012","1700412012")</f>
        <v>1700412012</v>
      </c>
      <c r="E23324" t="s">
        <v>22223</v>
      </c>
    </row>
    <row r="23325" spans="1:5" x14ac:dyDescent="0.25">
      <c r="A23325" t="s">
        <v>5</v>
      </c>
      <c r="B23325" t="s">
        <v>6073</v>
      </c>
      <c r="C23325" s="1" t="s">
        <v>23490</v>
      </c>
      <c r="D23325" s="1" t="str">
        <f>HYPERLINK("https://rhld.insurance.arkansas.gov/NPILookup?Npi=1700482635","1700482635")</f>
        <v>1700482635</v>
      </c>
      <c r="E23325" t="s">
        <v>19095</v>
      </c>
    </row>
    <row r="23326" spans="1:5" x14ac:dyDescent="0.25">
      <c r="A23326" t="s">
        <v>5</v>
      </c>
      <c r="B23326" t="s">
        <v>6073</v>
      </c>
      <c r="C23326" s="1" t="s">
        <v>8427</v>
      </c>
      <c r="D23326" s="1" t="str">
        <f>HYPERLINK("https://rhld.insurance.arkansas.gov/NPILookup?Npi=1700565959","1700565959")</f>
        <v>1700565959</v>
      </c>
      <c r="E23326" t="s">
        <v>23264</v>
      </c>
    </row>
    <row r="23327" spans="1:5" x14ac:dyDescent="0.25">
      <c r="A23327" t="s">
        <v>5</v>
      </c>
      <c r="B23327" t="s">
        <v>6073</v>
      </c>
      <c r="C23327" s="1" t="s">
        <v>23490</v>
      </c>
      <c r="D23327" s="1" t="str">
        <f>HYPERLINK("https://rhld.insurance.arkansas.gov/NPILookup?Npi=1710020334","1710020334")</f>
        <v>1710020334</v>
      </c>
      <c r="E23327" t="s">
        <v>18410</v>
      </c>
    </row>
    <row r="23328" spans="1:5" x14ac:dyDescent="0.25">
      <c r="A23328" t="s">
        <v>5</v>
      </c>
      <c r="B23328" t="s">
        <v>6073</v>
      </c>
      <c r="C23328" s="1" t="s">
        <v>23490</v>
      </c>
      <c r="D23328" s="1" t="str">
        <f>HYPERLINK("https://rhld.insurance.arkansas.gov/NPILookup?Npi=1710141254","1710141254")</f>
        <v>1710141254</v>
      </c>
      <c r="E23328" t="s">
        <v>5498</v>
      </c>
    </row>
    <row r="23329" spans="1:5" x14ac:dyDescent="0.25">
      <c r="A23329" t="s">
        <v>5</v>
      </c>
      <c r="B23329" t="s">
        <v>6073</v>
      </c>
      <c r="C23329" s="1" t="s">
        <v>23490</v>
      </c>
      <c r="D23329" s="1" t="str">
        <f>HYPERLINK("https://rhld.insurance.arkansas.gov/NPILookup?Npi=1710369582","1710369582")</f>
        <v>1710369582</v>
      </c>
      <c r="E23329" t="s">
        <v>20680</v>
      </c>
    </row>
    <row r="23330" spans="1:5" x14ac:dyDescent="0.25">
      <c r="A23330" t="s">
        <v>5</v>
      </c>
      <c r="B23330" t="s">
        <v>6073</v>
      </c>
      <c r="C23330" s="1" t="s">
        <v>23490</v>
      </c>
      <c r="D23330" s="1" t="str">
        <f>HYPERLINK("https://rhld.insurance.arkansas.gov/NPILookup?Npi=1710424601","1710424601")</f>
        <v>1710424601</v>
      </c>
      <c r="E23330" t="s">
        <v>14179</v>
      </c>
    </row>
    <row r="23331" spans="1:5" x14ac:dyDescent="0.25">
      <c r="A23331" t="s">
        <v>5</v>
      </c>
      <c r="B23331" t="s">
        <v>6073</v>
      </c>
      <c r="C23331" s="1" t="s">
        <v>23490</v>
      </c>
      <c r="D23331" s="1" t="str">
        <f>HYPERLINK("https://rhld.insurance.arkansas.gov/NPILookup?Npi=1710524350","1710524350")</f>
        <v>1710524350</v>
      </c>
      <c r="E23331" t="s">
        <v>20565</v>
      </c>
    </row>
    <row r="23332" spans="1:5" x14ac:dyDescent="0.25">
      <c r="A23332" t="s">
        <v>5</v>
      </c>
      <c r="B23332" t="s">
        <v>6073</v>
      </c>
      <c r="C23332" s="1" t="s">
        <v>23490</v>
      </c>
      <c r="D23332" s="1" t="str">
        <f>HYPERLINK("https://rhld.insurance.arkansas.gov/NPILookup?Npi=1710527577","1710527577")</f>
        <v>1710527577</v>
      </c>
      <c r="E23332" t="s">
        <v>18502</v>
      </c>
    </row>
    <row r="23333" spans="1:5" x14ac:dyDescent="0.25">
      <c r="A23333" t="s">
        <v>5</v>
      </c>
      <c r="B23333" t="s">
        <v>6073</v>
      </c>
      <c r="C23333" s="1" t="s">
        <v>8427</v>
      </c>
      <c r="D23333" s="1" t="str">
        <f>HYPERLINK("https://rhld.insurance.arkansas.gov/NPILookup?Npi=1710663059","1710663059")</f>
        <v>1710663059</v>
      </c>
      <c r="E23333" t="s">
        <v>23265</v>
      </c>
    </row>
    <row r="23334" spans="1:5" x14ac:dyDescent="0.25">
      <c r="A23334" t="s">
        <v>5</v>
      </c>
      <c r="B23334" t="s">
        <v>6073</v>
      </c>
      <c r="C23334" s="1" t="s">
        <v>23490</v>
      </c>
      <c r="D23334" s="1" t="str">
        <f>HYPERLINK("https://rhld.insurance.arkansas.gov/NPILookup?Npi=1720173123","1720173123")</f>
        <v>1720173123</v>
      </c>
      <c r="E23334" t="s">
        <v>19096</v>
      </c>
    </row>
    <row r="23335" spans="1:5" x14ac:dyDescent="0.25">
      <c r="A23335" t="s">
        <v>5</v>
      </c>
      <c r="B23335" t="s">
        <v>6073</v>
      </c>
      <c r="C23335" s="1" t="s">
        <v>23490</v>
      </c>
      <c r="D23335" s="1" t="str">
        <f>HYPERLINK("https://rhld.insurance.arkansas.gov/NPILookup?Npi=1720479330","1720479330")</f>
        <v>1720479330</v>
      </c>
      <c r="E23335" t="s">
        <v>19097</v>
      </c>
    </row>
    <row r="23336" spans="1:5" x14ac:dyDescent="0.25">
      <c r="A23336" t="s">
        <v>5</v>
      </c>
      <c r="B23336" t="s">
        <v>6073</v>
      </c>
      <c r="C23336" s="1" t="s">
        <v>23490</v>
      </c>
      <c r="D23336" s="1" t="str">
        <f>HYPERLINK("https://rhld.insurance.arkansas.gov/NPILookup?Npi=1720525785","1720525785")</f>
        <v>1720525785</v>
      </c>
      <c r="E23336" t="s">
        <v>14185</v>
      </c>
    </row>
    <row r="23337" spans="1:5" x14ac:dyDescent="0.25">
      <c r="A23337" t="s">
        <v>5</v>
      </c>
      <c r="B23337" t="s">
        <v>6073</v>
      </c>
      <c r="C23337" s="1" t="s">
        <v>23490</v>
      </c>
      <c r="D23337" s="1" t="str">
        <f>HYPERLINK("https://rhld.insurance.arkansas.gov/NPILookup?Npi=1720527807","1720527807")</f>
        <v>1720527807</v>
      </c>
      <c r="E23337" t="s">
        <v>20681</v>
      </c>
    </row>
    <row r="23338" spans="1:5" x14ac:dyDescent="0.25">
      <c r="A23338" t="s">
        <v>5</v>
      </c>
      <c r="B23338" t="s">
        <v>6073</v>
      </c>
      <c r="C23338" s="1" t="s">
        <v>23490</v>
      </c>
      <c r="D23338" s="1" t="str">
        <f>HYPERLINK("https://rhld.insurance.arkansas.gov/NPILookup?Npi=1720536774","1720536774")</f>
        <v>1720536774</v>
      </c>
      <c r="E23338" t="s">
        <v>14186</v>
      </c>
    </row>
    <row r="23339" spans="1:5" x14ac:dyDescent="0.25">
      <c r="A23339" t="s">
        <v>5</v>
      </c>
      <c r="B23339" t="s">
        <v>6073</v>
      </c>
      <c r="C23339" s="1" t="s">
        <v>23490</v>
      </c>
      <c r="D23339" s="1" t="str">
        <f>HYPERLINK("https://rhld.insurance.arkansas.gov/NPILookup?Npi=1720564313","1720564313")</f>
        <v>1720564313</v>
      </c>
      <c r="E23339" t="s">
        <v>20567</v>
      </c>
    </row>
    <row r="23340" spans="1:5" x14ac:dyDescent="0.25">
      <c r="A23340" t="s">
        <v>5</v>
      </c>
      <c r="B23340" t="s">
        <v>6073</v>
      </c>
      <c r="C23340" s="1" t="s">
        <v>23490</v>
      </c>
      <c r="D23340" s="1" t="str">
        <f>HYPERLINK("https://rhld.insurance.arkansas.gov/NPILookup?Npi=1730168873","1730168873")</f>
        <v>1730168873</v>
      </c>
      <c r="E23340" t="s">
        <v>5544</v>
      </c>
    </row>
    <row r="23341" spans="1:5" x14ac:dyDescent="0.25">
      <c r="A23341" t="s">
        <v>5</v>
      </c>
      <c r="B23341" t="s">
        <v>6073</v>
      </c>
      <c r="C23341" s="1" t="s">
        <v>23490</v>
      </c>
      <c r="D23341" s="1" t="str">
        <f>HYPERLINK("https://rhld.insurance.arkansas.gov/NPILookup?Npi=1730279308","1730279308")</f>
        <v>1730279308</v>
      </c>
      <c r="E23341" t="s">
        <v>14188</v>
      </c>
    </row>
    <row r="23342" spans="1:5" x14ac:dyDescent="0.25">
      <c r="A23342" t="s">
        <v>5</v>
      </c>
      <c r="B23342" t="s">
        <v>6073</v>
      </c>
      <c r="C23342" s="1" t="s">
        <v>23490</v>
      </c>
      <c r="D23342" s="1" t="str">
        <f>HYPERLINK("https://rhld.insurance.arkansas.gov/NPILookup?Npi=1730325572","1730325572")</f>
        <v>1730325572</v>
      </c>
      <c r="E23342" t="s">
        <v>20570</v>
      </c>
    </row>
    <row r="23343" spans="1:5" x14ac:dyDescent="0.25">
      <c r="A23343" t="s">
        <v>5</v>
      </c>
      <c r="B23343" t="s">
        <v>6073</v>
      </c>
      <c r="C23343" s="1" t="s">
        <v>23490</v>
      </c>
      <c r="D23343" s="1" t="str">
        <f>HYPERLINK("https://rhld.insurance.arkansas.gov/NPILookup?Npi=1730512815","1730512815")</f>
        <v>1730512815</v>
      </c>
      <c r="E23343" t="s">
        <v>11808</v>
      </c>
    </row>
    <row r="23344" spans="1:5" x14ac:dyDescent="0.25">
      <c r="A23344" t="s">
        <v>5</v>
      </c>
      <c r="B23344" t="s">
        <v>6073</v>
      </c>
      <c r="C23344" s="1" t="s">
        <v>23490</v>
      </c>
      <c r="D23344" s="1" t="str">
        <f>HYPERLINK("https://rhld.insurance.arkansas.gov/NPILookup?Npi=1730551391","1730551391")</f>
        <v>1730551391</v>
      </c>
      <c r="E23344" t="s">
        <v>19098</v>
      </c>
    </row>
    <row r="23345" spans="1:5" x14ac:dyDescent="0.25">
      <c r="A23345" t="s">
        <v>5</v>
      </c>
      <c r="B23345" t="s">
        <v>6073</v>
      </c>
      <c r="C23345" s="1" t="s">
        <v>23490</v>
      </c>
      <c r="D23345" s="1" t="str">
        <f>HYPERLINK("https://rhld.insurance.arkansas.gov/NPILookup?Npi=1730608787","1730608787")</f>
        <v>1730608787</v>
      </c>
      <c r="E23345" t="s">
        <v>20573</v>
      </c>
    </row>
    <row r="23346" spans="1:5" x14ac:dyDescent="0.25">
      <c r="A23346" t="s">
        <v>5</v>
      </c>
      <c r="B23346" t="s">
        <v>6073</v>
      </c>
      <c r="C23346" s="1" t="s">
        <v>23490</v>
      </c>
      <c r="D23346" s="1" t="str">
        <f>HYPERLINK("https://rhld.insurance.arkansas.gov/NPILookup?Npi=1730625153","1730625153")</f>
        <v>1730625153</v>
      </c>
      <c r="E23346" t="s">
        <v>18503</v>
      </c>
    </row>
    <row r="23347" spans="1:5" x14ac:dyDescent="0.25">
      <c r="A23347" t="s">
        <v>5</v>
      </c>
      <c r="B23347" t="s">
        <v>6073</v>
      </c>
      <c r="C23347" s="1" t="s">
        <v>23490</v>
      </c>
      <c r="D23347" s="1" t="str">
        <f>HYPERLINK("https://rhld.insurance.arkansas.gov/NPILookup?Npi=1730628074","1730628074")</f>
        <v>1730628074</v>
      </c>
      <c r="E23347" t="s">
        <v>20682</v>
      </c>
    </row>
    <row r="23348" spans="1:5" x14ac:dyDescent="0.25">
      <c r="A23348" t="s">
        <v>5</v>
      </c>
      <c r="B23348" t="s">
        <v>6073</v>
      </c>
      <c r="C23348" s="1" t="s">
        <v>23490</v>
      </c>
      <c r="D23348" s="1" t="str">
        <f>HYPERLINK("https://rhld.insurance.arkansas.gov/NPILookup?Npi=1730633199","1730633199")</f>
        <v>1730633199</v>
      </c>
      <c r="E23348" t="s">
        <v>14190</v>
      </c>
    </row>
    <row r="23349" spans="1:5" x14ac:dyDescent="0.25">
      <c r="A23349" t="s">
        <v>5</v>
      </c>
      <c r="B23349" t="s">
        <v>6073</v>
      </c>
      <c r="C23349" s="1" t="s">
        <v>23490</v>
      </c>
      <c r="D23349" s="1" t="str">
        <f>HYPERLINK("https://rhld.insurance.arkansas.gov/NPILookup?Npi=1730655267","1730655267")</f>
        <v>1730655267</v>
      </c>
      <c r="E23349" t="s">
        <v>14191</v>
      </c>
    </row>
    <row r="23350" spans="1:5" x14ac:dyDescent="0.25">
      <c r="A23350" t="s">
        <v>5</v>
      </c>
      <c r="B23350" t="s">
        <v>6073</v>
      </c>
      <c r="C23350" s="1" t="s">
        <v>23490</v>
      </c>
      <c r="D23350" s="1" t="str">
        <f>HYPERLINK("https://rhld.insurance.arkansas.gov/NPILookup?Npi=1730668864","1730668864")</f>
        <v>1730668864</v>
      </c>
      <c r="E23350" t="s">
        <v>18415</v>
      </c>
    </row>
    <row r="23351" spans="1:5" x14ac:dyDescent="0.25">
      <c r="A23351" t="s">
        <v>5</v>
      </c>
      <c r="B23351" t="s">
        <v>6073</v>
      </c>
      <c r="C23351" s="1" t="s">
        <v>23490</v>
      </c>
      <c r="D23351" s="1" t="str">
        <f>HYPERLINK("https://rhld.insurance.arkansas.gov/NPILookup?Npi=1730687997","1730687997")</f>
        <v>1730687997</v>
      </c>
      <c r="E23351" t="s">
        <v>19012</v>
      </c>
    </row>
    <row r="23352" spans="1:5" x14ac:dyDescent="0.25">
      <c r="A23352" t="s">
        <v>5</v>
      </c>
      <c r="B23352" t="s">
        <v>6073</v>
      </c>
      <c r="C23352" s="1" t="s">
        <v>23490</v>
      </c>
      <c r="D23352" s="1" t="str">
        <f>HYPERLINK("https://rhld.insurance.arkansas.gov/NPILookup?Npi=1740526367","1740526367")</f>
        <v>1740526367</v>
      </c>
      <c r="E23352" t="s">
        <v>19250</v>
      </c>
    </row>
    <row r="23353" spans="1:5" x14ac:dyDescent="0.25">
      <c r="A23353" t="s">
        <v>5</v>
      </c>
      <c r="B23353" t="s">
        <v>6073</v>
      </c>
      <c r="C23353" s="1" t="s">
        <v>23490</v>
      </c>
      <c r="D23353" s="1" t="str">
        <f>HYPERLINK("https://rhld.insurance.arkansas.gov/NPILookup?Npi=1740578319","1740578319")</f>
        <v>1740578319</v>
      </c>
      <c r="E23353" t="s">
        <v>14196</v>
      </c>
    </row>
    <row r="23354" spans="1:5" x14ac:dyDescent="0.25">
      <c r="A23354" t="s">
        <v>5</v>
      </c>
      <c r="B23354" t="s">
        <v>6073</v>
      </c>
      <c r="C23354" s="1" t="s">
        <v>8427</v>
      </c>
      <c r="D23354" s="1" t="str">
        <f>HYPERLINK("https://rhld.insurance.arkansas.gov/NPILookup?Npi=1740665900","1740665900")</f>
        <v>1740665900</v>
      </c>
      <c r="E23354" t="s">
        <v>1222</v>
      </c>
    </row>
    <row r="23355" spans="1:5" x14ac:dyDescent="0.25">
      <c r="A23355" t="s">
        <v>5</v>
      </c>
      <c r="B23355" t="s">
        <v>6073</v>
      </c>
      <c r="C23355" s="1" t="s">
        <v>8427</v>
      </c>
      <c r="D23355" s="1" t="str">
        <f>HYPERLINK("https://rhld.insurance.arkansas.gov/NPILookup?Npi=1740826874","1740826874")</f>
        <v>1740826874</v>
      </c>
      <c r="E23355" t="s">
        <v>23266</v>
      </c>
    </row>
    <row r="23356" spans="1:5" x14ac:dyDescent="0.25">
      <c r="A23356" t="s">
        <v>5</v>
      </c>
      <c r="B23356" t="s">
        <v>6073</v>
      </c>
      <c r="C23356" s="1" t="s">
        <v>8427</v>
      </c>
      <c r="D23356" s="1" t="str">
        <f>HYPERLINK("https://rhld.insurance.arkansas.gov/NPILookup?Npi=1740868447","1740868447")</f>
        <v>1740868447</v>
      </c>
      <c r="E23356" t="s">
        <v>23181</v>
      </c>
    </row>
    <row r="23357" spans="1:5" x14ac:dyDescent="0.25">
      <c r="A23357" t="s">
        <v>5</v>
      </c>
      <c r="B23357" t="s">
        <v>6073</v>
      </c>
      <c r="C23357" s="1" t="s">
        <v>8427</v>
      </c>
      <c r="D23357" s="1" t="str">
        <f>HYPERLINK("https://rhld.insurance.arkansas.gov/NPILookup?Npi=1750044798","1750044798")</f>
        <v>1750044798</v>
      </c>
      <c r="E23357" t="s">
        <v>23182</v>
      </c>
    </row>
    <row r="23358" spans="1:5" x14ac:dyDescent="0.25">
      <c r="A23358" t="s">
        <v>5</v>
      </c>
      <c r="B23358" t="s">
        <v>6073</v>
      </c>
      <c r="C23358" s="1" t="s">
        <v>23490</v>
      </c>
      <c r="D23358" s="1" t="str">
        <f>HYPERLINK("https://rhld.insurance.arkansas.gov/NPILookup?Npi=1750514840","1750514840")</f>
        <v>1750514840</v>
      </c>
      <c r="E23358" t="s">
        <v>11813</v>
      </c>
    </row>
    <row r="23359" spans="1:5" x14ac:dyDescent="0.25">
      <c r="A23359" t="s">
        <v>5</v>
      </c>
      <c r="B23359" t="s">
        <v>6073</v>
      </c>
      <c r="C23359" s="1" t="s">
        <v>23490</v>
      </c>
      <c r="D23359" s="1" t="str">
        <f>HYPERLINK("https://rhld.insurance.arkansas.gov/NPILookup?Npi=1750557039","1750557039")</f>
        <v>1750557039</v>
      </c>
      <c r="E23359" t="s">
        <v>14200</v>
      </c>
    </row>
    <row r="23360" spans="1:5" x14ac:dyDescent="0.25">
      <c r="A23360" t="s">
        <v>5</v>
      </c>
      <c r="B23360" t="s">
        <v>6073</v>
      </c>
      <c r="C23360" s="1" t="s">
        <v>23490</v>
      </c>
      <c r="D23360" s="1" t="str">
        <f>HYPERLINK("https://rhld.insurance.arkansas.gov/NPILookup?Npi=1750590733","1750590733")</f>
        <v>1750590733</v>
      </c>
      <c r="E23360" t="s">
        <v>14315</v>
      </c>
    </row>
    <row r="23361" spans="1:5" x14ac:dyDescent="0.25">
      <c r="A23361" t="s">
        <v>5</v>
      </c>
      <c r="B23361" t="s">
        <v>6073</v>
      </c>
      <c r="C23361" s="1" t="s">
        <v>23490</v>
      </c>
      <c r="D23361" s="1" t="str">
        <f>HYPERLINK("https://rhld.insurance.arkansas.gov/NPILookup?Npi=1750665709","1750665709")</f>
        <v>1750665709</v>
      </c>
      <c r="E23361" t="s">
        <v>11814</v>
      </c>
    </row>
    <row r="23362" spans="1:5" x14ac:dyDescent="0.25">
      <c r="A23362" t="s">
        <v>5</v>
      </c>
      <c r="B23362" t="s">
        <v>6073</v>
      </c>
      <c r="C23362" s="1" t="s">
        <v>23490</v>
      </c>
      <c r="D23362" s="1" t="str">
        <f>HYPERLINK("https://rhld.insurance.arkansas.gov/NPILookup?Npi=1750714150","1750714150")</f>
        <v>1750714150</v>
      </c>
      <c r="E23362" t="s">
        <v>14202</v>
      </c>
    </row>
    <row r="23363" spans="1:5" x14ac:dyDescent="0.25">
      <c r="A23363" t="s">
        <v>5</v>
      </c>
      <c r="B23363" t="s">
        <v>6073</v>
      </c>
      <c r="C23363" s="1" t="s">
        <v>23490</v>
      </c>
      <c r="D23363" s="1" t="str">
        <f>HYPERLINK("https://rhld.insurance.arkansas.gov/NPILookup?Npi=1750790259","1750790259")</f>
        <v>1750790259</v>
      </c>
      <c r="E23363" t="s">
        <v>11816</v>
      </c>
    </row>
    <row r="23364" spans="1:5" x14ac:dyDescent="0.25">
      <c r="A23364" t="s">
        <v>5</v>
      </c>
      <c r="B23364" t="s">
        <v>6073</v>
      </c>
      <c r="C23364" s="1" t="s">
        <v>23490</v>
      </c>
      <c r="D23364" s="1" t="str">
        <f>HYPERLINK("https://rhld.insurance.arkansas.gov/NPILookup?Npi=1750828133","1750828133")</f>
        <v>1750828133</v>
      </c>
      <c r="E23364" t="s">
        <v>18421</v>
      </c>
    </row>
    <row r="23365" spans="1:5" x14ac:dyDescent="0.25">
      <c r="A23365" t="s">
        <v>5</v>
      </c>
      <c r="B23365" t="s">
        <v>6073</v>
      </c>
      <c r="C23365" s="1" t="s">
        <v>23490</v>
      </c>
      <c r="D23365" s="1" t="str">
        <f>HYPERLINK("https://rhld.insurance.arkansas.gov/NPILookup?Npi=1760028435","1760028435")</f>
        <v>1760028435</v>
      </c>
      <c r="E23365" t="s">
        <v>21222</v>
      </c>
    </row>
    <row r="23366" spans="1:5" x14ac:dyDescent="0.25">
      <c r="A23366" t="s">
        <v>5</v>
      </c>
      <c r="B23366" t="s">
        <v>6073</v>
      </c>
      <c r="C23366" s="1" t="s">
        <v>23490</v>
      </c>
      <c r="D23366" s="1" t="str">
        <f>HYPERLINK("https://rhld.insurance.arkansas.gov/NPILookup?Npi=1760039374","1760039374")</f>
        <v>1760039374</v>
      </c>
      <c r="E23366" t="s">
        <v>19099</v>
      </c>
    </row>
    <row r="23367" spans="1:5" x14ac:dyDescent="0.25">
      <c r="A23367" t="s">
        <v>5</v>
      </c>
      <c r="B23367" t="s">
        <v>6073</v>
      </c>
      <c r="C23367" s="1" t="s">
        <v>23490</v>
      </c>
      <c r="D23367" s="1" t="str">
        <f>HYPERLINK("https://rhld.insurance.arkansas.gov/NPILookup?Npi=1760076608","1760076608")</f>
        <v>1760076608</v>
      </c>
      <c r="E23367" t="s">
        <v>18504</v>
      </c>
    </row>
    <row r="23368" spans="1:5" x14ac:dyDescent="0.25">
      <c r="A23368" t="s">
        <v>5</v>
      </c>
      <c r="B23368" t="s">
        <v>6073</v>
      </c>
      <c r="C23368" s="1" t="s">
        <v>23490</v>
      </c>
      <c r="D23368" s="1" t="str">
        <f>HYPERLINK("https://rhld.insurance.arkansas.gov/NPILookup?Npi=1760585947","1760585947")</f>
        <v>1760585947</v>
      </c>
      <c r="E23368" t="s">
        <v>14206</v>
      </c>
    </row>
    <row r="23369" spans="1:5" x14ac:dyDescent="0.25">
      <c r="A23369" t="s">
        <v>5</v>
      </c>
      <c r="B23369" t="s">
        <v>6073</v>
      </c>
      <c r="C23369" s="1" t="s">
        <v>23490</v>
      </c>
      <c r="D23369" s="1" t="str">
        <f>HYPERLINK("https://rhld.insurance.arkansas.gov/NPILookup?Npi=1760600175","1760600175")</f>
        <v>1760600175</v>
      </c>
      <c r="E23369" t="s">
        <v>11818</v>
      </c>
    </row>
    <row r="23370" spans="1:5" x14ac:dyDescent="0.25">
      <c r="A23370" t="s">
        <v>5</v>
      </c>
      <c r="B23370" t="s">
        <v>6073</v>
      </c>
      <c r="C23370" s="1" t="s">
        <v>23490</v>
      </c>
      <c r="D23370" s="1" t="str">
        <f>HYPERLINK("https://rhld.insurance.arkansas.gov/NPILookup?Npi=1760809677","1760809677")</f>
        <v>1760809677</v>
      </c>
      <c r="E23370" t="s">
        <v>11820</v>
      </c>
    </row>
    <row r="23371" spans="1:5" x14ac:dyDescent="0.25">
      <c r="A23371" t="s">
        <v>5</v>
      </c>
      <c r="B23371" t="s">
        <v>6073</v>
      </c>
      <c r="C23371" s="1" t="s">
        <v>23490</v>
      </c>
      <c r="D23371" s="1" t="str">
        <f>HYPERLINK("https://rhld.insurance.arkansas.gov/NPILookup?Npi=1760824569","1760824569")</f>
        <v>1760824569</v>
      </c>
      <c r="E23371" t="s">
        <v>11821</v>
      </c>
    </row>
    <row r="23372" spans="1:5" x14ac:dyDescent="0.25">
      <c r="A23372" t="s">
        <v>5</v>
      </c>
      <c r="B23372" t="s">
        <v>6073</v>
      </c>
      <c r="C23372" s="1" t="s">
        <v>23490</v>
      </c>
      <c r="D23372" s="1" t="str">
        <f>HYPERLINK("https://rhld.insurance.arkansas.gov/NPILookup?Npi=1760848881","1760848881")</f>
        <v>1760848881</v>
      </c>
      <c r="E23372" t="s">
        <v>20578</v>
      </c>
    </row>
    <row r="23373" spans="1:5" x14ac:dyDescent="0.25">
      <c r="A23373" t="s">
        <v>5</v>
      </c>
      <c r="B23373" t="s">
        <v>6073</v>
      </c>
      <c r="C23373" s="1" t="s">
        <v>23490</v>
      </c>
      <c r="D23373" s="1" t="str">
        <f>HYPERLINK("https://rhld.insurance.arkansas.gov/NPILookup?Npi=1760887236","1760887236")</f>
        <v>1760887236</v>
      </c>
      <c r="E23373" t="s">
        <v>17641</v>
      </c>
    </row>
    <row r="23374" spans="1:5" x14ac:dyDescent="0.25">
      <c r="A23374" t="s">
        <v>5</v>
      </c>
      <c r="B23374" t="s">
        <v>6073</v>
      </c>
      <c r="C23374" s="1" t="s">
        <v>23490</v>
      </c>
      <c r="D23374" s="1" t="str">
        <f>HYPERLINK("https://rhld.insurance.arkansas.gov/NPILookup?Npi=1760895213","1760895213")</f>
        <v>1760895213</v>
      </c>
      <c r="E23374" t="s">
        <v>11822</v>
      </c>
    </row>
    <row r="23375" spans="1:5" x14ac:dyDescent="0.25">
      <c r="A23375" t="s">
        <v>5</v>
      </c>
      <c r="B23375" t="s">
        <v>6073</v>
      </c>
      <c r="C23375" s="1" t="s">
        <v>23490</v>
      </c>
      <c r="D23375" s="1" t="str">
        <f>HYPERLINK("https://rhld.insurance.arkansas.gov/NPILookup?Npi=1770134439","1770134439")</f>
        <v>1770134439</v>
      </c>
      <c r="E23375" t="s">
        <v>21223</v>
      </c>
    </row>
    <row r="23376" spans="1:5" x14ac:dyDescent="0.25">
      <c r="A23376" t="s">
        <v>5</v>
      </c>
      <c r="B23376" t="s">
        <v>6073</v>
      </c>
      <c r="C23376" s="1" t="s">
        <v>8427</v>
      </c>
      <c r="D23376" s="1" t="str">
        <f>HYPERLINK("https://rhld.insurance.arkansas.gov/NPILookup?Npi=1770264251","1770264251")</f>
        <v>1770264251</v>
      </c>
      <c r="E23376" t="s">
        <v>23267</v>
      </c>
    </row>
    <row r="23377" spans="1:5" x14ac:dyDescent="0.25">
      <c r="A23377" t="s">
        <v>5</v>
      </c>
      <c r="B23377" t="s">
        <v>6073</v>
      </c>
      <c r="C23377" s="1" t="s">
        <v>23490</v>
      </c>
      <c r="D23377" s="1" t="str">
        <f>HYPERLINK("https://rhld.insurance.arkansas.gov/NPILookup?Npi=1770830036","1770830036")</f>
        <v>1770830036</v>
      </c>
      <c r="E23377" t="s">
        <v>8364</v>
      </c>
    </row>
    <row r="23378" spans="1:5" x14ac:dyDescent="0.25">
      <c r="A23378" t="s">
        <v>5</v>
      </c>
      <c r="B23378" t="s">
        <v>6073</v>
      </c>
      <c r="C23378" s="1" t="s">
        <v>23490</v>
      </c>
      <c r="D23378" s="1" t="str">
        <f>HYPERLINK("https://rhld.insurance.arkansas.gov/NPILookup?Npi=1770845646","1770845646")</f>
        <v>1770845646</v>
      </c>
      <c r="E23378" t="s">
        <v>19100</v>
      </c>
    </row>
    <row r="23379" spans="1:5" x14ac:dyDescent="0.25">
      <c r="A23379" t="s">
        <v>5</v>
      </c>
      <c r="B23379" t="s">
        <v>6073</v>
      </c>
      <c r="C23379" s="1" t="s">
        <v>23490</v>
      </c>
      <c r="D23379" s="1" t="str">
        <f>HYPERLINK("https://rhld.insurance.arkansas.gov/NPILookup?Npi=1770848798","1770848798")</f>
        <v>1770848798</v>
      </c>
      <c r="E23379" t="s">
        <v>19018</v>
      </c>
    </row>
    <row r="23380" spans="1:5" x14ac:dyDescent="0.25">
      <c r="A23380" t="s">
        <v>5</v>
      </c>
      <c r="B23380" t="s">
        <v>6073</v>
      </c>
      <c r="C23380" s="1" t="s">
        <v>23490</v>
      </c>
      <c r="D23380" s="1" t="str">
        <f>HYPERLINK("https://rhld.insurance.arkansas.gov/NPILookup?Npi=1770873705","1770873705")</f>
        <v>1770873705</v>
      </c>
      <c r="E23380" t="s">
        <v>11824</v>
      </c>
    </row>
    <row r="23381" spans="1:5" x14ac:dyDescent="0.25">
      <c r="A23381" t="s">
        <v>5</v>
      </c>
      <c r="B23381" t="s">
        <v>6073</v>
      </c>
      <c r="C23381" s="1" t="s">
        <v>23490</v>
      </c>
      <c r="D23381" s="1" t="str">
        <f>HYPERLINK("https://rhld.insurance.arkansas.gov/NPILookup?Npi=1780018515","1780018515")</f>
        <v>1780018515</v>
      </c>
      <c r="E23381" t="s">
        <v>11826</v>
      </c>
    </row>
    <row r="23382" spans="1:5" x14ac:dyDescent="0.25">
      <c r="A23382" t="s">
        <v>5</v>
      </c>
      <c r="B23382" t="s">
        <v>6073</v>
      </c>
      <c r="C23382" s="1" t="s">
        <v>23490</v>
      </c>
      <c r="D23382" s="1" t="str">
        <f>HYPERLINK("https://rhld.insurance.arkansas.gov/NPILookup?Npi=1780040881","1780040881")</f>
        <v>1780040881</v>
      </c>
      <c r="E23382" t="s">
        <v>18505</v>
      </c>
    </row>
    <row r="23383" spans="1:5" x14ac:dyDescent="0.25">
      <c r="A23383" t="s">
        <v>5</v>
      </c>
      <c r="B23383" t="s">
        <v>6073</v>
      </c>
      <c r="C23383" s="1" t="s">
        <v>23490</v>
      </c>
      <c r="D23383" s="1" t="str">
        <f>HYPERLINK("https://rhld.insurance.arkansas.gov/NPILookup?Npi=1780142422","1780142422")</f>
        <v>1780142422</v>
      </c>
      <c r="E23383" t="s">
        <v>18506</v>
      </c>
    </row>
    <row r="23384" spans="1:5" x14ac:dyDescent="0.25">
      <c r="A23384" t="s">
        <v>5</v>
      </c>
      <c r="B23384" t="s">
        <v>6073</v>
      </c>
      <c r="C23384" s="1" t="s">
        <v>23490</v>
      </c>
      <c r="D23384" s="1" t="str">
        <f>HYPERLINK("https://rhld.insurance.arkansas.gov/NPILookup?Npi=1780690230","1780690230")</f>
        <v>1780690230</v>
      </c>
      <c r="E23384" t="s">
        <v>11827</v>
      </c>
    </row>
    <row r="23385" spans="1:5" x14ac:dyDescent="0.25">
      <c r="A23385" t="s">
        <v>5</v>
      </c>
      <c r="B23385" t="s">
        <v>6073</v>
      </c>
      <c r="C23385" s="1" t="s">
        <v>23490</v>
      </c>
      <c r="D23385" s="1" t="str">
        <f>HYPERLINK("https://rhld.insurance.arkansas.gov/NPILookup?Npi=1780963926","1780963926")</f>
        <v>1780963926</v>
      </c>
      <c r="E23385" t="s">
        <v>14211</v>
      </c>
    </row>
    <row r="23386" spans="1:5" x14ac:dyDescent="0.25">
      <c r="A23386" t="s">
        <v>5</v>
      </c>
      <c r="B23386" t="s">
        <v>6073</v>
      </c>
      <c r="C23386" s="1" t="s">
        <v>23490</v>
      </c>
      <c r="D23386" s="1" t="str">
        <f>HYPERLINK("https://rhld.insurance.arkansas.gov/NPILookup?Npi=1790045532","1790045532")</f>
        <v>1790045532</v>
      </c>
      <c r="E23386" t="s">
        <v>20583</v>
      </c>
    </row>
    <row r="23387" spans="1:5" x14ac:dyDescent="0.25">
      <c r="A23387" t="s">
        <v>5</v>
      </c>
      <c r="B23387" t="s">
        <v>6073</v>
      </c>
      <c r="C23387" s="1" t="s">
        <v>23490</v>
      </c>
      <c r="D23387" s="1" t="str">
        <f>HYPERLINK("https://rhld.insurance.arkansas.gov/NPILookup?Npi=1790106276","1790106276")</f>
        <v>1790106276</v>
      </c>
      <c r="E23387" t="s">
        <v>11831</v>
      </c>
    </row>
    <row r="23388" spans="1:5" x14ac:dyDescent="0.25">
      <c r="A23388" t="s">
        <v>5</v>
      </c>
      <c r="B23388" t="s">
        <v>6073</v>
      </c>
      <c r="C23388" s="1" t="s">
        <v>23490</v>
      </c>
      <c r="D23388" s="1" t="str">
        <f>HYPERLINK("https://rhld.insurance.arkansas.gov/NPILookup?Npi=1790123453","1790123453")</f>
        <v>1790123453</v>
      </c>
      <c r="E23388" t="s">
        <v>11832</v>
      </c>
    </row>
    <row r="23389" spans="1:5" x14ac:dyDescent="0.25">
      <c r="A23389" t="s">
        <v>5</v>
      </c>
      <c r="B23389" t="s">
        <v>6073</v>
      </c>
      <c r="C23389" s="1" t="s">
        <v>23490</v>
      </c>
      <c r="D23389" s="1" t="str">
        <f>HYPERLINK("https://rhld.insurance.arkansas.gov/NPILookup?Npi=1790458198","1790458198")</f>
        <v>1790458198</v>
      </c>
      <c r="E23389" t="s">
        <v>19023</v>
      </c>
    </row>
    <row r="23390" spans="1:5" x14ac:dyDescent="0.25">
      <c r="A23390" t="s">
        <v>5</v>
      </c>
      <c r="B23390" t="s">
        <v>6073</v>
      </c>
      <c r="C23390" s="1" t="s">
        <v>23490</v>
      </c>
      <c r="D23390" s="1" t="str">
        <f>HYPERLINK("https://rhld.insurance.arkansas.gov/NPILookup?Npi=1790908374","1790908374")</f>
        <v>1790908374</v>
      </c>
      <c r="E23390" t="s">
        <v>14216</v>
      </c>
    </row>
    <row r="23391" spans="1:5" x14ac:dyDescent="0.25">
      <c r="A23391" t="s">
        <v>5</v>
      </c>
      <c r="B23391" t="s">
        <v>6073</v>
      </c>
      <c r="C23391" s="1" t="s">
        <v>23490</v>
      </c>
      <c r="D23391" s="1" t="str">
        <f>HYPERLINK("https://rhld.insurance.arkansas.gov/NPILookup?Npi=1790936045","1790936045")</f>
        <v>1790936045</v>
      </c>
      <c r="E23391" t="s">
        <v>11838</v>
      </c>
    </row>
    <row r="23392" spans="1:5" x14ac:dyDescent="0.25">
      <c r="A23392" t="s">
        <v>5</v>
      </c>
      <c r="B23392" t="s">
        <v>6073</v>
      </c>
      <c r="C23392" s="1" t="s">
        <v>23490</v>
      </c>
      <c r="D23392" s="1" t="str">
        <f>HYPERLINK("https://rhld.insurance.arkansas.gov/NPILookup?Npi=1801135009","1801135009")</f>
        <v>1801135009</v>
      </c>
      <c r="E23392" t="s">
        <v>11839</v>
      </c>
    </row>
    <row r="23393" spans="1:5" x14ac:dyDescent="0.25">
      <c r="A23393" t="s">
        <v>5</v>
      </c>
      <c r="B23393" t="s">
        <v>6073</v>
      </c>
      <c r="C23393" s="1" t="s">
        <v>23490</v>
      </c>
      <c r="D23393" s="1" t="str">
        <f>HYPERLINK("https://rhld.insurance.arkansas.gov/NPILookup?Npi=1801136072","1801136072")</f>
        <v>1801136072</v>
      </c>
      <c r="E23393" t="s">
        <v>5697</v>
      </c>
    </row>
    <row r="23394" spans="1:5" x14ac:dyDescent="0.25">
      <c r="A23394" t="s">
        <v>5</v>
      </c>
      <c r="B23394" t="s">
        <v>6073</v>
      </c>
      <c r="C23394" s="1" t="s">
        <v>23490</v>
      </c>
      <c r="D23394" s="1" t="str">
        <f>HYPERLINK("https://rhld.insurance.arkansas.gov/NPILookup?Npi=1801223532","1801223532")</f>
        <v>1801223532</v>
      </c>
      <c r="E23394" t="s">
        <v>21224</v>
      </c>
    </row>
    <row r="23395" spans="1:5" x14ac:dyDescent="0.25">
      <c r="A23395" t="s">
        <v>5</v>
      </c>
      <c r="B23395" t="s">
        <v>6073</v>
      </c>
      <c r="C23395" s="1" t="s">
        <v>23490</v>
      </c>
      <c r="D23395" s="1" t="str">
        <f>HYPERLINK("https://rhld.insurance.arkansas.gov/NPILookup?Npi=1801306972","1801306972")</f>
        <v>1801306972</v>
      </c>
      <c r="E23395" t="s">
        <v>20588</v>
      </c>
    </row>
    <row r="23396" spans="1:5" x14ac:dyDescent="0.25">
      <c r="A23396" t="s">
        <v>5</v>
      </c>
      <c r="B23396" t="s">
        <v>6073</v>
      </c>
      <c r="C23396" s="1" t="s">
        <v>23490</v>
      </c>
      <c r="D23396" s="1" t="str">
        <f>HYPERLINK("https://rhld.insurance.arkansas.gov/NPILookup?Npi=1801330584","1801330584")</f>
        <v>1801330584</v>
      </c>
      <c r="E23396" t="s">
        <v>18433</v>
      </c>
    </row>
    <row r="23397" spans="1:5" x14ac:dyDescent="0.25">
      <c r="A23397" t="s">
        <v>5</v>
      </c>
      <c r="B23397" t="s">
        <v>6073</v>
      </c>
      <c r="C23397" s="1" t="s">
        <v>23490</v>
      </c>
      <c r="D23397" s="1" t="str">
        <f>HYPERLINK("https://rhld.insurance.arkansas.gov/NPILookup?Npi=1801345921","1801345921")</f>
        <v>1801345921</v>
      </c>
      <c r="E23397" t="s">
        <v>19101</v>
      </c>
    </row>
    <row r="23398" spans="1:5" x14ac:dyDescent="0.25">
      <c r="A23398" t="s">
        <v>5</v>
      </c>
      <c r="B23398" t="s">
        <v>6073</v>
      </c>
      <c r="C23398" s="1" t="s">
        <v>23490</v>
      </c>
      <c r="D23398" s="1" t="str">
        <f>HYPERLINK("https://rhld.insurance.arkansas.gov/NPILookup?Npi=1801372198","1801372198")</f>
        <v>1801372198</v>
      </c>
      <c r="E23398" t="s">
        <v>21225</v>
      </c>
    </row>
    <row r="23399" spans="1:5" x14ac:dyDescent="0.25">
      <c r="A23399" t="s">
        <v>5</v>
      </c>
      <c r="B23399" t="s">
        <v>6073</v>
      </c>
      <c r="C23399" s="1" t="s">
        <v>23490</v>
      </c>
      <c r="D23399" s="1" t="str">
        <f>HYPERLINK("https://rhld.insurance.arkansas.gov/NPILookup?Npi=1801413554","1801413554")</f>
        <v>1801413554</v>
      </c>
      <c r="E23399" t="s">
        <v>18435</v>
      </c>
    </row>
    <row r="23400" spans="1:5" x14ac:dyDescent="0.25">
      <c r="A23400" t="s">
        <v>5</v>
      </c>
      <c r="B23400" t="s">
        <v>6073</v>
      </c>
      <c r="C23400" s="1" t="s">
        <v>23490</v>
      </c>
      <c r="D23400" s="1" t="str">
        <f>HYPERLINK("https://rhld.insurance.arkansas.gov/NPILookup?Npi=1811134653","1811134653")</f>
        <v>1811134653</v>
      </c>
      <c r="E23400" t="s">
        <v>11845</v>
      </c>
    </row>
    <row r="23401" spans="1:5" x14ac:dyDescent="0.25">
      <c r="A23401" t="s">
        <v>5</v>
      </c>
      <c r="B23401" t="s">
        <v>6073</v>
      </c>
      <c r="C23401" s="1" t="s">
        <v>23490</v>
      </c>
      <c r="D23401" s="1" t="str">
        <f>HYPERLINK("https://rhld.insurance.arkansas.gov/NPILookup?Npi=1811163694","1811163694")</f>
        <v>1811163694</v>
      </c>
      <c r="E23401" t="s">
        <v>11846</v>
      </c>
    </row>
    <row r="23402" spans="1:5" x14ac:dyDescent="0.25">
      <c r="A23402" t="s">
        <v>5</v>
      </c>
      <c r="B23402" t="s">
        <v>6073</v>
      </c>
      <c r="C23402" s="1" t="s">
        <v>23490</v>
      </c>
      <c r="D23402" s="1" t="str">
        <f>HYPERLINK("https://rhld.insurance.arkansas.gov/NPILookup?Npi=1811164551","1811164551")</f>
        <v>1811164551</v>
      </c>
      <c r="E23402" t="s">
        <v>11847</v>
      </c>
    </row>
    <row r="23403" spans="1:5" x14ac:dyDescent="0.25">
      <c r="A23403" t="s">
        <v>5</v>
      </c>
      <c r="B23403" t="s">
        <v>6073</v>
      </c>
      <c r="C23403" s="1" t="s">
        <v>23490</v>
      </c>
      <c r="D23403" s="1" t="str">
        <f>HYPERLINK("https://rhld.insurance.arkansas.gov/NPILookup?Npi=1811258809","1811258809")</f>
        <v>1811258809</v>
      </c>
      <c r="E23403" t="s">
        <v>21226</v>
      </c>
    </row>
    <row r="23404" spans="1:5" x14ac:dyDescent="0.25">
      <c r="A23404" t="s">
        <v>5</v>
      </c>
      <c r="B23404" t="s">
        <v>6073</v>
      </c>
      <c r="C23404" s="1" t="s">
        <v>23490</v>
      </c>
      <c r="D23404" s="1" t="str">
        <f>HYPERLINK("https://rhld.insurance.arkansas.gov/NPILookup?Npi=1811268030","1811268030")</f>
        <v>1811268030</v>
      </c>
      <c r="E23404" t="s">
        <v>19025</v>
      </c>
    </row>
    <row r="23405" spans="1:5" x14ac:dyDescent="0.25">
      <c r="A23405" t="s">
        <v>5</v>
      </c>
      <c r="B23405" t="s">
        <v>6073</v>
      </c>
      <c r="C23405" s="1" t="s">
        <v>8427</v>
      </c>
      <c r="D23405" s="1" t="str">
        <f>HYPERLINK("https://rhld.insurance.arkansas.gov/NPILookup?Npi=1811327703","1811327703")</f>
        <v>1811327703</v>
      </c>
      <c r="E23405" t="s">
        <v>22295</v>
      </c>
    </row>
    <row r="23406" spans="1:5" x14ac:dyDescent="0.25">
      <c r="A23406" t="s">
        <v>5</v>
      </c>
      <c r="B23406" t="s">
        <v>6073</v>
      </c>
      <c r="C23406" s="1" t="s">
        <v>23490</v>
      </c>
      <c r="D23406" s="1" t="str">
        <f>HYPERLINK("https://rhld.insurance.arkansas.gov/NPILookup?Npi=1811502305","1811502305")</f>
        <v>1811502305</v>
      </c>
      <c r="E23406" t="s">
        <v>20593</v>
      </c>
    </row>
    <row r="23407" spans="1:5" x14ac:dyDescent="0.25">
      <c r="A23407" t="s">
        <v>5</v>
      </c>
      <c r="B23407" t="s">
        <v>6073</v>
      </c>
      <c r="C23407" s="1" t="s">
        <v>23490</v>
      </c>
      <c r="D23407" s="1" t="str">
        <f>HYPERLINK("https://rhld.insurance.arkansas.gov/NPILookup?Npi=1811559289","1811559289")</f>
        <v>1811559289</v>
      </c>
      <c r="E23407" t="s">
        <v>21227</v>
      </c>
    </row>
    <row r="23408" spans="1:5" x14ac:dyDescent="0.25">
      <c r="A23408" t="s">
        <v>5</v>
      </c>
      <c r="B23408" t="s">
        <v>6073</v>
      </c>
      <c r="C23408" s="1" t="s">
        <v>8427</v>
      </c>
      <c r="D23408" s="1" t="str">
        <f>HYPERLINK("https://rhld.insurance.arkansas.gov/NPILookup?Npi=1811571011","1811571011")</f>
        <v>1811571011</v>
      </c>
      <c r="E23408" t="s">
        <v>23268</v>
      </c>
    </row>
    <row r="23409" spans="1:5" x14ac:dyDescent="0.25">
      <c r="A23409" t="s">
        <v>5</v>
      </c>
      <c r="B23409" t="s">
        <v>6073</v>
      </c>
      <c r="C23409" s="1" t="s">
        <v>23490</v>
      </c>
      <c r="D23409" s="1" t="str">
        <f>HYPERLINK("https://rhld.insurance.arkansas.gov/NPILookup?Npi=1811599368","1811599368")</f>
        <v>1811599368</v>
      </c>
      <c r="E23409" t="s">
        <v>18437</v>
      </c>
    </row>
    <row r="23410" spans="1:5" x14ac:dyDescent="0.25">
      <c r="A23410" t="s">
        <v>5</v>
      </c>
      <c r="B23410" t="s">
        <v>6073</v>
      </c>
      <c r="C23410" s="1" t="s">
        <v>23490</v>
      </c>
      <c r="D23410" s="1" t="str">
        <f>HYPERLINK("https://rhld.insurance.arkansas.gov/NPILookup?Npi=1821053737","1821053737")</f>
        <v>1821053737</v>
      </c>
      <c r="E23410" t="s">
        <v>5741</v>
      </c>
    </row>
    <row r="23411" spans="1:5" x14ac:dyDescent="0.25">
      <c r="A23411" t="s">
        <v>5</v>
      </c>
      <c r="B23411" t="s">
        <v>6073</v>
      </c>
      <c r="C23411" s="1" t="s">
        <v>23490</v>
      </c>
      <c r="D23411" s="1" t="str">
        <f>HYPERLINK("https://rhld.insurance.arkansas.gov/NPILookup?Npi=1821332859","1821332859")</f>
        <v>1821332859</v>
      </c>
      <c r="E23411" t="s">
        <v>11850</v>
      </c>
    </row>
    <row r="23412" spans="1:5" x14ac:dyDescent="0.25">
      <c r="A23412" t="s">
        <v>5</v>
      </c>
      <c r="B23412" t="s">
        <v>6073</v>
      </c>
      <c r="C23412" s="1" t="s">
        <v>23490</v>
      </c>
      <c r="D23412" s="1" t="str">
        <f>HYPERLINK("https://rhld.insurance.arkansas.gov/NPILookup?Npi=1821370339","1821370339")</f>
        <v>1821370339</v>
      </c>
      <c r="E23412" t="s">
        <v>6077</v>
      </c>
    </row>
    <row r="23413" spans="1:5" x14ac:dyDescent="0.25">
      <c r="A23413" t="s">
        <v>5</v>
      </c>
      <c r="B23413" t="s">
        <v>6073</v>
      </c>
      <c r="C23413" s="1" t="s">
        <v>23490</v>
      </c>
      <c r="D23413" s="1" t="str">
        <f>HYPERLINK("https://rhld.insurance.arkansas.gov/NPILookup?Npi=1821460817","1821460817")</f>
        <v>1821460817</v>
      </c>
      <c r="E23413" t="s">
        <v>21228</v>
      </c>
    </row>
    <row r="23414" spans="1:5" x14ac:dyDescent="0.25">
      <c r="A23414" t="s">
        <v>5</v>
      </c>
      <c r="B23414" t="s">
        <v>6073</v>
      </c>
      <c r="C23414" s="1" t="s">
        <v>23490</v>
      </c>
      <c r="D23414" s="1" t="str">
        <f>HYPERLINK("https://rhld.insurance.arkansas.gov/NPILookup?Npi=1821477548","1821477548")</f>
        <v>1821477548</v>
      </c>
      <c r="E23414" t="s">
        <v>11852</v>
      </c>
    </row>
    <row r="23415" spans="1:5" x14ac:dyDescent="0.25">
      <c r="A23415" t="s">
        <v>5</v>
      </c>
      <c r="B23415" t="s">
        <v>6073</v>
      </c>
      <c r="C23415" s="1" t="s">
        <v>8427</v>
      </c>
      <c r="D23415" s="1" t="str">
        <f>HYPERLINK("https://rhld.insurance.arkansas.gov/NPILookup?Npi=1821641424","1821641424")</f>
        <v>1821641424</v>
      </c>
      <c r="E23415" t="s">
        <v>23269</v>
      </c>
    </row>
    <row r="23416" spans="1:5" x14ac:dyDescent="0.25">
      <c r="A23416" t="s">
        <v>5</v>
      </c>
      <c r="B23416" t="s">
        <v>6073</v>
      </c>
      <c r="C23416" s="1" t="s">
        <v>23490</v>
      </c>
      <c r="D23416" s="1" t="str">
        <f>HYPERLINK("https://rhld.insurance.arkansas.gov/NPILookup?Npi=1821653700","1821653700")</f>
        <v>1821653700</v>
      </c>
      <c r="E23416" t="s">
        <v>19102</v>
      </c>
    </row>
    <row r="23417" spans="1:5" x14ac:dyDescent="0.25">
      <c r="A23417" t="s">
        <v>5</v>
      </c>
      <c r="B23417" t="s">
        <v>6073</v>
      </c>
      <c r="C23417" s="1" t="s">
        <v>23490</v>
      </c>
      <c r="D23417" s="1" t="str">
        <f>HYPERLINK("https://rhld.insurance.arkansas.gov/NPILookup?Npi=1831302439","1831302439")</f>
        <v>1831302439</v>
      </c>
      <c r="E23417" t="s">
        <v>21229</v>
      </c>
    </row>
    <row r="23418" spans="1:5" x14ac:dyDescent="0.25">
      <c r="A23418" t="s">
        <v>5</v>
      </c>
      <c r="B23418" t="s">
        <v>6073</v>
      </c>
      <c r="C23418" s="1" t="s">
        <v>23490</v>
      </c>
      <c r="D23418" s="1" t="str">
        <f>HYPERLINK("https://rhld.insurance.arkansas.gov/NPILookup?Npi=1831398007","1831398007")</f>
        <v>1831398007</v>
      </c>
      <c r="E23418" t="s">
        <v>11855</v>
      </c>
    </row>
    <row r="23419" spans="1:5" x14ac:dyDescent="0.25">
      <c r="A23419" t="s">
        <v>5</v>
      </c>
      <c r="B23419" t="s">
        <v>6073</v>
      </c>
      <c r="C23419" s="1" t="s">
        <v>23490</v>
      </c>
      <c r="D23419" s="1" t="str">
        <f>HYPERLINK("https://rhld.insurance.arkansas.gov/NPILookup?Npi=1831524586","1831524586")</f>
        <v>1831524586</v>
      </c>
      <c r="E23419" t="s">
        <v>11857</v>
      </c>
    </row>
    <row r="23420" spans="1:5" x14ac:dyDescent="0.25">
      <c r="A23420" t="s">
        <v>5</v>
      </c>
      <c r="B23420" t="s">
        <v>6073</v>
      </c>
      <c r="C23420" s="1" t="s">
        <v>23490</v>
      </c>
      <c r="D23420" s="1" t="str">
        <f>HYPERLINK("https://rhld.insurance.arkansas.gov/NPILookup?Npi=1831577279","1831577279")</f>
        <v>1831577279</v>
      </c>
      <c r="E23420" t="s">
        <v>19103</v>
      </c>
    </row>
    <row r="23421" spans="1:5" x14ac:dyDescent="0.25">
      <c r="A23421" t="s">
        <v>5</v>
      </c>
      <c r="B23421" t="s">
        <v>6073</v>
      </c>
      <c r="C23421" s="1" t="s">
        <v>23490</v>
      </c>
      <c r="D23421" s="1" t="str">
        <f>HYPERLINK("https://rhld.insurance.arkansas.gov/NPILookup?Npi=1831588409","1831588409")</f>
        <v>1831588409</v>
      </c>
      <c r="E23421" t="s">
        <v>11859</v>
      </c>
    </row>
    <row r="23422" spans="1:5" x14ac:dyDescent="0.25">
      <c r="A23422" t="s">
        <v>5</v>
      </c>
      <c r="B23422" t="s">
        <v>6073</v>
      </c>
      <c r="C23422" s="1" t="s">
        <v>23490</v>
      </c>
      <c r="D23422" s="1" t="str">
        <f>HYPERLINK("https://rhld.insurance.arkansas.gov/NPILookup?Npi=1831647452","1831647452")</f>
        <v>1831647452</v>
      </c>
      <c r="E23422" t="s">
        <v>14232</v>
      </c>
    </row>
    <row r="23423" spans="1:5" x14ac:dyDescent="0.25">
      <c r="A23423" t="s">
        <v>5</v>
      </c>
      <c r="B23423" t="s">
        <v>6073</v>
      </c>
      <c r="C23423" s="1" t="s">
        <v>23490</v>
      </c>
      <c r="D23423" s="1" t="str">
        <f>HYPERLINK("https://rhld.insurance.arkansas.gov/NPILookup?Npi=1841321106","1841321106")</f>
        <v>1841321106</v>
      </c>
      <c r="E23423" t="s">
        <v>3800</v>
      </c>
    </row>
    <row r="23424" spans="1:5" x14ac:dyDescent="0.25">
      <c r="A23424" t="s">
        <v>5</v>
      </c>
      <c r="B23424" t="s">
        <v>6073</v>
      </c>
      <c r="C23424" s="1" t="s">
        <v>23490</v>
      </c>
      <c r="D23424" s="1" t="str">
        <f>HYPERLINK("https://rhld.insurance.arkansas.gov/NPILookup?Npi=1841406709","1841406709")</f>
        <v>1841406709</v>
      </c>
      <c r="E23424" t="s">
        <v>19251</v>
      </c>
    </row>
    <row r="23425" spans="1:5" x14ac:dyDescent="0.25">
      <c r="A23425" t="s">
        <v>5</v>
      </c>
      <c r="B23425" t="s">
        <v>6073</v>
      </c>
      <c r="C23425" s="1" t="s">
        <v>23490</v>
      </c>
      <c r="D23425" s="1" t="str">
        <f>HYPERLINK("https://rhld.insurance.arkansas.gov/NPILookup?Npi=1841451051","1841451051")</f>
        <v>1841451051</v>
      </c>
      <c r="E23425" t="s">
        <v>5793</v>
      </c>
    </row>
    <row r="23426" spans="1:5" x14ac:dyDescent="0.25">
      <c r="A23426" t="s">
        <v>5</v>
      </c>
      <c r="B23426" t="s">
        <v>6073</v>
      </c>
      <c r="C23426" s="1" t="s">
        <v>23490</v>
      </c>
      <c r="D23426" s="1" t="str">
        <f>HYPERLINK("https://rhld.insurance.arkansas.gov/NPILookup?Npi=1841456993","1841456993")</f>
        <v>1841456993</v>
      </c>
      <c r="E23426" t="s">
        <v>11861</v>
      </c>
    </row>
    <row r="23427" spans="1:5" x14ac:dyDescent="0.25">
      <c r="A23427" t="s">
        <v>5</v>
      </c>
      <c r="B23427" t="s">
        <v>6073</v>
      </c>
      <c r="C23427" s="1" t="s">
        <v>23490</v>
      </c>
      <c r="D23427" s="1" t="str">
        <f>HYPERLINK("https://rhld.insurance.arkansas.gov/NPILookup?Npi=1841469632","1841469632")</f>
        <v>1841469632</v>
      </c>
      <c r="E23427" t="s">
        <v>14235</v>
      </c>
    </row>
    <row r="23428" spans="1:5" x14ac:dyDescent="0.25">
      <c r="A23428" t="s">
        <v>5</v>
      </c>
      <c r="B23428" t="s">
        <v>6073</v>
      </c>
      <c r="C23428" s="1" t="s">
        <v>23490</v>
      </c>
      <c r="D23428" s="1" t="str">
        <f>HYPERLINK("https://rhld.insurance.arkansas.gov/NPILookup?Npi=1841473410","1841473410")</f>
        <v>1841473410</v>
      </c>
      <c r="E23428" t="s">
        <v>21230</v>
      </c>
    </row>
    <row r="23429" spans="1:5" x14ac:dyDescent="0.25">
      <c r="A23429" t="s">
        <v>5</v>
      </c>
      <c r="B23429" t="s">
        <v>6073</v>
      </c>
      <c r="C23429" s="1" t="s">
        <v>23490</v>
      </c>
      <c r="D23429" s="1" t="str">
        <f>HYPERLINK("https://rhld.insurance.arkansas.gov/NPILookup?Npi=1841542024","1841542024")</f>
        <v>1841542024</v>
      </c>
      <c r="E23429" t="s">
        <v>14236</v>
      </c>
    </row>
    <row r="23430" spans="1:5" x14ac:dyDescent="0.25">
      <c r="A23430" t="s">
        <v>5</v>
      </c>
      <c r="B23430" t="s">
        <v>6073</v>
      </c>
      <c r="C23430" s="1" t="s">
        <v>23490</v>
      </c>
      <c r="D23430" s="1" t="str">
        <f>HYPERLINK("https://rhld.insurance.arkansas.gov/NPILookup?Npi=1841552767","1841552767")</f>
        <v>1841552767</v>
      </c>
      <c r="E23430" t="s">
        <v>17654</v>
      </c>
    </row>
    <row r="23431" spans="1:5" x14ac:dyDescent="0.25">
      <c r="A23431" t="s">
        <v>5</v>
      </c>
      <c r="B23431" t="s">
        <v>6073</v>
      </c>
      <c r="C23431" s="1" t="s">
        <v>23490</v>
      </c>
      <c r="D23431" s="1" t="str">
        <f>HYPERLINK("https://rhld.insurance.arkansas.gov/NPILookup?Npi=1841610193","1841610193")</f>
        <v>1841610193</v>
      </c>
      <c r="E23431" t="s">
        <v>18441</v>
      </c>
    </row>
    <row r="23432" spans="1:5" x14ac:dyDescent="0.25">
      <c r="A23432" t="s">
        <v>5</v>
      </c>
      <c r="B23432" t="s">
        <v>6073</v>
      </c>
      <c r="C23432" s="1" t="s">
        <v>23490</v>
      </c>
      <c r="D23432" s="1" t="str">
        <f>HYPERLINK("https://rhld.insurance.arkansas.gov/NPILookup?Npi=1841682184","1841682184")</f>
        <v>1841682184</v>
      </c>
      <c r="E23432" t="s">
        <v>20612</v>
      </c>
    </row>
    <row r="23433" spans="1:5" x14ac:dyDescent="0.25">
      <c r="A23433" t="s">
        <v>5</v>
      </c>
      <c r="B23433" t="s">
        <v>6073</v>
      </c>
      <c r="C23433" s="1" t="s">
        <v>23490</v>
      </c>
      <c r="D23433" s="1" t="str">
        <f>HYPERLINK("https://rhld.insurance.arkansas.gov/NPILookup?Npi=1841776440","1841776440")</f>
        <v>1841776440</v>
      </c>
      <c r="E23433" t="s">
        <v>18507</v>
      </c>
    </row>
    <row r="23434" spans="1:5" x14ac:dyDescent="0.25">
      <c r="A23434" t="s">
        <v>5</v>
      </c>
      <c r="B23434" t="s">
        <v>6073</v>
      </c>
      <c r="C23434" s="1" t="s">
        <v>23490</v>
      </c>
      <c r="D23434" s="1" t="str">
        <f>HYPERLINK("https://rhld.insurance.arkansas.gov/NPILookup?Npi=1841800224","1841800224")</f>
        <v>1841800224</v>
      </c>
      <c r="E23434" t="s">
        <v>20683</v>
      </c>
    </row>
    <row r="23435" spans="1:5" x14ac:dyDescent="0.25">
      <c r="A23435" t="s">
        <v>5</v>
      </c>
      <c r="B23435" t="s">
        <v>6073</v>
      </c>
      <c r="C23435" s="1" t="s">
        <v>23490</v>
      </c>
      <c r="D23435" s="1" t="str">
        <f>HYPERLINK("https://rhld.insurance.arkansas.gov/NPILookup?Npi=1841845542","1841845542")</f>
        <v>1841845542</v>
      </c>
      <c r="E23435" t="s">
        <v>21231</v>
      </c>
    </row>
    <row r="23436" spans="1:5" x14ac:dyDescent="0.25">
      <c r="A23436" t="s">
        <v>5</v>
      </c>
      <c r="B23436" t="s">
        <v>6073</v>
      </c>
      <c r="C23436" s="1" t="s">
        <v>23490</v>
      </c>
      <c r="D23436" s="1" t="str">
        <f>HYPERLINK("https://rhld.insurance.arkansas.gov/NPILookup?Npi=1841853736","1841853736")</f>
        <v>1841853736</v>
      </c>
      <c r="E23436" t="s">
        <v>22322</v>
      </c>
    </row>
    <row r="23437" spans="1:5" x14ac:dyDescent="0.25">
      <c r="A23437" t="s">
        <v>5</v>
      </c>
      <c r="B23437" t="s">
        <v>6073</v>
      </c>
      <c r="C23437" s="1" t="s">
        <v>23490</v>
      </c>
      <c r="D23437" s="1" t="str">
        <f>HYPERLINK("https://rhld.insurance.arkansas.gov/NPILookup?Npi=1851333769","1851333769")</f>
        <v>1851333769</v>
      </c>
      <c r="E23437" t="s">
        <v>17686</v>
      </c>
    </row>
    <row r="23438" spans="1:5" x14ac:dyDescent="0.25">
      <c r="A23438" t="s">
        <v>5</v>
      </c>
      <c r="B23438" t="s">
        <v>6073</v>
      </c>
      <c r="C23438" s="1" t="s">
        <v>23490</v>
      </c>
      <c r="D23438" s="1" t="str">
        <f>HYPERLINK("https://rhld.insurance.arkansas.gov/NPILookup?Npi=1851599955","1851599955")</f>
        <v>1851599955</v>
      </c>
      <c r="E23438" t="s">
        <v>18508</v>
      </c>
    </row>
    <row r="23439" spans="1:5" x14ac:dyDescent="0.25">
      <c r="A23439" t="s">
        <v>5</v>
      </c>
      <c r="B23439" t="s">
        <v>6073</v>
      </c>
      <c r="C23439" s="1" t="s">
        <v>23490</v>
      </c>
      <c r="D23439" s="1" t="str">
        <f>HYPERLINK("https://rhld.insurance.arkansas.gov/NPILookup?Npi=1851641161","1851641161")</f>
        <v>1851641161</v>
      </c>
      <c r="E23439" t="s">
        <v>20614</v>
      </c>
    </row>
    <row r="23440" spans="1:5" x14ac:dyDescent="0.25">
      <c r="A23440" t="s">
        <v>5</v>
      </c>
      <c r="B23440" t="s">
        <v>6073</v>
      </c>
      <c r="C23440" s="1" t="s">
        <v>23490</v>
      </c>
      <c r="D23440" s="1" t="str">
        <f>HYPERLINK("https://rhld.insurance.arkansas.gov/NPILookup?Npi=1851675037","1851675037")</f>
        <v>1851675037</v>
      </c>
      <c r="E23440" t="s">
        <v>14238</v>
      </c>
    </row>
    <row r="23441" spans="1:5" x14ac:dyDescent="0.25">
      <c r="A23441" t="s">
        <v>5</v>
      </c>
      <c r="B23441" t="s">
        <v>6073</v>
      </c>
      <c r="C23441" s="1" t="s">
        <v>23490</v>
      </c>
      <c r="D23441" s="1" t="str">
        <f>HYPERLINK("https://rhld.insurance.arkansas.gov/NPILookup?Npi=1851700330","1851700330")</f>
        <v>1851700330</v>
      </c>
      <c r="E23441" t="s">
        <v>11871</v>
      </c>
    </row>
    <row r="23442" spans="1:5" x14ac:dyDescent="0.25">
      <c r="A23442" t="s">
        <v>5</v>
      </c>
      <c r="B23442" t="s">
        <v>6073</v>
      </c>
      <c r="C23442" s="1" t="s">
        <v>23490</v>
      </c>
      <c r="D23442" s="1" t="str">
        <f>HYPERLINK("https://rhld.insurance.arkansas.gov/NPILookup?Npi=1851723084","1851723084")</f>
        <v>1851723084</v>
      </c>
      <c r="E23442" t="s">
        <v>5822</v>
      </c>
    </row>
    <row r="23443" spans="1:5" x14ac:dyDescent="0.25">
      <c r="A23443" t="s">
        <v>5</v>
      </c>
      <c r="B23443" t="s">
        <v>6073</v>
      </c>
      <c r="C23443" s="1" t="s">
        <v>23490</v>
      </c>
      <c r="D23443" s="1" t="str">
        <f>HYPERLINK("https://rhld.insurance.arkansas.gov/NPILookup?Npi=1851728174","1851728174")</f>
        <v>1851728174</v>
      </c>
      <c r="E23443" t="s">
        <v>11872</v>
      </c>
    </row>
    <row r="23444" spans="1:5" x14ac:dyDescent="0.25">
      <c r="A23444" t="s">
        <v>5</v>
      </c>
      <c r="B23444" t="s">
        <v>6073</v>
      </c>
      <c r="C23444" s="1" t="s">
        <v>23490</v>
      </c>
      <c r="D23444" s="1" t="str">
        <f>HYPERLINK("https://rhld.insurance.arkansas.gov/NPILookup?Npi=1851742746","1851742746")</f>
        <v>1851742746</v>
      </c>
      <c r="E23444" t="s">
        <v>17658</v>
      </c>
    </row>
    <row r="23445" spans="1:5" x14ac:dyDescent="0.25">
      <c r="A23445" t="s">
        <v>5</v>
      </c>
      <c r="B23445" t="s">
        <v>6073</v>
      </c>
      <c r="C23445" s="1" t="s">
        <v>8427</v>
      </c>
      <c r="D23445" s="1" t="str">
        <f>HYPERLINK("https://rhld.insurance.arkansas.gov/NPILookup?Npi=1851856959","1851856959")</f>
        <v>1851856959</v>
      </c>
      <c r="E23445" t="s">
        <v>23270</v>
      </c>
    </row>
    <row r="23446" spans="1:5" x14ac:dyDescent="0.25">
      <c r="A23446" t="s">
        <v>5</v>
      </c>
      <c r="B23446" t="s">
        <v>6073</v>
      </c>
      <c r="C23446" s="1" t="s">
        <v>23490</v>
      </c>
      <c r="D23446" s="1" t="str">
        <f>HYPERLINK("https://rhld.insurance.arkansas.gov/NPILookup?Npi=1851877849","1851877849")</f>
        <v>1851877849</v>
      </c>
      <c r="E23446" t="s">
        <v>18509</v>
      </c>
    </row>
    <row r="23447" spans="1:5" x14ac:dyDescent="0.25">
      <c r="A23447" t="s">
        <v>5</v>
      </c>
      <c r="B23447" t="s">
        <v>6073</v>
      </c>
      <c r="C23447" s="1" t="s">
        <v>23490</v>
      </c>
      <c r="D23447" s="1" t="str">
        <f>HYPERLINK("https://rhld.insurance.arkansas.gov/NPILookup?Npi=1851890248","1851890248")</f>
        <v>1851890248</v>
      </c>
      <c r="E23447" t="s">
        <v>21232</v>
      </c>
    </row>
    <row r="23448" spans="1:5" x14ac:dyDescent="0.25">
      <c r="A23448" t="s">
        <v>5</v>
      </c>
      <c r="B23448" t="s">
        <v>6073</v>
      </c>
      <c r="C23448" s="1" t="s">
        <v>23490</v>
      </c>
      <c r="D23448" s="1" t="str">
        <f>HYPERLINK("https://rhld.insurance.arkansas.gov/NPILookup?Npi=1851937171","1851937171")</f>
        <v>1851937171</v>
      </c>
      <c r="E23448" t="s">
        <v>21233</v>
      </c>
    </row>
    <row r="23449" spans="1:5" x14ac:dyDescent="0.25">
      <c r="A23449" t="s">
        <v>5</v>
      </c>
      <c r="B23449" t="s">
        <v>6073</v>
      </c>
      <c r="C23449" s="1" t="s">
        <v>23490</v>
      </c>
      <c r="D23449" s="1" t="str">
        <f>HYPERLINK("https://rhld.insurance.arkansas.gov/NPILookup?Npi=1861050858","1861050858")</f>
        <v>1861050858</v>
      </c>
      <c r="E23449" t="s">
        <v>20684</v>
      </c>
    </row>
    <row r="23450" spans="1:5" x14ac:dyDescent="0.25">
      <c r="A23450" t="s">
        <v>5</v>
      </c>
      <c r="B23450" t="s">
        <v>6073</v>
      </c>
      <c r="C23450" s="1" t="s">
        <v>23490</v>
      </c>
      <c r="D23450" s="1" t="str">
        <f>HYPERLINK("https://rhld.insurance.arkansas.gov/NPILookup?Npi=1861087033","1861087033")</f>
        <v>1861087033</v>
      </c>
      <c r="E23450" t="s">
        <v>22431</v>
      </c>
    </row>
    <row r="23451" spans="1:5" x14ac:dyDescent="0.25">
      <c r="A23451" t="s">
        <v>5</v>
      </c>
      <c r="B23451" t="s">
        <v>6073</v>
      </c>
      <c r="C23451" s="1" t="s">
        <v>23490</v>
      </c>
      <c r="D23451" s="1" t="str">
        <f>HYPERLINK("https://rhld.insurance.arkansas.gov/NPILookup?Npi=1861831349","1861831349")</f>
        <v>1861831349</v>
      </c>
      <c r="E23451" t="s">
        <v>11876</v>
      </c>
    </row>
    <row r="23452" spans="1:5" x14ac:dyDescent="0.25">
      <c r="A23452" t="s">
        <v>5</v>
      </c>
      <c r="B23452" t="s">
        <v>6073</v>
      </c>
      <c r="C23452" s="1" t="s">
        <v>23490</v>
      </c>
      <c r="D23452" s="1" t="str">
        <f>HYPERLINK("https://rhld.insurance.arkansas.gov/NPILookup?Npi=1861834525","1861834525")</f>
        <v>1861834525</v>
      </c>
      <c r="E23452" t="s">
        <v>11877</v>
      </c>
    </row>
    <row r="23453" spans="1:5" x14ac:dyDescent="0.25">
      <c r="A23453" t="s">
        <v>5</v>
      </c>
      <c r="B23453" t="s">
        <v>6073</v>
      </c>
      <c r="C23453" s="1" t="s">
        <v>23490</v>
      </c>
      <c r="D23453" s="1" t="str">
        <f>HYPERLINK("https://rhld.insurance.arkansas.gov/NPILookup?Npi=1861855769","1861855769")</f>
        <v>1861855769</v>
      </c>
      <c r="E23453" t="s">
        <v>14245</v>
      </c>
    </row>
    <row r="23454" spans="1:5" x14ac:dyDescent="0.25">
      <c r="A23454" t="s">
        <v>5</v>
      </c>
      <c r="B23454" t="s">
        <v>6073</v>
      </c>
      <c r="C23454" s="1" t="s">
        <v>23490</v>
      </c>
      <c r="D23454" s="1" t="str">
        <f>HYPERLINK("https://rhld.insurance.arkansas.gov/NPILookup?Npi=1861882847","1861882847")</f>
        <v>1861882847</v>
      </c>
      <c r="E23454" t="s">
        <v>11880</v>
      </c>
    </row>
    <row r="23455" spans="1:5" x14ac:dyDescent="0.25">
      <c r="A23455" t="s">
        <v>5</v>
      </c>
      <c r="B23455" t="s">
        <v>6073</v>
      </c>
      <c r="C23455" s="1" t="s">
        <v>23490</v>
      </c>
      <c r="D23455" s="1" t="str">
        <f>HYPERLINK("https://rhld.insurance.arkansas.gov/NPILookup?Npi=1861958597","1861958597")</f>
        <v>1861958597</v>
      </c>
      <c r="E23455" t="s">
        <v>21234</v>
      </c>
    </row>
    <row r="23456" spans="1:5" x14ac:dyDescent="0.25">
      <c r="A23456" t="s">
        <v>5</v>
      </c>
      <c r="B23456" t="s">
        <v>6073</v>
      </c>
      <c r="C23456" s="1" t="s">
        <v>23490</v>
      </c>
      <c r="D23456" s="1" t="str">
        <f>HYPERLINK("https://rhld.insurance.arkansas.gov/NPILookup?Npi=1871540435","1871540435")</f>
        <v>1871540435</v>
      </c>
      <c r="E23456" t="s">
        <v>17687</v>
      </c>
    </row>
    <row r="23457" spans="1:5" x14ac:dyDescent="0.25">
      <c r="A23457" t="s">
        <v>5</v>
      </c>
      <c r="B23457" t="s">
        <v>6073</v>
      </c>
      <c r="C23457" s="1" t="s">
        <v>23490</v>
      </c>
      <c r="D23457" s="1" t="str">
        <f>HYPERLINK("https://rhld.insurance.arkansas.gov/NPILookup?Npi=1871546051","1871546051")</f>
        <v>1871546051</v>
      </c>
      <c r="E23457" t="s">
        <v>11883</v>
      </c>
    </row>
    <row r="23458" spans="1:5" x14ac:dyDescent="0.25">
      <c r="A23458" t="s">
        <v>5</v>
      </c>
      <c r="B23458" t="s">
        <v>6073</v>
      </c>
      <c r="C23458" s="1" t="s">
        <v>23490</v>
      </c>
      <c r="D23458" s="1" t="str">
        <f>HYPERLINK("https://rhld.insurance.arkansas.gov/NPILookup?Npi=1871623850","1871623850")</f>
        <v>1871623850</v>
      </c>
      <c r="E23458" t="s">
        <v>11885</v>
      </c>
    </row>
    <row r="23459" spans="1:5" x14ac:dyDescent="0.25">
      <c r="A23459" t="s">
        <v>5</v>
      </c>
      <c r="B23459" t="s">
        <v>6073</v>
      </c>
      <c r="C23459" s="1" t="s">
        <v>23490</v>
      </c>
      <c r="D23459" s="1" t="str">
        <f>HYPERLINK("https://rhld.insurance.arkansas.gov/NPILookup?Npi=1871637363","1871637363")</f>
        <v>1871637363</v>
      </c>
      <c r="E23459" t="s">
        <v>14249</v>
      </c>
    </row>
    <row r="23460" spans="1:5" x14ac:dyDescent="0.25">
      <c r="A23460" t="s">
        <v>5</v>
      </c>
      <c r="B23460" t="s">
        <v>6073</v>
      </c>
      <c r="C23460" s="1" t="s">
        <v>23490</v>
      </c>
      <c r="D23460" s="1" t="str">
        <f>HYPERLINK("https://rhld.insurance.arkansas.gov/NPILookup?Npi=1871696575","1871696575")</f>
        <v>1871696575</v>
      </c>
      <c r="E23460" t="s">
        <v>11887</v>
      </c>
    </row>
    <row r="23461" spans="1:5" x14ac:dyDescent="0.25">
      <c r="A23461" t="s">
        <v>5</v>
      </c>
      <c r="B23461" t="s">
        <v>6073</v>
      </c>
      <c r="C23461" s="1" t="s">
        <v>23490</v>
      </c>
      <c r="D23461" s="1" t="str">
        <f>HYPERLINK("https://rhld.insurance.arkansas.gov/NPILookup?Npi=1871703421","1871703421")</f>
        <v>1871703421</v>
      </c>
      <c r="E23461" t="s">
        <v>11888</v>
      </c>
    </row>
    <row r="23462" spans="1:5" x14ac:dyDescent="0.25">
      <c r="A23462" t="s">
        <v>5</v>
      </c>
      <c r="B23462" t="s">
        <v>6073</v>
      </c>
      <c r="C23462" s="1" t="s">
        <v>23490</v>
      </c>
      <c r="D23462" s="1" t="str">
        <f>HYPERLINK("https://rhld.insurance.arkansas.gov/NPILookup?Npi=1871849422","1871849422")</f>
        <v>1871849422</v>
      </c>
      <c r="E23462" t="s">
        <v>18453</v>
      </c>
    </row>
    <row r="23463" spans="1:5" x14ac:dyDescent="0.25">
      <c r="A23463" t="s">
        <v>5</v>
      </c>
      <c r="B23463" t="s">
        <v>6073</v>
      </c>
      <c r="C23463" s="1" t="s">
        <v>23490</v>
      </c>
      <c r="D23463" s="1" t="str">
        <f>HYPERLINK("https://rhld.insurance.arkansas.gov/NPILookup?Npi=1871852509","1871852509")</f>
        <v>1871852509</v>
      </c>
      <c r="E23463" t="s">
        <v>22432</v>
      </c>
    </row>
    <row r="23464" spans="1:5" x14ac:dyDescent="0.25">
      <c r="A23464" t="s">
        <v>5</v>
      </c>
      <c r="B23464" t="s">
        <v>6073</v>
      </c>
      <c r="C23464" s="1" t="s">
        <v>23490</v>
      </c>
      <c r="D23464" s="1" t="str">
        <f>HYPERLINK("https://rhld.insurance.arkansas.gov/NPILookup?Npi=1871901595","1871901595")</f>
        <v>1871901595</v>
      </c>
      <c r="E23464" t="s">
        <v>11889</v>
      </c>
    </row>
    <row r="23465" spans="1:5" x14ac:dyDescent="0.25">
      <c r="A23465" t="s">
        <v>5</v>
      </c>
      <c r="B23465" t="s">
        <v>6073</v>
      </c>
      <c r="C23465" s="1" t="s">
        <v>23490</v>
      </c>
      <c r="D23465" s="1" t="str">
        <f>HYPERLINK("https://rhld.insurance.arkansas.gov/NPILookup?Npi=1871907337","1871907337")</f>
        <v>1871907337</v>
      </c>
      <c r="E23465" t="s">
        <v>14252</v>
      </c>
    </row>
    <row r="23466" spans="1:5" x14ac:dyDescent="0.25">
      <c r="A23466" t="s">
        <v>5</v>
      </c>
      <c r="B23466" t="s">
        <v>6073</v>
      </c>
      <c r="C23466" s="1" t="s">
        <v>23490</v>
      </c>
      <c r="D23466" s="1" t="str">
        <f>HYPERLINK("https://rhld.insurance.arkansas.gov/NPILookup?Npi=1871919704","1871919704")</f>
        <v>1871919704</v>
      </c>
      <c r="E23466" t="s">
        <v>20619</v>
      </c>
    </row>
    <row r="23467" spans="1:5" x14ac:dyDescent="0.25">
      <c r="A23467" t="s">
        <v>5</v>
      </c>
      <c r="B23467" t="s">
        <v>6073</v>
      </c>
      <c r="C23467" s="1" t="s">
        <v>23490</v>
      </c>
      <c r="D23467" s="1" t="str">
        <f>HYPERLINK("https://rhld.insurance.arkansas.gov/NPILookup?Npi=1871967927","1871967927")</f>
        <v>1871967927</v>
      </c>
      <c r="E23467" t="s">
        <v>20685</v>
      </c>
    </row>
    <row r="23468" spans="1:5" x14ac:dyDescent="0.25">
      <c r="A23468" t="s">
        <v>5</v>
      </c>
      <c r="B23468" t="s">
        <v>6073</v>
      </c>
      <c r="C23468" s="1" t="s">
        <v>23490</v>
      </c>
      <c r="D23468" s="1" t="str">
        <f>HYPERLINK("https://rhld.insurance.arkansas.gov/NPILookup?Npi=1881006641","1881006641")</f>
        <v>1881006641</v>
      </c>
      <c r="E23468" t="s">
        <v>18510</v>
      </c>
    </row>
    <row r="23469" spans="1:5" x14ac:dyDescent="0.25">
      <c r="A23469" t="s">
        <v>5</v>
      </c>
      <c r="B23469" t="s">
        <v>6073</v>
      </c>
      <c r="C23469" s="1" t="s">
        <v>23490</v>
      </c>
      <c r="D23469" s="1" t="str">
        <f>HYPERLINK("https://rhld.insurance.arkansas.gov/NPILookup?Npi=1881138550","1881138550")</f>
        <v>1881138550</v>
      </c>
      <c r="E23469" t="s">
        <v>18456</v>
      </c>
    </row>
    <row r="23470" spans="1:5" x14ac:dyDescent="0.25">
      <c r="A23470" t="s">
        <v>5</v>
      </c>
      <c r="B23470" t="s">
        <v>6073</v>
      </c>
      <c r="C23470" s="1" t="s">
        <v>23490</v>
      </c>
      <c r="D23470" s="1" t="str">
        <f>HYPERLINK("https://rhld.insurance.arkansas.gov/NPILookup?Npi=1881171809","1881171809")</f>
        <v>1881171809</v>
      </c>
      <c r="E23470" t="s">
        <v>20621</v>
      </c>
    </row>
    <row r="23471" spans="1:5" x14ac:dyDescent="0.25">
      <c r="A23471" t="s">
        <v>5</v>
      </c>
      <c r="B23471" t="s">
        <v>6073</v>
      </c>
      <c r="C23471" s="1" t="s">
        <v>23490</v>
      </c>
      <c r="D23471" s="1" t="str">
        <f>HYPERLINK("https://rhld.insurance.arkansas.gov/NPILookup?Npi=1881231728","1881231728")</f>
        <v>1881231728</v>
      </c>
      <c r="E23471" t="s">
        <v>20622</v>
      </c>
    </row>
    <row r="23472" spans="1:5" x14ac:dyDescent="0.25">
      <c r="A23472" t="s">
        <v>5</v>
      </c>
      <c r="B23472" t="s">
        <v>6073</v>
      </c>
      <c r="C23472" s="1" t="s">
        <v>23490</v>
      </c>
      <c r="D23472" s="1" t="str">
        <f>HYPERLINK("https://rhld.insurance.arkansas.gov/NPILookup?Npi=1881797793","1881797793")</f>
        <v>1881797793</v>
      </c>
      <c r="E23472" t="s">
        <v>14254</v>
      </c>
    </row>
    <row r="23473" spans="1:5" x14ac:dyDescent="0.25">
      <c r="A23473" t="s">
        <v>5</v>
      </c>
      <c r="B23473" t="s">
        <v>6073</v>
      </c>
      <c r="C23473" s="1" t="s">
        <v>8427</v>
      </c>
      <c r="D23473" s="1" t="str">
        <f>HYPERLINK("https://rhld.insurance.arkansas.gov/NPILookup?Npi=1881930246","1881930246")</f>
        <v>1881930246</v>
      </c>
      <c r="E23473" t="s">
        <v>23271</v>
      </c>
    </row>
    <row r="23474" spans="1:5" x14ac:dyDescent="0.25">
      <c r="A23474" t="s">
        <v>5</v>
      </c>
      <c r="B23474" t="s">
        <v>6073</v>
      </c>
      <c r="C23474" s="1" t="s">
        <v>23490</v>
      </c>
      <c r="D23474" s="1" t="str">
        <f>HYPERLINK("https://rhld.insurance.arkansas.gov/NPILookup?Npi=1891118246","1891118246")</f>
        <v>1891118246</v>
      </c>
      <c r="E23474" t="s">
        <v>11897</v>
      </c>
    </row>
    <row r="23475" spans="1:5" x14ac:dyDescent="0.25">
      <c r="A23475" t="s">
        <v>5</v>
      </c>
      <c r="B23475" t="s">
        <v>6073</v>
      </c>
      <c r="C23475" s="1" t="s">
        <v>23490</v>
      </c>
      <c r="D23475" s="1" t="str">
        <f>HYPERLINK("https://rhld.insurance.arkansas.gov/NPILookup?Npi=1891231304","1891231304")</f>
        <v>1891231304</v>
      </c>
      <c r="E23475" t="s">
        <v>18511</v>
      </c>
    </row>
    <row r="23476" spans="1:5" x14ac:dyDescent="0.25">
      <c r="A23476" t="s">
        <v>5</v>
      </c>
      <c r="B23476" t="s">
        <v>6073</v>
      </c>
      <c r="C23476" s="1" t="s">
        <v>23490</v>
      </c>
      <c r="D23476" s="1" t="str">
        <f>HYPERLINK("https://rhld.insurance.arkansas.gov/NPILookup?Npi=1891245932","1891245932")</f>
        <v>1891245932</v>
      </c>
      <c r="E23476" t="s">
        <v>14255</v>
      </c>
    </row>
    <row r="23477" spans="1:5" x14ac:dyDescent="0.25">
      <c r="A23477" t="s">
        <v>5</v>
      </c>
      <c r="B23477" t="s">
        <v>6073</v>
      </c>
      <c r="C23477" s="1" t="s">
        <v>23490</v>
      </c>
      <c r="D23477" s="1" t="str">
        <f>HYPERLINK("https://rhld.insurance.arkansas.gov/NPILookup?Npi=1891291290","1891291290")</f>
        <v>1891291290</v>
      </c>
      <c r="E23477" t="s">
        <v>18512</v>
      </c>
    </row>
    <row r="23478" spans="1:5" x14ac:dyDescent="0.25">
      <c r="A23478" t="s">
        <v>5</v>
      </c>
      <c r="B23478" t="s">
        <v>6073</v>
      </c>
      <c r="C23478" s="1" t="s">
        <v>23490</v>
      </c>
      <c r="D23478" s="1" t="str">
        <f>HYPERLINK("https://rhld.insurance.arkansas.gov/NPILookup?Npi=1891360491","1891360491")</f>
        <v>1891360491</v>
      </c>
      <c r="E23478" t="s">
        <v>19104</v>
      </c>
    </row>
    <row r="23479" spans="1:5" x14ac:dyDescent="0.25">
      <c r="A23479" t="s">
        <v>5</v>
      </c>
      <c r="B23479" t="s">
        <v>6073</v>
      </c>
      <c r="C23479" s="1" t="s">
        <v>8427</v>
      </c>
      <c r="D23479" s="1" t="str">
        <f>HYPERLINK("https://rhld.insurance.arkansas.gov/NPILookup?Npi=1891441028","1891441028")</f>
        <v>1891441028</v>
      </c>
      <c r="E23479" t="s">
        <v>23272</v>
      </c>
    </row>
    <row r="23480" spans="1:5" x14ac:dyDescent="0.25">
      <c r="A23480" t="s">
        <v>5</v>
      </c>
      <c r="B23480" t="s">
        <v>6073</v>
      </c>
      <c r="C23480" s="1" t="s">
        <v>23490</v>
      </c>
      <c r="D23480" s="1" t="str">
        <f>HYPERLINK("https://rhld.insurance.arkansas.gov/NPILookup?Npi=1902073430","1902073430")</f>
        <v>1902073430</v>
      </c>
      <c r="E23480" t="s">
        <v>11901</v>
      </c>
    </row>
    <row r="23481" spans="1:5" x14ac:dyDescent="0.25">
      <c r="A23481" t="s">
        <v>5</v>
      </c>
      <c r="B23481" t="s">
        <v>6073</v>
      </c>
      <c r="C23481" s="1" t="s">
        <v>23490</v>
      </c>
      <c r="D23481" s="1" t="str">
        <f>HYPERLINK("https://rhld.insurance.arkansas.gov/NPILookup?Npi=1902126691","1902126691")</f>
        <v>1902126691</v>
      </c>
      <c r="E23481" t="s">
        <v>14258</v>
      </c>
    </row>
    <row r="23482" spans="1:5" x14ac:dyDescent="0.25">
      <c r="A23482" t="s">
        <v>5</v>
      </c>
      <c r="B23482" t="s">
        <v>6073</v>
      </c>
      <c r="C23482" s="1" t="s">
        <v>23490</v>
      </c>
      <c r="D23482" s="1" t="str">
        <f>HYPERLINK("https://rhld.insurance.arkansas.gov/NPILookup?Npi=1902187495","1902187495")</f>
        <v>1902187495</v>
      </c>
      <c r="E23482" t="s">
        <v>19105</v>
      </c>
    </row>
    <row r="23483" spans="1:5" x14ac:dyDescent="0.25">
      <c r="A23483" t="s">
        <v>5</v>
      </c>
      <c r="B23483" t="s">
        <v>6073</v>
      </c>
      <c r="C23483" s="1" t="s">
        <v>23490</v>
      </c>
      <c r="D23483" s="1" t="str">
        <f>HYPERLINK("https://rhld.insurance.arkansas.gov/NPILookup?Npi=1902209562","1902209562")</f>
        <v>1902209562</v>
      </c>
      <c r="E23483" t="s">
        <v>11904</v>
      </c>
    </row>
    <row r="23484" spans="1:5" x14ac:dyDescent="0.25">
      <c r="A23484" t="s">
        <v>5</v>
      </c>
      <c r="B23484" t="s">
        <v>6073</v>
      </c>
      <c r="C23484" s="1" t="s">
        <v>23490</v>
      </c>
      <c r="D23484" s="1" t="str">
        <f>HYPERLINK("https://rhld.insurance.arkansas.gov/NPILookup?Npi=1902215221","1902215221")</f>
        <v>1902215221</v>
      </c>
      <c r="E23484" t="s">
        <v>11905</v>
      </c>
    </row>
    <row r="23485" spans="1:5" x14ac:dyDescent="0.25">
      <c r="A23485" t="s">
        <v>5</v>
      </c>
      <c r="B23485" t="s">
        <v>6073</v>
      </c>
      <c r="C23485" s="1" t="s">
        <v>23490</v>
      </c>
      <c r="D23485" s="1" t="str">
        <f>HYPERLINK("https://rhld.insurance.arkansas.gov/NPILookup?Npi=1902239056","1902239056")</f>
        <v>1902239056</v>
      </c>
      <c r="E23485" t="s">
        <v>19106</v>
      </c>
    </row>
    <row r="23486" spans="1:5" x14ac:dyDescent="0.25">
      <c r="A23486" t="s">
        <v>5</v>
      </c>
      <c r="B23486" t="s">
        <v>6073</v>
      </c>
      <c r="C23486" s="1" t="s">
        <v>23490</v>
      </c>
      <c r="D23486" s="1" t="str">
        <f>HYPERLINK("https://rhld.insurance.arkansas.gov/NPILookup?Npi=1902243645","1902243645")</f>
        <v>1902243645</v>
      </c>
      <c r="E23486" t="s">
        <v>20627</v>
      </c>
    </row>
    <row r="23487" spans="1:5" x14ac:dyDescent="0.25">
      <c r="A23487" t="s">
        <v>5</v>
      </c>
      <c r="B23487" t="s">
        <v>6073</v>
      </c>
      <c r="C23487" s="1" t="s">
        <v>8427</v>
      </c>
      <c r="D23487" s="1" t="str">
        <f>HYPERLINK("https://rhld.insurance.arkansas.gov/NPILookup?Npi=1902296775","1902296775")</f>
        <v>1902296775</v>
      </c>
      <c r="E23487" t="s">
        <v>22362</v>
      </c>
    </row>
    <row r="23488" spans="1:5" x14ac:dyDescent="0.25">
      <c r="A23488" t="s">
        <v>5</v>
      </c>
      <c r="B23488" t="s">
        <v>6073</v>
      </c>
      <c r="C23488" s="1" t="s">
        <v>8427</v>
      </c>
      <c r="D23488" s="1" t="str">
        <f>HYPERLINK("https://rhld.insurance.arkansas.gov/NPILookup?Npi=1902483993","1902483993")</f>
        <v>1902483993</v>
      </c>
      <c r="E23488" t="s">
        <v>23209</v>
      </c>
    </row>
    <row r="23489" spans="1:5" x14ac:dyDescent="0.25">
      <c r="A23489" t="s">
        <v>5</v>
      </c>
      <c r="B23489" t="s">
        <v>6073</v>
      </c>
      <c r="C23489" s="1" t="s">
        <v>23490</v>
      </c>
      <c r="D23489" s="1" t="str">
        <f>HYPERLINK("https://rhld.insurance.arkansas.gov/NPILookup?Npi=1912154311","1912154311")</f>
        <v>1912154311</v>
      </c>
      <c r="E23489" t="s">
        <v>14263</v>
      </c>
    </row>
    <row r="23490" spans="1:5" x14ac:dyDescent="0.25">
      <c r="A23490" t="s">
        <v>5</v>
      </c>
      <c r="B23490" t="s">
        <v>6073</v>
      </c>
      <c r="C23490" s="1" t="s">
        <v>23490</v>
      </c>
      <c r="D23490" s="1" t="str">
        <f>HYPERLINK("https://rhld.insurance.arkansas.gov/NPILookup?Npi=1912260738","1912260738")</f>
        <v>1912260738</v>
      </c>
      <c r="E23490" t="s">
        <v>20631</v>
      </c>
    </row>
    <row r="23491" spans="1:5" x14ac:dyDescent="0.25">
      <c r="A23491" t="s">
        <v>5</v>
      </c>
      <c r="B23491" t="s">
        <v>6073</v>
      </c>
      <c r="C23491" s="1" t="s">
        <v>23490</v>
      </c>
      <c r="D23491" s="1" t="str">
        <f>HYPERLINK("https://rhld.insurance.arkansas.gov/NPILookup?Npi=1912319567","1912319567")</f>
        <v>1912319567</v>
      </c>
      <c r="E23491" t="s">
        <v>14268</v>
      </c>
    </row>
    <row r="23492" spans="1:5" x14ac:dyDescent="0.25">
      <c r="A23492" t="s">
        <v>5</v>
      </c>
      <c r="B23492" t="s">
        <v>6073</v>
      </c>
      <c r="C23492" s="1" t="s">
        <v>23490</v>
      </c>
      <c r="D23492" s="1" t="str">
        <f>HYPERLINK("https://rhld.insurance.arkansas.gov/NPILookup?Npi=1912330119","1912330119")</f>
        <v>1912330119</v>
      </c>
      <c r="E23492" t="s">
        <v>11911</v>
      </c>
    </row>
    <row r="23493" spans="1:5" x14ac:dyDescent="0.25">
      <c r="A23493" t="s">
        <v>5</v>
      </c>
      <c r="B23493" t="s">
        <v>6073</v>
      </c>
      <c r="C23493" s="1" t="s">
        <v>23490</v>
      </c>
      <c r="D23493" s="1" t="str">
        <f>HYPERLINK("https://rhld.insurance.arkansas.gov/NPILookup?Npi=1912334236","1912334236")</f>
        <v>1912334236</v>
      </c>
      <c r="E23493" t="s">
        <v>18467</v>
      </c>
    </row>
    <row r="23494" spans="1:5" x14ac:dyDescent="0.25">
      <c r="A23494" t="s">
        <v>5</v>
      </c>
      <c r="B23494" t="s">
        <v>6073</v>
      </c>
      <c r="C23494" s="1" t="s">
        <v>23490</v>
      </c>
      <c r="D23494" s="1" t="str">
        <f>HYPERLINK("https://rhld.insurance.arkansas.gov/NPILookup?Npi=1912356999","1912356999")</f>
        <v>1912356999</v>
      </c>
      <c r="E23494" t="s">
        <v>19107</v>
      </c>
    </row>
    <row r="23495" spans="1:5" x14ac:dyDescent="0.25">
      <c r="A23495" t="s">
        <v>5</v>
      </c>
      <c r="B23495" t="s">
        <v>6073</v>
      </c>
      <c r="C23495" s="1" t="s">
        <v>23490</v>
      </c>
      <c r="D23495" s="1" t="str">
        <f>HYPERLINK("https://rhld.insurance.arkansas.gov/NPILookup?Npi=1912379892","1912379892")</f>
        <v>1912379892</v>
      </c>
      <c r="E23495" t="s">
        <v>14270</v>
      </c>
    </row>
    <row r="23496" spans="1:5" x14ac:dyDescent="0.25">
      <c r="A23496" t="s">
        <v>5</v>
      </c>
      <c r="B23496" t="s">
        <v>6073</v>
      </c>
      <c r="C23496" s="1" t="s">
        <v>23490</v>
      </c>
      <c r="D23496" s="1" t="str">
        <f>HYPERLINK("https://rhld.insurance.arkansas.gov/NPILookup?Npi=1912490491","1912490491")</f>
        <v>1912490491</v>
      </c>
      <c r="E23496" t="s">
        <v>21235</v>
      </c>
    </row>
    <row r="23497" spans="1:5" x14ac:dyDescent="0.25">
      <c r="A23497" t="s">
        <v>5</v>
      </c>
      <c r="B23497" t="s">
        <v>6073</v>
      </c>
      <c r="C23497" s="1" t="s">
        <v>8427</v>
      </c>
      <c r="D23497" s="1" t="str">
        <f>HYPERLINK("https://rhld.insurance.arkansas.gov/NPILookup?Npi=1912529207","1912529207")</f>
        <v>1912529207</v>
      </c>
      <c r="E23497" t="s">
        <v>23273</v>
      </c>
    </row>
    <row r="23498" spans="1:5" x14ac:dyDescent="0.25">
      <c r="A23498" t="s">
        <v>5</v>
      </c>
      <c r="B23498" t="s">
        <v>6073</v>
      </c>
      <c r="C23498" s="1" t="s">
        <v>8427</v>
      </c>
      <c r="D23498" s="1" t="str">
        <f>HYPERLINK("https://rhld.insurance.arkansas.gov/NPILookup?Npi=1912540410","1912540410")</f>
        <v>1912540410</v>
      </c>
      <c r="E23498" t="s">
        <v>23274</v>
      </c>
    </row>
    <row r="23499" spans="1:5" x14ac:dyDescent="0.25">
      <c r="A23499" t="s">
        <v>5</v>
      </c>
      <c r="B23499" t="s">
        <v>6073</v>
      </c>
      <c r="C23499" s="1" t="s">
        <v>23490</v>
      </c>
      <c r="D23499" s="1" t="str">
        <f>HYPERLINK("https://rhld.insurance.arkansas.gov/NPILookup?Npi=1912550070","1912550070")</f>
        <v>1912550070</v>
      </c>
      <c r="E23499" t="s">
        <v>22433</v>
      </c>
    </row>
    <row r="23500" spans="1:5" x14ac:dyDescent="0.25">
      <c r="A23500" t="s">
        <v>5</v>
      </c>
      <c r="B23500" t="s">
        <v>6073</v>
      </c>
      <c r="C23500" s="1" t="s">
        <v>23490</v>
      </c>
      <c r="D23500" s="1" t="str">
        <f>HYPERLINK("https://rhld.insurance.arkansas.gov/NPILookup?Npi=1912577099","1912577099")</f>
        <v>1912577099</v>
      </c>
      <c r="E23500" t="s">
        <v>19038</v>
      </c>
    </row>
    <row r="23501" spans="1:5" x14ac:dyDescent="0.25">
      <c r="A23501" t="s">
        <v>5</v>
      </c>
      <c r="B23501" t="s">
        <v>6073</v>
      </c>
      <c r="C23501" s="1" t="s">
        <v>23490</v>
      </c>
      <c r="D23501" s="1" t="str">
        <f>HYPERLINK("https://rhld.insurance.arkansas.gov/NPILookup?Npi=1912654203","1912654203")</f>
        <v>1912654203</v>
      </c>
      <c r="E23501" t="s">
        <v>20632</v>
      </c>
    </row>
    <row r="23502" spans="1:5" x14ac:dyDescent="0.25">
      <c r="A23502" t="s">
        <v>5</v>
      </c>
      <c r="B23502" t="s">
        <v>6073</v>
      </c>
      <c r="C23502" s="1" t="s">
        <v>23490</v>
      </c>
      <c r="D23502" s="1" t="str">
        <f>HYPERLINK("https://rhld.insurance.arkansas.gov/NPILookup?Npi=1922251974","1922251974")</f>
        <v>1922251974</v>
      </c>
      <c r="E23502" t="s">
        <v>5940</v>
      </c>
    </row>
    <row r="23503" spans="1:5" x14ac:dyDescent="0.25">
      <c r="A23503" t="s">
        <v>5</v>
      </c>
      <c r="B23503" t="s">
        <v>6073</v>
      </c>
      <c r="C23503" s="1" t="s">
        <v>23490</v>
      </c>
      <c r="D23503" s="1" t="str">
        <f>HYPERLINK("https://rhld.insurance.arkansas.gov/NPILookup?Npi=1922341221","1922341221")</f>
        <v>1922341221</v>
      </c>
      <c r="E23503" t="s">
        <v>19108</v>
      </c>
    </row>
    <row r="23504" spans="1:5" x14ac:dyDescent="0.25">
      <c r="A23504" t="s">
        <v>5</v>
      </c>
      <c r="B23504" t="s">
        <v>6073</v>
      </c>
      <c r="C23504" s="1" t="s">
        <v>23490</v>
      </c>
      <c r="D23504" s="1" t="str">
        <f>HYPERLINK("https://rhld.insurance.arkansas.gov/NPILookup?Npi=1922344340","1922344340")</f>
        <v>1922344340</v>
      </c>
      <c r="E23504" t="s">
        <v>18513</v>
      </c>
    </row>
    <row r="23505" spans="1:5" x14ac:dyDescent="0.25">
      <c r="A23505" t="s">
        <v>5</v>
      </c>
      <c r="B23505" t="s">
        <v>6073</v>
      </c>
      <c r="C23505" s="1" t="s">
        <v>23490</v>
      </c>
      <c r="D23505" s="1" t="str">
        <f>HYPERLINK("https://rhld.insurance.arkansas.gov/NPILookup?Npi=1922365691","1922365691")</f>
        <v>1922365691</v>
      </c>
      <c r="E23505" t="s">
        <v>14272</v>
      </c>
    </row>
    <row r="23506" spans="1:5" x14ac:dyDescent="0.25">
      <c r="A23506" t="s">
        <v>5</v>
      </c>
      <c r="B23506" t="s">
        <v>6073</v>
      </c>
      <c r="C23506" s="1" t="s">
        <v>8427</v>
      </c>
      <c r="D23506" s="1" t="str">
        <f>HYPERLINK("https://rhld.insurance.arkansas.gov/NPILookup?Npi=1922582154","1922582154")</f>
        <v>1922582154</v>
      </c>
      <c r="E23506" t="s">
        <v>22380</v>
      </c>
    </row>
    <row r="23507" spans="1:5" x14ac:dyDescent="0.25">
      <c r="A23507" t="s">
        <v>5</v>
      </c>
      <c r="B23507" t="s">
        <v>6073</v>
      </c>
      <c r="C23507" s="1" t="s">
        <v>23490</v>
      </c>
      <c r="D23507" s="1" t="str">
        <f>HYPERLINK("https://rhld.insurance.arkansas.gov/NPILookup?Npi=1922649532","1922649532")</f>
        <v>1922649532</v>
      </c>
      <c r="E23507" t="s">
        <v>20637</v>
      </c>
    </row>
    <row r="23508" spans="1:5" x14ac:dyDescent="0.25">
      <c r="A23508" t="s">
        <v>5</v>
      </c>
      <c r="B23508" t="s">
        <v>6073</v>
      </c>
      <c r="C23508" s="1" t="s">
        <v>23490</v>
      </c>
      <c r="D23508" s="1" t="str">
        <f>HYPERLINK("https://rhld.insurance.arkansas.gov/NPILookup?Npi=1932350642","1932350642")</f>
        <v>1932350642</v>
      </c>
      <c r="E23508" t="s">
        <v>19109</v>
      </c>
    </row>
    <row r="23509" spans="1:5" x14ac:dyDescent="0.25">
      <c r="A23509" t="s">
        <v>5</v>
      </c>
      <c r="B23509" t="s">
        <v>6073</v>
      </c>
      <c r="C23509" s="1" t="s">
        <v>23490</v>
      </c>
      <c r="D23509" s="1" t="str">
        <f>HYPERLINK("https://rhld.insurance.arkansas.gov/NPILookup?Npi=1932358389","1932358389")</f>
        <v>1932358389</v>
      </c>
      <c r="E23509" t="s">
        <v>11918</v>
      </c>
    </row>
    <row r="23510" spans="1:5" x14ac:dyDescent="0.25">
      <c r="A23510" t="s">
        <v>5</v>
      </c>
      <c r="B23510" t="s">
        <v>6073</v>
      </c>
      <c r="C23510" s="1" t="s">
        <v>23490</v>
      </c>
      <c r="D23510" s="1" t="str">
        <f>HYPERLINK("https://rhld.insurance.arkansas.gov/NPILookup?Npi=1932535671","1932535671")</f>
        <v>1932535671</v>
      </c>
      <c r="E23510" t="s">
        <v>11922</v>
      </c>
    </row>
    <row r="23511" spans="1:5" x14ac:dyDescent="0.25">
      <c r="A23511" t="s">
        <v>5</v>
      </c>
      <c r="B23511" t="s">
        <v>6073</v>
      </c>
      <c r="C23511" s="1" t="s">
        <v>23490</v>
      </c>
      <c r="D23511" s="1" t="str">
        <f>HYPERLINK("https://rhld.insurance.arkansas.gov/NPILookup?Npi=1932617123","1932617123")</f>
        <v>1932617123</v>
      </c>
      <c r="E23511" t="s">
        <v>18480</v>
      </c>
    </row>
    <row r="23512" spans="1:5" x14ac:dyDescent="0.25">
      <c r="A23512" t="s">
        <v>5</v>
      </c>
      <c r="B23512" t="s">
        <v>6073</v>
      </c>
      <c r="C23512" s="1" t="s">
        <v>23490</v>
      </c>
      <c r="D23512" s="1" t="str">
        <f>HYPERLINK("https://rhld.insurance.arkansas.gov/NPILookup?Npi=1942481825","1942481825")</f>
        <v>1942481825</v>
      </c>
      <c r="E23512" t="s">
        <v>11923</v>
      </c>
    </row>
    <row r="23513" spans="1:5" x14ac:dyDescent="0.25">
      <c r="A23513" t="s">
        <v>5</v>
      </c>
      <c r="B23513" t="s">
        <v>6073</v>
      </c>
      <c r="C23513" s="1" t="s">
        <v>23490</v>
      </c>
      <c r="D23513" s="1" t="str">
        <f>HYPERLINK("https://rhld.insurance.arkansas.gov/NPILookup?Npi=1942572383","1942572383")</f>
        <v>1942572383</v>
      </c>
      <c r="E23513" t="s">
        <v>11924</v>
      </c>
    </row>
    <row r="23514" spans="1:5" x14ac:dyDescent="0.25">
      <c r="A23514" t="s">
        <v>5</v>
      </c>
      <c r="B23514" t="s">
        <v>6073</v>
      </c>
      <c r="C23514" s="1" t="s">
        <v>23490</v>
      </c>
      <c r="D23514" s="1" t="str">
        <f>HYPERLINK("https://rhld.insurance.arkansas.gov/NPILookup?Npi=1942611835","1942611835")</f>
        <v>1942611835</v>
      </c>
      <c r="E23514" t="s">
        <v>1856</v>
      </c>
    </row>
    <row r="23515" spans="1:5" x14ac:dyDescent="0.25">
      <c r="A23515" t="s">
        <v>5</v>
      </c>
      <c r="B23515" t="s">
        <v>6073</v>
      </c>
      <c r="C23515" s="1" t="s">
        <v>23490</v>
      </c>
      <c r="D23515" s="1" t="str">
        <f>HYPERLINK("https://rhld.insurance.arkansas.gov/NPILookup?Npi=1942612700","1942612700")</f>
        <v>1942612700</v>
      </c>
      <c r="E23515" t="s">
        <v>22434</v>
      </c>
    </row>
    <row r="23516" spans="1:5" x14ac:dyDescent="0.25">
      <c r="A23516" t="s">
        <v>5</v>
      </c>
      <c r="B23516" t="s">
        <v>6073</v>
      </c>
      <c r="C23516" s="1" t="s">
        <v>23490</v>
      </c>
      <c r="D23516" s="1" t="str">
        <f>HYPERLINK("https://rhld.insurance.arkansas.gov/NPILookup?Npi=1942681895","1942681895")</f>
        <v>1942681895</v>
      </c>
      <c r="E23516" t="s">
        <v>20686</v>
      </c>
    </row>
    <row r="23517" spans="1:5" x14ac:dyDescent="0.25">
      <c r="A23517" t="s">
        <v>5</v>
      </c>
      <c r="B23517" t="s">
        <v>6073</v>
      </c>
      <c r="C23517" s="1" t="s">
        <v>23490</v>
      </c>
      <c r="D23517" s="1" t="str">
        <f>HYPERLINK("https://rhld.insurance.arkansas.gov/NPILookup?Npi=1952552200","1952552200")</f>
        <v>1952552200</v>
      </c>
      <c r="E23517" t="s">
        <v>14283</v>
      </c>
    </row>
    <row r="23518" spans="1:5" x14ac:dyDescent="0.25">
      <c r="A23518" t="s">
        <v>5</v>
      </c>
      <c r="B23518" t="s">
        <v>6073</v>
      </c>
      <c r="C23518" s="1" t="s">
        <v>23490</v>
      </c>
      <c r="D23518" s="1" t="str">
        <f>HYPERLINK("https://rhld.insurance.arkansas.gov/NPILookup?Npi=1952659450","1952659450")</f>
        <v>1952659450</v>
      </c>
      <c r="E23518" t="s">
        <v>11927</v>
      </c>
    </row>
    <row r="23519" spans="1:5" x14ac:dyDescent="0.25">
      <c r="A23519" t="s">
        <v>5</v>
      </c>
      <c r="B23519" t="s">
        <v>6073</v>
      </c>
      <c r="C23519" s="1" t="s">
        <v>23490</v>
      </c>
      <c r="D23519" s="1" t="str">
        <f>HYPERLINK("https://rhld.insurance.arkansas.gov/NPILookup?Npi=1952661530","1952661530")</f>
        <v>1952661530</v>
      </c>
      <c r="E23519" t="s">
        <v>11928</v>
      </c>
    </row>
    <row r="23520" spans="1:5" x14ac:dyDescent="0.25">
      <c r="A23520" t="s">
        <v>5</v>
      </c>
      <c r="B23520" t="s">
        <v>6073</v>
      </c>
      <c r="C23520" s="1" t="s">
        <v>23490</v>
      </c>
      <c r="D23520" s="1" t="str">
        <f>HYPERLINK("https://rhld.insurance.arkansas.gov/NPILookup?Npi=1952727554","1952727554")</f>
        <v>1952727554</v>
      </c>
      <c r="E23520" t="s">
        <v>11929</v>
      </c>
    </row>
    <row r="23521" spans="1:5" x14ac:dyDescent="0.25">
      <c r="A23521" t="s">
        <v>5</v>
      </c>
      <c r="B23521" t="s">
        <v>6073</v>
      </c>
      <c r="C23521" s="1" t="s">
        <v>23490</v>
      </c>
      <c r="D23521" s="1" t="str">
        <f>HYPERLINK("https://rhld.insurance.arkansas.gov/NPILookup?Npi=1952798423","1952798423")</f>
        <v>1952798423</v>
      </c>
      <c r="E23521" t="s">
        <v>21236</v>
      </c>
    </row>
    <row r="23522" spans="1:5" x14ac:dyDescent="0.25">
      <c r="A23522" t="s">
        <v>5</v>
      </c>
      <c r="B23522" t="s">
        <v>6073</v>
      </c>
      <c r="C23522" s="1" t="s">
        <v>23490</v>
      </c>
      <c r="D23522" s="1" t="str">
        <f>HYPERLINK("https://rhld.insurance.arkansas.gov/NPILookup?Npi=1952920571","1952920571")</f>
        <v>1952920571</v>
      </c>
      <c r="E23522" t="s">
        <v>21237</v>
      </c>
    </row>
    <row r="23523" spans="1:5" x14ac:dyDescent="0.25">
      <c r="A23523" t="s">
        <v>5</v>
      </c>
      <c r="B23523" t="s">
        <v>6073</v>
      </c>
      <c r="C23523" s="1" t="s">
        <v>8427</v>
      </c>
      <c r="D23523" s="1" t="str">
        <f>HYPERLINK("https://rhld.insurance.arkansas.gov/NPILookup?Npi=1962006072","1962006072")</f>
        <v>1962006072</v>
      </c>
      <c r="E23523" t="s">
        <v>23275</v>
      </c>
    </row>
    <row r="23524" spans="1:5" x14ac:dyDescent="0.25">
      <c r="A23524" t="s">
        <v>5</v>
      </c>
      <c r="B23524" t="s">
        <v>6073</v>
      </c>
      <c r="C23524" s="1" t="s">
        <v>23490</v>
      </c>
      <c r="D23524" s="1" t="str">
        <f>HYPERLINK("https://rhld.insurance.arkansas.gov/NPILookup?Npi=1962029546","1962029546")</f>
        <v>1962029546</v>
      </c>
      <c r="E23524" t="s">
        <v>20687</v>
      </c>
    </row>
    <row r="23525" spans="1:5" x14ac:dyDescent="0.25">
      <c r="A23525" t="s">
        <v>5</v>
      </c>
      <c r="B23525" t="s">
        <v>6073</v>
      </c>
      <c r="C23525" s="1" t="s">
        <v>23490</v>
      </c>
      <c r="D23525" s="1" t="str">
        <f>HYPERLINK("https://rhld.insurance.arkansas.gov/NPILookup?Npi=1962067959","1962067959")</f>
        <v>1962067959</v>
      </c>
      <c r="E23525" t="s">
        <v>21238</v>
      </c>
    </row>
    <row r="23526" spans="1:5" x14ac:dyDescent="0.25">
      <c r="A23526" t="s">
        <v>5</v>
      </c>
      <c r="B23526" t="s">
        <v>6073</v>
      </c>
      <c r="C23526" s="1" t="s">
        <v>23490</v>
      </c>
      <c r="D23526" s="1" t="str">
        <f>HYPERLINK("https://rhld.insurance.arkansas.gov/NPILookup?Npi=1962158048","1962158048")</f>
        <v>1962158048</v>
      </c>
      <c r="E23526" t="s">
        <v>20648</v>
      </c>
    </row>
    <row r="23527" spans="1:5" x14ac:dyDescent="0.25">
      <c r="A23527" t="s">
        <v>5</v>
      </c>
      <c r="B23527" t="s">
        <v>6073</v>
      </c>
      <c r="C23527" s="1" t="s">
        <v>23490</v>
      </c>
      <c r="D23527" s="1" t="str">
        <f>HYPERLINK("https://rhld.insurance.arkansas.gov/NPILookup?Npi=1962742569","1962742569")</f>
        <v>1962742569</v>
      </c>
      <c r="E23527" t="s">
        <v>11933</v>
      </c>
    </row>
    <row r="23528" spans="1:5" x14ac:dyDescent="0.25">
      <c r="A23528" t="s">
        <v>5</v>
      </c>
      <c r="B23528" t="s">
        <v>6073</v>
      </c>
      <c r="C23528" s="1" t="s">
        <v>23490</v>
      </c>
      <c r="D23528" s="1" t="str">
        <f>HYPERLINK("https://rhld.insurance.arkansas.gov/NPILookup?Npi=1962813766","1962813766")</f>
        <v>1962813766</v>
      </c>
      <c r="E23528" t="s">
        <v>14293</v>
      </c>
    </row>
    <row r="23529" spans="1:5" x14ac:dyDescent="0.25">
      <c r="A23529" t="s">
        <v>5</v>
      </c>
      <c r="B23529" t="s">
        <v>6073</v>
      </c>
      <c r="C23529" s="1" t="s">
        <v>23490</v>
      </c>
      <c r="D23529" s="1" t="str">
        <f>HYPERLINK("https://rhld.insurance.arkansas.gov/NPILookup?Npi=1962831263","1962831263")</f>
        <v>1962831263</v>
      </c>
      <c r="E23529" t="s">
        <v>20650</v>
      </c>
    </row>
    <row r="23530" spans="1:5" x14ac:dyDescent="0.25">
      <c r="A23530" t="s">
        <v>5</v>
      </c>
      <c r="B23530" t="s">
        <v>6073</v>
      </c>
      <c r="C23530" s="1" t="s">
        <v>23490</v>
      </c>
      <c r="D23530" s="1" t="str">
        <f>HYPERLINK("https://rhld.insurance.arkansas.gov/NPILookup?Npi=1962965111","1962965111")</f>
        <v>1962965111</v>
      </c>
      <c r="E23530" t="s">
        <v>20652</v>
      </c>
    </row>
    <row r="23531" spans="1:5" x14ac:dyDescent="0.25">
      <c r="A23531" t="s">
        <v>5</v>
      </c>
      <c r="B23531" t="s">
        <v>6073</v>
      </c>
      <c r="C23531" s="1" t="s">
        <v>23490</v>
      </c>
      <c r="D23531" s="1" t="str">
        <f>HYPERLINK("https://rhld.insurance.arkansas.gov/NPILookup?Npi=1962996413","1962996413")</f>
        <v>1962996413</v>
      </c>
      <c r="E23531" t="s">
        <v>19110</v>
      </c>
    </row>
    <row r="23532" spans="1:5" x14ac:dyDescent="0.25">
      <c r="A23532" t="s">
        <v>5</v>
      </c>
      <c r="B23532" t="s">
        <v>6073</v>
      </c>
      <c r="C23532" s="1" t="s">
        <v>23490</v>
      </c>
      <c r="D23532" s="1" t="str">
        <f>HYPERLINK("https://rhld.insurance.arkansas.gov/NPILookup?Npi=1972018760","1972018760")</f>
        <v>1972018760</v>
      </c>
      <c r="E23532" t="s">
        <v>20654</v>
      </c>
    </row>
    <row r="23533" spans="1:5" x14ac:dyDescent="0.25">
      <c r="A23533" t="s">
        <v>5</v>
      </c>
      <c r="B23533" t="s">
        <v>6073</v>
      </c>
      <c r="C23533" s="1" t="s">
        <v>23490</v>
      </c>
      <c r="D23533" s="1" t="str">
        <f>HYPERLINK("https://rhld.insurance.arkansas.gov/NPILookup?Npi=1972043792","1972043792")</f>
        <v>1972043792</v>
      </c>
      <c r="E23533" t="s">
        <v>20655</v>
      </c>
    </row>
    <row r="23534" spans="1:5" x14ac:dyDescent="0.25">
      <c r="A23534" t="s">
        <v>5</v>
      </c>
      <c r="B23534" t="s">
        <v>6073</v>
      </c>
      <c r="C23534" s="1" t="s">
        <v>23490</v>
      </c>
      <c r="D23534" s="1" t="str">
        <f>HYPERLINK("https://rhld.insurance.arkansas.gov/NPILookup?Npi=1972071975","1972071975")</f>
        <v>1972071975</v>
      </c>
      <c r="E23534" t="s">
        <v>20688</v>
      </c>
    </row>
    <row r="23535" spans="1:5" x14ac:dyDescent="0.25">
      <c r="A23535" t="s">
        <v>5</v>
      </c>
      <c r="B23535" t="s">
        <v>6073</v>
      </c>
      <c r="C23535" s="1" t="s">
        <v>23490</v>
      </c>
      <c r="D23535" s="1" t="str">
        <f>HYPERLINK("https://rhld.insurance.arkansas.gov/NPILookup?Npi=1972083319","1972083319")</f>
        <v>1972083319</v>
      </c>
      <c r="E23535" t="s">
        <v>20689</v>
      </c>
    </row>
    <row r="23536" spans="1:5" x14ac:dyDescent="0.25">
      <c r="A23536" t="s">
        <v>5</v>
      </c>
      <c r="B23536" t="s">
        <v>6073</v>
      </c>
      <c r="C23536" s="1" t="s">
        <v>8427</v>
      </c>
      <c r="D23536" s="1" t="str">
        <f>HYPERLINK("https://rhld.insurance.arkansas.gov/NPILookup?Npi=1972262210","1972262210")</f>
        <v>1972262210</v>
      </c>
      <c r="E23536" t="s">
        <v>23276</v>
      </c>
    </row>
    <row r="23537" spans="1:5" x14ac:dyDescent="0.25">
      <c r="A23537" t="s">
        <v>5</v>
      </c>
      <c r="B23537" t="s">
        <v>6073</v>
      </c>
      <c r="C23537" s="1" t="s">
        <v>8427</v>
      </c>
      <c r="D23537" s="1" t="str">
        <f>HYPERLINK("https://rhld.insurance.arkansas.gov/NPILookup?Npi=1972929511","1972929511")</f>
        <v>1972929511</v>
      </c>
      <c r="E23537" t="s">
        <v>23222</v>
      </c>
    </row>
    <row r="23538" spans="1:5" x14ac:dyDescent="0.25">
      <c r="A23538" t="s">
        <v>5</v>
      </c>
      <c r="B23538" t="s">
        <v>6073</v>
      </c>
      <c r="C23538" s="1" t="s">
        <v>23490</v>
      </c>
      <c r="D23538" s="1" t="str">
        <f>HYPERLINK("https://rhld.insurance.arkansas.gov/NPILookup?Npi=1982134441","1982134441")</f>
        <v>1982134441</v>
      </c>
      <c r="E23538" t="s">
        <v>19111</v>
      </c>
    </row>
    <row r="23539" spans="1:5" x14ac:dyDescent="0.25">
      <c r="A23539" t="s">
        <v>5</v>
      </c>
      <c r="B23539" t="s">
        <v>6073</v>
      </c>
      <c r="C23539" s="1" t="s">
        <v>23490</v>
      </c>
      <c r="D23539" s="1" t="str">
        <f>HYPERLINK("https://rhld.insurance.arkansas.gov/NPILookup?Npi=1982145660","1982145660")</f>
        <v>1982145660</v>
      </c>
      <c r="E23539" t="s">
        <v>14303</v>
      </c>
    </row>
    <row r="23540" spans="1:5" x14ac:dyDescent="0.25">
      <c r="A23540" t="s">
        <v>5</v>
      </c>
      <c r="B23540" t="s">
        <v>6073</v>
      </c>
      <c r="C23540" s="1" t="s">
        <v>23490</v>
      </c>
      <c r="D23540" s="1" t="str">
        <f>HYPERLINK("https://rhld.insurance.arkansas.gov/NPILookup?Npi=1982272290","1982272290")</f>
        <v>1982272290</v>
      </c>
      <c r="E23540" t="s">
        <v>19112</v>
      </c>
    </row>
    <row r="23541" spans="1:5" x14ac:dyDescent="0.25">
      <c r="A23541" t="s">
        <v>5</v>
      </c>
      <c r="B23541" t="s">
        <v>6073</v>
      </c>
      <c r="C23541" s="1" t="s">
        <v>23490</v>
      </c>
      <c r="D23541" s="1" t="str">
        <f>HYPERLINK("https://rhld.insurance.arkansas.gov/NPILookup?Npi=1982938999","1982938999")</f>
        <v>1982938999</v>
      </c>
      <c r="E23541" t="s">
        <v>11942</v>
      </c>
    </row>
    <row r="23542" spans="1:5" x14ac:dyDescent="0.25">
      <c r="A23542" t="s">
        <v>5</v>
      </c>
      <c r="B23542" t="s">
        <v>6073</v>
      </c>
      <c r="C23542" s="1" t="s">
        <v>23490</v>
      </c>
      <c r="D23542" s="1" t="str">
        <f>HYPERLINK("https://rhld.insurance.arkansas.gov/NPILookup?Npi=1992062996","1992062996")</f>
        <v>1992062996</v>
      </c>
      <c r="E23542" t="s">
        <v>11943</v>
      </c>
    </row>
    <row r="23543" spans="1:5" x14ac:dyDescent="0.25">
      <c r="A23543" t="s">
        <v>5</v>
      </c>
      <c r="B23543" t="s">
        <v>6073</v>
      </c>
      <c r="C23543" s="1" t="s">
        <v>23490</v>
      </c>
      <c r="D23543" s="1" t="str">
        <f>HYPERLINK("https://rhld.insurance.arkansas.gov/NPILookup?Npi=1992118681","1992118681")</f>
        <v>1992118681</v>
      </c>
      <c r="E23543" t="s">
        <v>20660</v>
      </c>
    </row>
    <row r="23544" spans="1:5" x14ac:dyDescent="0.25">
      <c r="A23544" t="s">
        <v>5</v>
      </c>
      <c r="B23544" t="s">
        <v>6073</v>
      </c>
      <c r="C23544" s="1" t="s">
        <v>23490</v>
      </c>
      <c r="D23544" s="1" t="str">
        <f>HYPERLINK("https://rhld.insurance.arkansas.gov/NPILookup?Npi=1992145387","1992145387")</f>
        <v>1992145387</v>
      </c>
      <c r="E23544" t="s">
        <v>11944</v>
      </c>
    </row>
    <row r="23545" spans="1:5" x14ac:dyDescent="0.25">
      <c r="A23545" t="s">
        <v>5</v>
      </c>
      <c r="B23545" t="s">
        <v>6073</v>
      </c>
      <c r="C23545" s="1" t="s">
        <v>23490</v>
      </c>
      <c r="D23545" s="1" t="str">
        <f>HYPERLINK("https://rhld.insurance.arkansas.gov/NPILookup?Npi=1992150643","1992150643")</f>
        <v>1992150643</v>
      </c>
      <c r="E23545" t="s">
        <v>19113</v>
      </c>
    </row>
    <row r="23546" spans="1:5" x14ac:dyDescent="0.25">
      <c r="A23546" t="s">
        <v>5</v>
      </c>
      <c r="B23546" t="s">
        <v>6073</v>
      </c>
      <c r="C23546" s="1" t="s">
        <v>23490</v>
      </c>
      <c r="D23546" s="1" t="str">
        <f>HYPERLINK("https://rhld.insurance.arkansas.gov/NPILookup?Npi=1992227011","1992227011")</f>
        <v>1992227011</v>
      </c>
      <c r="E23546" t="s">
        <v>14308</v>
      </c>
    </row>
    <row r="23547" spans="1:5" x14ac:dyDescent="0.25">
      <c r="A23547" t="s">
        <v>5</v>
      </c>
      <c r="B23547" t="s">
        <v>6073</v>
      </c>
      <c r="C23547" s="1" t="s">
        <v>8427</v>
      </c>
      <c r="D23547" s="1" t="str">
        <f>HYPERLINK("https://rhld.insurance.arkansas.gov/NPILookup?Npi=1992253207","1992253207")</f>
        <v>1992253207</v>
      </c>
      <c r="E23547" t="s">
        <v>23277</v>
      </c>
    </row>
    <row r="23548" spans="1:5" x14ac:dyDescent="0.25">
      <c r="A23548" t="s">
        <v>5</v>
      </c>
      <c r="B23548" t="s">
        <v>6073</v>
      </c>
      <c r="C23548" s="1" t="s">
        <v>23490</v>
      </c>
      <c r="D23548" s="1" t="str">
        <f>HYPERLINK("https://rhld.insurance.arkansas.gov/NPILookup?Npi=1992273122","1992273122")</f>
        <v>1992273122</v>
      </c>
      <c r="E23548" t="s">
        <v>18487</v>
      </c>
    </row>
    <row r="23549" spans="1:5" x14ac:dyDescent="0.25">
      <c r="A23549" t="s">
        <v>5</v>
      </c>
      <c r="B23549" t="s">
        <v>6073</v>
      </c>
      <c r="C23549" s="1" t="s">
        <v>23490</v>
      </c>
      <c r="D23549" s="1" t="str">
        <f>HYPERLINK("https://rhld.insurance.arkansas.gov/NPILookup?Npi=1992914832","1992914832")</f>
        <v>1992914832</v>
      </c>
      <c r="E23549" t="s">
        <v>14310</v>
      </c>
    </row>
    <row r="23550" spans="1:5" x14ac:dyDescent="0.25">
      <c r="A23550" t="s">
        <v>6</v>
      </c>
      <c r="B23550" t="s">
        <v>6078</v>
      </c>
      <c r="C23550" s="1" t="s">
        <v>23490</v>
      </c>
      <c r="D23550" s="1" t="str">
        <f>HYPERLINK("https://rhld.insurance.arkansas.gov/NPILookup?Npi=1003068347","1003068347")</f>
        <v>1003068347</v>
      </c>
      <c r="E23550" t="s">
        <v>16299</v>
      </c>
    </row>
    <row r="23551" spans="1:5" x14ac:dyDescent="0.25">
      <c r="A23551" t="s">
        <v>6</v>
      </c>
      <c r="B23551" t="s">
        <v>6078</v>
      </c>
      <c r="C23551" s="1" t="s">
        <v>23490</v>
      </c>
      <c r="D23551" s="1" t="str">
        <f>HYPERLINK("https://rhld.insurance.arkansas.gov/NPILookup?Npi=1003080854","1003080854")</f>
        <v>1003080854</v>
      </c>
      <c r="E23551" t="s">
        <v>23278</v>
      </c>
    </row>
    <row r="23552" spans="1:5" x14ac:dyDescent="0.25">
      <c r="A23552" t="s">
        <v>6</v>
      </c>
      <c r="B23552" t="s">
        <v>6078</v>
      </c>
      <c r="C23552" s="1" t="s">
        <v>23490</v>
      </c>
      <c r="D23552" s="1" t="str">
        <f>HYPERLINK("https://rhld.insurance.arkansas.gov/NPILookup?Npi=1003819269","1003819269")</f>
        <v>1003819269</v>
      </c>
      <c r="E23552" t="s">
        <v>6079</v>
      </c>
    </row>
    <row r="23553" spans="1:5" x14ac:dyDescent="0.25">
      <c r="A23553" t="s">
        <v>6</v>
      </c>
      <c r="B23553" t="s">
        <v>6078</v>
      </c>
      <c r="C23553" s="1" t="s">
        <v>23490</v>
      </c>
      <c r="D23553" s="1" t="str">
        <f>HYPERLINK("https://rhld.insurance.arkansas.gov/NPILookup?Npi=1003882499","1003882499")</f>
        <v>1003882499</v>
      </c>
      <c r="E23553" t="s">
        <v>20690</v>
      </c>
    </row>
    <row r="23554" spans="1:5" x14ac:dyDescent="0.25">
      <c r="A23554" t="s">
        <v>6</v>
      </c>
      <c r="B23554" t="s">
        <v>6078</v>
      </c>
      <c r="C23554" s="1" t="s">
        <v>23490</v>
      </c>
      <c r="D23554" s="1" t="str">
        <f>HYPERLINK("https://rhld.insurance.arkansas.gov/NPILookup?Npi=1013017094","1013017094")</f>
        <v>1013017094</v>
      </c>
      <c r="E23554" t="s">
        <v>6080</v>
      </c>
    </row>
    <row r="23555" spans="1:5" x14ac:dyDescent="0.25">
      <c r="A23555" t="s">
        <v>6</v>
      </c>
      <c r="B23555" t="s">
        <v>6078</v>
      </c>
      <c r="C23555" s="1" t="s">
        <v>23490</v>
      </c>
      <c r="D23555" s="1" t="str">
        <f>HYPERLINK("https://rhld.insurance.arkansas.gov/NPILookup?Npi=1013108141","1013108141")</f>
        <v>1013108141</v>
      </c>
      <c r="E23555" t="s">
        <v>6081</v>
      </c>
    </row>
    <row r="23556" spans="1:5" x14ac:dyDescent="0.25">
      <c r="A23556" t="s">
        <v>6</v>
      </c>
      <c r="B23556" t="s">
        <v>6078</v>
      </c>
      <c r="C23556" s="1" t="s">
        <v>23490</v>
      </c>
      <c r="D23556" s="1" t="str">
        <f>HYPERLINK("https://rhld.insurance.arkansas.gov/NPILookup?Npi=1013914662","1013914662")</f>
        <v>1013914662</v>
      </c>
      <c r="E23556" t="s">
        <v>6082</v>
      </c>
    </row>
    <row r="23557" spans="1:5" x14ac:dyDescent="0.25">
      <c r="A23557" t="s">
        <v>6</v>
      </c>
      <c r="B23557" t="s">
        <v>6078</v>
      </c>
      <c r="C23557" s="1" t="s">
        <v>23490</v>
      </c>
      <c r="D23557" s="1" t="str">
        <f>HYPERLINK("https://rhld.insurance.arkansas.gov/NPILookup?Npi=1023019064","1023019064")</f>
        <v>1023019064</v>
      </c>
      <c r="E23557" t="s">
        <v>6083</v>
      </c>
    </row>
    <row r="23558" spans="1:5" x14ac:dyDescent="0.25">
      <c r="A23558" t="s">
        <v>6</v>
      </c>
      <c r="B23558" t="s">
        <v>6078</v>
      </c>
      <c r="C23558" s="1" t="s">
        <v>23490</v>
      </c>
      <c r="D23558" s="1" t="str">
        <f>HYPERLINK("https://rhld.insurance.arkansas.gov/NPILookup?Npi=1023024189","1023024189")</f>
        <v>1023024189</v>
      </c>
      <c r="E23558" t="s">
        <v>22435</v>
      </c>
    </row>
    <row r="23559" spans="1:5" x14ac:dyDescent="0.25">
      <c r="A23559" t="s">
        <v>6</v>
      </c>
      <c r="B23559" t="s">
        <v>6078</v>
      </c>
      <c r="C23559" s="1" t="s">
        <v>23490</v>
      </c>
      <c r="D23559" s="1" t="str">
        <f>HYPERLINK("https://rhld.insurance.arkansas.gov/NPILookup?Npi=1023072485","1023072485")</f>
        <v>1023072485</v>
      </c>
      <c r="E23559" t="s">
        <v>6084</v>
      </c>
    </row>
    <row r="23560" spans="1:5" x14ac:dyDescent="0.25">
      <c r="A23560" t="s">
        <v>6</v>
      </c>
      <c r="B23560" t="s">
        <v>6078</v>
      </c>
      <c r="C23560" s="1" t="s">
        <v>23490</v>
      </c>
      <c r="D23560" s="1" t="str">
        <f>HYPERLINK("https://rhld.insurance.arkansas.gov/NPILookup?Npi=1023194982","1023194982")</f>
        <v>1023194982</v>
      </c>
      <c r="E23560" t="s">
        <v>6085</v>
      </c>
    </row>
    <row r="23561" spans="1:5" x14ac:dyDescent="0.25">
      <c r="A23561" t="s">
        <v>6</v>
      </c>
      <c r="B23561" t="s">
        <v>6078</v>
      </c>
      <c r="C23561" s="1" t="s">
        <v>23490</v>
      </c>
      <c r="D23561" s="1" t="str">
        <f>HYPERLINK("https://rhld.insurance.arkansas.gov/NPILookup?Npi=1023219698","1023219698")</f>
        <v>1023219698</v>
      </c>
      <c r="E23561" t="s">
        <v>16300</v>
      </c>
    </row>
    <row r="23562" spans="1:5" x14ac:dyDescent="0.25">
      <c r="A23562" t="s">
        <v>6</v>
      </c>
      <c r="B23562" t="s">
        <v>6078</v>
      </c>
      <c r="C23562" s="1" t="s">
        <v>23490</v>
      </c>
      <c r="D23562" s="1" t="str">
        <f>HYPERLINK("https://rhld.insurance.arkansas.gov/NPILookup?Npi=1023222726","1023222726")</f>
        <v>1023222726</v>
      </c>
      <c r="E23562" t="s">
        <v>6086</v>
      </c>
    </row>
    <row r="23563" spans="1:5" x14ac:dyDescent="0.25">
      <c r="A23563" t="s">
        <v>6</v>
      </c>
      <c r="B23563" t="s">
        <v>6078</v>
      </c>
      <c r="C23563" s="1" t="s">
        <v>8427</v>
      </c>
      <c r="D23563" s="1" t="str">
        <f>HYPERLINK("https://rhld.insurance.arkansas.gov/NPILookup?Npi=1023513728","1023513728")</f>
        <v>1023513728</v>
      </c>
      <c r="E23563" t="s">
        <v>23279</v>
      </c>
    </row>
    <row r="23564" spans="1:5" x14ac:dyDescent="0.25">
      <c r="A23564" t="s">
        <v>6</v>
      </c>
      <c r="B23564" t="s">
        <v>6078</v>
      </c>
      <c r="C23564" s="1" t="s">
        <v>23490</v>
      </c>
      <c r="D23564" s="1" t="str">
        <f>HYPERLINK("https://rhld.insurance.arkansas.gov/NPILookup?Npi=1033115746","1033115746")</f>
        <v>1033115746</v>
      </c>
      <c r="E23564" t="s">
        <v>6087</v>
      </c>
    </row>
    <row r="23565" spans="1:5" x14ac:dyDescent="0.25">
      <c r="A23565" t="s">
        <v>6</v>
      </c>
      <c r="B23565" t="s">
        <v>6078</v>
      </c>
      <c r="C23565" s="1" t="s">
        <v>23490</v>
      </c>
      <c r="D23565" s="1" t="str">
        <f>HYPERLINK("https://rhld.insurance.arkansas.gov/NPILookup?Npi=1033123195","1033123195")</f>
        <v>1033123195</v>
      </c>
      <c r="E23565" t="s">
        <v>18514</v>
      </c>
    </row>
    <row r="23566" spans="1:5" x14ac:dyDescent="0.25">
      <c r="A23566" t="s">
        <v>6</v>
      </c>
      <c r="B23566" t="s">
        <v>6078</v>
      </c>
      <c r="C23566" s="1" t="s">
        <v>23490</v>
      </c>
      <c r="D23566" s="1" t="str">
        <f>HYPERLINK("https://rhld.insurance.arkansas.gov/NPILookup?Npi=1033180229","1033180229")</f>
        <v>1033180229</v>
      </c>
      <c r="E23566" t="s">
        <v>6088</v>
      </c>
    </row>
    <row r="23567" spans="1:5" x14ac:dyDescent="0.25">
      <c r="A23567" t="s">
        <v>6</v>
      </c>
      <c r="B23567" t="s">
        <v>6078</v>
      </c>
      <c r="C23567" s="1" t="s">
        <v>23490</v>
      </c>
      <c r="D23567" s="1" t="str">
        <f>HYPERLINK("https://rhld.insurance.arkansas.gov/NPILookup?Npi=1033185228","1033185228")</f>
        <v>1033185228</v>
      </c>
      <c r="E23567" t="s">
        <v>6089</v>
      </c>
    </row>
    <row r="23568" spans="1:5" x14ac:dyDescent="0.25">
      <c r="A23568" t="s">
        <v>6</v>
      </c>
      <c r="B23568" t="s">
        <v>6078</v>
      </c>
      <c r="C23568" s="1" t="s">
        <v>23490</v>
      </c>
      <c r="D23568" s="1" t="str">
        <f>HYPERLINK("https://rhld.insurance.arkansas.gov/NPILookup?Npi=1043288483","1043288483")</f>
        <v>1043288483</v>
      </c>
      <c r="E23568" t="s">
        <v>16301</v>
      </c>
    </row>
    <row r="23569" spans="1:5" x14ac:dyDescent="0.25">
      <c r="A23569" t="s">
        <v>6</v>
      </c>
      <c r="B23569" t="s">
        <v>6078</v>
      </c>
      <c r="C23569" s="1" t="s">
        <v>23490</v>
      </c>
      <c r="D23569" s="1" t="str">
        <f>HYPERLINK("https://rhld.insurance.arkansas.gov/NPILookup?Npi=1043300601","1043300601")</f>
        <v>1043300601</v>
      </c>
      <c r="E23569" t="s">
        <v>6090</v>
      </c>
    </row>
    <row r="23570" spans="1:5" x14ac:dyDescent="0.25">
      <c r="A23570" t="s">
        <v>6</v>
      </c>
      <c r="B23570" t="s">
        <v>6078</v>
      </c>
      <c r="C23570" s="1" t="s">
        <v>23490</v>
      </c>
      <c r="D23570" s="1" t="str">
        <f>HYPERLINK("https://rhld.insurance.arkansas.gov/NPILookup?Npi=1043300619","1043300619")</f>
        <v>1043300619</v>
      </c>
      <c r="E23570" t="s">
        <v>6091</v>
      </c>
    </row>
    <row r="23571" spans="1:5" x14ac:dyDescent="0.25">
      <c r="A23571" t="s">
        <v>6</v>
      </c>
      <c r="B23571" t="s">
        <v>6078</v>
      </c>
      <c r="C23571" s="1" t="s">
        <v>23490</v>
      </c>
      <c r="D23571" s="1" t="str">
        <f>HYPERLINK("https://rhld.insurance.arkansas.gov/NPILookup?Npi=1043373038","1043373038")</f>
        <v>1043373038</v>
      </c>
      <c r="E23571" t="s">
        <v>6092</v>
      </c>
    </row>
    <row r="23572" spans="1:5" x14ac:dyDescent="0.25">
      <c r="A23572" t="s">
        <v>6</v>
      </c>
      <c r="B23572" t="s">
        <v>6078</v>
      </c>
      <c r="C23572" s="1" t="s">
        <v>23490</v>
      </c>
      <c r="D23572" s="1" t="str">
        <f>HYPERLINK("https://rhld.insurance.arkansas.gov/NPILookup?Npi=1043575582","1043575582")</f>
        <v>1043575582</v>
      </c>
      <c r="E23572" t="s">
        <v>6093</v>
      </c>
    </row>
    <row r="23573" spans="1:5" x14ac:dyDescent="0.25">
      <c r="A23573" t="s">
        <v>6</v>
      </c>
      <c r="B23573" t="s">
        <v>6078</v>
      </c>
      <c r="C23573" s="1" t="s">
        <v>23490</v>
      </c>
      <c r="D23573" s="1" t="str">
        <f>HYPERLINK("https://rhld.insurance.arkansas.gov/NPILookup?Npi=1043651318","1043651318")</f>
        <v>1043651318</v>
      </c>
      <c r="E23573" t="s">
        <v>22437</v>
      </c>
    </row>
    <row r="23574" spans="1:5" x14ac:dyDescent="0.25">
      <c r="A23574" t="s">
        <v>6</v>
      </c>
      <c r="B23574" t="s">
        <v>6078</v>
      </c>
      <c r="C23574" s="1" t="s">
        <v>8427</v>
      </c>
      <c r="D23574" s="1" t="str">
        <f>HYPERLINK("https://rhld.insurance.arkansas.gov/NPILookup?Npi=1043743339","1043743339")</f>
        <v>1043743339</v>
      </c>
      <c r="E23574" t="s">
        <v>23280</v>
      </c>
    </row>
    <row r="23575" spans="1:5" x14ac:dyDescent="0.25">
      <c r="A23575" t="s">
        <v>6</v>
      </c>
      <c r="B23575" t="s">
        <v>6078</v>
      </c>
      <c r="C23575" s="1" t="s">
        <v>23490</v>
      </c>
      <c r="D23575" s="1" t="str">
        <f>HYPERLINK("https://rhld.insurance.arkansas.gov/NPILookup?Npi=1053303750","1053303750")</f>
        <v>1053303750</v>
      </c>
      <c r="E23575" t="s">
        <v>6094</v>
      </c>
    </row>
    <row r="23576" spans="1:5" x14ac:dyDescent="0.25">
      <c r="A23576" t="s">
        <v>6</v>
      </c>
      <c r="B23576" t="s">
        <v>6078</v>
      </c>
      <c r="C23576" s="1" t="s">
        <v>23490</v>
      </c>
      <c r="D23576" s="1" t="str">
        <f>HYPERLINK("https://rhld.insurance.arkansas.gov/NPILookup?Npi=1053317941","1053317941")</f>
        <v>1053317941</v>
      </c>
      <c r="E23576" t="s">
        <v>6096</v>
      </c>
    </row>
    <row r="23577" spans="1:5" x14ac:dyDescent="0.25">
      <c r="A23577" t="s">
        <v>6</v>
      </c>
      <c r="B23577" t="s">
        <v>6078</v>
      </c>
      <c r="C23577" s="1" t="s">
        <v>23490</v>
      </c>
      <c r="D23577" s="1" t="str">
        <f>HYPERLINK("https://rhld.insurance.arkansas.gov/NPILookup?Npi=1053340802","1053340802")</f>
        <v>1053340802</v>
      </c>
      <c r="E23577" t="s">
        <v>6097</v>
      </c>
    </row>
    <row r="23578" spans="1:5" x14ac:dyDescent="0.25">
      <c r="A23578" t="s">
        <v>6</v>
      </c>
      <c r="B23578" t="s">
        <v>6078</v>
      </c>
      <c r="C23578" s="1" t="s">
        <v>23490</v>
      </c>
      <c r="D23578" s="1" t="str">
        <f>HYPERLINK("https://rhld.insurance.arkansas.gov/NPILookup?Npi=1053426304","1053426304")</f>
        <v>1053426304</v>
      </c>
      <c r="E23578" t="s">
        <v>14316</v>
      </c>
    </row>
    <row r="23579" spans="1:5" x14ac:dyDescent="0.25">
      <c r="A23579" t="s">
        <v>6</v>
      </c>
      <c r="B23579" t="s">
        <v>6078</v>
      </c>
      <c r="C23579" s="1" t="s">
        <v>23490</v>
      </c>
      <c r="D23579" s="1" t="str">
        <f>HYPERLINK("https://rhld.insurance.arkansas.gov/NPILookup?Npi=1053546473","1053546473")</f>
        <v>1053546473</v>
      </c>
      <c r="E23579" t="s">
        <v>18515</v>
      </c>
    </row>
    <row r="23580" spans="1:5" x14ac:dyDescent="0.25">
      <c r="A23580" t="s">
        <v>6</v>
      </c>
      <c r="B23580" t="s">
        <v>6078</v>
      </c>
      <c r="C23580" s="1" t="s">
        <v>23490</v>
      </c>
      <c r="D23580" s="1" t="str">
        <f>HYPERLINK("https://rhld.insurance.arkansas.gov/NPILookup?Npi=1063410637","1063410637")</f>
        <v>1063410637</v>
      </c>
      <c r="E23580" t="s">
        <v>11950</v>
      </c>
    </row>
    <row r="23581" spans="1:5" x14ac:dyDescent="0.25">
      <c r="A23581" t="s">
        <v>6</v>
      </c>
      <c r="B23581" t="s">
        <v>6078</v>
      </c>
      <c r="C23581" s="1" t="s">
        <v>23490</v>
      </c>
      <c r="D23581" s="1" t="str">
        <f>HYPERLINK("https://rhld.insurance.arkansas.gov/NPILookup?Npi=1063437515","1063437515")</f>
        <v>1063437515</v>
      </c>
      <c r="E23581" t="s">
        <v>22438</v>
      </c>
    </row>
    <row r="23582" spans="1:5" x14ac:dyDescent="0.25">
      <c r="A23582" t="s">
        <v>6</v>
      </c>
      <c r="B23582" t="s">
        <v>6078</v>
      </c>
      <c r="C23582" s="1" t="s">
        <v>23490</v>
      </c>
      <c r="D23582" s="1" t="str">
        <f>HYPERLINK("https://rhld.insurance.arkansas.gov/NPILookup?Npi=1063494953","1063494953")</f>
        <v>1063494953</v>
      </c>
      <c r="E23582" t="s">
        <v>6099</v>
      </c>
    </row>
    <row r="23583" spans="1:5" x14ac:dyDescent="0.25">
      <c r="A23583" t="s">
        <v>6</v>
      </c>
      <c r="B23583" t="s">
        <v>6078</v>
      </c>
      <c r="C23583" s="1" t="s">
        <v>23490</v>
      </c>
      <c r="D23583" s="1" t="str">
        <f>HYPERLINK("https://rhld.insurance.arkansas.gov/NPILookup?Npi=1063502540","1063502540")</f>
        <v>1063502540</v>
      </c>
      <c r="E23583" t="s">
        <v>16302</v>
      </c>
    </row>
    <row r="23584" spans="1:5" x14ac:dyDescent="0.25">
      <c r="A23584" t="s">
        <v>6</v>
      </c>
      <c r="B23584" t="s">
        <v>6078</v>
      </c>
      <c r="C23584" s="1" t="s">
        <v>23490</v>
      </c>
      <c r="D23584" s="1" t="str">
        <f>HYPERLINK("https://rhld.insurance.arkansas.gov/NPILookup?Npi=1063526614","1063526614")</f>
        <v>1063526614</v>
      </c>
      <c r="E23584" t="s">
        <v>8455</v>
      </c>
    </row>
    <row r="23585" spans="1:5" x14ac:dyDescent="0.25">
      <c r="A23585" t="s">
        <v>6</v>
      </c>
      <c r="B23585" t="s">
        <v>6078</v>
      </c>
      <c r="C23585" s="1" t="s">
        <v>23490</v>
      </c>
      <c r="D23585" s="1" t="str">
        <f>HYPERLINK("https://rhld.insurance.arkansas.gov/NPILookup?Npi=1063582278","1063582278")</f>
        <v>1063582278</v>
      </c>
      <c r="E23585" t="s">
        <v>6100</v>
      </c>
    </row>
    <row r="23586" spans="1:5" x14ac:dyDescent="0.25">
      <c r="A23586" t="s">
        <v>6</v>
      </c>
      <c r="B23586" t="s">
        <v>6078</v>
      </c>
      <c r="C23586" s="1" t="s">
        <v>23490</v>
      </c>
      <c r="D23586" s="1" t="str">
        <f>HYPERLINK("https://rhld.insurance.arkansas.gov/NPILookup?Npi=1073036232","1073036232")</f>
        <v>1073036232</v>
      </c>
      <c r="E23586" t="s">
        <v>16303</v>
      </c>
    </row>
    <row r="23587" spans="1:5" x14ac:dyDescent="0.25">
      <c r="A23587" t="s">
        <v>6</v>
      </c>
      <c r="B23587" t="s">
        <v>6078</v>
      </c>
      <c r="C23587" s="1" t="s">
        <v>23490</v>
      </c>
      <c r="D23587" s="1" t="str">
        <f>HYPERLINK("https://rhld.insurance.arkansas.gov/NPILookup?Npi=1073735114","1073735114")</f>
        <v>1073735114</v>
      </c>
      <c r="E23587" t="s">
        <v>16304</v>
      </c>
    </row>
    <row r="23588" spans="1:5" x14ac:dyDescent="0.25">
      <c r="A23588" t="s">
        <v>6</v>
      </c>
      <c r="B23588" t="s">
        <v>6078</v>
      </c>
      <c r="C23588" s="1" t="s">
        <v>23490</v>
      </c>
      <c r="D23588" s="1" t="str">
        <f>HYPERLINK("https://rhld.insurance.arkansas.gov/NPILookup?Npi=1073737227","1073737227")</f>
        <v>1073737227</v>
      </c>
      <c r="E23588" t="s">
        <v>6101</v>
      </c>
    </row>
    <row r="23589" spans="1:5" x14ac:dyDescent="0.25">
      <c r="A23589" t="s">
        <v>6</v>
      </c>
      <c r="B23589" t="s">
        <v>6078</v>
      </c>
      <c r="C23589" s="1" t="s">
        <v>23490</v>
      </c>
      <c r="D23589" s="1" t="str">
        <f>HYPERLINK("https://rhld.insurance.arkansas.gov/NPILookup?Npi=1073824553","1073824553")</f>
        <v>1073824553</v>
      </c>
      <c r="E23589" t="s">
        <v>16305</v>
      </c>
    </row>
    <row r="23590" spans="1:5" x14ac:dyDescent="0.25">
      <c r="A23590" t="s">
        <v>6</v>
      </c>
      <c r="B23590" t="s">
        <v>6078</v>
      </c>
      <c r="C23590" s="1" t="s">
        <v>23490</v>
      </c>
      <c r="D23590" s="1" t="str">
        <f>HYPERLINK("https://rhld.insurance.arkansas.gov/NPILookup?Npi=1083618912","1083618912")</f>
        <v>1083618912</v>
      </c>
      <c r="E23590" t="s">
        <v>6102</v>
      </c>
    </row>
    <row r="23591" spans="1:5" x14ac:dyDescent="0.25">
      <c r="A23591" t="s">
        <v>6</v>
      </c>
      <c r="B23591" t="s">
        <v>6078</v>
      </c>
      <c r="C23591" s="1" t="s">
        <v>23490</v>
      </c>
      <c r="D23591" s="1" t="str">
        <f>HYPERLINK("https://rhld.insurance.arkansas.gov/NPILookup?Npi=1083632053","1083632053")</f>
        <v>1083632053</v>
      </c>
      <c r="E23591" t="s">
        <v>6103</v>
      </c>
    </row>
    <row r="23592" spans="1:5" x14ac:dyDescent="0.25">
      <c r="A23592" t="s">
        <v>6</v>
      </c>
      <c r="B23592" t="s">
        <v>6078</v>
      </c>
      <c r="C23592" s="1" t="s">
        <v>23490</v>
      </c>
      <c r="D23592" s="1" t="str">
        <f>HYPERLINK("https://rhld.insurance.arkansas.gov/NPILookup?Npi=1083643845","1083643845")</f>
        <v>1083643845</v>
      </c>
      <c r="E23592" t="s">
        <v>6104</v>
      </c>
    </row>
    <row r="23593" spans="1:5" x14ac:dyDescent="0.25">
      <c r="A23593" t="s">
        <v>6</v>
      </c>
      <c r="B23593" t="s">
        <v>6078</v>
      </c>
      <c r="C23593" s="1" t="s">
        <v>23490</v>
      </c>
      <c r="D23593" s="1" t="str">
        <f>HYPERLINK("https://rhld.insurance.arkansas.gov/NPILookup?Npi=1083660328","1083660328")</f>
        <v>1083660328</v>
      </c>
      <c r="E23593" t="s">
        <v>16306</v>
      </c>
    </row>
    <row r="23594" spans="1:5" x14ac:dyDescent="0.25">
      <c r="A23594" t="s">
        <v>6</v>
      </c>
      <c r="B23594" t="s">
        <v>6078</v>
      </c>
      <c r="C23594" s="1" t="s">
        <v>23490</v>
      </c>
      <c r="D23594" s="1" t="str">
        <f>HYPERLINK("https://rhld.insurance.arkansas.gov/NPILookup?Npi=1083667737","1083667737")</f>
        <v>1083667737</v>
      </c>
      <c r="E23594" t="s">
        <v>9196</v>
      </c>
    </row>
    <row r="23595" spans="1:5" x14ac:dyDescent="0.25">
      <c r="A23595" t="s">
        <v>6</v>
      </c>
      <c r="B23595" t="s">
        <v>6078</v>
      </c>
      <c r="C23595" s="1" t="s">
        <v>23490</v>
      </c>
      <c r="D23595" s="1" t="str">
        <f>HYPERLINK("https://rhld.insurance.arkansas.gov/NPILookup?Npi=1083685283","1083685283")</f>
        <v>1083685283</v>
      </c>
      <c r="E23595" t="s">
        <v>6105</v>
      </c>
    </row>
    <row r="23596" spans="1:5" x14ac:dyDescent="0.25">
      <c r="A23596" t="s">
        <v>6</v>
      </c>
      <c r="B23596" t="s">
        <v>6078</v>
      </c>
      <c r="C23596" s="1" t="s">
        <v>23490</v>
      </c>
      <c r="D23596" s="1" t="str">
        <f>HYPERLINK("https://rhld.insurance.arkansas.gov/NPILookup?Npi=1083758544","1083758544")</f>
        <v>1083758544</v>
      </c>
      <c r="E23596" t="s">
        <v>19114</v>
      </c>
    </row>
    <row r="23597" spans="1:5" x14ac:dyDescent="0.25">
      <c r="A23597" t="s">
        <v>6</v>
      </c>
      <c r="B23597" t="s">
        <v>6078</v>
      </c>
      <c r="C23597" s="1" t="s">
        <v>23490</v>
      </c>
      <c r="D23597" s="1" t="str">
        <f>HYPERLINK("https://rhld.insurance.arkansas.gov/NPILookup?Npi=1083801450","1083801450")</f>
        <v>1083801450</v>
      </c>
      <c r="E23597" t="s">
        <v>6106</v>
      </c>
    </row>
    <row r="23598" spans="1:5" x14ac:dyDescent="0.25">
      <c r="A23598" t="s">
        <v>6</v>
      </c>
      <c r="B23598" t="s">
        <v>6078</v>
      </c>
      <c r="C23598" s="1" t="s">
        <v>23490</v>
      </c>
      <c r="D23598" s="1" t="str">
        <f>HYPERLINK("https://rhld.insurance.arkansas.gov/NPILookup?Npi=1083838239","1083838239")</f>
        <v>1083838239</v>
      </c>
      <c r="E23598" t="s">
        <v>6107</v>
      </c>
    </row>
    <row r="23599" spans="1:5" x14ac:dyDescent="0.25">
      <c r="A23599" t="s">
        <v>6</v>
      </c>
      <c r="B23599" t="s">
        <v>6078</v>
      </c>
      <c r="C23599" s="1" t="s">
        <v>23490</v>
      </c>
      <c r="D23599" s="1" t="str">
        <f>HYPERLINK("https://rhld.insurance.arkansas.gov/NPILookup?Npi=1093849432","1093849432")</f>
        <v>1093849432</v>
      </c>
      <c r="E23599" t="s">
        <v>20691</v>
      </c>
    </row>
    <row r="23600" spans="1:5" x14ac:dyDescent="0.25">
      <c r="A23600" t="s">
        <v>6</v>
      </c>
      <c r="B23600" t="s">
        <v>6078</v>
      </c>
      <c r="C23600" s="1" t="s">
        <v>23490</v>
      </c>
      <c r="D23600" s="1" t="str">
        <f>HYPERLINK("https://rhld.insurance.arkansas.gov/NPILookup?Npi=1093878787","1093878787")</f>
        <v>1093878787</v>
      </c>
      <c r="E23600" t="s">
        <v>22439</v>
      </c>
    </row>
    <row r="23601" spans="1:5" x14ac:dyDescent="0.25">
      <c r="A23601" t="s">
        <v>6</v>
      </c>
      <c r="B23601" t="s">
        <v>6078</v>
      </c>
      <c r="C23601" s="1" t="s">
        <v>23490</v>
      </c>
      <c r="D23601" s="1" t="str">
        <f>HYPERLINK("https://rhld.insurance.arkansas.gov/NPILookup?Npi=1093926446","1093926446")</f>
        <v>1093926446</v>
      </c>
      <c r="E23601" t="s">
        <v>362</v>
      </c>
    </row>
    <row r="23602" spans="1:5" x14ac:dyDescent="0.25">
      <c r="A23602" t="s">
        <v>6</v>
      </c>
      <c r="B23602" t="s">
        <v>6078</v>
      </c>
      <c r="C23602" s="1" t="s">
        <v>23490</v>
      </c>
      <c r="D23602" s="1" t="str">
        <f>HYPERLINK("https://rhld.insurance.arkansas.gov/NPILookup?Npi=1104897099","1104897099")</f>
        <v>1104897099</v>
      </c>
      <c r="E23602" t="s">
        <v>6108</v>
      </c>
    </row>
    <row r="23603" spans="1:5" x14ac:dyDescent="0.25">
      <c r="A23603" t="s">
        <v>6</v>
      </c>
      <c r="B23603" t="s">
        <v>6078</v>
      </c>
      <c r="C23603" s="1" t="s">
        <v>23490</v>
      </c>
      <c r="D23603" s="1" t="str">
        <f>HYPERLINK("https://rhld.insurance.arkansas.gov/NPILookup?Npi=1114106515","1114106515")</f>
        <v>1114106515</v>
      </c>
      <c r="E23603" t="s">
        <v>14317</v>
      </c>
    </row>
    <row r="23604" spans="1:5" x14ac:dyDescent="0.25">
      <c r="A23604" t="s">
        <v>6</v>
      </c>
      <c r="B23604" t="s">
        <v>6078</v>
      </c>
      <c r="C23604" s="1" t="s">
        <v>23490</v>
      </c>
      <c r="D23604" s="1" t="str">
        <f>HYPERLINK("https://rhld.insurance.arkansas.gov/NPILookup?Npi=1114313962","1114313962")</f>
        <v>1114313962</v>
      </c>
      <c r="E23604" t="s">
        <v>22440</v>
      </c>
    </row>
    <row r="23605" spans="1:5" x14ac:dyDescent="0.25">
      <c r="A23605" t="s">
        <v>6</v>
      </c>
      <c r="B23605" t="s">
        <v>6078</v>
      </c>
      <c r="C23605" s="1" t="s">
        <v>23490</v>
      </c>
      <c r="D23605" s="1" t="str">
        <f>HYPERLINK("https://rhld.insurance.arkansas.gov/NPILookup?Npi=1114926060","1114926060")</f>
        <v>1114926060</v>
      </c>
      <c r="E23605" t="s">
        <v>16307</v>
      </c>
    </row>
    <row r="23606" spans="1:5" x14ac:dyDescent="0.25">
      <c r="A23606" t="s">
        <v>6</v>
      </c>
      <c r="B23606" t="s">
        <v>6078</v>
      </c>
      <c r="C23606" s="1" t="s">
        <v>23490</v>
      </c>
      <c r="D23606" s="1" t="str">
        <f>HYPERLINK("https://rhld.insurance.arkansas.gov/NPILookup?Npi=1114926847","1114926847")</f>
        <v>1114926847</v>
      </c>
      <c r="E23606" t="s">
        <v>17688</v>
      </c>
    </row>
    <row r="23607" spans="1:5" x14ac:dyDescent="0.25">
      <c r="A23607" t="s">
        <v>6</v>
      </c>
      <c r="B23607" t="s">
        <v>6078</v>
      </c>
      <c r="C23607" s="1" t="s">
        <v>23490</v>
      </c>
      <c r="D23607" s="1" t="str">
        <f>HYPERLINK("https://rhld.insurance.arkansas.gov/NPILookup?Npi=1114955085","1114955085")</f>
        <v>1114955085</v>
      </c>
      <c r="E23607" t="s">
        <v>6109</v>
      </c>
    </row>
    <row r="23608" spans="1:5" x14ac:dyDescent="0.25">
      <c r="A23608" t="s">
        <v>6</v>
      </c>
      <c r="B23608" t="s">
        <v>6078</v>
      </c>
      <c r="C23608" s="1" t="s">
        <v>23490</v>
      </c>
      <c r="D23608" s="1" t="str">
        <f>HYPERLINK("https://rhld.insurance.arkansas.gov/NPILookup?Npi=1124024849","1124024849")</f>
        <v>1124024849</v>
      </c>
      <c r="E23608" t="s">
        <v>22441</v>
      </c>
    </row>
    <row r="23609" spans="1:5" x14ac:dyDescent="0.25">
      <c r="A23609" t="s">
        <v>6</v>
      </c>
      <c r="B23609" t="s">
        <v>6078</v>
      </c>
      <c r="C23609" s="1" t="s">
        <v>23490</v>
      </c>
      <c r="D23609" s="1" t="str">
        <f>HYPERLINK("https://rhld.insurance.arkansas.gov/NPILookup?Npi=1124072186","1124072186")</f>
        <v>1124072186</v>
      </c>
      <c r="E23609" t="s">
        <v>6110</v>
      </c>
    </row>
    <row r="23610" spans="1:5" x14ac:dyDescent="0.25">
      <c r="A23610" t="s">
        <v>6</v>
      </c>
      <c r="B23610" t="s">
        <v>6078</v>
      </c>
      <c r="C23610" s="1" t="s">
        <v>23490</v>
      </c>
      <c r="D23610" s="1" t="str">
        <f>HYPERLINK("https://rhld.insurance.arkansas.gov/NPILookup?Npi=1124174644","1124174644")</f>
        <v>1124174644</v>
      </c>
      <c r="E23610" t="s">
        <v>6111</v>
      </c>
    </row>
    <row r="23611" spans="1:5" x14ac:dyDescent="0.25">
      <c r="A23611" t="s">
        <v>6</v>
      </c>
      <c r="B23611" t="s">
        <v>6078</v>
      </c>
      <c r="C23611" s="1" t="s">
        <v>23490</v>
      </c>
      <c r="D23611" s="1" t="str">
        <f>HYPERLINK("https://rhld.insurance.arkansas.gov/NPILookup?Npi=1124231816","1124231816")</f>
        <v>1124231816</v>
      </c>
      <c r="E23611" t="s">
        <v>14318</v>
      </c>
    </row>
    <row r="23612" spans="1:5" x14ac:dyDescent="0.25">
      <c r="A23612" t="s">
        <v>6</v>
      </c>
      <c r="B23612" t="s">
        <v>6078</v>
      </c>
      <c r="C23612" s="1" t="s">
        <v>23490</v>
      </c>
      <c r="D23612" s="1" t="str">
        <f>HYPERLINK("https://rhld.insurance.arkansas.gov/NPILookup?Npi=1124241062","1124241062")</f>
        <v>1124241062</v>
      </c>
      <c r="E23612" t="s">
        <v>6112</v>
      </c>
    </row>
    <row r="23613" spans="1:5" x14ac:dyDescent="0.25">
      <c r="A23613" t="s">
        <v>6</v>
      </c>
      <c r="B23613" t="s">
        <v>6078</v>
      </c>
      <c r="C23613" s="1" t="s">
        <v>23490</v>
      </c>
      <c r="D23613" s="1" t="str">
        <f>HYPERLINK("https://rhld.insurance.arkansas.gov/NPILookup?Npi=1124314752","1124314752")</f>
        <v>1124314752</v>
      </c>
      <c r="E23613" t="s">
        <v>14319</v>
      </c>
    </row>
    <row r="23614" spans="1:5" x14ac:dyDescent="0.25">
      <c r="A23614" t="s">
        <v>6</v>
      </c>
      <c r="B23614" t="s">
        <v>6078</v>
      </c>
      <c r="C23614" s="1" t="s">
        <v>23490</v>
      </c>
      <c r="D23614" s="1" t="str">
        <f>HYPERLINK("https://rhld.insurance.arkansas.gov/NPILookup?Npi=1124651468","1124651468")</f>
        <v>1124651468</v>
      </c>
      <c r="E23614" t="s">
        <v>19438</v>
      </c>
    </row>
    <row r="23615" spans="1:5" x14ac:dyDescent="0.25">
      <c r="A23615" t="s">
        <v>6</v>
      </c>
      <c r="B23615" t="s">
        <v>6078</v>
      </c>
      <c r="C23615" s="1" t="s">
        <v>23490</v>
      </c>
      <c r="D23615" s="1" t="str">
        <f>HYPERLINK("https://rhld.insurance.arkansas.gov/NPILookup?Npi=1134156052","1134156052")</f>
        <v>1134156052</v>
      </c>
      <c r="E23615" t="s">
        <v>11951</v>
      </c>
    </row>
    <row r="23616" spans="1:5" x14ac:dyDescent="0.25">
      <c r="A23616" t="s">
        <v>6</v>
      </c>
      <c r="B23616" t="s">
        <v>6078</v>
      </c>
      <c r="C23616" s="1" t="s">
        <v>23490</v>
      </c>
      <c r="D23616" s="1" t="str">
        <f>HYPERLINK("https://rhld.insurance.arkansas.gov/NPILookup?Npi=1134173024","1134173024")</f>
        <v>1134173024</v>
      </c>
      <c r="E23616" t="s">
        <v>6113</v>
      </c>
    </row>
    <row r="23617" spans="1:5" x14ac:dyDescent="0.25">
      <c r="A23617" t="s">
        <v>6</v>
      </c>
      <c r="B23617" t="s">
        <v>6078</v>
      </c>
      <c r="C23617" s="1" t="s">
        <v>23490</v>
      </c>
      <c r="D23617" s="1" t="str">
        <f>HYPERLINK("https://rhld.insurance.arkansas.gov/NPILookup?Npi=1134183304","1134183304")</f>
        <v>1134183304</v>
      </c>
      <c r="E23617" t="s">
        <v>22442</v>
      </c>
    </row>
    <row r="23618" spans="1:5" x14ac:dyDescent="0.25">
      <c r="A23618" t="s">
        <v>6</v>
      </c>
      <c r="B23618" t="s">
        <v>6078</v>
      </c>
      <c r="C23618" s="1" t="s">
        <v>23490</v>
      </c>
      <c r="D23618" s="1" t="str">
        <f>HYPERLINK("https://rhld.insurance.arkansas.gov/NPILookup?Npi=1134209489","1134209489")</f>
        <v>1134209489</v>
      </c>
      <c r="E23618" t="s">
        <v>14320</v>
      </c>
    </row>
    <row r="23619" spans="1:5" x14ac:dyDescent="0.25">
      <c r="A23619" t="s">
        <v>6</v>
      </c>
      <c r="B23619" t="s">
        <v>6078</v>
      </c>
      <c r="C23619" s="1" t="s">
        <v>23490</v>
      </c>
      <c r="D23619" s="1" t="str">
        <f>HYPERLINK("https://rhld.insurance.arkansas.gov/NPILookup?Npi=1134219793","1134219793")</f>
        <v>1134219793</v>
      </c>
      <c r="E23619" t="s">
        <v>6114</v>
      </c>
    </row>
    <row r="23620" spans="1:5" x14ac:dyDescent="0.25">
      <c r="A23620" t="s">
        <v>6</v>
      </c>
      <c r="B23620" t="s">
        <v>6078</v>
      </c>
      <c r="C23620" s="1" t="s">
        <v>23490</v>
      </c>
      <c r="D23620" s="1" t="str">
        <f>HYPERLINK("https://rhld.insurance.arkansas.gov/NPILookup?Npi=1134315880","1134315880")</f>
        <v>1134315880</v>
      </c>
      <c r="E23620" t="s">
        <v>7449</v>
      </c>
    </row>
    <row r="23621" spans="1:5" x14ac:dyDescent="0.25">
      <c r="A23621" t="s">
        <v>6</v>
      </c>
      <c r="B23621" t="s">
        <v>6078</v>
      </c>
      <c r="C23621" s="1" t="s">
        <v>23490</v>
      </c>
      <c r="D23621" s="1" t="str">
        <f>HYPERLINK("https://rhld.insurance.arkansas.gov/NPILookup?Npi=1134474976","1134474976")</f>
        <v>1134474976</v>
      </c>
      <c r="E23621" t="s">
        <v>13247</v>
      </c>
    </row>
    <row r="23622" spans="1:5" x14ac:dyDescent="0.25">
      <c r="A23622" t="s">
        <v>6</v>
      </c>
      <c r="B23622" t="s">
        <v>6078</v>
      </c>
      <c r="C23622" s="1" t="s">
        <v>23490</v>
      </c>
      <c r="D23622" s="1" t="str">
        <f>HYPERLINK("https://rhld.insurance.arkansas.gov/NPILookup?Npi=1144223280","1144223280")</f>
        <v>1144223280</v>
      </c>
      <c r="E23622" t="s">
        <v>6115</v>
      </c>
    </row>
    <row r="23623" spans="1:5" x14ac:dyDescent="0.25">
      <c r="A23623" t="s">
        <v>6</v>
      </c>
      <c r="B23623" t="s">
        <v>6078</v>
      </c>
      <c r="C23623" s="1" t="s">
        <v>23490</v>
      </c>
      <c r="D23623" s="1" t="str">
        <f>HYPERLINK("https://rhld.insurance.arkansas.gov/NPILookup?Npi=1144223298","1144223298")</f>
        <v>1144223298</v>
      </c>
      <c r="E23623" t="s">
        <v>6116</v>
      </c>
    </row>
    <row r="23624" spans="1:5" x14ac:dyDescent="0.25">
      <c r="A23624" t="s">
        <v>6</v>
      </c>
      <c r="B23624" t="s">
        <v>6078</v>
      </c>
      <c r="C23624" s="1" t="s">
        <v>23490</v>
      </c>
      <c r="D23624" s="1" t="str">
        <f>HYPERLINK("https://rhld.insurance.arkansas.gov/NPILookup?Npi=1144338344","1144338344")</f>
        <v>1144338344</v>
      </c>
      <c r="E23624" t="s">
        <v>357</v>
      </c>
    </row>
    <row r="23625" spans="1:5" x14ac:dyDescent="0.25">
      <c r="A23625" t="s">
        <v>6</v>
      </c>
      <c r="B23625" t="s">
        <v>6078</v>
      </c>
      <c r="C23625" s="1" t="s">
        <v>23490</v>
      </c>
      <c r="D23625" s="1" t="str">
        <f>HYPERLINK("https://rhld.insurance.arkansas.gov/NPILookup?Npi=1144421009","1144421009")</f>
        <v>1144421009</v>
      </c>
      <c r="E23625" t="s">
        <v>22443</v>
      </c>
    </row>
    <row r="23626" spans="1:5" x14ac:dyDescent="0.25">
      <c r="A23626" t="s">
        <v>6</v>
      </c>
      <c r="B23626" t="s">
        <v>6078</v>
      </c>
      <c r="C23626" s="1" t="s">
        <v>23490</v>
      </c>
      <c r="D23626" s="1" t="str">
        <f>HYPERLINK("https://rhld.insurance.arkansas.gov/NPILookup?Npi=1144586280","1144586280")</f>
        <v>1144586280</v>
      </c>
      <c r="E23626" t="s">
        <v>11952</v>
      </c>
    </row>
    <row r="23627" spans="1:5" x14ac:dyDescent="0.25">
      <c r="A23627" t="s">
        <v>6</v>
      </c>
      <c r="B23627" t="s">
        <v>6078</v>
      </c>
      <c r="C23627" s="1" t="s">
        <v>23490</v>
      </c>
      <c r="D23627" s="1" t="str">
        <f>HYPERLINK("https://rhld.insurance.arkansas.gov/NPILookup?Npi=1144663923","1144663923")</f>
        <v>1144663923</v>
      </c>
      <c r="E23627" t="s">
        <v>16308</v>
      </c>
    </row>
    <row r="23628" spans="1:5" x14ac:dyDescent="0.25">
      <c r="A23628" t="s">
        <v>6</v>
      </c>
      <c r="B23628" t="s">
        <v>6078</v>
      </c>
      <c r="C23628" s="1" t="s">
        <v>23490</v>
      </c>
      <c r="D23628" s="1" t="str">
        <f>HYPERLINK("https://rhld.insurance.arkansas.gov/NPILookup?Npi=1154348050","1154348050")</f>
        <v>1154348050</v>
      </c>
      <c r="E23628" t="s">
        <v>6117</v>
      </c>
    </row>
    <row r="23629" spans="1:5" x14ac:dyDescent="0.25">
      <c r="A23629" t="s">
        <v>6</v>
      </c>
      <c r="B23629" t="s">
        <v>6078</v>
      </c>
      <c r="C23629" s="1" t="s">
        <v>23490</v>
      </c>
      <c r="D23629" s="1" t="str">
        <f>HYPERLINK("https://rhld.insurance.arkansas.gov/NPILookup?Npi=1154356533","1154356533")</f>
        <v>1154356533</v>
      </c>
      <c r="E23629" t="s">
        <v>14321</v>
      </c>
    </row>
    <row r="23630" spans="1:5" x14ac:dyDescent="0.25">
      <c r="A23630" t="s">
        <v>6</v>
      </c>
      <c r="B23630" t="s">
        <v>6078</v>
      </c>
      <c r="C23630" s="1" t="s">
        <v>23490</v>
      </c>
      <c r="D23630" s="1" t="str">
        <f>HYPERLINK("https://rhld.insurance.arkansas.gov/NPILookup?Npi=1154434264","1154434264")</f>
        <v>1154434264</v>
      </c>
      <c r="E23630" t="s">
        <v>16309</v>
      </c>
    </row>
    <row r="23631" spans="1:5" x14ac:dyDescent="0.25">
      <c r="A23631" t="s">
        <v>6</v>
      </c>
      <c r="B23631" t="s">
        <v>6078</v>
      </c>
      <c r="C23631" s="1" t="s">
        <v>23490</v>
      </c>
      <c r="D23631" s="1" t="str">
        <f>HYPERLINK("https://rhld.insurance.arkansas.gov/NPILookup?Npi=1154619021","1154619021")</f>
        <v>1154619021</v>
      </c>
      <c r="E23631" t="s">
        <v>19115</v>
      </c>
    </row>
    <row r="23632" spans="1:5" x14ac:dyDescent="0.25">
      <c r="A23632" t="s">
        <v>6</v>
      </c>
      <c r="B23632" t="s">
        <v>6078</v>
      </c>
      <c r="C23632" s="1" t="s">
        <v>23490</v>
      </c>
      <c r="D23632" s="1" t="str">
        <f>HYPERLINK("https://rhld.insurance.arkansas.gov/NPILookup?Npi=1154633857","1154633857")</f>
        <v>1154633857</v>
      </c>
      <c r="E23632" t="s">
        <v>11953</v>
      </c>
    </row>
    <row r="23633" spans="1:5" x14ac:dyDescent="0.25">
      <c r="A23633" t="s">
        <v>6</v>
      </c>
      <c r="B23633" t="s">
        <v>6078</v>
      </c>
      <c r="C23633" s="1" t="s">
        <v>23490</v>
      </c>
      <c r="D23633" s="1" t="str">
        <f>HYPERLINK("https://rhld.insurance.arkansas.gov/NPILookup?Npi=1154733103","1154733103")</f>
        <v>1154733103</v>
      </c>
      <c r="E23633" t="s">
        <v>17689</v>
      </c>
    </row>
    <row r="23634" spans="1:5" x14ac:dyDescent="0.25">
      <c r="A23634" t="s">
        <v>6</v>
      </c>
      <c r="B23634" t="s">
        <v>6078</v>
      </c>
      <c r="C23634" s="1" t="s">
        <v>23490</v>
      </c>
      <c r="D23634" s="1" t="str">
        <f>HYPERLINK("https://rhld.insurance.arkansas.gov/NPILookup?Npi=1164425278","1164425278")</f>
        <v>1164425278</v>
      </c>
      <c r="E23634" t="s">
        <v>454</v>
      </c>
    </row>
    <row r="23635" spans="1:5" x14ac:dyDescent="0.25">
      <c r="A23635" t="s">
        <v>6</v>
      </c>
      <c r="B23635" t="s">
        <v>6078</v>
      </c>
      <c r="C23635" s="1" t="s">
        <v>23490</v>
      </c>
      <c r="D23635" s="1" t="str">
        <f>HYPERLINK("https://rhld.insurance.arkansas.gov/NPILookup?Npi=1164425724","1164425724")</f>
        <v>1164425724</v>
      </c>
      <c r="E23635" t="s">
        <v>6118</v>
      </c>
    </row>
    <row r="23636" spans="1:5" x14ac:dyDescent="0.25">
      <c r="A23636" t="s">
        <v>6</v>
      </c>
      <c r="B23636" t="s">
        <v>6078</v>
      </c>
      <c r="C23636" s="1" t="s">
        <v>23490</v>
      </c>
      <c r="D23636" s="1" t="str">
        <f>HYPERLINK("https://rhld.insurance.arkansas.gov/NPILookup?Npi=1164431052","1164431052")</f>
        <v>1164431052</v>
      </c>
      <c r="E23636" t="s">
        <v>22444</v>
      </c>
    </row>
    <row r="23637" spans="1:5" x14ac:dyDescent="0.25">
      <c r="A23637" t="s">
        <v>6</v>
      </c>
      <c r="B23637" t="s">
        <v>6078</v>
      </c>
      <c r="C23637" s="1" t="s">
        <v>23490</v>
      </c>
      <c r="D23637" s="1" t="str">
        <f>HYPERLINK("https://rhld.insurance.arkansas.gov/NPILookup?Npi=1164450904","1164450904")</f>
        <v>1164450904</v>
      </c>
      <c r="E23637" t="s">
        <v>6119</v>
      </c>
    </row>
    <row r="23638" spans="1:5" x14ac:dyDescent="0.25">
      <c r="A23638" t="s">
        <v>6</v>
      </c>
      <c r="B23638" t="s">
        <v>6078</v>
      </c>
      <c r="C23638" s="1" t="s">
        <v>23490</v>
      </c>
      <c r="D23638" s="1" t="str">
        <f>HYPERLINK("https://rhld.insurance.arkansas.gov/NPILookup?Npi=1164468567","1164468567")</f>
        <v>1164468567</v>
      </c>
      <c r="E23638" t="s">
        <v>16310</v>
      </c>
    </row>
    <row r="23639" spans="1:5" x14ac:dyDescent="0.25">
      <c r="A23639" t="s">
        <v>6</v>
      </c>
      <c r="B23639" t="s">
        <v>6078</v>
      </c>
      <c r="C23639" s="1" t="s">
        <v>23490</v>
      </c>
      <c r="D23639" s="1" t="str">
        <f>HYPERLINK("https://rhld.insurance.arkansas.gov/NPILookup?Npi=1164484614","1164484614")</f>
        <v>1164484614</v>
      </c>
      <c r="E23639" t="s">
        <v>6120</v>
      </c>
    </row>
    <row r="23640" spans="1:5" x14ac:dyDescent="0.25">
      <c r="A23640" t="s">
        <v>6</v>
      </c>
      <c r="B23640" t="s">
        <v>6078</v>
      </c>
      <c r="C23640" s="1" t="s">
        <v>23490</v>
      </c>
      <c r="D23640" s="1" t="str">
        <f>HYPERLINK("https://rhld.insurance.arkansas.gov/NPILookup?Npi=1164488573","1164488573")</f>
        <v>1164488573</v>
      </c>
      <c r="E23640" t="s">
        <v>20692</v>
      </c>
    </row>
    <row r="23641" spans="1:5" x14ac:dyDescent="0.25">
      <c r="A23641" t="s">
        <v>6</v>
      </c>
      <c r="B23641" t="s">
        <v>6078</v>
      </c>
      <c r="C23641" s="1" t="s">
        <v>23490</v>
      </c>
      <c r="D23641" s="1" t="str">
        <f>HYPERLINK("https://rhld.insurance.arkansas.gov/NPILookup?Npi=1164499588","1164499588")</f>
        <v>1164499588</v>
      </c>
      <c r="E23641" t="s">
        <v>16311</v>
      </c>
    </row>
    <row r="23642" spans="1:5" x14ac:dyDescent="0.25">
      <c r="A23642" t="s">
        <v>6</v>
      </c>
      <c r="B23642" t="s">
        <v>6078</v>
      </c>
      <c r="C23642" s="1" t="s">
        <v>23490</v>
      </c>
      <c r="D23642" s="1" t="str">
        <f>HYPERLINK("https://rhld.insurance.arkansas.gov/NPILookup?Npi=1164537643","1164537643")</f>
        <v>1164537643</v>
      </c>
      <c r="E23642" t="s">
        <v>16312</v>
      </c>
    </row>
    <row r="23643" spans="1:5" x14ac:dyDescent="0.25">
      <c r="A23643" t="s">
        <v>6</v>
      </c>
      <c r="B23643" t="s">
        <v>6078</v>
      </c>
      <c r="C23643" s="1" t="s">
        <v>23490</v>
      </c>
      <c r="D23643" s="1" t="str">
        <f>HYPERLINK("https://rhld.insurance.arkansas.gov/NPILookup?Npi=1164643714","1164643714")</f>
        <v>1164643714</v>
      </c>
      <c r="E23643" t="s">
        <v>16885</v>
      </c>
    </row>
    <row r="23644" spans="1:5" x14ac:dyDescent="0.25">
      <c r="A23644" t="s">
        <v>6</v>
      </c>
      <c r="B23644" t="s">
        <v>6078</v>
      </c>
      <c r="C23644" s="1" t="s">
        <v>23490</v>
      </c>
      <c r="D23644" s="1" t="str">
        <f>HYPERLINK("https://rhld.insurance.arkansas.gov/NPILookup?Npi=1164749255","1164749255")</f>
        <v>1164749255</v>
      </c>
      <c r="E23644" t="s">
        <v>16313</v>
      </c>
    </row>
    <row r="23645" spans="1:5" x14ac:dyDescent="0.25">
      <c r="A23645" t="s">
        <v>6</v>
      </c>
      <c r="B23645" t="s">
        <v>6078</v>
      </c>
      <c r="C23645" s="1" t="s">
        <v>23490</v>
      </c>
      <c r="D23645" s="1" t="str">
        <f>HYPERLINK("https://rhld.insurance.arkansas.gov/NPILookup?Npi=1164943908","1164943908")</f>
        <v>1164943908</v>
      </c>
      <c r="E23645" t="s">
        <v>22445</v>
      </c>
    </row>
    <row r="23646" spans="1:5" x14ac:dyDescent="0.25">
      <c r="A23646" t="s">
        <v>6</v>
      </c>
      <c r="B23646" t="s">
        <v>6078</v>
      </c>
      <c r="C23646" s="1" t="s">
        <v>23490</v>
      </c>
      <c r="D23646" s="1" t="str">
        <f>HYPERLINK("https://rhld.insurance.arkansas.gov/NPILookup?Npi=1174526735","1174526735")</f>
        <v>1174526735</v>
      </c>
      <c r="E23646" t="s">
        <v>22446</v>
      </c>
    </row>
    <row r="23647" spans="1:5" x14ac:dyDescent="0.25">
      <c r="A23647" t="s">
        <v>6</v>
      </c>
      <c r="B23647" t="s">
        <v>6078</v>
      </c>
      <c r="C23647" s="1" t="s">
        <v>23490</v>
      </c>
      <c r="D23647" s="1" t="str">
        <f>HYPERLINK("https://rhld.insurance.arkansas.gov/NPILookup?Npi=1174526750","1174526750")</f>
        <v>1174526750</v>
      </c>
      <c r="E23647" t="s">
        <v>6121</v>
      </c>
    </row>
    <row r="23648" spans="1:5" x14ac:dyDescent="0.25">
      <c r="A23648" t="s">
        <v>6</v>
      </c>
      <c r="B23648" t="s">
        <v>6078</v>
      </c>
      <c r="C23648" s="1" t="s">
        <v>23490</v>
      </c>
      <c r="D23648" s="1" t="str">
        <f>HYPERLINK("https://rhld.insurance.arkansas.gov/NPILookup?Npi=1174532469","1174532469")</f>
        <v>1174532469</v>
      </c>
      <c r="E23648" t="s">
        <v>6122</v>
      </c>
    </row>
    <row r="23649" spans="1:5" x14ac:dyDescent="0.25">
      <c r="A23649" t="s">
        <v>6</v>
      </c>
      <c r="B23649" t="s">
        <v>6078</v>
      </c>
      <c r="C23649" s="1" t="s">
        <v>23490</v>
      </c>
      <c r="D23649" s="1" t="str">
        <f>HYPERLINK("https://rhld.insurance.arkansas.gov/NPILookup?Npi=1174539159","1174539159")</f>
        <v>1174539159</v>
      </c>
      <c r="E23649" t="s">
        <v>6123</v>
      </c>
    </row>
    <row r="23650" spans="1:5" x14ac:dyDescent="0.25">
      <c r="A23650" t="s">
        <v>6</v>
      </c>
      <c r="B23650" t="s">
        <v>6078</v>
      </c>
      <c r="C23650" s="1" t="s">
        <v>23490</v>
      </c>
      <c r="D23650" s="1" t="str">
        <f>HYPERLINK("https://rhld.insurance.arkansas.gov/NPILookup?Npi=1174547590","1174547590")</f>
        <v>1174547590</v>
      </c>
      <c r="E23650" t="s">
        <v>22447</v>
      </c>
    </row>
    <row r="23651" spans="1:5" x14ac:dyDescent="0.25">
      <c r="A23651" t="s">
        <v>6</v>
      </c>
      <c r="B23651" t="s">
        <v>6078</v>
      </c>
      <c r="C23651" s="1" t="s">
        <v>23490</v>
      </c>
      <c r="D23651" s="1" t="str">
        <f>HYPERLINK("https://rhld.insurance.arkansas.gov/NPILookup?Npi=1174589980","1174589980")</f>
        <v>1174589980</v>
      </c>
      <c r="E23651" t="s">
        <v>16314</v>
      </c>
    </row>
    <row r="23652" spans="1:5" x14ac:dyDescent="0.25">
      <c r="A23652" t="s">
        <v>6</v>
      </c>
      <c r="B23652" t="s">
        <v>6078</v>
      </c>
      <c r="C23652" s="1" t="s">
        <v>23490</v>
      </c>
      <c r="D23652" s="1" t="str">
        <f>HYPERLINK("https://rhld.insurance.arkansas.gov/NPILookup?Npi=1174611511","1174611511")</f>
        <v>1174611511</v>
      </c>
      <c r="E23652" t="s">
        <v>6124</v>
      </c>
    </row>
    <row r="23653" spans="1:5" x14ac:dyDescent="0.25">
      <c r="A23653" t="s">
        <v>6</v>
      </c>
      <c r="B23653" t="s">
        <v>6078</v>
      </c>
      <c r="C23653" s="1" t="s">
        <v>23490</v>
      </c>
      <c r="D23653" s="1" t="str">
        <f>HYPERLINK("https://rhld.insurance.arkansas.gov/NPILookup?Npi=1174667109","1174667109")</f>
        <v>1174667109</v>
      </c>
      <c r="E23653" t="s">
        <v>16315</v>
      </c>
    </row>
    <row r="23654" spans="1:5" x14ac:dyDescent="0.25">
      <c r="A23654" t="s">
        <v>6</v>
      </c>
      <c r="B23654" t="s">
        <v>6078</v>
      </c>
      <c r="C23654" s="1" t="s">
        <v>23490</v>
      </c>
      <c r="D23654" s="1" t="str">
        <f>HYPERLINK("https://rhld.insurance.arkansas.gov/NPILookup?Npi=1174836209","1174836209")</f>
        <v>1174836209</v>
      </c>
      <c r="E23654" t="s">
        <v>14322</v>
      </c>
    </row>
    <row r="23655" spans="1:5" x14ac:dyDescent="0.25">
      <c r="A23655" t="s">
        <v>6</v>
      </c>
      <c r="B23655" t="s">
        <v>6078</v>
      </c>
      <c r="C23655" s="1" t="s">
        <v>23490</v>
      </c>
      <c r="D23655" s="1" t="str">
        <f>HYPERLINK("https://rhld.insurance.arkansas.gov/NPILookup?Npi=1174866891","1174866891")</f>
        <v>1174866891</v>
      </c>
      <c r="E23655" t="s">
        <v>22448</v>
      </c>
    </row>
    <row r="23656" spans="1:5" x14ac:dyDescent="0.25">
      <c r="A23656" t="s">
        <v>6</v>
      </c>
      <c r="B23656" t="s">
        <v>6078</v>
      </c>
      <c r="C23656" s="1" t="s">
        <v>23490</v>
      </c>
      <c r="D23656" s="1" t="str">
        <f>HYPERLINK("https://rhld.insurance.arkansas.gov/NPILookup?Npi=1184011470","1184011470")</f>
        <v>1184011470</v>
      </c>
      <c r="E23656" t="s">
        <v>17690</v>
      </c>
    </row>
    <row r="23657" spans="1:5" x14ac:dyDescent="0.25">
      <c r="A23657" t="s">
        <v>6</v>
      </c>
      <c r="B23657" t="s">
        <v>6078</v>
      </c>
      <c r="C23657" s="1" t="s">
        <v>23490</v>
      </c>
      <c r="D23657" s="1" t="str">
        <f>HYPERLINK("https://rhld.insurance.arkansas.gov/NPILookup?Npi=1184606071","1184606071")</f>
        <v>1184606071</v>
      </c>
      <c r="E23657" t="s">
        <v>6125</v>
      </c>
    </row>
    <row r="23658" spans="1:5" x14ac:dyDescent="0.25">
      <c r="A23658" t="s">
        <v>6</v>
      </c>
      <c r="B23658" t="s">
        <v>6078</v>
      </c>
      <c r="C23658" s="1" t="s">
        <v>23490</v>
      </c>
      <c r="D23658" s="1" t="str">
        <f>HYPERLINK("https://rhld.insurance.arkansas.gov/NPILookup?Npi=1184659054","1184659054")</f>
        <v>1184659054</v>
      </c>
      <c r="E23658" t="s">
        <v>6126</v>
      </c>
    </row>
    <row r="23659" spans="1:5" x14ac:dyDescent="0.25">
      <c r="A23659" t="s">
        <v>6</v>
      </c>
      <c r="B23659" t="s">
        <v>6078</v>
      </c>
      <c r="C23659" s="1" t="s">
        <v>23490</v>
      </c>
      <c r="D23659" s="1" t="str">
        <f>HYPERLINK("https://rhld.insurance.arkansas.gov/NPILookup?Npi=1184674608","1184674608")</f>
        <v>1184674608</v>
      </c>
      <c r="E23659" t="s">
        <v>6127</v>
      </c>
    </row>
    <row r="23660" spans="1:5" x14ac:dyDescent="0.25">
      <c r="A23660" t="s">
        <v>6</v>
      </c>
      <c r="B23660" t="s">
        <v>6078</v>
      </c>
      <c r="C23660" s="1" t="s">
        <v>23490</v>
      </c>
      <c r="D23660" s="1" t="str">
        <f>HYPERLINK("https://rhld.insurance.arkansas.gov/NPILookup?Npi=1184861270","1184861270")</f>
        <v>1184861270</v>
      </c>
      <c r="E23660" t="s">
        <v>6128</v>
      </c>
    </row>
    <row r="23661" spans="1:5" x14ac:dyDescent="0.25">
      <c r="A23661" t="s">
        <v>6</v>
      </c>
      <c r="B23661" t="s">
        <v>6078</v>
      </c>
      <c r="C23661" s="1" t="s">
        <v>23490</v>
      </c>
      <c r="D23661" s="1" t="str">
        <f>HYPERLINK("https://rhld.insurance.arkansas.gov/NPILookup?Npi=1184917544","1184917544")</f>
        <v>1184917544</v>
      </c>
      <c r="E23661" t="s">
        <v>6923</v>
      </c>
    </row>
    <row r="23662" spans="1:5" x14ac:dyDescent="0.25">
      <c r="A23662" t="s">
        <v>6</v>
      </c>
      <c r="B23662" t="s">
        <v>6078</v>
      </c>
      <c r="C23662" s="1" t="s">
        <v>23490</v>
      </c>
      <c r="D23662" s="1" t="str">
        <f>HYPERLINK("https://rhld.insurance.arkansas.gov/NPILookup?Npi=1184990285","1184990285")</f>
        <v>1184990285</v>
      </c>
      <c r="E23662" t="s">
        <v>11954</v>
      </c>
    </row>
    <row r="23663" spans="1:5" x14ac:dyDescent="0.25">
      <c r="A23663" t="s">
        <v>6</v>
      </c>
      <c r="B23663" t="s">
        <v>6078</v>
      </c>
      <c r="C23663" s="1" t="s">
        <v>23490</v>
      </c>
      <c r="D23663" s="1" t="str">
        <f>HYPERLINK("https://rhld.insurance.arkansas.gov/NPILookup?Npi=1194145532","1194145532")</f>
        <v>1194145532</v>
      </c>
      <c r="E23663" t="s">
        <v>19116</v>
      </c>
    </row>
    <row r="23664" spans="1:5" x14ac:dyDescent="0.25">
      <c r="A23664" t="s">
        <v>6</v>
      </c>
      <c r="B23664" t="s">
        <v>6078</v>
      </c>
      <c r="C23664" s="1" t="s">
        <v>23490</v>
      </c>
      <c r="D23664" s="1" t="str">
        <f>HYPERLINK("https://rhld.insurance.arkansas.gov/NPILookup?Npi=1194777292","1194777292")</f>
        <v>1194777292</v>
      </c>
      <c r="E23664" t="s">
        <v>16316</v>
      </c>
    </row>
    <row r="23665" spans="1:5" x14ac:dyDescent="0.25">
      <c r="A23665" t="s">
        <v>6</v>
      </c>
      <c r="B23665" t="s">
        <v>6078</v>
      </c>
      <c r="C23665" s="1" t="s">
        <v>23490</v>
      </c>
      <c r="D23665" s="1" t="str">
        <f>HYPERLINK("https://rhld.insurance.arkansas.gov/NPILookup?Npi=1194954222","1194954222")</f>
        <v>1194954222</v>
      </c>
      <c r="E23665" t="s">
        <v>9242</v>
      </c>
    </row>
    <row r="23666" spans="1:5" x14ac:dyDescent="0.25">
      <c r="A23666" t="s">
        <v>6</v>
      </c>
      <c r="B23666" t="s">
        <v>6078</v>
      </c>
      <c r="C23666" s="1" t="s">
        <v>23490</v>
      </c>
      <c r="D23666" s="1" t="str">
        <f>HYPERLINK("https://rhld.insurance.arkansas.gov/NPILookup?Npi=1205005667","1205005667")</f>
        <v>1205005667</v>
      </c>
      <c r="E23666" t="s">
        <v>6130</v>
      </c>
    </row>
    <row r="23667" spans="1:5" x14ac:dyDescent="0.25">
      <c r="A23667" t="s">
        <v>6</v>
      </c>
      <c r="B23667" t="s">
        <v>6078</v>
      </c>
      <c r="C23667" s="1" t="s">
        <v>23490</v>
      </c>
      <c r="D23667" s="1" t="str">
        <f>HYPERLINK("https://rhld.insurance.arkansas.gov/NPILookup?Npi=1205099959","1205099959")</f>
        <v>1205099959</v>
      </c>
      <c r="E23667" t="s">
        <v>22449</v>
      </c>
    </row>
    <row r="23668" spans="1:5" x14ac:dyDescent="0.25">
      <c r="A23668" t="s">
        <v>6</v>
      </c>
      <c r="B23668" t="s">
        <v>6078</v>
      </c>
      <c r="C23668" s="1" t="s">
        <v>23490</v>
      </c>
      <c r="D23668" s="1" t="str">
        <f>HYPERLINK("https://rhld.insurance.arkansas.gov/NPILookup?Npi=1205839099","1205839099")</f>
        <v>1205839099</v>
      </c>
      <c r="E23668" t="s">
        <v>6131</v>
      </c>
    </row>
    <row r="23669" spans="1:5" x14ac:dyDescent="0.25">
      <c r="A23669" t="s">
        <v>6</v>
      </c>
      <c r="B23669" t="s">
        <v>6078</v>
      </c>
      <c r="C23669" s="1" t="s">
        <v>23490</v>
      </c>
      <c r="D23669" s="1" t="str">
        <f>HYPERLINK("https://rhld.insurance.arkansas.gov/NPILookup?Npi=1205844594","1205844594")</f>
        <v>1205844594</v>
      </c>
      <c r="E23669" t="s">
        <v>6132</v>
      </c>
    </row>
    <row r="23670" spans="1:5" x14ac:dyDescent="0.25">
      <c r="A23670" t="s">
        <v>6</v>
      </c>
      <c r="B23670" t="s">
        <v>6078</v>
      </c>
      <c r="C23670" s="1" t="s">
        <v>23490</v>
      </c>
      <c r="D23670" s="1" t="str">
        <f>HYPERLINK("https://rhld.insurance.arkansas.gov/NPILookup?Npi=1215187083","1215187083")</f>
        <v>1215187083</v>
      </c>
      <c r="E23670" t="s">
        <v>17261</v>
      </c>
    </row>
    <row r="23671" spans="1:5" x14ac:dyDescent="0.25">
      <c r="A23671" t="s">
        <v>6</v>
      </c>
      <c r="B23671" t="s">
        <v>6078</v>
      </c>
      <c r="C23671" s="1" t="s">
        <v>23490</v>
      </c>
      <c r="D23671" s="1" t="str">
        <f>HYPERLINK("https://rhld.insurance.arkansas.gov/NPILookup?Npi=1215311600","1215311600")</f>
        <v>1215311600</v>
      </c>
      <c r="E23671" t="s">
        <v>21239</v>
      </c>
    </row>
    <row r="23672" spans="1:5" x14ac:dyDescent="0.25">
      <c r="A23672" t="s">
        <v>6</v>
      </c>
      <c r="B23672" t="s">
        <v>6078</v>
      </c>
      <c r="C23672" s="1" t="s">
        <v>23490</v>
      </c>
      <c r="D23672" s="1" t="str">
        <f>HYPERLINK("https://rhld.insurance.arkansas.gov/NPILookup?Npi=1215928544","1215928544")</f>
        <v>1215928544</v>
      </c>
      <c r="E23672" t="s">
        <v>11955</v>
      </c>
    </row>
    <row r="23673" spans="1:5" x14ac:dyDescent="0.25">
      <c r="A23673" t="s">
        <v>6</v>
      </c>
      <c r="B23673" t="s">
        <v>6078</v>
      </c>
      <c r="C23673" s="1" t="s">
        <v>23490</v>
      </c>
      <c r="D23673" s="1" t="str">
        <f>HYPERLINK("https://rhld.insurance.arkansas.gov/NPILookup?Npi=1215930417","1215930417")</f>
        <v>1215930417</v>
      </c>
      <c r="E23673" t="s">
        <v>22450</v>
      </c>
    </row>
    <row r="23674" spans="1:5" x14ac:dyDescent="0.25">
      <c r="A23674" t="s">
        <v>6</v>
      </c>
      <c r="B23674" t="s">
        <v>6078</v>
      </c>
      <c r="C23674" s="1" t="s">
        <v>23490</v>
      </c>
      <c r="D23674" s="1" t="str">
        <f>HYPERLINK("https://rhld.insurance.arkansas.gov/NPILookup?Npi=1215930458","1215930458")</f>
        <v>1215930458</v>
      </c>
      <c r="E23674" t="s">
        <v>6133</v>
      </c>
    </row>
    <row r="23675" spans="1:5" x14ac:dyDescent="0.25">
      <c r="A23675" t="s">
        <v>6</v>
      </c>
      <c r="B23675" t="s">
        <v>6078</v>
      </c>
      <c r="C23675" s="1" t="s">
        <v>23490</v>
      </c>
      <c r="D23675" s="1" t="str">
        <f>HYPERLINK("https://rhld.insurance.arkansas.gov/NPILookup?Npi=1215942198","1215942198")</f>
        <v>1215942198</v>
      </c>
      <c r="E23675" t="s">
        <v>6134</v>
      </c>
    </row>
    <row r="23676" spans="1:5" x14ac:dyDescent="0.25">
      <c r="A23676" t="s">
        <v>6</v>
      </c>
      <c r="B23676" t="s">
        <v>6078</v>
      </c>
      <c r="C23676" s="1" t="s">
        <v>23490</v>
      </c>
      <c r="D23676" s="1" t="str">
        <f>HYPERLINK("https://rhld.insurance.arkansas.gov/NPILookup?Npi=1215943642","1215943642")</f>
        <v>1215943642</v>
      </c>
      <c r="E23676" t="s">
        <v>6135</v>
      </c>
    </row>
    <row r="23677" spans="1:5" x14ac:dyDescent="0.25">
      <c r="A23677" t="s">
        <v>6</v>
      </c>
      <c r="B23677" t="s">
        <v>6078</v>
      </c>
      <c r="C23677" s="1" t="s">
        <v>23490</v>
      </c>
      <c r="D23677" s="1" t="str">
        <f>HYPERLINK("https://rhld.insurance.arkansas.gov/NPILookup?Npi=1225020613","1225020613")</f>
        <v>1225020613</v>
      </c>
      <c r="E23677" t="s">
        <v>6136</v>
      </c>
    </row>
    <row r="23678" spans="1:5" x14ac:dyDescent="0.25">
      <c r="A23678" t="s">
        <v>6</v>
      </c>
      <c r="B23678" t="s">
        <v>6078</v>
      </c>
      <c r="C23678" s="1" t="s">
        <v>23490</v>
      </c>
      <c r="D23678" s="1" t="str">
        <f>HYPERLINK("https://rhld.insurance.arkansas.gov/NPILookup?Npi=1225031487","1225031487")</f>
        <v>1225031487</v>
      </c>
      <c r="E23678" t="s">
        <v>16317</v>
      </c>
    </row>
    <row r="23679" spans="1:5" x14ac:dyDescent="0.25">
      <c r="A23679" t="s">
        <v>6</v>
      </c>
      <c r="B23679" t="s">
        <v>6078</v>
      </c>
      <c r="C23679" s="1" t="s">
        <v>23490</v>
      </c>
      <c r="D23679" s="1" t="str">
        <f>HYPERLINK("https://rhld.insurance.arkansas.gov/NPILookup?Npi=1225092067","1225092067")</f>
        <v>1225092067</v>
      </c>
      <c r="E23679" t="s">
        <v>16318</v>
      </c>
    </row>
    <row r="23680" spans="1:5" x14ac:dyDescent="0.25">
      <c r="A23680" t="s">
        <v>6</v>
      </c>
      <c r="B23680" t="s">
        <v>6078</v>
      </c>
      <c r="C23680" s="1" t="s">
        <v>23490</v>
      </c>
      <c r="D23680" s="1" t="str">
        <f>HYPERLINK("https://rhld.insurance.arkansas.gov/NPILookup?Npi=1225097041","1225097041")</f>
        <v>1225097041</v>
      </c>
      <c r="E23680" t="s">
        <v>13426</v>
      </c>
    </row>
    <row r="23681" spans="1:5" x14ac:dyDescent="0.25">
      <c r="A23681" t="s">
        <v>6</v>
      </c>
      <c r="B23681" t="s">
        <v>6078</v>
      </c>
      <c r="C23681" s="1" t="s">
        <v>23490</v>
      </c>
      <c r="D23681" s="1" t="str">
        <f>HYPERLINK("https://rhld.insurance.arkansas.gov/NPILookup?Npi=1225128713","1225128713")</f>
        <v>1225128713</v>
      </c>
      <c r="E23681" t="s">
        <v>6941</v>
      </c>
    </row>
    <row r="23682" spans="1:5" x14ac:dyDescent="0.25">
      <c r="A23682" t="s">
        <v>6</v>
      </c>
      <c r="B23682" t="s">
        <v>6078</v>
      </c>
      <c r="C23682" s="1" t="s">
        <v>23490</v>
      </c>
      <c r="D23682" s="1" t="str">
        <f>HYPERLINK("https://rhld.insurance.arkansas.gov/NPILookup?Npi=1225135981","1225135981")</f>
        <v>1225135981</v>
      </c>
      <c r="E23682" t="s">
        <v>16319</v>
      </c>
    </row>
    <row r="23683" spans="1:5" x14ac:dyDescent="0.25">
      <c r="A23683" t="s">
        <v>6</v>
      </c>
      <c r="B23683" t="s">
        <v>6078</v>
      </c>
      <c r="C23683" s="1" t="s">
        <v>23490</v>
      </c>
      <c r="D23683" s="1" t="str">
        <f>HYPERLINK("https://rhld.insurance.arkansas.gov/NPILookup?Npi=1225142102","1225142102")</f>
        <v>1225142102</v>
      </c>
      <c r="E23683" t="s">
        <v>6137</v>
      </c>
    </row>
    <row r="23684" spans="1:5" x14ac:dyDescent="0.25">
      <c r="A23684" t="s">
        <v>6</v>
      </c>
      <c r="B23684" t="s">
        <v>6078</v>
      </c>
      <c r="C23684" s="1" t="s">
        <v>23490</v>
      </c>
      <c r="D23684" s="1" t="str">
        <f>HYPERLINK("https://rhld.insurance.arkansas.gov/NPILookup?Npi=1225200322","1225200322")</f>
        <v>1225200322</v>
      </c>
      <c r="E23684" t="s">
        <v>763</v>
      </c>
    </row>
    <row r="23685" spans="1:5" x14ac:dyDescent="0.25">
      <c r="A23685" t="s">
        <v>6</v>
      </c>
      <c r="B23685" t="s">
        <v>6078</v>
      </c>
      <c r="C23685" s="1" t="s">
        <v>23490</v>
      </c>
      <c r="D23685" s="1" t="str">
        <f>HYPERLINK("https://rhld.insurance.arkansas.gov/NPILookup?Npi=1225238215","1225238215")</f>
        <v>1225238215</v>
      </c>
      <c r="E23685" t="s">
        <v>17691</v>
      </c>
    </row>
    <row r="23686" spans="1:5" x14ac:dyDescent="0.25">
      <c r="A23686" t="s">
        <v>6</v>
      </c>
      <c r="B23686" t="s">
        <v>6078</v>
      </c>
      <c r="C23686" s="1" t="s">
        <v>23490</v>
      </c>
      <c r="D23686" s="1" t="str">
        <f>HYPERLINK("https://rhld.insurance.arkansas.gov/NPILookup?Npi=1235172446","1235172446")</f>
        <v>1235172446</v>
      </c>
      <c r="E23686" t="s">
        <v>19117</v>
      </c>
    </row>
    <row r="23687" spans="1:5" x14ac:dyDescent="0.25">
      <c r="A23687" t="s">
        <v>6</v>
      </c>
      <c r="B23687" t="s">
        <v>6078</v>
      </c>
      <c r="C23687" s="1" t="s">
        <v>23490</v>
      </c>
      <c r="D23687" s="1" t="str">
        <f>HYPERLINK("https://rhld.insurance.arkansas.gov/NPILookup?Npi=1235189069","1235189069")</f>
        <v>1235189069</v>
      </c>
      <c r="E23687" t="s">
        <v>6138</v>
      </c>
    </row>
    <row r="23688" spans="1:5" x14ac:dyDescent="0.25">
      <c r="A23688" t="s">
        <v>6</v>
      </c>
      <c r="B23688" t="s">
        <v>6078</v>
      </c>
      <c r="C23688" s="1" t="s">
        <v>23490</v>
      </c>
      <c r="D23688" s="1" t="str">
        <f>HYPERLINK("https://rhld.insurance.arkansas.gov/NPILookup?Npi=1235283581","1235283581")</f>
        <v>1235283581</v>
      </c>
      <c r="E23688" t="s">
        <v>6139</v>
      </c>
    </row>
    <row r="23689" spans="1:5" x14ac:dyDescent="0.25">
      <c r="A23689" t="s">
        <v>6</v>
      </c>
      <c r="B23689" t="s">
        <v>6078</v>
      </c>
      <c r="C23689" s="1" t="s">
        <v>23490</v>
      </c>
      <c r="D23689" s="1" t="str">
        <f>HYPERLINK("https://rhld.insurance.arkansas.gov/NPILookup?Npi=1235321753","1235321753")</f>
        <v>1235321753</v>
      </c>
      <c r="E23689" t="s">
        <v>6140</v>
      </c>
    </row>
    <row r="23690" spans="1:5" x14ac:dyDescent="0.25">
      <c r="A23690" t="s">
        <v>6</v>
      </c>
      <c r="B23690" t="s">
        <v>6078</v>
      </c>
      <c r="C23690" s="1" t="s">
        <v>23490</v>
      </c>
      <c r="D23690" s="1" t="str">
        <f>HYPERLINK("https://rhld.insurance.arkansas.gov/NPILookup?Npi=1235369307","1235369307")</f>
        <v>1235369307</v>
      </c>
      <c r="E23690" t="s">
        <v>848</v>
      </c>
    </row>
    <row r="23691" spans="1:5" x14ac:dyDescent="0.25">
      <c r="A23691" t="s">
        <v>6</v>
      </c>
      <c r="B23691" t="s">
        <v>6078</v>
      </c>
      <c r="C23691" s="1" t="s">
        <v>23490</v>
      </c>
      <c r="D23691" s="1" t="str">
        <f>HYPERLINK("https://rhld.insurance.arkansas.gov/NPILookup?Npi=1235565409","1235565409")</f>
        <v>1235565409</v>
      </c>
      <c r="E23691" t="s">
        <v>22451</v>
      </c>
    </row>
    <row r="23692" spans="1:5" x14ac:dyDescent="0.25">
      <c r="A23692" t="s">
        <v>6</v>
      </c>
      <c r="B23692" t="s">
        <v>6078</v>
      </c>
      <c r="C23692" s="1" t="s">
        <v>23490</v>
      </c>
      <c r="D23692" s="1" t="str">
        <f>HYPERLINK("https://rhld.insurance.arkansas.gov/NPILookup?Npi=1245239342","1245239342")</f>
        <v>1245239342</v>
      </c>
      <c r="E23692" t="s">
        <v>6141</v>
      </c>
    </row>
    <row r="23693" spans="1:5" x14ac:dyDescent="0.25">
      <c r="A23693" t="s">
        <v>6</v>
      </c>
      <c r="B23693" t="s">
        <v>6078</v>
      </c>
      <c r="C23693" s="1" t="s">
        <v>23490</v>
      </c>
      <c r="D23693" s="1" t="str">
        <f>HYPERLINK("https://rhld.insurance.arkansas.gov/NPILookup?Npi=1245262336","1245262336")</f>
        <v>1245262336</v>
      </c>
      <c r="E23693" t="s">
        <v>6095</v>
      </c>
    </row>
    <row r="23694" spans="1:5" x14ac:dyDescent="0.25">
      <c r="A23694" t="s">
        <v>6</v>
      </c>
      <c r="B23694" t="s">
        <v>6078</v>
      </c>
      <c r="C23694" s="1" t="s">
        <v>23490</v>
      </c>
      <c r="D23694" s="1" t="str">
        <f>HYPERLINK("https://rhld.insurance.arkansas.gov/NPILookup?Npi=1245631902","1245631902")</f>
        <v>1245631902</v>
      </c>
      <c r="E23694" t="s">
        <v>20693</v>
      </c>
    </row>
    <row r="23695" spans="1:5" x14ac:dyDescent="0.25">
      <c r="A23695" t="s">
        <v>6</v>
      </c>
      <c r="B23695" t="s">
        <v>6078</v>
      </c>
      <c r="C23695" s="1" t="s">
        <v>23490</v>
      </c>
      <c r="D23695" s="1" t="str">
        <f>HYPERLINK("https://rhld.insurance.arkansas.gov/NPILookup?Npi=1245670173","1245670173")</f>
        <v>1245670173</v>
      </c>
      <c r="E23695" t="s">
        <v>19118</v>
      </c>
    </row>
    <row r="23696" spans="1:5" x14ac:dyDescent="0.25">
      <c r="A23696" t="s">
        <v>6</v>
      </c>
      <c r="B23696" t="s">
        <v>6078</v>
      </c>
      <c r="C23696" s="1" t="s">
        <v>23490</v>
      </c>
      <c r="D23696" s="1" t="str">
        <f>HYPERLINK("https://rhld.insurance.arkansas.gov/NPILookup?Npi=1255323663","1255323663")</f>
        <v>1255323663</v>
      </c>
      <c r="E23696" t="s">
        <v>6142</v>
      </c>
    </row>
    <row r="23697" spans="1:5" x14ac:dyDescent="0.25">
      <c r="A23697" t="s">
        <v>6</v>
      </c>
      <c r="B23697" t="s">
        <v>6078</v>
      </c>
      <c r="C23697" s="1" t="s">
        <v>23490</v>
      </c>
      <c r="D23697" s="1" t="str">
        <f>HYPERLINK("https://rhld.insurance.arkansas.gov/NPILookup?Npi=1255327763","1255327763")</f>
        <v>1255327763</v>
      </c>
      <c r="E23697" t="s">
        <v>6143</v>
      </c>
    </row>
    <row r="23698" spans="1:5" x14ac:dyDescent="0.25">
      <c r="A23698" t="s">
        <v>6</v>
      </c>
      <c r="B23698" t="s">
        <v>6078</v>
      </c>
      <c r="C23698" s="1" t="s">
        <v>23490</v>
      </c>
      <c r="D23698" s="1" t="str">
        <f>HYPERLINK("https://rhld.insurance.arkansas.gov/NPILookup?Npi=1255334371","1255334371")</f>
        <v>1255334371</v>
      </c>
      <c r="E23698" t="s">
        <v>16320</v>
      </c>
    </row>
    <row r="23699" spans="1:5" x14ac:dyDescent="0.25">
      <c r="A23699" t="s">
        <v>6</v>
      </c>
      <c r="B23699" t="s">
        <v>6078</v>
      </c>
      <c r="C23699" s="1" t="s">
        <v>23490</v>
      </c>
      <c r="D23699" s="1" t="str">
        <f>HYPERLINK("https://rhld.insurance.arkansas.gov/NPILookup?Npi=1255344131","1255344131")</f>
        <v>1255344131</v>
      </c>
      <c r="E23699" t="s">
        <v>14324</v>
      </c>
    </row>
    <row r="23700" spans="1:5" x14ac:dyDescent="0.25">
      <c r="A23700" t="s">
        <v>6</v>
      </c>
      <c r="B23700" t="s">
        <v>6078</v>
      </c>
      <c r="C23700" s="1" t="s">
        <v>23490</v>
      </c>
      <c r="D23700" s="1" t="str">
        <f>HYPERLINK("https://rhld.insurance.arkansas.gov/NPILookup?Npi=1255348512","1255348512")</f>
        <v>1255348512</v>
      </c>
      <c r="E23700" t="s">
        <v>6778</v>
      </c>
    </row>
    <row r="23701" spans="1:5" x14ac:dyDescent="0.25">
      <c r="A23701" t="s">
        <v>6</v>
      </c>
      <c r="B23701" t="s">
        <v>6078</v>
      </c>
      <c r="C23701" s="1" t="s">
        <v>23490</v>
      </c>
      <c r="D23701" s="1" t="str">
        <f>HYPERLINK("https://rhld.insurance.arkansas.gov/NPILookup?Npi=1255539581","1255539581")</f>
        <v>1255539581</v>
      </c>
      <c r="E23701" t="s">
        <v>16321</v>
      </c>
    </row>
    <row r="23702" spans="1:5" x14ac:dyDescent="0.25">
      <c r="A23702" t="s">
        <v>6</v>
      </c>
      <c r="B23702" t="s">
        <v>6078</v>
      </c>
      <c r="C23702" s="1" t="s">
        <v>23490</v>
      </c>
      <c r="D23702" s="1" t="str">
        <f>HYPERLINK("https://rhld.insurance.arkansas.gov/NPILookup?Npi=1255566352","1255566352")</f>
        <v>1255566352</v>
      </c>
      <c r="E23702" t="s">
        <v>11956</v>
      </c>
    </row>
    <row r="23703" spans="1:5" x14ac:dyDescent="0.25">
      <c r="A23703" t="s">
        <v>6</v>
      </c>
      <c r="B23703" t="s">
        <v>6078</v>
      </c>
      <c r="C23703" s="1" t="s">
        <v>23490</v>
      </c>
      <c r="D23703" s="1" t="str">
        <f>HYPERLINK("https://rhld.insurance.arkansas.gov/NPILookup?Npi=1255666301","1255666301")</f>
        <v>1255666301</v>
      </c>
      <c r="E23703" t="s">
        <v>14325</v>
      </c>
    </row>
    <row r="23704" spans="1:5" x14ac:dyDescent="0.25">
      <c r="A23704" t="s">
        <v>6</v>
      </c>
      <c r="B23704" t="s">
        <v>6078</v>
      </c>
      <c r="C23704" s="1" t="s">
        <v>23490</v>
      </c>
      <c r="D23704" s="1" t="str">
        <f>HYPERLINK("https://rhld.insurance.arkansas.gov/NPILookup?Npi=1265425763","1265425763")</f>
        <v>1265425763</v>
      </c>
      <c r="E23704" t="s">
        <v>16322</v>
      </c>
    </row>
    <row r="23705" spans="1:5" x14ac:dyDescent="0.25">
      <c r="A23705" t="s">
        <v>6</v>
      </c>
      <c r="B23705" t="s">
        <v>6078</v>
      </c>
      <c r="C23705" s="1" t="s">
        <v>23490</v>
      </c>
      <c r="D23705" s="1" t="str">
        <f>HYPERLINK("https://rhld.insurance.arkansas.gov/NPILookup?Npi=1265428676","1265428676")</f>
        <v>1265428676</v>
      </c>
      <c r="E23705" t="s">
        <v>6144</v>
      </c>
    </row>
    <row r="23706" spans="1:5" x14ac:dyDescent="0.25">
      <c r="A23706" t="s">
        <v>6</v>
      </c>
      <c r="B23706" t="s">
        <v>6078</v>
      </c>
      <c r="C23706" s="1" t="s">
        <v>23490</v>
      </c>
      <c r="D23706" s="1" t="str">
        <f>HYPERLINK("https://rhld.insurance.arkansas.gov/NPILookup?Npi=1265435838","1265435838")</f>
        <v>1265435838</v>
      </c>
      <c r="E23706" t="s">
        <v>6145</v>
      </c>
    </row>
    <row r="23707" spans="1:5" x14ac:dyDescent="0.25">
      <c r="A23707" t="s">
        <v>6</v>
      </c>
      <c r="B23707" t="s">
        <v>6078</v>
      </c>
      <c r="C23707" s="1" t="s">
        <v>23490</v>
      </c>
      <c r="D23707" s="1" t="str">
        <f>HYPERLINK("https://rhld.insurance.arkansas.gov/NPILookup?Npi=1265439863","1265439863")</f>
        <v>1265439863</v>
      </c>
      <c r="E23707" t="s">
        <v>6146</v>
      </c>
    </row>
    <row r="23708" spans="1:5" x14ac:dyDescent="0.25">
      <c r="A23708" t="s">
        <v>6</v>
      </c>
      <c r="B23708" t="s">
        <v>6078</v>
      </c>
      <c r="C23708" s="1" t="s">
        <v>23490</v>
      </c>
      <c r="D23708" s="1" t="str">
        <f>HYPERLINK("https://rhld.insurance.arkansas.gov/NPILookup?Npi=1265850325","1265850325")</f>
        <v>1265850325</v>
      </c>
      <c r="E23708" t="s">
        <v>18516</v>
      </c>
    </row>
    <row r="23709" spans="1:5" x14ac:dyDescent="0.25">
      <c r="A23709" t="s">
        <v>6</v>
      </c>
      <c r="B23709" t="s">
        <v>6078</v>
      </c>
      <c r="C23709" s="1" t="s">
        <v>23490</v>
      </c>
      <c r="D23709" s="1" t="str">
        <f>HYPERLINK("https://rhld.insurance.arkansas.gov/NPILookup?Npi=1265875470","1265875470")</f>
        <v>1265875470</v>
      </c>
      <c r="E23709" t="s">
        <v>16323</v>
      </c>
    </row>
    <row r="23710" spans="1:5" x14ac:dyDescent="0.25">
      <c r="A23710" t="s">
        <v>6</v>
      </c>
      <c r="B23710" t="s">
        <v>6078</v>
      </c>
      <c r="C23710" s="1" t="s">
        <v>23490</v>
      </c>
      <c r="D23710" s="1" t="str">
        <f>HYPERLINK("https://rhld.insurance.arkansas.gov/NPILookup?Npi=1265887467","1265887467")</f>
        <v>1265887467</v>
      </c>
      <c r="E23710" t="s">
        <v>22452</v>
      </c>
    </row>
    <row r="23711" spans="1:5" x14ac:dyDescent="0.25">
      <c r="A23711" t="s">
        <v>6</v>
      </c>
      <c r="B23711" t="s">
        <v>6078</v>
      </c>
      <c r="C23711" s="1" t="s">
        <v>23490</v>
      </c>
      <c r="D23711" s="1" t="str">
        <f>HYPERLINK("https://rhld.insurance.arkansas.gov/NPILookup?Npi=1275532715","1275532715")</f>
        <v>1275532715</v>
      </c>
      <c r="E23711" t="s">
        <v>6147</v>
      </c>
    </row>
    <row r="23712" spans="1:5" x14ac:dyDescent="0.25">
      <c r="A23712" t="s">
        <v>6</v>
      </c>
      <c r="B23712" t="s">
        <v>6078</v>
      </c>
      <c r="C23712" s="1" t="s">
        <v>23490</v>
      </c>
      <c r="D23712" s="1" t="str">
        <f>HYPERLINK("https://rhld.insurance.arkansas.gov/NPILookup?Npi=1275559924","1275559924")</f>
        <v>1275559924</v>
      </c>
      <c r="E23712" t="s">
        <v>13248</v>
      </c>
    </row>
    <row r="23713" spans="1:5" x14ac:dyDescent="0.25">
      <c r="A23713" t="s">
        <v>6</v>
      </c>
      <c r="B23713" t="s">
        <v>6078</v>
      </c>
      <c r="C23713" s="1" t="s">
        <v>23490</v>
      </c>
      <c r="D23713" s="1" t="str">
        <f>HYPERLINK("https://rhld.insurance.arkansas.gov/NPILookup?Npi=1275707614","1275707614")</f>
        <v>1275707614</v>
      </c>
      <c r="E23713" t="s">
        <v>22453</v>
      </c>
    </row>
    <row r="23714" spans="1:5" x14ac:dyDescent="0.25">
      <c r="A23714" t="s">
        <v>6</v>
      </c>
      <c r="B23714" t="s">
        <v>6078</v>
      </c>
      <c r="C23714" s="1" t="s">
        <v>23490</v>
      </c>
      <c r="D23714" s="1" t="str">
        <f>HYPERLINK("https://rhld.insurance.arkansas.gov/NPILookup?Npi=1275707879","1275707879")</f>
        <v>1275707879</v>
      </c>
      <c r="E23714" t="s">
        <v>9197</v>
      </c>
    </row>
    <row r="23715" spans="1:5" x14ac:dyDescent="0.25">
      <c r="A23715" t="s">
        <v>6</v>
      </c>
      <c r="B23715" t="s">
        <v>6078</v>
      </c>
      <c r="C23715" s="1" t="s">
        <v>23490</v>
      </c>
      <c r="D23715" s="1" t="str">
        <f>HYPERLINK("https://rhld.insurance.arkansas.gov/NPILookup?Npi=1275828063","1275828063")</f>
        <v>1275828063</v>
      </c>
      <c r="E23715" t="s">
        <v>14326</v>
      </c>
    </row>
    <row r="23716" spans="1:5" x14ac:dyDescent="0.25">
      <c r="A23716" t="s">
        <v>6</v>
      </c>
      <c r="B23716" t="s">
        <v>6078</v>
      </c>
      <c r="C23716" s="1" t="s">
        <v>23490</v>
      </c>
      <c r="D23716" s="1" t="str">
        <f>HYPERLINK("https://rhld.insurance.arkansas.gov/NPILookup?Npi=1275995540","1275995540")</f>
        <v>1275995540</v>
      </c>
      <c r="E23716" t="s">
        <v>21240</v>
      </c>
    </row>
    <row r="23717" spans="1:5" x14ac:dyDescent="0.25">
      <c r="A23717" t="s">
        <v>6</v>
      </c>
      <c r="B23717" t="s">
        <v>6078</v>
      </c>
      <c r="C23717" s="1" t="s">
        <v>23490</v>
      </c>
      <c r="D23717" s="1" t="str">
        <f>HYPERLINK("https://rhld.insurance.arkansas.gov/NPILookup?Npi=1285154484","1285154484")</f>
        <v>1285154484</v>
      </c>
      <c r="E23717" t="s">
        <v>21387</v>
      </c>
    </row>
    <row r="23718" spans="1:5" x14ac:dyDescent="0.25">
      <c r="A23718" t="s">
        <v>6</v>
      </c>
      <c r="B23718" t="s">
        <v>6078</v>
      </c>
      <c r="C23718" s="1" t="s">
        <v>23490</v>
      </c>
      <c r="D23718" s="1" t="str">
        <f>HYPERLINK("https://rhld.insurance.arkansas.gov/NPILookup?Npi=1285660316","1285660316")</f>
        <v>1285660316</v>
      </c>
      <c r="E23718" t="s">
        <v>6148</v>
      </c>
    </row>
    <row r="23719" spans="1:5" x14ac:dyDescent="0.25">
      <c r="A23719" t="s">
        <v>6</v>
      </c>
      <c r="B23719" t="s">
        <v>6078</v>
      </c>
      <c r="C23719" s="1" t="s">
        <v>23490</v>
      </c>
      <c r="D23719" s="1" t="str">
        <f>HYPERLINK("https://rhld.insurance.arkansas.gov/NPILookup?Npi=1285981498","1285981498")</f>
        <v>1285981498</v>
      </c>
      <c r="E23719" t="s">
        <v>16324</v>
      </c>
    </row>
    <row r="23720" spans="1:5" x14ac:dyDescent="0.25">
      <c r="A23720" t="s">
        <v>6</v>
      </c>
      <c r="B23720" t="s">
        <v>6078</v>
      </c>
      <c r="C23720" s="1" t="s">
        <v>23490</v>
      </c>
      <c r="D23720" s="1" t="str">
        <f>HYPERLINK("https://rhld.insurance.arkansas.gov/NPILookup?Npi=1295185502","1295185502")</f>
        <v>1295185502</v>
      </c>
      <c r="E23720" t="s">
        <v>22454</v>
      </c>
    </row>
    <row r="23721" spans="1:5" x14ac:dyDescent="0.25">
      <c r="A23721" t="s">
        <v>6</v>
      </c>
      <c r="B23721" t="s">
        <v>6078</v>
      </c>
      <c r="C23721" s="1" t="s">
        <v>23490</v>
      </c>
      <c r="D23721" s="1" t="str">
        <f>HYPERLINK("https://rhld.insurance.arkansas.gov/NPILookup?Npi=1295702934","1295702934")</f>
        <v>1295702934</v>
      </c>
      <c r="E23721" t="s">
        <v>6149</v>
      </c>
    </row>
    <row r="23722" spans="1:5" x14ac:dyDescent="0.25">
      <c r="A23722" t="s">
        <v>6</v>
      </c>
      <c r="B23722" t="s">
        <v>6078</v>
      </c>
      <c r="C23722" s="1" t="s">
        <v>23490</v>
      </c>
      <c r="D23722" s="1" t="str">
        <f>HYPERLINK("https://rhld.insurance.arkansas.gov/NPILookup?Npi=1295717189","1295717189")</f>
        <v>1295717189</v>
      </c>
      <c r="E23722" t="s">
        <v>6150</v>
      </c>
    </row>
    <row r="23723" spans="1:5" x14ac:dyDescent="0.25">
      <c r="A23723" t="s">
        <v>6</v>
      </c>
      <c r="B23723" t="s">
        <v>6078</v>
      </c>
      <c r="C23723" s="1" t="s">
        <v>23490</v>
      </c>
      <c r="D23723" s="1" t="str">
        <f>HYPERLINK("https://rhld.insurance.arkansas.gov/NPILookup?Npi=1295778330","1295778330")</f>
        <v>1295778330</v>
      </c>
      <c r="E23723" t="s">
        <v>6151</v>
      </c>
    </row>
    <row r="23724" spans="1:5" x14ac:dyDescent="0.25">
      <c r="A23724" t="s">
        <v>6</v>
      </c>
      <c r="B23724" t="s">
        <v>6078</v>
      </c>
      <c r="C23724" s="1" t="s">
        <v>23490</v>
      </c>
      <c r="D23724" s="1" t="str">
        <f>HYPERLINK("https://rhld.insurance.arkansas.gov/NPILookup?Npi=1295791556","1295791556")</f>
        <v>1295791556</v>
      </c>
      <c r="E23724" t="s">
        <v>6152</v>
      </c>
    </row>
    <row r="23725" spans="1:5" x14ac:dyDescent="0.25">
      <c r="A23725" t="s">
        <v>6</v>
      </c>
      <c r="B23725" t="s">
        <v>6078</v>
      </c>
      <c r="C23725" s="1" t="s">
        <v>23490</v>
      </c>
      <c r="D23725" s="1" t="str">
        <f>HYPERLINK("https://rhld.insurance.arkansas.gov/NPILookup?Npi=1295895308","1295895308")</f>
        <v>1295895308</v>
      </c>
      <c r="E23725" t="s">
        <v>16325</v>
      </c>
    </row>
    <row r="23726" spans="1:5" x14ac:dyDescent="0.25">
      <c r="A23726" t="s">
        <v>6</v>
      </c>
      <c r="B23726" t="s">
        <v>6078</v>
      </c>
      <c r="C23726" s="1" t="s">
        <v>23490</v>
      </c>
      <c r="D23726" s="1" t="str">
        <f>HYPERLINK("https://rhld.insurance.arkansas.gov/NPILookup?Npi=1306062625","1306062625")</f>
        <v>1306062625</v>
      </c>
      <c r="E23726" t="s">
        <v>6153</v>
      </c>
    </row>
    <row r="23727" spans="1:5" x14ac:dyDescent="0.25">
      <c r="A23727" t="s">
        <v>6</v>
      </c>
      <c r="B23727" t="s">
        <v>6078</v>
      </c>
      <c r="C23727" s="1" t="s">
        <v>23490</v>
      </c>
      <c r="D23727" s="1" t="str">
        <f>HYPERLINK("https://rhld.insurance.arkansas.gov/NPILookup?Npi=1306090725","1306090725")</f>
        <v>1306090725</v>
      </c>
      <c r="E23727" t="s">
        <v>6154</v>
      </c>
    </row>
    <row r="23728" spans="1:5" x14ac:dyDescent="0.25">
      <c r="A23728" t="s">
        <v>6</v>
      </c>
      <c r="B23728" t="s">
        <v>6078</v>
      </c>
      <c r="C23728" s="1" t="s">
        <v>23490</v>
      </c>
      <c r="D23728" s="1" t="str">
        <f>HYPERLINK("https://rhld.insurance.arkansas.gov/NPILookup?Npi=1306220736","1306220736")</f>
        <v>1306220736</v>
      </c>
      <c r="E23728" t="s">
        <v>22455</v>
      </c>
    </row>
    <row r="23729" spans="1:5" x14ac:dyDescent="0.25">
      <c r="A23729" t="s">
        <v>6</v>
      </c>
      <c r="B23729" t="s">
        <v>6078</v>
      </c>
      <c r="C23729" s="1" t="s">
        <v>23490</v>
      </c>
      <c r="D23729" s="1" t="str">
        <f>HYPERLINK("https://rhld.insurance.arkansas.gov/NPILookup?Npi=1306288642","1306288642")</f>
        <v>1306288642</v>
      </c>
      <c r="E23729" t="s">
        <v>14984</v>
      </c>
    </row>
    <row r="23730" spans="1:5" x14ac:dyDescent="0.25">
      <c r="A23730" t="s">
        <v>6</v>
      </c>
      <c r="B23730" t="s">
        <v>6078</v>
      </c>
      <c r="C23730" s="1" t="s">
        <v>23490</v>
      </c>
      <c r="D23730" s="1" t="str">
        <f>HYPERLINK("https://rhld.insurance.arkansas.gov/NPILookup?Npi=1306815634","1306815634")</f>
        <v>1306815634</v>
      </c>
      <c r="E23730" t="s">
        <v>11957</v>
      </c>
    </row>
    <row r="23731" spans="1:5" x14ac:dyDescent="0.25">
      <c r="A23731" t="s">
        <v>6</v>
      </c>
      <c r="B23731" t="s">
        <v>6078</v>
      </c>
      <c r="C23731" s="1" t="s">
        <v>23490</v>
      </c>
      <c r="D23731" s="1" t="str">
        <f>HYPERLINK("https://rhld.insurance.arkansas.gov/NPILookup?Npi=1306828074","1306828074")</f>
        <v>1306828074</v>
      </c>
      <c r="E23731" t="s">
        <v>16326</v>
      </c>
    </row>
    <row r="23732" spans="1:5" x14ac:dyDescent="0.25">
      <c r="A23732" t="s">
        <v>6</v>
      </c>
      <c r="B23732" t="s">
        <v>6078</v>
      </c>
      <c r="C23732" s="1" t="s">
        <v>23490</v>
      </c>
      <c r="D23732" s="1" t="str">
        <f>HYPERLINK("https://rhld.insurance.arkansas.gov/NPILookup?Npi=1306878228","1306878228")</f>
        <v>1306878228</v>
      </c>
      <c r="E23732" t="s">
        <v>6155</v>
      </c>
    </row>
    <row r="23733" spans="1:5" x14ac:dyDescent="0.25">
      <c r="A23733" t="s">
        <v>6</v>
      </c>
      <c r="B23733" t="s">
        <v>6078</v>
      </c>
      <c r="C23733" s="1" t="s">
        <v>23490</v>
      </c>
      <c r="D23733" s="1" t="str">
        <f>HYPERLINK("https://rhld.insurance.arkansas.gov/NPILookup?Npi=1306886825","1306886825")</f>
        <v>1306886825</v>
      </c>
      <c r="E23733" t="s">
        <v>14327</v>
      </c>
    </row>
    <row r="23734" spans="1:5" x14ac:dyDescent="0.25">
      <c r="A23734" t="s">
        <v>6</v>
      </c>
      <c r="B23734" t="s">
        <v>6078</v>
      </c>
      <c r="C23734" s="1" t="s">
        <v>23490</v>
      </c>
      <c r="D23734" s="1" t="str">
        <f>HYPERLINK("https://rhld.insurance.arkansas.gov/NPILookup?Npi=1306936976","1306936976")</f>
        <v>1306936976</v>
      </c>
      <c r="E23734" t="s">
        <v>6156</v>
      </c>
    </row>
    <row r="23735" spans="1:5" x14ac:dyDescent="0.25">
      <c r="A23735" t="s">
        <v>6</v>
      </c>
      <c r="B23735" t="s">
        <v>6078</v>
      </c>
      <c r="C23735" s="1" t="s">
        <v>23490</v>
      </c>
      <c r="D23735" s="1" t="str">
        <f>HYPERLINK("https://rhld.insurance.arkansas.gov/NPILookup?Npi=1316144041","1316144041")</f>
        <v>1316144041</v>
      </c>
      <c r="E23735" t="s">
        <v>14328</v>
      </c>
    </row>
    <row r="23736" spans="1:5" x14ac:dyDescent="0.25">
      <c r="A23736" t="s">
        <v>6</v>
      </c>
      <c r="B23736" t="s">
        <v>6078</v>
      </c>
      <c r="C23736" s="1" t="s">
        <v>23490</v>
      </c>
      <c r="D23736" s="1" t="str">
        <f>HYPERLINK("https://rhld.insurance.arkansas.gov/NPILookup?Npi=1316914773","1316914773")</f>
        <v>1316914773</v>
      </c>
      <c r="E23736" t="s">
        <v>22456</v>
      </c>
    </row>
    <row r="23737" spans="1:5" x14ac:dyDescent="0.25">
      <c r="A23737" t="s">
        <v>6</v>
      </c>
      <c r="B23737" t="s">
        <v>6078</v>
      </c>
      <c r="C23737" s="1" t="s">
        <v>23490</v>
      </c>
      <c r="D23737" s="1" t="str">
        <f>HYPERLINK("https://rhld.insurance.arkansas.gov/NPILookup?Npi=1316942535","1316942535")</f>
        <v>1316942535</v>
      </c>
      <c r="E23737" t="s">
        <v>6157</v>
      </c>
    </row>
    <row r="23738" spans="1:5" x14ac:dyDescent="0.25">
      <c r="A23738" t="s">
        <v>6</v>
      </c>
      <c r="B23738" t="s">
        <v>6078</v>
      </c>
      <c r="C23738" s="1" t="s">
        <v>23490</v>
      </c>
      <c r="D23738" s="1" t="str">
        <f>HYPERLINK("https://rhld.insurance.arkansas.gov/NPILookup?Npi=1316957921","1316957921")</f>
        <v>1316957921</v>
      </c>
      <c r="E23738" t="s">
        <v>6158</v>
      </c>
    </row>
    <row r="23739" spans="1:5" x14ac:dyDescent="0.25">
      <c r="A23739" t="s">
        <v>6</v>
      </c>
      <c r="B23739" t="s">
        <v>6078</v>
      </c>
      <c r="C23739" s="1" t="s">
        <v>23490</v>
      </c>
      <c r="D23739" s="1" t="str">
        <f>HYPERLINK("https://rhld.insurance.arkansas.gov/NPILookup?Npi=1316961576","1316961576")</f>
        <v>1316961576</v>
      </c>
      <c r="E23739" t="s">
        <v>22898</v>
      </c>
    </row>
    <row r="23740" spans="1:5" x14ac:dyDescent="0.25">
      <c r="A23740" t="s">
        <v>6</v>
      </c>
      <c r="B23740" t="s">
        <v>6078</v>
      </c>
      <c r="C23740" s="1" t="s">
        <v>23490</v>
      </c>
      <c r="D23740" s="1" t="str">
        <f>HYPERLINK("https://rhld.insurance.arkansas.gov/NPILookup?Npi=1316968761","1316968761")</f>
        <v>1316968761</v>
      </c>
      <c r="E23740" t="s">
        <v>6160</v>
      </c>
    </row>
    <row r="23741" spans="1:5" x14ac:dyDescent="0.25">
      <c r="A23741" t="s">
        <v>6</v>
      </c>
      <c r="B23741" t="s">
        <v>6078</v>
      </c>
      <c r="C23741" s="1" t="s">
        <v>23490</v>
      </c>
      <c r="D23741" s="1" t="str">
        <f>HYPERLINK("https://rhld.insurance.arkansas.gov/NPILookup?Npi=1326014721","1326014721")</f>
        <v>1326014721</v>
      </c>
      <c r="E23741" t="s">
        <v>6161</v>
      </c>
    </row>
    <row r="23742" spans="1:5" x14ac:dyDescent="0.25">
      <c r="A23742" t="s">
        <v>6</v>
      </c>
      <c r="B23742" t="s">
        <v>6078</v>
      </c>
      <c r="C23742" s="1" t="s">
        <v>23490</v>
      </c>
      <c r="D23742" s="1" t="str">
        <f>HYPERLINK("https://rhld.insurance.arkansas.gov/NPILookup?Npi=1326070277","1326070277")</f>
        <v>1326070277</v>
      </c>
      <c r="E23742" t="s">
        <v>6162</v>
      </c>
    </row>
    <row r="23743" spans="1:5" x14ac:dyDescent="0.25">
      <c r="A23743" t="s">
        <v>6</v>
      </c>
      <c r="B23743" t="s">
        <v>6078</v>
      </c>
      <c r="C23743" s="1" t="s">
        <v>23490</v>
      </c>
      <c r="D23743" s="1" t="str">
        <f>HYPERLINK("https://rhld.insurance.arkansas.gov/NPILookup?Npi=1326303470","1326303470")</f>
        <v>1326303470</v>
      </c>
      <c r="E23743" t="s">
        <v>22457</v>
      </c>
    </row>
    <row r="23744" spans="1:5" x14ac:dyDescent="0.25">
      <c r="A23744" t="s">
        <v>6</v>
      </c>
      <c r="B23744" t="s">
        <v>6078</v>
      </c>
      <c r="C23744" s="1" t="s">
        <v>23490</v>
      </c>
      <c r="D23744" s="1" t="str">
        <f>HYPERLINK("https://rhld.insurance.arkansas.gov/NPILookup?Npi=1336100262","1336100262")</f>
        <v>1336100262</v>
      </c>
      <c r="E23744" t="s">
        <v>6163</v>
      </c>
    </row>
    <row r="23745" spans="1:5" x14ac:dyDescent="0.25">
      <c r="A23745" t="s">
        <v>6</v>
      </c>
      <c r="B23745" t="s">
        <v>6078</v>
      </c>
      <c r="C23745" s="1" t="s">
        <v>23490</v>
      </c>
      <c r="D23745" s="1" t="str">
        <f>HYPERLINK("https://rhld.insurance.arkansas.gov/NPILookup?Npi=1336147263","1336147263")</f>
        <v>1336147263</v>
      </c>
      <c r="E23745" t="s">
        <v>6164</v>
      </c>
    </row>
    <row r="23746" spans="1:5" x14ac:dyDescent="0.25">
      <c r="A23746" t="s">
        <v>6</v>
      </c>
      <c r="B23746" t="s">
        <v>6078</v>
      </c>
      <c r="C23746" s="1" t="s">
        <v>23490</v>
      </c>
      <c r="D23746" s="1" t="str">
        <f>HYPERLINK("https://rhld.insurance.arkansas.gov/NPILookup?Npi=1336149731","1336149731")</f>
        <v>1336149731</v>
      </c>
      <c r="E23746" t="s">
        <v>6165</v>
      </c>
    </row>
    <row r="23747" spans="1:5" x14ac:dyDescent="0.25">
      <c r="A23747" t="s">
        <v>6</v>
      </c>
      <c r="B23747" t="s">
        <v>6078</v>
      </c>
      <c r="C23747" s="1" t="s">
        <v>23490</v>
      </c>
      <c r="D23747" s="1" t="str">
        <f>HYPERLINK("https://rhld.insurance.arkansas.gov/NPILookup?Npi=1336174242","1336174242")</f>
        <v>1336174242</v>
      </c>
      <c r="E23747" t="s">
        <v>22458</v>
      </c>
    </row>
    <row r="23748" spans="1:5" x14ac:dyDescent="0.25">
      <c r="A23748" t="s">
        <v>6</v>
      </c>
      <c r="B23748" t="s">
        <v>6078</v>
      </c>
      <c r="C23748" s="1" t="s">
        <v>23490</v>
      </c>
      <c r="D23748" s="1" t="str">
        <f>HYPERLINK("https://rhld.insurance.arkansas.gov/NPILookup?Npi=1336522895","1336522895")</f>
        <v>1336522895</v>
      </c>
      <c r="E23748" t="s">
        <v>21241</v>
      </c>
    </row>
    <row r="23749" spans="1:5" x14ac:dyDescent="0.25">
      <c r="A23749" t="s">
        <v>6</v>
      </c>
      <c r="B23749" t="s">
        <v>6078</v>
      </c>
      <c r="C23749" s="1" t="s">
        <v>23490</v>
      </c>
      <c r="D23749" s="1" t="str">
        <f>HYPERLINK("https://rhld.insurance.arkansas.gov/NPILookup?Npi=1336593557","1336593557")</f>
        <v>1336593557</v>
      </c>
      <c r="E23749" t="s">
        <v>16327</v>
      </c>
    </row>
    <row r="23750" spans="1:5" x14ac:dyDescent="0.25">
      <c r="A23750" t="s">
        <v>6</v>
      </c>
      <c r="B23750" t="s">
        <v>6078</v>
      </c>
      <c r="C23750" s="1" t="s">
        <v>23490</v>
      </c>
      <c r="D23750" s="1" t="str">
        <f>HYPERLINK("https://rhld.insurance.arkansas.gov/NPILookup?Npi=1346213311","1346213311")</f>
        <v>1346213311</v>
      </c>
      <c r="E23750" t="s">
        <v>6166</v>
      </c>
    </row>
    <row r="23751" spans="1:5" x14ac:dyDescent="0.25">
      <c r="A23751" t="s">
        <v>6</v>
      </c>
      <c r="B23751" t="s">
        <v>6078</v>
      </c>
      <c r="C23751" s="1" t="s">
        <v>23490</v>
      </c>
      <c r="D23751" s="1" t="str">
        <f>HYPERLINK("https://rhld.insurance.arkansas.gov/NPILookup?Npi=1346227048","1346227048")</f>
        <v>1346227048</v>
      </c>
      <c r="E23751" t="s">
        <v>6167</v>
      </c>
    </row>
    <row r="23752" spans="1:5" x14ac:dyDescent="0.25">
      <c r="A23752" t="s">
        <v>6</v>
      </c>
      <c r="B23752" t="s">
        <v>6078</v>
      </c>
      <c r="C23752" s="1" t="s">
        <v>23490</v>
      </c>
      <c r="D23752" s="1" t="str">
        <f>HYPERLINK("https://rhld.insurance.arkansas.gov/NPILookup?Npi=1346243466","1346243466")</f>
        <v>1346243466</v>
      </c>
      <c r="E23752" t="s">
        <v>16328</v>
      </c>
    </row>
    <row r="23753" spans="1:5" x14ac:dyDescent="0.25">
      <c r="A23753" t="s">
        <v>6</v>
      </c>
      <c r="B23753" t="s">
        <v>6078</v>
      </c>
      <c r="C23753" s="1" t="s">
        <v>23490</v>
      </c>
      <c r="D23753" s="1" t="str">
        <f>HYPERLINK("https://rhld.insurance.arkansas.gov/NPILookup?Npi=1346509643","1346509643")</f>
        <v>1346509643</v>
      </c>
      <c r="E23753" t="s">
        <v>11958</v>
      </c>
    </row>
    <row r="23754" spans="1:5" x14ac:dyDescent="0.25">
      <c r="A23754" t="s">
        <v>6</v>
      </c>
      <c r="B23754" t="s">
        <v>6078</v>
      </c>
      <c r="C23754" s="1" t="s">
        <v>23490</v>
      </c>
      <c r="D23754" s="1" t="str">
        <f>HYPERLINK("https://rhld.insurance.arkansas.gov/NPILookup?Npi=1346602679","1346602679")</f>
        <v>1346602679</v>
      </c>
      <c r="E23754" t="s">
        <v>21242</v>
      </c>
    </row>
    <row r="23755" spans="1:5" x14ac:dyDescent="0.25">
      <c r="A23755" t="s">
        <v>6</v>
      </c>
      <c r="B23755" t="s">
        <v>6078</v>
      </c>
      <c r="C23755" s="1" t="s">
        <v>23490</v>
      </c>
      <c r="D23755" s="1" t="str">
        <f>HYPERLINK("https://rhld.insurance.arkansas.gov/NPILookup?Npi=1356312466","1356312466")</f>
        <v>1356312466</v>
      </c>
      <c r="E23755" t="s">
        <v>6168</v>
      </c>
    </row>
    <row r="23756" spans="1:5" x14ac:dyDescent="0.25">
      <c r="A23756" t="s">
        <v>6</v>
      </c>
      <c r="B23756" t="s">
        <v>6078</v>
      </c>
      <c r="C23756" s="1" t="s">
        <v>23490</v>
      </c>
      <c r="D23756" s="1" t="str">
        <f>HYPERLINK("https://rhld.insurance.arkansas.gov/NPILookup?Npi=1356388870","1356388870")</f>
        <v>1356388870</v>
      </c>
      <c r="E23756" t="s">
        <v>20694</v>
      </c>
    </row>
    <row r="23757" spans="1:5" x14ac:dyDescent="0.25">
      <c r="A23757" t="s">
        <v>6</v>
      </c>
      <c r="B23757" t="s">
        <v>6078</v>
      </c>
      <c r="C23757" s="1" t="s">
        <v>23490</v>
      </c>
      <c r="D23757" s="1" t="str">
        <f>HYPERLINK("https://rhld.insurance.arkansas.gov/NPILookup?Npi=1356533046","1356533046")</f>
        <v>1356533046</v>
      </c>
      <c r="E23757" t="s">
        <v>6169</v>
      </c>
    </row>
    <row r="23758" spans="1:5" x14ac:dyDescent="0.25">
      <c r="A23758" t="s">
        <v>6</v>
      </c>
      <c r="B23758" t="s">
        <v>6078</v>
      </c>
      <c r="C23758" s="1" t="s">
        <v>23490</v>
      </c>
      <c r="D23758" s="1" t="str">
        <f>HYPERLINK("https://rhld.insurance.arkansas.gov/NPILookup?Npi=1356538003","1356538003")</f>
        <v>1356538003</v>
      </c>
      <c r="E23758" t="s">
        <v>16329</v>
      </c>
    </row>
    <row r="23759" spans="1:5" x14ac:dyDescent="0.25">
      <c r="A23759" t="s">
        <v>6</v>
      </c>
      <c r="B23759" t="s">
        <v>6078</v>
      </c>
      <c r="C23759" s="1" t="s">
        <v>23490</v>
      </c>
      <c r="D23759" s="1" t="str">
        <f>HYPERLINK("https://rhld.insurance.arkansas.gov/NPILookup?Npi=1356560684","1356560684")</f>
        <v>1356560684</v>
      </c>
      <c r="E23759" t="s">
        <v>6170</v>
      </c>
    </row>
    <row r="23760" spans="1:5" x14ac:dyDescent="0.25">
      <c r="A23760" t="s">
        <v>6</v>
      </c>
      <c r="B23760" t="s">
        <v>6078</v>
      </c>
      <c r="C23760" s="1" t="s">
        <v>23490</v>
      </c>
      <c r="D23760" s="1" t="str">
        <f>HYPERLINK("https://rhld.insurance.arkansas.gov/NPILookup?Npi=1356640502","1356640502")</f>
        <v>1356640502</v>
      </c>
      <c r="E23760" t="s">
        <v>13249</v>
      </c>
    </row>
    <row r="23761" spans="1:5" x14ac:dyDescent="0.25">
      <c r="A23761" t="s">
        <v>6</v>
      </c>
      <c r="B23761" t="s">
        <v>6078</v>
      </c>
      <c r="C23761" s="1" t="s">
        <v>23490</v>
      </c>
      <c r="D23761" s="1" t="str">
        <f>HYPERLINK("https://rhld.insurance.arkansas.gov/NPILookup?Npi=1356656839","1356656839")</f>
        <v>1356656839</v>
      </c>
      <c r="E23761" t="s">
        <v>16330</v>
      </c>
    </row>
    <row r="23762" spans="1:5" x14ac:dyDescent="0.25">
      <c r="A23762" t="s">
        <v>6</v>
      </c>
      <c r="B23762" t="s">
        <v>6078</v>
      </c>
      <c r="C23762" s="1" t="s">
        <v>23490</v>
      </c>
      <c r="D23762" s="1" t="str">
        <f>HYPERLINK("https://rhld.insurance.arkansas.gov/NPILookup?Npi=1366441743","1366441743")</f>
        <v>1366441743</v>
      </c>
      <c r="E23762" t="s">
        <v>16331</v>
      </c>
    </row>
    <row r="23763" spans="1:5" x14ac:dyDescent="0.25">
      <c r="A23763" t="s">
        <v>6</v>
      </c>
      <c r="B23763" t="s">
        <v>6078</v>
      </c>
      <c r="C23763" s="1" t="s">
        <v>23490</v>
      </c>
      <c r="D23763" s="1" t="str">
        <f>HYPERLINK("https://rhld.insurance.arkansas.gov/NPILookup?Npi=1366761975","1366761975")</f>
        <v>1366761975</v>
      </c>
      <c r="E23763" t="s">
        <v>10869</v>
      </c>
    </row>
    <row r="23764" spans="1:5" x14ac:dyDescent="0.25">
      <c r="A23764" t="s">
        <v>6</v>
      </c>
      <c r="B23764" t="s">
        <v>6078</v>
      </c>
      <c r="C23764" s="1" t="s">
        <v>23490</v>
      </c>
      <c r="D23764" s="1" t="str">
        <f>HYPERLINK("https://rhld.insurance.arkansas.gov/NPILookup?Npi=1376530550","1376530550")</f>
        <v>1376530550</v>
      </c>
      <c r="E23764" t="s">
        <v>6171</v>
      </c>
    </row>
    <row r="23765" spans="1:5" x14ac:dyDescent="0.25">
      <c r="A23765" t="s">
        <v>6</v>
      </c>
      <c r="B23765" t="s">
        <v>6078</v>
      </c>
      <c r="C23765" s="1" t="s">
        <v>23490</v>
      </c>
      <c r="D23765" s="1" t="str">
        <f>HYPERLINK("https://rhld.insurance.arkansas.gov/NPILookup?Npi=1376539288","1376539288")</f>
        <v>1376539288</v>
      </c>
      <c r="E23765" t="s">
        <v>9198</v>
      </c>
    </row>
    <row r="23766" spans="1:5" x14ac:dyDescent="0.25">
      <c r="A23766" t="s">
        <v>6</v>
      </c>
      <c r="B23766" t="s">
        <v>6078</v>
      </c>
      <c r="C23766" s="1" t="s">
        <v>23490</v>
      </c>
      <c r="D23766" s="1" t="str">
        <f>HYPERLINK("https://rhld.insurance.arkansas.gov/NPILookup?Npi=1376855288","1376855288")</f>
        <v>1376855288</v>
      </c>
      <c r="E23766" t="s">
        <v>11959</v>
      </c>
    </row>
    <row r="23767" spans="1:5" x14ac:dyDescent="0.25">
      <c r="A23767" t="s">
        <v>6</v>
      </c>
      <c r="B23767" t="s">
        <v>6078</v>
      </c>
      <c r="C23767" s="1" t="s">
        <v>23490</v>
      </c>
      <c r="D23767" s="1" t="str">
        <f>HYPERLINK("https://rhld.insurance.arkansas.gov/NPILookup?Npi=1386684603","1386684603")</f>
        <v>1386684603</v>
      </c>
      <c r="E23767" t="s">
        <v>6172</v>
      </c>
    </row>
    <row r="23768" spans="1:5" x14ac:dyDescent="0.25">
      <c r="A23768" t="s">
        <v>6</v>
      </c>
      <c r="B23768" t="s">
        <v>6078</v>
      </c>
      <c r="C23768" s="1" t="s">
        <v>23490</v>
      </c>
      <c r="D23768" s="1" t="str">
        <f>HYPERLINK("https://rhld.insurance.arkansas.gov/NPILookup?Npi=1386721421","1386721421")</f>
        <v>1386721421</v>
      </c>
      <c r="E23768" t="s">
        <v>20695</v>
      </c>
    </row>
    <row r="23769" spans="1:5" x14ac:dyDescent="0.25">
      <c r="A23769" t="s">
        <v>6</v>
      </c>
      <c r="B23769" t="s">
        <v>6078</v>
      </c>
      <c r="C23769" s="1" t="s">
        <v>23490</v>
      </c>
      <c r="D23769" s="1" t="str">
        <f>HYPERLINK("https://rhld.insurance.arkansas.gov/NPILookup?Npi=1386882538","1386882538")</f>
        <v>1386882538</v>
      </c>
      <c r="E23769" t="s">
        <v>14329</v>
      </c>
    </row>
    <row r="23770" spans="1:5" x14ac:dyDescent="0.25">
      <c r="A23770" t="s">
        <v>6</v>
      </c>
      <c r="B23770" t="s">
        <v>6078</v>
      </c>
      <c r="C23770" s="1" t="s">
        <v>23490</v>
      </c>
      <c r="D23770" s="1" t="str">
        <f>HYPERLINK("https://rhld.insurance.arkansas.gov/NPILookup?Npi=1396035465","1396035465")</f>
        <v>1396035465</v>
      </c>
      <c r="E23770" t="s">
        <v>22459</v>
      </c>
    </row>
    <row r="23771" spans="1:5" x14ac:dyDescent="0.25">
      <c r="A23771" t="s">
        <v>6</v>
      </c>
      <c r="B23771" t="s">
        <v>6078</v>
      </c>
      <c r="C23771" s="1" t="s">
        <v>23490</v>
      </c>
      <c r="D23771" s="1" t="str">
        <f>HYPERLINK("https://rhld.insurance.arkansas.gov/NPILookup?Npi=1396701793","1396701793")</f>
        <v>1396701793</v>
      </c>
      <c r="E23771" t="s">
        <v>6174</v>
      </c>
    </row>
    <row r="23772" spans="1:5" x14ac:dyDescent="0.25">
      <c r="A23772" t="s">
        <v>6</v>
      </c>
      <c r="B23772" t="s">
        <v>6078</v>
      </c>
      <c r="C23772" s="1" t="s">
        <v>23490</v>
      </c>
      <c r="D23772" s="1" t="str">
        <f>HYPERLINK("https://rhld.insurance.arkansas.gov/NPILookup?Npi=1396764551","1396764551")</f>
        <v>1396764551</v>
      </c>
      <c r="E23772" t="s">
        <v>16332</v>
      </c>
    </row>
    <row r="23773" spans="1:5" x14ac:dyDescent="0.25">
      <c r="A23773" t="s">
        <v>6</v>
      </c>
      <c r="B23773" t="s">
        <v>6078</v>
      </c>
      <c r="C23773" s="1" t="s">
        <v>23490</v>
      </c>
      <c r="D23773" s="1" t="str">
        <f>HYPERLINK("https://rhld.insurance.arkansas.gov/NPILookup?Npi=1396852273","1396852273")</f>
        <v>1396852273</v>
      </c>
      <c r="E23773" t="s">
        <v>6175</v>
      </c>
    </row>
    <row r="23774" spans="1:5" x14ac:dyDescent="0.25">
      <c r="A23774" t="s">
        <v>6</v>
      </c>
      <c r="B23774" t="s">
        <v>6078</v>
      </c>
      <c r="C23774" s="1" t="s">
        <v>23490</v>
      </c>
      <c r="D23774" s="1" t="str">
        <f>HYPERLINK("https://rhld.insurance.arkansas.gov/NPILookup?Npi=1396941449","1396941449")</f>
        <v>1396941449</v>
      </c>
      <c r="E23774" t="s">
        <v>6176</v>
      </c>
    </row>
    <row r="23775" spans="1:5" x14ac:dyDescent="0.25">
      <c r="A23775" t="s">
        <v>6</v>
      </c>
      <c r="B23775" t="s">
        <v>6078</v>
      </c>
      <c r="C23775" s="1" t="s">
        <v>23490</v>
      </c>
      <c r="D23775" s="1" t="str">
        <f>HYPERLINK("https://rhld.insurance.arkansas.gov/NPILookup?Npi=1407083058","1407083058")</f>
        <v>1407083058</v>
      </c>
      <c r="E23775" t="s">
        <v>14330</v>
      </c>
    </row>
    <row r="23776" spans="1:5" x14ac:dyDescent="0.25">
      <c r="A23776" t="s">
        <v>6</v>
      </c>
      <c r="B23776" t="s">
        <v>6078</v>
      </c>
      <c r="C23776" s="1" t="s">
        <v>23490</v>
      </c>
      <c r="D23776" s="1" t="str">
        <f>HYPERLINK("https://rhld.insurance.arkansas.gov/NPILookup?Npi=1407146368","1407146368")</f>
        <v>1407146368</v>
      </c>
      <c r="E23776" t="s">
        <v>13250</v>
      </c>
    </row>
    <row r="23777" spans="1:5" x14ac:dyDescent="0.25">
      <c r="A23777" t="s">
        <v>6</v>
      </c>
      <c r="B23777" t="s">
        <v>6078</v>
      </c>
      <c r="C23777" s="1" t="s">
        <v>23490</v>
      </c>
      <c r="D23777" s="1" t="str">
        <f>HYPERLINK("https://rhld.insurance.arkansas.gov/NPILookup?Npi=1407232184","1407232184")</f>
        <v>1407232184</v>
      </c>
      <c r="E23777" t="s">
        <v>19119</v>
      </c>
    </row>
    <row r="23778" spans="1:5" x14ac:dyDescent="0.25">
      <c r="A23778" t="s">
        <v>6</v>
      </c>
      <c r="B23778" t="s">
        <v>6078</v>
      </c>
      <c r="C23778" s="1" t="s">
        <v>23490</v>
      </c>
      <c r="D23778" s="1" t="str">
        <f>HYPERLINK("https://rhld.insurance.arkansas.gov/NPILookup?Npi=1407387053","1407387053")</f>
        <v>1407387053</v>
      </c>
      <c r="E23778" t="s">
        <v>21243</v>
      </c>
    </row>
    <row r="23779" spans="1:5" x14ac:dyDescent="0.25">
      <c r="A23779" t="s">
        <v>6</v>
      </c>
      <c r="B23779" t="s">
        <v>6078</v>
      </c>
      <c r="C23779" s="1" t="s">
        <v>23490</v>
      </c>
      <c r="D23779" s="1" t="str">
        <f>HYPERLINK("https://rhld.insurance.arkansas.gov/NPILookup?Npi=1407858244","1407858244")</f>
        <v>1407858244</v>
      </c>
      <c r="E23779" t="s">
        <v>16333</v>
      </c>
    </row>
    <row r="23780" spans="1:5" x14ac:dyDescent="0.25">
      <c r="A23780" t="s">
        <v>6</v>
      </c>
      <c r="B23780" t="s">
        <v>6078</v>
      </c>
      <c r="C23780" s="1" t="s">
        <v>23490</v>
      </c>
      <c r="D23780" s="1" t="str">
        <f>HYPERLINK("https://rhld.insurance.arkansas.gov/NPILookup?Npi=1407877947","1407877947")</f>
        <v>1407877947</v>
      </c>
      <c r="E23780" t="s">
        <v>6177</v>
      </c>
    </row>
    <row r="23781" spans="1:5" x14ac:dyDescent="0.25">
      <c r="A23781" t="s">
        <v>6</v>
      </c>
      <c r="B23781" t="s">
        <v>6078</v>
      </c>
      <c r="C23781" s="1" t="s">
        <v>23490</v>
      </c>
      <c r="D23781" s="1" t="str">
        <f>HYPERLINK("https://rhld.insurance.arkansas.gov/NPILookup?Npi=1417027640","1417027640")</f>
        <v>1417027640</v>
      </c>
      <c r="E23781" t="s">
        <v>16334</v>
      </c>
    </row>
    <row r="23782" spans="1:5" x14ac:dyDescent="0.25">
      <c r="A23782" t="s">
        <v>6</v>
      </c>
      <c r="B23782" t="s">
        <v>6078</v>
      </c>
      <c r="C23782" s="1" t="s">
        <v>23490</v>
      </c>
      <c r="D23782" s="1" t="str">
        <f>HYPERLINK("https://rhld.insurance.arkansas.gov/NPILookup?Npi=1417114174","1417114174")</f>
        <v>1417114174</v>
      </c>
      <c r="E23782" t="s">
        <v>14331</v>
      </c>
    </row>
    <row r="23783" spans="1:5" x14ac:dyDescent="0.25">
      <c r="A23783" t="s">
        <v>6</v>
      </c>
      <c r="B23783" t="s">
        <v>6078</v>
      </c>
      <c r="C23783" s="1" t="s">
        <v>23490</v>
      </c>
      <c r="D23783" s="1" t="str">
        <f>HYPERLINK("https://rhld.insurance.arkansas.gov/NPILookup?Npi=1417275652","1417275652")</f>
        <v>1417275652</v>
      </c>
      <c r="E23783" t="s">
        <v>8359</v>
      </c>
    </row>
    <row r="23784" spans="1:5" x14ac:dyDescent="0.25">
      <c r="A23784" t="s">
        <v>6</v>
      </c>
      <c r="B23784" t="s">
        <v>6078</v>
      </c>
      <c r="C23784" s="1" t="s">
        <v>23490</v>
      </c>
      <c r="D23784" s="1" t="str">
        <f>HYPERLINK("https://rhld.insurance.arkansas.gov/NPILookup?Npi=1417311762","1417311762")</f>
        <v>1417311762</v>
      </c>
      <c r="E23784" t="s">
        <v>19120</v>
      </c>
    </row>
    <row r="23785" spans="1:5" x14ac:dyDescent="0.25">
      <c r="A23785" t="s">
        <v>6</v>
      </c>
      <c r="B23785" t="s">
        <v>6078</v>
      </c>
      <c r="C23785" s="1" t="s">
        <v>23490</v>
      </c>
      <c r="D23785" s="1" t="str">
        <f>HYPERLINK("https://rhld.insurance.arkansas.gov/NPILookup?Npi=1417900374","1417900374")</f>
        <v>1417900374</v>
      </c>
      <c r="E23785" t="s">
        <v>6178</v>
      </c>
    </row>
    <row r="23786" spans="1:5" x14ac:dyDescent="0.25">
      <c r="A23786" t="s">
        <v>6</v>
      </c>
      <c r="B23786" t="s">
        <v>6078</v>
      </c>
      <c r="C23786" s="1" t="s">
        <v>23490</v>
      </c>
      <c r="D23786" s="1" t="str">
        <f>HYPERLINK("https://rhld.insurance.arkansas.gov/NPILookup?Npi=1417969064","1417969064")</f>
        <v>1417969064</v>
      </c>
      <c r="E23786" t="s">
        <v>6179</v>
      </c>
    </row>
    <row r="23787" spans="1:5" x14ac:dyDescent="0.25">
      <c r="A23787" t="s">
        <v>6</v>
      </c>
      <c r="B23787" t="s">
        <v>6078</v>
      </c>
      <c r="C23787" s="1" t="s">
        <v>23490</v>
      </c>
      <c r="D23787" s="1" t="str">
        <f>HYPERLINK("https://rhld.insurance.arkansas.gov/NPILookup?Npi=1417977471","1417977471")</f>
        <v>1417977471</v>
      </c>
      <c r="E23787" t="s">
        <v>6180</v>
      </c>
    </row>
    <row r="23788" spans="1:5" x14ac:dyDescent="0.25">
      <c r="A23788" t="s">
        <v>6</v>
      </c>
      <c r="B23788" t="s">
        <v>6078</v>
      </c>
      <c r="C23788" s="1" t="s">
        <v>23490</v>
      </c>
      <c r="D23788" s="1" t="str">
        <f>HYPERLINK("https://rhld.insurance.arkansas.gov/NPILookup?Npi=1427051200","1427051200")</f>
        <v>1427051200</v>
      </c>
      <c r="E23788" t="s">
        <v>22460</v>
      </c>
    </row>
    <row r="23789" spans="1:5" x14ac:dyDescent="0.25">
      <c r="A23789" t="s">
        <v>6</v>
      </c>
      <c r="B23789" t="s">
        <v>6078</v>
      </c>
      <c r="C23789" s="1" t="s">
        <v>23490</v>
      </c>
      <c r="D23789" s="1" t="str">
        <f>HYPERLINK("https://rhld.insurance.arkansas.gov/NPILookup?Npi=1427088988","1427088988")</f>
        <v>1427088988</v>
      </c>
      <c r="E23789" t="s">
        <v>7040</v>
      </c>
    </row>
    <row r="23790" spans="1:5" x14ac:dyDescent="0.25">
      <c r="A23790" t="s">
        <v>6</v>
      </c>
      <c r="B23790" t="s">
        <v>6078</v>
      </c>
      <c r="C23790" s="1" t="s">
        <v>23490</v>
      </c>
      <c r="D23790" s="1" t="str">
        <f>HYPERLINK("https://rhld.insurance.arkansas.gov/NPILookup?Npi=1437188273","1437188273")</f>
        <v>1437188273</v>
      </c>
      <c r="E23790" t="s">
        <v>6181</v>
      </c>
    </row>
    <row r="23791" spans="1:5" x14ac:dyDescent="0.25">
      <c r="A23791" t="s">
        <v>6</v>
      </c>
      <c r="B23791" t="s">
        <v>6078</v>
      </c>
      <c r="C23791" s="1" t="s">
        <v>23490</v>
      </c>
      <c r="D23791" s="1" t="str">
        <f>HYPERLINK("https://rhld.insurance.arkansas.gov/NPILookup?Npi=1437215886","1437215886")</f>
        <v>1437215886</v>
      </c>
      <c r="E23791" t="s">
        <v>22461</v>
      </c>
    </row>
    <row r="23792" spans="1:5" x14ac:dyDescent="0.25">
      <c r="A23792" t="s">
        <v>6</v>
      </c>
      <c r="B23792" t="s">
        <v>6078</v>
      </c>
      <c r="C23792" s="1" t="s">
        <v>23490</v>
      </c>
      <c r="D23792" s="1" t="str">
        <f>HYPERLINK("https://rhld.insurance.arkansas.gov/NPILookup?Npi=1437590080","1437590080")</f>
        <v>1437590080</v>
      </c>
      <c r="E23792" t="s">
        <v>22462</v>
      </c>
    </row>
    <row r="23793" spans="1:5" x14ac:dyDescent="0.25">
      <c r="A23793" t="s">
        <v>6</v>
      </c>
      <c r="B23793" t="s">
        <v>6078</v>
      </c>
      <c r="C23793" s="1" t="s">
        <v>23490</v>
      </c>
      <c r="D23793" s="1" t="str">
        <f>HYPERLINK("https://rhld.insurance.arkansas.gov/NPILookup?Npi=1447203054","1447203054")</f>
        <v>1447203054</v>
      </c>
      <c r="E23793" t="s">
        <v>16335</v>
      </c>
    </row>
    <row r="23794" spans="1:5" x14ac:dyDescent="0.25">
      <c r="A23794" t="s">
        <v>6</v>
      </c>
      <c r="B23794" t="s">
        <v>6078</v>
      </c>
      <c r="C23794" s="1" t="s">
        <v>23490</v>
      </c>
      <c r="D23794" s="1" t="str">
        <f>HYPERLINK("https://rhld.insurance.arkansas.gov/NPILookup?Npi=1447253026","1447253026")</f>
        <v>1447253026</v>
      </c>
      <c r="E23794" t="s">
        <v>6182</v>
      </c>
    </row>
    <row r="23795" spans="1:5" x14ac:dyDescent="0.25">
      <c r="A23795" t="s">
        <v>6</v>
      </c>
      <c r="B23795" t="s">
        <v>6078</v>
      </c>
      <c r="C23795" s="1" t="s">
        <v>23490</v>
      </c>
      <c r="D23795" s="1" t="str">
        <f>HYPERLINK("https://rhld.insurance.arkansas.gov/NPILookup?Npi=1447271739","1447271739")</f>
        <v>1447271739</v>
      </c>
      <c r="E23795" t="s">
        <v>6183</v>
      </c>
    </row>
    <row r="23796" spans="1:5" x14ac:dyDescent="0.25">
      <c r="A23796" t="s">
        <v>6</v>
      </c>
      <c r="B23796" t="s">
        <v>6078</v>
      </c>
      <c r="C23796" s="1" t="s">
        <v>23490</v>
      </c>
      <c r="D23796" s="1" t="str">
        <f>HYPERLINK("https://rhld.insurance.arkansas.gov/NPILookup?Npi=1447280789","1447280789")</f>
        <v>1447280789</v>
      </c>
      <c r="E23796" t="s">
        <v>6184</v>
      </c>
    </row>
    <row r="23797" spans="1:5" x14ac:dyDescent="0.25">
      <c r="A23797" t="s">
        <v>6</v>
      </c>
      <c r="B23797" t="s">
        <v>6078</v>
      </c>
      <c r="C23797" s="1" t="s">
        <v>23490</v>
      </c>
      <c r="D23797" s="1" t="str">
        <f>HYPERLINK("https://rhld.insurance.arkansas.gov/NPILookup?Npi=1447591912","1447591912")</f>
        <v>1447591912</v>
      </c>
      <c r="E23797" t="s">
        <v>14332</v>
      </c>
    </row>
    <row r="23798" spans="1:5" x14ac:dyDescent="0.25">
      <c r="A23798" t="s">
        <v>6</v>
      </c>
      <c r="B23798" t="s">
        <v>6078</v>
      </c>
      <c r="C23798" s="1" t="s">
        <v>23490</v>
      </c>
      <c r="D23798" s="1" t="str">
        <f>HYPERLINK("https://rhld.insurance.arkansas.gov/NPILookup?Npi=1447662572","1447662572")</f>
        <v>1447662572</v>
      </c>
      <c r="E23798" t="s">
        <v>14333</v>
      </c>
    </row>
    <row r="23799" spans="1:5" x14ac:dyDescent="0.25">
      <c r="A23799" t="s">
        <v>6</v>
      </c>
      <c r="B23799" t="s">
        <v>6078</v>
      </c>
      <c r="C23799" s="1" t="s">
        <v>23490</v>
      </c>
      <c r="D23799" s="1" t="str">
        <f>HYPERLINK("https://rhld.insurance.arkansas.gov/NPILookup?Npi=1447715024","1447715024")</f>
        <v>1447715024</v>
      </c>
      <c r="E23799" t="s">
        <v>20696</v>
      </c>
    </row>
    <row r="23800" spans="1:5" x14ac:dyDescent="0.25">
      <c r="A23800" t="s">
        <v>6</v>
      </c>
      <c r="B23800" t="s">
        <v>6078</v>
      </c>
      <c r="C23800" s="1" t="s">
        <v>23490</v>
      </c>
      <c r="D23800" s="1" t="str">
        <f>HYPERLINK("https://rhld.insurance.arkansas.gov/NPILookup?Npi=1457355166","1457355166")</f>
        <v>1457355166</v>
      </c>
      <c r="E23800" t="s">
        <v>6185</v>
      </c>
    </row>
    <row r="23801" spans="1:5" x14ac:dyDescent="0.25">
      <c r="A23801" t="s">
        <v>6</v>
      </c>
      <c r="B23801" t="s">
        <v>6078</v>
      </c>
      <c r="C23801" s="1" t="s">
        <v>23490</v>
      </c>
      <c r="D23801" s="1" t="str">
        <f>HYPERLINK("https://rhld.insurance.arkansas.gov/NPILookup?Npi=1457445579","1457445579")</f>
        <v>1457445579</v>
      </c>
      <c r="E23801" t="s">
        <v>16336</v>
      </c>
    </row>
    <row r="23802" spans="1:5" x14ac:dyDescent="0.25">
      <c r="A23802" t="s">
        <v>6</v>
      </c>
      <c r="B23802" t="s">
        <v>6078</v>
      </c>
      <c r="C23802" s="1" t="s">
        <v>23490</v>
      </c>
      <c r="D23802" s="1" t="str">
        <f>HYPERLINK("https://rhld.insurance.arkansas.gov/NPILookup?Npi=1457471567","1457471567")</f>
        <v>1457471567</v>
      </c>
      <c r="E23802" t="s">
        <v>3738</v>
      </c>
    </row>
    <row r="23803" spans="1:5" x14ac:dyDescent="0.25">
      <c r="A23803" t="s">
        <v>6</v>
      </c>
      <c r="B23803" t="s">
        <v>6078</v>
      </c>
      <c r="C23803" s="1" t="s">
        <v>23490</v>
      </c>
      <c r="D23803" s="1" t="str">
        <f>HYPERLINK("https://rhld.insurance.arkansas.gov/NPILookup?Npi=1457767436","1457767436")</f>
        <v>1457767436</v>
      </c>
      <c r="E23803" t="s">
        <v>22463</v>
      </c>
    </row>
    <row r="23804" spans="1:5" x14ac:dyDescent="0.25">
      <c r="A23804" t="s">
        <v>6</v>
      </c>
      <c r="B23804" t="s">
        <v>6078</v>
      </c>
      <c r="C23804" s="1" t="s">
        <v>8427</v>
      </c>
      <c r="D23804" s="1" t="str">
        <f>HYPERLINK("https://rhld.insurance.arkansas.gov/NPILookup?Npi=1457880353","1457880353")</f>
        <v>1457880353</v>
      </c>
      <c r="E23804" t="s">
        <v>23281</v>
      </c>
    </row>
    <row r="23805" spans="1:5" x14ac:dyDescent="0.25">
      <c r="A23805" t="s">
        <v>6</v>
      </c>
      <c r="B23805" t="s">
        <v>6078</v>
      </c>
      <c r="C23805" s="1" t="s">
        <v>23490</v>
      </c>
      <c r="D23805" s="1" t="str">
        <f>HYPERLINK("https://rhld.insurance.arkansas.gov/NPILookup?Npi=1467455055","1467455055")</f>
        <v>1467455055</v>
      </c>
      <c r="E23805" t="s">
        <v>6186</v>
      </c>
    </row>
    <row r="23806" spans="1:5" x14ac:dyDescent="0.25">
      <c r="A23806" t="s">
        <v>6</v>
      </c>
      <c r="B23806" t="s">
        <v>6078</v>
      </c>
      <c r="C23806" s="1" t="s">
        <v>23490</v>
      </c>
      <c r="D23806" s="1" t="str">
        <f>HYPERLINK("https://rhld.insurance.arkansas.gov/NPILookup?Npi=1467455279","1467455279")</f>
        <v>1467455279</v>
      </c>
      <c r="E23806" t="s">
        <v>6187</v>
      </c>
    </row>
    <row r="23807" spans="1:5" x14ac:dyDescent="0.25">
      <c r="A23807" t="s">
        <v>6</v>
      </c>
      <c r="B23807" t="s">
        <v>6078</v>
      </c>
      <c r="C23807" s="1" t="s">
        <v>23490</v>
      </c>
      <c r="D23807" s="1" t="str">
        <f>HYPERLINK("https://rhld.insurance.arkansas.gov/NPILookup?Npi=1467458356","1467458356")</f>
        <v>1467458356</v>
      </c>
      <c r="E23807" t="s">
        <v>22464</v>
      </c>
    </row>
    <row r="23808" spans="1:5" x14ac:dyDescent="0.25">
      <c r="A23808" t="s">
        <v>6</v>
      </c>
      <c r="B23808" t="s">
        <v>6078</v>
      </c>
      <c r="C23808" s="1" t="s">
        <v>23490</v>
      </c>
      <c r="D23808" s="1" t="str">
        <f>HYPERLINK("https://rhld.insurance.arkansas.gov/NPILookup?Npi=1467670984","1467670984")</f>
        <v>1467670984</v>
      </c>
      <c r="E23808" t="s">
        <v>1665</v>
      </c>
    </row>
    <row r="23809" spans="1:5" x14ac:dyDescent="0.25">
      <c r="A23809" t="s">
        <v>6</v>
      </c>
      <c r="B23809" t="s">
        <v>6078</v>
      </c>
      <c r="C23809" s="1" t="s">
        <v>23490</v>
      </c>
      <c r="D23809" s="1" t="str">
        <f>HYPERLINK("https://rhld.insurance.arkansas.gov/NPILookup?Npi=1467671792","1467671792")</f>
        <v>1467671792</v>
      </c>
      <c r="E23809" t="s">
        <v>6188</v>
      </c>
    </row>
    <row r="23810" spans="1:5" x14ac:dyDescent="0.25">
      <c r="A23810" t="s">
        <v>6</v>
      </c>
      <c r="B23810" t="s">
        <v>6078</v>
      </c>
      <c r="C23810" s="1" t="s">
        <v>23490</v>
      </c>
      <c r="D23810" s="1" t="str">
        <f>HYPERLINK("https://rhld.insurance.arkansas.gov/NPILookup?Npi=1477093458","1477093458")</f>
        <v>1477093458</v>
      </c>
      <c r="E23810" t="s">
        <v>20697</v>
      </c>
    </row>
    <row r="23811" spans="1:5" x14ac:dyDescent="0.25">
      <c r="A23811" t="s">
        <v>6</v>
      </c>
      <c r="B23811" t="s">
        <v>6078</v>
      </c>
      <c r="C23811" s="1" t="s">
        <v>23490</v>
      </c>
      <c r="D23811" s="1" t="str">
        <f>HYPERLINK("https://rhld.insurance.arkansas.gov/NPILookup?Npi=1477500700","1477500700")</f>
        <v>1477500700</v>
      </c>
      <c r="E23811" t="s">
        <v>16337</v>
      </c>
    </row>
    <row r="23812" spans="1:5" x14ac:dyDescent="0.25">
      <c r="A23812" t="s">
        <v>6</v>
      </c>
      <c r="B23812" t="s">
        <v>6078</v>
      </c>
      <c r="C23812" s="1" t="s">
        <v>23490</v>
      </c>
      <c r="D23812" s="1" t="str">
        <f>HYPERLINK("https://rhld.insurance.arkansas.gov/NPILookup?Npi=1477524668","1477524668")</f>
        <v>1477524668</v>
      </c>
      <c r="E23812" t="s">
        <v>6189</v>
      </c>
    </row>
    <row r="23813" spans="1:5" x14ac:dyDescent="0.25">
      <c r="A23813" t="s">
        <v>6</v>
      </c>
      <c r="B23813" t="s">
        <v>6078</v>
      </c>
      <c r="C23813" s="1" t="s">
        <v>23490</v>
      </c>
      <c r="D23813" s="1" t="str">
        <f>HYPERLINK("https://rhld.insurance.arkansas.gov/NPILookup?Npi=1477551380","1477551380")</f>
        <v>1477551380</v>
      </c>
      <c r="E23813" t="s">
        <v>6190</v>
      </c>
    </row>
    <row r="23814" spans="1:5" x14ac:dyDescent="0.25">
      <c r="A23814" t="s">
        <v>6</v>
      </c>
      <c r="B23814" t="s">
        <v>6078</v>
      </c>
      <c r="C23814" s="1" t="s">
        <v>23490</v>
      </c>
      <c r="D23814" s="1" t="str">
        <f>HYPERLINK("https://rhld.insurance.arkansas.gov/NPILookup?Npi=1477557064","1477557064")</f>
        <v>1477557064</v>
      </c>
      <c r="E23814" t="s">
        <v>6191</v>
      </c>
    </row>
    <row r="23815" spans="1:5" x14ac:dyDescent="0.25">
      <c r="A23815" t="s">
        <v>6</v>
      </c>
      <c r="B23815" t="s">
        <v>6078</v>
      </c>
      <c r="C23815" s="1" t="s">
        <v>23490</v>
      </c>
      <c r="D23815" s="1" t="str">
        <f>HYPERLINK("https://rhld.insurance.arkansas.gov/NPILookup?Npi=1477582799","1477582799")</f>
        <v>1477582799</v>
      </c>
      <c r="E23815" t="s">
        <v>16338</v>
      </c>
    </row>
    <row r="23816" spans="1:5" x14ac:dyDescent="0.25">
      <c r="A23816" t="s">
        <v>6</v>
      </c>
      <c r="B23816" t="s">
        <v>6078</v>
      </c>
      <c r="C23816" s="1" t="s">
        <v>23490</v>
      </c>
      <c r="D23816" s="1" t="str">
        <f>HYPERLINK("https://rhld.insurance.arkansas.gov/NPILookup?Npi=1477585347","1477585347")</f>
        <v>1477585347</v>
      </c>
      <c r="E23816" t="s">
        <v>51</v>
      </c>
    </row>
    <row r="23817" spans="1:5" x14ac:dyDescent="0.25">
      <c r="A23817" t="s">
        <v>6</v>
      </c>
      <c r="B23817" t="s">
        <v>6078</v>
      </c>
      <c r="C23817" s="1" t="s">
        <v>23490</v>
      </c>
      <c r="D23817" s="1" t="str">
        <f>HYPERLINK("https://rhld.insurance.arkansas.gov/NPILookup?Npi=1477643955","1477643955")</f>
        <v>1477643955</v>
      </c>
      <c r="E23817" t="s">
        <v>6192</v>
      </c>
    </row>
    <row r="23818" spans="1:5" x14ac:dyDescent="0.25">
      <c r="A23818" t="s">
        <v>6</v>
      </c>
      <c r="B23818" t="s">
        <v>6078</v>
      </c>
      <c r="C23818" s="1" t="s">
        <v>23490</v>
      </c>
      <c r="D23818" s="1" t="str">
        <f>HYPERLINK("https://rhld.insurance.arkansas.gov/NPILookup?Npi=1477680197","1477680197")</f>
        <v>1477680197</v>
      </c>
      <c r="E23818" t="s">
        <v>9199</v>
      </c>
    </row>
    <row r="23819" spans="1:5" x14ac:dyDescent="0.25">
      <c r="A23819" t="s">
        <v>6</v>
      </c>
      <c r="B23819" t="s">
        <v>6078</v>
      </c>
      <c r="C23819" s="1" t="s">
        <v>23490</v>
      </c>
      <c r="D23819" s="1" t="str">
        <f>HYPERLINK("https://rhld.insurance.arkansas.gov/NPILookup?Npi=1477731263","1477731263")</f>
        <v>1477731263</v>
      </c>
      <c r="E23819" t="s">
        <v>6193</v>
      </c>
    </row>
    <row r="23820" spans="1:5" x14ac:dyDescent="0.25">
      <c r="A23820" t="s">
        <v>6</v>
      </c>
      <c r="B23820" t="s">
        <v>6078</v>
      </c>
      <c r="C23820" s="1" t="s">
        <v>23490</v>
      </c>
      <c r="D23820" s="1" t="str">
        <f>HYPERLINK("https://rhld.insurance.arkansas.gov/NPILookup?Npi=1477749380","1477749380")</f>
        <v>1477749380</v>
      </c>
      <c r="E23820" t="s">
        <v>16339</v>
      </c>
    </row>
    <row r="23821" spans="1:5" x14ac:dyDescent="0.25">
      <c r="A23821" t="s">
        <v>6</v>
      </c>
      <c r="B23821" t="s">
        <v>6078</v>
      </c>
      <c r="C23821" s="1" t="s">
        <v>23490</v>
      </c>
      <c r="D23821" s="1" t="str">
        <f>HYPERLINK("https://rhld.insurance.arkansas.gov/NPILookup?Npi=1477760437","1477760437")</f>
        <v>1477760437</v>
      </c>
      <c r="E23821" t="s">
        <v>11960</v>
      </c>
    </row>
    <row r="23822" spans="1:5" x14ac:dyDescent="0.25">
      <c r="A23822" t="s">
        <v>6</v>
      </c>
      <c r="B23822" t="s">
        <v>6078</v>
      </c>
      <c r="C23822" s="1" t="s">
        <v>23490</v>
      </c>
      <c r="D23822" s="1" t="str">
        <f>HYPERLINK("https://rhld.insurance.arkansas.gov/NPILookup?Npi=1487053484","1487053484")</f>
        <v>1487053484</v>
      </c>
      <c r="E23822" t="s">
        <v>6194</v>
      </c>
    </row>
    <row r="23823" spans="1:5" x14ac:dyDescent="0.25">
      <c r="A23823" t="s">
        <v>6</v>
      </c>
      <c r="B23823" t="s">
        <v>6078</v>
      </c>
      <c r="C23823" s="1" t="s">
        <v>23490</v>
      </c>
      <c r="D23823" s="1" t="str">
        <f>HYPERLINK("https://rhld.insurance.arkansas.gov/NPILookup?Npi=1487611760","1487611760")</f>
        <v>1487611760</v>
      </c>
      <c r="E23823" t="s">
        <v>14334</v>
      </c>
    </row>
    <row r="23824" spans="1:5" x14ac:dyDescent="0.25">
      <c r="A23824" t="s">
        <v>6</v>
      </c>
      <c r="B23824" t="s">
        <v>6078</v>
      </c>
      <c r="C23824" s="1" t="s">
        <v>23490</v>
      </c>
      <c r="D23824" s="1" t="str">
        <f>HYPERLINK("https://rhld.insurance.arkansas.gov/NPILookup?Npi=1487673703","1487673703")</f>
        <v>1487673703</v>
      </c>
      <c r="E23824" t="s">
        <v>22465</v>
      </c>
    </row>
    <row r="23825" spans="1:5" x14ac:dyDescent="0.25">
      <c r="A23825" t="s">
        <v>6</v>
      </c>
      <c r="B23825" t="s">
        <v>6078</v>
      </c>
      <c r="C23825" s="1" t="s">
        <v>23490</v>
      </c>
      <c r="D23825" s="1" t="str">
        <f>HYPERLINK("https://rhld.insurance.arkansas.gov/NPILookup?Npi=1487816286","1487816286")</f>
        <v>1487816286</v>
      </c>
      <c r="E23825" t="s">
        <v>11961</v>
      </c>
    </row>
    <row r="23826" spans="1:5" x14ac:dyDescent="0.25">
      <c r="A23826" t="s">
        <v>6</v>
      </c>
      <c r="B23826" t="s">
        <v>6078</v>
      </c>
      <c r="C23826" s="1" t="s">
        <v>23490</v>
      </c>
      <c r="D23826" s="1" t="str">
        <f>HYPERLINK("https://rhld.insurance.arkansas.gov/NPILookup?Npi=1487896973","1487896973")</f>
        <v>1487896973</v>
      </c>
      <c r="E23826" t="s">
        <v>1933</v>
      </c>
    </row>
    <row r="23827" spans="1:5" x14ac:dyDescent="0.25">
      <c r="A23827" t="s">
        <v>6</v>
      </c>
      <c r="B23827" t="s">
        <v>6078</v>
      </c>
      <c r="C23827" s="1" t="s">
        <v>23490</v>
      </c>
      <c r="D23827" s="1" t="str">
        <f>HYPERLINK("https://rhld.insurance.arkansas.gov/NPILookup?Npi=1497011415","1497011415")</f>
        <v>1497011415</v>
      </c>
      <c r="E23827" t="s">
        <v>11460</v>
      </c>
    </row>
    <row r="23828" spans="1:5" x14ac:dyDescent="0.25">
      <c r="A23828" t="s">
        <v>6</v>
      </c>
      <c r="B23828" t="s">
        <v>6078</v>
      </c>
      <c r="C23828" s="1" t="s">
        <v>23490</v>
      </c>
      <c r="D23828" s="1" t="str">
        <f>HYPERLINK("https://rhld.insurance.arkansas.gov/NPILookup?Npi=1497040299","1497040299")</f>
        <v>1497040299</v>
      </c>
      <c r="E23828" t="s">
        <v>22466</v>
      </c>
    </row>
    <row r="23829" spans="1:5" x14ac:dyDescent="0.25">
      <c r="A23829" t="s">
        <v>6</v>
      </c>
      <c r="B23829" t="s">
        <v>6078</v>
      </c>
      <c r="C23829" s="1" t="s">
        <v>23490</v>
      </c>
      <c r="D23829" s="1" t="str">
        <f>HYPERLINK("https://rhld.insurance.arkansas.gov/NPILookup?Npi=1497713267","1497713267")</f>
        <v>1497713267</v>
      </c>
      <c r="E23829" t="s">
        <v>7468</v>
      </c>
    </row>
    <row r="23830" spans="1:5" x14ac:dyDescent="0.25">
      <c r="A23830" t="s">
        <v>6</v>
      </c>
      <c r="B23830" t="s">
        <v>6078</v>
      </c>
      <c r="C23830" s="1" t="s">
        <v>23490</v>
      </c>
      <c r="D23830" s="1" t="str">
        <f>HYPERLINK("https://rhld.insurance.arkansas.gov/NPILookup?Npi=1497751390","1497751390")</f>
        <v>1497751390</v>
      </c>
      <c r="E23830" t="s">
        <v>6195</v>
      </c>
    </row>
    <row r="23831" spans="1:5" x14ac:dyDescent="0.25">
      <c r="A23831" t="s">
        <v>6</v>
      </c>
      <c r="B23831" t="s">
        <v>6078</v>
      </c>
      <c r="C23831" s="1" t="s">
        <v>23490</v>
      </c>
      <c r="D23831" s="1" t="str">
        <f>HYPERLINK("https://rhld.insurance.arkansas.gov/NPILookup?Npi=1497752638","1497752638")</f>
        <v>1497752638</v>
      </c>
      <c r="E23831" t="s">
        <v>17262</v>
      </c>
    </row>
    <row r="23832" spans="1:5" x14ac:dyDescent="0.25">
      <c r="A23832" t="s">
        <v>6</v>
      </c>
      <c r="B23832" t="s">
        <v>6078</v>
      </c>
      <c r="C23832" s="1" t="s">
        <v>23490</v>
      </c>
      <c r="D23832" s="1" t="str">
        <f>HYPERLINK("https://rhld.insurance.arkansas.gov/NPILookup?Npi=1497828552","1497828552")</f>
        <v>1497828552</v>
      </c>
      <c r="E23832" t="s">
        <v>6196</v>
      </c>
    </row>
    <row r="23833" spans="1:5" x14ac:dyDescent="0.25">
      <c r="A23833" t="s">
        <v>6</v>
      </c>
      <c r="B23833" t="s">
        <v>6078</v>
      </c>
      <c r="C23833" s="1" t="s">
        <v>23490</v>
      </c>
      <c r="D23833" s="1" t="str">
        <f>HYPERLINK("https://rhld.insurance.arkansas.gov/NPILookup?Npi=1508152471","1508152471")</f>
        <v>1508152471</v>
      </c>
      <c r="E23833" t="s">
        <v>11962</v>
      </c>
    </row>
    <row r="23834" spans="1:5" x14ac:dyDescent="0.25">
      <c r="A23834" t="s">
        <v>6</v>
      </c>
      <c r="B23834" t="s">
        <v>6078</v>
      </c>
      <c r="C23834" s="1" t="s">
        <v>23490</v>
      </c>
      <c r="D23834" s="1" t="str">
        <f>HYPERLINK("https://rhld.insurance.arkansas.gov/NPILookup?Npi=1508160102","1508160102")</f>
        <v>1508160102</v>
      </c>
      <c r="E23834" t="s">
        <v>11463</v>
      </c>
    </row>
    <row r="23835" spans="1:5" x14ac:dyDescent="0.25">
      <c r="A23835" t="s">
        <v>6</v>
      </c>
      <c r="B23835" t="s">
        <v>6078</v>
      </c>
      <c r="C23835" s="1" t="s">
        <v>23490</v>
      </c>
      <c r="D23835" s="1" t="str">
        <f>HYPERLINK("https://rhld.insurance.arkansas.gov/NPILookup?Npi=1508185406","1508185406")</f>
        <v>1508185406</v>
      </c>
      <c r="E23835" t="s">
        <v>16340</v>
      </c>
    </row>
    <row r="23836" spans="1:5" x14ac:dyDescent="0.25">
      <c r="A23836" t="s">
        <v>6</v>
      </c>
      <c r="B23836" t="s">
        <v>6078</v>
      </c>
      <c r="C23836" s="1" t="s">
        <v>23490</v>
      </c>
      <c r="D23836" s="1" t="str">
        <f>HYPERLINK("https://rhld.insurance.arkansas.gov/NPILookup?Npi=1508220450","1508220450")</f>
        <v>1508220450</v>
      </c>
      <c r="E23836" t="s">
        <v>22467</v>
      </c>
    </row>
    <row r="23837" spans="1:5" x14ac:dyDescent="0.25">
      <c r="A23837" t="s">
        <v>6</v>
      </c>
      <c r="B23837" t="s">
        <v>6078</v>
      </c>
      <c r="C23837" s="1" t="s">
        <v>23490</v>
      </c>
      <c r="D23837" s="1" t="str">
        <f>HYPERLINK("https://rhld.insurance.arkansas.gov/NPILookup?Npi=1508839572","1508839572")</f>
        <v>1508839572</v>
      </c>
      <c r="E23837" t="s">
        <v>6198</v>
      </c>
    </row>
    <row r="23838" spans="1:5" x14ac:dyDescent="0.25">
      <c r="A23838" t="s">
        <v>6</v>
      </c>
      <c r="B23838" t="s">
        <v>6078</v>
      </c>
      <c r="C23838" s="1" t="s">
        <v>23490</v>
      </c>
      <c r="D23838" s="1" t="str">
        <f>HYPERLINK("https://rhld.insurance.arkansas.gov/NPILookup?Npi=1508887191","1508887191")</f>
        <v>1508887191</v>
      </c>
      <c r="E23838" t="s">
        <v>22468</v>
      </c>
    </row>
    <row r="23839" spans="1:5" x14ac:dyDescent="0.25">
      <c r="A23839" t="s">
        <v>6</v>
      </c>
      <c r="B23839" t="s">
        <v>6078</v>
      </c>
      <c r="C23839" s="1" t="s">
        <v>23490</v>
      </c>
      <c r="D23839" s="1" t="str">
        <f>HYPERLINK("https://rhld.insurance.arkansas.gov/NPILookup?Npi=1518165729","1518165729")</f>
        <v>1518165729</v>
      </c>
      <c r="E23839" t="s">
        <v>6199</v>
      </c>
    </row>
    <row r="23840" spans="1:5" x14ac:dyDescent="0.25">
      <c r="A23840" t="s">
        <v>6</v>
      </c>
      <c r="B23840" t="s">
        <v>6078</v>
      </c>
      <c r="C23840" s="1" t="s">
        <v>23490</v>
      </c>
      <c r="D23840" s="1" t="str">
        <f>HYPERLINK("https://rhld.insurance.arkansas.gov/NPILookup?Npi=1518165919","1518165919")</f>
        <v>1518165919</v>
      </c>
      <c r="E23840" t="s">
        <v>14335</v>
      </c>
    </row>
    <row r="23841" spans="1:5" x14ac:dyDescent="0.25">
      <c r="A23841" t="s">
        <v>6</v>
      </c>
      <c r="B23841" t="s">
        <v>6078</v>
      </c>
      <c r="C23841" s="1" t="s">
        <v>23490</v>
      </c>
      <c r="D23841" s="1" t="str">
        <f>HYPERLINK("https://rhld.insurance.arkansas.gov/NPILookup?Npi=1518300557","1518300557")</f>
        <v>1518300557</v>
      </c>
      <c r="E23841" t="s">
        <v>16341</v>
      </c>
    </row>
    <row r="23842" spans="1:5" x14ac:dyDescent="0.25">
      <c r="A23842" t="s">
        <v>6</v>
      </c>
      <c r="B23842" t="s">
        <v>6078</v>
      </c>
      <c r="C23842" s="1" t="s">
        <v>23490</v>
      </c>
      <c r="D23842" s="1" t="str">
        <f>HYPERLINK("https://rhld.insurance.arkansas.gov/NPILookup?Npi=1518960392","1518960392")</f>
        <v>1518960392</v>
      </c>
      <c r="E23842" t="s">
        <v>6200</v>
      </c>
    </row>
    <row r="23843" spans="1:5" x14ac:dyDescent="0.25">
      <c r="A23843" t="s">
        <v>6</v>
      </c>
      <c r="B23843" t="s">
        <v>6078</v>
      </c>
      <c r="C23843" s="1" t="s">
        <v>23490</v>
      </c>
      <c r="D23843" s="1" t="str">
        <f>HYPERLINK("https://rhld.insurance.arkansas.gov/NPILookup?Npi=1528066495","1528066495")</f>
        <v>1528066495</v>
      </c>
      <c r="E23843" t="s">
        <v>6201</v>
      </c>
    </row>
    <row r="23844" spans="1:5" x14ac:dyDescent="0.25">
      <c r="A23844" t="s">
        <v>6</v>
      </c>
      <c r="B23844" t="s">
        <v>6078</v>
      </c>
      <c r="C23844" s="1" t="s">
        <v>23490</v>
      </c>
      <c r="D23844" s="1" t="str">
        <f>HYPERLINK("https://rhld.insurance.arkansas.gov/NPILookup?Npi=1528276763","1528276763")</f>
        <v>1528276763</v>
      </c>
      <c r="E23844" t="s">
        <v>6202</v>
      </c>
    </row>
    <row r="23845" spans="1:5" x14ac:dyDescent="0.25">
      <c r="A23845" t="s">
        <v>6</v>
      </c>
      <c r="B23845" t="s">
        <v>6078</v>
      </c>
      <c r="C23845" s="1" t="s">
        <v>23490</v>
      </c>
      <c r="D23845" s="1" t="str">
        <f>HYPERLINK("https://rhld.insurance.arkansas.gov/NPILookup?Npi=1528279965","1528279965")</f>
        <v>1528279965</v>
      </c>
      <c r="E23845" t="s">
        <v>6203</v>
      </c>
    </row>
    <row r="23846" spans="1:5" x14ac:dyDescent="0.25">
      <c r="A23846" t="s">
        <v>6</v>
      </c>
      <c r="B23846" t="s">
        <v>6078</v>
      </c>
      <c r="C23846" s="1" t="s">
        <v>23490</v>
      </c>
      <c r="D23846" s="1" t="str">
        <f>HYPERLINK("https://rhld.insurance.arkansas.gov/NPILookup?Npi=1528390200","1528390200")</f>
        <v>1528390200</v>
      </c>
      <c r="E23846" t="s">
        <v>11963</v>
      </c>
    </row>
    <row r="23847" spans="1:5" x14ac:dyDescent="0.25">
      <c r="A23847" t="s">
        <v>6</v>
      </c>
      <c r="B23847" t="s">
        <v>6078</v>
      </c>
      <c r="C23847" s="1" t="s">
        <v>23490</v>
      </c>
      <c r="D23847" s="1" t="str">
        <f>HYPERLINK("https://rhld.insurance.arkansas.gov/NPILookup?Npi=1538162797","1538162797")</f>
        <v>1538162797</v>
      </c>
      <c r="E23847" t="s">
        <v>6204</v>
      </c>
    </row>
    <row r="23848" spans="1:5" x14ac:dyDescent="0.25">
      <c r="A23848" t="s">
        <v>6</v>
      </c>
      <c r="B23848" t="s">
        <v>6078</v>
      </c>
      <c r="C23848" s="1" t="s">
        <v>23490</v>
      </c>
      <c r="D23848" s="1" t="str">
        <f>HYPERLINK("https://rhld.insurance.arkansas.gov/NPILookup?Npi=1538423215","1538423215")</f>
        <v>1538423215</v>
      </c>
      <c r="E23848" t="s">
        <v>14336</v>
      </c>
    </row>
    <row r="23849" spans="1:5" x14ac:dyDescent="0.25">
      <c r="A23849" t="s">
        <v>6</v>
      </c>
      <c r="B23849" t="s">
        <v>6078</v>
      </c>
      <c r="C23849" s="1" t="s">
        <v>23490</v>
      </c>
      <c r="D23849" s="1" t="str">
        <f>HYPERLINK("https://rhld.insurance.arkansas.gov/NPILookup?Npi=1538460225","1538460225")</f>
        <v>1538460225</v>
      </c>
      <c r="E23849" t="s">
        <v>14337</v>
      </c>
    </row>
    <row r="23850" spans="1:5" x14ac:dyDescent="0.25">
      <c r="A23850" t="s">
        <v>6</v>
      </c>
      <c r="B23850" t="s">
        <v>6078</v>
      </c>
      <c r="C23850" s="1" t="s">
        <v>23490</v>
      </c>
      <c r="D23850" s="1" t="str">
        <f>HYPERLINK("https://rhld.insurance.arkansas.gov/NPILookup?Npi=1538469481","1538469481")</f>
        <v>1538469481</v>
      </c>
      <c r="E23850" t="s">
        <v>22469</v>
      </c>
    </row>
    <row r="23851" spans="1:5" x14ac:dyDescent="0.25">
      <c r="A23851" t="s">
        <v>6</v>
      </c>
      <c r="B23851" t="s">
        <v>6078</v>
      </c>
      <c r="C23851" s="1" t="s">
        <v>23490</v>
      </c>
      <c r="D23851" s="1" t="str">
        <f>HYPERLINK("https://rhld.insurance.arkansas.gov/NPILookup?Npi=1548268592","1548268592")</f>
        <v>1548268592</v>
      </c>
      <c r="E23851" t="s">
        <v>6205</v>
      </c>
    </row>
    <row r="23852" spans="1:5" x14ac:dyDescent="0.25">
      <c r="A23852" t="s">
        <v>6</v>
      </c>
      <c r="B23852" t="s">
        <v>6078</v>
      </c>
      <c r="C23852" s="1" t="s">
        <v>23490</v>
      </c>
      <c r="D23852" s="1" t="str">
        <f>HYPERLINK("https://rhld.insurance.arkansas.gov/NPILookup?Npi=1548317340","1548317340")</f>
        <v>1548317340</v>
      </c>
      <c r="E23852" t="s">
        <v>6206</v>
      </c>
    </row>
    <row r="23853" spans="1:5" x14ac:dyDescent="0.25">
      <c r="A23853" t="s">
        <v>6</v>
      </c>
      <c r="B23853" t="s">
        <v>6078</v>
      </c>
      <c r="C23853" s="1" t="s">
        <v>23490</v>
      </c>
      <c r="D23853" s="1" t="str">
        <f>HYPERLINK("https://rhld.insurance.arkansas.gov/NPILookup?Npi=1548371289","1548371289")</f>
        <v>1548371289</v>
      </c>
      <c r="E23853" t="s">
        <v>14338</v>
      </c>
    </row>
    <row r="23854" spans="1:5" x14ac:dyDescent="0.25">
      <c r="A23854" t="s">
        <v>6</v>
      </c>
      <c r="B23854" t="s">
        <v>6078</v>
      </c>
      <c r="C23854" s="1" t="s">
        <v>23490</v>
      </c>
      <c r="D23854" s="1" t="str">
        <f>HYPERLINK("https://rhld.insurance.arkansas.gov/NPILookup?Npi=1548668916","1548668916")</f>
        <v>1548668916</v>
      </c>
      <c r="E23854" t="s">
        <v>20698</v>
      </c>
    </row>
    <row r="23855" spans="1:5" x14ac:dyDescent="0.25">
      <c r="A23855" t="s">
        <v>6</v>
      </c>
      <c r="B23855" t="s">
        <v>6078</v>
      </c>
      <c r="C23855" s="1" t="s">
        <v>23490</v>
      </c>
      <c r="D23855" s="1" t="str">
        <f>HYPERLINK("https://rhld.insurance.arkansas.gov/NPILookup?Npi=1558323816","1558323816")</f>
        <v>1558323816</v>
      </c>
      <c r="E23855" t="s">
        <v>6207</v>
      </c>
    </row>
    <row r="23856" spans="1:5" x14ac:dyDescent="0.25">
      <c r="A23856" t="s">
        <v>6</v>
      </c>
      <c r="B23856" t="s">
        <v>6078</v>
      </c>
      <c r="C23856" s="1" t="s">
        <v>23490</v>
      </c>
      <c r="D23856" s="1" t="str">
        <f>HYPERLINK("https://rhld.insurance.arkansas.gov/NPILookup?Npi=1558325118","1558325118")</f>
        <v>1558325118</v>
      </c>
      <c r="E23856" t="s">
        <v>6208</v>
      </c>
    </row>
    <row r="23857" spans="1:5" x14ac:dyDescent="0.25">
      <c r="A23857" t="s">
        <v>6</v>
      </c>
      <c r="B23857" t="s">
        <v>6078</v>
      </c>
      <c r="C23857" s="1" t="s">
        <v>23490</v>
      </c>
      <c r="D23857" s="1" t="str">
        <f>HYPERLINK("https://rhld.insurance.arkansas.gov/NPILookup?Npi=1558365205","1558365205")</f>
        <v>1558365205</v>
      </c>
      <c r="E23857" t="s">
        <v>6209</v>
      </c>
    </row>
    <row r="23858" spans="1:5" x14ac:dyDescent="0.25">
      <c r="A23858" t="s">
        <v>6</v>
      </c>
      <c r="B23858" t="s">
        <v>6078</v>
      </c>
      <c r="C23858" s="1" t="s">
        <v>23490</v>
      </c>
      <c r="D23858" s="1" t="str">
        <f>HYPERLINK("https://rhld.insurance.arkansas.gov/NPILookup?Npi=1558436337","1558436337")</f>
        <v>1558436337</v>
      </c>
      <c r="E23858" t="s">
        <v>13251</v>
      </c>
    </row>
    <row r="23859" spans="1:5" x14ac:dyDescent="0.25">
      <c r="A23859" t="s">
        <v>6</v>
      </c>
      <c r="B23859" t="s">
        <v>6078</v>
      </c>
      <c r="C23859" s="1" t="s">
        <v>23490</v>
      </c>
      <c r="D23859" s="1" t="str">
        <f>HYPERLINK("https://rhld.insurance.arkansas.gov/NPILookup?Npi=1558467050","1558467050")</f>
        <v>1558467050</v>
      </c>
      <c r="E23859" t="s">
        <v>16342</v>
      </c>
    </row>
    <row r="23860" spans="1:5" x14ac:dyDescent="0.25">
      <c r="A23860" t="s">
        <v>6</v>
      </c>
      <c r="B23860" t="s">
        <v>6078</v>
      </c>
      <c r="C23860" s="1" t="s">
        <v>23490</v>
      </c>
      <c r="D23860" s="1" t="str">
        <f>HYPERLINK("https://rhld.insurance.arkansas.gov/NPILookup?Npi=1558474122","1558474122")</f>
        <v>1558474122</v>
      </c>
      <c r="E23860" t="s">
        <v>16343</v>
      </c>
    </row>
    <row r="23861" spans="1:5" x14ac:dyDescent="0.25">
      <c r="A23861" t="s">
        <v>6</v>
      </c>
      <c r="B23861" t="s">
        <v>6078</v>
      </c>
      <c r="C23861" s="1" t="s">
        <v>23490</v>
      </c>
      <c r="D23861" s="1" t="str">
        <f>HYPERLINK("https://rhld.insurance.arkansas.gov/NPILookup?Npi=1558561126","1558561126")</f>
        <v>1558561126</v>
      </c>
      <c r="E23861" t="s">
        <v>11964</v>
      </c>
    </row>
    <row r="23862" spans="1:5" x14ac:dyDescent="0.25">
      <c r="A23862" t="s">
        <v>6</v>
      </c>
      <c r="B23862" t="s">
        <v>6078</v>
      </c>
      <c r="C23862" s="1" t="s">
        <v>23490</v>
      </c>
      <c r="D23862" s="1" t="str">
        <f>HYPERLINK("https://rhld.insurance.arkansas.gov/NPILookup?Npi=1558562710","1558562710")</f>
        <v>1558562710</v>
      </c>
      <c r="E23862" t="s">
        <v>22470</v>
      </c>
    </row>
    <row r="23863" spans="1:5" x14ac:dyDescent="0.25">
      <c r="A23863" t="s">
        <v>6</v>
      </c>
      <c r="B23863" t="s">
        <v>6078</v>
      </c>
      <c r="C23863" s="1" t="s">
        <v>23490</v>
      </c>
      <c r="D23863" s="1" t="str">
        <f>HYPERLINK("https://rhld.insurance.arkansas.gov/NPILookup?Npi=1558630624","1558630624")</f>
        <v>1558630624</v>
      </c>
      <c r="E23863" t="s">
        <v>14339</v>
      </c>
    </row>
    <row r="23864" spans="1:5" x14ac:dyDescent="0.25">
      <c r="A23864" t="s">
        <v>6</v>
      </c>
      <c r="B23864" t="s">
        <v>6078</v>
      </c>
      <c r="C23864" s="1" t="s">
        <v>23490</v>
      </c>
      <c r="D23864" s="1" t="str">
        <f>HYPERLINK("https://rhld.insurance.arkansas.gov/NPILookup?Npi=1568421857","1568421857")</f>
        <v>1568421857</v>
      </c>
      <c r="E23864" t="s">
        <v>22471</v>
      </c>
    </row>
    <row r="23865" spans="1:5" x14ac:dyDescent="0.25">
      <c r="A23865" t="s">
        <v>6</v>
      </c>
      <c r="B23865" t="s">
        <v>6078</v>
      </c>
      <c r="C23865" s="1" t="s">
        <v>23490</v>
      </c>
      <c r="D23865" s="1" t="str">
        <f>HYPERLINK("https://rhld.insurance.arkansas.gov/NPILookup?Npi=1568441368","1568441368")</f>
        <v>1568441368</v>
      </c>
      <c r="E23865" t="s">
        <v>6210</v>
      </c>
    </row>
    <row r="23866" spans="1:5" x14ac:dyDescent="0.25">
      <c r="A23866" t="s">
        <v>6</v>
      </c>
      <c r="B23866" t="s">
        <v>6078</v>
      </c>
      <c r="C23866" s="1" t="s">
        <v>23490</v>
      </c>
      <c r="D23866" s="1" t="str">
        <f>HYPERLINK("https://rhld.insurance.arkansas.gov/NPILookup?Npi=1568476901","1568476901")</f>
        <v>1568476901</v>
      </c>
      <c r="E23866" t="s">
        <v>6211</v>
      </c>
    </row>
    <row r="23867" spans="1:5" x14ac:dyDescent="0.25">
      <c r="A23867" t="s">
        <v>6</v>
      </c>
      <c r="B23867" t="s">
        <v>6078</v>
      </c>
      <c r="C23867" s="1" t="s">
        <v>23490</v>
      </c>
      <c r="D23867" s="1" t="str">
        <f>HYPERLINK("https://rhld.insurance.arkansas.gov/NPILookup?Npi=1568485159","1568485159")</f>
        <v>1568485159</v>
      </c>
      <c r="E23867" t="s">
        <v>6212</v>
      </c>
    </row>
    <row r="23868" spans="1:5" x14ac:dyDescent="0.25">
      <c r="A23868" t="s">
        <v>6</v>
      </c>
      <c r="B23868" t="s">
        <v>6078</v>
      </c>
      <c r="C23868" s="1" t="s">
        <v>23490</v>
      </c>
      <c r="D23868" s="1" t="str">
        <f>HYPERLINK("https://rhld.insurance.arkansas.gov/NPILookup?Npi=1578502324","1578502324")</f>
        <v>1578502324</v>
      </c>
      <c r="E23868" t="s">
        <v>6213</v>
      </c>
    </row>
    <row r="23869" spans="1:5" x14ac:dyDescent="0.25">
      <c r="A23869" t="s">
        <v>6</v>
      </c>
      <c r="B23869" t="s">
        <v>6078</v>
      </c>
      <c r="C23869" s="1" t="s">
        <v>23490</v>
      </c>
      <c r="D23869" s="1" t="str">
        <f>HYPERLINK("https://rhld.insurance.arkansas.gov/NPILookup?Npi=1578529202","1578529202")</f>
        <v>1578529202</v>
      </c>
      <c r="E23869" t="s">
        <v>7475</v>
      </c>
    </row>
    <row r="23870" spans="1:5" x14ac:dyDescent="0.25">
      <c r="A23870" t="s">
        <v>6</v>
      </c>
      <c r="B23870" t="s">
        <v>6078</v>
      </c>
      <c r="C23870" s="1" t="s">
        <v>23490</v>
      </c>
      <c r="D23870" s="1" t="str">
        <f>HYPERLINK("https://rhld.insurance.arkansas.gov/NPILookup?Npi=1578548376","1578548376")</f>
        <v>1578548376</v>
      </c>
      <c r="E23870" t="s">
        <v>11965</v>
      </c>
    </row>
    <row r="23871" spans="1:5" x14ac:dyDescent="0.25">
      <c r="A23871" t="s">
        <v>6</v>
      </c>
      <c r="B23871" t="s">
        <v>6078</v>
      </c>
      <c r="C23871" s="1" t="s">
        <v>23490</v>
      </c>
      <c r="D23871" s="1" t="str">
        <f>HYPERLINK("https://rhld.insurance.arkansas.gov/NPILookup?Npi=1578550851","1578550851")</f>
        <v>1578550851</v>
      </c>
      <c r="E23871" t="s">
        <v>6214</v>
      </c>
    </row>
    <row r="23872" spans="1:5" x14ac:dyDescent="0.25">
      <c r="A23872" t="s">
        <v>6</v>
      </c>
      <c r="B23872" t="s">
        <v>6078</v>
      </c>
      <c r="C23872" s="1" t="s">
        <v>23490</v>
      </c>
      <c r="D23872" s="1" t="str">
        <f>HYPERLINK("https://rhld.insurance.arkansas.gov/NPILookup?Npi=1578595021","1578595021")</f>
        <v>1578595021</v>
      </c>
      <c r="E23872" t="s">
        <v>6215</v>
      </c>
    </row>
    <row r="23873" spans="1:5" x14ac:dyDescent="0.25">
      <c r="A23873" t="s">
        <v>6</v>
      </c>
      <c r="B23873" t="s">
        <v>6078</v>
      </c>
      <c r="C23873" s="1" t="s">
        <v>23490</v>
      </c>
      <c r="D23873" s="1" t="str">
        <f>HYPERLINK("https://rhld.insurance.arkansas.gov/NPILookup?Npi=1578673836","1578673836")</f>
        <v>1578673836</v>
      </c>
      <c r="E23873" t="s">
        <v>9200</v>
      </c>
    </row>
    <row r="23874" spans="1:5" x14ac:dyDescent="0.25">
      <c r="A23874" t="s">
        <v>6</v>
      </c>
      <c r="B23874" t="s">
        <v>6078</v>
      </c>
      <c r="C23874" s="1" t="s">
        <v>23490</v>
      </c>
      <c r="D23874" s="1" t="str">
        <f>HYPERLINK("https://rhld.insurance.arkansas.gov/NPILookup?Npi=1578723276","1578723276")</f>
        <v>1578723276</v>
      </c>
      <c r="E23874" t="s">
        <v>6216</v>
      </c>
    </row>
    <row r="23875" spans="1:5" x14ac:dyDescent="0.25">
      <c r="A23875" t="s">
        <v>6</v>
      </c>
      <c r="B23875" t="s">
        <v>6078</v>
      </c>
      <c r="C23875" s="1" t="s">
        <v>23490</v>
      </c>
      <c r="D23875" s="1" t="str">
        <f>HYPERLINK("https://rhld.insurance.arkansas.gov/NPILookup?Npi=1578958401","1578958401")</f>
        <v>1578958401</v>
      </c>
      <c r="E23875" t="s">
        <v>11069</v>
      </c>
    </row>
    <row r="23876" spans="1:5" x14ac:dyDescent="0.25">
      <c r="A23876" t="s">
        <v>6</v>
      </c>
      <c r="B23876" t="s">
        <v>6078</v>
      </c>
      <c r="C23876" s="1" t="s">
        <v>23490</v>
      </c>
      <c r="D23876" s="1" t="str">
        <f>HYPERLINK("https://rhld.insurance.arkansas.gov/NPILookup?Npi=1588001382","1588001382")</f>
        <v>1588001382</v>
      </c>
      <c r="E23876" t="s">
        <v>17733</v>
      </c>
    </row>
    <row r="23877" spans="1:5" x14ac:dyDescent="0.25">
      <c r="A23877" t="s">
        <v>6</v>
      </c>
      <c r="B23877" t="s">
        <v>6078</v>
      </c>
      <c r="C23877" s="1" t="s">
        <v>23490</v>
      </c>
      <c r="D23877" s="1" t="str">
        <f>HYPERLINK("https://rhld.insurance.arkansas.gov/NPILookup?Npi=1588609549","1588609549")</f>
        <v>1588609549</v>
      </c>
      <c r="E23877" t="s">
        <v>6217</v>
      </c>
    </row>
    <row r="23878" spans="1:5" x14ac:dyDescent="0.25">
      <c r="A23878" t="s">
        <v>6</v>
      </c>
      <c r="B23878" t="s">
        <v>6078</v>
      </c>
      <c r="C23878" s="1" t="s">
        <v>23490</v>
      </c>
      <c r="D23878" s="1" t="str">
        <f>HYPERLINK("https://rhld.insurance.arkansas.gov/NPILookup?Npi=1588649396","1588649396")</f>
        <v>1588649396</v>
      </c>
      <c r="E23878" t="s">
        <v>22472</v>
      </c>
    </row>
    <row r="23879" spans="1:5" x14ac:dyDescent="0.25">
      <c r="A23879" t="s">
        <v>6</v>
      </c>
      <c r="B23879" t="s">
        <v>6078</v>
      </c>
      <c r="C23879" s="1" t="s">
        <v>23490</v>
      </c>
      <c r="D23879" s="1" t="str">
        <f>HYPERLINK("https://rhld.insurance.arkansas.gov/NPILookup?Npi=1588671085","1588671085")</f>
        <v>1588671085</v>
      </c>
      <c r="E23879" t="s">
        <v>6218</v>
      </c>
    </row>
    <row r="23880" spans="1:5" x14ac:dyDescent="0.25">
      <c r="A23880" t="s">
        <v>6</v>
      </c>
      <c r="B23880" t="s">
        <v>6078</v>
      </c>
      <c r="C23880" s="1" t="s">
        <v>23490</v>
      </c>
      <c r="D23880" s="1" t="str">
        <f>HYPERLINK("https://rhld.insurance.arkansas.gov/NPILookup?Npi=1588711469","1588711469")</f>
        <v>1588711469</v>
      </c>
      <c r="E23880" t="s">
        <v>6219</v>
      </c>
    </row>
    <row r="23881" spans="1:5" x14ac:dyDescent="0.25">
      <c r="A23881" t="s">
        <v>6</v>
      </c>
      <c r="B23881" t="s">
        <v>6078</v>
      </c>
      <c r="C23881" s="1" t="s">
        <v>23490</v>
      </c>
      <c r="D23881" s="1" t="str">
        <f>HYPERLINK("https://rhld.insurance.arkansas.gov/NPILookup?Npi=1588715429","1588715429")</f>
        <v>1588715429</v>
      </c>
      <c r="E23881" t="s">
        <v>6220</v>
      </c>
    </row>
    <row r="23882" spans="1:5" x14ac:dyDescent="0.25">
      <c r="A23882" t="s">
        <v>6</v>
      </c>
      <c r="B23882" t="s">
        <v>6078</v>
      </c>
      <c r="C23882" s="1" t="s">
        <v>23490</v>
      </c>
      <c r="D23882" s="1" t="str">
        <f>HYPERLINK("https://rhld.insurance.arkansas.gov/NPILookup?Npi=1588715916","1588715916")</f>
        <v>1588715916</v>
      </c>
      <c r="E23882" t="s">
        <v>6221</v>
      </c>
    </row>
    <row r="23883" spans="1:5" x14ac:dyDescent="0.25">
      <c r="A23883" t="s">
        <v>6</v>
      </c>
      <c r="B23883" t="s">
        <v>6078</v>
      </c>
      <c r="C23883" s="1" t="s">
        <v>23490</v>
      </c>
      <c r="D23883" s="1" t="str">
        <f>HYPERLINK("https://rhld.insurance.arkansas.gov/NPILookup?Npi=1598747164","1598747164")</f>
        <v>1598747164</v>
      </c>
      <c r="E23883" t="s">
        <v>6222</v>
      </c>
    </row>
    <row r="23884" spans="1:5" x14ac:dyDescent="0.25">
      <c r="A23884" t="s">
        <v>6</v>
      </c>
      <c r="B23884" t="s">
        <v>6078</v>
      </c>
      <c r="C23884" s="1" t="s">
        <v>23490</v>
      </c>
      <c r="D23884" s="1" t="str">
        <f>HYPERLINK("https://rhld.insurance.arkansas.gov/NPILookup?Npi=1598780652","1598780652")</f>
        <v>1598780652</v>
      </c>
      <c r="E23884" t="s">
        <v>6223</v>
      </c>
    </row>
    <row r="23885" spans="1:5" x14ac:dyDescent="0.25">
      <c r="A23885" t="s">
        <v>6</v>
      </c>
      <c r="B23885" t="s">
        <v>6078</v>
      </c>
      <c r="C23885" s="1" t="s">
        <v>23490</v>
      </c>
      <c r="D23885" s="1" t="str">
        <f>HYPERLINK("https://rhld.insurance.arkansas.gov/NPILookup?Npi=1598811788","1598811788")</f>
        <v>1598811788</v>
      </c>
      <c r="E23885" t="s">
        <v>22473</v>
      </c>
    </row>
    <row r="23886" spans="1:5" x14ac:dyDescent="0.25">
      <c r="A23886" t="s">
        <v>6</v>
      </c>
      <c r="B23886" t="s">
        <v>6078</v>
      </c>
      <c r="C23886" s="1" t="s">
        <v>23490</v>
      </c>
      <c r="D23886" s="1" t="str">
        <f>HYPERLINK("https://rhld.insurance.arkansas.gov/NPILookup?Npi=1598859084","1598859084")</f>
        <v>1598859084</v>
      </c>
      <c r="E23886" t="s">
        <v>16344</v>
      </c>
    </row>
    <row r="23887" spans="1:5" x14ac:dyDescent="0.25">
      <c r="A23887" t="s">
        <v>6</v>
      </c>
      <c r="B23887" t="s">
        <v>6078</v>
      </c>
      <c r="C23887" s="1" t="s">
        <v>23490</v>
      </c>
      <c r="D23887" s="1" t="str">
        <f>HYPERLINK("https://rhld.insurance.arkansas.gov/NPILookup?Npi=1598956641","1598956641")</f>
        <v>1598956641</v>
      </c>
      <c r="E23887" t="s">
        <v>6224</v>
      </c>
    </row>
    <row r="23888" spans="1:5" x14ac:dyDescent="0.25">
      <c r="A23888" t="s">
        <v>6</v>
      </c>
      <c r="B23888" t="s">
        <v>6078</v>
      </c>
      <c r="C23888" s="1" t="s">
        <v>23490</v>
      </c>
      <c r="D23888" s="1" t="str">
        <f>HYPERLINK("https://rhld.insurance.arkansas.gov/NPILookup?Npi=1609072347","1609072347")</f>
        <v>1609072347</v>
      </c>
      <c r="E23888" t="s">
        <v>11966</v>
      </c>
    </row>
    <row r="23889" spans="1:5" x14ac:dyDescent="0.25">
      <c r="A23889" t="s">
        <v>6</v>
      </c>
      <c r="B23889" t="s">
        <v>6078</v>
      </c>
      <c r="C23889" s="1" t="s">
        <v>23490</v>
      </c>
      <c r="D23889" s="1" t="str">
        <f>HYPERLINK("https://rhld.insurance.arkansas.gov/NPILookup?Npi=1609096775","1609096775")</f>
        <v>1609096775</v>
      </c>
      <c r="E23889" t="s">
        <v>6225</v>
      </c>
    </row>
    <row r="23890" spans="1:5" x14ac:dyDescent="0.25">
      <c r="A23890" t="s">
        <v>6</v>
      </c>
      <c r="B23890" t="s">
        <v>6078</v>
      </c>
      <c r="C23890" s="1" t="s">
        <v>23490</v>
      </c>
      <c r="D23890" s="1" t="str">
        <f>HYPERLINK("https://rhld.insurance.arkansas.gov/NPILookup?Npi=1609135797","1609135797")</f>
        <v>1609135797</v>
      </c>
      <c r="E23890" t="s">
        <v>20699</v>
      </c>
    </row>
    <row r="23891" spans="1:5" x14ac:dyDescent="0.25">
      <c r="A23891" t="s">
        <v>6</v>
      </c>
      <c r="B23891" t="s">
        <v>6078</v>
      </c>
      <c r="C23891" s="1" t="s">
        <v>23490</v>
      </c>
      <c r="D23891" s="1" t="str">
        <f>HYPERLINK("https://rhld.insurance.arkansas.gov/NPILookup?Npi=1609984368","1609984368")</f>
        <v>1609984368</v>
      </c>
      <c r="E23891" t="s">
        <v>6226</v>
      </c>
    </row>
    <row r="23892" spans="1:5" x14ac:dyDescent="0.25">
      <c r="A23892" t="s">
        <v>6</v>
      </c>
      <c r="B23892" t="s">
        <v>6078</v>
      </c>
      <c r="C23892" s="1" t="s">
        <v>23490</v>
      </c>
      <c r="D23892" s="1" t="str">
        <f>HYPERLINK("https://rhld.insurance.arkansas.gov/NPILookup?Npi=1619137247","1619137247")</f>
        <v>1619137247</v>
      </c>
      <c r="E23892" t="s">
        <v>18518</v>
      </c>
    </row>
    <row r="23893" spans="1:5" x14ac:dyDescent="0.25">
      <c r="A23893" t="s">
        <v>6</v>
      </c>
      <c r="B23893" t="s">
        <v>6078</v>
      </c>
      <c r="C23893" s="1" t="s">
        <v>23490</v>
      </c>
      <c r="D23893" s="1" t="str">
        <f>HYPERLINK("https://rhld.insurance.arkansas.gov/NPILookup?Npi=1619198512","1619198512")</f>
        <v>1619198512</v>
      </c>
      <c r="E23893" t="s">
        <v>6227</v>
      </c>
    </row>
    <row r="23894" spans="1:5" x14ac:dyDescent="0.25">
      <c r="A23894" t="s">
        <v>6</v>
      </c>
      <c r="B23894" t="s">
        <v>6078</v>
      </c>
      <c r="C23894" s="1" t="s">
        <v>23490</v>
      </c>
      <c r="D23894" s="1" t="str">
        <f>HYPERLINK("https://rhld.insurance.arkansas.gov/NPILookup?Npi=1619237005","1619237005")</f>
        <v>1619237005</v>
      </c>
      <c r="E23894" t="s">
        <v>22474</v>
      </c>
    </row>
    <row r="23895" spans="1:5" x14ac:dyDescent="0.25">
      <c r="A23895" t="s">
        <v>6</v>
      </c>
      <c r="B23895" t="s">
        <v>6078</v>
      </c>
      <c r="C23895" s="1" t="s">
        <v>23490</v>
      </c>
      <c r="D23895" s="1" t="str">
        <f>HYPERLINK("https://rhld.insurance.arkansas.gov/NPILookup?Npi=1619339868","1619339868")</f>
        <v>1619339868</v>
      </c>
      <c r="E23895" t="s">
        <v>21244</v>
      </c>
    </row>
    <row r="23896" spans="1:5" x14ac:dyDescent="0.25">
      <c r="A23896" t="s">
        <v>6</v>
      </c>
      <c r="B23896" t="s">
        <v>6078</v>
      </c>
      <c r="C23896" s="1" t="s">
        <v>23490</v>
      </c>
      <c r="D23896" s="1" t="str">
        <f>HYPERLINK("https://rhld.insurance.arkansas.gov/NPILookup?Npi=1619927241","1619927241")</f>
        <v>1619927241</v>
      </c>
      <c r="E23896" t="s">
        <v>14340</v>
      </c>
    </row>
    <row r="23897" spans="1:5" x14ac:dyDescent="0.25">
      <c r="A23897" t="s">
        <v>6</v>
      </c>
      <c r="B23897" t="s">
        <v>6078</v>
      </c>
      <c r="C23897" s="1" t="s">
        <v>23490</v>
      </c>
      <c r="D23897" s="1" t="str">
        <f>HYPERLINK("https://rhld.insurance.arkansas.gov/NPILookup?Npi=1619959525","1619959525")</f>
        <v>1619959525</v>
      </c>
      <c r="E23897" t="s">
        <v>6228</v>
      </c>
    </row>
    <row r="23898" spans="1:5" x14ac:dyDescent="0.25">
      <c r="A23898" t="s">
        <v>6</v>
      </c>
      <c r="B23898" t="s">
        <v>6078</v>
      </c>
      <c r="C23898" s="1" t="s">
        <v>23490</v>
      </c>
      <c r="D23898" s="1" t="str">
        <f>HYPERLINK("https://rhld.insurance.arkansas.gov/NPILookup?Npi=1619973500","1619973500")</f>
        <v>1619973500</v>
      </c>
      <c r="E23898" t="s">
        <v>16345</v>
      </c>
    </row>
    <row r="23899" spans="1:5" x14ac:dyDescent="0.25">
      <c r="A23899" t="s">
        <v>6</v>
      </c>
      <c r="B23899" t="s">
        <v>6078</v>
      </c>
      <c r="C23899" s="1" t="s">
        <v>23490</v>
      </c>
      <c r="D23899" s="1" t="str">
        <f>HYPERLINK("https://rhld.insurance.arkansas.gov/NPILookup?Npi=1629071204","1629071204")</f>
        <v>1629071204</v>
      </c>
      <c r="E23899" t="s">
        <v>6229</v>
      </c>
    </row>
    <row r="23900" spans="1:5" x14ac:dyDescent="0.25">
      <c r="A23900" t="s">
        <v>6</v>
      </c>
      <c r="B23900" t="s">
        <v>6078</v>
      </c>
      <c r="C23900" s="1" t="s">
        <v>23490</v>
      </c>
      <c r="D23900" s="1" t="str">
        <f>HYPERLINK("https://rhld.insurance.arkansas.gov/NPILookup?Npi=1629175922","1629175922")</f>
        <v>1629175922</v>
      </c>
      <c r="E23900" t="s">
        <v>6230</v>
      </c>
    </row>
    <row r="23901" spans="1:5" x14ac:dyDescent="0.25">
      <c r="A23901" t="s">
        <v>6</v>
      </c>
      <c r="B23901" t="s">
        <v>6078</v>
      </c>
      <c r="C23901" s="1" t="s">
        <v>23490</v>
      </c>
      <c r="D23901" s="1" t="str">
        <f>HYPERLINK("https://rhld.insurance.arkansas.gov/NPILookup?Npi=1639113996","1639113996")</f>
        <v>1639113996</v>
      </c>
      <c r="E23901" t="s">
        <v>22475</v>
      </c>
    </row>
    <row r="23902" spans="1:5" x14ac:dyDescent="0.25">
      <c r="A23902" t="s">
        <v>6</v>
      </c>
      <c r="B23902" t="s">
        <v>6078</v>
      </c>
      <c r="C23902" s="1" t="s">
        <v>23490</v>
      </c>
      <c r="D23902" s="1" t="str">
        <f>HYPERLINK("https://rhld.insurance.arkansas.gov/NPILookup?Npi=1639145741","1639145741")</f>
        <v>1639145741</v>
      </c>
      <c r="E23902" t="s">
        <v>16346</v>
      </c>
    </row>
    <row r="23903" spans="1:5" x14ac:dyDescent="0.25">
      <c r="A23903" t="s">
        <v>6</v>
      </c>
      <c r="B23903" t="s">
        <v>6078</v>
      </c>
      <c r="C23903" s="1" t="s">
        <v>23490</v>
      </c>
      <c r="D23903" s="1" t="str">
        <f>HYPERLINK("https://rhld.insurance.arkansas.gov/NPILookup?Npi=1639170665","1639170665")</f>
        <v>1639170665</v>
      </c>
      <c r="E23903" t="s">
        <v>6231</v>
      </c>
    </row>
    <row r="23904" spans="1:5" x14ac:dyDescent="0.25">
      <c r="A23904" t="s">
        <v>6</v>
      </c>
      <c r="B23904" t="s">
        <v>6078</v>
      </c>
      <c r="C23904" s="1" t="s">
        <v>23490</v>
      </c>
      <c r="D23904" s="1" t="str">
        <f>HYPERLINK("https://rhld.insurance.arkansas.gov/NPILookup?Npi=1639215932","1639215932")</f>
        <v>1639215932</v>
      </c>
      <c r="E23904" t="s">
        <v>16347</v>
      </c>
    </row>
    <row r="23905" spans="1:5" x14ac:dyDescent="0.25">
      <c r="A23905" t="s">
        <v>6</v>
      </c>
      <c r="B23905" t="s">
        <v>6078</v>
      </c>
      <c r="C23905" s="1" t="s">
        <v>23490</v>
      </c>
      <c r="D23905" s="1" t="str">
        <f>HYPERLINK("https://rhld.insurance.arkansas.gov/NPILookup?Npi=1639359714","1639359714")</f>
        <v>1639359714</v>
      </c>
      <c r="E23905" t="s">
        <v>6232</v>
      </c>
    </row>
    <row r="23906" spans="1:5" x14ac:dyDescent="0.25">
      <c r="A23906" t="s">
        <v>6</v>
      </c>
      <c r="B23906" t="s">
        <v>6078</v>
      </c>
      <c r="C23906" s="1" t="s">
        <v>23490</v>
      </c>
      <c r="D23906" s="1" t="str">
        <f>HYPERLINK("https://rhld.insurance.arkansas.gov/NPILookup?Npi=1639515059","1639515059")</f>
        <v>1639515059</v>
      </c>
      <c r="E23906" t="s">
        <v>14341</v>
      </c>
    </row>
    <row r="23907" spans="1:5" x14ac:dyDescent="0.25">
      <c r="A23907" t="s">
        <v>6</v>
      </c>
      <c r="B23907" t="s">
        <v>6078</v>
      </c>
      <c r="C23907" s="1" t="s">
        <v>23490</v>
      </c>
      <c r="D23907" s="1" t="str">
        <f>HYPERLINK("https://rhld.insurance.arkansas.gov/NPILookup?Npi=1649237371","1649237371")</f>
        <v>1649237371</v>
      </c>
      <c r="E23907" t="s">
        <v>6233</v>
      </c>
    </row>
    <row r="23908" spans="1:5" x14ac:dyDescent="0.25">
      <c r="A23908" t="s">
        <v>6</v>
      </c>
      <c r="B23908" t="s">
        <v>6078</v>
      </c>
      <c r="C23908" s="1" t="s">
        <v>23490</v>
      </c>
      <c r="D23908" s="1" t="str">
        <f>HYPERLINK("https://rhld.insurance.arkansas.gov/NPILookup?Npi=1649267824","1649267824")</f>
        <v>1649267824</v>
      </c>
      <c r="E23908" t="s">
        <v>6234</v>
      </c>
    </row>
    <row r="23909" spans="1:5" x14ac:dyDescent="0.25">
      <c r="A23909" t="s">
        <v>6</v>
      </c>
      <c r="B23909" t="s">
        <v>6078</v>
      </c>
      <c r="C23909" s="1" t="s">
        <v>23490</v>
      </c>
      <c r="D23909" s="1" t="str">
        <f>HYPERLINK("https://rhld.insurance.arkansas.gov/NPILookup?Npi=1649405382","1649405382")</f>
        <v>1649405382</v>
      </c>
      <c r="E23909" t="s">
        <v>22476</v>
      </c>
    </row>
    <row r="23910" spans="1:5" x14ac:dyDescent="0.25">
      <c r="A23910" t="s">
        <v>6</v>
      </c>
      <c r="B23910" t="s">
        <v>6078</v>
      </c>
      <c r="C23910" s="1" t="s">
        <v>23490</v>
      </c>
      <c r="D23910" s="1" t="str">
        <f>HYPERLINK("https://rhld.insurance.arkansas.gov/NPILookup?Npi=1649482696","1649482696")</f>
        <v>1649482696</v>
      </c>
      <c r="E23910" t="s">
        <v>6235</v>
      </c>
    </row>
    <row r="23911" spans="1:5" x14ac:dyDescent="0.25">
      <c r="A23911" t="s">
        <v>6</v>
      </c>
      <c r="B23911" t="s">
        <v>6078</v>
      </c>
      <c r="C23911" s="1" t="s">
        <v>23490</v>
      </c>
      <c r="D23911" s="1" t="str">
        <f>HYPERLINK("https://rhld.insurance.arkansas.gov/NPILookup?Npi=1649525866","1649525866")</f>
        <v>1649525866</v>
      </c>
      <c r="E23911" t="s">
        <v>14342</v>
      </c>
    </row>
    <row r="23912" spans="1:5" x14ac:dyDescent="0.25">
      <c r="A23912" t="s">
        <v>6</v>
      </c>
      <c r="B23912" t="s">
        <v>6078</v>
      </c>
      <c r="C23912" s="1" t="s">
        <v>23490</v>
      </c>
      <c r="D23912" s="1" t="str">
        <f>HYPERLINK("https://rhld.insurance.arkansas.gov/NPILookup?Npi=1649757006","1649757006")</f>
        <v>1649757006</v>
      </c>
      <c r="E23912" t="s">
        <v>19121</v>
      </c>
    </row>
    <row r="23913" spans="1:5" x14ac:dyDescent="0.25">
      <c r="A23913" t="s">
        <v>6</v>
      </c>
      <c r="B23913" t="s">
        <v>6078</v>
      </c>
      <c r="C23913" s="1" t="s">
        <v>23490</v>
      </c>
      <c r="D23913" s="1" t="str">
        <f>HYPERLINK("https://rhld.insurance.arkansas.gov/NPILookup?Npi=1649764283","1649764283")</f>
        <v>1649764283</v>
      </c>
      <c r="E23913" t="s">
        <v>21245</v>
      </c>
    </row>
    <row r="23914" spans="1:5" x14ac:dyDescent="0.25">
      <c r="A23914" t="s">
        <v>6</v>
      </c>
      <c r="B23914" t="s">
        <v>6078</v>
      </c>
      <c r="C23914" s="1" t="s">
        <v>23490</v>
      </c>
      <c r="D23914" s="1" t="str">
        <f>HYPERLINK("https://rhld.insurance.arkansas.gov/NPILookup?Npi=1659320083","1659320083")</f>
        <v>1659320083</v>
      </c>
      <c r="E23914" t="s">
        <v>6236</v>
      </c>
    </row>
    <row r="23915" spans="1:5" x14ac:dyDescent="0.25">
      <c r="A23915" t="s">
        <v>6</v>
      </c>
      <c r="B23915" t="s">
        <v>6078</v>
      </c>
      <c r="C23915" s="1" t="s">
        <v>23490</v>
      </c>
      <c r="D23915" s="1" t="str">
        <f>HYPERLINK("https://rhld.insurance.arkansas.gov/NPILookup?Npi=1659323608","1659323608")</f>
        <v>1659323608</v>
      </c>
      <c r="E23915" t="s">
        <v>6237</v>
      </c>
    </row>
    <row r="23916" spans="1:5" x14ac:dyDescent="0.25">
      <c r="A23916" t="s">
        <v>6</v>
      </c>
      <c r="B23916" t="s">
        <v>6078</v>
      </c>
      <c r="C23916" s="1" t="s">
        <v>23490</v>
      </c>
      <c r="D23916" s="1" t="str">
        <f>HYPERLINK("https://rhld.insurance.arkansas.gov/NPILookup?Npi=1659375392","1659375392")</f>
        <v>1659375392</v>
      </c>
      <c r="E23916" t="s">
        <v>6239</v>
      </c>
    </row>
    <row r="23917" spans="1:5" x14ac:dyDescent="0.25">
      <c r="A23917" t="s">
        <v>6</v>
      </c>
      <c r="B23917" t="s">
        <v>6078</v>
      </c>
      <c r="C23917" s="1" t="s">
        <v>23490</v>
      </c>
      <c r="D23917" s="1" t="str">
        <f>HYPERLINK("https://rhld.insurance.arkansas.gov/NPILookup?Npi=1659461135","1659461135")</f>
        <v>1659461135</v>
      </c>
      <c r="E23917" t="s">
        <v>6240</v>
      </c>
    </row>
    <row r="23918" spans="1:5" x14ac:dyDescent="0.25">
      <c r="A23918" t="s">
        <v>6</v>
      </c>
      <c r="B23918" t="s">
        <v>6078</v>
      </c>
      <c r="C23918" s="1" t="s">
        <v>23490</v>
      </c>
      <c r="D23918" s="1" t="str">
        <f>HYPERLINK("https://rhld.insurance.arkansas.gov/NPILookup?Npi=1669556684","1669556684")</f>
        <v>1669556684</v>
      </c>
      <c r="E23918" t="s">
        <v>6241</v>
      </c>
    </row>
    <row r="23919" spans="1:5" x14ac:dyDescent="0.25">
      <c r="A23919" t="s">
        <v>6</v>
      </c>
      <c r="B23919" t="s">
        <v>6078</v>
      </c>
      <c r="C23919" s="1" t="s">
        <v>23490</v>
      </c>
      <c r="D23919" s="1" t="str">
        <f>HYPERLINK("https://rhld.insurance.arkansas.gov/NPILookup?Npi=1669692406","1669692406")</f>
        <v>1669692406</v>
      </c>
      <c r="E23919" t="s">
        <v>22477</v>
      </c>
    </row>
    <row r="23920" spans="1:5" x14ac:dyDescent="0.25">
      <c r="A23920" t="s">
        <v>6</v>
      </c>
      <c r="B23920" t="s">
        <v>6078</v>
      </c>
      <c r="C23920" s="1" t="s">
        <v>23490</v>
      </c>
      <c r="D23920" s="1" t="str">
        <f>HYPERLINK("https://rhld.insurance.arkansas.gov/NPILookup?Npi=1679502454","1679502454")</f>
        <v>1679502454</v>
      </c>
      <c r="E23920" t="s">
        <v>6242</v>
      </c>
    </row>
    <row r="23921" spans="1:5" x14ac:dyDescent="0.25">
      <c r="A23921" t="s">
        <v>6</v>
      </c>
      <c r="B23921" t="s">
        <v>6078</v>
      </c>
      <c r="C23921" s="1" t="s">
        <v>23490</v>
      </c>
      <c r="D23921" s="1" t="str">
        <f>HYPERLINK("https://rhld.insurance.arkansas.gov/NPILookup?Npi=1679529473","1679529473")</f>
        <v>1679529473</v>
      </c>
      <c r="E23921" t="s">
        <v>7482</v>
      </c>
    </row>
    <row r="23922" spans="1:5" x14ac:dyDescent="0.25">
      <c r="A23922" t="s">
        <v>6</v>
      </c>
      <c r="B23922" t="s">
        <v>6078</v>
      </c>
      <c r="C23922" s="1" t="s">
        <v>23490</v>
      </c>
      <c r="D23922" s="1" t="str">
        <f>HYPERLINK("https://rhld.insurance.arkansas.gov/NPILookup?Npi=1679555452","1679555452")</f>
        <v>1679555452</v>
      </c>
      <c r="E23922" t="s">
        <v>14343</v>
      </c>
    </row>
    <row r="23923" spans="1:5" x14ac:dyDescent="0.25">
      <c r="A23923" t="s">
        <v>6</v>
      </c>
      <c r="B23923" t="s">
        <v>6078</v>
      </c>
      <c r="C23923" s="1" t="s">
        <v>23490</v>
      </c>
      <c r="D23923" s="1" t="str">
        <f>HYPERLINK("https://rhld.insurance.arkansas.gov/NPILookup?Npi=1679785471","1679785471")</f>
        <v>1679785471</v>
      </c>
      <c r="E23923" t="s">
        <v>3372</v>
      </c>
    </row>
    <row r="23924" spans="1:5" x14ac:dyDescent="0.25">
      <c r="A23924" t="s">
        <v>6</v>
      </c>
      <c r="B23924" t="s">
        <v>6078</v>
      </c>
      <c r="C23924" s="1" t="s">
        <v>23490</v>
      </c>
      <c r="D23924" s="1" t="str">
        <f>HYPERLINK("https://rhld.insurance.arkansas.gov/NPILookup?Npi=1679981229","1679981229")</f>
        <v>1679981229</v>
      </c>
      <c r="E23924" t="s">
        <v>17692</v>
      </c>
    </row>
    <row r="23925" spans="1:5" x14ac:dyDescent="0.25">
      <c r="A23925" t="s">
        <v>6</v>
      </c>
      <c r="B23925" t="s">
        <v>6078</v>
      </c>
      <c r="C23925" s="1" t="s">
        <v>23490</v>
      </c>
      <c r="D23925" s="1" t="str">
        <f>HYPERLINK("https://rhld.insurance.arkansas.gov/NPILookup?Npi=1689097313","1689097313")</f>
        <v>1689097313</v>
      </c>
      <c r="E23925" t="s">
        <v>14344</v>
      </c>
    </row>
    <row r="23926" spans="1:5" x14ac:dyDescent="0.25">
      <c r="A23926" t="s">
        <v>6</v>
      </c>
      <c r="B23926" t="s">
        <v>6078</v>
      </c>
      <c r="C23926" s="1" t="s">
        <v>23490</v>
      </c>
      <c r="D23926" s="1" t="str">
        <f>HYPERLINK("https://rhld.insurance.arkansas.gov/NPILookup?Npi=1689899676","1689899676")</f>
        <v>1689899676</v>
      </c>
      <c r="E23926" t="s">
        <v>22478</v>
      </c>
    </row>
    <row r="23927" spans="1:5" x14ac:dyDescent="0.25">
      <c r="A23927" t="s">
        <v>6</v>
      </c>
      <c r="B23927" t="s">
        <v>6078</v>
      </c>
      <c r="C23927" s="1" t="s">
        <v>23490</v>
      </c>
      <c r="D23927" s="1" t="str">
        <f>HYPERLINK("https://rhld.insurance.arkansas.gov/NPILookup?Npi=1699064337","1699064337")</f>
        <v>1699064337</v>
      </c>
      <c r="E23927" t="s">
        <v>9201</v>
      </c>
    </row>
    <row r="23928" spans="1:5" x14ac:dyDescent="0.25">
      <c r="A23928" t="s">
        <v>6</v>
      </c>
      <c r="B23928" t="s">
        <v>6078</v>
      </c>
      <c r="C23928" s="1" t="s">
        <v>23490</v>
      </c>
      <c r="D23928" s="1" t="str">
        <f>HYPERLINK("https://rhld.insurance.arkansas.gov/NPILookup?Npi=1699206946","1699206946")</f>
        <v>1699206946</v>
      </c>
      <c r="E23928" t="s">
        <v>16788</v>
      </c>
    </row>
    <row r="23929" spans="1:5" x14ac:dyDescent="0.25">
      <c r="A23929" t="s">
        <v>6</v>
      </c>
      <c r="B23929" t="s">
        <v>6078</v>
      </c>
      <c r="C23929" s="1" t="s">
        <v>8427</v>
      </c>
      <c r="D23929" s="1" t="str">
        <f>HYPERLINK("https://rhld.insurance.arkansas.gov/NPILookup?Npi=1699209478","1699209478")</f>
        <v>1699209478</v>
      </c>
      <c r="E23929" t="s">
        <v>23282</v>
      </c>
    </row>
    <row r="23930" spans="1:5" x14ac:dyDescent="0.25">
      <c r="A23930" t="s">
        <v>6</v>
      </c>
      <c r="B23930" t="s">
        <v>6078</v>
      </c>
      <c r="C23930" s="1" t="s">
        <v>23490</v>
      </c>
      <c r="D23930" s="1" t="str">
        <f>HYPERLINK("https://rhld.insurance.arkansas.gov/NPILookup?Npi=1699764589","1699764589")</f>
        <v>1699764589</v>
      </c>
      <c r="E23930" t="s">
        <v>2449</v>
      </c>
    </row>
    <row r="23931" spans="1:5" x14ac:dyDescent="0.25">
      <c r="A23931" t="s">
        <v>6</v>
      </c>
      <c r="B23931" t="s">
        <v>6078</v>
      </c>
      <c r="C23931" s="1" t="s">
        <v>23490</v>
      </c>
      <c r="D23931" s="1" t="str">
        <f>HYPERLINK("https://rhld.insurance.arkansas.gov/NPILookup?Npi=1699776518","1699776518")</f>
        <v>1699776518</v>
      </c>
      <c r="E23931" t="s">
        <v>6243</v>
      </c>
    </row>
    <row r="23932" spans="1:5" x14ac:dyDescent="0.25">
      <c r="A23932" t="s">
        <v>6</v>
      </c>
      <c r="B23932" t="s">
        <v>6078</v>
      </c>
      <c r="C23932" s="1" t="s">
        <v>23490</v>
      </c>
      <c r="D23932" s="1" t="str">
        <f>HYPERLINK("https://rhld.insurance.arkansas.gov/NPILookup?Npi=1699777854","1699777854")</f>
        <v>1699777854</v>
      </c>
      <c r="E23932" t="s">
        <v>17263</v>
      </c>
    </row>
    <row r="23933" spans="1:5" x14ac:dyDescent="0.25">
      <c r="A23933" t="s">
        <v>6</v>
      </c>
      <c r="B23933" t="s">
        <v>6078</v>
      </c>
      <c r="C23933" s="1" t="s">
        <v>23490</v>
      </c>
      <c r="D23933" s="1" t="str">
        <f>HYPERLINK("https://rhld.insurance.arkansas.gov/NPILookup?Npi=1699936252","1699936252")</f>
        <v>1699936252</v>
      </c>
      <c r="E23933" t="s">
        <v>6244</v>
      </c>
    </row>
    <row r="23934" spans="1:5" x14ac:dyDescent="0.25">
      <c r="A23934" t="s">
        <v>6</v>
      </c>
      <c r="B23934" t="s">
        <v>6078</v>
      </c>
      <c r="C23934" s="1" t="s">
        <v>23490</v>
      </c>
      <c r="D23934" s="1" t="str">
        <f>HYPERLINK("https://rhld.insurance.arkansas.gov/NPILookup?Npi=1700021847","1700021847")</f>
        <v>1700021847</v>
      </c>
      <c r="E23934" t="s">
        <v>6245</v>
      </c>
    </row>
    <row r="23935" spans="1:5" x14ac:dyDescent="0.25">
      <c r="A23935" t="s">
        <v>6</v>
      </c>
      <c r="B23935" t="s">
        <v>6078</v>
      </c>
      <c r="C23935" s="1" t="s">
        <v>23490</v>
      </c>
      <c r="D23935" s="1" t="str">
        <f>HYPERLINK("https://rhld.insurance.arkansas.gov/NPILookup?Npi=1700045689","1700045689")</f>
        <v>1700045689</v>
      </c>
      <c r="E23935" t="s">
        <v>17264</v>
      </c>
    </row>
    <row r="23936" spans="1:5" x14ac:dyDescent="0.25">
      <c r="A23936" t="s">
        <v>6</v>
      </c>
      <c r="B23936" t="s">
        <v>6078</v>
      </c>
      <c r="C23936" s="1" t="s">
        <v>23490</v>
      </c>
      <c r="D23936" s="1" t="str">
        <f>HYPERLINK("https://rhld.insurance.arkansas.gov/NPILookup?Npi=1700071008","1700071008")</f>
        <v>1700071008</v>
      </c>
      <c r="E23936" t="s">
        <v>16348</v>
      </c>
    </row>
    <row r="23937" spans="1:5" x14ac:dyDescent="0.25">
      <c r="A23937" t="s">
        <v>6</v>
      </c>
      <c r="B23937" t="s">
        <v>6078</v>
      </c>
      <c r="C23937" s="1" t="s">
        <v>23490</v>
      </c>
      <c r="D23937" s="1" t="str">
        <f>HYPERLINK("https://rhld.insurance.arkansas.gov/NPILookup?Npi=1700822863","1700822863")</f>
        <v>1700822863</v>
      </c>
      <c r="E23937" t="s">
        <v>629</v>
      </c>
    </row>
    <row r="23938" spans="1:5" x14ac:dyDescent="0.25">
      <c r="A23938" t="s">
        <v>6</v>
      </c>
      <c r="B23938" t="s">
        <v>6078</v>
      </c>
      <c r="C23938" s="1" t="s">
        <v>23490</v>
      </c>
      <c r="D23938" s="1" t="str">
        <f>HYPERLINK("https://rhld.insurance.arkansas.gov/NPILookup?Npi=1700840980","1700840980")</f>
        <v>1700840980</v>
      </c>
      <c r="E23938" t="s">
        <v>6246</v>
      </c>
    </row>
    <row r="23939" spans="1:5" x14ac:dyDescent="0.25">
      <c r="A23939" t="s">
        <v>6</v>
      </c>
      <c r="B23939" t="s">
        <v>6078</v>
      </c>
      <c r="C23939" s="1" t="s">
        <v>23490</v>
      </c>
      <c r="D23939" s="1" t="str">
        <f>HYPERLINK("https://rhld.insurance.arkansas.gov/NPILookup?Npi=1700846045","1700846045")</f>
        <v>1700846045</v>
      </c>
      <c r="E23939" t="s">
        <v>6247</v>
      </c>
    </row>
    <row r="23940" spans="1:5" x14ac:dyDescent="0.25">
      <c r="A23940" t="s">
        <v>6</v>
      </c>
      <c r="B23940" t="s">
        <v>6078</v>
      </c>
      <c r="C23940" s="1" t="s">
        <v>23490</v>
      </c>
      <c r="D23940" s="1" t="str">
        <f>HYPERLINK("https://rhld.insurance.arkansas.gov/NPILookup?Npi=1700892387","1700892387")</f>
        <v>1700892387</v>
      </c>
      <c r="E23940" t="s">
        <v>6248</v>
      </c>
    </row>
    <row r="23941" spans="1:5" x14ac:dyDescent="0.25">
      <c r="A23941" t="s">
        <v>6</v>
      </c>
      <c r="B23941" t="s">
        <v>6078</v>
      </c>
      <c r="C23941" s="1" t="s">
        <v>23490</v>
      </c>
      <c r="D23941" s="1" t="str">
        <f>HYPERLINK("https://rhld.insurance.arkansas.gov/NPILookup?Npi=1700999265","1700999265")</f>
        <v>1700999265</v>
      </c>
      <c r="E23941" t="s">
        <v>22479</v>
      </c>
    </row>
    <row r="23942" spans="1:5" x14ac:dyDescent="0.25">
      <c r="A23942" t="s">
        <v>6</v>
      </c>
      <c r="B23942" t="s">
        <v>6078</v>
      </c>
      <c r="C23942" s="1" t="s">
        <v>23490</v>
      </c>
      <c r="D23942" s="1" t="str">
        <f>HYPERLINK("https://rhld.insurance.arkansas.gov/NPILookup?Npi=1710122601","1710122601")</f>
        <v>1710122601</v>
      </c>
      <c r="E23942" t="s">
        <v>11967</v>
      </c>
    </row>
    <row r="23943" spans="1:5" x14ac:dyDescent="0.25">
      <c r="A23943" t="s">
        <v>6</v>
      </c>
      <c r="B23943" t="s">
        <v>6078</v>
      </c>
      <c r="C23943" s="1" t="s">
        <v>23490</v>
      </c>
      <c r="D23943" s="1" t="str">
        <f>HYPERLINK("https://rhld.insurance.arkansas.gov/NPILookup?Npi=1710199229","1710199229")</f>
        <v>1710199229</v>
      </c>
      <c r="E23943" t="s">
        <v>6249</v>
      </c>
    </row>
    <row r="23944" spans="1:5" x14ac:dyDescent="0.25">
      <c r="A23944" t="s">
        <v>6</v>
      </c>
      <c r="B23944" t="s">
        <v>6078</v>
      </c>
      <c r="C23944" s="1" t="s">
        <v>23490</v>
      </c>
      <c r="D23944" s="1" t="str">
        <f>HYPERLINK("https://rhld.insurance.arkansas.gov/NPILookup?Npi=1710922315","1710922315")</f>
        <v>1710922315</v>
      </c>
      <c r="E23944" t="s">
        <v>6250</v>
      </c>
    </row>
    <row r="23945" spans="1:5" x14ac:dyDescent="0.25">
      <c r="A23945" t="s">
        <v>6</v>
      </c>
      <c r="B23945" t="s">
        <v>6078</v>
      </c>
      <c r="C23945" s="1" t="s">
        <v>23490</v>
      </c>
      <c r="D23945" s="1" t="str">
        <f>HYPERLINK("https://rhld.insurance.arkansas.gov/NPILookup?Npi=1710997655","1710997655")</f>
        <v>1710997655</v>
      </c>
      <c r="E23945" t="s">
        <v>6251</v>
      </c>
    </row>
    <row r="23946" spans="1:5" x14ac:dyDescent="0.25">
      <c r="A23946" t="s">
        <v>6</v>
      </c>
      <c r="B23946" t="s">
        <v>6078</v>
      </c>
      <c r="C23946" s="1" t="s">
        <v>23490</v>
      </c>
      <c r="D23946" s="1" t="str">
        <f>HYPERLINK("https://rhld.insurance.arkansas.gov/NPILookup?Npi=1720010648","1720010648")</f>
        <v>1720010648</v>
      </c>
      <c r="E23946" t="s">
        <v>6252</v>
      </c>
    </row>
    <row r="23947" spans="1:5" x14ac:dyDescent="0.25">
      <c r="A23947" t="s">
        <v>6</v>
      </c>
      <c r="B23947" t="s">
        <v>6078</v>
      </c>
      <c r="C23947" s="1" t="s">
        <v>23490</v>
      </c>
      <c r="D23947" s="1" t="str">
        <f>HYPERLINK("https://rhld.insurance.arkansas.gov/NPILookup?Npi=1720012297","1720012297")</f>
        <v>1720012297</v>
      </c>
      <c r="E23947" t="s">
        <v>6253</v>
      </c>
    </row>
    <row r="23948" spans="1:5" x14ac:dyDescent="0.25">
      <c r="A23948" t="s">
        <v>6</v>
      </c>
      <c r="B23948" t="s">
        <v>6078</v>
      </c>
      <c r="C23948" s="1" t="s">
        <v>23490</v>
      </c>
      <c r="D23948" s="1" t="str">
        <f>HYPERLINK("https://rhld.insurance.arkansas.gov/NPILookup?Npi=1720017577","1720017577")</f>
        <v>1720017577</v>
      </c>
      <c r="E23948" t="s">
        <v>6254</v>
      </c>
    </row>
    <row r="23949" spans="1:5" x14ac:dyDescent="0.25">
      <c r="A23949" t="s">
        <v>6</v>
      </c>
      <c r="B23949" t="s">
        <v>6078</v>
      </c>
      <c r="C23949" s="1" t="s">
        <v>23490</v>
      </c>
      <c r="D23949" s="1" t="str">
        <f>HYPERLINK("https://rhld.insurance.arkansas.gov/NPILookup?Npi=1720056823","1720056823")</f>
        <v>1720056823</v>
      </c>
      <c r="E23949" t="s">
        <v>16349</v>
      </c>
    </row>
    <row r="23950" spans="1:5" x14ac:dyDescent="0.25">
      <c r="A23950" t="s">
        <v>6</v>
      </c>
      <c r="B23950" t="s">
        <v>6078</v>
      </c>
      <c r="C23950" s="1" t="s">
        <v>23490</v>
      </c>
      <c r="D23950" s="1" t="str">
        <f>HYPERLINK("https://rhld.insurance.arkansas.gov/NPILookup?Npi=1720092018","1720092018")</f>
        <v>1720092018</v>
      </c>
      <c r="E23950" t="s">
        <v>16350</v>
      </c>
    </row>
    <row r="23951" spans="1:5" x14ac:dyDescent="0.25">
      <c r="A23951" t="s">
        <v>6</v>
      </c>
      <c r="B23951" t="s">
        <v>6078</v>
      </c>
      <c r="C23951" s="1" t="s">
        <v>23490</v>
      </c>
      <c r="D23951" s="1" t="str">
        <f>HYPERLINK("https://rhld.insurance.arkansas.gov/NPILookup?Npi=1720287048","1720287048")</f>
        <v>1720287048</v>
      </c>
      <c r="E23951" t="s">
        <v>13252</v>
      </c>
    </row>
    <row r="23952" spans="1:5" x14ac:dyDescent="0.25">
      <c r="A23952" t="s">
        <v>6</v>
      </c>
      <c r="B23952" t="s">
        <v>6078</v>
      </c>
      <c r="C23952" s="1" t="s">
        <v>23490</v>
      </c>
      <c r="D23952" s="1" t="str">
        <f>HYPERLINK("https://rhld.insurance.arkansas.gov/NPILookup?Npi=1720408354","1720408354")</f>
        <v>1720408354</v>
      </c>
      <c r="E23952" t="s">
        <v>22480</v>
      </c>
    </row>
    <row r="23953" spans="1:5" x14ac:dyDescent="0.25">
      <c r="A23953" t="s">
        <v>6</v>
      </c>
      <c r="B23953" t="s">
        <v>6078</v>
      </c>
      <c r="C23953" s="1" t="s">
        <v>23490</v>
      </c>
      <c r="D23953" s="1" t="str">
        <f>HYPERLINK("https://rhld.insurance.arkansas.gov/NPILookup?Npi=1730388166","1730388166")</f>
        <v>1730388166</v>
      </c>
      <c r="E23953" t="s">
        <v>6255</v>
      </c>
    </row>
    <row r="23954" spans="1:5" x14ac:dyDescent="0.25">
      <c r="A23954" t="s">
        <v>6</v>
      </c>
      <c r="B23954" t="s">
        <v>6078</v>
      </c>
      <c r="C23954" s="1" t="s">
        <v>23490</v>
      </c>
      <c r="D23954" s="1" t="str">
        <f>HYPERLINK("https://rhld.insurance.arkansas.gov/NPILookup?Npi=1730403072","1730403072")</f>
        <v>1730403072</v>
      </c>
      <c r="E23954" t="s">
        <v>6256</v>
      </c>
    </row>
    <row r="23955" spans="1:5" x14ac:dyDescent="0.25">
      <c r="A23955" t="s">
        <v>6</v>
      </c>
      <c r="B23955" t="s">
        <v>6078</v>
      </c>
      <c r="C23955" s="1" t="s">
        <v>23490</v>
      </c>
      <c r="D23955" s="1" t="str">
        <f>HYPERLINK("https://rhld.insurance.arkansas.gov/NPILookup?Npi=1740272368","1740272368")</f>
        <v>1740272368</v>
      </c>
      <c r="E23955" t="s">
        <v>6257</v>
      </c>
    </row>
    <row r="23956" spans="1:5" x14ac:dyDescent="0.25">
      <c r="A23956" t="s">
        <v>6</v>
      </c>
      <c r="B23956" t="s">
        <v>6078</v>
      </c>
      <c r="C23956" s="1" t="s">
        <v>23490</v>
      </c>
      <c r="D23956" s="1" t="str">
        <f>HYPERLINK("https://rhld.insurance.arkansas.gov/NPILookup?Npi=1740404904","1740404904")</f>
        <v>1740404904</v>
      </c>
      <c r="E23956" t="s">
        <v>6258</v>
      </c>
    </row>
    <row r="23957" spans="1:5" x14ac:dyDescent="0.25">
      <c r="A23957" t="s">
        <v>6</v>
      </c>
      <c r="B23957" t="s">
        <v>6078</v>
      </c>
      <c r="C23957" s="1" t="s">
        <v>23490</v>
      </c>
      <c r="D23957" s="1" t="str">
        <f>HYPERLINK("https://rhld.insurance.arkansas.gov/NPILookup?Npi=1740423912","1740423912")</f>
        <v>1740423912</v>
      </c>
      <c r="E23957" t="s">
        <v>21246</v>
      </c>
    </row>
    <row r="23958" spans="1:5" x14ac:dyDescent="0.25">
      <c r="A23958" t="s">
        <v>6</v>
      </c>
      <c r="B23958" t="s">
        <v>6078</v>
      </c>
      <c r="C23958" s="1" t="s">
        <v>23490</v>
      </c>
      <c r="D23958" s="1" t="str">
        <f>HYPERLINK("https://rhld.insurance.arkansas.gov/NPILookup?Npi=1750313631","1750313631")</f>
        <v>1750313631</v>
      </c>
      <c r="E23958" t="s">
        <v>6259</v>
      </c>
    </row>
    <row r="23959" spans="1:5" x14ac:dyDescent="0.25">
      <c r="A23959" t="s">
        <v>6</v>
      </c>
      <c r="B23959" t="s">
        <v>6078</v>
      </c>
      <c r="C23959" s="1" t="s">
        <v>23490</v>
      </c>
      <c r="D23959" s="1" t="str">
        <f>HYPERLINK("https://rhld.insurance.arkansas.gov/NPILookup?Npi=1750328449","1750328449")</f>
        <v>1750328449</v>
      </c>
      <c r="E23959" t="s">
        <v>6260</v>
      </c>
    </row>
    <row r="23960" spans="1:5" x14ac:dyDescent="0.25">
      <c r="A23960" t="s">
        <v>6</v>
      </c>
      <c r="B23960" t="s">
        <v>6078</v>
      </c>
      <c r="C23960" s="1" t="s">
        <v>23490</v>
      </c>
      <c r="D23960" s="1" t="str">
        <f>HYPERLINK("https://rhld.insurance.arkansas.gov/NPILookup?Npi=1750397782","1750397782")</f>
        <v>1750397782</v>
      </c>
      <c r="E23960" t="s">
        <v>6261</v>
      </c>
    </row>
    <row r="23961" spans="1:5" x14ac:dyDescent="0.25">
      <c r="A23961" t="s">
        <v>6</v>
      </c>
      <c r="B23961" t="s">
        <v>6078</v>
      </c>
      <c r="C23961" s="1" t="s">
        <v>23490</v>
      </c>
      <c r="D23961" s="1" t="str">
        <f>HYPERLINK("https://rhld.insurance.arkansas.gov/NPILookup?Npi=1750528543","1750528543")</f>
        <v>1750528543</v>
      </c>
      <c r="E23961" t="s">
        <v>22481</v>
      </c>
    </row>
    <row r="23962" spans="1:5" x14ac:dyDescent="0.25">
      <c r="A23962" t="s">
        <v>6</v>
      </c>
      <c r="B23962" t="s">
        <v>6078</v>
      </c>
      <c r="C23962" s="1" t="s">
        <v>23490</v>
      </c>
      <c r="D23962" s="1" t="str">
        <f>HYPERLINK("https://rhld.insurance.arkansas.gov/NPILookup?Npi=1750592580","1750592580")</f>
        <v>1750592580</v>
      </c>
      <c r="E23962" t="s">
        <v>6262</v>
      </c>
    </row>
    <row r="23963" spans="1:5" x14ac:dyDescent="0.25">
      <c r="A23963" t="s">
        <v>6</v>
      </c>
      <c r="B23963" t="s">
        <v>6078</v>
      </c>
      <c r="C23963" s="1" t="s">
        <v>23490</v>
      </c>
      <c r="D23963" s="1" t="str">
        <f>HYPERLINK("https://rhld.insurance.arkansas.gov/NPILookup?Npi=1760415608","1760415608")</f>
        <v>1760415608</v>
      </c>
      <c r="E23963" t="s">
        <v>6263</v>
      </c>
    </row>
    <row r="23964" spans="1:5" x14ac:dyDescent="0.25">
      <c r="A23964" t="s">
        <v>6</v>
      </c>
      <c r="B23964" t="s">
        <v>6078</v>
      </c>
      <c r="C23964" s="1" t="s">
        <v>23490</v>
      </c>
      <c r="D23964" s="1" t="str">
        <f>HYPERLINK("https://rhld.insurance.arkansas.gov/NPILookup?Npi=1760448013","1760448013")</f>
        <v>1760448013</v>
      </c>
      <c r="E23964" t="s">
        <v>6264</v>
      </c>
    </row>
    <row r="23965" spans="1:5" x14ac:dyDescent="0.25">
      <c r="A23965" t="s">
        <v>6</v>
      </c>
      <c r="B23965" t="s">
        <v>6078</v>
      </c>
      <c r="C23965" s="1" t="s">
        <v>23490</v>
      </c>
      <c r="D23965" s="1" t="str">
        <f>HYPERLINK("https://rhld.insurance.arkansas.gov/NPILookup?Npi=1760469407","1760469407")</f>
        <v>1760469407</v>
      </c>
      <c r="E23965" t="s">
        <v>6265</v>
      </c>
    </row>
    <row r="23966" spans="1:5" x14ac:dyDescent="0.25">
      <c r="A23966" t="s">
        <v>6</v>
      </c>
      <c r="B23966" t="s">
        <v>6078</v>
      </c>
      <c r="C23966" s="1" t="s">
        <v>23490</v>
      </c>
      <c r="D23966" s="1" t="str">
        <f>HYPERLINK("https://rhld.insurance.arkansas.gov/NPILookup?Npi=1760625578","1760625578")</f>
        <v>1760625578</v>
      </c>
      <c r="E23966" t="s">
        <v>13253</v>
      </c>
    </row>
    <row r="23967" spans="1:5" x14ac:dyDescent="0.25">
      <c r="A23967" t="s">
        <v>6</v>
      </c>
      <c r="B23967" t="s">
        <v>6078</v>
      </c>
      <c r="C23967" s="1" t="s">
        <v>23490</v>
      </c>
      <c r="D23967" s="1" t="str">
        <f>HYPERLINK("https://rhld.insurance.arkansas.gov/NPILookup?Npi=1760779979","1760779979")</f>
        <v>1760779979</v>
      </c>
      <c r="E23967" t="s">
        <v>22482</v>
      </c>
    </row>
    <row r="23968" spans="1:5" x14ac:dyDescent="0.25">
      <c r="A23968" t="s">
        <v>6</v>
      </c>
      <c r="B23968" t="s">
        <v>6078</v>
      </c>
      <c r="C23968" s="1" t="s">
        <v>23490</v>
      </c>
      <c r="D23968" s="1" t="str">
        <f>HYPERLINK("https://rhld.insurance.arkansas.gov/NPILookup?Npi=1760845804","1760845804")</f>
        <v>1760845804</v>
      </c>
      <c r="E23968" t="s">
        <v>22483</v>
      </c>
    </row>
    <row r="23969" spans="1:5" x14ac:dyDescent="0.25">
      <c r="A23969" t="s">
        <v>6</v>
      </c>
      <c r="B23969" t="s">
        <v>6078</v>
      </c>
      <c r="C23969" s="1" t="s">
        <v>23490</v>
      </c>
      <c r="D23969" s="1" t="str">
        <f>HYPERLINK("https://rhld.insurance.arkansas.gov/NPILookup?Npi=1770526147","1770526147")</f>
        <v>1770526147</v>
      </c>
      <c r="E23969" t="s">
        <v>17693</v>
      </c>
    </row>
    <row r="23970" spans="1:5" x14ac:dyDescent="0.25">
      <c r="A23970" t="s">
        <v>6</v>
      </c>
      <c r="B23970" t="s">
        <v>6078</v>
      </c>
      <c r="C23970" s="1" t="s">
        <v>23490</v>
      </c>
      <c r="D23970" s="1" t="str">
        <f>HYPERLINK("https://rhld.insurance.arkansas.gov/NPILookup?Npi=1770549511","1770549511")</f>
        <v>1770549511</v>
      </c>
      <c r="E23970" t="s">
        <v>6266</v>
      </c>
    </row>
    <row r="23971" spans="1:5" x14ac:dyDescent="0.25">
      <c r="A23971" t="s">
        <v>6</v>
      </c>
      <c r="B23971" t="s">
        <v>6078</v>
      </c>
      <c r="C23971" s="1" t="s">
        <v>23490</v>
      </c>
      <c r="D23971" s="1" t="str">
        <f>HYPERLINK("https://rhld.insurance.arkansas.gov/NPILookup?Npi=1770581662","1770581662")</f>
        <v>1770581662</v>
      </c>
      <c r="E23971" t="s">
        <v>6267</v>
      </c>
    </row>
    <row r="23972" spans="1:5" x14ac:dyDescent="0.25">
      <c r="A23972" t="s">
        <v>6</v>
      </c>
      <c r="B23972" t="s">
        <v>6078</v>
      </c>
      <c r="C23972" s="1" t="s">
        <v>23490</v>
      </c>
      <c r="D23972" s="1" t="str">
        <f>HYPERLINK("https://rhld.insurance.arkansas.gov/NPILookup?Npi=1770587461","1770587461")</f>
        <v>1770587461</v>
      </c>
      <c r="E23972" t="s">
        <v>6268</v>
      </c>
    </row>
    <row r="23973" spans="1:5" x14ac:dyDescent="0.25">
      <c r="A23973" t="s">
        <v>6</v>
      </c>
      <c r="B23973" t="s">
        <v>6078</v>
      </c>
      <c r="C23973" s="1" t="s">
        <v>23490</v>
      </c>
      <c r="D23973" s="1" t="str">
        <f>HYPERLINK("https://rhld.insurance.arkansas.gov/NPILookup?Npi=1770724759","1770724759")</f>
        <v>1770724759</v>
      </c>
      <c r="E23973" t="s">
        <v>11968</v>
      </c>
    </row>
    <row r="23974" spans="1:5" x14ac:dyDescent="0.25">
      <c r="A23974" t="s">
        <v>6</v>
      </c>
      <c r="B23974" t="s">
        <v>6078</v>
      </c>
      <c r="C23974" s="1" t="s">
        <v>23490</v>
      </c>
      <c r="D23974" s="1" t="str">
        <f>HYPERLINK("https://rhld.insurance.arkansas.gov/NPILookup?Npi=1770870289","1770870289")</f>
        <v>1770870289</v>
      </c>
      <c r="E23974" t="s">
        <v>16351</v>
      </c>
    </row>
    <row r="23975" spans="1:5" x14ac:dyDescent="0.25">
      <c r="A23975" t="s">
        <v>6</v>
      </c>
      <c r="B23975" t="s">
        <v>6078</v>
      </c>
      <c r="C23975" s="1" t="s">
        <v>23490</v>
      </c>
      <c r="D23975" s="1" t="str">
        <f>HYPERLINK("https://rhld.insurance.arkansas.gov/NPILookup?Npi=1770926404","1770926404")</f>
        <v>1770926404</v>
      </c>
      <c r="E23975" t="s">
        <v>22484</v>
      </c>
    </row>
    <row r="23976" spans="1:5" x14ac:dyDescent="0.25">
      <c r="A23976" t="s">
        <v>6</v>
      </c>
      <c r="B23976" t="s">
        <v>6078</v>
      </c>
      <c r="C23976" s="1" t="s">
        <v>23490</v>
      </c>
      <c r="D23976" s="1" t="str">
        <f>HYPERLINK("https://rhld.insurance.arkansas.gov/NPILookup?Npi=1770994667","1770994667")</f>
        <v>1770994667</v>
      </c>
      <c r="E23976" t="s">
        <v>16352</v>
      </c>
    </row>
    <row r="23977" spans="1:5" x14ac:dyDescent="0.25">
      <c r="A23977" t="s">
        <v>6</v>
      </c>
      <c r="B23977" t="s">
        <v>6078</v>
      </c>
      <c r="C23977" s="1" t="s">
        <v>23490</v>
      </c>
      <c r="D23977" s="1" t="str">
        <f>HYPERLINK("https://rhld.insurance.arkansas.gov/NPILookup?Npi=1780079780","1780079780")</f>
        <v>1780079780</v>
      </c>
      <c r="E23977" t="s">
        <v>22485</v>
      </c>
    </row>
    <row r="23978" spans="1:5" x14ac:dyDescent="0.25">
      <c r="A23978" t="s">
        <v>6</v>
      </c>
      <c r="B23978" t="s">
        <v>6078</v>
      </c>
      <c r="C23978" s="1" t="s">
        <v>23490</v>
      </c>
      <c r="D23978" s="1" t="str">
        <f>HYPERLINK("https://rhld.insurance.arkansas.gov/NPILookup?Npi=1780091975","1780091975")</f>
        <v>1780091975</v>
      </c>
      <c r="E23978" t="s">
        <v>17694</v>
      </c>
    </row>
    <row r="23979" spans="1:5" x14ac:dyDescent="0.25">
      <c r="A23979" t="s">
        <v>6</v>
      </c>
      <c r="B23979" t="s">
        <v>6078</v>
      </c>
      <c r="C23979" s="1" t="s">
        <v>23490</v>
      </c>
      <c r="D23979" s="1" t="str">
        <f>HYPERLINK("https://rhld.insurance.arkansas.gov/NPILookup?Npi=1780673665","1780673665")</f>
        <v>1780673665</v>
      </c>
      <c r="E23979" t="s">
        <v>6269</v>
      </c>
    </row>
    <row r="23980" spans="1:5" x14ac:dyDescent="0.25">
      <c r="A23980" t="s">
        <v>6</v>
      </c>
      <c r="B23980" t="s">
        <v>6078</v>
      </c>
      <c r="C23980" s="1" t="s">
        <v>23490</v>
      </c>
      <c r="D23980" s="1" t="str">
        <f>HYPERLINK("https://rhld.insurance.arkansas.gov/NPILookup?Npi=1780802330","1780802330")</f>
        <v>1780802330</v>
      </c>
      <c r="E23980" t="s">
        <v>14345</v>
      </c>
    </row>
    <row r="23981" spans="1:5" x14ac:dyDescent="0.25">
      <c r="A23981" t="s">
        <v>6</v>
      </c>
      <c r="B23981" t="s">
        <v>6078</v>
      </c>
      <c r="C23981" s="1" t="s">
        <v>23490</v>
      </c>
      <c r="D23981" s="1" t="str">
        <f>HYPERLINK("https://rhld.insurance.arkansas.gov/NPILookup?Npi=1780927244","1780927244")</f>
        <v>1780927244</v>
      </c>
      <c r="E23981" t="s">
        <v>14346</v>
      </c>
    </row>
    <row r="23982" spans="1:5" x14ac:dyDescent="0.25">
      <c r="A23982" t="s">
        <v>6</v>
      </c>
      <c r="B23982" t="s">
        <v>6078</v>
      </c>
      <c r="C23982" s="1" t="s">
        <v>23490</v>
      </c>
      <c r="D23982" s="1" t="str">
        <f>HYPERLINK("https://rhld.insurance.arkansas.gov/NPILookup?Npi=1790046001","1790046001")</f>
        <v>1790046001</v>
      </c>
      <c r="E23982" t="s">
        <v>6270</v>
      </c>
    </row>
    <row r="23983" spans="1:5" x14ac:dyDescent="0.25">
      <c r="A23983" t="s">
        <v>6</v>
      </c>
      <c r="B23983" t="s">
        <v>6078</v>
      </c>
      <c r="C23983" s="1" t="s">
        <v>23490</v>
      </c>
      <c r="D23983" s="1" t="str">
        <f>HYPERLINK("https://rhld.insurance.arkansas.gov/NPILookup?Npi=1790756450","1790756450")</f>
        <v>1790756450</v>
      </c>
      <c r="E23983" t="s">
        <v>16353</v>
      </c>
    </row>
    <row r="23984" spans="1:5" x14ac:dyDescent="0.25">
      <c r="A23984" t="s">
        <v>6</v>
      </c>
      <c r="B23984" t="s">
        <v>6078</v>
      </c>
      <c r="C23984" s="1" t="s">
        <v>23490</v>
      </c>
      <c r="D23984" s="1" t="str">
        <f>HYPERLINK("https://rhld.insurance.arkansas.gov/NPILookup?Npi=1790758761","1790758761")</f>
        <v>1790758761</v>
      </c>
      <c r="E23984" t="s">
        <v>6271</v>
      </c>
    </row>
    <row r="23985" spans="1:5" x14ac:dyDescent="0.25">
      <c r="A23985" t="s">
        <v>6</v>
      </c>
      <c r="B23985" t="s">
        <v>6078</v>
      </c>
      <c r="C23985" s="1" t="s">
        <v>23490</v>
      </c>
      <c r="D23985" s="1" t="str">
        <f>HYPERLINK("https://rhld.insurance.arkansas.gov/NPILookup?Npi=1790788347","1790788347")</f>
        <v>1790788347</v>
      </c>
      <c r="E23985" t="s">
        <v>16354</v>
      </c>
    </row>
    <row r="23986" spans="1:5" x14ac:dyDescent="0.25">
      <c r="A23986" t="s">
        <v>6</v>
      </c>
      <c r="B23986" t="s">
        <v>6078</v>
      </c>
      <c r="C23986" s="1" t="s">
        <v>23490</v>
      </c>
      <c r="D23986" s="1" t="str">
        <f>HYPERLINK("https://rhld.insurance.arkansas.gov/NPILookup?Npi=1790904027","1790904027")</f>
        <v>1790904027</v>
      </c>
      <c r="E23986" t="s">
        <v>6272</v>
      </c>
    </row>
    <row r="23987" spans="1:5" x14ac:dyDescent="0.25">
      <c r="A23987" t="s">
        <v>6</v>
      </c>
      <c r="B23987" t="s">
        <v>6078</v>
      </c>
      <c r="C23987" s="1" t="s">
        <v>23490</v>
      </c>
      <c r="D23987" s="1" t="str">
        <f>HYPERLINK("https://rhld.insurance.arkansas.gov/NPILookup?Npi=1790919512","1790919512")</f>
        <v>1790919512</v>
      </c>
      <c r="E23987" t="s">
        <v>14347</v>
      </c>
    </row>
    <row r="23988" spans="1:5" x14ac:dyDescent="0.25">
      <c r="A23988" t="s">
        <v>6</v>
      </c>
      <c r="B23988" t="s">
        <v>6078</v>
      </c>
      <c r="C23988" s="1" t="s">
        <v>23490</v>
      </c>
      <c r="D23988" s="1" t="str">
        <f>HYPERLINK("https://rhld.insurance.arkansas.gov/NPILookup?Npi=1790999308","1790999308")</f>
        <v>1790999308</v>
      </c>
      <c r="E23988" t="s">
        <v>11969</v>
      </c>
    </row>
    <row r="23989" spans="1:5" x14ac:dyDescent="0.25">
      <c r="A23989" t="s">
        <v>6</v>
      </c>
      <c r="B23989" t="s">
        <v>6078</v>
      </c>
      <c r="C23989" s="1" t="s">
        <v>23490</v>
      </c>
      <c r="D23989" s="1" t="str">
        <f>HYPERLINK("https://rhld.insurance.arkansas.gov/NPILookup?Npi=1801103643","1801103643")</f>
        <v>1801103643</v>
      </c>
      <c r="E23989" t="s">
        <v>11970</v>
      </c>
    </row>
    <row r="23990" spans="1:5" x14ac:dyDescent="0.25">
      <c r="A23990" t="s">
        <v>6</v>
      </c>
      <c r="B23990" t="s">
        <v>6078</v>
      </c>
      <c r="C23990" s="1" t="s">
        <v>23490</v>
      </c>
      <c r="D23990" s="1" t="str">
        <f>HYPERLINK("https://rhld.insurance.arkansas.gov/NPILookup?Npi=1801119144","1801119144")</f>
        <v>1801119144</v>
      </c>
      <c r="E23990" t="s">
        <v>22486</v>
      </c>
    </row>
    <row r="23991" spans="1:5" x14ac:dyDescent="0.25">
      <c r="A23991" t="s">
        <v>6</v>
      </c>
      <c r="B23991" t="s">
        <v>6078</v>
      </c>
      <c r="C23991" s="1" t="s">
        <v>23490</v>
      </c>
      <c r="D23991" s="1" t="str">
        <f>HYPERLINK("https://rhld.insurance.arkansas.gov/NPILookup?Npi=1801825781","1801825781")</f>
        <v>1801825781</v>
      </c>
      <c r="E23991" t="s">
        <v>6273</v>
      </c>
    </row>
    <row r="23992" spans="1:5" x14ac:dyDescent="0.25">
      <c r="A23992" t="s">
        <v>6</v>
      </c>
      <c r="B23992" t="s">
        <v>6078</v>
      </c>
      <c r="C23992" s="1" t="s">
        <v>23490</v>
      </c>
      <c r="D23992" s="1" t="str">
        <f>HYPERLINK("https://rhld.insurance.arkansas.gov/NPILookup?Npi=1801869235","1801869235")</f>
        <v>1801869235</v>
      </c>
      <c r="E23992" t="s">
        <v>6274</v>
      </c>
    </row>
    <row r="23993" spans="1:5" x14ac:dyDescent="0.25">
      <c r="A23993" t="s">
        <v>6</v>
      </c>
      <c r="B23993" t="s">
        <v>6078</v>
      </c>
      <c r="C23993" s="1" t="s">
        <v>23490</v>
      </c>
      <c r="D23993" s="1" t="str">
        <f>HYPERLINK("https://rhld.insurance.arkansas.gov/NPILookup?Npi=1801894555","1801894555")</f>
        <v>1801894555</v>
      </c>
      <c r="E23993" t="s">
        <v>9202</v>
      </c>
    </row>
    <row r="23994" spans="1:5" x14ac:dyDescent="0.25">
      <c r="A23994" t="s">
        <v>6</v>
      </c>
      <c r="B23994" t="s">
        <v>6078</v>
      </c>
      <c r="C23994" s="1" t="s">
        <v>23490</v>
      </c>
      <c r="D23994" s="1" t="str">
        <f>HYPERLINK("https://rhld.insurance.arkansas.gov/NPILookup?Npi=1811158587","1811158587")</f>
        <v>1811158587</v>
      </c>
      <c r="E23994" t="s">
        <v>6275</v>
      </c>
    </row>
    <row r="23995" spans="1:5" x14ac:dyDescent="0.25">
      <c r="A23995" t="s">
        <v>6</v>
      </c>
      <c r="B23995" t="s">
        <v>6078</v>
      </c>
      <c r="C23995" s="1" t="s">
        <v>23490</v>
      </c>
      <c r="D23995" s="1" t="str">
        <f>HYPERLINK("https://rhld.insurance.arkansas.gov/NPILookup?Npi=1811208010","1811208010")</f>
        <v>1811208010</v>
      </c>
      <c r="E23995" t="s">
        <v>16355</v>
      </c>
    </row>
    <row r="23996" spans="1:5" x14ac:dyDescent="0.25">
      <c r="A23996" t="s">
        <v>6</v>
      </c>
      <c r="B23996" t="s">
        <v>6078</v>
      </c>
      <c r="C23996" s="1" t="s">
        <v>23490</v>
      </c>
      <c r="D23996" s="1" t="str">
        <f>HYPERLINK("https://rhld.insurance.arkansas.gov/NPILookup?Npi=1811252752","1811252752")</f>
        <v>1811252752</v>
      </c>
      <c r="E23996" t="s">
        <v>14348</v>
      </c>
    </row>
    <row r="23997" spans="1:5" x14ac:dyDescent="0.25">
      <c r="A23997" t="s">
        <v>6</v>
      </c>
      <c r="B23997" t="s">
        <v>6078</v>
      </c>
      <c r="C23997" s="1" t="s">
        <v>23490</v>
      </c>
      <c r="D23997" s="1" t="str">
        <f>HYPERLINK("https://rhld.insurance.arkansas.gov/NPILookup?Npi=1811330897","1811330897")</f>
        <v>1811330897</v>
      </c>
      <c r="E23997" t="s">
        <v>22487</v>
      </c>
    </row>
    <row r="23998" spans="1:5" x14ac:dyDescent="0.25">
      <c r="A23998" t="s">
        <v>6</v>
      </c>
      <c r="B23998" t="s">
        <v>6078</v>
      </c>
      <c r="C23998" s="1" t="s">
        <v>23490</v>
      </c>
      <c r="D23998" s="1" t="str">
        <f>HYPERLINK("https://rhld.insurance.arkansas.gov/NPILookup?Npi=1811983489","1811983489")</f>
        <v>1811983489</v>
      </c>
      <c r="E23998" t="s">
        <v>16356</v>
      </c>
    </row>
    <row r="23999" spans="1:5" x14ac:dyDescent="0.25">
      <c r="A23999" t="s">
        <v>6</v>
      </c>
      <c r="B23999" t="s">
        <v>6078</v>
      </c>
      <c r="C23999" s="1" t="s">
        <v>23490</v>
      </c>
      <c r="D23999" s="1" t="str">
        <f>HYPERLINK("https://rhld.insurance.arkansas.gov/NPILookup?Npi=1821047465","1821047465")</f>
        <v>1821047465</v>
      </c>
      <c r="E23999" t="s">
        <v>16357</v>
      </c>
    </row>
    <row r="24000" spans="1:5" x14ac:dyDescent="0.25">
      <c r="A24000" t="s">
        <v>6</v>
      </c>
      <c r="B24000" t="s">
        <v>6078</v>
      </c>
      <c r="C24000" s="1" t="s">
        <v>23490</v>
      </c>
      <c r="D24000" s="1" t="str">
        <f>HYPERLINK("https://rhld.insurance.arkansas.gov/NPILookup?Npi=1821058991","1821058991")</f>
        <v>1821058991</v>
      </c>
      <c r="E24000" t="s">
        <v>6276</v>
      </c>
    </row>
    <row r="24001" spans="1:5" x14ac:dyDescent="0.25">
      <c r="A24001" t="s">
        <v>6</v>
      </c>
      <c r="B24001" t="s">
        <v>6078</v>
      </c>
      <c r="C24001" s="1" t="s">
        <v>23490</v>
      </c>
      <c r="D24001" s="1" t="str">
        <f>HYPERLINK("https://rhld.insurance.arkansas.gov/NPILookup?Npi=1821077660","1821077660")</f>
        <v>1821077660</v>
      </c>
      <c r="E24001" t="s">
        <v>6277</v>
      </c>
    </row>
    <row r="24002" spans="1:5" x14ac:dyDescent="0.25">
      <c r="A24002" t="s">
        <v>6</v>
      </c>
      <c r="B24002" t="s">
        <v>6078</v>
      </c>
      <c r="C24002" s="1" t="s">
        <v>23490</v>
      </c>
      <c r="D24002" s="1" t="str">
        <f>HYPERLINK("https://rhld.insurance.arkansas.gov/NPILookup?Npi=1821235474","1821235474")</f>
        <v>1821235474</v>
      </c>
      <c r="E24002" t="s">
        <v>2896</v>
      </c>
    </row>
    <row r="24003" spans="1:5" x14ac:dyDescent="0.25">
      <c r="A24003" t="s">
        <v>6</v>
      </c>
      <c r="B24003" t="s">
        <v>6078</v>
      </c>
      <c r="C24003" s="1" t="s">
        <v>23490</v>
      </c>
      <c r="D24003" s="1" t="str">
        <f>HYPERLINK("https://rhld.insurance.arkansas.gov/NPILookup?Npi=1821289893","1821289893")</f>
        <v>1821289893</v>
      </c>
      <c r="E24003" t="s">
        <v>16358</v>
      </c>
    </row>
    <row r="24004" spans="1:5" x14ac:dyDescent="0.25">
      <c r="A24004" t="s">
        <v>6</v>
      </c>
      <c r="B24004" t="s">
        <v>6078</v>
      </c>
      <c r="C24004" s="1" t="s">
        <v>23490</v>
      </c>
      <c r="D24004" s="1" t="str">
        <f>HYPERLINK("https://rhld.insurance.arkansas.gov/NPILookup?Npi=1821301052","1821301052")</f>
        <v>1821301052</v>
      </c>
      <c r="E24004" t="s">
        <v>22488</v>
      </c>
    </row>
    <row r="24005" spans="1:5" x14ac:dyDescent="0.25">
      <c r="A24005" t="s">
        <v>6</v>
      </c>
      <c r="B24005" t="s">
        <v>6078</v>
      </c>
      <c r="C24005" s="1" t="s">
        <v>23490</v>
      </c>
      <c r="D24005" s="1" t="str">
        <f>HYPERLINK("https://rhld.insurance.arkansas.gov/NPILookup?Npi=1821443045","1821443045")</f>
        <v>1821443045</v>
      </c>
      <c r="E24005" t="s">
        <v>19122</v>
      </c>
    </row>
    <row r="24006" spans="1:5" x14ac:dyDescent="0.25">
      <c r="A24006" t="s">
        <v>6</v>
      </c>
      <c r="B24006" t="s">
        <v>6078</v>
      </c>
      <c r="C24006" s="1" t="s">
        <v>23490</v>
      </c>
      <c r="D24006" s="1" t="str">
        <f>HYPERLINK("https://rhld.insurance.arkansas.gov/NPILookup?Npi=1831106038","1831106038")</f>
        <v>1831106038</v>
      </c>
      <c r="E24006" t="s">
        <v>3955</v>
      </c>
    </row>
    <row r="24007" spans="1:5" x14ac:dyDescent="0.25">
      <c r="A24007" t="s">
        <v>6</v>
      </c>
      <c r="B24007" t="s">
        <v>6078</v>
      </c>
      <c r="C24007" s="1" t="s">
        <v>23490</v>
      </c>
      <c r="D24007" s="1" t="str">
        <f>HYPERLINK("https://rhld.insurance.arkansas.gov/NPILookup?Npi=1831119197","1831119197")</f>
        <v>1831119197</v>
      </c>
      <c r="E24007" t="s">
        <v>6278</v>
      </c>
    </row>
    <row r="24008" spans="1:5" x14ac:dyDescent="0.25">
      <c r="A24008" t="s">
        <v>6</v>
      </c>
      <c r="B24008" t="s">
        <v>6078</v>
      </c>
      <c r="C24008" s="1" t="s">
        <v>23490</v>
      </c>
      <c r="D24008" s="1" t="str">
        <f>HYPERLINK("https://rhld.insurance.arkansas.gov/NPILookup?Npi=1831141829","1831141829")</f>
        <v>1831141829</v>
      </c>
      <c r="E24008" t="s">
        <v>6279</v>
      </c>
    </row>
    <row r="24009" spans="1:5" x14ac:dyDescent="0.25">
      <c r="A24009" t="s">
        <v>6</v>
      </c>
      <c r="B24009" t="s">
        <v>6078</v>
      </c>
      <c r="C24009" s="1" t="s">
        <v>23490</v>
      </c>
      <c r="D24009" s="1" t="str">
        <f>HYPERLINK("https://rhld.insurance.arkansas.gov/NPILookup?Npi=1831181247","1831181247")</f>
        <v>1831181247</v>
      </c>
      <c r="E24009" t="s">
        <v>6280</v>
      </c>
    </row>
    <row r="24010" spans="1:5" x14ac:dyDescent="0.25">
      <c r="A24010" t="s">
        <v>6</v>
      </c>
      <c r="B24010" t="s">
        <v>6078</v>
      </c>
      <c r="C24010" s="1" t="s">
        <v>23490</v>
      </c>
      <c r="D24010" s="1" t="str">
        <f>HYPERLINK("https://rhld.insurance.arkansas.gov/NPILookup?Npi=1831289313","1831289313")</f>
        <v>1831289313</v>
      </c>
      <c r="E24010" t="s">
        <v>6281</v>
      </c>
    </row>
    <row r="24011" spans="1:5" x14ac:dyDescent="0.25">
      <c r="A24011" t="s">
        <v>6</v>
      </c>
      <c r="B24011" t="s">
        <v>6078</v>
      </c>
      <c r="C24011" s="1" t="s">
        <v>23490</v>
      </c>
      <c r="D24011" s="1" t="str">
        <f>HYPERLINK("https://rhld.insurance.arkansas.gov/NPILookup?Npi=1831509330","1831509330")</f>
        <v>1831509330</v>
      </c>
      <c r="E24011" t="s">
        <v>16359</v>
      </c>
    </row>
    <row r="24012" spans="1:5" x14ac:dyDescent="0.25">
      <c r="A24012" t="s">
        <v>6</v>
      </c>
      <c r="B24012" t="s">
        <v>6078</v>
      </c>
      <c r="C24012" s="1" t="s">
        <v>23490</v>
      </c>
      <c r="D24012" s="1" t="str">
        <f>HYPERLINK("https://rhld.insurance.arkansas.gov/NPILookup?Npi=1841277589","1841277589")</f>
        <v>1841277589</v>
      </c>
      <c r="E24012" t="s">
        <v>6282</v>
      </c>
    </row>
    <row r="24013" spans="1:5" x14ac:dyDescent="0.25">
      <c r="A24013" t="s">
        <v>6</v>
      </c>
      <c r="B24013" t="s">
        <v>6078</v>
      </c>
      <c r="C24013" s="1" t="s">
        <v>23490</v>
      </c>
      <c r="D24013" s="1" t="str">
        <f>HYPERLINK("https://rhld.insurance.arkansas.gov/NPILookup?Npi=1841293545","1841293545")</f>
        <v>1841293545</v>
      </c>
      <c r="E24013" t="s">
        <v>6283</v>
      </c>
    </row>
    <row r="24014" spans="1:5" x14ac:dyDescent="0.25">
      <c r="A24014" t="s">
        <v>6</v>
      </c>
      <c r="B24014" t="s">
        <v>6078</v>
      </c>
      <c r="C24014" s="1" t="s">
        <v>23490</v>
      </c>
      <c r="D24014" s="1" t="str">
        <f>HYPERLINK("https://rhld.insurance.arkansas.gov/NPILookup?Npi=1841295383","1841295383")</f>
        <v>1841295383</v>
      </c>
      <c r="E24014" t="s">
        <v>6284</v>
      </c>
    </row>
    <row r="24015" spans="1:5" x14ac:dyDescent="0.25">
      <c r="A24015" t="s">
        <v>6</v>
      </c>
      <c r="B24015" t="s">
        <v>6078</v>
      </c>
      <c r="C24015" s="1" t="s">
        <v>23490</v>
      </c>
      <c r="D24015" s="1" t="str">
        <f>HYPERLINK("https://rhld.insurance.arkansas.gov/NPILookup?Npi=1841299864","1841299864")</f>
        <v>1841299864</v>
      </c>
      <c r="E24015" t="s">
        <v>6285</v>
      </c>
    </row>
    <row r="24016" spans="1:5" x14ac:dyDescent="0.25">
      <c r="A24016" t="s">
        <v>6</v>
      </c>
      <c r="B24016" t="s">
        <v>6078</v>
      </c>
      <c r="C24016" s="1" t="s">
        <v>23490</v>
      </c>
      <c r="D24016" s="1" t="str">
        <f>HYPERLINK("https://rhld.insurance.arkansas.gov/NPILookup?Npi=1841381050","1841381050")</f>
        <v>1841381050</v>
      </c>
      <c r="E24016" t="s">
        <v>6286</v>
      </c>
    </row>
    <row r="24017" spans="1:5" x14ac:dyDescent="0.25">
      <c r="A24017" t="s">
        <v>6</v>
      </c>
      <c r="B24017" t="s">
        <v>6078</v>
      </c>
      <c r="C24017" s="1" t="s">
        <v>23490</v>
      </c>
      <c r="D24017" s="1" t="str">
        <f>HYPERLINK("https://rhld.insurance.arkansas.gov/NPILookup?Npi=1851320691","1851320691")</f>
        <v>1851320691</v>
      </c>
      <c r="E24017" t="s">
        <v>6287</v>
      </c>
    </row>
    <row r="24018" spans="1:5" x14ac:dyDescent="0.25">
      <c r="A24018" t="s">
        <v>6</v>
      </c>
      <c r="B24018" t="s">
        <v>6078</v>
      </c>
      <c r="C24018" s="1" t="s">
        <v>23490</v>
      </c>
      <c r="D24018" s="1" t="str">
        <f>HYPERLINK("https://rhld.insurance.arkansas.gov/NPILookup?Npi=1851344006","1851344006")</f>
        <v>1851344006</v>
      </c>
      <c r="E24018" t="s">
        <v>14349</v>
      </c>
    </row>
    <row r="24019" spans="1:5" x14ac:dyDescent="0.25">
      <c r="A24019" t="s">
        <v>6</v>
      </c>
      <c r="B24019" t="s">
        <v>6078</v>
      </c>
      <c r="C24019" s="1" t="s">
        <v>23490</v>
      </c>
      <c r="D24019" s="1" t="str">
        <f>HYPERLINK("https://rhld.insurance.arkansas.gov/NPILookup?Npi=1851399638","1851399638")</f>
        <v>1851399638</v>
      </c>
      <c r="E24019" t="s">
        <v>6288</v>
      </c>
    </row>
    <row r="24020" spans="1:5" x14ac:dyDescent="0.25">
      <c r="A24020" t="s">
        <v>6</v>
      </c>
      <c r="B24020" t="s">
        <v>6078</v>
      </c>
      <c r="C24020" s="1" t="s">
        <v>23490</v>
      </c>
      <c r="D24020" s="1" t="str">
        <f>HYPERLINK("https://rhld.insurance.arkansas.gov/NPILookup?Npi=1851408934","1851408934")</f>
        <v>1851408934</v>
      </c>
      <c r="E24020" t="s">
        <v>6289</v>
      </c>
    </row>
    <row r="24021" spans="1:5" x14ac:dyDescent="0.25">
      <c r="A24021" t="s">
        <v>6</v>
      </c>
      <c r="B24021" t="s">
        <v>6078</v>
      </c>
      <c r="C24021" s="1" t="s">
        <v>23490</v>
      </c>
      <c r="D24021" s="1" t="str">
        <f>HYPERLINK("https://rhld.insurance.arkansas.gov/NPILookup?Npi=1851413140","1851413140")</f>
        <v>1851413140</v>
      </c>
      <c r="E24021" t="s">
        <v>6290</v>
      </c>
    </row>
    <row r="24022" spans="1:5" x14ac:dyDescent="0.25">
      <c r="A24022" t="s">
        <v>6</v>
      </c>
      <c r="B24022" t="s">
        <v>6078</v>
      </c>
      <c r="C24022" s="1" t="s">
        <v>23490</v>
      </c>
      <c r="D24022" s="1" t="str">
        <f>HYPERLINK("https://rhld.insurance.arkansas.gov/NPILookup?Npi=1851478796","1851478796")</f>
        <v>1851478796</v>
      </c>
      <c r="E24022" t="s">
        <v>16360</v>
      </c>
    </row>
    <row r="24023" spans="1:5" x14ac:dyDescent="0.25">
      <c r="A24023" t="s">
        <v>6</v>
      </c>
      <c r="B24023" t="s">
        <v>6078</v>
      </c>
      <c r="C24023" s="1" t="s">
        <v>23490</v>
      </c>
      <c r="D24023" s="1" t="str">
        <f>HYPERLINK("https://rhld.insurance.arkansas.gov/NPILookup?Npi=1861442436","1861442436")</f>
        <v>1861442436</v>
      </c>
      <c r="E24023" t="s">
        <v>11971</v>
      </c>
    </row>
    <row r="24024" spans="1:5" x14ac:dyDescent="0.25">
      <c r="A24024" t="s">
        <v>6</v>
      </c>
      <c r="B24024" t="s">
        <v>6078</v>
      </c>
      <c r="C24024" s="1" t="s">
        <v>23490</v>
      </c>
      <c r="D24024" s="1" t="str">
        <f>HYPERLINK("https://rhld.insurance.arkansas.gov/NPILookup?Npi=1861472565","1861472565")</f>
        <v>1861472565</v>
      </c>
      <c r="E24024" t="s">
        <v>6291</v>
      </c>
    </row>
    <row r="24025" spans="1:5" x14ac:dyDescent="0.25">
      <c r="A24025" t="s">
        <v>6</v>
      </c>
      <c r="B24025" t="s">
        <v>6078</v>
      </c>
      <c r="C24025" s="1" t="s">
        <v>23490</v>
      </c>
      <c r="D24025" s="1" t="str">
        <f>HYPERLINK("https://rhld.insurance.arkansas.gov/NPILookup?Npi=1861495889","1861495889")</f>
        <v>1861495889</v>
      </c>
      <c r="E24025" t="s">
        <v>6292</v>
      </c>
    </row>
    <row r="24026" spans="1:5" x14ac:dyDescent="0.25">
      <c r="A24026" t="s">
        <v>6</v>
      </c>
      <c r="B24026" t="s">
        <v>6078</v>
      </c>
      <c r="C24026" s="1" t="s">
        <v>23490</v>
      </c>
      <c r="D24026" s="1" t="str">
        <f>HYPERLINK("https://rhld.insurance.arkansas.gov/NPILookup?Npi=1871755447","1871755447")</f>
        <v>1871755447</v>
      </c>
      <c r="E24026" t="s">
        <v>16361</v>
      </c>
    </row>
    <row r="24027" spans="1:5" x14ac:dyDescent="0.25">
      <c r="A24027" t="s">
        <v>6</v>
      </c>
      <c r="B24027" t="s">
        <v>6078</v>
      </c>
      <c r="C24027" s="1" t="s">
        <v>23490</v>
      </c>
      <c r="D24027" s="1" t="str">
        <f>HYPERLINK("https://rhld.insurance.arkansas.gov/NPILookup?Npi=1871767152","1871767152")</f>
        <v>1871767152</v>
      </c>
      <c r="E24027" t="s">
        <v>6293</v>
      </c>
    </row>
    <row r="24028" spans="1:5" x14ac:dyDescent="0.25">
      <c r="A24028" t="s">
        <v>6</v>
      </c>
      <c r="B24028" t="s">
        <v>6078</v>
      </c>
      <c r="C24028" s="1" t="s">
        <v>23490</v>
      </c>
      <c r="D24028" s="1" t="str">
        <f>HYPERLINK("https://rhld.insurance.arkansas.gov/NPILookup?Npi=1871945204","1871945204")</f>
        <v>1871945204</v>
      </c>
      <c r="E24028" t="s">
        <v>22489</v>
      </c>
    </row>
    <row r="24029" spans="1:5" x14ac:dyDescent="0.25">
      <c r="A24029" t="s">
        <v>6</v>
      </c>
      <c r="B24029" t="s">
        <v>6078</v>
      </c>
      <c r="C24029" s="1" t="s">
        <v>23490</v>
      </c>
      <c r="D24029" s="1" t="str">
        <f>HYPERLINK("https://rhld.insurance.arkansas.gov/NPILookup?Npi=1871970731","1871970731")</f>
        <v>1871970731</v>
      </c>
      <c r="E24029" t="s">
        <v>11942</v>
      </c>
    </row>
    <row r="24030" spans="1:5" x14ac:dyDescent="0.25">
      <c r="A24030" t="s">
        <v>6</v>
      </c>
      <c r="B24030" t="s">
        <v>6078</v>
      </c>
      <c r="C24030" s="1" t="s">
        <v>23490</v>
      </c>
      <c r="D24030" s="1" t="str">
        <f>HYPERLINK("https://rhld.insurance.arkansas.gov/NPILookup?Npi=1881692978","1881692978")</f>
        <v>1881692978</v>
      </c>
      <c r="E24030" t="s">
        <v>16362</v>
      </c>
    </row>
    <row r="24031" spans="1:5" x14ac:dyDescent="0.25">
      <c r="A24031" t="s">
        <v>6</v>
      </c>
      <c r="B24031" t="s">
        <v>6078</v>
      </c>
      <c r="C24031" s="1" t="s">
        <v>23490</v>
      </c>
      <c r="D24031" s="1" t="str">
        <f>HYPERLINK("https://rhld.insurance.arkansas.gov/NPILookup?Npi=1881697662","1881697662")</f>
        <v>1881697662</v>
      </c>
      <c r="E24031" t="s">
        <v>16363</v>
      </c>
    </row>
    <row r="24032" spans="1:5" x14ac:dyDescent="0.25">
      <c r="A24032" t="s">
        <v>6</v>
      </c>
      <c r="B24032" t="s">
        <v>6078</v>
      </c>
      <c r="C24032" s="1" t="s">
        <v>23490</v>
      </c>
      <c r="D24032" s="1" t="str">
        <f>HYPERLINK("https://rhld.insurance.arkansas.gov/NPILookup?Npi=1881792513","1881792513")</f>
        <v>1881792513</v>
      </c>
      <c r="E24032" t="s">
        <v>6294</v>
      </c>
    </row>
    <row r="24033" spans="1:5" x14ac:dyDescent="0.25">
      <c r="A24033" t="s">
        <v>6</v>
      </c>
      <c r="B24033" t="s">
        <v>6078</v>
      </c>
      <c r="C24033" s="1" t="s">
        <v>23490</v>
      </c>
      <c r="D24033" s="1" t="str">
        <f>HYPERLINK("https://rhld.insurance.arkansas.gov/NPILookup?Npi=1881824886","1881824886")</f>
        <v>1881824886</v>
      </c>
      <c r="E24033" t="s">
        <v>17695</v>
      </c>
    </row>
    <row r="24034" spans="1:5" x14ac:dyDescent="0.25">
      <c r="A24034" t="s">
        <v>6</v>
      </c>
      <c r="B24034" t="s">
        <v>6078</v>
      </c>
      <c r="C24034" s="1" t="s">
        <v>23490</v>
      </c>
      <c r="D24034" s="1" t="str">
        <f>HYPERLINK("https://rhld.insurance.arkansas.gov/NPILookup?Npi=1881850600","1881850600")</f>
        <v>1881850600</v>
      </c>
      <c r="E24034" t="s">
        <v>6295</v>
      </c>
    </row>
    <row r="24035" spans="1:5" x14ac:dyDescent="0.25">
      <c r="A24035" t="s">
        <v>6</v>
      </c>
      <c r="B24035" t="s">
        <v>6078</v>
      </c>
      <c r="C24035" s="1" t="s">
        <v>23490</v>
      </c>
      <c r="D24035" s="1" t="str">
        <f>HYPERLINK("https://rhld.insurance.arkansas.gov/NPILookup?Npi=1881894673","1881894673")</f>
        <v>1881894673</v>
      </c>
      <c r="E24035" t="s">
        <v>8907</v>
      </c>
    </row>
    <row r="24036" spans="1:5" x14ac:dyDescent="0.25">
      <c r="A24036" t="s">
        <v>6</v>
      </c>
      <c r="B24036" t="s">
        <v>6078</v>
      </c>
      <c r="C24036" s="1" t="s">
        <v>23490</v>
      </c>
      <c r="D24036" s="1" t="str">
        <f>HYPERLINK("https://rhld.insurance.arkansas.gov/NPILookup?Npi=1881960029","1881960029")</f>
        <v>1881960029</v>
      </c>
      <c r="E24036" t="s">
        <v>22490</v>
      </c>
    </row>
    <row r="24037" spans="1:5" x14ac:dyDescent="0.25">
      <c r="A24037" t="s">
        <v>6</v>
      </c>
      <c r="B24037" t="s">
        <v>6078</v>
      </c>
      <c r="C24037" s="1" t="s">
        <v>23490</v>
      </c>
      <c r="D24037" s="1" t="str">
        <f>HYPERLINK("https://rhld.insurance.arkansas.gov/NPILookup?Npi=1891792941","1891792941")</f>
        <v>1891792941</v>
      </c>
      <c r="E24037" t="s">
        <v>6296</v>
      </c>
    </row>
    <row r="24038" spans="1:5" x14ac:dyDescent="0.25">
      <c r="A24038" t="s">
        <v>6</v>
      </c>
      <c r="B24038" t="s">
        <v>6078</v>
      </c>
      <c r="C24038" s="1" t="s">
        <v>23490</v>
      </c>
      <c r="D24038" s="1" t="str">
        <f>HYPERLINK("https://rhld.insurance.arkansas.gov/NPILookup?Npi=1891798468","1891798468")</f>
        <v>1891798468</v>
      </c>
      <c r="E24038" t="s">
        <v>6297</v>
      </c>
    </row>
    <row r="24039" spans="1:5" x14ac:dyDescent="0.25">
      <c r="A24039" t="s">
        <v>6</v>
      </c>
      <c r="B24039" t="s">
        <v>6078</v>
      </c>
      <c r="C24039" s="1" t="s">
        <v>23490</v>
      </c>
      <c r="D24039" s="1" t="str">
        <f>HYPERLINK("https://rhld.insurance.arkansas.gov/NPILookup?Npi=1891834016","1891834016")</f>
        <v>1891834016</v>
      </c>
      <c r="E24039" t="s">
        <v>6298</v>
      </c>
    </row>
    <row r="24040" spans="1:5" x14ac:dyDescent="0.25">
      <c r="A24040" t="s">
        <v>6</v>
      </c>
      <c r="B24040" t="s">
        <v>6078</v>
      </c>
      <c r="C24040" s="1" t="s">
        <v>23490</v>
      </c>
      <c r="D24040" s="1" t="str">
        <f>HYPERLINK("https://rhld.insurance.arkansas.gov/NPILookup?Npi=1891995288","1891995288")</f>
        <v>1891995288</v>
      </c>
      <c r="E24040" t="s">
        <v>14350</v>
      </c>
    </row>
    <row r="24041" spans="1:5" x14ac:dyDescent="0.25">
      <c r="A24041" t="s">
        <v>6</v>
      </c>
      <c r="B24041" t="s">
        <v>6078</v>
      </c>
      <c r="C24041" s="1" t="s">
        <v>23490</v>
      </c>
      <c r="D24041" s="1" t="str">
        <f>HYPERLINK("https://rhld.insurance.arkansas.gov/NPILookup?Npi=1902006497","1902006497")</f>
        <v>1902006497</v>
      </c>
      <c r="E24041" t="s">
        <v>13254</v>
      </c>
    </row>
    <row r="24042" spans="1:5" x14ac:dyDescent="0.25">
      <c r="A24042" t="s">
        <v>6</v>
      </c>
      <c r="B24042" t="s">
        <v>6078</v>
      </c>
      <c r="C24042" s="1" t="s">
        <v>23490</v>
      </c>
      <c r="D24042" s="1" t="str">
        <f>HYPERLINK("https://rhld.insurance.arkansas.gov/NPILookup?Npi=1902087232","1902087232")</f>
        <v>1902087232</v>
      </c>
      <c r="E24042" t="s">
        <v>6299</v>
      </c>
    </row>
    <row r="24043" spans="1:5" x14ac:dyDescent="0.25">
      <c r="A24043" t="s">
        <v>6</v>
      </c>
      <c r="B24043" t="s">
        <v>6078</v>
      </c>
      <c r="C24043" s="1" t="s">
        <v>23490</v>
      </c>
      <c r="D24043" s="1" t="str">
        <f>HYPERLINK("https://rhld.insurance.arkansas.gov/NPILookup?Npi=1902284326","1902284326")</f>
        <v>1902284326</v>
      </c>
      <c r="E24043" t="s">
        <v>15694</v>
      </c>
    </row>
    <row r="24044" spans="1:5" x14ac:dyDescent="0.25">
      <c r="A24044" t="s">
        <v>6</v>
      </c>
      <c r="B24044" t="s">
        <v>6078</v>
      </c>
      <c r="C24044" s="1" t="s">
        <v>23490</v>
      </c>
      <c r="D24044" s="1" t="str">
        <f>HYPERLINK("https://rhld.insurance.arkansas.gov/NPILookup?Npi=1902883754","1902883754")</f>
        <v>1902883754</v>
      </c>
      <c r="E24044" t="s">
        <v>11972</v>
      </c>
    </row>
    <row r="24045" spans="1:5" x14ac:dyDescent="0.25">
      <c r="A24045" t="s">
        <v>6</v>
      </c>
      <c r="B24045" t="s">
        <v>6078</v>
      </c>
      <c r="C24045" s="1" t="s">
        <v>23490</v>
      </c>
      <c r="D24045" s="1" t="str">
        <f>HYPERLINK("https://rhld.insurance.arkansas.gov/NPILookup?Npi=1912108671","1912108671")</f>
        <v>1912108671</v>
      </c>
      <c r="E24045" t="s">
        <v>22491</v>
      </c>
    </row>
    <row r="24046" spans="1:5" x14ac:dyDescent="0.25">
      <c r="A24046" t="s">
        <v>6</v>
      </c>
      <c r="B24046" t="s">
        <v>6078</v>
      </c>
      <c r="C24046" s="1" t="s">
        <v>23490</v>
      </c>
      <c r="D24046" s="1" t="str">
        <f>HYPERLINK("https://rhld.insurance.arkansas.gov/NPILookup?Npi=1912391566","1912391566")</f>
        <v>1912391566</v>
      </c>
      <c r="E24046" t="s">
        <v>22492</v>
      </c>
    </row>
    <row r="24047" spans="1:5" x14ac:dyDescent="0.25">
      <c r="A24047" t="s">
        <v>6</v>
      </c>
      <c r="B24047" t="s">
        <v>6078</v>
      </c>
      <c r="C24047" s="1" t="s">
        <v>23490</v>
      </c>
      <c r="D24047" s="1" t="str">
        <f>HYPERLINK("https://rhld.insurance.arkansas.gov/NPILookup?Npi=1912900507","1912900507")</f>
        <v>1912900507</v>
      </c>
      <c r="E24047" t="s">
        <v>6300</v>
      </c>
    </row>
    <row r="24048" spans="1:5" x14ac:dyDescent="0.25">
      <c r="A24048" t="s">
        <v>6</v>
      </c>
      <c r="B24048" t="s">
        <v>6078</v>
      </c>
      <c r="C24048" s="1" t="s">
        <v>23490</v>
      </c>
      <c r="D24048" s="1" t="str">
        <f>HYPERLINK("https://rhld.insurance.arkansas.gov/NPILookup?Npi=1912950502","1912950502")</f>
        <v>1912950502</v>
      </c>
      <c r="E24048" t="s">
        <v>16364</v>
      </c>
    </row>
    <row r="24049" spans="1:5" x14ac:dyDescent="0.25">
      <c r="A24049" t="s">
        <v>6</v>
      </c>
      <c r="B24049" t="s">
        <v>6078</v>
      </c>
      <c r="C24049" s="1" t="s">
        <v>23490</v>
      </c>
      <c r="D24049" s="1" t="str">
        <f>HYPERLINK("https://rhld.insurance.arkansas.gov/NPILookup?Npi=1912993619","1912993619")</f>
        <v>1912993619</v>
      </c>
      <c r="E24049" t="s">
        <v>6301</v>
      </c>
    </row>
    <row r="24050" spans="1:5" x14ac:dyDescent="0.25">
      <c r="A24050" t="s">
        <v>6</v>
      </c>
      <c r="B24050" t="s">
        <v>6078</v>
      </c>
      <c r="C24050" s="1" t="s">
        <v>23490</v>
      </c>
      <c r="D24050" s="1" t="str">
        <f>HYPERLINK("https://rhld.insurance.arkansas.gov/NPILookup?Npi=1922029388","1922029388")</f>
        <v>1922029388</v>
      </c>
      <c r="E24050" t="s">
        <v>6302</v>
      </c>
    </row>
    <row r="24051" spans="1:5" x14ac:dyDescent="0.25">
      <c r="A24051" t="s">
        <v>6</v>
      </c>
      <c r="B24051" t="s">
        <v>6078</v>
      </c>
      <c r="C24051" s="1" t="s">
        <v>23490</v>
      </c>
      <c r="D24051" s="1" t="str">
        <f>HYPERLINK("https://rhld.insurance.arkansas.gov/NPILookup?Npi=1922034156","1922034156")</f>
        <v>1922034156</v>
      </c>
      <c r="E24051" t="s">
        <v>16365</v>
      </c>
    </row>
    <row r="24052" spans="1:5" x14ac:dyDescent="0.25">
      <c r="A24052" t="s">
        <v>6</v>
      </c>
      <c r="B24052" t="s">
        <v>6078</v>
      </c>
      <c r="C24052" s="1" t="s">
        <v>23490</v>
      </c>
      <c r="D24052" s="1" t="str">
        <f>HYPERLINK("https://rhld.insurance.arkansas.gov/NPILookup?Npi=1922072891","1922072891")</f>
        <v>1922072891</v>
      </c>
      <c r="E24052" t="s">
        <v>6303</v>
      </c>
    </row>
    <row r="24053" spans="1:5" x14ac:dyDescent="0.25">
      <c r="A24053" t="s">
        <v>6</v>
      </c>
      <c r="B24053" t="s">
        <v>6078</v>
      </c>
      <c r="C24053" s="1" t="s">
        <v>23490</v>
      </c>
      <c r="D24053" s="1" t="str">
        <f>HYPERLINK("https://rhld.insurance.arkansas.gov/NPILookup?Npi=1922090315","1922090315")</f>
        <v>1922090315</v>
      </c>
      <c r="E24053" t="s">
        <v>6304</v>
      </c>
    </row>
    <row r="24054" spans="1:5" x14ac:dyDescent="0.25">
      <c r="A24054" t="s">
        <v>6</v>
      </c>
      <c r="B24054" t="s">
        <v>6078</v>
      </c>
      <c r="C24054" s="1" t="s">
        <v>23490</v>
      </c>
      <c r="D24054" s="1" t="str">
        <f>HYPERLINK("https://rhld.insurance.arkansas.gov/NPILookup?Npi=1922104157","1922104157")</f>
        <v>1922104157</v>
      </c>
      <c r="E24054" t="s">
        <v>19123</v>
      </c>
    </row>
    <row r="24055" spans="1:5" x14ac:dyDescent="0.25">
      <c r="A24055" t="s">
        <v>6</v>
      </c>
      <c r="B24055" t="s">
        <v>6078</v>
      </c>
      <c r="C24055" s="1" t="s">
        <v>23490</v>
      </c>
      <c r="D24055" s="1" t="str">
        <f>HYPERLINK("https://rhld.insurance.arkansas.gov/NPILookup?Npi=1922203082","1922203082")</f>
        <v>1922203082</v>
      </c>
      <c r="E24055" t="s">
        <v>6305</v>
      </c>
    </row>
    <row r="24056" spans="1:5" x14ac:dyDescent="0.25">
      <c r="A24056" t="s">
        <v>6</v>
      </c>
      <c r="B24056" t="s">
        <v>6078</v>
      </c>
      <c r="C24056" s="1" t="s">
        <v>23490</v>
      </c>
      <c r="D24056" s="1" t="str">
        <f>HYPERLINK("https://rhld.insurance.arkansas.gov/NPILookup?Npi=1922288372","1922288372")</f>
        <v>1922288372</v>
      </c>
      <c r="E24056" t="s">
        <v>6306</v>
      </c>
    </row>
    <row r="24057" spans="1:5" x14ac:dyDescent="0.25">
      <c r="A24057" t="s">
        <v>6</v>
      </c>
      <c r="B24057" t="s">
        <v>6078</v>
      </c>
      <c r="C24057" s="1" t="s">
        <v>23490</v>
      </c>
      <c r="D24057" s="1" t="str">
        <f>HYPERLINK("https://rhld.insurance.arkansas.gov/NPILookup?Npi=1922330844","1922330844")</f>
        <v>1922330844</v>
      </c>
      <c r="E24057" t="s">
        <v>6307</v>
      </c>
    </row>
    <row r="24058" spans="1:5" x14ac:dyDescent="0.25">
      <c r="A24058" t="s">
        <v>6</v>
      </c>
      <c r="B24058" t="s">
        <v>6078</v>
      </c>
      <c r="C24058" s="1" t="s">
        <v>23490</v>
      </c>
      <c r="D24058" s="1" t="str">
        <f>HYPERLINK("https://rhld.insurance.arkansas.gov/NPILookup?Npi=1922448075","1922448075")</f>
        <v>1922448075</v>
      </c>
      <c r="E24058" t="s">
        <v>17696</v>
      </c>
    </row>
    <row r="24059" spans="1:5" x14ac:dyDescent="0.25">
      <c r="A24059" t="s">
        <v>6</v>
      </c>
      <c r="B24059" t="s">
        <v>6078</v>
      </c>
      <c r="C24059" s="1" t="s">
        <v>23490</v>
      </c>
      <c r="D24059" s="1" t="str">
        <f>HYPERLINK("https://rhld.insurance.arkansas.gov/NPILookup?Npi=1922480177","1922480177")</f>
        <v>1922480177</v>
      </c>
      <c r="E24059" t="s">
        <v>22493</v>
      </c>
    </row>
    <row r="24060" spans="1:5" x14ac:dyDescent="0.25">
      <c r="A24060" t="s">
        <v>6</v>
      </c>
      <c r="B24060" t="s">
        <v>6078</v>
      </c>
      <c r="C24060" s="1" t="s">
        <v>23490</v>
      </c>
      <c r="D24060" s="1" t="str">
        <f>HYPERLINK("https://rhld.insurance.arkansas.gov/NPILookup?Npi=1932102126","1932102126")</f>
        <v>1932102126</v>
      </c>
      <c r="E24060" t="s">
        <v>22494</v>
      </c>
    </row>
    <row r="24061" spans="1:5" x14ac:dyDescent="0.25">
      <c r="A24061" t="s">
        <v>6</v>
      </c>
      <c r="B24061" t="s">
        <v>6078</v>
      </c>
      <c r="C24061" s="1" t="s">
        <v>23490</v>
      </c>
      <c r="D24061" s="1" t="str">
        <f>HYPERLINK("https://rhld.insurance.arkansas.gov/NPILookup?Npi=1932151420","1932151420")</f>
        <v>1932151420</v>
      </c>
      <c r="E24061" t="s">
        <v>4555</v>
      </c>
    </row>
    <row r="24062" spans="1:5" x14ac:dyDescent="0.25">
      <c r="A24062" t="s">
        <v>6</v>
      </c>
      <c r="B24062" t="s">
        <v>6078</v>
      </c>
      <c r="C24062" s="1" t="s">
        <v>23490</v>
      </c>
      <c r="D24062" s="1" t="str">
        <f>HYPERLINK("https://rhld.insurance.arkansas.gov/NPILookup?Npi=1932177011","1932177011")</f>
        <v>1932177011</v>
      </c>
      <c r="E24062" t="s">
        <v>16366</v>
      </c>
    </row>
    <row r="24063" spans="1:5" x14ac:dyDescent="0.25">
      <c r="A24063" t="s">
        <v>6</v>
      </c>
      <c r="B24063" t="s">
        <v>6078</v>
      </c>
      <c r="C24063" s="1" t="s">
        <v>23490</v>
      </c>
      <c r="D24063" s="1" t="str">
        <f>HYPERLINK("https://rhld.insurance.arkansas.gov/NPILookup?Npi=1932251261","1932251261")</f>
        <v>1932251261</v>
      </c>
      <c r="E24063" t="s">
        <v>16367</v>
      </c>
    </row>
    <row r="24064" spans="1:5" x14ac:dyDescent="0.25">
      <c r="A24064" t="s">
        <v>6</v>
      </c>
      <c r="B24064" t="s">
        <v>6078</v>
      </c>
      <c r="C24064" s="1" t="s">
        <v>23490</v>
      </c>
      <c r="D24064" s="1" t="str">
        <f>HYPERLINK("https://rhld.insurance.arkansas.gov/NPILookup?Npi=1932322989","1932322989")</f>
        <v>1932322989</v>
      </c>
      <c r="E24064" t="s">
        <v>6308</v>
      </c>
    </row>
    <row r="24065" spans="1:5" x14ac:dyDescent="0.25">
      <c r="A24065" t="s">
        <v>6</v>
      </c>
      <c r="B24065" t="s">
        <v>6078</v>
      </c>
      <c r="C24065" s="1" t="s">
        <v>23490</v>
      </c>
      <c r="D24065" s="1" t="str">
        <f>HYPERLINK("https://rhld.insurance.arkansas.gov/NPILookup?Npi=1932339876","1932339876")</f>
        <v>1932339876</v>
      </c>
      <c r="E24065" t="s">
        <v>6309</v>
      </c>
    </row>
    <row r="24066" spans="1:5" x14ac:dyDescent="0.25">
      <c r="A24066" t="s">
        <v>6</v>
      </c>
      <c r="B24066" t="s">
        <v>6078</v>
      </c>
      <c r="C24066" s="1" t="s">
        <v>23490</v>
      </c>
      <c r="D24066" s="1" t="str">
        <f>HYPERLINK("https://rhld.insurance.arkansas.gov/NPILookup?Npi=1932350683","1932350683")</f>
        <v>1932350683</v>
      </c>
      <c r="E24066" t="s">
        <v>6310</v>
      </c>
    </row>
    <row r="24067" spans="1:5" x14ac:dyDescent="0.25">
      <c r="A24067" t="s">
        <v>6</v>
      </c>
      <c r="B24067" t="s">
        <v>6078</v>
      </c>
      <c r="C24067" s="1" t="s">
        <v>23490</v>
      </c>
      <c r="D24067" s="1" t="str">
        <f>HYPERLINK("https://rhld.insurance.arkansas.gov/NPILookup?Npi=1932381530","1932381530")</f>
        <v>1932381530</v>
      </c>
      <c r="E24067" t="s">
        <v>6311</v>
      </c>
    </row>
    <row r="24068" spans="1:5" x14ac:dyDescent="0.25">
      <c r="A24068" t="s">
        <v>6</v>
      </c>
      <c r="B24068" t="s">
        <v>6078</v>
      </c>
      <c r="C24068" s="1" t="s">
        <v>23490</v>
      </c>
      <c r="D24068" s="1" t="str">
        <f>HYPERLINK("https://rhld.insurance.arkansas.gov/NPILookup?Npi=1932466208","1932466208")</f>
        <v>1932466208</v>
      </c>
      <c r="E24068" t="s">
        <v>11973</v>
      </c>
    </row>
    <row r="24069" spans="1:5" x14ac:dyDescent="0.25">
      <c r="A24069" t="s">
        <v>6</v>
      </c>
      <c r="B24069" t="s">
        <v>6078</v>
      </c>
      <c r="C24069" s="1" t="s">
        <v>23490</v>
      </c>
      <c r="D24069" s="1" t="str">
        <f>HYPERLINK("https://rhld.insurance.arkansas.gov/NPILookup?Npi=1932496957","1932496957")</f>
        <v>1932496957</v>
      </c>
      <c r="E24069" t="s">
        <v>14351</v>
      </c>
    </row>
    <row r="24070" spans="1:5" x14ac:dyDescent="0.25">
      <c r="A24070" t="s">
        <v>6</v>
      </c>
      <c r="B24070" t="s">
        <v>6078</v>
      </c>
      <c r="C24070" s="1" t="s">
        <v>8427</v>
      </c>
      <c r="D24070" s="1" t="str">
        <f>HYPERLINK("https://rhld.insurance.arkansas.gov/NPILookup?Npi=1932562725","1932562725")</f>
        <v>1932562725</v>
      </c>
      <c r="E24070" t="s">
        <v>23283</v>
      </c>
    </row>
    <row r="24071" spans="1:5" x14ac:dyDescent="0.25">
      <c r="A24071" t="s">
        <v>6</v>
      </c>
      <c r="B24071" t="s">
        <v>6078</v>
      </c>
      <c r="C24071" s="1" t="s">
        <v>23490</v>
      </c>
      <c r="D24071" s="1" t="str">
        <f>HYPERLINK("https://rhld.insurance.arkansas.gov/NPILookup?Npi=1942203682","1942203682")</f>
        <v>1942203682</v>
      </c>
      <c r="E24071" t="s">
        <v>6312</v>
      </c>
    </row>
    <row r="24072" spans="1:5" x14ac:dyDescent="0.25">
      <c r="A24072" t="s">
        <v>6</v>
      </c>
      <c r="B24072" t="s">
        <v>6078</v>
      </c>
      <c r="C24072" s="1" t="s">
        <v>23490</v>
      </c>
      <c r="D24072" s="1" t="str">
        <f>HYPERLINK("https://rhld.insurance.arkansas.gov/NPILookup?Npi=1942264023","1942264023")</f>
        <v>1942264023</v>
      </c>
      <c r="E24072" t="s">
        <v>6313</v>
      </c>
    </row>
    <row r="24073" spans="1:5" x14ac:dyDescent="0.25">
      <c r="A24073" t="s">
        <v>6</v>
      </c>
      <c r="B24073" t="s">
        <v>6078</v>
      </c>
      <c r="C24073" s="1" t="s">
        <v>23490</v>
      </c>
      <c r="D24073" s="1" t="str">
        <f>HYPERLINK("https://rhld.insurance.arkansas.gov/NPILookup?Npi=1942516182","1942516182")</f>
        <v>1942516182</v>
      </c>
      <c r="E24073" t="s">
        <v>6314</v>
      </c>
    </row>
    <row r="24074" spans="1:5" x14ac:dyDescent="0.25">
      <c r="A24074" t="s">
        <v>6</v>
      </c>
      <c r="B24074" t="s">
        <v>6078</v>
      </c>
      <c r="C24074" s="1" t="s">
        <v>23490</v>
      </c>
      <c r="D24074" s="1" t="str">
        <f>HYPERLINK("https://rhld.insurance.arkansas.gov/NPILookup?Npi=1952304529","1952304529")</f>
        <v>1952304529</v>
      </c>
      <c r="E24074" t="s">
        <v>22495</v>
      </c>
    </row>
    <row r="24075" spans="1:5" x14ac:dyDescent="0.25">
      <c r="A24075" t="s">
        <v>6</v>
      </c>
      <c r="B24075" t="s">
        <v>6078</v>
      </c>
      <c r="C24075" s="1" t="s">
        <v>23490</v>
      </c>
      <c r="D24075" s="1" t="str">
        <f>HYPERLINK("https://rhld.insurance.arkansas.gov/NPILookup?Npi=1952372120","1952372120")</f>
        <v>1952372120</v>
      </c>
      <c r="E24075" t="s">
        <v>6315</v>
      </c>
    </row>
    <row r="24076" spans="1:5" x14ac:dyDescent="0.25">
      <c r="A24076" t="s">
        <v>6</v>
      </c>
      <c r="B24076" t="s">
        <v>6078</v>
      </c>
      <c r="C24076" s="1" t="s">
        <v>23490</v>
      </c>
      <c r="D24076" s="1" t="str">
        <f>HYPERLINK("https://rhld.insurance.arkansas.gov/NPILookup?Npi=1952491516","1952491516")</f>
        <v>1952491516</v>
      </c>
      <c r="E24076" t="s">
        <v>6316</v>
      </c>
    </row>
    <row r="24077" spans="1:5" x14ac:dyDescent="0.25">
      <c r="A24077" t="s">
        <v>6</v>
      </c>
      <c r="B24077" t="s">
        <v>6078</v>
      </c>
      <c r="C24077" s="1" t="s">
        <v>23490</v>
      </c>
      <c r="D24077" s="1" t="str">
        <f>HYPERLINK("https://rhld.insurance.arkansas.gov/NPILookup?Npi=1952533697","1952533697")</f>
        <v>1952533697</v>
      </c>
      <c r="E24077" t="s">
        <v>20167</v>
      </c>
    </row>
    <row r="24078" spans="1:5" x14ac:dyDescent="0.25">
      <c r="A24078" t="s">
        <v>6</v>
      </c>
      <c r="B24078" t="s">
        <v>6078</v>
      </c>
      <c r="C24078" s="1" t="s">
        <v>23490</v>
      </c>
      <c r="D24078" s="1" t="str">
        <f>HYPERLINK("https://rhld.insurance.arkansas.gov/NPILookup?Npi=1962405753","1962405753")</f>
        <v>1962405753</v>
      </c>
      <c r="E24078" t="s">
        <v>22496</v>
      </c>
    </row>
    <row r="24079" spans="1:5" x14ac:dyDescent="0.25">
      <c r="A24079" t="s">
        <v>6</v>
      </c>
      <c r="B24079" t="s">
        <v>6078</v>
      </c>
      <c r="C24079" s="1" t="s">
        <v>23490</v>
      </c>
      <c r="D24079" s="1" t="str">
        <f>HYPERLINK("https://rhld.insurance.arkansas.gov/NPILookup?Npi=1962462846","1962462846")</f>
        <v>1962462846</v>
      </c>
      <c r="E24079" t="s">
        <v>11974</v>
      </c>
    </row>
    <row r="24080" spans="1:5" x14ac:dyDescent="0.25">
      <c r="A24080" t="s">
        <v>6</v>
      </c>
      <c r="B24080" t="s">
        <v>6078</v>
      </c>
      <c r="C24080" s="1" t="s">
        <v>23490</v>
      </c>
      <c r="D24080" s="1" t="str">
        <f>HYPERLINK("https://rhld.insurance.arkansas.gov/NPILookup?Npi=1962606756","1962606756")</f>
        <v>1962606756</v>
      </c>
      <c r="E24080" t="s">
        <v>22497</v>
      </c>
    </row>
    <row r="24081" spans="1:5" x14ac:dyDescent="0.25">
      <c r="A24081" t="s">
        <v>6</v>
      </c>
      <c r="B24081" t="s">
        <v>6078</v>
      </c>
      <c r="C24081" s="1" t="s">
        <v>23490</v>
      </c>
      <c r="D24081" s="1" t="str">
        <f>HYPERLINK("https://rhld.insurance.arkansas.gov/NPILookup?Npi=1972506046","1972506046")</f>
        <v>1972506046</v>
      </c>
      <c r="E24081" t="s">
        <v>6317</v>
      </c>
    </row>
    <row r="24082" spans="1:5" x14ac:dyDescent="0.25">
      <c r="A24082" t="s">
        <v>6</v>
      </c>
      <c r="B24082" t="s">
        <v>6078</v>
      </c>
      <c r="C24082" s="1" t="s">
        <v>23490</v>
      </c>
      <c r="D24082" s="1" t="str">
        <f>HYPERLINK("https://rhld.insurance.arkansas.gov/NPILookup?Npi=1972577930","1972577930")</f>
        <v>1972577930</v>
      </c>
      <c r="E24082" t="s">
        <v>6318</v>
      </c>
    </row>
    <row r="24083" spans="1:5" x14ac:dyDescent="0.25">
      <c r="A24083" t="s">
        <v>6</v>
      </c>
      <c r="B24083" t="s">
        <v>6078</v>
      </c>
      <c r="C24083" s="1" t="s">
        <v>23490</v>
      </c>
      <c r="D24083" s="1" t="str">
        <f>HYPERLINK("https://rhld.insurance.arkansas.gov/NPILookup?Npi=1972693455","1972693455")</f>
        <v>1972693455</v>
      </c>
      <c r="E24083" t="s">
        <v>6319</v>
      </c>
    </row>
    <row r="24084" spans="1:5" x14ac:dyDescent="0.25">
      <c r="A24084" t="s">
        <v>6</v>
      </c>
      <c r="B24084" t="s">
        <v>6078</v>
      </c>
      <c r="C24084" s="1" t="s">
        <v>23490</v>
      </c>
      <c r="D24084" s="1" t="str">
        <f>HYPERLINK("https://rhld.insurance.arkansas.gov/NPILookup?Npi=1982090270","1982090270")</f>
        <v>1982090270</v>
      </c>
      <c r="E24084" t="s">
        <v>22498</v>
      </c>
    </row>
    <row r="24085" spans="1:5" x14ac:dyDescent="0.25">
      <c r="A24085" t="s">
        <v>6</v>
      </c>
      <c r="B24085" t="s">
        <v>6078</v>
      </c>
      <c r="C24085" s="1" t="s">
        <v>23490</v>
      </c>
      <c r="D24085" s="1" t="str">
        <f>HYPERLINK("https://rhld.insurance.arkansas.gov/NPILookup?Npi=1982602785","1982602785")</f>
        <v>1982602785</v>
      </c>
      <c r="E24085" t="s">
        <v>6320</v>
      </c>
    </row>
    <row r="24086" spans="1:5" x14ac:dyDescent="0.25">
      <c r="A24086" t="s">
        <v>6</v>
      </c>
      <c r="B24086" t="s">
        <v>6078</v>
      </c>
      <c r="C24086" s="1" t="s">
        <v>23490</v>
      </c>
      <c r="D24086" s="1" t="str">
        <f>HYPERLINK("https://rhld.insurance.arkansas.gov/NPILookup?Npi=1982656005","1982656005")</f>
        <v>1982656005</v>
      </c>
      <c r="E24086" t="s">
        <v>16368</v>
      </c>
    </row>
    <row r="24087" spans="1:5" x14ac:dyDescent="0.25">
      <c r="A24087" t="s">
        <v>6</v>
      </c>
      <c r="B24087" t="s">
        <v>6078</v>
      </c>
      <c r="C24087" s="1" t="s">
        <v>23490</v>
      </c>
      <c r="D24087" s="1" t="str">
        <f>HYPERLINK("https://rhld.insurance.arkansas.gov/NPILookup?Npi=1992786628","1992786628")</f>
        <v>1992786628</v>
      </c>
      <c r="E24087" t="s">
        <v>22499</v>
      </c>
    </row>
    <row r="24088" spans="1:5" x14ac:dyDescent="0.25">
      <c r="A24088" t="s">
        <v>6</v>
      </c>
      <c r="B24088" t="s">
        <v>6078</v>
      </c>
      <c r="C24088" s="1" t="s">
        <v>23490</v>
      </c>
      <c r="D24088" s="1" t="str">
        <f>HYPERLINK("https://rhld.insurance.arkansas.gov/NPILookup?Npi=1992794341","1992794341")</f>
        <v>1992794341</v>
      </c>
      <c r="E24088" t="s">
        <v>6321</v>
      </c>
    </row>
    <row r="24089" spans="1:5" x14ac:dyDescent="0.25">
      <c r="A24089" t="s">
        <v>6</v>
      </c>
      <c r="B24089" t="s">
        <v>6078</v>
      </c>
      <c r="C24089" s="1" t="s">
        <v>23490</v>
      </c>
      <c r="D24089" s="1" t="str">
        <f>HYPERLINK("https://rhld.insurance.arkansas.gov/NPILookup?Npi=1992869937","1992869937")</f>
        <v>1992869937</v>
      </c>
      <c r="E24089" t="s">
        <v>22500</v>
      </c>
    </row>
    <row r="24090" spans="1:5" x14ac:dyDescent="0.25">
      <c r="A24090" t="s">
        <v>7</v>
      </c>
      <c r="B24090" t="s">
        <v>6322</v>
      </c>
      <c r="C24090" s="1" t="s">
        <v>23490</v>
      </c>
      <c r="D24090" s="1" t="str">
        <f>HYPERLINK("https://rhld.insurance.arkansas.gov/NPILookup?Npi=1003110263","1003110263")</f>
        <v>1003110263</v>
      </c>
      <c r="E24090" t="s">
        <v>6323</v>
      </c>
    </row>
    <row r="24091" spans="1:5" x14ac:dyDescent="0.25">
      <c r="A24091" t="s">
        <v>7</v>
      </c>
      <c r="B24091" t="s">
        <v>6322</v>
      </c>
      <c r="C24091" s="1" t="s">
        <v>23490</v>
      </c>
      <c r="D24091" s="1" t="str">
        <f>HYPERLINK("https://rhld.insurance.arkansas.gov/NPILookup?Npi=1003210774","1003210774")</f>
        <v>1003210774</v>
      </c>
      <c r="E24091" t="s">
        <v>9204</v>
      </c>
    </row>
    <row r="24092" spans="1:5" x14ac:dyDescent="0.25">
      <c r="A24092" t="s">
        <v>7</v>
      </c>
      <c r="B24092" t="s">
        <v>6322</v>
      </c>
      <c r="C24092" s="1" t="s">
        <v>23490</v>
      </c>
      <c r="D24092" s="1" t="str">
        <f>HYPERLINK("https://rhld.insurance.arkansas.gov/NPILookup?Npi=1003280454","1003280454")</f>
        <v>1003280454</v>
      </c>
      <c r="E24092" t="s">
        <v>18519</v>
      </c>
    </row>
    <row r="24093" spans="1:5" x14ac:dyDescent="0.25">
      <c r="A24093" t="s">
        <v>7</v>
      </c>
      <c r="B24093" t="s">
        <v>6322</v>
      </c>
      <c r="C24093" s="1" t="s">
        <v>23490</v>
      </c>
      <c r="D24093" s="1" t="str">
        <f>HYPERLINK("https://rhld.insurance.arkansas.gov/NPILookup?Npi=1003551557","1003551557")</f>
        <v>1003551557</v>
      </c>
      <c r="E24093" t="s">
        <v>22501</v>
      </c>
    </row>
    <row r="24094" spans="1:5" x14ac:dyDescent="0.25">
      <c r="A24094" t="s">
        <v>7</v>
      </c>
      <c r="B24094" t="s">
        <v>6322</v>
      </c>
      <c r="C24094" s="1" t="s">
        <v>23490</v>
      </c>
      <c r="D24094" s="1" t="str">
        <f>HYPERLINK("https://rhld.insurance.arkansas.gov/NPILookup?Npi=1003555798","1003555798")</f>
        <v>1003555798</v>
      </c>
      <c r="E24094" t="s">
        <v>21247</v>
      </c>
    </row>
    <row r="24095" spans="1:5" x14ac:dyDescent="0.25">
      <c r="A24095" t="s">
        <v>7</v>
      </c>
      <c r="B24095" t="s">
        <v>6322</v>
      </c>
      <c r="C24095" s="1" t="s">
        <v>23490</v>
      </c>
      <c r="D24095" s="1" t="str">
        <f>HYPERLINK("https://rhld.insurance.arkansas.gov/NPILookup?Npi=1003555897","1003555897")</f>
        <v>1003555897</v>
      </c>
      <c r="E24095" t="s">
        <v>22502</v>
      </c>
    </row>
    <row r="24096" spans="1:5" x14ac:dyDescent="0.25">
      <c r="A24096" t="s">
        <v>7</v>
      </c>
      <c r="B24096" t="s">
        <v>6322</v>
      </c>
      <c r="C24096" s="1" t="s">
        <v>23490</v>
      </c>
      <c r="D24096" s="1" t="str">
        <f>HYPERLINK("https://rhld.insurance.arkansas.gov/NPILookup?Npi=1003901802","1003901802")</f>
        <v>1003901802</v>
      </c>
      <c r="E24096" t="s">
        <v>14352</v>
      </c>
    </row>
    <row r="24097" spans="1:5" x14ac:dyDescent="0.25">
      <c r="A24097" t="s">
        <v>7</v>
      </c>
      <c r="B24097" t="s">
        <v>6322</v>
      </c>
      <c r="C24097" s="1" t="s">
        <v>23490</v>
      </c>
      <c r="D24097" s="1" t="str">
        <f>HYPERLINK("https://rhld.insurance.arkansas.gov/NPILookup?Npi=1003970872","1003970872")</f>
        <v>1003970872</v>
      </c>
      <c r="E24097" t="s">
        <v>6324</v>
      </c>
    </row>
    <row r="24098" spans="1:5" x14ac:dyDescent="0.25">
      <c r="A24098" t="s">
        <v>7</v>
      </c>
      <c r="B24098" t="s">
        <v>6322</v>
      </c>
      <c r="C24098" s="1" t="s">
        <v>23490</v>
      </c>
      <c r="D24098" s="1" t="str">
        <f>HYPERLINK("https://rhld.insurance.arkansas.gov/NPILookup?Npi=1003994302","1003994302")</f>
        <v>1003994302</v>
      </c>
      <c r="E24098" t="s">
        <v>7586</v>
      </c>
    </row>
    <row r="24099" spans="1:5" x14ac:dyDescent="0.25">
      <c r="A24099" t="s">
        <v>7</v>
      </c>
      <c r="B24099" t="s">
        <v>6322</v>
      </c>
      <c r="C24099" s="1" t="s">
        <v>23490</v>
      </c>
      <c r="D24099" s="1" t="str">
        <f>HYPERLINK("https://rhld.insurance.arkansas.gov/NPILookup?Npi=1013490986","1013490986")</f>
        <v>1013490986</v>
      </c>
      <c r="E24099" t="s">
        <v>17265</v>
      </c>
    </row>
    <row r="24100" spans="1:5" x14ac:dyDescent="0.25">
      <c r="A24100" t="s">
        <v>7</v>
      </c>
      <c r="B24100" t="s">
        <v>6322</v>
      </c>
      <c r="C24100" s="1" t="s">
        <v>23490</v>
      </c>
      <c r="D24100" s="1" t="str">
        <f>HYPERLINK("https://rhld.insurance.arkansas.gov/NPILookup?Npi=1013906866","1013906866")</f>
        <v>1013906866</v>
      </c>
      <c r="E24100" t="s">
        <v>11975</v>
      </c>
    </row>
    <row r="24101" spans="1:5" x14ac:dyDescent="0.25">
      <c r="A24101" t="s">
        <v>7</v>
      </c>
      <c r="B24101" t="s">
        <v>6322</v>
      </c>
      <c r="C24101" s="1" t="s">
        <v>23490</v>
      </c>
      <c r="D24101" s="1" t="str">
        <f>HYPERLINK("https://rhld.insurance.arkansas.gov/NPILookup?Npi=1013962018","1013962018")</f>
        <v>1013962018</v>
      </c>
      <c r="E24101" t="s">
        <v>6325</v>
      </c>
    </row>
    <row r="24102" spans="1:5" x14ac:dyDescent="0.25">
      <c r="A24102" t="s">
        <v>7</v>
      </c>
      <c r="B24102" t="s">
        <v>6322</v>
      </c>
      <c r="C24102" s="1" t="s">
        <v>23490</v>
      </c>
      <c r="D24102" s="1" t="str">
        <f>HYPERLINK("https://rhld.insurance.arkansas.gov/NPILookup?Npi=1023007770","1023007770")</f>
        <v>1023007770</v>
      </c>
      <c r="E24102" t="s">
        <v>6326</v>
      </c>
    </row>
    <row r="24103" spans="1:5" x14ac:dyDescent="0.25">
      <c r="A24103" t="s">
        <v>7</v>
      </c>
      <c r="B24103" t="s">
        <v>6322</v>
      </c>
      <c r="C24103" s="1" t="s">
        <v>23490</v>
      </c>
      <c r="D24103" s="1" t="str">
        <f>HYPERLINK("https://rhld.insurance.arkansas.gov/NPILookup?Npi=1023060282","1023060282")</f>
        <v>1023060282</v>
      </c>
      <c r="E24103" t="s">
        <v>9205</v>
      </c>
    </row>
    <row r="24104" spans="1:5" x14ac:dyDescent="0.25">
      <c r="A24104" t="s">
        <v>7</v>
      </c>
      <c r="B24104" t="s">
        <v>6322</v>
      </c>
      <c r="C24104" s="1" t="s">
        <v>23490</v>
      </c>
      <c r="D24104" s="1" t="str">
        <f>HYPERLINK("https://rhld.insurance.arkansas.gov/NPILookup?Npi=1023084225","1023084225")</f>
        <v>1023084225</v>
      </c>
      <c r="E24104" t="s">
        <v>11976</v>
      </c>
    </row>
    <row r="24105" spans="1:5" x14ac:dyDescent="0.25">
      <c r="A24105" t="s">
        <v>7</v>
      </c>
      <c r="B24105" t="s">
        <v>6322</v>
      </c>
      <c r="C24105" s="1" t="s">
        <v>23490</v>
      </c>
      <c r="D24105" s="1" t="str">
        <f>HYPERLINK("https://rhld.insurance.arkansas.gov/NPILookup?Npi=1023109097","1023109097")</f>
        <v>1023109097</v>
      </c>
      <c r="E24105" t="s">
        <v>20285</v>
      </c>
    </row>
    <row r="24106" spans="1:5" x14ac:dyDescent="0.25">
      <c r="A24106" t="s">
        <v>7</v>
      </c>
      <c r="B24106" t="s">
        <v>6322</v>
      </c>
      <c r="C24106" s="1" t="s">
        <v>23490</v>
      </c>
      <c r="D24106" s="1" t="str">
        <f>HYPERLINK("https://rhld.insurance.arkansas.gov/NPILookup?Npi=1023160314","1023160314")</f>
        <v>1023160314</v>
      </c>
      <c r="E24106" t="s">
        <v>9208</v>
      </c>
    </row>
    <row r="24107" spans="1:5" x14ac:dyDescent="0.25">
      <c r="A24107" t="s">
        <v>7</v>
      </c>
      <c r="B24107" t="s">
        <v>6322</v>
      </c>
      <c r="C24107" s="1" t="s">
        <v>23490</v>
      </c>
      <c r="D24107" s="1" t="str">
        <f>HYPERLINK("https://rhld.insurance.arkansas.gov/NPILookup?Npi=1023360526","1023360526")</f>
        <v>1023360526</v>
      </c>
      <c r="E24107" t="s">
        <v>19253</v>
      </c>
    </row>
    <row r="24108" spans="1:5" x14ac:dyDescent="0.25">
      <c r="A24108" t="s">
        <v>7</v>
      </c>
      <c r="B24108" t="s">
        <v>6322</v>
      </c>
      <c r="C24108" s="1" t="s">
        <v>23490</v>
      </c>
      <c r="D24108" s="1" t="str">
        <f>HYPERLINK("https://rhld.insurance.arkansas.gov/NPILookup?Npi=1023363348","1023363348")</f>
        <v>1023363348</v>
      </c>
      <c r="E24108" t="s">
        <v>7512</v>
      </c>
    </row>
    <row r="24109" spans="1:5" x14ac:dyDescent="0.25">
      <c r="A24109" t="s">
        <v>7</v>
      </c>
      <c r="B24109" t="s">
        <v>6322</v>
      </c>
      <c r="C24109" s="1" t="s">
        <v>23490</v>
      </c>
      <c r="D24109" s="1" t="str">
        <f>HYPERLINK("https://rhld.insurance.arkansas.gov/NPILookup?Npi=1023391281","1023391281")</f>
        <v>1023391281</v>
      </c>
      <c r="E24109" t="s">
        <v>6327</v>
      </c>
    </row>
    <row r="24110" spans="1:5" x14ac:dyDescent="0.25">
      <c r="A24110" t="s">
        <v>7</v>
      </c>
      <c r="B24110" t="s">
        <v>6322</v>
      </c>
      <c r="C24110" s="1" t="s">
        <v>23490</v>
      </c>
      <c r="D24110" s="1" t="str">
        <f>HYPERLINK("https://rhld.insurance.arkansas.gov/NPILookup?Npi=1023431905","1023431905")</f>
        <v>1023431905</v>
      </c>
      <c r="E24110" t="s">
        <v>6328</v>
      </c>
    </row>
    <row r="24111" spans="1:5" x14ac:dyDescent="0.25">
      <c r="A24111" t="s">
        <v>7</v>
      </c>
      <c r="B24111" t="s">
        <v>6322</v>
      </c>
      <c r="C24111" s="1" t="s">
        <v>23490</v>
      </c>
      <c r="D24111" s="1" t="str">
        <f>HYPERLINK("https://rhld.insurance.arkansas.gov/NPILookup?Npi=1023445806","1023445806")</f>
        <v>1023445806</v>
      </c>
      <c r="E24111" t="s">
        <v>11977</v>
      </c>
    </row>
    <row r="24112" spans="1:5" x14ac:dyDescent="0.25">
      <c r="A24112" t="s">
        <v>7</v>
      </c>
      <c r="B24112" t="s">
        <v>6322</v>
      </c>
      <c r="C24112" s="1" t="s">
        <v>23490</v>
      </c>
      <c r="D24112" s="1" t="str">
        <f>HYPERLINK("https://rhld.insurance.arkansas.gov/NPILookup?Npi=1033141841","1033141841")</f>
        <v>1033141841</v>
      </c>
      <c r="E24112" t="s">
        <v>6330</v>
      </c>
    </row>
    <row r="24113" spans="1:5" x14ac:dyDescent="0.25">
      <c r="A24113" t="s">
        <v>7</v>
      </c>
      <c r="B24113" t="s">
        <v>6322</v>
      </c>
      <c r="C24113" s="1" t="s">
        <v>23490</v>
      </c>
      <c r="D24113" s="1" t="str">
        <f>HYPERLINK("https://rhld.insurance.arkansas.gov/NPILookup?Npi=1033259254","1033259254")</f>
        <v>1033259254</v>
      </c>
      <c r="E24113" t="s">
        <v>7577</v>
      </c>
    </row>
    <row r="24114" spans="1:5" x14ac:dyDescent="0.25">
      <c r="A24114" t="s">
        <v>7</v>
      </c>
      <c r="B24114" t="s">
        <v>6322</v>
      </c>
      <c r="C24114" s="1" t="s">
        <v>23490</v>
      </c>
      <c r="D24114" s="1" t="str">
        <f>HYPERLINK("https://rhld.insurance.arkansas.gov/NPILookup?Npi=1033295266","1033295266")</f>
        <v>1033295266</v>
      </c>
      <c r="E24114" t="s">
        <v>14353</v>
      </c>
    </row>
    <row r="24115" spans="1:5" x14ac:dyDescent="0.25">
      <c r="A24115" t="s">
        <v>7</v>
      </c>
      <c r="B24115" t="s">
        <v>6322</v>
      </c>
      <c r="C24115" s="1" t="s">
        <v>23490</v>
      </c>
      <c r="D24115" s="1" t="str">
        <f>HYPERLINK("https://rhld.insurance.arkansas.gov/NPILookup?Npi=1043206360","1043206360")</f>
        <v>1043206360</v>
      </c>
      <c r="E24115" t="s">
        <v>18520</v>
      </c>
    </row>
    <row r="24116" spans="1:5" x14ac:dyDescent="0.25">
      <c r="A24116" t="s">
        <v>7</v>
      </c>
      <c r="B24116" t="s">
        <v>6322</v>
      </c>
      <c r="C24116" s="1" t="s">
        <v>23490</v>
      </c>
      <c r="D24116" s="1" t="str">
        <f>HYPERLINK("https://rhld.insurance.arkansas.gov/NPILookup?Npi=1043209851","1043209851")</f>
        <v>1043209851</v>
      </c>
      <c r="E24116" t="s">
        <v>6331</v>
      </c>
    </row>
    <row r="24117" spans="1:5" x14ac:dyDescent="0.25">
      <c r="A24117" t="s">
        <v>7</v>
      </c>
      <c r="B24117" t="s">
        <v>6322</v>
      </c>
      <c r="C24117" s="1" t="s">
        <v>23490</v>
      </c>
      <c r="D24117" s="1" t="str">
        <f>HYPERLINK("https://rhld.insurance.arkansas.gov/NPILookup?Npi=1043214786","1043214786")</f>
        <v>1043214786</v>
      </c>
      <c r="E24117" t="s">
        <v>6332</v>
      </c>
    </row>
    <row r="24118" spans="1:5" x14ac:dyDescent="0.25">
      <c r="A24118" t="s">
        <v>7</v>
      </c>
      <c r="B24118" t="s">
        <v>6322</v>
      </c>
      <c r="C24118" s="1" t="s">
        <v>23490</v>
      </c>
      <c r="D24118" s="1" t="str">
        <f>HYPERLINK("https://rhld.insurance.arkansas.gov/NPILookup?Npi=1043240682","1043240682")</f>
        <v>1043240682</v>
      </c>
      <c r="E24118" t="s">
        <v>4080</v>
      </c>
    </row>
    <row r="24119" spans="1:5" x14ac:dyDescent="0.25">
      <c r="A24119" t="s">
        <v>7</v>
      </c>
      <c r="B24119" t="s">
        <v>6322</v>
      </c>
      <c r="C24119" s="1" t="s">
        <v>23490</v>
      </c>
      <c r="D24119" s="1" t="str">
        <f>HYPERLINK("https://rhld.insurance.arkansas.gov/NPILookup?Npi=1043270986","1043270986")</f>
        <v>1043270986</v>
      </c>
      <c r="E24119" t="s">
        <v>18521</v>
      </c>
    </row>
    <row r="24120" spans="1:5" x14ac:dyDescent="0.25">
      <c r="A24120" t="s">
        <v>7</v>
      </c>
      <c r="B24120" t="s">
        <v>6322</v>
      </c>
      <c r="C24120" s="1" t="s">
        <v>23490</v>
      </c>
      <c r="D24120" s="1" t="str">
        <f>HYPERLINK("https://rhld.insurance.arkansas.gov/NPILookup?Npi=1043282338","1043282338")</f>
        <v>1043282338</v>
      </c>
      <c r="E24120" t="s">
        <v>14383</v>
      </c>
    </row>
    <row r="24121" spans="1:5" x14ac:dyDescent="0.25">
      <c r="A24121" t="s">
        <v>7</v>
      </c>
      <c r="B24121" t="s">
        <v>6322</v>
      </c>
      <c r="C24121" s="1" t="s">
        <v>23490</v>
      </c>
      <c r="D24121" s="1" t="str">
        <f>HYPERLINK("https://rhld.insurance.arkansas.gov/NPILookup?Npi=1043514219","1043514219")</f>
        <v>1043514219</v>
      </c>
      <c r="E24121" t="s">
        <v>6333</v>
      </c>
    </row>
    <row r="24122" spans="1:5" x14ac:dyDescent="0.25">
      <c r="A24122" t="s">
        <v>7</v>
      </c>
      <c r="B24122" t="s">
        <v>6322</v>
      </c>
      <c r="C24122" s="1" t="s">
        <v>23490</v>
      </c>
      <c r="D24122" s="1" t="str">
        <f>HYPERLINK("https://rhld.insurance.arkansas.gov/NPILookup?Npi=1043636699","1043636699")</f>
        <v>1043636699</v>
      </c>
      <c r="E24122" t="s">
        <v>14354</v>
      </c>
    </row>
    <row r="24123" spans="1:5" x14ac:dyDescent="0.25">
      <c r="A24123" t="s">
        <v>7</v>
      </c>
      <c r="B24123" t="s">
        <v>6322</v>
      </c>
      <c r="C24123" s="1" t="s">
        <v>23490</v>
      </c>
      <c r="D24123" s="1" t="str">
        <f>HYPERLINK("https://rhld.insurance.arkansas.gov/NPILookup?Npi=1043679632","1043679632")</f>
        <v>1043679632</v>
      </c>
      <c r="E24123" t="s">
        <v>4080</v>
      </c>
    </row>
    <row r="24124" spans="1:5" x14ac:dyDescent="0.25">
      <c r="A24124" t="s">
        <v>7</v>
      </c>
      <c r="B24124" t="s">
        <v>6322</v>
      </c>
      <c r="C24124" s="1" t="s">
        <v>23490</v>
      </c>
      <c r="D24124" s="1" t="str">
        <f>HYPERLINK("https://rhld.insurance.arkansas.gov/NPILookup?Npi=1043805740","1043805740")</f>
        <v>1043805740</v>
      </c>
      <c r="E24124" t="s">
        <v>20700</v>
      </c>
    </row>
    <row r="24125" spans="1:5" x14ac:dyDescent="0.25">
      <c r="A24125" t="s">
        <v>7</v>
      </c>
      <c r="B24125" t="s">
        <v>6322</v>
      </c>
      <c r="C24125" s="1" t="s">
        <v>23490</v>
      </c>
      <c r="D24125" s="1" t="str">
        <f>HYPERLINK("https://rhld.insurance.arkansas.gov/NPILookup?Npi=1043832876","1043832876")</f>
        <v>1043832876</v>
      </c>
      <c r="E24125" t="s">
        <v>18522</v>
      </c>
    </row>
    <row r="24126" spans="1:5" x14ac:dyDescent="0.25">
      <c r="A24126" t="s">
        <v>7</v>
      </c>
      <c r="B24126" t="s">
        <v>6322</v>
      </c>
      <c r="C24126" s="1" t="s">
        <v>23490</v>
      </c>
      <c r="D24126" s="1" t="str">
        <f>HYPERLINK("https://rhld.insurance.arkansas.gov/NPILookup?Npi=1043949522","1043949522")</f>
        <v>1043949522</v>
      </c>
      <c r="E24126" t="s">
        <v>21248</v>
      </c>
    </row>
    <row r="24127" spans="1:5" x14ac:dyDescent="0.25">
      <c r="A24127" t="s">
        <v>7</v>
      </c>
      <c r="B24127" t="s">
        <v>6322</v>
      </c>
      <c r="C24127" s="1" t="s">
        <v>23490</v>
      </c>
      <c r="D24127" s="1" t="str">
        <f>HYPERLINK("https://rhld.insurance.arkansas.gov/NPILookup?Npi=1053049585","1053049585")</f>
        <v>1053049585</v>
      </c>
      <c r="E24127" t="s">
        <v>22503</v>
      </c>
    </row>
    <row r="24128" spans="1:5" x14ac:dyDescent="0.25">
      <c r="A24128" t="s">
        <v>7</v>
      </c>
      <c r="B24128" t="s">
        <v>6322</v>
      </c>
      <c r="C24128" s="1" t="s">
        <v>23490</v>
      </c>
      <c r="D24128" s="1" t="str">
        <f>HYPERLINK("https://rhld.insurance.arkansas.gov/NPILookup?Npi=1053385377","1053385377")</f>
        <v>1053385377</v>
      </c>
      <c r="E24128" t="s">
        <v>6334</v>
      </c>
    </row>
    <row r="24129" spans="1:5" x14ac:dyDescent="0.25">
      <c r="A24129" t="s">
        <v>7</v>
      </c>
      <c r="B24129" t="s">
        <v>6322</v>
      </c>
      <c r="C24129" s="1" t="s">
        <v>23490</v>
      </c>
      <c r="D24129" s="1" t="str">
        <f>HYPERLINK("https://rhld.insurance.arkansas.gov/NPILookup?Npi=1053731844","1053731844")</f>
        <v>1053731844</v>
      </c>
      <c r="E24129" t="s">
        <v>14355</v>
      </c>
    </row>
    <row r="24130" spans="1:5" x14ac:dyDescent="0.25">
      <c r="A24130" t="s">
        <v>7</v>
      </c>
      <c r="B24130" t="s">
        <v>6322</v>
      </c>
      <c r="C24130" s="1" t="s">
        <v>23490</v>
      </c>
      <c r="D24130" s="1" t="str">
        <f>HYPERLINK("https://rhld.insurance.arkansas.gov/NPILookup?Npi=1053894097","1053894097")</f>
        <v>1053894097</v>
      </c>
      <c r="E24130" t="s">
        <v>14356</v>
      </c>
    </row>
    <row r="24131" spans="1:5" x14ac:dyDescent="0.25">
      <c r="A24131" t="s">
        <v>7</v>
      </c>
      <c r="B24131" t="s">
        <v>6322</v>
      </c>
      <c r="C24131" s="1" t="s">
        <v>23490</v>
      </c>
      <c r="D24131" s="1" t="str">
        <f>HYPERLINK("https://rhld.insurance.arkansas.gov/NPILookup?Npi=1063873537","1063873537")</f>
        <v>1063873537</v>
      </c>
      <c r="E24131" t="s">
        <v>9206</v>
      </c>
    </row>
    <row r="24132" spans="1:5" x14ac:dyDescent="0.25">
      <c r="A24132" t="s">
        <v>7</v>
      </c>
      <c r="B24132" t="s">
        <v>6322</v>
      </c>
      <c r="C24132" s="1" t="s">
        <v>23490</v>
      </c>
      <c r="D24132" s="1" t="str">
        <f>HYPERLINK("https://rhld.insurance.arkansas.gov/NPILookup?Npi=1063956951","1063956951")</f>
        <v>1063956951</v>
      </c>
      <c r="E24132" t="s">
        <v>11978</v>
      </c>
    </row>
    <row r="24133" spans="1:5" x14ac:dyDescent="0.25">
      <c r="A24133" t="s">
        <v>7</v>
      </c>
      <c r="B24133" t="s">
        <v>6322</v>
      </c>
      <c r="C24133" s="1" t="s">
        <v>23490</v>
      </c>
      <c r="D24133" s="1" t="str">
        <f>HYPERLINK("https://rhld.insurance.arkansas.gov/NPILookup?Npi=1073182572","1073182572")</f>
        <v>1073182572</v>
      </c>
      <c r="E24133" t="s">
        <v>19254</v>
      </c>
    </row>
    <row r="24134" spans="1:5" x14ac:dyDescent="0.25">
      <c r="A24134" t="s">
        <v>7</v>
      </c>
      <c r="B24134" t="s">
        <v>6322</v>
      </c>
      <c r="C24134" s="1" t="s">
        <v>23490</v>
      </c>
      <c r="D24134" s="1" t="str">
        <f>HYPERLINK("https://rhld.insurance.arkansas.gov/NPILookup?Npi=1073260774","1073260774")</f>
        <v>1073260774</v>
      </c>
      <c r="E24134" t="s">
        <v>21249</v>
      </c>
    </row>
    <row r="24135" spans="1:5" x14ac:dyDescent="0.25">
      <c r="A24135" t="s">
        <v>7</v>
      </c>
      <c r="B24135" t="s">
        <v>6322</v>
      </c>
      <c r="C24135" s="1" t="s">
        <v>23490</v>
      </c>
      <c r="D24135" s="1" t="str">
        <f>HYPERLINK("https://rhld.insurance.arkansas.gov/NPILookup?Npi=1073518593","1073518593")</f>
        <v>1073518593</v>
      </c>
      <c r="E24135" t="s">
        <v>4071</v>
      </c>
    </row>
    <row r="24136" spans="1:5" x14ac:dyDescent="0.25">
      <c r="A24136" t="s">
        <v>7</v>
      </c>
      <c r="B24136" t="s">
        <v>6322</v>
      </c>
      <c r="C24136" s="1" t="s">
        <v>23490</v>
      </c>
      <c r="D24136" s="1" t="str">
        <f>HYPERLINK("https://rhld.insurance.arkansas.gov/NPILookup?Npi=1073578720","1073578720")</f>
        <v>1073578720</v>
      </c>
      <c r="E24136" t="s">
        <v>6335</v>
      </c>
    </row>
    <row r="24137" spans="1:5" x14ac:dyDescent="0.25">
      <c r="A24137" t="s">
        <v>7</v>
      </c>
      <c r="B24137" t="s">
        <v>6322</v>
      </c>
      <c r="C24137" s="1" t="s">
        <v>23490</v>
      </c>
      <c r="D24137" s="1" t="str">
        <f>HYPERLINK("https://rhld.insurance.arkansas.gov/NPILookup?Npi=1073616462","1073616462")</f>
        <v>1073616462</v>
      </c>
      <c r="E24137" t="s">
        <v>9207</v>
      </c>
    </row>
    <row r="24138" spans="1:5" x14ac:dyDescent="0.25">
      <c r="A24138" t="s">
        <v>7</v>
      </c>
      <c r="B24138" t="s">
        <v>6322</v>
      </c>
      <c r="C24138" s="1" t="s">
        <v>23490</v>
      </c>
      <c r="D24138" s="1" t="str">
        <f>HYPERLINK("https://rhld.insurance.arkansas.gov/NPILookup?Npi=1073701538","1073701538")</f>
        <v>1073701538</v>
      </c>
      <c r="E24138" t="s">
        <v>14357</v>
      </c>
    </row>
    <row r="24139" spans="1:5" x14ac:dyDescent="0.25">
      <c r="A24139" t="s">
        <v>7</v>
      </c>
      <c r="B24139" t="s">
        <v>6322</v>
      </c>
      <c r="C24139" s="1" t="s">
        <v>23490</v>
      </c>
      <c r="D24139" s="1" t="str">
        <f>HYPERLINK("https://rhld.insurance.arkansas.gov/NPILookup?Npi=1073795936","1073795936")</f>
        <v>1073795936</v>
      </c>
      <c r="E24139" t="s">
        <v>6336</v>
      </c>
    </row>
    <row r="24140" spans="1:5" x14ac:dyDescent="0.25">
      <c r="A24140" t="s">
        <v>7</v>
      </c>
      <c r="B24140" t="s">
        <v>6322</v>
      </c>
      <c r="C24140" s="1" t="s">
        <v>23490</v>
      </c>
      <c r="D24140" s="1" t="str">
        <f>HYPERLINK("https://rhld.insurance.arkansas.gov/NPILookup?Npi=1083047922","1083047922")</f>
        <v>1083047922</v>
      </c>
      <c r="E24140" t="s">
        <v>6337</v>
      </c>
    </row>
    <row r="24141" spans="1:5" x14ac:dyDescent="0.25">
      <c r="A24141" t="s">
        <v>7</v>
      </c>
      <c r="B24141" t="s">
        <v>6322</v>
      </c>
      <c r="C24141" s="1" t="s">
        <v>23490</v>
      </c>
      <c r="D24141" s="1" t="str">
        <f>HYPERLINK("https://rhld.insurance.arkansas.gov/NPILookup?Npi=1083074074","1083074074")</f>
        <v>1083074074</v>
      </c>
      <c r="E24141" t="s">
        <v>19255</v>
      </c>
    </row>
    <row r="24142" spans="1:5" x14ac:dyDescent="0.25">
      <c r="A24142" t="s">
        <v>7</v>
      </c>
      <c r="B24142" t="s">
        <v>6322</v>
      </c>
      <c r="C24142" s="1" t="s">
        <v>23490</v>
      </c>
      <c r="D24142" s="1" t="str">
        <f>HYPERLINK("https://rhld.insurance.arkansas.gov/NPILookup?Npi=1083088504","1083088504")</f>
        <v>1083088504</v>
      </c>
      <c r="E24142" t="s">
        <v>16369</v>
      </c>
    </row>
    <row r="24143" spans="1:5" x14ac:dyDescent="0.25">
      <c r="A24143" t="s">
        <v>7</v>
      </c>
      <c r="B24143" t="s">
        <v>6322</v>
      </c>
      <c r="C24143" s="1" t="s">
        <v>23490</v>
      </c>
      <c r="D24143" s="1" t="str">
        <f>HYPERLINK("https://rhld.insurance.arkansas.gov/NPILookup?Npi=1083088827","1083088827")</f>
        <v>1083088827</v>
      </c>
      <c r="E24143" t="s">
        <v>16370</v>
      </c>
    </row>
    <row r="24144" spans="1:5" x14ac:dyDescent="0.25">
      <c r="A24144" t="s">
        <v>7</v>
      </c>
      <c r="B24144" t="s">
        <v>6322</v>
      </c>
      <c r="C24144" s="1" t="s">
        <v>23490</v>
      </c>
      <c r="D24144" s="1" t="str">
        <f>HYPERLINK("https://rhld.insurance.arkansas.gov/NPILookup?Npi=1083299937","1083299937")</f>
        <v>1083299937</v>
      </c>
      <c r="E24144" t="s">
        <v>20701</v>
      </c>
    </row>
    <row r="24145" spans="1:5" x14ac:dyDescent="0.25">
      <c r="A24145" t="s">
        <v>7</v>
      </c>
      <c r="B24145" t="s">
        <v>6322</v>
      </c>
      <c r="C24145" s="1" t="s">
        <v>23490</v>
      </c>
      <c r="D24145" s="1" t="str">
        <f>HYPERLINK("https://rhld.insurance.arkansas.gov/NPILookup?Npi=1083353791","1083353791")</f>
        <v>1083353791</v>
      </c>
      <c r="E24145" t="s">
        <v>21250</v>
      </c>
    </row>
    <row r="24146" spans="1:5" x14ac:dyDescent="0.25">
      <c r="A24146" t="s">
        <v>7</v>
      </c>
      <c r="B24146" t="s">
        <v>6322</v>
      </c>
      <c r="C24146" s="1" t="s">
        <v>23490</v>
      </c>
      <c r="D24146" s="1" t="str">
        <f>HYPERLINK("https://rhld.insurance.arkansas.gov/NPILookup?Npi=1083621296","1083621296")</f>
        <v>1083621296</v>
      </c>
      <c r="E24146" t="s">
        <v>14358</v>
      </c>
    </row>
    <row r="24147" spans="1:5" x14ac:dyDescent="0.25">
      <c r="A24147" t="s">
        <v>7</v>
      </c>
      <c r="B24147" t="s">
        <v>6322</v>
      </c>
      <c r="C24147" s="1" t="s">
        <v>23490</v>
      </c>
      <c r="D24147" s="1" t="str">
        <f>HYPERLINK("https://rhld.insurance.arkansas.gov/NPILookup?Npi=1083624167","1083624167")</f>
        <v>1083624167</v>
      </c>
      <c r="E24147" t="s">
        <v>6338</v>
      </c>
    </row>
    <row r="24148" spans="1:5" x14ac:dyDescent="0.25">
      <c r="A24148" t="s">
        <v>7</v>
      </c>
      <c r="B24148" t="s">
        <v>6322</v>
      </c>
      <c r="C24148" s="1" t="s">
        <v>23490</v>
      </c>
      <c r="D24148" s="1" t="str">
        <f>HYPERLINK("https://rhld.insurance.arkansas.gov/NPILookup?Npi=1083662944","1083662944")</f>
        <v>1083662944</v>
      </c>
      <c r="E24148" t="s">
        <v>14359</v>
      </c>
    </row>
    <row r="24149" spans="1:5" x14ac:dyDescent="0.25">
      <c r="A24149" t="s">
        <v>7</v>
      </c>
      <c r="B24149" t="s">
        <v>6322</v>
      </c>
      <c r="C24149" s="1" t="s">
        <v>23490</v>
      </c>
      <c r="D24149" s="1" t="str">
        <f>HYPERLINK("https://rhld.insurance.arkansas.gov/NPILookup?Npi=1093244097","1093244097")</f>
        <v>1093244097</v>
      </c>
      <c r="E24149" t="s">
        <v>14360</v>
      </c>
    </row>
    <row r="24150" spans="1:5" x14ac:dyDescent="0.25">
      <c r="A24150" t="s">
        <v>7</v>
      </c>
      <c r="B24150" t="s">
        <v>6322</v>
      </c>
      <c r="C24150" s="1" t="s">
        <v>23490</v>
      </c>
      <c r="D24150" s="1" t="str">
        <f>HYPERLINK("https://rhld.insurance.arkansas.gov/NPILookup?Npi=1093336026","1093336026")</f>
        <v>1093336026</v>
      </c>
      <c r="E24150" t="s">
        <v>18523</v>
      </c>
    </row>
    <row r="24151" spans="1:5" x14ac:dyDescent="0.25">
      <c r="A24151" t="s">
        <v>7</v>
      </c>
      <c r="B24151" t="s">
        <v>6322</v>
      </c>
      <c r="C24151" s="1" t="s">
        <v>23490</v>
      </c>
      <c r="D24151" s="1" t="str">
        <f>HYPERLINK("https://rhld.insurance.arkansas.gov/NPILookup?Npi=1093462590","1093462590")</f>
        <v>1093462590</v>
      </c>
      <c r="E24151" t="s">
        <v>21251</v>
      </c>
    </row>
    <row r="24152" spans="1:5" x14ac:dyDescent="0.25">
      <c r="A24152" t="s">
        <v>7</v>
      </c>
      <c r="B24152" t="s">
        <v>6322</v>
      </c>
      <c r="C24152" s="1" t="s">
        <v>23490</v>
      </c>
      <c r="D24152" s="1" t="str">
        <f>HYPERLINK("https://rhld.insurance.arkansas.gov/NPILookup?Npi=1104076322","1104076322")</f>
        <v>1104076322</v>
      </c>
      <c r="E24152" t="s">
        <v>6339</v>
      </c>
    </row>
    <row r="24153" spans="1:5" x14ac:dyDescent="0.25">
      <c r="A24153" t="s">
        <v>7</v>
      </c>
      <c r="B24153" t="s">
        <v>6322</v>
      </c>
      <c r="C24153" s="1" t="s">
        <v>23490</v>
      </c>
      <c r="D24153" s="1" t="str">
        <f>HYPERLINK("https://rhld.insurance.arkansas.gov/NPILookup?Npi=1104469527","1104469527")</f>
        <v>1104469527</v>
      </c>
      <c r="E24153" t="s">
        <v>17697</v>
      </c>
    </row>
    <row r="24154" spans="1:5" x14ac:dyDescent="0.25">
      <c r="A24154" t="s">
        <v>7</v>
      </c>
      <c r="B24154" t="s">
        <v>6322</v>
      </c>
      <c r="C24154" s="1" t="s">
        <v>23490</v>
      </c>
      <c r="D24154" s="1" t="str">
        <f>HYPERLINK("https://rhld.insurance.arkansas.gov/NPILookup?Npi=1104563410","1104563410")</f>
        <v>1104563410</v>
      </c>
      <c r="E24154" t="s">
        <v>22504</v>
      </c>
    </row>
    <row r="24155" spans="1:5" x14ac:dyDescent="0.25">
      <c r="A24155" t="s">
        <v>7</v>
      </c>
      <c r="B24155" t="s">
        <v>6322</v>
      </c>
      <c r="C24155" s="1" t="s">
        <v>23490</v>
      </c>
      <c r="D24155" s="1" t="str">
        <f>HYPERLINK("https://rhld.insurance.arkansas.gov/NPILookup?Npi=1104563428","1104563428")</f>
        <v>1104563428</v>
      </c>
      <c r="E24155" t="s">
        <v>21252</v>
      </c>
    </row>
    <row r="24156" spans="1:5" x14ac:dyDescent="0.25">
      <c r="A24156" t="s">
        <v>7</v>
      </c>
      <c r="B24156" t="s">
        <v>6322</v>
      </c>
      <c r="C24156" s="1" t="s">
        <v>23490</v>
      </c>
      <c r="D24156" s="1" t="str">
        <f>HYPERLINK("https://rhld.insurance.arkansas.gov/NPILookup?Npi=1104814771","1104814771")</f>
        <v>1104814771</v>
      </c>
      <c r="E24156" t="s">
        <v>6329</v>
      </c>
    </row>
    <row r="24157" spans="1:5" x14ac:dyDescent="0.25">
      <c r="A24157" t="s">
        <v>7</v>
      </c>
      <c r="B24157" t="s">
        <v>6322</v>
      </c>
      <c r="C24157" s="1" t="s">
        <v>23490</v>
      </c>
      <c r="D24157" s="1" t="str">
        <f>HYPERLINK("https://rhld.insurance.arkansas.gov/NPILookup?Npi=1114354990","1114354990")</f>
        <v>1114354990</v>
      </c>
      <c r="E24157" t="s">
        <v>11979</v>
      </c>
    </row>
    <row r="24158" spans="1:5" x14ac:dyDescent="0.25">
      <c r="A24158" t="s">
        <v>7</v>
      </c>
      <c r="B24158" t="s">
        <v>6322</v>
      </c>
      <c r="C24158" s="1" t="s">
        <v>23490</v>
      </c>
      <c r="D24158" s="1" t="str">
        <f>HYPERLINK("https://rhld.insurance.arkansas.gov/NPILookup?Npi=1114915782","1114915782")</f>
        <v>1114915782</v>
      </c>
      <c r="E24158" t="s">
        <v>6329</v>
      </c>
    </row>
    <row r="24159" spans="1:5" x14ac:dyDescent="0.25">
      <c r="A24159" t="s">
        <v>7</v>
      </c>
      <c r="B24159" t="s">
        <v>6322</v>
      </c>
      <c r="C24159" s="1" t="s">
        <v>23490</v>
      </c>
      <c r="D24159" s="1" t="str">
        <f>HYPERLINK("https://rhld.insurance.arkansas.gov/NPILookup?Npi=1134113947","1134113947")</f>
        <v>1134113947</v>
      </c>
      <c r="E24159" t="s">
        <v>11980</v>
      </c>
    </row>
    <row r="24160" spans="1:5" x14ac:dyDescent="0.25">
      <c r="A24160" t="s">
        <v>7</v>
      </c>
      <c r="B24160" t="s">
        <v>6322</v>
      </c>
      <c r="C24160" s="1" t="s">
        <v>23490</v>
      </c>
      <c r="D24160" s="1" t="str">
        <f>HYPERLINK("https://rhld.insurance.arkansas.gov/NPILookup?Npi=1134178130","1134178130")</f>
        <v>1134178130</v>
      </c>
      <c r="E24160" t="s">
        <v>4081</v>
      </c>
    </row>
    <row r="24161" spans="1:5" x14ac:dyDescent="0.25">
      <c r="A24161" t="s">
        <v>7</v>
      </c>
      <c r="B24161" t="s">
        <v>6322</v>
      </c>
      <c r="C24161" s="1" t="s">
        <v>23490</v>
      </c>
      <c r="D24161" s="1" t="str">
        <f>HYPERLINK("https://rhld.insurance.arkansas.gov/NPILookup?Npi=1134304959","1134304959")</f>
        <v>1134304959</v>
      </c>
      <c r="E24161" t="s">
        <v>6340</v>
      </c>
    </row>
    <row r="24162" spans="1:5" x14ac:dyDescent="0.25">
      <c r="A24162" t="s">
        <v>7</v>
      </c>
      <c r="B24162" t="s">
        <v>6322</v>
      </c>
      <c r="C24162" s="1" t="s">
        <v>23490</v>
      </c>
      <c r="D24162" s="1" t="str">
        <f>HYPERLINK("https://rhld.insurance.arkansas.gov/NPILookup?Npi=1134704091","1134704091")</f>
        <v>1134704091</v>
      </c>
      <c r="E24162" t="s">
        <v>20702</v>
      </c>
    </row>
    <row r="24163" spans="1:5" x14ac:dyDescent="0.25">
      <c r="A24163" t="s">
        <v>7</v>
      </c>
      <c r="B24163" t="s">
        <v>6322</v>
      </c>
      <c r="C24163" s="1" t="s">
        <v>23490</v>
      </c>
      <c r="D24163" s="1" t="str">
        <f>HYPERLINK("https://rhld.insurance.arkansas.gov/NPILookup?Npi=1144213117","1144213117")</f>
        <v>1144213117</v>
      </c>
      <c r="E24163" t="s">
        <v>10194</v>
      </c>
    </row>
    <row r="24164" spans="1:5" x14ac:dyDescent="0.25">
      <c r="A24164" t="s">
        <v>7</v>
      </c>
      <c r="B24164" t="s">
        <v>6322</v>
      </c>
      <c r="C24164" s="1" t="s">
        <v>23490</v>
      </c>
      <c r="D24164" s="1" t="str">
        <f>HYPERLINK("https://rhld.insurance.arkansas.gov/NPILookup?Npi=1144267451","1144267451")</f>
        <v>1144267451</v>
      </c>
      <c r="E24164" t="s">
        <v>4105</v>
      </c>
    </row>
    <row r="24165" spans="1:5" x14ac:dyDescent="0.25">
      <c r="A24165" t="s">
        <v>7</v>
      </c>
      <c r="B24165" t="s">
        <v>6322</v>
      </c>
      <c r="C24165" s="1" t="s">
        <v>23490</v>
      </c>
      <c r="D24165" s="1" t="str">
        <f>HYPERLINK("https://rhld.insurance.arkansas.gov/NPILookup?Npi=1144294489","1144294489")</f>
        <v>1144294489</v>
      </c>
      <c r="E24165" t="s">
        <v>6341</v>
      </c>
    </row>
    <row r="24166" spans="1:5" x14ac:dyDescent="0.25">
      <c r="A24166" t="s">
        <v>7</v>
      </c>
      <c r="B24166" t="s">
        <v>6322</v>
      </c>
      <c r="C24166" s="1" t="s">
        <v>23490</v>
      </c>
      <c r="D24166" s="1" t="str">
        <f>HYPERLINK("https://rhld.insurance.arkansas.gov/NPILookup?Npi=1144561226","1144561226")</f>
        <v>1144561226</v>
      </c>
      <c r="E24166" t="s">
        <v>6342</v>
      </c>
    </row>
    <row r="24167" spans="1:5" x14ac:dyDescent="0.25">
      <c r="A24167" t="s">
        <v>7</v>
      </c>
      <c r="B24167" t="s">
        <v>6322</v>
      </c>
      <c r="C24167" s="1" t="s">
        <v>23490</v>
      </c>
      <c r="D24167" s="1" t="str">
        <f>HYPERLINK("https://rhld.insurance.arkansas.gov/NPILookup?Npi=1144805003","1144805003")</f>
        <v>1144805003</v>
      </c>
      <c r="E24167" t="s">
        <v>20703</v>
      </c>
    </row>
    <row r="24168" spans="1:5" x14ac:dyDescent="0.25">
      <c r="A24168" t="s">
        <v>7</v>
      </c>
      <c r="B24168" t="s">
        <v>6322</v>
      </c>
      <c r="C24168" s="1" t="s">
        <v>23490</v>
      </c>
      <c r="D24168" s="1" t="str">
        <f>HYPERLINK("https://rhld.insurance.arkansas.gov/NPILookup?Npi=1154331239","1154331239")</f>
        <v>1154331239</v>
      </c>
      <c r="E24168" t="s">
        <v>6343</v>
      </c>
    </row>
    <row r="24169" spans="1:5" x14ac:dyDescent="0.25">
      <c r="A24169" t="s">
        <v>7</v>
      </c>
      <c r="B24169" t="s">
        <v>6322</v>
      </c>
      <c r="C24169" s="1" t="s">
        <v>23490</v>
      </c>
      <c r="D24169" s="1" t="str">
        <f>HYPERLINK("https://rhld.insurance.arkansas.gov/NPILookup?Npi=1154385763","1154385763")</f>
        <v>1154385763</v>
      </c>
      <c r="E24169" t="s">
        <v>6344</v>
      </c>
    </row>
    <row r="24170" spans="1:5" x14ac:dyDescent="0.25">
      <c r="A24170" t="s">
        <v>7</v>
      </c>
      <c r="B24170" t="s">
        <v>6322</v>
      </c>
      <c r="C24170" s="1" t="s">
        <v>23490</v>
      </c>
      <c r="D24170" s="1" t="str">
        <f>HYPERLINK("https://rhld.insurance.arkansas.gov/NPILookup?Npi=1154541878","1154541878")</f>
        <v>1154541878</v>
      </c>
      <c r="E24170" t="s">
        <v>22505</v>
      </c>
    </row>
    <row r="24171" spans="1:5" x14ac:dyDescent="0.25">
      <c r="A24171" t="s">
        <v>7</v>
      </c>
      <c r="B24171" t="s">
        <v>6322</v>
      </c>
      <c r="C24171" s="1" t="s">
        <v>23490</v>
      </c>
      <c r="D24171" s="1" t="str">
        <f>HYPERLINK("https://rhld.insurance.arkansas.gov/NPILookup?Npi=1154803997","1154803997")</f>
        <v>1154803997</v>
      </c>
      <c r="E24171" t="s">
        <v>14361</v>
      </c>
    </row>
    <row r="24172" spans="1:5" x14ac:dyDescent="0.25">
      <c r="A24172" t="s">
        <v>7</v>
      </c>
      <c r="B24172" t="s">
        <v>6322</v>
      </c>
      <c r="C24172" s="1" t="s">
        <v>23490</v>
      </c>
      <c r="D24172" s="1" t="str">
        <f>HYPERLINK("https://rhld.insurance.arkansas.gov/NPILookup?Npi=1154807584","1154807584")</f>
        <v>1154807584</v>
      </c>
      <c r="E24172" t="s">
        <v>13887</v>
      </c>
    </row>
    <row r="24173" spans="1:5" x14ac:dyDescent="0.25">
      <c r="A24173" t="s">
        <v>7</v>
      </c>
      <c r="B24173" t="s">
        <v>6322</v>
      </c>
      <c r="C24173" s="1" t="s">
        <v>23490</v>
      </c>
      <c r="D24173" s="1" t="str">
        <f>HYPERLINK("https://rhld.insurance.arkansas.gov/NPILookup?Npi=1164447199","1164447199")</f>
        <v>1164447199</v>
      </c>
      <c r="E24173" t="s">
        <v>4092</v>
      </c>
    </row>
    <row r="24174" spans="1:5" x14ac:dyDescent="0.25">
      <c r="A24174" t="s">
        <v>7</v>
      </c>
      <c r="B24174" t="s">
        <v>6322</v>
      </c>
      <c r="C24174" s="1" t="s">
        <v>23490</v>
      </c>
      <c r="D24174" s="1" t="str">
        <f>HYPERLINK("https://rhld.insurance.arkansas.gov/NPILookup?Npi=1164806824","1164806824")</f>
        <v>1164806824</v>
      </c>
      <c r="E24174" t="s">
        <v>17266</v>
      </c>
    </row>
    <row r="24175" spans="1:5" x14ac:dyDescent="0.25">
      <c r="A24175" t="s">
        <v>7</v>
      </c>
      <c r="B24175" t="s">
        <v>6322</v>
      </c>
      <c r="C24175" s="1" t="s">
        <v>23490</v>
      </c>
      <c r="D24175" s="1" t="str">
        <f>HYPERLINK("https://rhld.insurance.arkansas.gov/NPILookup?Npi=1164837159","1164837159")</f>
        <v>1164837159</v>
      </c>
      <c r="E24175" t="s">
        <v>6345</v>
      </c>
    </row>
    <row r="24176" spans="1:5" x14ac:dyDescent="0.25">
      <c r="A24176" t="s">
        <v>7</v>
      </c>
      <c r="B24176" t="s">
        <v>6322</v>
      </c>
      <c r="C24176" s="1" t="s">
        <v>23490</v>
      </c>
      <c r="D24176" s="1" t="str">
        <f>HYPERLINK("https://rhld.insurance.arkansas.gov/NPILookup?Npi=1164856522","1164856522")</f>
        <v>1164856522</v>
      </c>
      <c r="E24176" t="s">
        <v>6346</v>
      </c>
    </row>
    <row r="24177" spans="1:5" x14ac:dyDescent="0.25">
      <c r="A24177" t="s">
        <v>7</v>
      </c>
      <c r="B24177" t="s">
        <v>6322</v>
      </c>
      <c r="C24177" s="1" t="s">
        <v>23490</v>
      </c>
      <c r="D24177" s="1" t="str">
        <f>HYPERLINK("https://rhld.insurance.arkansas.gov/NPILookup?Npi=1164906582","1164906582")</f>
        <v>1164906582</v>
      </c>
      <c r="E24177" t="s">
        <v>16371</v>
      </c>
    </row>
    <row r="24178" spans="1:5" x14ac:dyDescent="0.25">
      <c r="A24178" t="s">
        <v>7</v>
      </c>
      <c r="B24178" t="s">
        <v>6322</v>
      </c>
      <c r="C24178" s="1" t="s">
        <v>23490</v>
      </c>
      <c r="D24178" s="1" t="str">
        <f>HYPERLINK("https://rhld.insurance.arkansas.gov/NPILookup?Npi=1164966057","1164966057")</f>
        <v>1164966057</v>
      </c>
      <c r="E24178" t="s">
        <v>11981</v>
      </c>
    </row>
    <row r="24179" spans="1:5" x14ac:dyDescent="0.25">
      <c r="A24179" t="s">
        <v>7</v>
      </c>
      <c r="B24179" t="s">
        <v>6322</v>
      </c>
      <c r="C24179" s="1" t="s">
        <v>23490</v>
      </c>
      <c r="D24179" s="1" t="str">
        <f>HYPERLINK("https://rhld.insurance.arkansas.gov/NPILookup?Npi=1174079016","1174079016")</f>
        <v>1174079016</v>
      </c>
      <c r="E24179" t="s">
        <v>11982</v>
      </c>
    </row>
    <row r="24180" spans="1:5" x14ac:dyDescent="0.25">
      <c r="A24180" t="s">
        <v>7</v>
      </c>
      <c r="B24180" t="s">
        <v>6322</v>
      </c>
      <c r="C24180" s="1" t="s">
        <v>23490</v>
      </c>
      <c r="D24180" s="1" t="str">
        <f>HYPERLINK("https://rhld.insurance.arkansas.gov/NPILookup?Npi=1174553796","1174553796")</f>
        <v>1174553796</v>
      </c>
      <c r="E24180" t="s">
        <v>4080</v>
      </c>
    </row>
    <row r="24181" spans="1:5" x14ac:dyDescent="0.25">
      <c r="A24181" t="s">
        <v>7</v>
      </c>
      <c r="B24181" t="s">
        <v>6322</v>
      </c>
      <c r="C24181" s="1" t="s">
        <v>23490</v>
      </c>
      <c r="D24181" s="1" t="str">
        <f>HYPERLINK("https://rhld.insurance.arkansas.gov/NPILookup?Npi=1174802888","1174802888")</f>
        <v>1174802888</v>
      </c>
      <c r="E24181" t="s">
        <v>16372</v>
      </c>
    </row>
    <row r="24182" spans="1:5" x14ac:dyDescent="0.25">
      <c r="A24182" t="s">
        <v>7</v>
      </c>
      <c r="B24182" t="s">
        <v>6322</v>
      </c>
      <c r="C24182" s="1" t="s">
        <v>23490</v>
      </c>
      <c r="D24182" s="1" t="str">
        <f>HYPERLINK("https://rhld.insurance.arkansas.gov/NPILookup?Npi=1174827166","1174827166")</f>
        <v>1174827166</v>
      </c>
      <c r="E24182" t="s">
        <v>6347</v>
      </c>
    </row>
    <row r="24183" spans="1:5" x14ac:dyDescent="0.25">
      <c r="A24183" t="s">
        <v>7</v>
      </c>
      <c r="B24183" t="s">
        <v>6322</v>
      </c>
      <c r="C24183" s="1" t="s">
        <v>23490</v>
      </c>
      <c r="D24183" s="1" t="str">
        <f>HYPERLINK("https://rhld.insurance.arkansas.gov/NPILookup?Npi=1174903025","1174903025")</f>
        <v>1174903025</v>
      </c>
      <c r="E24183" t="s">
        <v>14362</v>
      </c>
    </row>
    <row r="24184" spans="1:5" x14ac:dyDescent="0.25">
      <c r="A24184" t="s">
        <v>7</v>
      </c>
      <c r="B24184" t="s">
        <v>6322</v>
      </c>
      <c r="C24184" s="1" t="s">
        <v>23490</v>
      </c>
      <c r="D24184" s="1" t="str">
        <f>HYPERLINK("https://rhld.insurance.arkansas.gov/NPILookup?Npi=1184085417","1184085417")</f>
        <v>1184085417</v>
      </c>
      <c r="E24184" t="s">
        <v>11983</v>
      </c>
    </row>
    <row r="24185" spans="1:5" x14ac:dyDescent="0.25">
      <c r="A24185" t="s">
        <v>7</v>
      </c>
      <c r="B24185" t="s">
        <v>6322</v>
      </c>
      <c r="C24185" s="1" t="s">
        <v>23490</v>
      </c>
      <c r="D24185" s="1" t="str">
        <f>HYPERLINK("https://rhld.insurance.arkansas.gov/NPILookup?Npi=1184168072","1184168072")</f>
        <v>1184168072</v>
      </c>
      <c r="E24185" t="s">
        <v>11984</v>
      </c>
    </row>
    <row r="24186" spans="1:5" x14ac:dyDescent="0.25">
      <c r="A24186" t="s">
        <v>7</v>
      </c>
      <c r="B24186" t="s">
        <v>6322</v>
      </c>
      <c r="C24186" s="1" t="s">
        <v>23490</v>
      </c>
      <c r="D24186" s="1" t="str">
        <f>HYPERLINK("https://rhld.insurance.arkansas.gov/NPILookup?Npi=1184610404","1184610404")</f>
        <v>1184610404</v>
      </c>
      <c r="E24186" t="s">
        <v>11985</v>
      </c>
    </row>
    <row r="24187" spans="1:5" x14ac:dyDescent="0.25">
      <c r="A24187" t="s">
        <v>7</v>
      </c>
      <c r="B24187" t="s">
        <v>6322</v>
      </c>
      <c r="C24187" s="1" t="s">
        <v>23490</v>
      </c>
      <c r="D24187" s="1" t="str">
        <f>HYPERLINK("https://rhld.insurance.arkansas.gov/NPILookup?Npi=1184629594","1184629594")</f>
        <v>1184629594</v>
      </c>
      <c r="E24187" t="s">
        <v>20285</v>
      </c>
    </row>
    <row r="24188" spans="1:5" x14ac:dyDescent="0.25">
      <c r="A24188" t="s">
        <v>7</v>
      </c>
      <c r="B24188" t="s">
        <v>6322</v>
      </c>
      <c r="C24188" s="1" t="s">
        <v>23490</v>
      </c>
      <c r="D24188" s="1" t="str">
        <f>HYPERLINK("https://rhld.insurance.arkansas.gov/NPILookup?Npi=1184907255","1184907255")</f>
        <v>1184907255</v>
      </c>
      <c r="E24188" t="s">
        <v>6348</v>
      </c>
    </row>
    <row r="24189" spans="1:5" x14ac:dyDescent="0.25">
      <c r="A24189" t="s">
        <v>7</v>
      </c>
      <c r="B24189" t="s">
        <v>6322</v>
      </c>
      <c r="C24189" s="1" t="s">
        <v>23490</v>
      </c>
      <c r="D24189" s="1" t="str">
        <f>HYPERLINK("https://rhld.insurance.arkansas.gov/NPILookup?Npi=1194044941","1194044941")</f>
        <v>1194044941</v>
      </c>
      <c r="E24189" t="s">
        <v>14363</v>
      </c>
    </row>
    <row r="24190" spans="1:5" x14ac:dyDescent="0.25">
      <c r="A24190" t="s">
        <v>7</v>
      </c>
      <c r="B24190" t="s">
        <v>6322</v>
      </c>
      <c r="C24190" s="1" t="s">
        <v>23490</v>
      </c>
      <c r="D24190" s="1" t="str">
        <f>HYPERLINK("https://rhld.insurance.arkansas.gov/NPILookup?Npi=1194472894","1194472894")</f>
        <v>1194472894</v>
      </c>
      <c r="E24190" t="s">
        <v>21253</v>
      </c>
    </row>
    <row r="24191" spans="1:5" x14ac:dyDescent="0.25">
      <c r="A24191" t="s">
        <v>7</v>
      </c>
      <c r="B24191" t="s">
        <v>6322</v>
      </c>
      <c r="C24191" s="1" t="s">
        <v>23490</v>
      </c>
      <c r="D24191" s="1" t="str">
        <f>HYPERLINK("https://rhld.insurance.arkansas.gov/NPILookup?Npi=1194724658","1194724658")</f>
        <v>1194724658</v>
      </c>
      <c r="E24191" t="s">
        <v>14372</v>
      </c>
    </row>
    <row r="24192" spans="1:5" x14ac:dyDescent="0.25">
      <c r="A24192" t="s">
        <v>7</v>
      </c>
      <c r="B24192" t="s">
        <v>6322</v>
      </c>
      <c r="C24192" s="1" t="s">
        <v>23490</v>
      </c>
      <c r="D24192" s="1" t="str">
        <f>HYPERLINK("https://rhld.insurance.arkansas.gov/NPILookup?Npi=1194741611","1194741611")</f>
        <v>1194741611</v>
      </c>
      <c r="E24192" t="s">
        <v>4079</v>
      </c>
    </row>
    <row r="24193" spans="1:5" x14ac:dyDescent="0.25">
      <c r="A24193" t="s">
        <v>7</v>
      </c>
      <c r="B24193" t="s">
        <v>6322</v>
      </c>
      <c r="C24193" s="1" t="s">
        <v>23490</v>
      </c>
      <c r="D24193" s="1" t="str">
        <f>HYPERLINK("https://rhld.insurance.arkansas.gov/NPILookup?Npi=1194776716","1194776716")</f>
        <v>1194776716</v>
      </c>
      <c r="E24193" t="s">
        <v>6349</v>
      </c>
    </row>
    <row r="24194" spans="1:5" x14ac:dyDescent="0.25">
      <c r="A24194" t="s">
        <v>7</v>
      </c>
      <c r="B24194" t="s">
        <v>6322</v>
      </c>
      <c r="C24194" s="1" t="s">
        <v>23490</v>
      </c>
      <c r="D24194" s="1" t="str">
        <f>HYPERLINK("https://rhld.insurance.arkansas.gov/NPILookup?Npi=1194969915","1194969915")</f>
        <v>1194969915</v>
      </c>
      <c r="E24194" t="s">
        <v>11986</v>
      </c>
    </row>
    <row r="24195" spans="1:5" x14ac:dyDescent="0.25">
      <c r="A24195" t="s">
        <v>7</v>
      </c>
      <c r="B24195" t="s">
        <v>6322</v>
      </c>
      <c r="C24195" s="1" t="s">
        <v>23490</v>
      </c>
      <c r="D24195" s="1" t="str">
        <f>HYPERLINK("https://rhld.insurance.arkansas.gov/NPILookup?Npi=1205119641","1205119641")</f>
        <v>1205119641</v>
      </c>
      <c r="E24195" t="s">
        <v>6350</v>
      </c>
    </row>
    <row r="24196" spans="1:5" x14ac:dyDescent="0.25">
      <c r="A24196" t="s">
        <v>7</v>
      </c>
      <c r="B24196" t="s">
        <v>6322</v>
      </c>
      <c r="C24196" s="1" t="s">
        <v>23490</v>
      </c>
      <c r="D24196" s="1" t="str">
        <f>HYPERLINK("https://rhld.insurance.arkansas.gov/NPILookup?Npi=1205254307","1205254307")</f>
        <v>1205254307</v>
      </c>
      <c r="E24196" t="s">
        <v>6351</v>
      </c>
    </row>
    <row r="24197" spans="1:5" x14ac:dyDescent="0.25">
      <c r="A24197" t="s">
        <v>7</v>
      </c>
      <c r="B24197" t="s">
        <v>6322</v>
      </c>
      <c r="C24197" s="1" t="s">
        <v>23490</v>
      </c>
      <c r="D24197" s="1" t="str">
        <f>HYPERLINK("https://rhld.insurance.arkansas.gov/NPILookup?Npi=1205262631","1205262631")</f>
        <v>1205262631</v>
      </c>
      <c r="E24197" t="s">
        <v>6352</v>
      </c>
    </row>
    <row r="24198" spans="1:5" x14ac:dyDescent="0.25">
      <c r="A24198" t="s">
        <v>7</v>
      </c>
      <c r="B24198" t="s">
        <v>6322</v>
      </c>
      <c r="C24198" s="1" t="s">
        <v>23490</v>
      </c>
      <c r="D24198" s="1" t="str">
        <f>HYPERLINK("https://rhld.insurance.arkansas.gov/NPILookup?Npi=1205319340","1205319340")</f>
        <v>1205319340</v>
      </c>
      <c r="E24198" t="s">
        <v>14364</v>
      </c>
    </row>
    <row r="24199" spans="1:5" x14ac:dyDescent="0.25">
      <c r="A24199" t="s">
        <v>7</v>
      </c>
      <c r="B24199" t="s">
        <v>6322</v>
      </c>
      <c r="C24199" s="1" t="s">
        <v>23490</v>
      </c>
      <c r="D24199" s="1" t="str">
        <f>HYPERLINK("https://rhld.insurance.arkansas.gov/NPILookup?Npi=1205824885","1205824885")</f>
        <v>1205824885</v>
      </c>
      <c r="E24199" t="s">
        <v>6329</v>
      </c>
    </row>
    <row r="24200" spans="1:5" x14ac:dyDescent="0.25">
      <c r="A24200" t="s">
        <v>7</v>
      </c>
      <c r="B24200" t="s">
        <v>6322</v>
      </c>
      <c r="C24200" s="1" t="s">
        <v>23490</v>
      </c>
      <c r="D24200" s="1" t="str">
        <f>HYPERLINK("https://rhld.insurance.arkansas.gov/NPILookup?Npi=1215089602","1215089602")</f>
        <v>1215089602</v>
      </c>
      <c r="E24200" t="s">
        <v>9208</v>
      </c>
    </row>
    <row r="24201" spans="1:5" x14ac:dyDescent="0.25">
      <c r="A24201" t="s">
        <v>7</v>
      </c>
      <c r="B24201" t="s">
        <v>6322</v>
      </c>
      <c r="C24201" s="1" t="s">
        <v>23490</v>
      </c>
      <c r="D24201" s="1" t="str">
        <f>HYPERLINK("https://rhld.insurance.arkansas.gov/NPILookup?Npi=1215676903","1215676903")</f>
        <v>1215676903</v>
      </c>
      <c r="E24201" t="s">
        <v>22506</v>
      </c>
    </row>
    <row r="24202" spans="1:5" x14ac:dyDescent="0.25">
      <c r="A24202" t="s">
        <v>7</v>
      </c>
      <c r="B24202" t="s">
        <v>6322</v>
      </c>
      <c r="C24202" s="1" t="s">
        <v>23490</v>
      </c>
      <c r="D24202" s="1" t="str">
        <f>HYPERLINK("https://rhld.insurance.arkansas.gov/NPILookup?Npi=1215923727","1215923727")</f>
        <v>1215923727</v>
      </c>
      <c r="E24202" t="s">
        <v>6353</v>
      </c>
    </row>
    <row r="24203" spans="1:5" x14ac:dyDescent="0.25">
      <c r="A24203" t="s">
        <v>7</v>
      </c>
      <c r="B24203" t="s">
        <v>6322</v>
      </c>
      <c r="C24203" s="1" t="s">
        <v>23490</v>
      </c>
      <c r="D24203" s="1" t="str">
        <f>HYPERLINK("https://rhld.insurance.arkansas.gov/NPILookup?Npi=1215982376","1215982376")</f>
        <v>1215982376</v>
      </c>
      <c r="E24203" t="s">
        <v>6354</v>
      </c>
    </row>
    <row r="24204" spans="1:5" x14ac:dyDescent="0.25">
      <c r="A24204" t="s">
        <v>7</v>
      </c>
      <c r="B24204" t="s">
        <v>6322</v>
      </c>
      <c r="C24204" s="1" t="s">
        <v>23490</v>
      </c>
      <c r="D24204" s="1" t="str">
        <f>HYPERLINK("https://rhld.insurance.arkansas.gov/NPILookup?Npi=1215988712","1215988712")</f>
        <v>1215988712</v>
      </c>
      <c r="E24204" t="s">
        <v>22898</v>
      </c>
    </row>
    <row r="24205" spans="1:5" x14ac:dyDescent="0.25">
      <c r="A24205" t="s">
        <v>7</v>
      </c>
      <c r="B24205" t="s">
        <v>6322</v>
      </c>
      <c r="C24205" s="1" t="s">
        <v>23490</v>
      </c>
      <c r="D24205" s="1" t="str">
        <f>HYPERLINK("https://rhld.insurance.arkansas.gov/NPILookup?Npi=1225026800","1225026800")</f>
        <v>1225026800</v>
      </c>
      <c r="E24205" t="s">
        <v>6329</v>
      </c>
    </row>
    <row r="24206" spans="1:5" x14ac:dyDescent="0.25">
      <c r="A24206" t="s">
        <v>7</v>
      </c>
      <c r="B24206" t="s">
        <v>6322</v>
      </c>
      <c r="C24206" s="1" t="s">
        <v>23490</v>
      </c>
      <c r="D24206" s="1" t="str">
        <f>HYPERLINK("https://rhld.insurance.arkansas.gov/NPILookup?Npi=1225048390","1225048390")</f>
        <v>1225048390</v>
      </c>
      <c r="E24206" t="s">
        <v>6355</v>
      </c>
    </row>
    <row r="24207" spans="1:5" x14ac:dyDescent="0.25">
      <c r="A24207" t="s">
        <v>7</v>
      </c>
      <c r="B24207" t="s">
        <v>6322</v>
      </c>
      <c r="C24207" s="1" t="s">
        <v>23490</v>
      </c>
      <c r="D24207" s="1" t="str">
        <f>HYPERLINK("https://rhld.insurance.arkansas.gov/NPILookup?Npi=1225454325","1225454325")</f>
        <v>1225454325</v>
      </c>
      <c r="E24207" t="s">
        <v>17698</v>
      </c>
    </row>
    <row r="24208" spans="1:5" x14ac:dyDescent="0.25">
      <c r="A24208" t="s">
        <v>7</v>
      </c>
      <c r="B24208" t="s">
        <v>6322</v>
      </c>
      <c r="C24208" s="1" t="s">
        <v>23490</v>
      </c>
      <c r="D24208" s="1" t="str">
        <f>HYPERLINK("https://rhld.insurance.arkansas.gov/NPILookup?Npi=1225777923","1225777923")</f>
        <v>1225777923</v>
      </c>
      <c r="E24208" t="s">
        <v>22507</v>
      </c>
    </row>
    <row r="24209" spans="1:5" x14ac:dyDescent="0.25">
      <c r="A24209" t="s">
        <v>7</v>
      </c>
      <c r="B24209" t="s">
        <v>6322</v>
      </c>
      <c r="C24209" s="1" t="s">
        <v>23490</v>
      </c>
      <c r="D24209" s="1" t="str">
        <f>HYPERLINK("https://rhld.insurance.arkansas.gov/NPILookup?Npi=1235453192","1235453192")</f>
        <v>1235453192</v>
      </c>
      <c r="E24209" t="s">
        <v>6484</v>
      </c>
    </row>
    <row r="24210" spans="1:5" x14ac:dyDescent="0.25">
      <c r="A24210" t="s">
        <v>7</v>
      </c>
      <c r="B24210" t="s">
        <v>6322</v>
      </c>
      <c r="C24210" s="1" t="s">
        <v>23490</v>
      </c>
      <c r="D24210" s="1" t="str">
        <f>HYPERLINK("https://rhld.insurance.arkansas.gov/NPILookup?Npi=1235567504","1235567504")</f>
        <v>1235567504</v>
      </c>
      <c r="E24210" t="s">
        <v>6356</v>
      </c>
    </row>
    <row r="24211" spans="1:5" x14ac:dyDescent="0.25">
      <c r="A24211" t="s">
        <v>7</v>
      </c>
      <c r="B24211" t="s">
        <v>6322</v>
      </c>
      <c r="C24211" s="1" t="s">
        <v>23490</v>
      </c>
      <c r="D24211" s="1" t="str">
        <f>HYPERLINK("https://rhld.insurance.arkansas.gov/NPILookup?Npi=1245260868","1245260868")</f>
        <v>1245260868</v>
      </c>
      <c r="E24211" t="s">
        <v>4080</v>
      </c>
    </row>
    <row r="24212" spans="1:5" x14ac:dyDescent="0.25">
      <c r="A24212" t="s">
        <v>7</v>
      </c>
      <c r="B24212" t="s">
        <v>6322</v>
      </c>
      <c r="C24212" s="1" t="s">
        <v>23490</v>
      </c>
      <c r="D24212" s="1" t="str">
        <f>HYPERLINK("https://rhld.insurance.arkansas.gov/NPILookup?Npi=1245284769","1245284769")</f>
        <v>1245284769</v>
      </c>
      <c r="E24212" t="s">
        <v>4094</v>
      </c>
    </row>
    <row r="24213" spans="1:5" x14ac:dyDescent="0.25">
      <c r="A24213" t="s">
        <v>7</v>
      </c>
      <c r="B24213" t="s">
        <v>6322</v>
      </c>
      <c r="C24213" s="1" t="s">
        <v>23490</v>
      </c>
      <c r="D24213" s="1" t="str">
        <f>HYPERLINK("https://rhld.insurance.arkansas.gov/NPILookup?Npi=1245590066","1245590066")</f>
        <v>1245590066</v>
      </c>
      <c r="E24213" t="s">
        <v>6357</v>
      </c>
    </row>
    <row r="24214" spans="1:5" x14ac:dyDescent="0.25">
      <c r="A24214" t="s">
        <v>7</v>
      </c>
      <c r="B24214" t="s">
        <v>6322</v>
      </c>
      <c r="C24214" s="1" t="s">
        <v>23490</v>
      </c>
      <c r="D24214" s="1" t="str">
        <f>HYPERLINK("https://rhld.insurance.arkansas.gov/NPILookup?Npi=1245604073","1245604073")</f>
        <v>1245604073</v>
      </c>
      <c r="E24214" t="s">
        <v>18524</v>
      </c>
    </row>
    <row r="24215" spans="1:5" x14ac:dyDescent="0.25">
      <c r="A24215" t="s">
        <v>7</v>
      </c>
      <c r="B24215" t="s">
        <v>6322</v>
      </c>
      <c r="C24215" s="1" t="s">
        <v>23490</v>
      </c>
      <c r="D24215" s="1" t="str">
        <f>HYPERLINK("https://rhld.insurance.arkansas.gov/NPILookup?Npi=1245736214","1245736214")</f>
        <v>1245736214</v>
      </c>
      <c r="E24215" t="s">
        <v>14365</v>
      </c>
    </row>
    <row r="24216" spans="1:5" x14ac:dyDescent="0.25">
      <c r="A24216" t="s">
        <v>7</v>
      </c>
      <c r="B24216" t="s">
        <v>6322</v>
      </c>
      <c r="C24216" s="1" t="s">
        <v>23490</v>
      </c>
      <c r="D24216" s="1" t="str">
        <f>HYPERLINK("https://rhld.insurance.arkansas.gov/NPILookup?Npi=1245962042","1245962042")</f>
        <v>1245962042</v>
      </c>
      <c r="E24216" t="s">
        <v>22508</v>
      </c>
    </row>
    <row r="24217" spans="1:5" x14ac:dyDescent="0.25">
      <c r="A24217" t="s">
        <v>7</v>
      </c>
      <c r="B24217" t="s">
        <v>6322</v>
      </c>
      <c r="C24217" s="1" t="s">
        <v>23490</v>
      </c>
      <c r="D24217" s="1" t="str">
        <f>HYPERLINK("https://rhld.insurance.arkansas.gov/NPILookup?Npi=1255332086","1255332086")</f>
        <v>1255332086</v>
      </c>
      <c r="E24217" t="s">
        <v>6358</v>
      </c>
    </row>
    <row r="24218" spans="1:5" x14ac:dyDescent="0.25">
      <c r="A24218" t="s">
        <v>7</v>
      </c>
      <c r="B24218" t="s">
        <v>6322</v>
      </c>
      <c r="C24218" s="1" t="s">
        <v>23490</v>
      </c>
      <c r="D24218" s="1" t="str">
        <f>HYPERLINK("https://rhld.insurance.arkansas.gov/NPILookup?Npi=1255497137","1255497137")</f>
        <v>1255497137</v>
      </c>
      <c r="E24218" t="s">
        <v>6359</v>
      </c>
    </row>
    <row r="24219" spans="1:5" x14ac:dyDescent="0.25">
      <c r="A24219" t="s">
        <v>7</v>
      </c>
      <c r="B24219" t="s">
        <v>6322</v>
      </c>
      <c r="C24219" s="1" t="s">
        <v>23490</v>
      </c>
      <c r="D24219" s="1" t="str">
        <f>HYPERLINK("https://rhld.insurance.arkansas.gov/NPILookup?Npi=1255721825","1255721825")</f>
        <v>1255721825</v>
      </c>
      <c r="E24219" t="s">
        <v>9209</v>
      </c>
    </row>
    <row r="24220" spans="1:5" x14ac:dyDescent="0.25">
      <c r="A24220" t="s">
        <v>7</v>
      </c>
      <c r="B24220" t="s">
        <v>6322</v>
      </c>
      <c r="C24220" s="1" t="s">
        <v>23490</v>
      </c>
      <c r="D24220" s="1" t="str">
        <f>HYPERLINK("https://rhld.insurance.arkansas.gov/NPILookup?Npi=1255765046","1255765046")</f>
        <v>1255765046</v>
      </c>
      <c r="E24220" t="s">
        <v>6360</v>
      </c>
    </row>
    <row r="24221" spans="1:5" x14ac:dyDescent="0.25">
      <c r="A24221" t="s">
        <v>7</v>
      </c>
      <c r="B24221" t="s">
        <v>6322</v>
      </c>
      <c r="C24221" s="1" t="s">
        <v>23490</v>
      </c>
      <c r="D24221" s="1" t="str">
        <f>HYPERLINK("https://rhld.insurance.arkansas.gov/NPILookup?Npi=1255802666","1255802666")</f>
        <v>1255802666</v>
      </c>
      <c r="E24221" t="s">
        <v>18525</v>
      </c>
    </row>
    <row r="24222" spans="1:5" x14ac:dyDescent="0.25">
      <c r="A24222" t="s">
        <v>7</v>
      </c>
      <c r="B24222" t="s">
        <v>6322</v>
      </c>
      <c r="C24222" s="1" t="s">
        <v>23490</v>
      </c>
      <c r="D24222" s="1" t="str">
        <f>HYPERLINK("https://rhld.insurance.arkansas.gov/NPILookup?Npi=1255815676","1255815676")</f>
        <v>1255815676</v>
      </c>
      <c r="E24222" t="s">
        <v>16373</v>
      </c>
    </row>
    <row r="24223" spans="1:5" x14ac:dyDescent="0.25">
      <c r="A24223" t="s">
        <v>7</v>
      </c>
      <c r="B24223" t="s">
        <v>6322</v>
      </c>
      <c r="C24223" s="1" t="s">
        <v>23490</v>
      </c>
      <c r="D24223" s="1" t="str">
        <f>HYPERLINK("https://rhld.insurance.arkansas.gov/NPILookup?Npi=1265407001","1265407001")</f>
        <v>1265407001</v>
      </c>
      <c r="E24223" t="s">
        <v>6487</v>
      </c>
    </row>
    <row r="24224" spans="1:5" x14ac:dyDescent="0.25">
      <c r="A24224" t="s">
        <v>7</v>
      </c>
      <c r="B24224" t="s">
        <v>6322</v>
      </c>
      <c r="C24224" s="1" t="s">
        <v>23490</v>
      </c>
      <c r="D24224" s="1" t="str">
        <f>HYPERLINK("https://rhld.insurance.arkansas.gov/NPILookup?Npi=1265421085","1265421085")</f>
        <v>1265421085</v>
      </c>
      <c r="E24224" t="s">
        <v>6361</v>
      </c>
    </row>
    <row r="24225" spans="1:5" x14ac:dyDescent="0.25">
      <c r="A24225" t="s">
        <v>7</v>
      </c>
      <c r="B24225" t="s">
        <v>6322</v>
      </c>
      <c r="C24225" s="1" t="s">
        <v>23490</v>
      </c>
      <c r="D24225" s="1" t="str">
        <f>HYPERLINK("https://rhld.insurance.arkansas.gov/NPILookup?Npi=1265629851","1265629851")</f>
        <v>1265629851</v>
      </c>
      <c r="E24225" t="s">
        <v>7575</v>
      </c>
    </row>
    <row r="24226" spans="1:5" x14ac:dyDescent="0.25">
      <c r="A24226" t="s">
        <v>7</v>
      </c>
      <c r="B24226" t="s">
        <v>6322</v>
      </c>
      <c r="C24226" s="1" t="s">
        <v>23490</v>
      </c>
      <c r="D24226" s="1" t="str">
        <f>HYPERLINK("https://rhld.insurance.arkansas.gov/NPILookup?Npi=1265899504","1265899504")</f>
        <v>1265899504</v>
      </c>
      <c r="E24226" t="s">
        <v>14366</v>
      </c>
    </row>
    <row r="24227" spans="1:5" x14ac:dyDescent="0.25">
      <c r="A24227" t="s">
        <v>7</v>
      </c>
      <c r="B24227" t="s">
        <v>6322</v>
      </c>
      <c r="C24227" s="1" t="s">
        <v>23490</v>
      </c>
      <c r="D24227" s="1" t="str">
        <f>HYPERLINK("https://rhld.insurance.arkansas.gov/NPILookup?Npi=1275504128","1275504128")</f>
        <v>1275504128</v>
      </c>
      <c r="E24227" t="s">
        <v>6461</v>
      </c>
    </row>
    <row r="24228" spans="1:5" x14ac:dyDescent="0.25">
      <c r="A24228" t="s">
        <v>7</v>
      </c>
      <c r="B24228" t="s">
        <v>6322</v>
      </c>
      <c r="C24228" s="1" t="s">
        <v>23490</v>
      </c>
      <c r="D24228" s="1" t="str">
        <f>HYPERLINK("https://rhld.insurance.arkansas.gov/NPILookup?Npi=1275708885","1275708885")</f>
        <v>1275708885</v>
      </c>
      <c r="E24228" t="s">
        <v>7544</v>
      </c>
    </row>
    <row r="24229" spans="1:5" x14ac:dyDescent="0.25">
      <c r="A24229" t="s">
        <v>7</v>
      </c>
      <c r="B24229" t="s">
        <v>6322</v>
      </c>
      <c r="C24229" s="1" t="s">
        <v>23490</v>
      </c>
      <c r="D24229" s="1" t="str">
        <f>HYPERLINK("https://rhld.insurance.arkansas.gov/NPILookup?Npi=1285059261","1285059261")</f>
        <v>1285059261</v>
      </c>
      <c r="E24229" t="s">
        <v>11987</v>
      </c>
    </row>
    <row r="24230" spans="1:5" x14ac:dyDescent="0.25">
      <c r="A24230" t="s">
        <v>7</v>
      </c>
      <c r="B24230" t="s">
        <v>6322</v>
      </c>
      <c r="C24230" s="1" t="s">
        <v>23490</v>
      </c>
      <c r="D24230" s="1" t="str">
        <f>HYPERLINK("https://rhld.insurance.arkansas.gov/NPILookup?Npi=1285118661","1285118661")</f>
        <v>1285118661</v>
      </c>
      <c r="E24230" t="s">
        <v>16374</v>
      </c>
    </row>
    <row r="24231" spans="1:5" x14ac:dyDescent="0.25">
      <c r="A24231" t="s">
        <v>7</v>
      </c>
      <c r="B24231" t="s">
        <v>6322</v>
      </c>
      <c r="C24231" s="1" t="s">
        <v>23490</v>
      </c>
      <c r="D24231" s="1" t="str">
        <f>HYPERLINK("https://rhld.insurance.arkansas.gov/NPILookup?Npi=1295036986","1295036986")</f>
        <v>1295036986</v>
      </c>
      <c r="E24231" t="s">
        <v>14367</v>
      </c>
    </row>
    <row r="24232" spans="1:5" x14ac:dyDescent="0.25">
      <c r="A24232" t="s">
        <v>7</v>
      </c>
      <c r="B24232" t="s">
        <v>6322</v>
      </c>
      <c r="C24232" s="1" t="s">
        <v>23490</v>
      </c>
      <c r="D24232" s="1" t="str">
        <f>HYPERLINK("https://rhld.insurance.arkansas.gov/NPILookup?Npi=1295119956","1295119956")</f>
        <v>1295119956</v>
      </c>
      <c r="E24232" t="s">
        <v>17267</v>
      </c>
    </row>
    <row r="24233" spans="1:5" x14ac:dyDescent="0.25">
      <c r="A24233" t="s">
        <v>7</v>
      </c>
      <c r="B24233" t="s">
        <v>6322</v>
      </c>
      <c r="C24233" s="1" t="s">
        <v>23490</v>
      </c>
      <c r="D24233" s="1" t="str">
        <f>HYPERLINK("https://rhld.insurance.arkansas.gov/NPILookup?Npi=1295482974","1295482974")</f>
        <v>1295482974</v>
      </c>
      <c r="E24233" t="s">
        <v>21254</v>
      </c>
    </row>
    <row r="24234" spans="1:5" x14ac:dyDescent="0.25">
      <c r="A24234" t="s">
        <v>7</v>
      </c>
      <c r="B24234" t="s">
        <v>6322</v>
      </c>
      <c r="C24234" s="1" t="s">
        <v>23490</v>
      </c>
      <c r="D24234" s="1" t="str">
        <f>HYPERLINK("https://rhld.insurance.arkansas.gov/NPILookup?Npi=1295726669","1295726669")</f>
        <v>1295726669</v>
      </c>
      <c r="E24234" t="s">
        <v>14368</v>
      </c>
    </row>
    <row r="24235" spans="1:5" x14ac:dyDescent="0.25">
      <c r="A24235" t="s">
        <v>7</v>
      </c>
      <c r="B24235" t="s">
        <v>6322</v>
      </c>
      <c r="C24235" s="1" t="s">
        <v>23490</v>
      </c>
      <c r="D24235" s="1" t="str">
        <f>HYPERLINK("https://rhld.insurance.arkansas.gov/NPILookup?Npi=1295733202","1295733202")</f>
        <v>1295733202</v>
      </c>
      <c r="E24235" t="s">
        <v>6362</v>
      </c>
    </row>
    <row r="24236" spans="1:5" x14ac:dyDescent="0.25">
      <c r="A24236" t="s">
        <v>7</v>
      </c>
      <c r="B24236" t="s">
        <v>6322</v>
      </c>
      <c r="C24236" s="1" t="s">
        <v>23490</v>
      </c>
      <c r="D24236" s="1" t="str">
        <f>HYPERLINK("https://rhld.insurance.arkansas.gov/NPILookup?Npi=1295736734","1295736734")</f>
        <v>1295736734</v>
      </c>
      <c r="E24236" t="s">
        <v>7539</v>
      </c>
    </row>
    <row r="24237" spans="1:5" x14ac:dyDescent="0.25">
      <c r="A24237" t="s">
        <v>7</v>
      </c>
      <c r="B24237" t="s">
        <v>6322</v>
      </c>
      <c r="C24237" s="1" t="s">
        <v>23490</v>
      </c>
      <c r="D24237" s="1" t="str">
        <f>HYPERLINK("https://rhld.insurance.arkansas.gov/NPILookup?Npi=1295767689","1295767689")</f>
        <v>1295767689</v>
      </c>
      <c r="E24237" t="s">
        <v>7540</v>
      </c>
    </row>
    <row r="24238" spans="1:5" x14ac:dyDescent="0.25">
      <c r="A24238" t="s">
        <v>7</v>
      </c>
      <c r="B24238" t="s">
        <v>6322</v>
      </c>
      <c r="C24238" s="1" t="s">
        <v>23490</v>
      </c>
      <c r="D24238" s="1" t="str">
        <f>HYPERLINK("https://rhld.insurance.arkansas.gov/NPILookup?Npi=1295980316","1295980316")</f>
        <v>1295980316</v>
      </c>
      <c r="E24238" t="s">
        <v>6363</v>
      </c>
    </row>
    <row r="24239" spans="1:5" x14ac:dyDescent="0.25">
      <c r="A24239" t="s">
        <v>7</v>
      </c>
      <c r="B24239" t="s">
        <v>6322</v>
      </c>
      <c r="C24239" s="1" t="s">
        <v>23490</v>
      </c>
      <c r="D24239" s="1" t="str">
        <f>HYPERLINK("https://rhld.insurance.arkansas.gov/NPILookup?Npi=1306125018","1306125018")</f>
        <v>1306125018</v>
      </c>
      <c r="E24239" t="s">
        <v>17699</v>
      </c>
    </row>
    <row r="24240" spans="1:5" x14ac:dyDescent="0.25">
      <c r="A24240" t="s">
        <v>7</v>
      </c>
      <c r="B24240" t="s">
        <v>6322</v>
      </c>
      <c r="C24240" s="1" t="s">
        <v>23490</v>
      </c>
      <c r="D24240" s="1" t="str">
        <f>HYPERLINK("https://rhld.insurance.arkansas.gov/NPILookup?Npi=1306166533","1306166533")</f>
        <v>1306166533</v>
      </c>
      <c r="E24240" t="s">
        <v>18526</v>
      </c>
    </row>
    <row r="24241" spans="1:5" x14ac:dyDescent="0.25">
      <c r="A24241" t="s">
        <v>7</v>
      </c>
      <c r="B24241" t="s">
        <v>6322</v>
      </c>
      <c r="C24241" s="1" t="s">
        <v>23490</v>
      </c>
      <c r="D24241" s="1" t="str">
        <f>HYPERLINK("https://rhld.insurance.arkansas.gov/NPILookup?Npi=1306279708","1306279708")</f>
        <v>1306279708</v>
      </c>
      <c r="E24241" t="s">
        <v>6364</v>
      </c>
    </row>
    <row r="24242" spans="1:5" x14ac:dyDescent="0.25">
      <c r="A24242" t="s">
        <v>7</v>
      </c>
      <c r="B24242" t="s">
        <v>6322</v>
      </c>
      <c r="C24242" s="1" t="s">
        <v>23490</v>
      </c>
      <c r="D24242" s="1" t="str">
        <f>HYPERLINK("https://rhld.insurance.arkansas.gov/NPILookup?Npi=1306279716","1306279716")</f>
        <v>1306279716</v>
      </c>
      <c r="E24242" t="s">
        <v>6365</v>
      </c>
    </row>
    <row r="24243" spans="1:5" x14ac:dyDescent="0.25">
      <c r="A24243" t="s">
        <v>7</v>
      </c>
      <c r="B24243" t="s">
        <v>6322</v>
      </c>
      <c r="C24243" s="1" t="s">
        <v>23490</v>
      </c>
      <c r="D24243" s="1" t="str">
        <f>HYPERLINK("https://rhld.insurance.arkansas.gov/NPILookup?Npi=1306575881","1306575881")</f>
        <v>1306575881</v>
      </c>
      <c r="E24243" t="s">
        <v>21255</v>
      </c>
    </row>
    <row r="24244" spans="1:5" x14ac:dyDescent="0.25">
      <c r="A24244" t="s">
        <v>7</v>
      </c>
      <c r="B24244" t="s">
        <v>6322</v>
      </c>
      <c r="C24244" s="1" t="s">
        <v>23490</v>
      </c>
      <c r="D24244" s="1" t="str">
        <f>HYPERLINK("https://rhld.insurance.arkansas.gov/NPILookup?Npi=1306826029","1306826029")</f>
        <v>1306826029</v>
      </c>
      <c r="E24244" t="s">
        <v>7544</v>
      </c>
    </row>
    <row r="24245" spans="1:5" x14ac:dyDescent="0.25">
      <c r="A24245" t="s">
        <v>7</v>
      </c>
      <c r="B24245" t="s">
        <v>6322</v>
      </c>
      <c r="C24245" s="1" t="s">
        <v>23490</v>
      </c>
      <c r="D24245" s="1" t="str">
        <f>HYPERLINK("https://rhld.insurance.arkansas.gov/NPILookup?Npi=1306847108","1306847108")</f>
        <v>1306847108</v>
      </c>
      <c r="E24245" t="s">
        <v>6358</v>
      </c>
    </row>
    <row r="24246" spans="1:5" x14ac:dyDescent="0.25">
      <c r="A24246" t="s">
        <v>7</v>
      </c>
      <c r="B24246" t="s">
        <v>6322</v>
      </c>
      <c r="C24246" s="1" t="s">
        <v>23490</v>
      </c>
      <c r="D24246" s="1" t="str">
        <f>HYPERLINK("https://rhld.insurance.arkansas.gov/NPILookup?Npi=1316337983","1316337983")</f>
        <v>1316337983</v>
      </c>
      <c r="E24246" t="s">
        <v>6366</v>
      </c>
    </row>
    <row r="24247" spans="1:5" x14ac:dyDescent="0.25">
      <c r="A24247" t="s">
        <v>7</v>
      </c>
      <c r="B24247" t="s">
        <v>6322</v>
      </c>
      <c r="C24247" s="1" t="s">
        <v>23490</v>
      </c>
      <c r="D24247" s="1" t="str">
        <f>HYPERLINK("https://rhld.insurance.arkansas.gov/NPILookup?Npi=1316442395","1316442395")</f>
        <v>1316442395</v>
      </c>
      <c r="E24247" t="s">
        <v>14369</v>
      </c>
    </row>
    <row r="24248" spans="1:5" x14ac:dyDescent="0.25">
      <c r="A24248" t="s">
        <v>7</v>
      </c>
      <c r="B24248" t="s">
        <v>6322</v>
      </c>
      <c r="C24248" s="1" t="s">
        <v>23490</v>
      </c>
      <c r="D24248" s="1" t="str">
        <f>HYPERLINK("https://rhld.insurance.arkansas.gov/NPILookup?Npi=1316694003","1316694003")</f>
        <v>1316694003</v>
      </c>
      <c r="E24248" t="s">
        <v>21256</v>
      </c>
    </row>
    <row r="24249" spans="1:5" x14ac:dyDescent="0.25">
      <c r="A24249" t="s">
        <v>7</v>
      </c>
      <c r="B24249" t="s">
        <v>6322</v>
      </c>
      <c r="C24249" s="1" t="s">
        <v>23490</v>
      </c>
      <c r="D24249" s="1" t="str">
        <f>HYPERLINK("https://rhld.insurance.arkansas.gov/NPILookup?Npi=1316957400","1316957400")</f>
        <v>1316957400</v>
      </c>
      <c r="E24249" t="s">
        <v>6367</v>
      </c>
    </row>
    <row r="24250" spans="1:5" x14ac:dyDescent="0.25">
      <c r="A24250" t="s">
        <v>7</v>
      </c>
      <c r="B24250" t="s">
        <v>6322</v>
      </c>
      <c r="C24250" s="1" t="s">
        <v>23490</v>
      </c>
      <c r="D24250" s="1" t="str">
        <f>HYPERLINK("https://rhld.insurance.arkansas.gov/NPILookup?Npi=1326040007","1326040007")</f>
        <v>1326040007</v>
      </c>
      <c r="E24250" t="s">
        <v>12006</v>
      </c>
    </row>
    <row r="24251" spans="1:5" x14ac:dyDescent="0.25">
      <c r="A24251" t="s">
        <v>7</v>
      </c>
      <c r="B24251" t="s">
        <v>6322</v>
      </c>
      <c r="C24251" s="1" t="s">
        <v>23490</v>
      </c>
      <c r="D24251" s="1" t="str">
        <f>HYPERLINK("https://rhld.insurance.arkansas.gov/NPILookup?Npi=1326190778","1326190778")</f>
        <v>1326190778</v>
      </c>
      <c r="E24251" t="s">
        <v>6368</v>
      </c>
    </row>
    <row r="24252" spans="1:5" x14ac:dyDescent="0.25">
      <c r="A24252" t="s">
        <v>7</v>
      </c>
      <c r="B24252" t="s">
        <v>6322</v>
      </c>
      <c r="C24252" s="1" t="s">
        <v>23490</v>
      </c>
      <c r="D24252" s="1" t="str">
        <f>HYPERLINK("https://rhld.insurance.arkansas.gov/NPILookup?Npi=1326471723","1326471723")</f>
        <v>1326471723</v>
      </c>
      <c r="E24252" t="s">
        <v>6369</v>
      </c>
    </row>
    <row r="24253" spans="1:5" x14ac:dyDescent="0.25">
      <c r="A24253" t="s">
        <v>7</v>
      </c>
      <c r="B24253" t="s">
        <v>6322</v>
      </c>
      <c r="C24253" s="1" t="s">
        <v>23490</v>
      </c>
      <c r="D24253" s="1" t="str">
        <f>HYPERLINK("https://rhld.insurance.arkansas.gov/NPILookup?Npi=1326582214","1326582214")</f>
        <v>1326582214</v>
      </c>
      <c r="E24253" t="s">
        <v>11988</v>
      </c>
    </row>
    <row r="24254" spans="1:5" x14ac:dyDescent="0.25">
      <c r="A24254" t="s">
        <v>7</v>
      </c>
      <c r="B24254" t="s">
        <v>6322</v>
      </c>
      <c r="C24254" s="1" t="s">
        <v>23490</v>
      </c>
      <c r="D24254" s="1" t="str">
        <f>HYPERLINK("https://rhld.insurance.arkansas.gov/NPILookup?Npi=1336112986","1336112986")</f>
        <v>1336112986</v>
      </c>
      <c r="E24254" t="s">
        <v>6370</v>
      </c>
    </row>
    <row r="24255" spans="1:5" x14ac:dyDescent="0.25">
      <c r="A24255" t="s">
        <v>7</v>
      </c>
      <c r="B24255" t="s">
        <v>6322</v>
      </c>
      <c r="C24255" s="1" t="s">
        <v>23490</v>
      </c>
      <c r="D24255" s="1" t="str">
        <f>HYPERLINK("https://rhld.insurance.arkansas.gov/NPILookup?Npi=1336174960","1336174960")</f>
        <v>1336174960</v>
      </c>
      <c r="E24255" t="s">
        <v>6371</v>
      </c>
    </row>
    <row r="24256" spans="1:5" x14ac:dyDescent="0.25">
      <c r="A24256" t="s">
        <v>7</v>
      </c>
      <c r="B24256" t="s">
        <v>6322</v>
      </c>
      <c r="C24256" s="1" t="s">
        <v>23490</v>
      </c>
      <c r="D24256" s="1" t="str">
        <f>HYPERLINK("https://rhld.insurance.arkansas.gov/NPILookup?Npi=1336273812","1336273812")</f>
        <v>1336273812</v>
      </c>
      <c r="E24256" t="s">
        <v>6372</v>
      </c>
    </row>
    <row r="24257" spans="1:5" x14ac:dyDescent="0.25">
      <c r="A24257" t="s">
        <v>7</v>
      </c>
      <c r="B24257" t="s">
        <v>6322</v>
      </c>
      <c r="C24257" s="1" t="s">
        <v>23490</v>
      </c>
      <c r="D24257" s="1" t="str">
        <f>HYPERLINK("https://rhld.insurance.arkansas.gov/NPILookup?Npi=1336310325","1336310325")</f>
        <v>1336310325</v>
      </c>
      <c r="E24257" t="s">
        <v>6373</v>
      </c>
    </row>
    <row r="24258" spans="1:5" x14ac:dyDescent="0.25">
      <c r="A24258" t="s">
        <v>7</v>
      </c>
      <c r="B24258" t="s">
        <v>6322</v>
      </c>
      <c r="C24258" s="1" t="s">
        <v>23490</v>
      </c>
      <c r="D24258" s="1" t="str">
        <f>HYPERLINK("https://rhld.insurance.arkansas.gov/NPILookup?Npi=1336695477","1336695477")</f>
        <v>1336695477</v>
      </c>
      <c r="E24258" t="s">
        <v>11989</v>
      </c>
    </row>
    <row r="24259" spans="1:5" x14ac:dyDescent="0.25">
      <c r="A24259" t="s">
        <v>7</v>
      </c>
      <c r="B24259" t="s">
        <v>6322</v>
      </c>
      <c r="C24259" s="1" t="s">
        <v>23490</v>
      </c>
      <c r="D24259" s="1" t="str">
        <f>HYPERLINK("https://rhld.insurance.arkansas.gov/NPILookup?Npi=1346545514","1346545514")</f>
        <v>1346545514</v>
      </c>
      <c r="E24259" t="s">
        <v>6374</v>
      </c>
    </row>
    <row r="24260" spans="1:5" x14ac:dyDescent="0.25">
      <c r="A24260" t="s">
        <v>7</v>
      </c>
      <c r="B24260" t="s">
        <v>6322</v>
      </c>
      <c r="C24260" s="1" t="s">
        <v>23490</v>
      </c>
      <c r="D24260" s="1" t="str">
        <f>HYPERLINK("https://rhld.insurance.arkansas.gov/NPILookup?Npi=1356308860","1356308860")</f>
        <v>1356308860</v>
      </c>
      <c r="E24260" t="s">
        <v>6375</v>
      </c>
    </row>
    <row r="24261" spans="1:5" x14ac:dyDescent="0.25">
      <c r="A24261" t="s">
        <v>7</v>
      </c>
      <c r="B24261" t="s">
        <v>6322</v>
      </c>
      <c r="C24261" s="1" t="s">
        <v>23490</v>
      </c>
      <c r="D24261" s="1" t="str">
        <f>HYPERLINK("https://rhld.insurance.arkansas.gov/NPILookup?Npi=1356330179","1356330179")</f>
        <v>1356330179</v>
      </c>
      <c r="E24261" t="s">
        <v>6376</v>
      </c>
    </row>
    <row r="24262" spans="1:5" x14ac:dyDescent="0.25">
      <c r="A24262" t="s">
        <v>7</v>
      </c>
      <c r="B24262" t="s">
        <v>6322</v>
      </c>
      <c r="C24262" s="1" t="s">
        <v>23490</v>
      </c>
      <c r="D24262" s="1" t="str">
        <f>HYPERLINK("https://rhld.insurance.arkansas.gov/NPILookup?Npi=1356659544","1356659544")</f>
        <v>1356659544</v>
      </c>
      <c r="E24262" t="s">
        <v>17700</v>
      </c>
    </row>
    <row r="24263" spans="1:5" x14ac:dyDescent="0.25">
      <c r="A24263" t="s">
        <v>7</v>
      </c>
      <c r="B24263" t="s">
        <v>6322</v>
      </c>
      <c r="C24263" s="1" t="s">
        <v>23490</v>
      </c>
      <c r="D24263" s="1" t="str">
        <f>HYPERLINK("https://rhld.insurance.arkansas.gov/NPILookup?Npi=1356702740","1356702740")</f>
        <v>1356702740</v>
      </c>
      <c r="E24263" t="s">
        <v>9210</v>
      </c>
    </row>
    <row r="24264" spans="1:5" x14ac:dyDescent="0.25">
      <c r="A24264" t="s">
        <v>7</v>
      </c>
      <c r="B24264" t="s">
        <v>6322</v>
      </c>
      <c r="C24264" s="1" t="s">
        <v>23490</v>
      </c>
      <c r="D24264" s="1" t="str">
        <f>HYPERLINK("https://rhld.insurance.arkansas.gov/NPILookup?Npi=1356715163","1356715163")</f>
        <v>1356715163</v>
      </c>
      <c r="E24264" t="s">
        <v>16375</v>
      </c>
    </row>
    <row r="24265" spans="1:5" x14ac:dyDescent="0.25">
      <c r="A24265" t="s">
        <v>7</v>
      </c>
      <c r="B24265" t="s">
        <v>6322</v>
      </c>
      <c r="C24265" s="1" t="s">
        <v>23490</v>
      </c>
      <c r="D24265" s="1" t="str">
        <f>HYPERLINK("https://rhld.insurance.arkansas.gov/NPILookup?Npi=1356856637","1356856637")</f>
        <v>1356856637</v>
      </c>
      <c r="E24265" t="s">
        <v>14370</v>
      </c>
    </row>
    <row r="24266" spans="1:5" x14ac:dyDescent="0.25">
      <c r="A24266" t="s">
        <v>7</v>
      </c>
      <c r="B24266" t="s">
        <v>6322</v>
      </c>
      <c r="C24266" s="1" t="s">
        <v>23490</v>
      </c>
      <c r="D24266" s="1" t="str">
        <f>HYPERLINK("https://rhld.insurance.arkansas.gov/NPILookup?Npi=1366089427","1366089427")</f>
        <v>1366089427</v>
      </c>
      <c r="E24266" t="s">
        <v>17268</v>
      </c>
    </row>
    <row r="24267" spans="1:5" x14ac:dyDescent="0.25">
      <c r="A24267" t="s">
        <v>7</v>
      </c>
      <c r="B24267" t="s">
        <v>6322</v>
      </c>
      <c r="C24267" s="1" t="s">
        <v>23490</v>
      </c>
      <c r="D24267" s="1" t="str">
        <f>HYPERLINK("https://rhld.insurance.arkansas.gov/NPILookup?Npi=1366432031","1366432031")</f>
        <v>1366432031</v>
      </c>
      <c r="E24267" t="s">
        <v>6377</v>
      </c>
    </row>
    <row r="24268" spans="1:5" x14ac:dyDescent="0.25">
      <c r="A24268" t="s">
        <v>7</v>
      </c>
      <c r="B24268" t="s">
        <v>6322</v>
      </c>
      <c r="C24268" s="1" t="s">
        <v>23490</v>
      </c>
      <c r="D24268" s="1" t="str">
        <f>HYPERLINK("https://rhld.insurance.arkansas.gov/NPILookup?Npi=1366515256","1366515256")</f>
        <v>1366515256</v>
      </c>
      <c r="E24268" t="s">
        <v>19256</v>
      </c>
    </row>
    <row r="24269" spans="1:5" x14ac:dyDescent="0.25">
      <c r="A24269" t="s">
        <v>7</v>
      </c>
      <c r="B24269" t="s">
        <v>6322</v>
      </c>
      <c r="C24269" s="1" t="s">
        <v>23490</v>
      </c>
      <c r="D24269" s="1" t="str">
        <f>HYPERLINK("https://rhld.insurance.arkansas.gov/NPILookup?Npi=1366603524","1366603524")</f>
        <v>1366603524</v>
      </c>
      <c r="E24269" t="s">
        <v>6378</v>
      </c>
    </row>
    <row r="24270" spans="1:5" x14ac:dyDescent="0.25">
      <c r="A24270" t="s">
        <v>7</v>
      </c>
      <c r="B24270" t="s">
        <v>6322</v>
      </c>
      <c r="C24270" s="1" t="s">
        <v>23490</v>
      </c>
      <c r="D24270" s="1" t="str">
        <f>HYPERLINK("https://rhld.insurance.arkansas.gov/NPILookup?Npi=1366685992","1366685992")</f>
        <v>1366685992</v>
      </c>
      <c r="E24270" t="s">
        <v>7554</v>
      </c>
    </row>
    <row r="24271" spans="1:5" x14ac:dyDescent="0.25">
      <c r="A24271" t="s">
        <v>7</v>
      </c>
      <c r="B24271" t="s">
        <v>6322</v>
      </c>
      <c r="C24271" s="1" t="s">
        <v>23490</v>
      </c>
      <c r="D24271" s="1" t="str">
        <f>HYPERLINK("https://rhld.insurance.arkansas.gov/NPILookup?Npi=1366715401","1366715401")</f>
        <v>1366715401</v>
      </c>
      <c r="E24271" t="s">
        <v>6379</v>
      </c>
    </row>
    <row r="24272" spans="1:5" x14ac:dyDescent="0.25">
      <c r="A24272" t="s">
        <v>7</v>
      </c>
      <c r="B24272" t="s">
        <v>6322</v>
      </c>
      <c r="C24272" s="1" t="s">
        <v>23490</v>
      </c>
      <c r="D24272" s="1" t="str">
        <f>HYPERLINK("https://rhld.insurance.arkansas.gov/NPILookup?Npi=1376917724","1376917724")</f>
        <v>1376917724</v>
      </c>
      <c r="E24272" t="s">
        <v>11990</v>
      </c>
    </row>
    <row r="24273" spans="1:5" x14ac:dyDescent="0.25">
      <c r="A24273" t="s">
        <v>7</v>
      </c>
      <c r="B24273" t="s">
        <v>6322</v>
      </c>
      <c r="C24273" s="1" t="s">
        <v>23490</v>
      </c>
      <c r="D24273" s="1" t="str">
        <f>HYPERLINK("https://rhld.insurance.arkansas.gov/NPILookup?Npi=1376927004","1376927004")</f>
        <v>1376927004</v>
      </c>
      <c r="E24273" t="s">
        <v>17269</v>
      </c>
    </row>
    <row r="24274" spans="1:5" x14ac:dyDescent="0.25">
      <c r="A24274" t="s">
        <v>7</v>
      </c>
      <c r="B24274" t="s">
        <v>6322</v>
      </c>
      <c r="C24274" s="1" t="s">
        <v>23490</v>
      </c>
      <c r="D24274" s="1" t="str">
        <f>HYPERLINK("https://rhld.insurance.arkansas.gov/NPILookup?Npi=1376969931","1376969931")</f>
        <v>1376969931</v>
      </c>
      <c r="E24274" t="s">
        <v>14371</v>
      </c>
    </row>
    <row r="24275" spans="1:5" x14ac:dyDescent="0.25">
      <c r="A24275" t="s">
        <v>7</v>
      </c>
      <c r="B24275" t="s">
        <v>6322</v>
      </c>
      <c r="C24275" s="1" t="s">
        <v>23490</v>
      </c>
      <c r="D24275" s="1" t="str">
        <f>HYPERLINK("https://rhld.insurance.arkansas.gov/NPILookup?Npi=1386077105","1386077105")</f>
        <v>1386077105</v>
      </c>
      <c r="E24275" t="s">
        <v>6380</v>
      </c>
    </row>
    <row r="24276" spans="1:5" x14ac:dyDescent="0.25">
      <c r="A24276" t="s">
        <v>7</v>
      </c>
      <c r="B24276" t="s">
        <v>6322</v>
      </c>
      <c r="C24276" s="1" t="s">
        <v>23490</v>
      </c>
      <c r="D24276" s="1" t="str">
        <f>HYPERLINK("https://rhld.insurance.arkansas.gov/NPILookup?Npi=1386127488","1386127488")</f>
        <v>1386127488</v>
      </c>
      <c r="E24276" t="s">
        <v>16376</v>
      </c>
    </row>
    <row r="24277" spans="1:5" x14ac:dyDescent="0.25">
      <c r="A24277" t="s">
        <v>7</v>
      </c>
      <c r="B24277" t="s">
        <v>6322</v>
      </c>
      <c r="C24277" s="1" t="s">
        <v>23490</v>
      </c>
      <c r="D24277" s="1" t="str">
        <f>HYPERLINK("https://rhld.insurance.arkansas.gov/NPILookup?Npi=1386633998","1386633998")</f>
        <v>1386633998</v>
      </c>
      <c r="E24277" t="s">
        <v>6381</v>
      </c>
    </row>
    <row r="24278" spans="1:5" x14ac:dyDescent="0.25">
      <c r="A24278" t="s">
        <v>7</v>
      </c>
      <c r="B24278" t="s">
        <v>6322</v>
      </c>
      <c r="C24278" s="1" t="s">
        <v>23490</v>
      </c>
      <c r="D24278" s="1" t="str">
        <f>HYPERLINK("https://rhld.insurance.arkansas.gov/NPILookup?Npi=1386678696","1386678696")</f>
        <v>1386678696</v>
      </c>
      <c r="E24278" t="s">
        <v>6382</v>
      </c>
    </row>
    <row r="24279" spans="1:5" x14ac:dyDescent="0.25">
      <c r="A24279" t="s">
        <v>7</v>
      </c>
      <c r="B24279" t="s">
        <v>6322</v>
      </c>
      <c r="C24279" s="1" t="s">
        <v>23490</v>
      </c>
      <c r="D24279" s="1" t="str">
        <f>HYPERLINK("https://rhld.insurance.arkansas.gov/NPILookup?Npi=1386687036","1386687036")</f>
        <v>1386687036</v>
      </c>
      <c r="E24279" t="s">
        <v>7558</v>
      </c>
    </row>
    <row r="24280" spans="1:5" x14ac:dyDescent="0.25">
      <c r="A24280" t="s">
        <v>7</v>
      </c>
      <c r="B24280" t="s">
        <v>6322</v>
      </c>
      <c r="C24280" s="1" t="s">
        <v>23490</v>
      </c>
      <c r="D24280" s="1" t="str">
        <f>HYPERLINK("https://rhld.insurance.arkansas.gov/NPILookup?Npi=1386696557","1386696557")</f>
        <v>1386696557</v>
      </c>
      <c r="E24280" t="s">
        <v>6383</v>
      </c>
    </row>
    <row r="24281" spans="1:5" x14ac:dyDescent="0.25">
      <c r="A24281" t="s">
        <v>7</v>
      </c>
      <c r="B24281" t="s">
        <v>6322</v>
      </c>
      <c r="C24281" s="1" t="s">
        <v>23490</v>
      </c>
      <c r="D24281" s="1" t="str">
        <f>HYPERLINK("https://rhld.insurance.arkansas.gov/NPILookup?Npi=1386718633","1386718633")</f>
        <v>1386718633</v>
      </c>
      <c r="E24281" t="s">
        <v>6384</v>
      </c>
    </row>
    <row r="24282" spans="1:5" x14ac:dyDescent="0.25">
      <c r="A24282" t="s">
        <v>7</v>
      </c>
      <c r="B24282" t="s">
        <v>6322</v>
      </c>
      <c r="C24282" s="1" t="s">
        <v>23490</v>
      </c>
      <c r="D24282" s="1" t="str">
        <f>HYPERLINK("https://rhld.insurance.arkansas.gov/NPILookup?Npi=1386819290","1386819290")</f>
        <v>1386819290</v>
      </c>
      <c r="E24282" t="s">
        <v>14372</v>
      </c>
    </row>
    <row r="24283" spans="1:5" x14ac:dyDescent="0.25">
      <c r="A24283" t="s">
        <v>7</v>
      </c>
      <c r="B24283" t="s">
        <v>6322</v>
      </c>
      <c r="C24283" s="1" t="s">
        <v>23490</v>
      </c>
      <c r="D24283" s="1" t="str">
        <f>HYPERLINK("https://rhld.insurance.arkansas.gov/NPILookup?Npi=1386821650","1386821650")</f>
        <v>1386821650</v>
      </c>
      <c r="E24283" t="s">
        <v>11991</v>
      </c>
    </row>
    <row r="24284" spans="1:5" x14ac:dyDescent="0.25">
      <c r="A24284" t="s">
        <v>7</v>
      </c>
      <c r="B24284" t="s">
        <v>6322</v>
      </c>
      <c r="C24284" s="1" t="s">
        <v>23490</v>
      </c>
      <c r="D24284" s="1" t="str">
        <f>HYPERLINK("https://rhld.insurance.arkansas.gov/NPILookup?Npi=1386926707","1386926707")</f>
        <v>1386926707</v>
      </c>
      <c r="E24284" t="s">
        <v>6385</v>
      </c>
    </row>
    <row r="24285" spans="1:5" x14ac:dyDescent="0.25">
      <c r="A24285" t="s">
        <v>7</v>
      </c>
      <c r="B24285" t="s">
        <v>6322</v>
      </c>
      <c r="C24285" s="1" t="s">
        <v>23490</v>
      </c>
      <c r="D24285" s="1" t="str">
        <f>HYPERLINK("https://rhld.insurance.arkansas.gov/NPILookup?Npi=1396028734","1396028734")</f>
        <v>1396028734</v>
      </c>
      <c r="E24285" t="s">
        <v>6386</v>
      </c>
    </row>
    <row r="24286" spans="1:5" x14ac:dyDescent="0.25">
      <c r="A24286" t="s">
        <v>7</v>
      </c>
      <c r="B24286" t="s">
        <v>6322</v>
      </c>
      <c r="C24286" s="1" t="s">
        <v>23490</v>
      </c>
      <c r="D24286" s="1" t="str">
        <f>HYPERLINK("https://rhld.insurance.arkansas.gov/NPILookup?Npi=1396119731","1396119731")</f>
        <v>1396119731</v>
      </c>
      <c r="E24286" t="s">
        <v>11992</v>
      </c>
    </row>
    <row r="24287" spans="1:5" x14ac:dyDescent="0.25">
      <c r="A24287" t="s">
        <v>7</v>
      </c>
      <c r="B24287" t="s">
        <v>6322</v>
      </c>
      <c r="C24287" s="1" t="s">
        <v>23490</v>
      </c>
      <c r="D24287" s="1" t="str">
        <f>HYPERLINK("https://rhld.insurance.arkansas.gov/NPILookup?Npi=1396129060","1396129060")</f>
        <v>1396129060</v>
      </c>
      <c r="E24287" t="s">
        <v>17270</v>
      </c>
    </row>
    <row r="24288" spans="1:5" x14ac:dyDescent="0.25">
      <c r="A24288" t="s">
        <v>7</v>
      </c>
      <c r="B24288" t="s">
        <v>6322</v>
      </c>
      <c r="C24288" s="1" t="s">
        <v>23490</v>
      </c>
      <c r="D24288" s="1" t="str">
        <f>HYPERLINK("https://rhld.insurance.arkansas.gov/NPILookup?Npi=1396307013","1396307013")</f>
        <v>1396307013</v>
      </c>
      <c r="E24288" t="s">
        <v>18527</v>
      </c>
    </row>
    <row r="24289" spans="1:5" x14ac:dyDescent="0.25">
      <c r="A24289" t="s">
        <v>7</v>
      </c>
      <c r="B24289" t="s">
        <v>6322</v>
      </c>
      <c r="C24289" s="1" t="s">
        <v>23490</v>
      </c>
      <c r="D24289" s="1" t="str">
        <f>HYPERLINK("https://rhld.insurance.arkansas.gov/NPILookup?Npi=1396320255","1396320255")</f>
        <v>1396320255</v>
      </c>
      <c r="E24289" t="s">
        <v>20704</v>
      </c>
    </row>
    <row r="24290" spans="1:5" x14ac:dyDescent="0.25">
      <c r="A24290" t="s">
        <v>7</v>
      </c>
      <c r="B24290" t="s">
        <v>6322</v>
      </c>
      <c r="C24290" s="1" t="s">
        <v>23490</v>
      </c>
      <c r="D24290" s="1" t="str">
        <f>HYPERLINK("https://rhld.insurance.arkansas.gov/NPILookup?Npi=1396734000","1396734000")</f>
        <v>1396734000</v>
      </c>
      <c r="E24290" t="s">
        <v>6387</v>
      </c>
    </row>
    <row r="24291" spans="1:5" x14ac:dyDescent="0.25">
      <c r="A24291" t="s">
        <v>7</v>
      </c>
      <c r="B24291" t="s">
        <v>6322</v>
      </c>
      <c r="C24291" s="1" t="s">
        <v>23490</v>
      </c>
      <c r="D24291" s="1" t="str">
        <f>HYPERLINK("https://rhld.insurance.arkansas.gov/NPILookup?Npi=1396767158","1396767158")</f>
        <v>1396767158</v>
      </c>
      <c r="E24291" t="s">
        <v>4078</v>
      </c>
    </row>
    <row r="24292" spans="1:5" x14ac:dyDescent="0.25">
      <c r="A24292" t="s">
        <v>7</v>
      </c>
      <c r="B24292" t="s">
        <v>6322</v>
      </c>
      <c r="C24292" s="1" t="s">
        <v>23490</v>
      </c>
      <c r="D24292" s="1" t="str">
        <f>HYPERLINK("https://rhld.insurance.arkansas.gov/NPILookup?Npi=1396797569","1396797569")</f>
        <v>1396797569</v>
      </c>
      <c r="E24292" t="s">
        <v>6388</v>
      </c>
    </row>
    <row r="24293" spans="1:5" x14ac:dyDescent="0.25">
      <c r="A24293" t="s">
        <v>7</v>
      </c>
      <c r="B24293" t="s">
        <v>6322</v>
      </c>
      <c r="C24293" s="1" t="s">
        <v>23490</v>
      </c>
      <c r="D24293" s="1" t="str">
        <f>HYPERLINK("https://rhld.insurance.arkansas.gov/NPILookup?Npi=1396841094","1396841094")</f>
        <v>1396841094</v>
      </c>
      <c r="E24293" t="s">
        <v>6389</v>
      </c>
    </row>
    <row r="24294" spans="1:5" x14ac:dyDescent="0.25">
      <c r="A24294" t="s">
        <v>7</v>
      </c>
      <c r="B24294" t="s">
        <v>6322</v>
      </c>
      <c r="C24294" s="1" t="s">
        <v>23490</v>
      </c>
      <c r="D24294" s="1" t="str">
        <f>HYPERLINK("https://rhld.insurance.arkansas.gov/NPILookup?Npi=1407034556","1407034556")</f>
        <v>1407034556</v>
      </c>
      <c r="E24294" t="s">
        <v>11993</v>
      </c>
    </row>
    <row r="24295" spans="1:5" x14ac:dyDescent="0.25">
      <c r="A24295" t="s">
        <v>7</v>
      </c>
      <c r="B24295" t="s">
        <v>6322</v>
      </c>
      <c r="C24295" s="1" t="s">
        <v>23490</v>
      </c>
      <c r="D24295" s="1" t="str">
        <f>HYPERLINK("https://rhld.insurance.arkansas.gov/NPILookup?Npi=1407090202","1407090202")</f>
        <v>1407090202</v>
      </c>
      <c r="E24295" t="s">
        <v>18528</v>
      </c>
    </row>
    <row r="24296" spans="1:5" x14ac:dyDescent="0.25">
      <c r="A24296" t="s">
        <v>7</v>
      </c>
      <c r="B24296" t="s">
        <v>6322</v>
      </c>
      <c r="C24296" s="1" t="s">
        <v>23490</v>
      </c>
      <c r="D24296" s="1" t="str">
        <f>HYPERLINK("https://rhld.insurance.arkansas.gov/NPILookup?Npi=1407280860","1407280860")</f>
        <v>1407280860</v>
      </c>
      <c r="E24296" t="s">
        <v>6390</v>
      </c>
    </row>
    <row r="24297" spans="1:5" x14ac:dyDescent="0.25">
      <c r="A24297" t="s">
        <v>7</v>
      </c>
      <c r="B24297" t="s">
        <v>6322</v>
      </c>
      <c r="C24297" s="1" t="s">
        <v>23490</v>
      </c>
      <c r="D24297" s="1" t="str">
        <f>HYPERLINK("https://rhld.insurance.arkansas.gov/NPILookup?Npi=1407813173","1407813173")</f>
        <v>1407813173</v>
      </c>
      <c r="E24297" t="s">
        <v>6391</v>
      </c>
    </row>
    <row r="24298" spans="1:5" x14ac:dyDescent="0.25">
      <c r="A24298" t="s">
        <v>7</v>
      </c>
      <c r="B24298" t="s">
        <v>6322</v>
      </c>
      <c r="C24298" s="1" t="s">
        <v>23490</v>
      </c>
      <c r="D24298" s="1" t="str">
        <f>HYPERLINK("https://rhld.insurance.arkansas.gov/NPILookup?Npi=1407866593","1407866593")</f>
        <v>1407866593</v>
      </c>
      <c r="E24298" t="s">
        <v>6392</v>
      </c>
    </row>
    <row r="24299" spans="1:5" x14ac:dyDescent="0.25">
      <c r="A24299" t="s">
        <v>7</v>
      </c>
      <c r="B24299" t="s">
        <v>6322</v>
      </c>
      <c r="C24299" s="1" t="s">
        <v>23490</v>
      </c>
      <c r="D24299" s="1" t="str">
        <f>HYPERLINK("https://rhld.insurance.arkansas.gov/NPILookup?Npi=1417102468","1417102468")</f>
        <v>1417102468</v>
      </c>
      <c r="E24299" t="s">
        <v>6393</v>
      </c>
    </row>
    <row r="24300" spans="1:5" x14ac:dyDescent="0.25">
      <c r="A24300" t="s">
        <v>7</v>
      </c>
      <c r="B24300" t="s">
        <v>6322</v>
      </c>
      <c r="C24300" s="1" t="s">
        <v>23490</v>
      </c>
      <c r="D24300" s="1" t="str">
        <f>HYPERLINK("https://rhld.insurance.arkansas.gov/NPILookup?Npi=1417321944","1417321944")</f>
        <v>1417321944</v>
      </c>
      <c r="E24300" t="s">
        <v>14373</v>
      </c>
    </row>
    <row r="24301" spans="1:5" x14ac:dyDescent="0.25">
      <c r="A24301" t="s">
        <v>7</v>
      </c>
      <c r="B24301" t="s">
        <v>6322</v>
      </c>
      <c r="C24301" s="1" t="s">
        <v>23490</v>
      </c>
      <c r="D24301" s="1" t="str">
        <f>HYPERLINK("https://rhld.insurance.arkansas.gov/NPILookup?Npi=1417913419","1417913419")</f>
        <v>1417913419</v>
      </c>
      <c r="E24301" t="s">
        <v>6399</v>
      </c>
    </row>
    <row r="24302" spans="1:5" x14ac:dyDescent="0.25">
      <c r="A24302" t="s">
        <v>7</v>
      </c>
      <c r="B24302" t="s">
        <v>6322</v>
      </c>
      <c r="C24302" s="1" t="s">
        <v>23490</v>
      </c>
      <c r="D24302" s="1" t="str">
        <f>HYPERLINK("https://rhld.insurance.arkansas.gov/NPILookup?Npi=1417936840","1417936840")</f>
        <v>1417936840</v>
      </c>
      <c r="E24302" t="s">
        <v>6394</v>
      </c>
    </row>
    <row r="24303" spans="1:5" x14ac:dyDescent="0.25">
      <c r="A24303" t="s">
        <v>7</v>
      </c>
      <c r="B24303" t="s">
        <v>6322</v>
      </c>
      <c r="C24303" s="1" t="s">
        <v>23490</v>
      </c>
      <c r="D24303" s="1" t="str">
        <f>HYPERLINK("https://rhld.insurance.arkansas.gov/NPILookup?Npi=1417943739","1417943739")</f>
        <v>1417943739</v>
      </c>
      <c r="E24303" t="s">
        <v>14374</v>
      </c>
    </row>
    <row r="24304" spans="1:5" x14ac:dyDescent="0.25">
      <c r="A24304" t="s">
        <v>7</v>
      </c>
      <c r="B24304" t="s">
        <v>6322</v>
      </c>
      <c r="C24304" s="1" t="s">
        <v>23490</v>
      </c>
      <c r="D24304" s="1" t="str">
        <f>HYPERLINK("https://rhld.insurance.arkansas.gov/NPILookup?Npi=1427082767","1427082767")</f>
        <v>1427082767</v>
      </c>
      <c r="E24304" t="s">
        <v>6395</v>
      </c>
    </row>
    <row r="24305" spans="1:5" x14ac:dyDescent="0.25">
      <c r="A24305" t="s">
        <v>7</v>
      </c>
      <c r="B24305" t="s">
        <v>6322</v>
      </c>
      <c r="C24305" s="1" t="s">
        <v>23490</v>
      </c>
      <c r="D24305" s="1" t="str">
        <f>HYPERLINK("https://rhld.insurance.arkansas.gov/NPILookup?Npi=1427532845","1427532845")</f>
        <v>1427532845</v>
      </c>
      <c r="E24305" t="s">
        <v>16377</v>
      </c>
    </row>
    <row r="24306" spans="1:5" x14ac:dyDescent="0.25">
      <c r="A24306" t="s">
        <v>7</v>
      </c>
      <c r="B24306" t="s">
        <v>6322</v>
      </c>
      <c r="C24306" s="1" t="s">
        <v>23490</v>
      </c>
      <c r="D24306" s="1" t="str">
        <f>HYPERLINK("https://rhld.insurance.arkansas.gov/NPILookup?Npi=1427633353","1427633353")</f>
        <v>1427633353</v>
      </c>
      <c r="E24306" t="s">
        <v>20705</v>
      </c>
    </row>
    <row r="24307" spans="1:5" x14ac:dyDescent="0.25">
      <c r="A24307" t="s">
        <v>7</v>
      </c>
      <c r="B24307" t="s">
        <v>6322</v>
      </c>
      <c r="C24307" s="1" t="s">
        <v>23490</v>
      </c>
      <c r="D24307" s="1" t="str">
        <f>HYPERLINK("https://rhld.insurance.arkansas.gov/NPILookup?Npi=1437112125","1437112125")</f>
        <v>1437112125</v>
      </c>
      <c r="E24307" t="s">
        <v>6396</v>
      </c>
    </row>
    <row r="24308" spans="1:5" x14ac:dyDescent="0.25">
      <c r="A24308" t="s">
        <v>7</v>
      </c>
      <c r="B24308" t="s">
        <v>6322</v>
      </c>
      <c r="C24308" s="1" t="s">
        <v>23490</v>
      </c>
      <c r="D24308" s="1" t="str">
        <f>HYPERLINK("https://rhld.insurance.arkansas.gov/NPILookup?Npi=1437179710","1437179710")</f>
        <v>1437179710</v>
      </c>
      <c r="E24308" t="s">
        <v>4091</v>
      </c>
    </row>
    <row r="24309" spans="1:5" x14ac:dyDescent="0.25">
      <c r="A24309" t="s">
        <v>7</v>
      </c>
      <c r="B24309" t="s">
        <v>6322</v>
      </c>
      <c r="C24309" s="1" t="s">
        <v>23490</v>
      </c>
      <c r="D24309" s="1" t="str">
        <f>HYPERLINK("https://rhld.insurance.arkansas.gov/NPILookup?Npi=1437222312","1437222312")</f>
        <v>1437222312</v>
      </c>
      <c r="E24309" t="s">
        <v>19256</v>
      </c>
    </row>
    <row r="24310" spans="1:5" x14ac:dyDescent="0.25">
      <c r="A24310" t="s">
        <v>7</v>
      </c>
      <c r="B24310" t="s">
        <v>6322</v>
      </c>
      <c r="C24310" s="1" t="s">
        <v>23490</v>
      </c>
      <c r="D24310" s="1" t="str">
        <f>HYPERLINK("https://rhld.insurance.arkansas.gov/NPILookup?Npi=1437236510","1437236510")</f>
        <v>1437236510</v>
      </c>
      <c r="E24310" t="s">
        <v>9211</v>
      </c>
    </row>
    <row r="24311" spans="1:5" x14ac:dyDescent="0.25">
      <c r="A24311" t="s">
        <v>7</v>
      </c>
      <c r="B24311" t="s">
        <v>6322</v>
      </c>
      <c r="C24311" s="1" t="s">
        <v>23490</v>
      </c>
      <c r="D24311" s="1" t="str">
        <f>HYPERLINK("https://rhld.insurance.arkansas.gov/NPILookup?Npi=1437533155","1437533155")</f>
        <v>1437533155</v>
      </c>
      <c r="E24311" t="s">
        <v>17271</v>
      </c>
    </row>
    <row r="24312" spans="1:5" x14ac:dyDescent="0.25">
      <c r="A24312" t="s">
        <v>7</v>
      </c>
      <c r="B24312" t="s">
        <v>6322</v>
      </c>
      <c r="C24312" s="1" t="s">
        <v>23490</v>
      </c>
      <c r="D24312" s="1" t="str">
        <f>HYPERLINK("https://rhld.insurance.arkansas.gov/NPILookup?Npi=1437593811","1437593811")</f>
        <v>1437593811</v>
      </c>
      <c r="E24312" t="s">
        <v>9212</v>
      </c>
    </row>
    <row r="24313" spans="1:5" x14ac:dyDescent="0.25">
      <c r="A24313" t="s">
        <v>7</v>
      </c>
      <c r="B24313" t="s">
        <v>6322</v>
      </c>
      <c r="C24313" s="1" t="s">
        <v>23490</v>
      </c>
      <c r="D24313" s="1" t="str">
        <f>HYPERLINK("https://rhld.insurance.arkansas.gov/NPILookup?Npi=1447208228","1447208228")</f>
        <v>1447208228</v>
      </c>
      <c r="E24313" t="s">
        <v>6397</v>
      </c>
    </row>
    <row r="24314" spans="1:5" x14ac:dyDescent="0.25">
      <c r="A24314" t="s">
        <v>7</v>
      </c>
      <c r="B24314" t="s">
        <v>6322</v>
      </c>
      <c r="C24314" s="1" t="s">
        <v>23490</v>
      </c>
      <c r="D24314" s="1" t="str">
        <f>HYPERLINK("https://rhld.insurance.arkansas.gov/NPILookup?Npi=1447521943","1447521943")</f>
        <v>1447521943</v>
      </c>
      <c r="E24314" t="s">
        <v>6398</v>
      </c>
    </row>
    <row r="24315" spans="1:5" x14ac:dyDescent="0.25">
      <c r="A24315" t="s">
        <v>7</v>
      </c>
      <c r="B24315" t="s">
        <v>6322</v>
      </c>
      <c r="C24315" s="1" t="s">
        <v>23490</v>
      </c>
      <c r="D24315" s="1" t="str">
        <f>HYPERLINK("https://rhld.insurance.arkansas.gov/NPILookup?Npi=1447530464","1447530464")</f>
        <v>1447530464</v>
      </c>
      <c r="E24315" t="s">
        <v>16378</v>
      </c>
    </row>
    <row r="24316" spans="1:5" x14ac:dyDescent="0.25">
      <c r="A24316" t="s">
        <v>7</v>
      </c>
      <c r="B24316" t="s">
        <v>6322</v>
      </c>
      <c r="C24316" s="1" t="s">
        <v>23490</v>
      </c>
      <c r="D24316" s="1" t="str">
        <f>HYPERLINK("https://rhld.insurance.arkansas.gov/NPILookup?Npi=1447624895","1447624895")</f>
        <v>1447624895</v>
      </c>
      <c r="E24316" t="s">
        <v>11994</v>
      </c>
    </row>
    <row r="24317" spans="1:5" x14ac:dyDescent="0.25">
      <c r="A24317" t="s">
        <v>7</v>
      </c>
      <c r="B24317" t="s">
        <v>6322</v>
      </c>
      <c r="C24317" s="1" t="s">
        <v>23490</v>
      </c>
      <c r="D24317" s="1" t="str">
        <f>HYPERLINK("https://rhld.insurance.arkansas.gov/NPILookup?Npi=1447731401","1447731401")</f>
        <v>1447731401</v>
      </c>
      <c r="E24317" t="s">
        <v>16379</v>
      </c>
    </row>
    <row r="24318" spans="1:5" x14ac:dyDescent="0.25">
      <c r="A24318" t="s">
        <v>7</v>
      </c>
      <c r="B24318" t="s">
        <v>6322</v>
      </c>
      <c r="C24318" s="1" t="s">
        <v>23490</v>
      </c>
      <c r="D24318" s="1" t="str">
        <f>HYPERLINK("https://rhld.insurance.arkansas.gov/NPILookup?Npi=1447733480","1447733480")</f>
        <v>1447733480</v>
      </c>
      <c r="E24318" t="s">
        <v>14375</v>
      </c>
    </row>
    <row r="24319" spans="1:5" x14ac:dyDescent="0.25">
      <c r="A24319" t="s">
        <v>7</v>
      </c>
      <c r="B24319" t="s">
        <v>6322</v>
      </c>
      <c r="C24319" s="1" t="s">
        <v>23490</v>
      </c>
      <c r="D24319" s="1" t="str">
        <f>HYPERLINK("https://rhld.insurance.arkansas.gov/NPILookup?Npi=1457306326","1457306326")</f>
        <v>1457306326</v>
      </c>
      <c r="E24319" t="s">
        <v>6408</v>
      </c>
    </row>
    <row r="24320" spans="1:5" x14ac:dyDescent="0.25">
      <c r="A24320" t="s">
        <v>7</v>
      </c>
      <c r="B24320" t="s">
        <v>6322</v>
      </c>
      <c r="C24320" s="1" t="s">
        <v>23490</v>
      </c>
      <c r="D24320" s="1" t="str">
        <f>HYPERLINK("https://rhld.insurance.arkansas.gov/NPILookup?Npi=1457312274","1457312274")</f>
        <v>1457312274</v>
      </c>
      <c r="E24320" t="s">
        <v>9213</v>
      </c>
    </row>
    <row r="24321" spans="1:5" x14ac:dyDescent="0.25">
      <c r="A24321" t="s">
        <v>7</v>
      </c>
      <c r="B24321" t="s">
        <v>6322</v>
      </c>
      <c r="C24321" s="1" t="s">
        <v>23490</v>
      </c>
      <c r="D24321" s="1" t="str">
        <f>HYPERLINK("https://rhld.insurance.arkansas.gov/NPILookup?Npi=1457386674","1457386674")</f>
        <v>1457386674</v>
      </c>
      <c r="E24321" t="s">
        <v>6399</v>
      </c>
    </row>
    <row r="24322" spans="1:5" x14ac:dyDescent="0.25">
      <c r="A24322" t="s">
        <v>7</v>
      </c>
      <c r="B24322" t="s">
        <v>6322</v>
      </c>
      <c r="C24322" s="1" t="s">
        <v>23490</v>
      </c>
      <c r="D24322" s="1" t="str">
        <f>HYPERLINK("https://rhld.insurance.arkansas.gov/NPILookup?Npi=1457669640","1457669640")</f>
        <v>1457669640</v>
      </c>
      <c r="E24322" t="s">
        <v>17701</v>
      </c>
    </row>
    <row r="24323" spans="1:5" x14ac:dyDescent="0.25">
      <c r="A24323" t="s">
        <v>7</v>
      </c>
      <c r="B24323" t="s">
        <v>6322</v>
      </c>
      <c r="C24323" s="1" t="s">
        <v>23490</v>
      </c>
      <c r="D24323" s="1" t="str">
        <f>HYPERLINK("https://rhld.insurance.arkansas.gov/NPILookup?Npi=1457725293","1457725293")</f>
        <v>1457725293</v>
      </c>
      <c r="E24323" t="s">
        <v>16380</v>
      </c>
    </row>
    <row r="24324" spans="1:5" x14ac:dyDescent="0.25">
      <c r="A24324" t="s">
        <v>7</v>
      </c>
      <c r="B24324" t="s">
        <v>6322</v>
      </c>
      <c r="C24324" s="1" t="s">
        <v>23490</v>
      </c>
      <c r="D24324" s="1" t="str">
        <f>HYPERLINK("https://rhld.insurance.arkansas.gov/NPILookup?Npi=1467099523","1467099523")</f>
        <v>1467099523</v>
      </c>
      <c r="E24324" t="s">
        <v>17272</v>
      </c>
    </row>
    <row r="24325" spans="1:5" x14ac:dyDescent="0.25">
      <c r="A24325" t="s">
        <v>7</v>
      </c>
      <c r="B24325" t="s">
        <v>6322</v>
      </c>
      <c r="C24325" s="1" t="s">
        <v>23490</v>
      </c>
      <c r="D24325" s="1" t="str">
        <f>HYPERLINK("https://rhld.insurance.arkansas.gov/NPILookup?Npi=1467404616","1467404616")</f>
        <v>1467404616</v>
      </c>
      <c r="E24325" t="s">
        <v>6400</v>
      </c>
    </row>
    <row r="24326" spans="1:5" x14ac:dyDescent="0.25">
      <c r="A24326" t="s">
        <v>7</v>
      </c>
      <c r="B24326" t="s">
        <v>6322</v>
      </c>
      <c r="C24326" s="1" t="s">
        <v>23490</v>
      </c>
      <c r="D24326" s="1" t="str">
        <f>HYPERLINK("https://rhld.insurance.arkansas.gov/NPILookup?Npi=1467404624","1467404624")</f>
        <v>1467404624</v>
      </c>
      <c r="E24326" t="s">
        <v>9214</v>
      </c>
    </row>
    <row r="24327" spans="1:5" x14ac:dyDescent="0.25">
      <c r="A24327" t="s">
        <v>7</v>
      </c>
      <c r="B24327" t="s">
        <v>6322</v>
      </c>
      <c r="C24327" s="1" t="s">
        <v>23490</v>
      </c>
      <c r="D24327" s="1" t="str">
        <f>HYPERLINK("https://rhld.insurance.arkansas.gov/NPILookup?Npi=1467409805","1467409805")</f>
        <v>1467409805</v>
      </c>
      <c r="E24327" t="s">
        <v>6401</v>
      </c>
    </row>
    <row r="24328" spans="1:5" x14ac:dyDescent="0.25">
      <c r="A24328" t="s">
        <v>7</v>
      </c>
      <c r="B24328" t="s">
        <v>6322</v>
      </c>
      <c r="C24328" s="1" t="s">
        <v>23490</v>
      </c>
      <c r="D24328" s="1" t="str">
        <f>HYPERLINK("https://rhld.insurance.arkansas.gov/NPILookup?Npi=1467718213","1467718213")</f>
        <v>1467718213</v>
      </c>
      <c r="E24328" t="s">
        <v>6402</v>
      </c>
    </row>
    <row r="24329" spans="1:5" x14ac:dyDescent="0.25">
      <c r="A24329" t="s">
        <v>7</v>
      </c>
      <c r="B24329" t="s">
        <v>6322</v>
      </c>
      <c r="C24329" s="1" t="s">
        <v>23490</v>
      </c>
      <c r="D24329" s="1" t="str">
        <f>HYPERLINK("https://rhld.insurance.arkansas.gov/NPILookup?Npi=1467731174","1467731174")</f>
        <v>1467731174</v>
      </c>
      <c r="E24329" t="s">
        <v>16381</v>
      </c>
    </row>
    <row r="24330" spans="1:5" x14ac:dyDescent="0.25">
      <c r="A24330" t="s">
        <v>7</v>
      </c>
      <c r="B24330" t="s">
        <v>6322</v>
      </c>
      <c r="C24330" s="1" t="s">
        <v>23490</v>
      </c>
      <c r="D24330" s="1" t="str">
        <f>HYPERLINK("https://rhld.insurance.arkansas.gov/NPILookup?Npi=1467817197","1467817197")</f>
        <v>1467817197</v>
      </c>
      <c r="E24330" t="s">
        <v>14376</v>
      </c>
    </row>
    <row r="24331" spans="1:5" x14ac:dyDescent="0.25">
      <c r="A24331" t="s">
        <v>7</v>
      </c>
      <c r="B24331" t="s">
        <v>6322</v>
      </c>
      <c r="C24331" s="1" t="s">
        <v>23490</v>
      </c>
      <c r="D24331" s="1" t="str">
        <f>HYPERLINK("https://rhld.insurance.arkansas.gov/NPILookup?Npi=1467886564","1467886564")</f>
        <v>1467886564</v>
      </c>
      <c r="E24331" t="s">
        <v>6403</v>
      </c>
    </row>
    <row r="24332" spans="1:5" x14ac:dyDescent="0.25">
      <c r="A24332" t="s">
        <v>7</v>
      </c>
      <c r="B24332" t="s">
        <v>6322</v>
      </c>
      <c r="C24332" s="1" t="s">
        <v>23490</v>
      </c>
      <c r="D24332" s="1" t="str">
        <f>HYPERLINK("https://rhld.insurance.arkansas.gov/NPILookup?Npi=1467934364","1467934364")</f>
        <v>1467934364</v>
      </c>
      <c r="E24332" t="s">
        <v>17273</v>
      </c>
    </row>
    <row r="24333" spans="1:5" x14ac:dyDescent="0.25">
      <c r="A24333" t="s">
        <v>7</v>
      </c>
      <c r="B24333" t="s">
        <v>6322</v>
      </c>
      <c r="C24333" s="1" t="s">
        <v>23490</v>
      </c>
      <c r="D24333" s="1" t="str">
        <f>HYPERLINK("https://rhld.insurance.arkansas.gov/NPILookup?Npi=1477039782","1477039782")</f>
        <v>1477039782</v>
      </c>
      <c r="E24333" t="s">
        <v>13887</v>
      </c>
    </row>
    <row r="24334" spans="1:5" x14ac:dyDescent="0.25">
      <c r="A24334" t="s">
        <v>7</v>
      </c>
      <c r="B24334" t="s">
        <v>6322</v>
      </c>
      <c r="C24334" s="1" t="s">
        <v>23490</v>
      </c>
      <c r="D24334" s="1" t="str">
        <f>HYPERLINK("https://rhld.insurance.arkansas.gov/NPILookup?Npi=1477505659","1477505659")</f>
        <v>1477505659</v>
      </c>
      <c r="E24334" t="s">
        <v>6404</v>
      </c>
    </row>
    <row r="24335" spans="1:5" x14ac:dyDescent="0.25">
      <c r="A24335" t="s">
        <v>7</v>
      </c>
      <c r="B24335" t="s">
        <v>6322</v>
      </c>
      <c r="C24335" s="1" t="s">
        <v>23490</v>
      </c>
      <c r="D24335" s="1" t="str">
        <f>HYPERLINK("https://rhld.insurance.arkansas.gov/NPILookup?Npi=1477814333","1477814333")</f>
        <v>1477814333</v>
      </c>
      <c r="E24335" t="s">
        <v>6405</v>
      </c>
    </row>
    <row r="24336" spans="1:5" x14ac:dyDescent="0.25">
      <c r="A24336" t="s">
        <v>7</v>
      </c>
      <c r="B24336" t="s">
        <v>6322</v>
      </c>
      <c r="C24336" s="1" t="s">
        <v>23490</v>
      </c>
      <c r="D24336" s="1" t="str">
        <f>HYPERLINK("https://rhld.insurance.arkansas.gov/NPILookup?Npi=1477897130","1477897130")</f>
        <v>1477897130</v>
      </c>
      <c r="E24336" t="s">
        <v>11995</v>
      </c>
    </row>
    <row r="24337" spans="1:5" x14ac:dyDescent="0.25">
      <c r="A24337" t="s">
        <v>7</v>
      </c>
      <c r="B24337" t="s">
        <v>6322</v>
      </c>
      <c r="C24337" s="1" t="s">
        <v>23490</v>
      </c>
      <c r="D24337" s="1" t="str">
        <f>HYPERLINK("https://rhld.insurance.arkansas.gov/NPILookup?Npi=1487038154","1487038154")</f>
        <v>1487038154</v>
      </c>
      <c r="E24337" t="s">
        <v>14377</v>
      </c>
    </row>
    <row r="24338" spans="1:5" x14ac:dyDescent="0.25">
      <c r="A24338" t="s">
        <v>7</v>
      </c>
      <c r="B24338" t="s">
        <v>6322</v>
      </c>
      <c r="C24338" s="1" t="s">
        <v>23490</v>
      </c>
      <c r="D24338" s="1" t="str">
        <f>HYPERLINK("https://rhld.insurance.arkansas.gov/NPILookup?Npi=1487070058","1487070058")</f>
        <v>1487070058</v>
      </c>
      <c r="E24338" t="s">
        <v>11996</v>
      </c>
    </row>
    <row r="24339" spans="1:5" x14ac:dyDescent="0.25">
      <c r="A24339" t="s">
        <v>7</v>
      </c>
      <c r="B24339" t="s">
        <v>6322</v>
      </c>
      <c r="C24339" s="1" t="s">
        <v>23490</v>
      </c>
      <c r="D24339" s="1" t="str">
        <f>HYPERLINK("https://rhld.insurance.arkansas.gov/NPILookup?Npi=1487072583","1487072583")</f>
        <v>1487072583</v>
      </c>
      <c r="E24339" t="s">
        <v>6406</v>
      </c>
    </row>
    <row r="24340" spans="1:5" x14ac:dyDescent="0.25">
      <c r="A24340" t="s">
        <v>7</v>
      </c>
      <c r="B24340" t="s">
        <v>6322</v>
      </c>
      <c r="C24340" s="1" t="s">
        <v>23490</v>
      </c>
      <c r="D24340" s="1" t="str">
        <f>HYPERLINK("https://rhld.insurance.arkansas.gov/NPILookup?Npi=1487122669","1487122669")</f>
        <v>1487122669</v>
      </c>
      <c r="E24340" t="s">
        <v>22509</v>
      </c>
    </row>
    <row r="24341" spans="1:5" x14ac:dyDescent="0.25">
      <c r="A24341" t="s">
        <v>7</v>
      </c>
      <c r="B24341" t="s">
        <v>6322</v>
      </c>
      <c r="C24341" s="1" t="s">
        <v>23490</v>
      </c>
      <c r="D24341" s="1" t="str">
        <f>HYPERLINK("https://rhld.insurance.arkansas.gov/NPILookup?Npi=1487138954","1487138954")</f>
        <v>1487138954</v>
      </c>
      <c r="E24341" t="s">
        <v>21257</v>
      </c>
    </row>
    <row r="24342" spans="1:5" x14ac:dyDescent="0.25">
      <c r="A24342" t="s">
        <v>7</v>
      </c>
      <c r="B24342" t="s">
        <v>6322</v>
      </c>
      <c r="C24342" s="1" t="s">
        <v>23490</v>
      </c>
      <c r="D24342" s="1" t="str">
        <f>HYPERLINK("https://rhld.insurance.arkansas.gov/NPILookup?Npi=1487178794","1487178794")</f>
        <v>1487178794</v>
      </c>
      <c r="E24342" t="s">
        <v>14378</v>
      </c>
    </row>
    <row r="24343" spans="1:5" x14ac:dyDescent="0.25">
      <c r="A24343" t="s">
        <v>7</v>
      </c>
      <c r="B24343" t="s">
        <v>6322</v>
      </c>
      <c r="C24343" s="1" t="s">
        <v>23490</v>
      </c>
      <c r="D24343" s="1" t="str">
        <f>HYPERLINK("https://rhld.insurance.arkansas.gov/NPILookup?Npi=1487383964","1487383964")</f>
        <v>1487383964</v>
      </c>
      <c r="E24343" t="s">
        <v>21258</v>
      </c>
    </row>
    <row r="24344" spans="1:5" x14ac:dyDescent="0.25">
      <c r="A24344" t="s">
        <v>7</v>
      </c>
      <c r="B24344" t="s">
        <v>6322</v>
      </c>
      <c r="C24344" s="1" t="s">
        <v>23490</v>
      </c>
      <c r="D24344" s="1" t="str">
        <f>HYPERLINK("https://rhld.insurance.arkansas.gov/NPILookup?Npi=1487667655","1487667655")</f>
        <v>1487667655</v>
      </c>
      <c r="E24344" t="s">
        <v>6407</v>
      </c>
    </row>
    <row r="24345" spans="1:5" x14ac:dyDescent="0.25">
      <c r="A24345" t="s">
        <v>7</v>
      </c>
      <c r="B24345" t="s">
        <v>6322</v>
      </c>
      <c r="C24345" s="1" t="s">
        <v>23490</v>
      </c>
      <c r="D24345" s="1" t="str">
        <f>HYPERLINK("https://rhld.insurance.arkansas.gov/NPILookup?Npi=1487692240","1487692240")</f>
        <v>1487692240</v>
      </c>
      <c r="E24345" t="s">
        <v>6408</v>
      </c>
    </row>
    <row r="24346" spans="1:5" x14ac:dyDescent="0.25">
      <c r="A24346" t="s">
        <v>7</v>
      </c>
      <c r="B24346" t="s">
        <v>6322</v>
      </c>
      <c r="C24346" s="1" t="s">
        <v>23490</v>
      </c>
      <c r="D24346" s="1" t="str">
        <f>HYPERLINK("https://rhld.insurance.arkansas.gov/NPILookup?Npi=1487958328","1487958328")</f>
        <v>1487958328</v>
      </c>
      <c r="E24346" t="s">
        <v>6409</v>
      </c>
    </row>
    <row r="24347" spans="1:5" x14ac:dyDescent="0.25">
      <c r="A24347" t="s">
        <v>7</v>
      </c>
      <c r="B24347" t="s">
        <v>6322</v>
      </c>
      <c r="C24347" s="1" t="s">
        <v>23490</v>
      </c>
      <c r="D24347" s="1" t="str">
        <f>HYPERLINK("https://rhld.insurance.arkansas.gov/NPILookup?Npi=1487998142","1487998142")</f>
        <v>1487998142</v>
      </c>
      <c r="E24347" t="s">
        <v>6410</v>
      </c>
    </row>
    <row r="24348" spans="1:5" x14ac:dyDescent="0.25">
      <c r="A24348" t="s">
        <v>7</v>
      </c>
      <c r="B24348" t="s">
        <v>6322</v>
      </c>
      <c r="C24348" s="1" t="s">
        <v>23490</v>
      </c>
      <c r="D24348" s="1" t="str">
        <f>HYPERLINK("https://rhld.insurance.arkansas.gov/NPILookup?Npi=1497246979","1497246979")</f>
        <v>1497246979</v>
      </c>
      <c r="E24348" t="s">
        <v>14379</v>
      </c>
    </row>
    <row r="24349" spans="1:5" x14ac:dyDescent="0.25">
      <c r="A24349" t="s">
        <v>7</v>
      </c>
      <c r="B24349" t="s">
        <v>6322</v>
      </c>
      <c r="C24349" s="1" t="s">
        <v>23490</v>
      </c>
      <c r="D24349" s="1" t="str">
        <f>HYPERLINK("https://rhld.insurance.arkansas.gov/NPILookup?Npi=1497712335","1497712335")</f>
        <v>1497712335</v>
      </c>
      <c r="E24349" t="s">
        <v>6411</v>
      </c>
    </row>
    <row r="24350" spans="1:5" x14ac:dyDescent="0.25">
      <c r="A24350" t="s">
        <v>7</v>
      </c>
      <c r="B24350" t="s">
        <v>6322</v>
      </c>
      <c r="C24350" s="1" t="s">
        <v>23490</v>
      </c>
      <c r="D24350" s="1" t="str">
        <f>HYPERLINK("https://rhld.insurance.arkansas.gov/NPILookup?Npi=1497736813","1497736813")</f>
        <v>1497736813</v>
      </c>
      <c r="E24350" t="s">
        <v>6412</v>
      </c>
    </row>
    <row r="24351" spans="1:5" x14ac:dyDescent="0.25">
      <c r="A24351" t="s">
        <v>7</v>
      </c>
      <c r="B24351" t="s">
        <v>6322</v>
      </c>
      <c r="C24351" s="1" t="s">
        <v>23490</v>
      </c>
      <c r="D24351" s="1" t="str">
        <f>HYPERLINK("https://rhld.insurance.arkansas.gov/NPILookup?Npi=1497743074","1497743074")</f>
        <v>1497743074</v>
      </c>
      <c r="E24351" t="s">
        <v>6329</v>
      </c>
    </row>
    <row r="24352" spans="1:5" x14ac:dyDescent="0.25">
      <c r="A24352" t="s">
        <v>7</v>
      </c>
      <c r="B24352" t="s">
        <v>6322</v>
      </c>
      <c r="C24352" s="1" t="s">
        <v>23490</v>
      </c>
      <c r="D24352" s="1" t="str">
        <f>HYPERLINK("https://rhld.insurance.arkansas.gov/NPILookup?Npi=1497803787","1497803787")</f>
        <v>1497803787</v>
      </c>
      <c r="E24352" t="s">
        <v>6413</v>
      </c>
    </row>
    <row r="24353" spans="1:5" x14ac:dyDescent="0.25">
      <c r="A24353" t="s">
        <v>7</v>
      </c>
      <c r="B24353" t="s">
        <v>6322</v>
      </c>
      <c r="C24353" s="1" t="s">
        <v>23490</v>
      </c>
      <c r="D24353" s="1" t="str">
        <f>HYPERLINK("https://rhld.insurance.arkansas.gov/NPILookup?Npi=1508011206","1508011206")</f>
        <v>1508011206</v>
      </c>
      <c r="E24353" t="s">
        <v>6414</v>
      </c>
    </row>
    <row r="24354" spans="1:5" x14ac:dyDescent="0.25">
      <c r="A24354" t="s">
        <v>7</v>
      </c>
      <c r="B24354" t="s">
        <v>6322</v>
      </c>
      <c r="C24354" s="1" t="s">
        <v>23490</v>
      </c>
      <c r="D24354" s="1" t="str">
        <f>HYPERLINK("https://rhld.insurance.arkansas.gov/NPILookup?Npi=1508133646","1508133646")</f>
        <v>1508133646</v>
      </c>
      <c r="E24354" t="s">
        <v>6415</v>
      </c>
    </row>
    <row r="24355" spans="1:5" x14ac:dyDescent="0.25">
      <c r="A24355" t="s">
        <v>7</v>
      </c>
      <c r="B24355" t="s">
        <v>6322</v>
      </c>
      <c r="C24355" s="1" t="s">
        <v>23490</v>
      </c>
      <c r="D24355" s="1" t="str">
        <f>HYPERLINK("https://rhld.insurance.arkansas.gov/NPILookup?Npi=1508227075","1508227075")</f>
        <v>1508227075</v>
      </c>
      <c r="E24355" t="s">
        <v>21259</v>
      </c>
    </row>
    <row r="24356" spans="1:5" x14ac:dyDescent="0.25">
      <c r="A24356" t="s">
        <v>7</v>
      </c>
      <c r="B24356" t="s">
        <v>6322</v>
      </c>
      <c r="C24356" s="1" t="s">
        <v>23490</v>
      </c>
      <c r="D24356" s="1" t="str">
        <f>HYPERLINK("https://rhld.insurance.arkansas.gov/NPILookup?Npi=1508256181","1508256181")</f>
        <v>1508256181</v>
      </c>
      <c r="E24356" t="s">
        <v>9215</v>
      </c>
    </row>
    <row r="24357" spans="1:5" x14ac:dyDescent="0.25">
      <c r="A24357" t="s">
        <v>7</v>
      </c>
      <c r="B24357" t="s">
        <v>6322</v>
      </c>
      <c r="C24357" s="1" t="s">
        <v>23490</v>
      </c>
      <c r="D24357" s="1" t="str">
        <f>HYPERLINK("https://rhld.insurance.arkansas.gov/NPILookup?Npi=1508299009","1508299009")</f>
        <v>1508299009</v>
      </c>
      <c r="E24357" t="s">
        <v>6416</v>
      </c>
    </row>
    <row r="24358" spans="1:5" x14ac:dyDescent="0.25">
      <c r="A24358" t="s">
        <v>7</v>
      </c>
      <c r="B24358" t="s">
        <v>6322</v>
      </c>
      <c r="C24358" s="1" t="s">
        <v>23490</v>
      </c>
      <c r="D24358" s="1" t="str">
        <f>HYPERLINK("https://rhld.insurance.arkansas.gov/NPILookup?Npi=1508299918","1508299918")</f>
        <v>1508299918</v>
      </c>
      <c r="E24358" t="s">
        <v>6417</v>
      </c>
    </row>
    <row r="24359" spans="1:5" x14ac:dyDescent="0.25">
      <c r="A24359" t="s">
        <v>7</v>
      </c>
      <c r="B24359" t="s">
        <v>6322</v>
      </c>
      <c r="C24359" s="1" t="s">
        <v>23490</v>
      </c>
      <c r="D24359" s="1" t="str">
        <f>HYPERLINK("https://rhld.insurance.arkansas.gov/NPILookup?Npi=1508322249","1508322249")</f>
        <v>1508322249</v>
      </c>
      <c r="E24359" t="s">
        <v>20706</v>
      </c>
    </row>
    <row r="24360" spans="1:5" x14ac:dyDescent="0.25">
      <c r="A24360" t="s">
        <v>7</v>
      </c>
      <c r="B24360" t="s">
        <v>6322</v>
      </c>
      <c r="C24360" s="1" t="s">
        <v>23490</v>
      </c>
      <c r="D24360" s="1" t="str">
        <f>HYPERLINK("https://rhld.insurance.arkansas.gov/NPILookup?Npi=1508441460","1508441460")</f>
        <v>1508441460</v>
      </c>
      <c r="E24360" t="s">
        <v>20707</v>
      </c>
    </row>
    <row r="24361" spans="1:5" x14ac:dyDescent="0.25">
      <c r="A24361" t="s">
        <v>7</v>
      </c>
      <c r="B24361" t="s">
        <v>6322</v>
      </c>
      <c r="C24361" s="1" t="s">
        <v>23490</v>
      </c>
      <c r="D24361" s="1" t="str">
        <f>HYPERLINK("https://rhld.insurance.arkansas.gov/NPILookup?Npi=1508805037","1508805037")</f>
        <v>1508805037</v>
      </c>
      <c r="E24361" t="s">
        <v>11997</v>
      </c>
    </row>
    <row r="24362" spans="1:5" x14ac:dyDescent="0.25">
      <c r="A24362" t="s">
        <v>7</v>
      </c>
      <c r="B24362" t="s">
        <v>6322</v>
      </c>
      <c r="C24362" s="1" t="s">
        <v>23490</v>
      </c>
      <c r="D24362" s="1" t="str">
        <f>HYPERLINK("https://rhld.insurance.arkansas.gov/NPILookup?Npi=1508813775","1508813775")</f>
        <v>1508813775</v>
      </c>
      <c r="E24362" t="s">
        <v>6418</v>
      </c>
    </row>
    <row r="24363" spans="1:5" x14ac:dyDescent="0.25">
      <c r="A24363" t="s">
        <v>7</v>
      </c>
      <c r="B24363" t="s">
        <v>6322</v>
      </c>
      <c r="C24363" s="1" t="s">
        <v>23490</v>
      </c>
      <c r="D24363" s="1" t="str">
        <f>HYPERLINK("https://rhld.insurance.arkansas.gov/NPILookup?Npi=1508856295","1508856295")</f>
        <v>1508856295</v>
      </c>
      <c r="E24363" t="s">
        <v>6419</v>
      </c>
    </row>
    <row r="24364" spans="1:5" x14ac:dyDescent="0.25">
      <c r="A24364" t="s">
        <v>7</v>
      </c>
      <c r="B24364" t="s">
        <v>6322</v>
      </c>
      <c r="C24364" s="1" t="s">
        <v>23490</v>
      </c>
      <c r="D24364" s="1" t="str">
        <f>HYPERLINK("https://rhld.insurance.arkansas.gov/NPILookup?Npi=1518112630","1518112630")</f>
        <v>1518112630</v>
      </c>
      <c r="E24364" t="s">
        <v>6420</v>
      </c>
    </row>
    <row r="24365" spans="1:5" x14ac:dyDescent="0.25">
      <c r="A24365" t="s">
        <v>7</v>
      </c>
      <c r="B24365" t="s">
        <v>6322</v>
      </c>
      <c r="C24365" s="1" t="s">
        <v>23490</v>
      </c>
      <c r="D24365" s="1" t="str">
        <f>HYPERLINK("https://rhld.insurance.arkansas.gov/NPILookup?Npi=1518341288","1518341288")</f>
        <v>1518341288</v>
      </c>
      <c r="E24365" t="s">
        <v>14380</v>
      </c>
    </row>
    <row r="24366" spans="1:5" x14ac:dyDescent="0.25">
      <c r="A24366" t="s">
        <v>7</v>
      </c>
      <c r="B24366" t="s">
        <v>6322</v>
      </c>
      <c r="C24366" s="1" t="s">
        <v>23490</v>
      </c>
      <c r="D24366" s="1" t="str">
        <f>HYPERLINK("https://rhld.insurance.arkansas.gov/NPILookup?Npi=1518396274","1518396274")</f>
        <v>1518396274</v>
      </c>
      <c r="E24366" t="s">
        <v>9216</v>
      </c>
    </row>
    <row r="24367" spans="1:5" x14ac:dyDescent="0.25">
      <c r="A24367" t="s">
        <v>7</v>
      </c>
      <c r="B24367" t="s">
        <v>6322</v>
      </c>
      <c r="C24367" s="1" t="s">
        <v>23490</v>
      </c>
      <c r="D24367" s="1" t="str">
        <f>HYPERLINK("https://rhld.insurance.arkansas.gov/NPILookup?Npi=1518953819","1518953819")</f>
        <v>1518953819</v>
      </c>
      <c r="E24367" t="s">
        <v>6421</v>
      </c>
    </row>
    <row r="24368" spans="1:5" x14ac:dyDescent="0.25">
      <c r="A24368" t="s">
        <v>7</v>
      </c>
      <c r="B24368" t="s">
        <v>6322</v>
      </c>
      <c r="C24368" s="1" t="s">
        <v>23490</v>
      </c>
      <c r="D24368" s="1" t="str">
        <f>HYPERLINK("https://rhld.insurance.arkansas.gov/NPILookup?Npi=1518953892","1518953892")</f>
        <v>1518953892</v>
      </c>
      <c r="E24368" t="s">
        <v>11998</v>
      </c>
    </row>
    <row r="24369" spans="1:5" x14ac:dyDescent="0.25">
      <c r="A24369" t="s">
        <v>7</v>
      </c>
      <c r="B24369" t="s">
        <v>6322</v>
      </c>
      <c r="C24369" s="1" t="s">
        <v>23490</v>
      </c>
      <c r="D24369" s="1" t="str">
        <f>HYPERLINK("https://rhld.insurance.arkansas.gov/NPILookup?Npi=1528001146","1528001146")</f>
        <v>1528001146</v>
      </c>
      <c r="E24369" t="s">
        <v>11999</v>
      </c>
    </row>
    <row r="24370" spans="1:5" x14ac:dyDescent="0.25">
      <c r="A24370" t="s">
        <v>7</v>
      </c>
      <c r="B24370" t="s">
        <v>6322</v>
      </c>
      <c r="C24370" s="1" t="s">
        <v>23490</v>
      </c>
      <c r="D24370" s="1" t="str">
        <f>HYPERLINK("https://rhld.insurance.arkansas.gov/NPILookup?Npi=1528213642","1528213642")</f>
        <v>1528213642</v>
      </c>
      <c r="E24370" t="s">
        <v>6422</v>
      </c>
    </row>
    <row r="24371" spans="1:5" x14ac:dyDescent="0.25">
      <c r="A24371" t="s">
        <v>7</v>
      </c>
      <c r="B24371" t="s">
        <v>6322</v>
      </c>
      <c r="C24371" s="1" t="s">
        <v>23490</v>
      </c>
      <c r="D24371" s="1" t="str">
        <f>HYPERLINK("https://rhld.insurance.arkansas.gov/NPILookup?Npi=1528319092","1528319092")</f>
        <v>1528319092</v>
      </c>
      <c r="E24371" t="s">
        <v>12000</v>
      </c>
    </row>
    <row r="24372" spans="1:5" x14ac:dyDescent="0.25">
      <c r="A24372" t="s">
        <v>7</v>
      </c>
      <c r="B24372" t="s">
        <v>6322</v>
      </c>
      <c r="C24372" s="1" t="s">
        <v>23490</v>
      </c>
      <c r="D24372" s="1" t="str">
        <f>HYPERLINK("https://rhld.insurance.arkansas.gov/NPILookup?Npi=1528360989","1528360989")</f>
        <v>1528360989</v>
      </c>
      <c r="E24372" t="s">
        <v>7569</v>
      </c>
    </row>
    <row r="24373" spans="1:5" x14ac:dyDescent="0.25">
      <c r="A24373" t="s">
        <v>7</v>
      </c>
      <c r="B24373" t="s">
        <v>6322</v>
      </c>
      <c r="C24373" s="1" t="s">
        <v>23490</v>
      </c>
      <c r="D24373" s="1" t="str">
        <f>HYPERLINK("https://rhld.insurance.arkansas.gov/NPILookup?Npi=1528432978","1528432978")</f>
        <v>1528432978</v>
      </c>
      <c r="E24373" t="s">
        <v>12001</v>
      </c>
    </row>
    <row r="24374" spans="1:5" x14ac:dyDescent="0.25">
      <c r="A24374" t="s">
        <v>7</v>
      </c>
      <c r="B24374" t="s">
        <v>6322</v>
      </c>
      <c r="C24374" s="1" t="s">
        <v>23490</v>
      </c>
      <c r="D24374" s="1" t="str">
        <f>HYPERLINK("https://rhld.insurance.arkansas.gov/NPILookup?Npi=1528442258","1528442258")</f>
        <v>1528442258</v>
      </c>
      <c r="E24374" t="s">
        <v>17274</v>
      </c>
    </row>
    <row r="24375" spans="1:5" x14ac:dyDescent="0.25">
      <c r="A24375" t="s">
        <v>7</v>
      </c>
      <c r="B24375" t="s">
        <v>6322</v>
      </c>
      <c r="C24375" s="1" t="s">
        <v>23490</v>
      </c>
      <c r="D24375" s="1" t="str">
        <f>HYPERLINK("https://rhld.insurance.arkansas.gov/NPILookup?Npi=1528484177","1528484177")</f>
        <v>1528484177</v>
      </c>
      <c r="E24375" t="s">
        <v>6423</v>
      </c>
    </row>
    <row r="24376" spans="1:5" x14ac:dyDescent="0.25">
      <c r="A24376" t="s">
        <v>7</v>
      </c>
      <c r="B24376" t="s">
        <v>6322</v>
      </c>
      <c r="C24376" s="1" t="s">
        <v>23490</v>
      </c>
      <c r="D24376" s="1" t="str">
        <f>HYPERLINK("https://rhld.insurance.arkansas.gov/NPILookup?Npi=1528715216","1528715216")</f>
        <v>1528715216</v>
      </c>
      <c r="E24376" t="s">
        <v>21260</v>
      </c>
    </row>
    <row r="24377" spans="1:5" x14ac:dyDescent="0.25">
      <c r="A24377" t="s">
        <v>7</v>
      </c>
      <c r="B24377" t="s">
        <v>6322</v>
      </c>
      <c r="C24377" s="1" t="s">
        <v>23490</v>
      </c>
      <c r="D24377" s="1" t="str">
        <f>HYPERLINK("https://rhld.insurance.arkansas.gov/NPILookup?Npi=1538111398","1538111398")</f>
        <v>1538111398</v>
      </c>
      <c r="E24377" t="s">
        <v>6424</v>
      </c>
    </row>
    <row r="24378" spans="1:5" x14ac:dyDescent="0.25">
      <c r="A24378" t="s">
        <v>7</v>
      </c>
      <c r="B24378" t="s">
        <v>6322</v>
      </c>
      <c r="C24378" s="1" t="s">
        <v>23490</v>
      </c>
      <c r="D24378" s="1" t="str">
        <f>HYPERLINK("https://rhld.insurance.arkansas.gov/NPILookup?Npi=1538115944","1538115944")</f>
        <v>1538115944</v>
      </c>
      <c r="E24378" t="s">
        <v>14381</v>
      </c>
    </row>
    <row r="24379" spans="1:5" x14ac:dyDescent="0.25">
      <c r="A24379" t="s">
        <v>7</v>
      </c>
      <c r="B24379" t="s">
        <v>6322</v>
      </c>
      <c r="C24379" s="1" t="s">
        <v>23490</v>
      </c>
      <c r="D24379" s="1" t="str">
        <f>HYPERLINK("https://rhld.insurance.arkansas.gov/NPILookup?Npi=1538130083","1538130083")</f>
        <v>1538130083</v>
      </c>
      <c r="E24379" t="s">
        <v>6425</v>
      </c>
    </row>
    <row r="24380" spans="1:5" x14ac:dyDescent="0.25">
      <c r="A24380" t="s">
        <v>7</v>
      </c>
      <c r="B24380" t="s">
        <v>6322</v>
      </c>
      <c r="C24380" s="1" t="s">
        <v>23490</v>
      </c>
      <c r="D24380" s="1" t="str">
        <f>HYPERLINK("https://rhld.insurance.arkansas.gov/NPILookup?Npi=1538796651","1538796651")</f>
        <v>1538796651</v>
      </c>
      <c r="E24380" t="s">
        <v>18529</v>
      </c>
    </row>
    <row r="24381" spans="1:5" x14ac:dyDescent="0.25">
      <c r="A24381" t="s">
        <v>7</v>
      </c>
      <c r="B24381" t="s">
        <v>6322</v>
      </c>
      <c r="C24381" s="1" t="s">
        <v>23490</v>
      </c>
      <c r="D24381" s="1" t="str">
        <f>HYPERLINK("https://rhld.insurance.arkansas.gov/NPILookup?Npi=1548212707","1548212707")</f>
        <v>1548212707</v>
      </c>
      <c r="E24381" t="s">
        <v>6426</v>
      </c>
    </row>
    <row r="24382" spans="1:5" x14ac:dyDescent="0.25">
      <c r="A24382" t="s">
        <v>7</v>
      </c>
      <c r="B24382" t="s">
        <v>6322</v>
      </c>
      <c r="C24382" s="1" t="s">
        <v>23490</v>
      </c>
      <c r="D24382" s="1" t="str">
        <f>HYPERLINK("https://rhld.insurance.arkansas.gov/NPILookup?Npi=1548251077","1548251077")</f>
        <v>1548251077</v>
      </c>
      <c r="E24382" t="s">
        <v>22510</v>
      </c>
    </row>
    <row r="24383" spans="1:5" x14ac:dyDescent="0.25">
      <c r="A24383" t="s">
        <v>7</v>
      </c>
      <c r="B24383" t="s">
        <v>6322</v>
      </c>
      <c r="C24383" s="1" t="s">
        <v>23490</v>
      </c>
      <c r="D24383" s="1" t="str">
        <f>HYPERLINK("https://rhld.insurance.arkansas.gov/NPILookup?Npi=1548256878","1548256878")</f>
        <v>1548256878</v>
      </c>
      <c r="E24383" t="s">
        <v>14382</v>
      </c>
    </row>
    <row r="24384" spans="1:5" x14ac:dyDescent="0.25">
      <c r="A24384" t="s">
        <v>7</v>
      </c>
      <c r="B24384" t="s">
        <v>6322</v>
      </c>
      <c r="C24384" s="1" t="s">
        <v>23490</v>
      </c>
      <c r="D24384" s="1" t="str">
        <f>HYPERLINK("https://rhld.insurance.arkansas.gov/NPILookup?Npi=1548303704","1548303704")</f>
        <v>1548303704</v>
      </c>
      <c r="E24384" t="s">
        <v>6427</v>
      </c>
    </row>
    <row r="24385" spans="1:5" x14ac:dyDescent="0.25">
      <c r="A24385" t="s">
        <v>7</v>
      </c>
      <c r="B24385" t="s">
        <v>6322</v>
      </c>
      <c r="C24385" s="1" t="s">
        <v>23490</v>
      </c>
      <c r="D24385" s="1" t="str">
        <f>HYPERLINK("https://rhld.insurance.arkansas.gov/NPILookup?Npi=1548420086","1548420086")</f>
        <v>1548420086</v>
      </c>
      <c r="E24385" t="s">
        <v>6428</v>
      </c>
    </row>
    <row r="24386" spans="1:5" x14ac:dyDescent="0.25">
      <c r="A24386" t="s">
        <v>7</v>
      </c>
      <c r="B24386" t="s">
        <v>6322</v>
      </c>
      <c r="C24386" s="1" t="s">
        <v>23490</v>
      </c>
      <c r="D24386" s="1" t="str">
        <f>HYPERLINK("https://rhld.insurance.arkansas.gov/NPILookup?Npi=1548578735","1548578735")</f>
        <v>1548578735</v>
      </c>
      <c r="E24386" t="s">
        <v>17702</v>
      </c>
    </row>
    <row r="24387" spans="1:5" x14ac:dyDescent="0.25">
      <c r="A24387" t="s">
        <v>7</v>
      </c>
      <c r="B24387" t="s">
        <v>6322</v>
      </c>
      <c r="C24387" s="1" t="s">
        <v>23490</v>
      </c>
      <c r="D24387" s="1" t="str">
        <f>HYPERLINK("https://rhld.insurance.arkansas.gov/NPILookup?Npi=1548621931","1548621931")</f>
        <v>1548621931</v>
      </c>
      <c r="E24387" t="s">
        <v>12002</v>
      </c>
    </row>
    <row r="24388" spans="1:5" x14ac:dyDescent="0.25">
      <c r="A24388" t="s">
        <v>7</v>
      </c>
      <c r="B24388" t="s">
        <v>6322</v>
      </c>
      <c r="C24388" s="1" t="s">
        <v>23490</v>
      </c>
      <c r="D24388" s="1" t="str">
        <f>HYPERLINK("https://rhld.insurance.arkansas.gov/NPILookup?Npi=1548634074","1548634074")</f>
        <v>1548634074</v>
      </c>
      <c r="E24388" t="s">
        <v>16382</v>
      </c>
    </row>
    <row r="24389" spans="1:5" x14ac:dyDescent="0.25">
      <c r="A24389" t="s">
        <v>7</v>
      </c>
      <c r="B24389" t="s">
        <v>6322</v>
      </c>
      <c r="C24389" s="1" t="s">
        <v>23490</v>
      </c>
      <c r="D24389" s="1" t="str">
        <f>HYPERLINK("https://rhld.insurance.arkansas.gov/NPILookup?Npi=1548807431","1548807431")</f>
        <v>1548807431</v>
      </c>
      <c r="E24389" t="s">
        <v>17275</v>
      </c>
    </row>
    <row r="24390" spans="1:5" x14ac:dyDescent="0.25">
      <c r="A24390" t="s">
        <v>7</v>
      </c>
      <c r="B24390" t="s">
        <v>6322</v>
      </c>
      <c r="C24390" s="1" t="s">
        <v>23490</v>
      </c>
      <c r="D24390" s="1" t="str">
        <f>HYPERLINK("https://rhld.insurance.arkansas.gov/NPILookup?Npi=1558333864","1558333864")</f>
        <v>1558333864</v>
      </c>
      <c r="E24390" t="s">
        <v>14383</v>
      </c>
    </row>
    <row r="24391" spans="1:5" x14ac:dyDescent="0.25">
      <c r="A24391" t="s">
        <v>7</v>
      </c>
      <c r="B24391" t="s">
        <v>6322</v>
      </c>
      <c r="C24391" s="1" t="s">
        <v>23490</v>
      </c>
      <c r="D24391" s="1" t="str">
        <f>HYPERLINK("https://rhld.insurance.arkansas.gov/NPILookup?Npi=1558357814","1558357814")</f>
        <v>1558357814</v>
      </c>
      <c r="E24391" t="s">
        <v>6429</v>
      </c>
    </row>
    <row r="24392" spans="1:5" x14ac:dyDescent="0.25">
      <c r="A24392" t="s">
        <v>7</v>
      </c>
      <c r="B24392" t="s">
        <v>6322</v>
      </c>
      <c r="C24392" s="1" t="s">
        <v>23490</v>
      </c>
      <c r="D24392" s="1" t="str">
        <f>HYPERLINK("https://rhld.insurance.arkansas.gov/NPILookup?Npi=1558405993","1558405993")</f>
        <v>1558405993</v>
      </c>
      <c r="E24392" t="s">
        <v>6430</v>
      </c>
    </row>
    <row r="24393" spans="1:5" x14ac:dyDescent="0.25">
      <c r="A24393" t="s">
        <v>7</v>
      </c>
      <c r="B24393" t="s">
        <v>6322</v>
      </c>
      <c r="C24393" s="1" t="s">
        <v>23490</v>
      </c>
      <c r="D24393" s="1" t="str">
        <f>HYPERLINK("https://rhld.insurance.arkansas.gov/NPILookup?Npi=1558634683","1558634683")</f>
        <v>1558634683</v>
      </c>
      <c r="E24393" t="s">
        <v>6431</v>
      </c>
    </row>
    <row r="24394" spans="1:5" x14ac:dyDescent="0.25">
      <c r="A24394" t="s">
        <v>7</v>
      </c>
      <c r="B24394" t="s">
        <v>6322</v>
      </c>
      <c r="C24394" s="1" t="s">
        <v>23490</v>
      </c>
      <c r="D24394" s="1" t="str">
        <f>HYPERLINK("https://rhld.insurance.arkansas.gov/NPILookup?Npi=1558676353","1558676353")</f>
        <v>1558676353</v>
      </c>
      <c r="E24394" t="s">
        <v>6432</v>
      </c>
    </row>
    <row r="24395" spans="1:5" x14ac:dyDescent="0.25">
      <c r="A24395" t="s">
        <v>7</v>
      </c>
      <c r="B24395" t="s">
        <v>6322</v>
      </c>
      <c r="C24395" s="1" t="s">
        <v>23490</v>
      </c>
      <c r="D24395" s="1" t="str">
        <f>HYPERLINK("https://rhld.insurance.arkansas.gov/NPILookup?Npi=1558697227","1558697227")</f>
        <v>1558697227</v>
      </c>
      <c r="E24395" t="s">
        <v>6433</v>
      </c>
    </row>
    <row r="24396" spans="1:5" x14ac:dyDescent="0.25">
      <c r="A24396" t="s">
        <v>7</v>
      </c>
      <c r="B24396" t="s">
        <v>6322</v>
      </c>
      <c r="C24396" s="1" t="s">
        <v>23490</v>
      </c>
      <c r="D24396" s="1" t="str">
        <f>HYPERLINK("https://rhld.insurance.arkansas.gov/NPILookup?Npi=1568469930","1568469930")</f>
        <v>1568469930</v>
      </c>
      <c r="E24396" t="s">
        <v>6434</v>
      </c>
    </row>
    <row r="24397" spans="1:5" x14ac:dyDescent="0.25">
      <c r="A24397" t="s">
        <v>7</v>
      </c>
      <c r="B24397" t="s">
        <v>6322</v>
      </c>
      <c r="C24397" s="1" t="s">
        <v>23490</v>
      </c>
      <c r="D24397" s="1" t="str">
        <f>HYPERLINK("https://rhld.insurance.arkansas.gov/NPILookup?Npi=1568606382","1568606382")</f>
        <v>1568606382</v>
      </c>
      <c r="E24397" t="s">
        <v>9217</v>
      </c>
    </row>
    <row r="24398" spans="1:5" x14ac:dyDescent="0.25">
      <c r="A24398" t="s">
        <v>7</v>
      </c>
      <c r="B24398" t="s">
        <v>6322</v>
      </c>
      <c r="C24398" s="1" t="s">
        <v>23490</v>
      </c>
      <c r="D24398" s="1" t="str">
        <f>HYPERLINK("https://rhld.insurance.arkansas.gov/NPILookup?Npi=1568643005","1568643005")</f>
        <v>1568643005</v>
      </c>
      <c r="E24398" t="s">
        <v>6473</v>
      </c>
    </row>
    <row r="24399" spans="1:5" x14ac:dyDescent="0.25">
      <c r="A24399" t="s">
        <v>7</v>
      </c>
      <c r="B24399" t="s">
        <v>6322</v>
      </c>
      <c r="C24399" s="1" t="s">
        <v>23490</v>
      </c>
      <c r="D24399" s="1" t="str">
        <f>HYPERLINK("https://rhld.insurance.arkansas.gov/NPILookup?Npi=1568678233","1568678233")</f>
        <v>1568678233</v>
      </c>
      <c r="E24399" t="s">
        <v>4101</v>
      </c>
    </row>
    <row r="24400" spans="1:5" x14ac:dyDescent="0.25">
      <c r="A24400" t="s">
        <v>7</v>
      </c>
      <c r="B24400" t="s">
        <v>6322</v>
      </c>
      <c r="C24400" s="1" t="s">
        <v>23490</v>
      </c>
      <c r="D24400" s="1" t="str">
        <f>HYPERLINK("https://rhld.insurance.arkansas.gov/NPILookup?Npi=1568755635","1568755635")</f>
        <v>1568755635</v>
      </c>
      <c r="E24400" t="s">
        <v>6435</v>
      </c>
    </row>
    <row r="24401" spans="1:5" x14ac:dyDescent="0.25">
      <c r="A24401" t="s">
        <v>7</v>
      </c>
      <c r="B24401" t="s">
        <v>6322</v>
      </c>
      <c r="C24401" s="1" t="s">
        <v>23490</v>
      </c>
      <c r="D24401" s="1" t="str">
        <f>HYPERLINK("https://rhld.insurance.arkansas.gov/NPILookup?Npi=1568946937","1568946937")</f>
        <v>1568946937</v>
      </c>
      <c r="E24401" t="s">
        <v>14384</v>
      </c>
    </row>
    <row r="24402" spans="1:5" x14ac:dyDescent="0.25">
      <c r="A24402" t="s">
        <v>7</v>
      </c>
      <c r="B24402" t="s">
        <v>6322</v>
      </c>
      <c r="C24402" s="1" t="s">
        <v>23490</v>
      </c>
      <c r="D24402" s="1" t="str">
        <f>HYPERLINK("https://rhld.insurance.arkansas.gov/NPILookup?Npi=1568970820","1568970820")</f>
        <v>1568970820</v>
      </c>
      <c r="E24402" t="s">
        <v>14385</v>
      </c>
    </row>
    <row r="24403" spans="1:5" x14ac:dyDescent="0.25">
      <c r="A24403" t="s">
        <v>7</v>
      </c>
      <c r="B24403" t="s">
        <v>6322</v>
      </c>
      <c r="C24403" s="1" t="s">
        <v>23490</v>
      </c>
      <c r="D24403" s="1" t="str">
        <f>HYPERLINK("https://rhld.insurance.arkansas.gov/NPILookup?Npi=1578185252","1578185252")</f>
        <v>1578185252</v>
      </c>
      <c r="E24403" t="s">
        <v>19257</v>
      </c>
    </row>
    <row r="24404" spans="1:5" x14ac:dyDescent="0.25">
      <c r="A24404" t="s">
        <v>7</v>
      </c>
      <c r="B24404" t="s">
        <v>6322</v>
      </c>
      <c r="C24404" s="1" t="s">
        <v>23490</v>
      </c>
      <c r="D24404" s="1" t="str">
        <f>HYPERLINK("https://rhld.insurance.arkansas.gov/NPILookup?Npi=1578518262","1578518262")</f>
        <v>1578518262</v>
      </c>
      <c r="E24404" t="s">
        <v>6325</v>
      </c>
    </row>
    <row r="24405" spans="1:5" x14ac:dyDescent="0.25">
      <c r="A24405" t="s">
        <v>7</v>
      </c>
      <c r="B24405" t="s">
        <v>6322</v>
      </c>
      <c r="C24405" s="1" t="s">
        <v>23490</v>
      </c>
      <c r="D24405" s="1" t="str">
        <f>HYPERLINK("https://rhld.insurance.arkansas.gov/NPILookup?Npi=1578518494","1578518494")</f>
        <v>1578518494</v>
      </c>
      <c r="E24405" t="s">
        <v>12003</v>
      </c>
    </row>
    <row r="24406" spans="1:5" x14ac:dyDescent="0.25">
      <c r="A24406" t="s">
        <v>7</v>
      </c>
      <c r="B24406" t="s">
        <v>6322</v>
      </c>
      <c r="C24406" s="1" t="s">
        <v>23490</v>
      </c>
      <c r="D24406" s="1" t="str">
        <f>HYPERLINK("https://rhld.insurance.arkansas.gov/NPILookup?Npi=1578559803","1578559803")</f>
        <v>1578559803</v>
      </c>
      <c r="E24406" t="s">
        <v>12004</v>
      </c>
    </row>
    <row r="24407" spans="1:5" x14ac:dyDescent="0.25">
      <c r="A24407" t="s">
        <v>7</v>
      </c>
      <c r="B24407" t="s">
        <v>6322</v>
      </c>
      <c r="C24407" s="1" t="s">
        <v>23490</v>
      </c>
      <c r="D24407" s="1" t="str">
        <f>HYPERLINK("https://rhld.insurance.arkansas.gov/NPILookup?Npi=1578609616","1578609616")</f>
        <v>1578609616</v>
      </c>
      <c r="E24407" t="s">
        <v>9218</v>
      </c>
    </row>
    <row r="24408" spans="1:5" x14ac:dyDescent="0.25">
      <c r="A24408" t="s">
        <v>7</v>
      </c>
      <c r="B24408" t="s">
        <v>6322</v>
      </c>
      <c r="C24408" s="1" t="s">
        <v>23490</v>
      </c>
      <c r="D24408" s="1" t="str">
        <f>HYPERLINK("https://rhld.insurance.arkansas.gov/NPILookup?Npi=1578617791","1578617791")</f>
        <v>1578617791</v>
      </c>
      <c r="E24408" t="s">
        <v>7593</v>
      </c>
    </row>
    <row r="24409" spans="1:5" x14ac:dyDescent="0.25">
      <c r="A24409" t="s">
        <v>7</v>
      </c>
      <c r="B24409" t="s">
        <v>6322</v>
      </c>
      <c r="C24409" s="1" t="s">
        <v>23490</v>
      </c>
      <c r="D24409" s="1" t="str">
        <f>HYPERLINK("https://rhld.insurance.arkansas.gov/NPILookup?Npi=1578682472","1578682472")</f>
        <v>1578682472</v>
      </c>
      <c r="E24409" t="s">
        <v>7595</v>
      </c>
    </row>
    <row r="24410" spans="1:5" x14ac:dyDescent="0.25">
      <c r="A24410" t="s">
        <v>7</v>
      </c>
      <c r="B24410" t="s">
        <v>6322</v>
      </c>
      <c r="C24410" s="1" t="s">
        <v>23490</v>
      </c>
      <c r="D24410" s="1" t="str">
        <f>HYPERLINK("https://rhld.insurance.arkansas.gov/NPILookup?Npi=1578919544","1578919544")</f>
        <v>1578919544</v>
      </c>
      <c r="E24410" t="s">
        <v>12005</v>
      </c>
    </row>
    <row r="24411" spans="1:5" x14ac:dyDescent="0.25">
      <c r="A24411" t="s">
        <v>7</v>
      </c>
      <c r="B24411" t="s">
        <v>6322</v>
      </c>
      <c r="C24411" s="1" t="s">
        <v>23490</v>
      </c>
      <c r="D24411" s="1" t="str">
        <f>HYPERLINK("https://rhld.insurance.arkansas.gov/NPILookup?Npi=1588108476","1588108476")</f>
        <v>1588108476</v>
      </c>
      <c r="E24411" t="s">
        <v>18530</v>
      </c>
    </row>
    <row r="24412" spans="1:5" x14ac:dyDescent="0.25">
      <c r="A24412" t="s">
        <v>7</v>
      </c>
      <c r="B24412" t="s">
        <v>6322</v>
      </c>
      <c r="C24412" s="1" t="s">
        <v>23490</v>
      </c>
      <c r="D24412" s="1" t="str">
        <f>HYPERLINK("https://rhld.insurance.arkansas.gov/NPILookup?Npi=1588633200","1588633200")</f>
        <v>1588633200</v>
      </c>
      <c r="E24412" t="s">
        <v>14386</v>
      </c>
    </row>
    <row r="24413" spans="1:5" x14ac:dyDescent="0.25">
      <c r="A24413" t="s">
        <v>7</v>
      </c>
      <c r="B24413" t="s">
        <v>6322</v>
      </c>
      <c r="C24413" s="1" t="s">
        <v>23490</v>
      </c>
      <c r="D24413" s="1" t="str">
        <f>HYPERLINK("https://rhld.insurance.arkansas.gov/NPILookup?Npi=1588946925","1588946925")</f>
        <v>1588946925</v>
      </c>
      <c r="E24413" t="s">
        <v>6436</v>
      </c>
    </row>
    <row r="24414" spans="1:5" x14ac:dyDescent="0.25">
      <c r="A24414" t="s">
        <v>7</v>
      </c>
      <c r="B24414" t="s">
        <v>6322</v>
      </c>
      <c r="C24414" s="1" t="s">
        <v>23490</v>
      </c>
      <c r="D24414" s="1" t="str">
        <f>HYPERLINK("https://rhld.insurance.arkansas.gov/NPILookup?Npi=1588947923","1588947923")</f>
        <v>1588947923</v>
      </c>
      <c r="E24414" t="s">
        <v>6437</v>
      </c>
    </row>
    <row r="24415" spans="1:5" x14ac:dyDescent="0.25">
      <c r="A24415" t="s">
        <v>7</v>
      </c>
      <c r="B24415" t="s">
        <v>6322</v>
      </c>
      <c r="C24415" s="1" t="s">
        <v>23490</v>
      </c>
      <c r="D24415" s="1" t="str">
        <f>HYPERLINK("https://rhld.insurance.arkansas.gov/NPILookup?Npi=1598155152","1598155152")</f>
        <v>1598155152</v>
      </c>
      <c r="E24415" t="s">
        <v>6438</v>
      </c>
    </row>
    <row r="24416" spans="1:5" x14ac:dyDescent="0.25">
      <c r="A24416" t="s">
        <v>7</v>
      </c>
      <c r="B24416" t="s">
        <v>6322</v>
      </c>
      <c r="C24416" s="1" t="s">
        <v>23490</v>
      </c>
      <c r="D24416" s="1" t="str">
        <f>HYPERLINK("https://rhld.insurance.arkansas.gov/NPILookup?Npi=1598710808","1598710808")</f>
        <v>1598710808</v>
      </c>
      <c r="E24416" t="s">
        <v>6325</v>
      </c>
    </row>
    <row r="24417" spans="1:5" x14ac:dyDescent="0.25">
      <c r="A24417" t="s">
        <v>7</v>
      </c>
      <c r="B24417" t="s">
        <v>6322</v>
      </c>
      <c r="C24417" s="1" t="s">
        <v>23490</v>
      </c>
      <c r="D24417" s="1" t="str">
        <f>HYPERLINK("https://rhld.insurance.arkansas.gov/NPILookup?Npi=1598922114","1598922114")</f>
        <v>1598922114</v>
      </c>
      <c r="E24417" t="s">
        <v>7522</v>
      </c>
    </row>
    <row r="24418" spans="1:5" x14ac:dyDescent="0.25">
      <c r="A24418" t="s">
        <v>7</v>
      </c>
      <c r="B24418" t="s">
        <v>6322</v>
      </c>
      <c r="C24418" s="1" t="s">
        <v>23490</v>
      </c>
      <c r="D24418" s="1" t="str">
        <f>HYPERLINK("https://rhld.insurance.arkansas.gov/NPILookup?Npi=1609237098","1609237098")</f>
        <v>1609237098</v>
      </c>
      <c r="E24418" t="s">
        <v>9219</v>
      </c>
    </row>
    <row r="24419" spans="1:5" x14ac:dyDescent="0.25">
      <c r="A24419" t="s">
        <v>7</v>
      </c>
      <c r="B24419" t="s">
        <v>6322</v>
      </c>
      <c r="C24419" s="1" t="s">
        <v>23490</v>
      </c>
      <c r="D24419" s="1" t="str">
        <f>HYPERLINK("https://rhld.insurance.arkansas.gov/NPILookup?Npi=1609237171","1609237171")</f>
        <v>1609237171</v>
      </c>
      <c r="E24419" t="s">
        <v>9220</v>
      </c>
    </row>
    <row r="24420" spans="1:5" x14ac:dyDescent="0.25">
      <c r="A24420" t="s">
        <v>7</v>
      </c>
      <c r="B24420" t="s">
        <v>6322</v>
      </c>
      <c r="C24420" s="1" t="s">
        <v>23490</v>
      </c>
      <c r="D24420" s="1" t="str">
        <f>HYPERLINK("https://rhld.insurance.arkansas.gov/NPILookup?Npi=1609257450","1609257450")</f>
        <v>1609257450</v>
      </c>
      <c r="E24420" t="s">
        <v>6439</v>
      </c>
    </row>
    <row r="24421" spans="1:5" x14ac:dyDescent="0.25">
      <c r="A24421" t="s">
        <v>7</v>
      </c>
      <c r="B24421" t="s">
        <v>6322</v>
      </c>
      <c r="C24421" s="1" t="s">
        <v>23490</v>
      </c>
      <c r="D24421" s="1" t="str">
        <f>HYPERLINK("https://rhld.insurance.arkansas.gov/NPILookup?Npi=1609350073","1609350073")</f>
        <v>1609350073</v>
      </c>
      <c r="E24421" t="s">
        <v>16383</v>
      </c>
    </row>
    <row r="24422" spans="1:5" x14ac:dyDescent="0.25">
      <c r="A24422" t="s">
        <v>7</v>
      </c>
      <c r="B24422" t="s">
        <v>6322</v>
      </c>
      <c r="C24422" s="1" t="s">
        <v>23490</v>
      </c>
      <c r="D24422" s="1" t="str">
        <f>HYPERLINK("https://rhld.insurance.arkansas.gov/NPILookup?Npi=1609350172","1609350172")</f>
        <v>1609350172</v>
      </c>
      <c r="E24422" t="s">
        <v>16384</v>
      </c>
    </row>
    <row r="24423" spans="1:5" x14ac:dyDescent="0.25">
      <c r="A24423" t="s">
        <v>7</v>
      </c>
      <c r="B24423" t="s">
        <v>6322</v>
      </c>
      <c r="C24423" s="1" t="s">
        <v>23490</v>
      </c>
      <c r="D24423" s="1" t="str">
        <f>HYPERLINK("https://rhld.insurance.arkansas.gov/NPILookup?Npi=1609403690","1609403690")</f>
        <v>1609403690</v>
      </c>
      <c r="E24423" t="s">
        <v>18529</v>
      </c>
    </row>
    <row r="24424" spans="1:5" x14ac:dyDescent="0.25">
      <c r="A24424" t="s">
        <v>7</v>
      </c>
      <c r="B24424" t="s">
        <v>6322</v>
      </c>
      <c r="C24424" s="1" t="s">
        <v>23490</v>
      </c>
      <c r="D24424" s="1" t="str">
        <f>HYPERLINK("https://rhld.insurance.arkansas.gov/NPILookup?Npi=1609804822","1609804822")</f>
        <v>1609804822</v>
      </c>
      <c r="E24424" t="s">
        <v>4080</v>
      </c>
    </row>
    <row r="24425" spans="1:5" x14ac:dyDescent="0.25">
      <c r="A24425" t="s">
        <v>7</v>
      </c>
      <c r="B24425" t="s">
        <v>6322</v>
      </c>
      <c r="C24425" s="1" t="s">
        <v>23490</v>
      </c>
      <c r="D24425" s="1" t="str">
        <f>HYPERLINK("https://rhld.insurance.arkansas.gov/NPILookup?Npi=1609811827","1609811827")</f>
        <v>1609811827</v>
      </c>
      <c r="E24425" t="s">
        <v>4080</v>
      </c>
    </row>
    <row r="24426" spans="1:5" x14ac:dyDescent="0.25">
      <c r="A24426" t="s">
        <v>7</v>
      </c>
      <c r="B24426" t="s">
        <v>6322</v>
      </c>
      <c r="C24426" s="1" t="s">
        <v>23490</v>
      </c>
      <c r="D24426" s="1" t="str">
        <f>HYPERLINK("https://rhld.insurance.arkansas.gov/NPILookup?Npi=1609839471","1609839471")</f>
        <v>1609839471</v>
      </c>
      <c r="E24426" t="s">
        <v>6440</v>
      </c>
    </row>
    <row r="24427" spans="1:5" x14ac:dyDescent="0.25">
      <c r="A24427" t="s">
        <v>7</v>
      </c>
      <c r="B24427" t="s">
        <v>6322</v>
      </c>
      <c r="C24427" s="1" t="s">
        <v>23490</v>
      </c>
      <c r="D24427" s="1" t="str">
        <f>HYPERLINK("https://rhld.insurance.arkansas.gov/NPILookup?Npi=1609864578","1609864578")</f>
        <v>1609864578</v>
      </c>
      <c r="E24427" t="s">
        <v>6441</v>
      </c>
    </row>
    <row r="24428" spans="1:5" x14ac:dyDescent="0.25">
      <c r="A24428" t="s">
        <v>7</v>
      </c>
      <c r="B24428" t="s">
        <v>6322</v>
      </c>
      <c r="C24428" s="1" t="s">
        <v>23490</v>
      </c>
      <c r="D24428" s="1" t="str">
        <f>HYPERLINK("https://rhld.insurance.arkansas.gov/NPILookup?Npi=1609870658","1609870658")</f>
        <v>1609870658</v>
      </c>
      <c r="E24428" t="s">
        <v>18531</v>
      </c>
    </row>
    <row r="24429" spans="1:5" x14ac:dyDescent="0.25">
      <c r="A24429" t="s">
        <v>7</v>
      </c>
      <c r="B24429" t="s">
        <v>6322</v>
      </c>
      <c r="C24429" s="1" t="s">
        <v>23490</v>
      </c>
      <c r="D24429" s="1" t="str">
        <f>HYPERLINK("https://rhld.insurance.arkansas.gov/NPILookup?Npi=1619921061","1619921061")</f>
        <v>1619921061</v>
      </c>
      <c r="E24429" t="s">
        <v>16385</v>
      </c>
    </row>
    <row r="24430" spans="1:5" x14ac:dyDescent="0.25">
      <c r="A24430" t="s">
        <v>7</v>
      </c>
      <c r="B24430" t="s">
        <v>6322</v>
      </c>
      <c r="C24430" s="1" t="s">
        <v>23490</v>
      </c>
      <c r="D24430" s="1" t="str">
        <f>HYPERLINK("https://rhld.insurance.arkansas.gov/NPILookup?Npi=1629023627","1629023627")</f>
        <v>1629023627</v>
      </c>
      <c r="E24430" t="s">
        <v>6442</v>
      </c>
    </row>
    <row r="24431" spans="1:5" x14ac:dyDescent="0.25">
      <c r="A24431" t="s">
        <v>7</v>
      </c>
      <c r="B24431" t="s">
        <v>6322</v>
      </c>
      <c r="C24431" s="1" t="s">
        <v>23490</v>
      </c>
      <c r="D24431" s="1" t="str">
        <f>HYPERLINK("https://rhld.insurance.arkansas.gov/NPILookup?Npi=1629258546","1629258546")</f>
        <v>1629258546</v>
      </c>
      <c r="E24431" t="s">
        <v>6443</v>
      </c>
    </row>
    <row r="24432" spans="1:5" x14ac:dyDescent="0.25">
      <c r="A24432" t="s">
        <v>7</v>
      </c>
      <c r="B24432" t="s">
        <v>6322</v>
      </c>
      <c r="C24432" s="1" t="s">
        <v>23490</v>
      </c>
      <c r="D24432" s="1" t="str">
        <f>HYPERLINK("https://rhld.insurance.arkansas.gov/NPILookup?Npi=1629653589","1629653589")</f>
        <v>1629653589</v>
      </c>
      <c r="E24432" t="s">
        <v>20708</v>
      </c>
    </row>
    <row r="24433" spans="1:5" x14ac:dyDescent="0.25">
      <c r="A24433" t="s">
        <v>7</v>
      </c>
      <c r="B24433" t="s">
        <v>6322</v>
      </c>
      <c r="C24433" s="1" t="s">
        <v>23490</v>
      </c>
      <c r="D24433" s="1" t="str">
        <f>HYPERLINK("https://rhld.insurance.arkansas.gov/NPILookup?Npi=1639121551","1639121551")</f>
        <v>1639121551</v>
      </c>
      <c r="E24433" t="s">
        <v>6444</v>
      </c>
    </row>
    <row r="24434" spans="1:5" x14ac:dyDescent="0.25">
      <c r="A24434" t="s">
        <v>7</v>
      </c>
      <c r="B24434" t="s">
        <v>6322</v>
      </c>
      <c r="C24434" s="1" t="s">
        <v>23490</v>
      </c>
      <c r="D24434" s="1" t="str">
        <f>HYPERLINK("https://rhld.insurance.arkansas.gov/NPILookup?Npi=1639126873","1639126873")</f>
        <v>1639126873</v>
      </c>
      <c r="E24434" t="s">
        <v>6445</v>
      </c>
    </row>
    <row r="24435" spans="1:5" x14ac:dyDescent="0.25">
      <c r="A24435" t="s">
        <v>7</v>
      </c>
      <c r="B24435" t="s">
        <v>6322</v>
      </c>
      <c r="C24435" s="1" t="s">
        <v>23490</v>
      </c>
      <c r="D24435" s="1" t="str">
        <f>HYPERLINK("https://rhld.insurance.arkansas.gov/NPILookup?Npi=1639652506","1639652506")</f>
        <v>1639652506</v>
      </c>
      <c r="E24435" t="s">
        <v>17276</v>
      </c>
    </row>
    <row r="24436" spans="1:5" x14ac:dyDescent="0.25">
      <c r="A24436" t="s">
        <v>7</v>
      </c>
      <c r="B24436" t="s">
        <v>6322</v>
      </c>
      <c r="C24436" s="1" t="s">
        <v>23490</v>
      </c>
      <c r="D24436" s="1" t="str">
        <f>HYPERLINK("https://rhld.insurance.arkansas.gov/NPILookup?Npi=1639666274","1639666274")</f>
        <v>1639666274</v>
      </c>
      <c r="E24436" t="s">
        <v>14387</v>
      </c>
    </row>
    <row r="24437" spans="1:5" x14ac:dyDescent="0.25">
      <c r="A24437" t="s">
        <v>7</v>
      </c>
      <c r="B24437" t="s">
        <v>6322</v>
      </c>
      <c r="C24437" s="1" t="s">
        <v>23490</v>
      </c>
      <c r="D24437" s="1" t="str">
        <f>HYPERLINK("https://rhld.insurance.arkansas.gov/NPILookup?Npi=1649260365","1649260365")</f>
        <v>1649260365</v>
      </c>
      <c r="E24437" t="s">
        <v>14368</v>
      </c>
    </row>
    <row r="24438" spans="1:5" x14ac:dyDescent="0.25">
      <c r="A24438" t="s">
        <v>7</v>
      </c>
      <c r="B24438" t="s">
        <v>6322</v>
      </c>
      <c r="C24438" s="1" t="s">
        <v>23490</v>
      </c>
      <c r="D24438" s="1" t="str">
        <f>HYPERLINK("https://rhld.insurance.arkansas.gov/NPILookup?Npi=1649443144","1649443144")</f>
        <v>1649443144</v>
      </c>
      <c r="E24438" t="s">
        <v>4106</v>
      </c>
    </row>
    <row r="24439" spans="1:5" x14ac:dyDescent="0.25">
      <c r="A24439" t="s">
        <v>7</v>
      </c>
      <c r="B24439" t="s">
        <v>6322</v>
      </c>
      <c r="C24439" s="1" t="s">
        <v>23490</v>
      </c>
      <c r="D24439" s="1" t="str">
        <f>HYPERLINK("https://rhld.insurance.arkansas.gov/NPILookup?Npi=1649893058","1649893058")</f>
        <v>1649893058</v>
      </c>
      <c r="E24439" t="s">
        <v>20709</v>
      </c>
    </row>
    <row r="24440" spans="1:5" x14ac:dyDescent="0.25">
      <c r="A24440" t="s">
        <v>7</v>
      </c>
      <c r="B24440" t="s">
        <v>6322</v>
      </c>
      <c r="C24440" s="1" t="s">
        <v>23490</v>
      </c>
      <c r="D24440" s="1" t="str">
        <f>HYPERLINK("https://rhld.insurance.arkansas.gov/NPILookup?Npi=1659369130","1659369130")</f>
        <v>1659369130</v>
      </c>
      <c r="E24440" t="s">
        <v>12006</v>
      </c>
    </row>
    <row r="24441" spans="1:5" x14ac:dyDescent="0.25">
      <c r="A24441" t="s">
        <v>7</v>
      </c>
      <c r="B24441" t="s">
        <v>6322</v>
      </c>
      <c r="C24441" s="1" t="s">
        <v>23490</v>
      </c>
      <c r="D24441" s="1" t="str">
        <f>HYPERLINK("https://rhld.insurance.arkansas.gov/NPILookup?Npi=1659526762","1659526762")</f>
        <v>1659526762</v>
      </c>
      <c r="E24441" t="s">
        <v>14388</v>
      </c>
    </row>
    <row r="24442" spans="1:5" x14ac:dyDescent="0.25">
      <c r="A24442" t="s">
        <v>7</v>
      </c>
      <c r="B24442" t="s">
        <v>6322</v>
      </c>
      <c r="C24442" s="1" t="s">
        <v>23490</v>
      </c>
      <c r="D24442" s="1" t="str">
        <f>HYPERLINK("https://rhld.insurance.arkansas.gov/NPILookup?Npi=1659527844","1659527844")</f>
        <v>1659527844</v>
      </c>
      <c r="E24442" t="s">
        <v>6446</v>
      </c>
    </row>
    <row r="24443" spans="1:5" x14ac:dyDescent="0.25">
      <c r="A24443" t="s">
        <v>7</v>
      </c>
      <c r="B24443" t="s">
        <v>6322</v>
      </c>
      <c r="C24443" s="1" t="s">
        <v>23490</v>
      </c>
      <c r="D24443" s="1" t="str">
        <f>HYPERLINK("https://rhld.insurance.arkansas.gov/NPILookup?Npi=1659662229","1659662229")</f>
        <v>1659662229</v>
      </c>
      <c r="E24443" t="s">
        <v>12007</v>
      </c>
    </row>
    <row r="24444" spans="1:5" x14ac:dyDescent="0.25">
      <c r="A24444" t="s">
        <v>7</v>
      </c>
      <c r="B24444" t="s">
        <v>6322</v>
      </c>
      <c r="C24444" s="1" t="s">
        <v>23490</v>
      </c>
      <c r="D24444" s="1" t="str">
        <f>HYPERLINK("https://rhld.insurance.arkansas.gov/NPILookup?Npi=1659745180","1659745180")</f>
        <v>1659745180</v>
      </c>
      <c r="E24444" t="s">
        <v>17277</v>
      </c>
    </row>
    <row r="24445" spans="1:5" x14ac:dyDescent="0.25">
      <c r="A24445" t="s">
        <v>7</v>
      </c>
      <c r="B24445" t="s">
        <v>6322</v>
      </c>
      <c r="C24445" s="1" t="s">
        <v>23490</v>
      </c>
      <c r="D24445" s="1" t="str">
        <f>HYPERLINK("https://rhld.insurance.arkansas.gov/NPILookup?Npi=1659745495","1659745495")</f>
        <v>1659745495</v>
      </c>
      <c r="E24445" t="s">
        <v>16386</v>
      </c>
    </row>
    <row r="24446" spans="1:5" x14ac:dyDescent="0.25">
      <c r="A24446" t="s">
        <v>7</v>
      </c>
      <c r="B24446" t="s">
        <v>6322</v>
      </c>
      <c r="C24446" s="1" t="s">
        <v>23490</v>
      </c>
      <c r="D24446" s="1" t="str">
        <f>HYPERLINK("https://rhld.insurance.arkansas.gov/NPILookup?Npi=1659858348","1659858348")</f>
        <v>1659858348</v>
      </c>
      <c r="E24446" t="s">
        <v>14389</v>
      </c>
    </row>
    <row r="24447" spans="1:5" x14ac:dyDescent="0.25">
      <c r="A24447" t="s">
        <v>7</v>
      </c>
      <c r="B24447" t="s">
        <v>6322</v>
      </c>
      <c r="C24447" s="1" t="s">
        <v>23490</v>
      </c>
      <c r="D24447" s="1" t="str">
        <f>HYPERLINK("https://rhld.insurance.arkansas.gov/NPILookup?Npi=1669100160","1669100160")</f>
        <v>1669100160</v>
      </c>
      <c r="E24447" t="s">
        <v>22511</v>
      </c>
    </row>
    <row r="24448" spans="1:5" x14ac:dyDescent="0.25">
      <c r="A24448" t="s">
        <v>7</v>
      </c>
      <c r="B24448" t="s">
        <v>6322</v>
      </c>
      <c r="C24448" s="1" t="s">
        <v>23490</v>
      </c>
      <c r="D24448" s="1" t="str">
        <f>HYPERLINK("https://rhld.insurance.arkansas.gov/NPILookup?Npi=1669101143","1669101143")</f>
        <v>1669101143</v>
      </c>
      <c r="E24448" t="s">
        <v>22512</v>
      </c>
    </row>
    <row r="24449" spans="1:5" x14ac:dyDescent="0.25">
      <c r="A24449" t="s">
        <v>7</v>
      </c>
      <c r="B24449" t="s">
        <v>6322</v>
      </c>
      <c r="C24449" s="1" t="s">
        <v>23490</v>
      </c>
      <c r="D24449" s="1" t="str">
        <f>HYPERLINK("https://rhld.insurance.arkansas.gov/NPILookup?Npi=1669424800","1669424800")</f>
        <v>1669424800</v>
      </c>
      <c r="E24449" t="s">
        <v>9221</v>
      </c>
    </row>
    <row r="24450" spans="1:5" x14ac:dyDescent="0.25">
      <c r="A24450" t="s">
        <v>7</v>
      </c>
      <c r="B24450" t="s">
        <v>6322</v>
      </c>
      <c r="C24450" s="1" t="s">
        <v>23490</v>
      </c>
      <c r="D24450" s="1" t="str">
        <f>HYPERLINK("https://rhld.insurance.arkansas.gov/NPILookup?Npi=1669493144","1669493144")</f>
        <v>1669493144</v>
      </c>
      <c r="E24450" t="s">
        <v>4091</v>
      </c>
    </row>
    <row r="24451" spans="1:5" x14ac:dyDescent="0.25">
      <c r="A24451" t="s">
        <v>7</v>
      </c>
      <c r="B24451" t="s">
        <v>6322</v>
      </c>
      <c r="C24451" s="1" t="s">
        <v>23490</v>
      </c>
      <c r="D24451" s="1" t="str">
        <f>HYPERLINK("https://rhld.insurance.arkansas.gov/NPILookup?Npi=1669560447","1669560447")</f>
        <v>1669560447</v>
      </c>
      <c r="E24451" t="s">
        <v>6522</v>
      </c>
    </row>
    <row r="24452" spans="1:5" x14ac:dyDescent="0.25">
      <c r="A24452" t="s">
        <v>7</v>
      </c>
      <c r="B24452" t="s">
        <v>6322</v>
      </c>
      <c r="C24452" s="1" t="s">
        <v>23490</v>
      </c>
      <c r="D24452" s="1" t="str">
        <f>HYPERLINK("https://rhld.insurance.arkansas.gov/NPILookup?Npi=1669876322","1669876322")</f>
        <v>1669876322</v>
      </c>
      <c r="E24452" t="s">
        <v>9222</v>
      </c>
    </row>
    <row r="24453" spans="1:5" x14ac:dyDescent="0.25">
      <c r="A24453" t="s">
        <v>7</v>
      </c>
      <c r="B24453" t="s">
        <v>6322</v>
      </c>
      <c r="C24453" s="1" t="s">
        <v>23490</v>
      </c>
      <c r="D24453" s="1" t="str">
        <f>HYPERLINK("https://rhld.insurance.arkansas.gov/NPILookup?Npi=1679057137","1679057137")</f>
        <v>1679057137</v>
      </c>
      <c r="E24453" t="s">
        <v>14390</v>
      </c>
    </row>
    <row r="24454" spans="1:5" x14ac:dyDescent="0.25">
      <c r="A24454" t="s">
        <v>7</v>
      </c>
      <c r="B24454" t="s">
        <v>6322</v>
      </c>
      <c r="C24454" s="1" t="s">
        <v>23490</v>
      </c>
      <c r="D24454" s="1" t="str">
        <f>HYPERLINK("https://rhld.insurance.arkansas.gov/NPILookup?Npi=1679146609","1679146609")</f>
        <v>1679146609</v>
      </c>
      <c r="E24454" t="s">
        <v>20710</v>
      </c>
    </row>
    <row r="24455" spans="1:5" x14ac:dyDescent="0.25">
      <c r="A24455" t="s">
        <v>7</v>
      </c>
      <c r="B24455" t="s">
        <v>6322</v>
      </c>
      <c r="C24455" s="1" t="s">
        <v>23490</v>
      </c>
      <c r="D24455" s="1" t="str">
        <f>HYPERLINK("https://rhld.insurance.arkansas.gov/NPILookup?Npi=1679574727","1679574727")</f>
        <v>1679574727</v>
      </c>
      <c r="E24455" t="s">
        <v>14391</v>
      </c>
    </row>
    <row r="24456" spans="1:5" x14ac:dyDescent="0.25">
      <c r="A24456" t="s">
        <v>7</v>
      </c>
      <c r="B24456" t="s">
        <v>6322</v>
      </c>
      <c r="C24456" s="1" t="s">
        <v>23490</v>
      </c>
      <c r="D24456" s="1" t="str">
        <f>HYPERLINK("https://rhld.insurance.arkansas.gov/NPILookup?Npi=1679717474","1679717474")</f>
        <v>1679717474</v>
      </c>
      <c r="E24456" t="s">
        <v>6447</v>
      </c>
    </row>
    <row r="24457" spans="1:5" x14ac:dyDescent="0.25">
      <c r="A24457" t="s">
        <v>7</v>
      </c>
      <c r="B24457" t="s">
        <v>6322</v>
      </c>
      <c r="C24457" s="1" t="s">
        <v>23490</v>
      </c>
      <c r="D24457" s="1" t="str">
        <f>HYPERLINK("https://rhld.insurance.arkansas.gov/NPILookup?Npi=1679758957","1679758957")</f>
        <v>1679758957</v>
      </c>
      <c r="E24457" t="s">
        <v>9223</v>
      </c>
    </row>
    <row r="24458" spans="1:5" x14ac:dyDescent="0.25">
      <c r="A24458" t="s">
        <v>7</v>
      </c>
      <c r="B24458" t="s">
        <v>6322</v>
      </c>
      <c r="C24458" s="1" t="s">
        <v>23490</v>
      </c>
      <c r="D24458" s="1" t="str">
        <f>HYPERLINK("https://rhld.insurance.arkansas.gov/NPILookup?Npi=1679890511","1679890511")</f>
        <v>1679890511</v>
      </c>
      <c r="E24458" t="s">
        <v>12008</v>
      </c>
    </row>
    <row r="24459" spans="1:5" x14ac:dyDescent="0.25">
      <c r="A24459" t="s">
        <v>7</v>
      </c>
      <c r="B24459" t="s">
        <v>6322</v>
      </c>
      <c r="C24459" s="1" t="s">
        <v>23490</v>
      </c>
      <c r="D24459" s="1" t="str">
        <f>HYPERLINK("https://rhld.insurance.arkansas.gov/NPILookup?Npi=1679963243","1679963243")</f>
        <v>1679963243</v>
      </c>
      <c r="E24459" t="s">
        <v>6448</v>
      </c>
    </row>
    <row r="24460" spans="1:5" x14ac:dyDescent="0.25">
      <c r="A24460" t="s">
        <v>7</v>
      </c>
      <c r="B24460" t="s">
        <v>6322</v>
      </c>
      <c r="C24460" s="1" t="s">
        <v>23490</v>
      </c>
      <c r="D24460" s="1" t="str">
        <f>HYPERLINK("https://rhld.insurance.arkansas.gov/NPILookup?Npi=1689625568","1689625568")</f>
        <v>1689625568</v>
      </c>
      <c r="E24460" t="s">
        <v>7579</v>
      </c>
    </row>
    <row r="24461" spans="1:5" x14ac:dyDescent="0.25">
      <c r="A24461" t="s">
        <v>7</v>
      </c>
      <c r="B24461" t="s">
        <v>6322</v>
      </c>
      <c r="C24461" s="1" t="s">
        <v>23490</v>
      </c>
      <c r="D24461" s="1" t="str">
        <f>HYPERLINK("https://rhld.insurance.arkansas.gov/NPILookup?Npi=1689973273","1689973273")</f>
        <v>1689973273</v>
      </c>
      <c r="E24461" t="s">
        <v>6449</v>
      </c>
    </row>
    <row r="24462" spans="1:5" x14ac:dyDescent="0.25">
      <c r="A24462" t="s">
        <v>7</v>
      </c>
      <c r="B24462" t="s">
        <v>6322</v>
      </c>
      <c r="C24462" s="1" t="s">
        <v>23490</v>
      </c>
      <c r="D24462" s="1" t="str">
        <f>HYPERLINK("https://rhld.insurance.arkansas.gov/NPILookup?Npi=1699097758","1699097758")</f>
        <v>1699097758</v>
      </c>
      <c r="E24462" t="s">
        <v>14392</v>
      </c>
    </row>
    <row r="24463" spans="1:5" x14ac:dyDescent="0.25">
      <c r="A24463" t="s">
        <v>7</v>
      </c>
      <c r="B24463" t="s">
        <v>6322</v>
      </c>
      <c r="C24463" s="1" t="s">
        <v>23490</v>
      </c>
      <c r="D24463" s="1" t="str">
        <f>HYPERLINK("https://rhld.insurance.arkansas.gov/NPILookup?Npi=1699108001","1699108001")</f>
        <v>1699108001</v>
      </c>
      <c r="E24463" t="s">
        <v>6450</v>
      </c>
    </row>
    <row r="24464" spans="1:5" x14ac:dyDescent="0.25">
      <c r="A24464" t="s">
        <v>7</v>
      </c>
      <c r="B24464" t="s">
        <v>6322</v>
      </c>
      <c r="C24464" s="1" t="s">
        <v>23490</v>
      </c>
      <c r="D24464" s="1" t="str">
        <f>HYPERLINK("https://rhld.insurance.arkansas.gov/NPILookup?Npi=1699156513","1699156513")</f>
        <v>1699156513</v>
      </c>
      <c r="E24464" t="s">
        <v>6451</v>
      </c>
    </row>
    <row r="24465" spans="1:5" x14ac:dyDescent="0.25">
      <c r="A24465" t="s">
        <v>7</v>
      </c>
      <c r="B24465" t="s">
        <v>6322</v>
      </c>
      <c r="C24465" s="1" t="s">
        <v>23490</v>
      </c>
      <c r="D24465" s="1" t="str">
        <f>HYPERLINK("https://rhld.insurance.arkansas.gov/NPILookup?Npi=1699221457","1699221457")</f>
        <v>1699221457</v>
      </c>
      <c r="E24465" t="s">
        <v>14393</v>
      </c>
    </row>
    <row r="24466" spans="1:5" x14ac:dyDescent="0.25">
      <c r="A24466" t="s">
        <v>7</v>
      </c>
      <c r="B24466" t="s">
        <v>6322</v>
      </c>
      <c r="C24466" s="1" t="s">
        <v>23490</v>
      </c>
      <c r="D24466" s="1" t="str">
        <f>HYPERLINK("https://rhld.insurance.arkansas.gov/NPILookup?Npi=1699414318","1699414318")</f>
        <v>1699414318</v>
      </c>
      <c r="E24466" t="s">
        <v>22513</v>
      </c>
    </row>
    <row r="24467" spans="1:5" x14ac:dyDescent="0.25">
      <c r="A24467" t="s">
        <v>7</v>
      </c>
      <c r="B24467" t="s">
        <v>6322</v>
      </c>
      <c r="C24467" s="1" t="s">
        <v>23490</v>
      </c>
      <c r="D24467" s="1" t="str">
        <f>HYPERLINK("https://rhld.insurance.arkansas.gov/NPILookup?Npi=1699726695","1699726695")</f>
        <v>1699726695</v>
      </c>
      <c r="E24467" t="s">
        <v>7582</v>
      </c>
    </row>
    <row r="24468" spans="1:5" x14ac:dyDescent="0.25">
      <c r="A24468" t="s">
        <v>7</v>
      </c>
      <c r="B24468" t="s">
        <v>6322</v>
      </c>
      <c r="C24468" s="1" t="s">
        <v>23490</v>
      </c>
      <c r="D24468" s="1" t="str">
        <f>HYPERLINK("https://rhld.insurance.arkansas.gov/NPILookup?Npi=1699920637","1699920637")</f>
        <v>1699920637</v>
      </c>
      <c r="E24468" t="s">
        <v>6452</v>
      </c>
    </row>
    <row r="24469" spans="1:5" x14ac:dyDescent="0.25">
      <c r="A24469" t="s">
        <v>7</v>
      </c>
      <c r="B24469" t="s">
        <v>6322</v>
      </c>
      <c r="C24469" s="1" t="s">
        <v>23490</v>
      </c>
      <c r="D24469" s="1" t="str">
        <f>HYPERLINK("https://rhld.insurance.arkansas.gov/NPILookup?Npi=1700193133","1700193133")</f>
        <v>1700193133</v>
      </c>
      <c r="E24469" t="s">
        <v>17703</v>
      </c>
    </row>
    <row r="24470" spans="1:5" x14ac:dyDescent="0.25">
      <c r="A24470" t="s">
        <v>7</v>
      </c>
      <c r="B24470" t="s">
        <v>6322</v>
      </c>
      <c r="C24470" s="1" t="s">
        <v>23490</v>
      </c>
      <c r="D24470" s="1" t="str">
        <f>HYPERLINK("https://rhld.insurance.arkansas.gov/NPILookup?Npi=1700211042","1700211042")</f>
        <v>1700211042</v>
      </c>
      <c r="E24470" t="s">
        <v>6453</v>
      </c>
    </row>
    <row r="24471" spans="1:5" x14ac:dyDescent="0.25">
      <c r="A24471" t="s">
        <v>7</v>
      </c>
      <c r="B24471" t="s">
        <v>6322</v>
      </c>
      <c r="C24471" s="1" t="s">
        <v>23490</v>
      </c>
      <c r="D24471" s="1" t="str">
        <f>HYPERLINK("https://rhld.insurance.arkansas.gov/NPILookup?Npi=1700357118","1700357118")</f>
        <v>1700357118</v>
      </c>
      <c r="E24471" t="s">
        <v>17704</v>
      </c>
    </row>
    <row r="24472" spans="1:5" x14ac:dyDescent="0.25">
      <c r="A24472" t="s">
        <v>7</v>
      </c>
      <c r="B24472" t="s">
        <v>6322</v>
      </c>
      <c r="C24472" s="1" t="s">
        <v>23490</v>
      </c>
      <c r="D24472" s="1" t="str">
        <f>HYPERLINK("https://rhld.insurance.arkansas.gov/NPILookup?Npi=1700360120","1700360120")</f>
        <v>1700360120</v>
      </c>
      <c r="E24472" t="s">
        <v>16387</v>
      </c>
    </row>
    <row r="24473" spans="1:5" x14ac:dyDescent="0.25">
      <c r="A24473" t="s">
        <v>7</v>
      </c>
      <c r="B24473" t="s">
        <v>6322</v>
      </c>
      <c r="C24473" s="1" t="s">
        <v>23490</v>
      </c>
      <c r="D24473" s="1" t="str">
        <f>HYPERLINK("https://rhld.insurance.arkansas.gov/NPILookup?Npi=1700407541","1700407541")</f>
        <v>1700407541</v>
      </c>
      <c r="E24473" t="s">
        <v>18523</v>
      </c>
    </row>
    <row r="24474" spans="1:5" x14ac:dyDescent="0.25">
      <c r="A24474" t="s">
        <v>7</v>
      </c>
      <c r="B24474" t="s">
        <v>6322</v>
      </c>
      <c r="C24474" s="1" t="s">
        <v>23490</v>
      </c>
      <c r="D24474" s="1" t="str">
        <f>HYPERLINK("https://rhld.insurance.arkansas.gov/NPILookup?Npi=1700810033","1700810033")</f>
        <v>1700810033</v>
      </c>
      <c r="E24474" t="s">
        <v>6454</v>
      </c>
    </row>
    <row r="24475" spans="1:5" x14ac:dyDescent="0.25">
      <c r="A24475" t="s">
        <v>7</v>
      </c>
      <c r="B24475" t="s">
        <v>6322</v>
      </c>
      <c r="C24475" s="1" t="s">
        <v>23490</v>
      </c>
      <c r="D24475" s="1" t="str">
        <f>HYPERLINK("https://rhld.insurance.arkansas.gov/NPILookup?Npi=1700850054","1700850054")</f>
        <v>1700850054</v>
      </c>
      <c r="E24475" t="s">
        <v>6455</v>
      </c>
    </row>
    <row r="24476" spans="1:5" x14ac:dyDescent="0.25">
      <c r="A24476" t="s">
        <v>7</v>
      </c>
      <c r="B24476" t="s">
        <v>6322</v>
      </c>
      <c r="C24476" s="1" t="s">
        <v>23490</v>
      </c>
      <c r="D24476" s="1" t="str">
        <f>HYPERLINK("https://rhld.insurance.arkansas.gov/NPILookup?Npi=1700874666","1700874666")</f>
        <v>1700874666</v>
      </c>
      <c r="E24476" t="s">
        <v>6456</v>
      </c>
    </row>
    <row r="24477" spans="1:5" x14ac:dyDescent="0.25">
      <c r="A24477" t="s">
        <v>7</v>
      </c>
      <c r="B24477" t="s">
        <v>6322</v>
      </c>
      <c r="C24477" s="1" t="s">
        <v>23490</v>
      </c>
      <c r="D24477" s="1" t="str">
        <f>HYPERLINK("https://rhld.insurance.arkansas.gov/NPILookup?Npi=1700896883","1700896883")</f>
        <v>1700896883</v>
      </c>
      <c r="E24477" t="s">
        <v>6457</v>
      </c>
    </row>
    <row r="24478" spans="1:5" x14ac:dyDescent="0.25">
      <c r="A24478" t="s">
        <v>7</v>
      </c>
      <c r="B24478" t="s">
        <v>6322</v>
      </c>
      <c r="C24478" s="1" t="s">
        <v>23490</v>
      </c>
      <c r="D24478" s="1" t="str">
        <f>HYPERLINK("https://rhld.insurance.arkansas.gov/NPILookup?Npi=1710289012","1710289012")</f>
        <v>1710289012</v>
      </c>
      <c r="E24478" t="s">
        <v>6458</v>
      </c>
    </row>
    <row r="24479" spans="1:5" x14ac:dyDescent="0.25">
      <c r="A24479" t="s">
        <v>7</v>
      </c>
      <c r="B24479" t="s">
        <v>6322</v>
      </c>
      <c r="C24479" s="1" t="s">
        <v>23490</v>
      </c>
      <c r="D24479" s="1" t="str">
        <f>HYPERLINK("https://rhld.insurance.arkansas.gov/NPILookup?Npi=1710295902","1710295902")</f>
        <v>1710295902</v>
      </c>
      <c r="E24479" t="s">
        <v>17705</v>
      </c>
    </row>
    <row r="24480" spans="1:5" x14ac:dyDescent="0.25">
      <c r="A24480" t="s">
        <v>7</v>
      </c>
      <c r="B24480" t="s">
        <v>6322</v>
      </c>
      <c r="C24480" s="1" t="s">
        <v>23490</v>
      </c>
      <c r="D24480" s="1" t="str">
        <f>HYPERLINK("https://rhld.insurance.arkansas.gov/NPILookup?Npi=1710351259","1710351259")</f>
        <v>1710351259</v>
      </c>
      <c r="E24480" t="s">
        <v>14394</v>
      </c>
    </row>
    <row r="24481" spans="1:5" x14ac:dyDescent="0.25">
      <c r="A24481" t="s">
        <v>7</v>
      </c>
      <c r="B24481" t="s">
        <v>6322</v>
      </c>
      <c r="C24481" s="1" t="s">
        <v>23490</v>
      </c>
      <c r="D24481" s="1" t="str">
        <f>HYPERLINK("https://rhld.insurance.arkansas.gov/NPILookup?Npi=1710463146","1710463146")</f>
        <v>1710463146</v>
      </c>
      <c r="E24481" t="s">
        <v>13887</v>
      </c>
    </row>
    <row r="24482" spans="1:5" x14ac:dyDescent="0.25">
      <c r="A24482" t="s">
        <v>7</v>
      </c>
      <c r="B24482" t="s">
        <v>6322</v>
      </c>
      <c r="C24482" s="1" t="s">
        <v>23490</v>
      </c>
      <c r="D24482" s="1" t="str">
        <f>HYPERLINK("https://rhld.insurance.arkansas.gov/NPILookup?Npi=1710524871","1710524871")</f>
        <v>1710524871</v>
      </c>
      <c r="E24482" t="s">
        <v>17278</v>
      </c>
    </row>
    <row r="24483" spans="1:5" x14ac:dyDescent="0.25">
      <c r="A24483" t="s">
        <v>7</v>
      </c>
      <c r="B24483" t="s">
        <v>6322</v>
      </c>
      <c r="C24483" s="1" t="s">
        <v>23490</v>
      </c>
      <c r="D24483" s="1" t="str">
        <f>HYPERLINK("https://rhld.insurance.arkansas.gov/NPILookup?Npi=1710562640","1710562640")</f>
        <v>1710562640</v>
      </c>
      <c r="E24483" t="s">
        <v>20711</v>
      </c>
    </row>
    <row r="24484" spans="1:5" x14ac:dyDescent="0.25">
      <c r="A24484" t="s">
        <v>7</v>
      </c>
      <c r="B24484" t="s">
        <v>6322</v>
      </c>
      <c r="C24484" s="1" t="s">
        <v>23490</v>
      </c>
      <c r="D24484" s="1" t="str">
        <f>HYPERLINK("https://rhld.insurance.arkansas.gov/NPILookup?Npi=1710562673","1710562673")</f>
        <v>1710562673</v>
      </c>
      <c r="E24484" t="s">
        <v>20712</v>
      </c>
    </row>
    <row r="24485" spans="1:5" x14ac:dyDescent="0.25">
      <c r="A24485" t="s">
        <v>7</v>
      </c>
      <c r="B24485" t="s">
        <v>6322</v>
      </c>
      <c r="C24485" s="1" t="s">
        <v>23490</v>
      </c>
      <c r="D24485" s="1" t="str">
        <f>HYPERLINK("https://rhld.insurance.arkansas.gov/NPILookup?Npi=1710573662","1710573662")</f>
        <v>1710573662</v>
      </c>
      <c r="E24485" t="s">
        <v>19258</v>
      </c>
    </row>
    <row r="24486" spans="1:5" x14ac:dyDescent="0.25">
      <c r="A24486" t="s">
        <v>7</v>
      </c>
      <c r="B24486" t="s">
        <v>6322</v>
      </c>
      <c r="C24486" s="1" t="s">
        <v>23490</v>
      </c>
      <c r="D24486" s="1" t="str">
        <f>HYPERLINK("https://rhld.insurance.arkansas.gov/NPILookup?Npi=1710931985","1710931985")</f>
        <v>1710931985</v>
      </c>
      <c r="E24486" t="s">
        <v>6459</v>
      </c>
    </row>
    <row r="24487" spans="1:5" x14ac:dyDescent="0.25">
      <c r="A24487" t="s">
        <v>7</v>
      </c>
      <c r="B24487" t="s">
        <v>6322</v>
      </c>
      <c r="C24487" s="1" t="s">
        <v>23490</v>
      </c>
      <c r="D24487" s="1" t="str">
        <f>HYPERLINK("https://rhld.insurance.arkansas.gov/NPILookup?Npi=1710958574","1710958574")</f>
        <v>1710958574</v>
      </c>
      <c r="E24487" t="s">
        <v>14395</v>
      </c>
    </row>
    <row r="24488" spans="1:5" x14ac:dyDescent="0.25">
      <c r="A24488" t="s">
        <v>7</v>
      </c>
      <c r="B24488" t="s">
        <v>6322</v>
      </c>
      <c r="C24488" s="1" t="s">
        <v>23490</v>
      </c>
      <c r="D24488" s="1" t="str">
        <f>HYPERLINK("https://rhld.insurance.arkansas.gov/NPILookup?Npi=1710958582","1710958582")</f>
        <v>1710958582</v>
      </c>
      <c r="E24488" t="s">
        <v>6461</v>
      </c>
    </row>
    <row r="24489" spans="1:5" x14ac:dyDescent="0.25">
      <c r="A24489" t="s">
        <v>7</v>
      </c>
      <c r="B24489" t="s">
        <v>6322</v>
      </c>
      <c r="C24489" s="1" t="s">
        <v>23490</v>
      </c>
      <c r="D24489" s="1" t="str">
        <f>HYPERLINK("https://rhld.insurance.arkansas.gov/NPILookup?Npi=1710971809","1710971809")</f>
        <v>1710971809</v>
      </c>
      <c r="E24489" t="s">
        <v>14396</v>
      </c>
    </row>
    <row r="24490" spans="1:5" x14ac:dyDescent="0.25">
      <c r="A24490" t="s">
        <v>7</v>
      </c>
      <c r="B24490" t="s">
        <v>6322</v>
      </c>
      <c r="C24490" s="1" t="s">
        <v>23490</v>
      </c>
      <c r="D24490" s="1" t="str">
        <f>HYPERLINK("https://rhld.insurance.arkansas.gov/NPILookup?Npi=1710973086","1710973086")</f>
        <v>1710973086</v>
      </c>
      <c r="E24490" t="s">
        <v>14397</v>
      </c>
    </row>
    <row r="24491" spans="1:5" x14ac:dyDescent="0.25">
      <c r="A24491" t="s">
        <v>7</v>
      </c>
      <c r="B24491" t="s">
        <v>6322</v>
      </c>
      <c r="C24491" s="1" t="s">
        <v>23490</v>
      </c>
      <c r="D24491" s="1" t="str">
        <f>HYPERLINK("https://rhld.insurance.arkansas.gov/NPILookup?Npi=1710974274","1710974274")</f>
        <v>1710974274</v>
      </c>
      <c r="E24491" t="s">
        <v>12009</v>
      </c>
    </row>
    <row r="24492" spans="1:5" x14ac:dyDescent="0.25">
      <c r="A24492" t="s">
        <v>7</v>
      </c>
      <c r="B24492" t="s">
        <v>6322</v>
      </c>
      <c r="C24492" s="1" t="s">
        <v>23490</v>
      </c>
      <c r="D24492" s="1" t="str">
        <f>HYPERLINK("https://rhld.insurance.arkansas.gov/NPILookup?Npi=1720183023","1720183023")</f>
        <v>1720183023</v>
      </c>
      <c r="E24492" t="s">
        <v>7594</v>
      </c>
    </row>
    <row r="24493" spans="1:5" x14ac:dyDescent="0.25">
      <c r="A24493" t="s">
        <v>7</v>
      </c>
      <c r="B24493" t="s">
        <v>6322</v>
      </c>
      <c r="C24493" s="1" t="s">
        <v>23490</v>
      </c>
      <c r="D24493" s="1" t="str">
        <f>HYPERLINK("https://rhld.insurance.arkansas.gov/NPILookup?Npi=1720561699","1720561699")</f>
        <v>1720561699</v>
      </c>
      <c r="E24493" t="s">
        <v>17279</v>
      </c>
    </row>
    <row r="24494" spans="1:5" x14ac:dyDescent="0.25">
      <c r="A24494" t="s">
        <v>7</v>
      </c>
      <c r="B24494" t="s">
        <v>6322</v>
      </c>
      <c r="C24494" s="1" t="s">
        <v>23490</v>
      </c>
      <c r="D24494" s="1" t="str">
        <f>HYPERLINK("https://rhld.insurance.arkansas.gov/NPILookup?Npi=1720657224","1720657224")</f>
        <v>1720657224</v>
      </c>
      <c r="E24494" t="s">
        <v>19259</v>
      </c>
    </row>
    <row r="24495" spans="1:5" x14ac:dyDescent="0.25">
      <c r="A24495" t="s">
        <v>7</v>
      </c>
      <c r="B24495" t="s">
        <v>6322</v>
      </c>
      <c r="C24495" s="1" t="s">
        <v>23490</v>
      </c>
      <c r="D24495" s="1" t="str">
        <f>HYPERLINK("https://rhld.insurance.arkansas.gov/NPILookup?Npi=1720716251","1720716251")</f>
        <v>1720716251</v>
      </c>
      <c r="E24495" t="s">
        <v>22514</v>
      </c>
    </row>
    <row r="24496" spans="1:5" x14ac:dyDescent="0.25">
      <c r="A24496" t="s">
        <v>7</v>
      </c>
      <c r="B24496" t="s">
        <v>6322</v>
      </c>
      <c r="C24496" s="1" t="s">
        <v>23490</v>
      </c>
      <c r="D24496" s="1" t="str">
        <f>HYPERLINK("https://rhld.insurance.arkansas.gov/NPILookup?Npi=1720735426","1720735426")</f>
        <v>1720735426</v>
      </c>
      <c r="E24496" t="s">
        <v>21261</v>
      </c>
    </row>
    <row r="24497" spans="1:5" x14ac:dyDescent="0.25">
      <c r="A24497" t="s">
        <v>7</v>
      </c>
      <c r="B24497" t="s">
        <v>6322</v>
      </c>
      <c r="C24497" s="1" t="s">
        <v>23490</v>
      </c>
      <c r="D24497" s="1" t="str">
        <f>HYPERLINK("https://rhld.insurance.arkansas.gov/NPILookup?Npi=1730124488","1730124488")</f>
        <v>1730124488</v>
      </c>
      <c r="E24497" t="s">
        <v>6462</v>
      </c>
    </row>
    <row r="24498" spans="1:5" x14ac:dyDescent="0.25">
      <c r="A24498" t="s">
        <v>7</v>
      </c>
      <c r="B24498" t="s">
        <v>6322</v>
      </c>
      <c r="C24498" s="1" t="s">
        <v>23490</v>
      </c>
      <c r="D24498" s="1" t="str">
        <f>HYPERLINK("https://rhld.insurance.arkansas.gov/NPILookup?Npi=1730140567","1730140567")</f>
        <v>1730140567</v>
      </c>
      <c r="E24498" t="s">
        <v>6463</v>
      </c>
    </row>
    <row r="24499" spans="1:5" x14ac:dyDescent="0.25">
      <c r="A24499" t="s">
        <v>7</v>
      </c>
      <c r="B24499" t="s">
        <v>6322</v>
      </c>
      <c r="C24499" s="1" t="s">
        <v>23490</v>
      </c>
      <c r="D24499" s="1" t="str">
        <f>HYPERLINK("https://rhld.insurance.arkansas.gov/NPILookup?Npi=1730737131","1730737131")</f>
        <v>1730737131</v>
      </c>
      <c r="E24499" t="s">
        <v>20285</v>
      </c>
    </row>
    <row r="24500" spans="1:5" x14ac:dyDescent="0.25">
      <c r="A24500" t="s">
        <v>7</v>
      </c>
      <c r="B24500" t="s">
        <v>6322</v>
      </c>
      <c r="C24500" s="1" t="s">
        <v>23490</v>
      </c>
      <c r="D24500" s="1" t="str">
        <f>HYPERLINK("https://rhld.insurance.arkansas.gov/NPILookup?Npi=1730826066","1730826066")</f>
        <v>1730826066</v>
      </c>
      <c r="E24500" t="s">
        <v>22515</v>
      </c>
    </row>
    <row r="24501" spans="1:5" x14ac:dyDescent="0.25">
      <c r="A24501" t="s">
        <v>7</v>
      </c>
      <c r="B24501" t="s">
        <v>6322</v>
      </c>
      <c r="C24501" s="1" t="s">
        <v>23490</v>
      </c>
      <c r="D24501" s="1" t="str">
        <f>HYPERLINK("https://rhld.insurance.arkansas.gov/NPILookup?Npi=1730836412","1730836412")</f>
        <v>1730836412</v>
      </c>
      <c r="E24501" t="s">
        <v>21262</v>
      </c>
    </row>
    <row r="24502" spans="1:5" x14ac:dyDescent="0.25">
      <c r="A24502" t="s">
        <v>7</v>
      </c>
      <c r="B24502" t="s">
        <v>6322</v>
      </c>
      <c r="C24502" s="1" t="s">
        <v>23490</v>
      </c>
      <c r="D24502" s="1" t="str">
        <f>HYPERLINK("https://rhld.insurance.arkansas.gov/NPILookup?Npi=1740217884","1740217884")</f>
        <v>1740217884</v>
      </c>
      <c r="E24502" t="s">
        <v>7552</v>
      </c>
    </row>
    <row r="24503" spans="1:5" x14ac:dyDescent="0.25">
      <c r="A24503" t="s">
        <v>7</v>
      </c>
      <c r="B24503" t="s">
        <v>6322</v>
      </c>
      <c r="C24503" s="1" t="s">
        <v>23490</v>
      </c>
      <c r="D24503" s="1" t="str">
        <f>HYPERLINK("https://rhld.insurance.arkansas.gov/NPILookup?Npi=1740228204","1740228204")</f>
        <v>1740228204</v>
      </c>
      <c r="E24503" t="s">
        <v>6464</v>
      </c>
    </row>
    <row r="24504" spans="1:5" x14ac:dyDescent="0.25">
      <c r="A24504" t="s">
        <v>7</v>
      </c>
      <c r="B24504" t="s">
        <v>6322</v>
      </c>
      <c r="C24504" s="1" t="s">
        <v>23490</v>
      </c>
      <c r="D24504" s="1" t="str">
        <f>HYPERLINK("https://rhld.insurance.arkansas.gov/NPILookup?Npi=1740236777","1740236777")</f>
        <v>1740236777</v>
      </c>
      <c r="E24504" t="s">
        <v>6325</v>
      </c>
    </row>
    <row r="24505" spans="1:5" x14ac:dyDescent="0.25">
      <c r="A24505" t="s">
        <v>7</v>
      </c>
      <c r="B24505" t="s">
        <v>6322</v>
      </c>
      <c r="C24505" s="1" t="s">
        <v>23490</v>
      </c>
      <c r="D24505" s="1" t="str">
        <f>HYPERLINK("https://rhld.insurance.arkansas.gov/NPILookup?Npi=1740243427","1740243427")</f>
        <v>1740243427</v>
      </c>
      <c r="E24505" t="s">
        <v>9224</v>
      </c>
    </row>
    <row r="24506" spans="1:5" x14ac:dyDescent="0.25">
      <c r="A24506" t="s">
        <v>7</v>
      </c>
      <c r="B24506" t="s">
        <v>6322</v>
      </c>
      <c r="C24506" s="1" t="s">
        <v>23490</v>
      </c>
      <c r="D24506" s="1" t="str">
        <f>HYPERLINK("https://rhld.insurance.arkansas.gov/NPILookup?Npi=1740368174","1740368174")</f>
        <v>1740368174</v>
      </c>
      <c r="E24506" t="s">
        <v>6465</v>
      </c>
    </row>
    <row r="24507" spans="1:5" x14ac:dyDescent="0.25">
      <c r="A24507" t="s">
        <v>7</v>
      </c>
      <c r="B24507" t="s">
        <v>6322</v>
      </c>
      <c r="C24507" s="1" t="s">
        <v>23490</v>
      </c>
      <c r="D24507" s="1" t="str">
        <f>HYPERLINK("https://rhld.insurance.arkansas.gov/NPILookup?Npi=1740524404","1740524404")</f>
        <v>1740524404</v>
      </c>
      <c r="E24507" t="s">
        <v>6466</v>
      </c>
    </row>
    <row r="24508" spans="1:5" x14ac:dyDescent="0.25">
      <c r="A24508" t="s">
        <v>7</v>
      </c>
      <c r="B24508" t="s">
        <v>6322</v>
      </c>
      <c r="C24508" s="1" t="s">
        <v>23490</v>
      </c>
      <c r="D24508" s="1" t="str">
        <f>HYPERLINK("https://rhld.insurance.arkansas.gov/NPILookup?Npi=1740537356","1740537356")</f>
        <v>1740537356</v>
      </c>
      <c r="E24508" t="s">
        <v>12010</v>
      </c>
    </row>
    <row r="24509" spans="1:5" x14ac:dyDescent="0.25">
      <c r="A24509" t="s">
        <v>7</v>
      </c>
      <c r="B24509" t="s">
        <v>6322</v>
      </c>
      <c r="C24509" s="1" t="s">
        <v>23490</v>
      </c>
      <c r="D24509" s="1" t="str">
        <f>HYPERLINK("https://rhld.insurance.arkansas.gov/NPILookup?Npi=1740608843","1740608843")</f>
        <v>1740608843</v>
      </c>
      <c r="E24509" t="s">
        <v>6467</v>
      </c>
    </row>
    <row r="24510" spans="1:5" x14ac:dyDescent="0.25">
      <c r="A24510" t="s">
        <v>7</v>
      </c>
      <c r="B24510" t="s">
        <v>6322</v>
      </c>
      <c r="C24510" s="1" t="s">
        <v>23490</v>
      </c>
      <c r="D24510" s="1" t="str">
        <f>HYPERLINK("https://rhld.insurance.arkansas.gov/NPILookup?Npi=1740654185","1740654185")</f>
        <v>1740654185</v>
      </c>
      <c r="E24510" t="s">
        <v>12011</v>
      </c>
    </row>
    <row r="24511" spans="1:5" x14ac:dyDescent="0.25">
      <c r="A24511" t="s">
        <v>7</v>
      </c>
      <c r="B24511" t="s">
        <v>6322</v>
      </c>
      <c r="C24511" s="1" t="s">
        <v>23490</v>
      </c>
      <c r="D24511" s="1" t="str">
        <f>HYPERLINK("https://rhld.insurance.arkansas.gov/NPILookup?Npi=1750313722","1750313722")</f>
        <v>1750313722</v>
      </c>
      <c r="E24511" t="s">
        <v>6468</v>
      </c>
    </row>
    <row r="24512" spans="1:5" x14ac:dyDescent="0.25">
      <c r="A24512" t="s">
        <v>7</v>
      </c>
      <c r="B24512" t="s">
        <v>6322</v>
      </c>
      <c r="C24512" s="1" t="s">
        <v>23490</v>
      </c>
      <c r="D24512" s="1" t="str">
        <f>HYPERLINK("https://rhld.insurance.arkansas.gov/NPILookup?Npi=1750379335","1750379335")</f>
        <v>1750379335</v>
      </c>
      <c r="E24512" t="s">
        <v>6329</v>
      </c>
    </row>
    <row r="24513" spans="1:5" x14ac:dyDescent="0.25">
      <c r="A24513" t="s">
        <v>7</v>
      </c>
      <c r="B24513" t="s">
        <v>6322</v>
      </c>
      <c r="C24513" s="1" t="s">
        <v>23490</v>
      </c>
      <c r="D24513" s="1" t="str">
        <f>HYPERLINK("https://rhld.insurance.arkansas.gov/NPILookup?Npi=1750435426","1750435426")</f>
        <v>1750435426</v>
      </c>
      <c r="E24513" t="s">
        <v>14398</v>
      </c>
    </row>
    <row r="24514" spans="1:5" x14ac:dyDescent="0.25">
      <c r="A24514" t="s">
        <v>7</v>
      </c>
      <c r="B24514" t="s">
        <v>6322</v>
      </c>
      <c r="C24514" s="1" t="s">
        <v>23490</v>
      </c>
      <c r="D24514" s="1" t="str">
        <f>HYPERLINK("https://rhld.insurance.arkansas.gov/NPILookup?Npi=1750755195","1750755195")</f>
        <v>1750755195</v>
      </c>
      <c r="E24514" t="s">
        <v>12012</v>
      </c>
    </row>
    <row r="24515" spans="1:5" x14ac:dyDescent="0.25">
      <c r="A24515" t="s">
        <v>7</v>
      </c>
      <c r="B24515" t="s">
        <v>6322</v>
      </c>
      <c r="C24515" s="1" t="s">
        <v>23490</v>
      </c>
      <c r="D24515" s="1" t="str">
        <f>HYPERLINK("https://rhld.insurance.arkansas.gov/NPILookup?Npi=1750928644","1750928644")</f>
        <v>1750928644</v>
      </c>
      <c r="E24515" t="s">
        <v>17280</v>
      </c>
    </row>
    <row r="24516" spans="1:5" x14ac:dyDescent="0.25">
      <c r="A24516" t="s">
        <v>7</v>
      </c>
      <c r="B24516" t="s">
        <v>6322</v>
      </c>
      <c r="C24516" s="1" t="s">
        <v>23490</v>
      </c>
      <c r="D24516" s="1" t="str">
        <f>HYPERLINK("https://rhld.insurance.arkansas.gov/NPILookup?Npi=1760418354","1760418354")</f>
        <v>1760418354</v>
      </c>
      <c r="E24516" t="s">
        <v>4080</v>
      </c>
    </row>
    <row r="24517" spans="1:5" x14ac:dyDescent="0.25">
      <c r="A24517" t="s">
        <v>7</v>
      </c>
      <c r="B24517" t="s">
        <v>6322</v>
      </c>
      <c r="C24517" s="1" t="s">
        <v>23490</v>
      </c>
      <c r="D24517" s="1" t="str">
        <f>HYPERLINK("https://rhld.insurance.arkansas.gov/NPILookup?Npi=1760447577","1760447577")</f>
        <v>1760447577</v>
      </c>
      <c r="E24517" t="s">
        <v>14399</v>
      </c>
    </row>
    <row r="24518" spans="1:5" x14ac:dyDescent="0.25">
      <c r="A24518" t="s">
        <v>7</v>
      </c>
      <c r="B24518" t="s">
        <v>6322</v>
      </c>
      <c r="C24518" s="1" t="s">
        <v>23490</v>
      </c>
      <c r="D24518" s="1" t="str">
        <f>HYPERLINK("https://rhld.insurance.arkansas.gov/NPILookup?Npi=1760453633","1760453633")</f>
        <v>1760453633</v>
      </c>
      <c r="E24518" t="s">
        <v>6425</v>
      </c>
    </row>
    <row r="24519" spans="1:5" x14ac:dyDescent="0.25">
      <c r="A24519" t="s">
        <v>7</v>
      </c>
      <c r="B24519" t="s">
        <v>6322</v>
      </c>
      <c r="C24519" s="1" t="s">
        <v>23490</v>
      </c>
      <c r="D24519" s="1" t="str">
        <f>HYPERLINK("https://rhld.insurance.arkansas.gov/NPILookup?Npi=1760470330","1760470330")</f>
        <v>1760470330</v>
      </c>
      <c r="E24519" t="s">
        <v>6329</v>
      </c>
    </row>
    <row r="24520" spans="1:5" x14ac:dyDescent="0.25">
      <c r="A24520" t="s">
        <v>7</v>
      </c>
      <c r="B24520" t="s">
        <v>6322</v>
      </c>
      <c r="C24520" s="1" t="s">
        <v>23490</v>
      </c>
      <c r="D24520" s="1" t="str">
        <f>HYPERLINK("https://rhld.insurance.arkansas.gov/NPILookup?Npi=1760470348","1760470348")</f>
        <v>1760470348</v>
      </c>
      <c r="E24520" t="s">
        <v>6329</v>
      </c>
    </row>
    <row r="24521" spans="1:5" x14ac:dyDescent="0.25">
      <c r="A24521" t="s">
        <v>7</v>
      </c>
      <c r="B24521" t="s">
        <v>6322</v>
      </c>
      <c r="C24521" s="1" t="s">
        <v>23490</v>
      </c>
      <c r="D24521" s="1" t="str">
        <f>HYPERLINK("https://rhld.insurance.arkansas.gov/NPILookup?Npi=1760511745","1760511745")</f>
        <v>1760511745</v>
      </c>
      <c r="E24521" t="s">
        <v>14400</v>
      </c>
    </row>
    <row r="24522" spans="1:5" x14ac:dyDescent="0.25">
      <c r="A24522" t="s">
        <v>7</v>
      </c>
      <c r="B24522" t="s">
        <v>6322</v>
      </c>
      <c r="C24522" s="1" t="s">
        <v>23490</v>
      </c>
      <c r="D24522" s="1" t="str">
        <f>HYPERLINK("https://rhld.insurance.arkansas.gov/NPILookup?Npi=1760520936","1760520936")</f>
        <v>1760520936</v>
      </c>
      <c r="E24522" t="s">
        <v>14401</v>
      </c>
    </row>
    <row r="24523" spans="1:5" x14ac:dyDescent="0.25">
      <c r="A24523" t="s">
        <v>7</v>
      </c>
      <c r="B24523" t="s">
        <v>6322</v>
      </c>
      <c r="C24523" s="1" t="s">
        <v>23490</v>
      </c>
      <c r="D24523" s="1" t="str">
        <f>HYPERLINK("https://rhld.insurance.arkansas.gov/NPILookup?Npi=1760631121","1760631121")</f>
        <v>1760631121</v>
      </c>
      <c r="E24523" t="s">
        <v>7579</v>
      </c>
    </row>
    <row r="24524" spans="1:5" x14ac:dyDescent="0.25">
      <c r="A24524" t="s">
        <v>7</v>
      </c>
      <c r="B24524" t="s">
        <v>6322</v>
      </c>
      <c r="C24524" s="1" t="s">
        <v>23490</v>
      </c>
      <c r="D24524" s="1" t="str">
        <f>HYPERLINK("https://rhld.insurance.arkansas.gov/NPILookup?Npi=1760635353","1760635353")</f>
        <v>1760635353</v>
      </c>
      <c r="E24524" t="s">
        <v>6469</v>
      </c>
    </row>
    <row r="24525" spans="1:5" x14ac:dyDescent="0.25">
      <c r="A24525" t="s">
        <v>7</v>
      </c>
      <c r="B24525" t="s">
        <v>6322</v>
      </c>
      <c r="C24525" s="1" t="s">
        <v>23490</v>
      </c>
      <c r="D24525" s="1" t="str">
        <f>HYPERLINK("https://rhld.insurance.arkansas.gov/NPILookup?Npi=1760898415","1760898415")</f>
        <v>1760898415</v>
      </c>
      <c r="E24525" t="s">
        <v>6470</v>
      </c>
    </row>
    <row r="24526" spans="1:5" x14ac:dyDescent="0.25">
      <c r="A24526" t="s">
        <v>7</v>
      </c>
      <c r="B24526" t="s">
        <v>6322</v>
      </c>
      <c r="C24526" s="1" t="s">
        <v>23490</v>
      </c>
      <c r="D24526" s="1" t="str">
        <f>HYPERLINK("https://rhld.insurance.arkansas.gov/NPILookup?Npi=1770089716","1770089716")</f>
        <v>1770089716</v>
      </c>
      <c r="E24526" t="s">
        <v>14402</v>
      </c>
    </row>
    <row r="24527" spans="1:5" x14ac:dyDescent="0.25">
      <c r="A24527" t="s">
        <v>7</v>
      </c>
      <c r="B24527" t="s">
        <v>6322</v>
      </c>
      <c r="C24527" s="1" t="s">
        <v>23490</v>
      </c>
      <c r="D24527" s="1" t="str">
        <f>HYPERLINK("https://rhld.insurance.arkansas.gov/NPILookup?Npi=1770091357","1770091357")</f>
        <v>1770091357</v>
      </c>
      <c r="E24527" t="s">
        <v>14403</v>
      </c>
    </row>
    <row r="24528" spans="1:5" x14ac:dyDescent="0.25">
      <c r="A24528" t="s">
        <v>7</v>
      </c>
      <c r="B24528" t="s">
        <v>6322</v>
      </c>
      <c r="C24528" s="1" t="s">
        <v>23490</v>
      </c>
      <c r="D24528" s="1" t="str">
        <f>HYPERLINK("https://rhld.insurance.arkansas.gov/NPILookup?Npi=1770220006","1770220006")</f>
        <v>1770220006</v>
      </c>
      <c r="E24528" t="s">
        <v>22516</v>
      </c>
    </row>
    <row r="24529" spans="1:5" x14ac:dyDescent="0.25">
      <c r="A24529" t="s">
        <v>7</v>
      </c>
      <c r="B24529" t="s">
        <v>6322</v>
      </c>
      <c r="C24529" s="1" t="s">
        <v>23490</v>
      </c>
      <c r="D24529" s="1" t="str">
        <f>HYPERLINK("https://rhld.insurance.arkansas.gov/NPILookup?Npi=1770541922","1770541922")</f>
        <v>1770541922</v>
      </c>
      <c r="E24529" t="s">
        <v>6471</v>
      </c>
    </row>
    <row r="24530" spans="1:5" x14ac:dyDescent="0.25">
      <c r="A24530" t="s">
        <v>7</v>
      </c>
      <c r="B24530" t="s">
        <v>6322</v>
      </c>
      <c r="C24530" s="1" t="s">
        <v>23490</v>
      </c>
      <c r="D24530" s="1" t="str">
        <f>HYPERLINK("https://rhld.insurance.arkansas.gov/NPILookup?Npi=1770684342","1770684342")</f>
        <v>1770684342</v>
      </c>
      <c r="E24530" t="s">
        <v>6472</v>
      </c>
    </row>
    <row r="24531" spans="1:5" x14ac:dyDescent="0.25">
      <c r="A24531" t="s">
        <v>7</v>
      </c>
      <c r="B24531" t="s">
        <v>6322</v>
      </c>
      <c r="C24531" s="1" t="s">
        <v>23490</v>
      </c>
      <c r="D24531" s="1" t="str">
        <f>HYPERLINK("https://rhld.insurance.arkansas.gov/NPILookup?Npi=1770802217","1770802217")</f>
        <v>1770802217</v>
      </c>
      <c r="E24531" t="s">
        <v>6492</v>
      </c>
    </row>
    <row r="24532" spans="1:5" x14ac:dyDescent="0.25">
      <c r="A24532" t="s">
        <v>7</v>
      </c>
      <c r="B24532" t="s">
        <v>6322</v>
      </c>
      <c r="C24532" s="1" t="s">
        <v>23490</v>
      </c>
      <c r="D24532" s="1" t="str">
        <f>HYPERLINK("https://rhld.insurance.arkansas.gov/NPILookup?Npi=1770957110","1770957110")</f>
        <v>1770957110</v>
      </c>
      <c r="E24532" t="s">
        <v>12013</v>
      </c>
    </row>
    <row r="24533" spans="1:5" x14ac:dyDescent="0.25">
      <c r="A24533" t="s">
        <v>7</v>
      </c>
      <c r="B24533" t="s">
        <v>6322</v>
      </c>
      <c r="C24533" s="1" t="s">
        <v>23490</v>
      </c>
      <c r="D24533" s="1" t="str">
        <f>HYPERLINK("https://rhld.insurance.arkansas.gov/NPILookup?Npi=1770957581","1770957581")</f>
        <v>1770957581</v>
      </c>
      <c r="E24533" t="s">
        <v>18532</v>
      </c>
    </row>
    <row r="24534" spans="1:5" x14ac:dyDescent="0.25">
      <c r="A24534" t="s">
        <v>7</v>
      </c>
      <c r="B24534" t="s">
        <v>6322</v>
      </c>
      <c r="C24534" s="1" t="s">
        <v>23490</v>
      </c>
      <c r="D24534" s="1" t="str">
        <f>HYPERLINK("https://rhld.insurance.arkansas.gov/NPILookup?Npi=1780166561","1780166561")</f>
        <v>1780166561</v>
      </c>
      <c r="E24534" t="s">
        <v>14404</v>
      </c>
    </row>
    <row r="24535" spans="1:5" x14ac:dyDescent="0.25">
      <c r="A24535" t="s">
        <v>7</v>
      </c>
      <c r="B24535" t="s">
        <v>6322</v>
      </c>
      <c r="C24535" s="1" t="s">
        <v>23490</v>
      </c>
      <c r="D24535" s="1" t="str">
        <f>HYPERLINK("https://rhld.insurance.arkansas.gov/NPILookup?Npi=1780270371","1780270371")</f>
        <v>1780270371</v>
      </c>
      <c r="E24535" t="s">
        <v>7532</v>
      </c>
    </row>
    <row r="24536" spans="1:5" x14ac:dyDescent="0.25">
      <c r="A24536" t="s">
        <v>7</v>
      </c>
      <c r="B24536" t="s">
        <v>6322</v>
      </c>
      <c r="C24536" s="1" t="s">
        <v>23490</v>
      </c>
      <c r="D24536" s="1" t="str">
        <f>HYPERLINK("https://rhld.insurance.arkansas.gov/NPILookup?Npi=1780286062","1780286062")</f>
        <v>1780286062</v>
      </c>
      <c r="E24536" t="s">
        <v>19260</v>
      </c>
    </row>
    <row r="24537" spans="1:5" x14ac:dyDescent="0.25">
      <c r="A24537" t="s">
        <v>7</v>
      </c>
      <c r="B24537" t="s">
        <v>6322</v>
      </c>
      <c r="C24537" s="1" t="s">
        <v>23490</v>
      </c>
      <c r="D24537" s="1" t="str">
        <f>HYPERLINK("https://rhld.insurance.arkansas.gov/NPILookup?Npi=1780633222","1780633222")</f>
        <v>1780633222</v>
      </c>
      <c r="E24537" t="s">
        <v>14405</v>
      </c>
    </row>
    <row r="24538" spans="1:5" x14ac:dyDescent="0.25">
      <c r="A24538" t="s">
        <v>7</v>
      </c>
      <c r="B24538" t="s">
        <v>6322</v>
      </c>
      <c r="C24538" s="1" t="s">
        <v>23490</v>
      </c>
      <c r="D24538" s="1" t="str">
        <f>HYPERLINK("https://rhld.insurance.arkansas.gov/NPILookup?Npi=1780672360","1780672360")</f>
        <v>1780672360</v>
      </c>
      <c r="E24538" t="s">
        <v>6329</v>
      </c>
    </row>
    <row r="24539" spans="1:5" x14ac:dyDescent="0.25">
      <c r="A24539" t="s">
        <v>7</v>
      </c>
      <c r="B24539" t="s">
        <v>6322</v>
      </c>
      <c r="C24539" s="1" t="s">
        <v>23490</v>
      </c>
      <c r="D24539" s="1" t="str">
        <f>HYPERLINK("https://rhld.insurance.arkansas.gov/NPILookup?Npi=1780943357","1780943357")</f>
        <v>1780943357</v>
      </c>
      <c r="E24539" t="s">
        <v>6473</v>
      </c>
    </row>
    <row r="24540" spans="1:5" x14ac:dyDescent="0.25">
      <c r="A24540" t="s">
        <v>7</v>
      </c>
      <c r="B24540" t="s">
        <v>6322</v>
      </c>
      <c r="C24540" s="1" t="s">
        <v>23490</v>
      </c>
      <c r="D24540" s="1" t="str">
        <f>HYPERLINK("https://rhld.insurance.arkansas.gov/NPILookup?Npi=1790061224","1790061224")</f>
        <v>1790061224</v>
      </c>
      <c r="E24540" t="s">
        <v>6474</v>
      </c>
    </row>
    <row r="24541" spans="1:5" x14ac:dyDescent="0.25">
      <c r="A24541" t="s">
        <v>7</v>
      </c>
      <c r="B24541" t="s">
        <v>6322</v>
      </c>
      <c r="C24541" s="1" t="s">
        <v>23490</v>
      </c>
      <c r="D24541" s="1" t="str">
        <f>HYPERLINK("https://rhld.insurance.arkansas.gov/NPILookup?Npi=1790101368","1790101368")</f>
        <v>1790101368</v>
      </c>
      <c r="E24541" t="s">
        <v>6475</v>
      </c>
    </row>
    <row r="24542" spans="1:5" x14ac:dyDescent="0.25">
      <c r="A24542" t="s">
        <v>7</v>
      </c>
      <c r="B24542" t="s">
        <v>6322</v>
      </c>
      <c r="C24542" s="1" t="s">
        <v>23490</v>
      </c>
      <c r="D24542" s="1" t="str">
        <f>HYPERLINK("https://rhld.insurance.arkansas.gov/NPILookup?Npi=1790730075","1790730075")</f>
        <v>1790730075</v>
      </c>
      <c r="E24542" t="s">
        <v>6442</v>
      </c>
    </row>
    <row r="24543" spans="1:5" x14ac:dyDescent="0.25">
      <c r="A24543" t="s">
        <v>7</v>
      </c>
      <c r="B24543" t="s">
        <v>6322</v>
      </c>
      <c r="C24543" s="1" t="s">
        <v>23490</v>
      </c>
      <c r="D24543" s="1" t="str">
        <f>HYPERLINK("https://rhld.insurance.arkansas.gov/NPILookup?Npi=1790771020","1790771020")</f>
        <v>1790771020</v>
      </c>
      <c r="E24543" t="s">
        <v>12014</v>
      </c>
    </row>
    <row r="24544" spans="1:5" x14ac:dyDescent="0.25">
      <c r="A24544" t="s">
        <v>7</v>
      </c>
      <c r="B24544" t="s">
        <v>6322</v>
      </c>
      <c r="C24544" s="1" t="s">
        <v>23490</v>
      </c>
      <c r="D24544" s="1" t="str">
        <f>HYPERLINK("https://rhld.insurance.arkansas.gov/NPILookup?Npi=1790773158","1790773158")</f>
        <v>1790773158</v>
      </c>
      <c r="E24544" t="s">
        <v>7586</v>
      </c>
    </row>
    <row r="24545" spans="1:5" x14ac:dyDescent="0.25">
      <c r="A24545" t="s">
        <v>7</v>
      </c>
      <c r="B24545" t="s">
        <v>6322</v>
      </c>
      <c r="C24545" s="1" t="s">
        <v>23490</v>
      </c>
      <c r="D24545" s="1" t="str">
        <f>HYPERLINK("https://rhld.insurance.arkansas.gov/NPILookup?Npi=1790774495","1790774495")</f>
        <v>1790774495</v>
      </c>
      <c r="E24545" t="s">
        <v>12015</v>
      </c>
    </row>
    <row r="24546" spans="1:5" x14ac:dyDescent="0.25">
      <c r="A24546" t="s">
        <v>7</v>
      </c>
      <c r="B24546" t="s">
        <v>6322</v>
      </c>
      <c r="C24546" s="1" t="s">
        <v>23490</v>
      </c>
      <c r="D24546" s="1" t="str">
        <f>HYPERLINK("https://rhld.insurance.arkansas.gov/NPILookup?Npi=1790779452","1790779452")</f>
        <v>1790779452</v>
      </c>
      <c r="E24546" t="s">
        <v>11980</v>
      </c>
    </row>
    <row r="24547" spans="1:5" x14ac:dyDescent="0.25">
      <c r="A24547" t="s">
        <v>7</v>
      </c>
      <c r="B24547" t="s">
        <v>6322</v>
      </c>
      <c r="C24547" s="1" t="s">
        <v>23490</v>
      </c>
      <c r="D24547" s="1" t="str">
        <f>HYPERLINK("https://rhld.insurance.arkansas.gov/NPILookup?Npi=1801122387","1801122387")</f>
        <v>1801122387</v>
      </c>
      <c r="E24547" t="s">
        <v>12016</v>
      </c>
    </row>
    <row r="24548" spans="1:5" x14ac:dyDescent="0.25">
      <c r="A24548" t="s">
        <v>7</v>
      </c>
      <c r="B24548" t="s">
        <v>6322</v>
      </c>
      <c r="C24548" s="1" t="s">
        <v>23490</v>
      </c>
      <c r="D24548" s="1" t="str">
        <f>HYPERLINK("https://rhld.insurance.arkansas.gov/NPILookup?Npi=1801191978","1801191978")</f>
        <v>1801191978</v>
      </c>
      <c r="E24548" t="s">
        <v>6476</v>
      </c>
    </row>
    <row r="24549" spans="1:5" x14ac:dyDescent="0.25">
      <c r="A24549" t="s">
        <v>7</v>
      </c>
      <c r="B24549" t="s">
        <v>6322</v>
      </c>
      <c r="C24549" s="1" t="s">
        <v>23490</v>
      </c>
      <c r="D24549" s="1" t="str">
        <f>HYPERLINK("https://rhld.insurance.arkansas.gov/NPILookup?Npi=1801286471","1801286471")</f>
        <v>1801286471</v>
      </c>
      <c r="E24549" t="s">
        <v>6477</v>
      </c>
    </row>
    <row r="24550" spans="1:5" x14ac:dyDescent="0.25">
      <c r="A24550" t="s">
        <v>7</v>
      </c>
      <c r="B24550" t="s">
        <v>6322</v>
      </c>
      <c r="C24550" s="1" t="s">
        <v>23490</v>
      </c>
      <c r="D24550" s="1" t="str">
        <f>HYPERLINK("https://rhld.insurance.arkansas.gov/NPILookup?Npi=1801885488","1801885488")</f>
        <v>1801885488</v>
      </c>
      <c r="E24550" t="s">
        <v>6478</v>
      </c>
    </row>
    <row r="24551" spans="1:5" x14ac:dyDescent="0.25">
      <c r="A24551" t="s">
        <v>7</v>
      </c>
      <c r="B24551" t="s">
        <v>6322</v>
      </c>
      <c r="C24551" s="1" t="s">
        <v>23490</v>
      </c>
      <c r="D24551" s="1" t="str">
        <f>HYPERLINK("https://rhld.insurance.arkansas.gov/NPILookup?Npi=1811227432","1811227432")</f>
        <v>1811227432</v>
      </c>
      <c r="E24551" t="s">
        <v>6479</v>
      </c>
    </row>
    <row r="24552" spans="1:5" x14ac:dyDescent="0.25">
      <c r="A24552" t="s">
        <v>7</v>
      </c>
      <c r="B24552" t="s">
        <v>6322</v>
      </c>
      <c r="C24552" s="1" t="s">
        <v>23490</v>
      </c>
      <c r="D24552" s="1" t="str">
        <f>HYPERLINK("https://rhld.insurance.arkansas.gov/NPILookup?Npi=1811470784","1811470784")</f>
        <v>1811470784</v>
      </c>
      <c r="E24552" t="s">
        <v>17281</v>
      </c>
    </row>
    <row r="24553" spans="1:5" x14ac:dyDescent="0.25">
      <c r="A24553" t="s">
        <v>7</v>
      </c>
      <c r="B24553" t="s">
        <v>6322</v>
      </c>
      <c r="C24553" s="1" t="s">
        <v>23490</v>
      </c>
      <c r="D24553" s="1" t="str">
        <f>HYPERLINK("https://rhld.insurance.arkansas.gov/NPILookup?Npi=1811534977","1811534977")</f>
        <v>1811534977</v>
      </c>
      <c r="E24553" t="s">
        <v>17706</v>
      </c>
    </row>
    <row r="24554" spans="1:5" x14ac:dyDescent="0.25">
      <c r="A24554" t="s">
        <v>7</v>
      </c>
      <c r="B24554" t="s">
        <v>6322</v>
      </c>
      <c r="C24554" s="1" t="s">
        <v>23490</v>
      </c>
      <c r="D24554" s="1" t="str">
        <f>HYPERLINK("https://rhld.insurance.arkansas.gov/NPILookup?Npi=1811625338","1811625338")</f>
        <v>1811625338</v>
      </c>
      <c r="E24554" t="s">
        <v>22517</v>
      </c>
    </row>
    <row r="24555" spans="1:5" x14ac:dyDescent="0.25">
      <c r="A24555" t="s">
        <v>7</v>
      </c>
      <c r="B24555" t="s">
        <v>6322</v>
      </c>
      <c r="C24555" s="1" t="s">
        <v>23490</v>
      </c>
      <c r="D24555" s="1" t="str">
        <f>HYPERLINK("https://rhld.insurance.arkansas.gov/NPILookup?Npi=1811949084","1811949084")</f>
        <v>1811949084</v>
      </c>
      <c r="E24555" t="s">
        <v>9225</v>
      </c>
    </row>
    <row r="24556" spans="1:5" x14ac:dyDescent="0.25">
      <c r="A24556" t="s">
        <v>7</v>
      </c>
      <c r="B24556" t="s">
        <v>6322</v>
      </c>
      <c r="C24556" s="1" t="s">
        <v>23490</v>
      </c>
      <c r="D24556" s="1" t="str">
        <f>HYPERLINK("https://rhld.insurance.arkansas.gov/NPILookup?Npi=1811985773","1811985773")</f>
        <v>1811985773</v>
      </c>
      <c r="E24556" t="s">
        <v>6480</v>
      </c>
    </row>
    <row r="24557" spans="1:5" x14ac:dyDescent="0.25">
      <c r="A24557" t="s">
        <v>7</v>
      </c>
      <c r="B24557" t="s">
        <v>6322</v>
      </c>
      <c r="C24557" s="1" t="s">
        <v>23490</v>
      </c>
      <c r="D24557" s="1" t="str">
        <f>HYPERLINK("https://rhld.insurance.arkansas.gov/NPILookup?Npi=1821030685","1821030685")</f>
        <v>1821030685</v>
      </c>
      <c r="E24557" t="s">
        <v>7525</v>
      </c>
    </row>
    <row r="24558" spans="1:5" x14ac:dyDescent="0.25">
      <c r="A24558" t="s">
        <v>7</v>
      </c>
      <c r="B24558" t="s">
        <v>6322</v>
      </c>
      <c r="C24558" s="1" t="s">
        <v>23490</v>
      </c>
      <c r="D24558" s="1" t="str">
        <f>HYPERLINK("https://rhld.insurance.arkansas.gov/NPILookup?Npi=1821037771","1821037771")</f>
        <v>1821037771</v>
      </c>
      <c r="E24558" t="s">
        <v>6481</v>
      </c>
    </row>
    <row r="24559" spans="1:5" x14ac:dyDescent="0.25">
      <c r="A24559" t="s">
        <v>7</v>
      </c>
      <c r="B24559" t="s">
        <v>6322</v>
      </c>
      <c r="C24559" s="1" t="s">
        <v>23490</v>
      </c>
      <c r="D24559" s="1" t="str">
        <f>HYPERLINK("https://rhld.insurance.arkansas.gov/NPILookup?Npi=1821040312","1821040312")</f>
        <v>1821040312</v>
      </c>
      <c r="E24559" t="s">
        <v>14406</v>
      </c>
    </row>
    <row r="24560" spans="1:5" x14ac:dyDescent="0.25">
      <c r="A24560" t="s">
        <v>7</v>
      </c>
      <c r="B24560" t="s">
        <v>6322</v>
      </c>
      <c r="C24560" s="1" t="s">
        <v>23490</v>
      </c>
      <c r="D24560" s="1" t="str">
        <f>HYPERLINK("https://rhld.insurance.arkansas.gov/NPILookup?Npi=1821085499","1821085499")</f>
        <v>1821085499</v>
      </c>
      <c r="E24560" t="s">
        <v>6482</v>
      </c>
    </row>
    <row r="24561" spans="1:5" x14ac:dyDescent="0.25">
      <c r="A24561" t="s">
        <v>7</v>
      </c>
      <c r="B24561" t="s">
        <v>6322</v>
      </c>
      <c r="C24561" s="1" t="s">
        <v>23490</v>
      </c>
      <c r="D24561" s="1" t="str">
        <f>HYPERLINK("https://rhld.insurance.arkansas.gov/NPILookup?Npi=1821087651","1821087651")</f>
        <v>1821087651</v>
      </c>
      <c r="E24561" t="s">
        <v>6483</v>
      </c>
    </row>
    <row r="24562" spans="1:5" x14ac:dyDescent="0.25">
      <c r="A24562" t="s">
        <v>7</v>
      </c>
      <c r="B24562" t="s">
        <v>6322</v>
      </c>
      <c r="C24562" s="1" t="s">
        <v>23490</v>
      </c>
      <c r="D24562" s="1" t="str">
        <f>HYPERLINK("https://rhld.insurance.arkansas.gov/NPILookup?Npi=1821169517","1821169517")</f>
        <v>1821169517</v>
      </c>
      <c r="E24562" t="s">
        <v>13255</v>
      </c>
    </row>
    <row r="24563" spans="1:5" x14ac:dyDescent="0.25">
      <c r="A24563" t="s">
        <v>7</v>
      </c>
      <c r="B24563" t="s">
        <v>6322</v>
      </c>
      <c r="C24563" s="1" t="s">
        <v>23490</v>
      </c>
      <c r="D24563" s="1" t="str">
        <f>HYPERLINK("https://rhld.insurance.arkansas.gov/NPILookup?Npi=1821313313","1821313313")</f>
        <v>1821313313</v>
      </c>
      <c r="E24563" t="s">
        <v>6484</v>
      </c>
    </row>
    <row r="24564" spans="1:5" x14ac:dyDescent="0.25">
      <c r="A24564" t="s">
        <v>7</v>
      </c>
      <c r="B24564" t="s">
        <v>6322</v>
      </c>
      <c r="C24564" s="1" t="s">
        <v>23490</v>
      </c>
      <c r="D24564" s="1" t="str">
        <f>HYPERLINK("https://rhld.insurance.arkansas.gov/NPILookup?Npi=1821571795","1821571795")</f>
        <v>1821571795</v>
      </c>
      <c r="E24564" t="s">
        <v>17282</v>
      </c>
    </row>
    <row r="24565" spans="1:5" x14ac:dyDescent="0.25">
      <c r="A24565" t="s">
        <v>7</v>
      </c>
      <c r="B24565" t="s">
        <v>6322</v>
      </c>
      <c r="C24565" s="1" t="s">
        <v>23490</v>
      </c>
      <c r="D24565" s="1" t="str">
        <f>HYPERLINK("https://rhld.insurance.arkansas.gov/NPILookup?Npi=1831147677","1831147677")</f>
        <v>1831147677</v>
      </c>
      <c r="E24565" t="s">
        <v>6485</v>
      </c>
    </row>
    <row r="24566" spans="1:5" x14ac:dyDescent="0.25">
      <c r="A24566" t="s">
        <v>7</v>
      </c>
      <c r="B24566" t="s">
        <v>6322</v>
      </c>
      <c r="C24566" s="1" t="s">
        <v>23490</v>
      </c>
      <c r="D24566" s="1" t="str">
        <f>HYPERLINK("https://rhld.insurance.arkansas.gov/NPILookup?Npi=1831380120","1831380120")</f>
        <v>1831380120</v>
      </c>
      <c r="E24566" t="s">
        <v>6486</v>
      </c>
    </row>
    <row r="24567" spans="1:5" x14ac:dyDescent="0.25">
      <c r="A24567" t="s">
        <v>7</v>
      </c>
      <c r="B24567" t="s">
        <v>6322</v>
      </c>
      <c r="C24567" s="1" t="s">
        <v>23490</v>
      </c>
      <c r="D24567" s="1" t="str">
        <f>HYPERLINK("https://rhld.insurance.arkansas.gov/NPILookup?Npi=1831433598","1831433598")</f>
        <v>1831433598</v>
      </c>
      <c r="E24567" t="s">
        <v>14407</v>
      </c>
    </row>
    <row r="24568" spans="1:5" x14ac:dyDescent="0.25">
      <c r="A24568" t="s">
        <v>7</v>
      </c>
      <c r="B24568" t="s">
        <v>6322</v>
      </c>
      <c r="C24568" s="1" t="s">
        <v>23490</v>
      </c>
      <c r="D24568" s="1" t="str">
        <f>HYPERLINK("https://rhld.insurance.arkansas.gov/NPILookup?Npi=1831746676","1831746676")</f>
        <v>1831746676</v>
      </c>
      <c r="E24568" t="s">
        <v>18533</v>
      </c>
    </row>
    <row r="24569" spans="1:5" x14ac:dyDescent="0.25">
      <c r="A24569" t="s">
        <v>7</v>
      </c>
      <c r="B24569" t="s">
        <v>6322</v>
      </c>
      <c r="C24569" s="1" t="s">
        <v>23490</v>
      </c>
      <c r="D24569" s="1" t="str">
        <f>HYPERLINK("https://rhld.insurance.arkansas.gov/NPILookup?Npi=1841241460","1841241460")</f>
        <v>1841241460</v>
      </c>
      <c r="E24569" t="s">
        <v>22898</v>
      </c>
    </row>
    <row r="24570" spans="1:5" x14ac:dyDescent="0.25">
      <c r="A24570" t="s">
        <v>7</v>
      </c>
      <c r="B24570" t="s">
        <v>6322</v>
      </c>
      <c r="C24570" s="1" t="s">
        <v>23490</v>
      </c>
      <c r="D24570" s="1" t="str">
        <f>HYPERLINK("https://rhld.insurance.arkansas.gov/NPILookup?Npi=1841288727","1841288727")</f>
        <v>1841288727</v>
      </c>
      <c r="E24570" t="s">
        <v>12017</v>
      </c>
    </row>
    <row r="24571" spans="1:5" x14ac:dyDescent="0.25">
      <c r="A24571" t="s">
        <v>7</v>
      </c>
      <c r="B24571" t="s">
        <v>6322</v>
      </c>
      <c r="C24571" s="1" t="s">
        <v>23490</v>
      </c>
      <c r="D24571" s="1" t="str">
        <f>HYPERLINK("https://rhld.insurance.arkansas.gov/NPILookup?Npi=1841377983","1841377983")</f>
        <v>1841377983</v>
      </c>
      <c r="E24571" t="s">
        <v>6487</v>
      </c>
    </row>
    <row r="24572" spans="1:5" x14ac:dyDescent="0.25">
      <c r="A24572" t="s">
        <v>7</v>
      </c>
      <c r="B24572" t="s">
        <v>6322</v>
      </c>
      <c r="C24572" s="1" t="s">
        <v>23490</v>
      </c>
      <c r="D24572" s="1" t="str">
        <f>HYPERLINK("https://rhld.insurance.arkansas.gov/NPILookup?Npi=1841442811","1841442811")</f>
        <v>1841442811</v>
      </c>
      <c r="E24572" t="s">
        <v>9226</v>
      </c>
    </row>
    <row r="24573" spans="1:5" x14ac:dyDescent="0.25">
      <c r="A24573" t="s">
        <v>7</v>
      </c>
      <c r="B24573" t="s">
        <v>6322</v>
      </c>
      <c r="C24573" s="1" t="s">
        <v>23490</v>
      </c>
      <c r="D24573" s="1" t="str">
        <f>HYPERLINK("https://rhld.insurance.arkansas.gov/NPILookup?Npi=1841627627","1841627627")</f>
        <v>1841627627</v>
      </c>
      <c r="E24573" t="s">
        <v>14408</v>
      </c>
    </row>
    <row r="24574" spans="1:5" x14ac:dyDescent="0.25">
      <c r="A24574" t="s">
        <v>7</v>
      </c>
      <c r="B24574" t="s">
        <v>6322</v>
      </c>
      <c r="C24574" s="1" t="s">
        <v>23490</v>
      </c>
      <c r="D24574" s="1" t="str">
        <f>HYPERLINK("https://rhld.insurance.arkansas.gov/NPILookup?Npi=1841645157","1841645157")</f>
        <v>1841645157</v>
      </c>
      <c r="E24574" t="s">
        <v>12018</v>
      </c>
    </row>
    <row r="24575" spans="1:5" x14ac:dyDescent="0.25">
      <c r="A24575" t="s">
        <v>7</v>
      </c>
      <c r="B24575" t="s">
        <v>6322</v>
      </c>
      <c r="C24575" s="1" t="s">
        <v>23490</v>
      </c>
      <c r="D24575" s="1" t="str">
        <f>HYPERLINK("https://rhld.insurance.arkansas.gov/NPILookup?Npi=1851343529","1851343529")</f>
        <v>1851343529</v>
      </c>
      <c r="E24575" t="s">
        <v>6488</v>
      </c>
    </row>
    <row r="24576" spans="1:5" x14ac:dyDescent="0.25">
      <c r="A24576" t="s">
        <v>7</v>
      </c>
      <c r="B24576" t="s">
        <v>6322</v>
      </c>
      <c r="C24576" s="1" t="s">
        <v>23490</v>
      </c>
      <c r="D24576" s="1" t="str">
        <f>HYPERLINK("https://rhld.insurance.arkansas.gov/NPILookup?Npi=1851387187","1851387187")</f>
        <v>1851387187</v>
      </c>
      <c r="E24576" t="s">
        <v>6489</v>
      </c>
    </row>
    <row r="24577" spans="1:5" x14ac:dyDescent="0.25">
      <c r="A24577" t="s">
        <v>7</v>
      </c>
      <c r="B24577" t="s">
        <v>6322</v>
      </c>
      <c r="C24577" s="1" t="s">
        <v>23490</v>
      </c>
      <c r="D24577" s="1" t="str">
        <f>HYPERLINK("https://rhld.insurance.arkansas.gov/NPILookup?Npi=1851484695","1851484695")</f>
        <v>1851484695</v>
      </c>
      <c r="E24577" t="s">
        <v>7593</v>
      </c>
    </row>
    <row r="24578" spans="1:5" x14ac:dyDescent="0.25">
      <c r="A24578" t="s">
        <v>7</v>
      </c>
      <c r="B24578" t="s">
        <v>6322</v>
      </c>
      <c r="C24578" s="1" t="s">
        <v>23490</v>
      </c>
      <c r="D24578" s="1" t="str">
        <f>HYPERLINK("https://rhld.insurance.arkansas.gov/NPILookup?Npi=1851765382","1851765382")</f>
        <v>1851765382</v>
      </c>
      <c r="E24578" t="s">
        <v>16388</v>
      </c>
    </row>
    <row r="24579" spans="1:5" x14ac:dyDescent="0.25">
      <c r="A24579" t="s">
        <v>7</v>
      </c>
      <c r="B24579" t="s">
        <v>6322</v>
      </c>
      <c r="C24579" s="1" t="s">
        <v>23490</v>
      </c>
      <c r="D24579" s="1" t="str">
        <f>HYPERLINK("https://rhld.insurance.arkansas.gov/NPILookup?Npi=1851772610","1851772610")</f>
        <v>1851772610</v>
      </c>
      <c r="E24579" t="s">
        <v>6490</v>
      </c>
    </row>
    <row r="24580" spans="1:5" x14ac:dyDescent="0.25">
      <c r="A24580" t="s">
        <v>7</v>
      </c>
      <c r="B24580" t="s">
        <v>6322</v>
      </c>
      <c r="C24580" s="1" t="s">
        <v>23490</v>
      </c>
      <c r="D24580" s="1" t="str">
        <f>HYPERLINK("https://rhld.insurance.arkansas.gov/NPILookup?Npi=1851874804","1851874804")</f>
        <v>1851874804</v>
      </c>
      <c r="E24580" t="s">
        <v>14409</v>
      </c>
    </row>
    <row r="24581" spans="1:5" x14ac:dyDescent="0.25">
      <c r="A24581" t="s">
        <v>7</v>
      </c>
      <c r="B24581" t="s">
        <v>6322</v>
      </c>
      <c r="C24581" s="1" t="s">
        <v>23490</v>
      </c>
      <c r="D24581" s="1" t="str">
        <f>HYPERLINK("https://rhld.insurance.arkansas.gov/NPILookup?Npi=1861418774","1861418774")</f>
        <v>1861418774</v>
      </c>
      <c r="E24581" t="s">
        <v>7540</v>
      </c>
    </row>
    <row r="24582" spans="1:5" x14ac:dyDescent="0.25">
      <c r="A24582" t="s">
        <v>7</v>
      </c>
      <c r="B24582" t="s">
        <v>6322</v>
      </c>
      <c r="C24582" s="1" t="s">
        <v>23490</v>
      </c>
      <c r="D24582" s="1" t="str">
        <f>HYPERLINK("https://rhld.insurance.arkansas.gov/NPILookup?Npi=1861449639","1861449639")</f>
        <v>1861449639</v>
      </c>
      <c r="E24582" t="s">
        <v>7594</v>
      </c>
    </row>
    <row r="24583" spans="1:5" x14ac:dyDescent="0.25">
      <c r="A24583" t="s">
        <v>7</v>
      </c>
      <c r="B24583" t="s">
        <v>6322</v>
      </c>
      <c r="C24583" s="1" t="s">
        <v>23490</v>
      </c>
      <c r="D24583" s="1" t="str">
        <f>HYPERLINK("https://rhld.insurance.arkansas.gov/NPILookup?Npi=1861462749","1861462749")</f>
        <v>1861462749</v>
      </c>
      <c r="E24583" t="s">
        <v>17707</v>
      </c>
    </row>
    <row r="24584" spans="1:5" x14ac:dyDescent="0.25">
      <c r="A24584" t="s">
        <v>7</v>
      </c>
      <c r="B24584" t="s">
        <v>6322</v>
      </c>
      <c r="C24584" s="1" t="s">
        <v>23490</v>
      </c>
      <c r="D24584" s="1" t="str">
        <f>HYPERLINK("https://rhld.insurance.arkansas.gov/NPILookup?Npi=1861464463","1861464463")</f>
        <v>1861464463</v>
      </c>
      <c r="E24584" t="s">
        <v>22518</v>
      </c>
    </row>
    <row r="24585" spans="1:5" x14ac:dyDescent="0.25">
      <c r="A24585" t="s">
        <v>7</v>
      </c>
      <c r="B24585" t="s">
        <v>6322</v>
      </c>
      <c r="C24585" s="1" t="s">
        <v>23490</v>
      </c>
      <c r="D24585" s="1" t="str">
        <f>HYPERLINK("https://rhld.insurance.arkansas.gov/NPILookup?Npi=1861480444","1861480444")</f>
        <v>1861480444</v>
      </c>
      <c r="E24585" t="s">
        <v>6329</v>
      </c>
    </row>
    <row r="24586" spans="1:5" x14ac:dyDescent="0.25">
      <c r="A24586" t="s">
        <v>7</v>
      </c>
      <c r="B24586" t="s">
        <v>6322</v>
      </c>
      <c r="C24586" s="1" t="s">
        <v>23490</v>
      </c>
      <c r="D24586" s="1" t="str">
        <f>HYPERLINK("https://rhld.insurance.arkansas.gov/NPILookup?Npi=1861519548","1861519548")</f>
        <v>1861519548</v>
      </c>
      <c r="E24586" t="s">
        <v>4079</v>
      </c>
    </row>
    <row r="24587" spans="1:5" x14ac:dyDescent="0.25">
      <c r="A24587" t="s">
        <v>7</v>
      </c>
      <c r="B24587" t="s">
        <v>6322</v>
      </c>
      <c r="C24587" s="1" t="s">
        <v>23490</v>
      </c>
      <c r="D24587" s="1" t="str">
        <f>HYPERLINK("https://rhld.insurance.arkansas.gov/NPILookup?Npi=1861674038","1861674038")</f>
        <v>1861674038</v>
      </c>
      <c r="E24587" t="s">
        <v>12019</v>
      </c>
    </row>
    <row r="24588" spans="1:5" x14ac:dyDescent="0.25">
      <c r="A24588" t="s">
        <v>7</v>
      </c>
      <c r="B24588" t="s">
        <v>6322</v>
      </c>
      <c r="C24588" s="1" t="s">
        <v>23490</v>
      </c>
      <c r="D24588" s="1" t="str">
        <f>HYPERLINK("https://rhld.insurance.arkansas.gov/NPILookup?Npi=1861708885","1861708885")</f>
        <v>1861708885</v>
      </c>
      <c r="E24588" t="s">
        <v>6491</v>
      </c>
    </row>
    <row r="24589" spans="1:5" x14ac:dyDescent="0.25">
      <c r="A24589" t="s">
        <v>7</v>
      </c>
      <c r="B24589" t="s">
        <v>6322</v>
      </c>
      <c r="C24589" s="1" t="s">
        <v>23490</v>
      </c>
      <c r="D24589" s="1" t="str">
        <f>HYPERLINK("https://rhld.insurance.arkansas.gov/NPILookup?Npi=1861711301","1861711301")</f>
        <v>1861711301</v>
      </c>
      <c r="E24589" t="s">
        <v>6492</v>
      </c>
    </row>
    <row r="24590" spans="1:5" x14ac:dyDescent="0.25">
      <c r="A24590" t="s">
        <v>7</v>
      </c>
      <c r="B24590" t="s">
        <v>6322</v>
      </c>
      <c r="C24590" s="1" t="s">
        <v>23490</v>
      </c>
      <c r="D24590" s="1" t="str">
        <f>HYPERLINK("https://rhld.insurance.arkansas.gov/NPILookup?Npi=1861873614","1861873614")</f>
        <v>1861873614</v>
      </c>
      <c r="E24590" t="s">
        <v>6493</v>
      </c>
    </row>
    <row r="24591" spans="1:5" x14ac:dyDescent="0.25">
      <c r="A24591" t="s">
        <v>7</v>
      </c>
      <c r="B24591" t="s">
        <v>6322</v>
      </c>
      <c r="C24591" s="1" t="s">
        <v>23490</v>
      </c>
      <c r="D24591" s="1" t="str">
        <f>HYPERLINK("https://rhld.insurance.arkansas.gov/NPILookup?Npi=1861873770","1861873770")</f>
        <v>1861873770</v>
      </c>
      <c r="E24591" t="s">
        <v>6494</v>
      </c>
    </row>
    <row r="24592" spans="1:5" x14ac:dyDescent="0.25">
      <c r="A24592" t="s">
        <v>7</v>
      </c>
      <c r="B24592" t="s">
        <v>6322</v>
      </c>
      <c r="C24592" s="1" t="s">
        <v>23490</v>
      </c>
      <c r="D24592" s="1" t="str">
        <f>HYPERLINK("https://rhld.insurance.arkansas.gov/NPILookup?Npi=1871581736","1871581736")</f>
        <v>1871581736</v>
      </c>
      <c r="E24592" t="s">
        <v>6495</v>
      </c>
    </row>
    <row r="24593" spans="1:5" x14ac:dyDescent="0.25">
      <c r="A24593" t="s">
        <v>7</v>
      </c>
      <c r="B24593" t="s">
        <v>6322</v>
      </c>
      <c r="C24593" s="1" t="s">
        <v>23490</v>
      </c>
      <c r="D24593" s="1" t="str">
        <f>HYPERLINK("https://rhld.insurance.arkansas.gov/NPILookup?Npi=1871897041","1871897041")</f>
        <v>1871897041</v>
      </c>
      <c r="E24593" t="s">
        <v>6496</v>
      </c>
    </row>
    <row r="24594" spans="1:5" x14ac:dyDescent="0.25">
      <c r="A24594" t="s">
        <v>7</v>
      </c>
      <c r="B24594" t="s">
        <v>6322</v>
      </c>
      <c r="C24594" s="1" t="s">
        <v>23490</v>
      </c>
      <c r="D24594" s="1" t="str">
        <f>HYPERLINK("https://rhld.insurance.arkansas.gov/NPILookup?Npi=1871911974","1871911974")</f>
        <v>1871911974</v>
      </c>
      <c r="E24594" t="s">
        <v>6497</v>
      </c>
    </row>
    <row r="24595" spans="1:5" x14ac:dyDescent="0.25">
      <c r="A24595" t="s">
        <v>7</v>
      </c>
      <c r="B24595" t="s">
        <v>6322</v>
      </c>
      <c r="C24595" s="1" t="s">
        <v>23490</v>
      </c>
      <c r="D24595" s="1" t="str">
        <f>HYPERLINK("https://rhld.insurance.arkansas.gov/NPILookup?Npi=1881256493","1881256493")</f>
        <v>1881256493</v>
      </c>
      <c r="E24595" t="s">
        <v>17283</v>
      </c>
    </row>
    <row r="24596" spans="1:5" x14ac:dyDescent="0.25">
      <c r="A24596" t="s">
        <v>7</v>
      </c>
      <c r="B24596" t="s">
        <v>6322</v>
      </c>
      <c r="C24596" s="1" t="s">
        <v>23490</v>
      </c>
      <c r="D24596" s="1" t="str">
        <f>HYPERLINK("https://rhld.insurance.arkansas.gov/NPILookup?Npi=1881279743","1881279743")</f>
        <v>1881279743</v>
      </c>
      <c r="E24596" t="s">
        <v>20713</v>
      </c>
    </row>
    <row r="24597" spans="1:5" x14ac:dyDescent="0.25">
      <c r="A24597" t="s">
        <v>7</v>
      </c>
      <c r="B24597" t="s">
        <v>6322</v>
      </c>
      <c r="C24597" s="1" t="s">
        <v>23490</v>
      </c>
      <c r="D24597" s="1" t="str">
        <f>HYPERLINK("https://rhld.insurance.arkansas.gov/NPILookup?Npi=1881635993","1881635993")</f>
        <v>1881635993</v>
      </c>
      <c r="E24597" t="s">
        <v>12020</v>
      </c>
    </row>
    <row r="24598" spans="1:5" x14ac:dyDescent="0.25">
      <c r="A24598" t="s">
        <v>7</v>
      </c>
      <c r="B24598" t="s">
        <v>6322</v>
      </c>
      <c r="C24598" s="1" t="s">
        <v>23490</v>
      </c>
      <c r="D24598" s="1" t="str">
        <f>HYPERLINK("https://rhld.insurance.arkansas.gov/NPILookup?Npi=1881645208","1881645208")</f>
        <v>1881645208</v>
      </c>
      <c r="E24598" t="s">
        <v>22898</v>
      </c>
    </row>
    <row r="24599" spans="1:5" x14ac:dyDescent="0.25">
      <c r="A24599" t="s">
        <v>7</v>
      </c>
      <c r="B24599" t="s">
        <v>6322</v>
      </c>
      <c r="C24599" s="1" t="s">
        <v>23490</v>
      </c>
      <c r="D24599" s="1" t="str">
        <f>HYPERLINK("https://rhld.insurance.arkansas.gov/NPILookup?Npi=1881820702","1881820702")</f>
        <v>1881820702</v>
      </c>
      <c r="E24599" t="s">
        <v>6498</v>
      </c>
    </row>
    <row r="24600" spans="1:5" x14ac:dyDescent="0.25">
      <c r="A24600" t="s">
        <v>7</v>
      </c>
      <c r="B24600" t="s">
        <v>6322</v>
      </c>
      <c r="C24600" s="1" t="s">
        <v>23490</v>
      </c>
      <c r="D24600" s="1" t="str">
        <f>HYPERLINK("https://rhld.insurance.arkansas.gov/NPILookup?Npi=1881978187","1881978187")</f>
        <v>1881978187</v>
      </c>
      <c r="E24600" t="s">
        <v>6499</v>
      </c>
    </row>
    <row r="24601" spans="1:5" x14ac:dyDescent="0.25">
      <c r="A24601" t="s">
        <v>7</v>
      </c>
      <c r="B24601" t="s">
        <v>6322</v>
      </c>
      <c r="C24601" s="1" t="s">
        <v>23490</v>
      </c>
      <c r="D24601" s="1" t="str">
        <f>HYPERLINK("https://rhld.insurance.arkansas.gov/NPILookup?Npi=1891113981","1891113981")</f>
        <v>1891113981</v>
      </c>
      <c r="E24601" t="s">
        <v>6500</v>
      </c>
    </row>
    <row r="24602" spans="1:5" x14ac:dyDescent="0.25">
      <c r="A24602" t="s">
        <v>7</v>
      </c>
      <c r="B24602" t="s">
        <v>6322</v>
      </c>
      <c r="C24602" s="1" t="s">
        <v>23490</v>
      </c>
      <c r="D24602" s="1" t="str">
        <f>HYPERLINK("https://rhld.insurance.arkansas.gov/NPILookup?Npi=1891140190","1891140190")</f>
        <v>1891140190</v>
      </c>
      <c r="E24602" t="s">
        <v>12021</v>
      </c>
    </row>
    <row r="24603" spans="1:5" x14ac:dyDescent="0.25">
      <c r="A24603" t="s">
        <v>7</v>
      </c>
      <c r="B24603" t="s">
        <v>6322</v>
      </c>
      <c r="C24603" s="1" t="s">
        <v>23490</v>
      </c>
      <c r="D24603" s="1" t="str">
        <f>HYPERLINK("https://rhld.insurance.arkansas.gov/NPILookup?Npi=1891176715","1891176715")</f>
        <v>1891176715</v>
      </c>
      <c r="E24603" t="s">
        <v>6501</v>
      </c>
    </row>
    <row r="24604" spans="1:5" x14ac:dyDescent="0.25">
      <c r="A24604" t="s">
        <v>7</v>
      </c>
      <c r="B24604" t="s">
        <v>6322</v>
      </c>
      <c r="C24604" s="1" t="s">
        <v>23490</v>
      </c>
      <c r="D24604" s="1" t="str">
        <f>HYPERLINK("https://rhld.insurance.arkansas.gov/NPILookup?Npi=1891179560","1891179560")</f>
        <v>1891179560</v>
      </c>
      <c r="E24604" t="s">
        <v>17284</v>
      </c>
    </row>
    <row r="24605" spans="1:5" x14ac:dyDescent="0.25">
      <c r="A24605" t="s">
        <v>7</v>
      </c>
      <c r="B24605" t="s">
        <v>6322</v>
      </c>
      <c r="C24605" s="1" t="s">
        <v>23490</v>
      </c>
      <c r="D24605" s="1" t="str">
        <f>HYPERLINK("https://rhld.insurance.arkansas.gov/NPILookup?Npi=1891279212","1891279212")</f>
        <v>1891279212</v>
      </c>
      <c r="E24605" t="s">
        <v>21263</v>
      </c>
    </row>
    <row r="24606" spans="1:5" x14ac:dyDescent="0.25">
      <c r="A24606" t="s">
        <v>7</v>
      </c>
      <c r="B24606" t="s">
        <v>6322</v>
      </c>
      <c r="C24606" s="1" t="s">
        <v>23490</v>
      </c>
      <c r="D24606" s="1" t="str">
        <f>HYPERLINK("https://rhld.insurance.arkansas.gov/NPILookup?Npi=1891705976","1891705976")</f>
        <v>1891705976</v>
      </c>
      <c r="E24606" t="s">
        <v>6502</v>
      </c>
    </row>
    <row r="24607" spans="1:5" x14ac:dyDescent="0.25">
      <c r="A24607" t="s">
        <v>7</v>
      </c>
      <c r="B24607" t="s">
        <v>6322</v>
      </c>
      <c r="C24607" s="1" t="s">
        <v>23490</v>
      </c>
      <c r="D24607" s="1" t="str">
        <f>HYPERLINK("https://rhld.insurance.arkansas.gov/NPILookup?Npi=1891778049","1891778049")</f>
        <v>1891778049</v>
      </c>
      <c r="E24607" t="s">
        <v>7598</v>
      </c>
    </row>
    <row r="24608" spans="1:5" x14ac:dyDescent="0.25">
      <c r="A24608" t="s">
        <v>7</v>
      </c>
      <c r="B24608" t="s">
        <v>6322</v>
      </c>
      <c r="C24608" s="1" t="s">
        <v>23490</v>
      </c>
      <c r="D24608" s="1" t="str">
        <f>HYPERLINK("https://rhld.insurance.arkansas.gov/NPILookup?Npi=1891781837","1891781837")</f>
        <v>1891781837</v>
      </c>
      <c r="E24608" t="s">
        <v>7595</v>
      </c>
    </row>
    <row r="24609" spans="1:5" x14ac:dyDescent="0.25">
      <c r="A24609" t="s">
        <v>7</v>
      </c>
      <c r="B24609" t="s">
        <v>6322</v>
      </c>
      <c r="C24609" s="1" t="s">
        <v>23490</v>
      </c>
      <c r="D24609" s="1" t="str">
        <f>HYPERLINK("https://rhld.insurance.arkansas.gov/NPILookup?Npi=1902040728","1902040728")</f>
        <v>1902040728</v>
      </c>
      <c r="E24609" t="s">
        <v>6503</v>
      </c>
    </row>
    <row r="24610" spans="1:5" x14ac:dyDescent="0.25">
      <c r="A24610" t="s">
        <v>7</v>
      </c>
      <c r="B24610" t="s">
        <v>6322</v>
      </c>
      <c r="C24610" s="1" t="s">
        <v>23490</v>
      </c>
      <c r="D24610" s="1" t="str">
        <f>HYPERLINK("https://rhld.insurance.arkansas.gov/NPILookup?Npi=1902051816","1902051816")</f>
        <v>1902051816</v>
      </c>
      <c r="E24610" t="s">
        <v>7599</v>
      </c>
    </row>
    <row r="24611" spans="1:5" x14ac:dyDescent="0.25">
      <c r="A24611" t="s">
        <v>7</v>
      </c>
      <c r="B24611" t="s">
        <v>6322</v>
      </c>
      <c r="C24611" s="1" t="s">
        <v>23490</v>
      </c>
      <c r="D24611" s="1" t="str">
        <f>HYPERLINK("https://rhld.insurance.arkansas.gov/NPILookup?Npi=1902066202","1902066202")</f>
        <v>1902066202</v>
      </c>
      <c r="E24611" t="s">
        <v>6504</v>
      </c>
    </row>
    <row r="24612" spans="1:5" x14ac:dyDescent="0.25">
      <c r="A24612" t="s">
        <v>7</v>
      </c>
      <c r="B24612" t="s">
        <v>6322</v>
      </c>
      <c r="C24612" s="1" t="s">
        <v>23490</v>
      </c>
      <c r="D24612" s="1" t="str">
        <f>HYPERLINK("https://rhld.insurance.arkansas.gov/NPILookup?Npi=1902114192","1902114192")</f>
        <v>1902114192</v>
      </c>
      <c r="E24612" t="s">
        <v>17708</v>
      </c>
    </row>
    <row r="24613" spans="1:5" x14ac:dyDescent="0.25">
      <c r="A24613" t="s">
        <v>7</v>
      </c>
      <c r="B24613" t="s">
        <v>6322</v>
      </c>
      <c r="C24613" s="1" t="s">
        <v>23490</v>
      </c>
      <c r="D24613" s="1" t="str">
        <f>HYPERLINK("https://rhld.insurance.arkansas.gov/NPILookup?Npi=1902280662","1902280662")</f>
        <v>1902280662</v>
      </c>
      <c r="E24613" t="s">
        <v>17285</v>
      </c>
    </row>
    <row r="24614" spans="1:5" x14ac:dyDescent="0.25">
      <c r="A24614" t="s">
        <v>7</v>
      </c>
      <c r="B24614" t="s">
        <v>6322</v>
      </c>
      <c r="C24614" s="1" t="s">
        <v>23490</v>
      </c>
      <c r="D24614" s="1" t="str">
        <f>HYPERLINK("https://rhld.insurance.arkansas.gov/NPILookup?Npi=1902842255","1902842255")</f>
        <v>1902842255</v>
      </c>
      <c r="E24614" t="s">
        <v>7552</v>
      </c>
    </row>
    <row r="24615" spans="1:5" x14ac:dyDescent="0.25">
      <c r="A24615" t="s">
        <v>7</v>
      </c>
      <c r="B24615" t="s">
        <v>6322</v>
      </c>
      <c r="C24615" s="1" t="s">
        <v>23490</v>
      </c>
      <c r="D24615" s="1" t="str">
        <f>HYPERLINK("https://rhld.insurance.arkansas.gov/NPILookup?Npi=1902862915","1902862915")</f>
        <v>1902862915</v>
      </c>
      <c r="E24615" t="s">
        <v>4083</v>
      </c>
    </row>
    <row r="24616" spans="1:5" x14ac:dyDescent="0.25">
      <c r="A24616" t="s">
        <v>7</v>
      </c>
      <c r="B24616" t="s">
        <v>6322</v>
      </c>
      <c r="C24616" s="1" t="s">
        <v>23490</v>
      </c>
      <c r="D24616" s="1" t="str">
        <f>HYPERLINK("https://rhld.insurance.arkansas.gov/NPILookup?Npi=1902868391","1902868391")</f>
        <v>1902868391</v>
      </c>
      <c r="E24616" t="s">
        <v>4080</v>
      </c>
    </row>
    <row r="24617" spans="1:5" x14ac:dyDescent="0.25">
      <c r="A24617" t="s">
        <v>7</v>
      </c>
      <c r="B24617" t="s">
        <v>6322</v>
      </c>
      <c r="C24617" s="1" t="s">
        <v>23490</v>
      </c>
      <c r="D24617" s="1" t="str">
        <f>HYPERLINK("https://rhld.insurance.arkansas.gov/NPILookup?Npi=1912062043","1912062043")</f>
        <v>1912062043</v>
      </c>
      <c r="E24617" t="s">
        <v>6505</v>
      </c>
    </row>
    <row r="24618" spans="1:5" x14ac:dyDescent="0.25">
      <c r="A24618" t="s">
        <v>7</v>
      </c>
      <c r="B24618" t="s">
        <v>6322</v>
      </c>
      <c r="C24618" s="1" t="s">
        <v>23490</v>
      </c>
      <c r="D24618" s="1" t="str">
        <f>HYPERLINK("https://rhld.insurance.arkansas.gov/NPILookup?Npi=1912084450","1912084450")</f>
        <v>1912084450</v>
      </c>
      <c r="E24618" t="s">
        <v>6506</v>
      </c>
    </row>
    <row r="24619" spans="1:5" x14ac:dyDescent="0.25">
      <c r="A24619" t="s">
        <v>7</v>
      </c>
      <c r="B24619" t="s">
        <v>6322</v>
      </c>
      <c r="C24619" s="1" t="s">
        <v>23490</v>
      </c>
      <c r="D24619" s="1" t="str">
        <f>HYPERLINK("https://rhld.insurance.arkansas.gov/NPILookup?Npi=1912368309","1912368309")</f>
        <v>1912368309</v>
      </c>
      <c r="E24619" t="s">
        <v>9227</v>
      </c>
    </row>
    <row r="24620" spans="1:5" x14ac:dyDescent="0.25">
      <c r="A24620" t="s">
        <v>7</v>
      </c>
      <c r="B24620" t="s">
        <v>6322</v>
      </c>
      <c r="C24620" s="1" t="s">
        <v>23490</v>
      </c>
      <c r="D24620" s="1" t="str">
        <f>HYPERLINK("https://rhld.insurance.arkansas.gov/NPILookup?Npi=1912480880","1912480880")</f>
        <v>1912480880</v>
      </c>
      <c r="E24620" t="s">
        <v>17286</v>
      </c>
    </row>
    <row r="24621" spans="1:5" x14ac:dyDescent="0.25">
      <c r="A24621" t="s">
        <v>7</v>
      </c>
      <c r="B24621" t="s">
        <v>6322</v>
      </c>
      <c r="C24621" s="1" t="s">
        <v>23490</v>
      </c>
      <c r="D24621" s="1" t="str">
        <f>HYPERLINK("https://rhld.insurance.arkansas.gov/NPILookup?Npi=1912481383","1912481383")</f>
        <v>1912481383</v>
      </c>
      <c r="E24621" t="s">
        <v>16389</v>
      </c>
    </row>
    <row r="24622" spans="1:5" x14ac:dyDescent="0.25">
      <c r="A24622" t="s">
        <v>7</v>
      </c>
      <c r="B24622" t="s">
        <v>6322</v>
      </c>
      <c r="C24622" s="1" t="s">
        <v>23490</v>
      </c>
      <c r="D24622" s="1" t="str">
        <f>HYPERLINK("https://rhld.insurance.arkansas.gov/NPILookup?Npi=1912582891","1912582891")</f>
        <v>1912582891</v>
      </c>
      <c r="E24622" t="s">
        <v>20714</v>
      </c>
    </row>
    <row r="24623" spans="1:5" x14ac:dyDescent="0.25">
      <c r="A24623" t="s">
        <v>7</v>
      </c>
      <c r="B24623" t="s">
        <v>6322</v>
      </c>
      <c r="C24623" s="1" t="s">
        <v>23490</v>
      </c>
      <c r="D24623" s="1" t="str">
        <f>HYPERLINK("https://rhld.insurance.arkansas.gov/NPILookup?Npi=1912978685","1912978685")</f>
        <v>1912978685</v>
      </c>
      <c r="E24623" t="s">
        <v>6507</v>
      </c>
    </row>
    <row r="24624" spans="1:5" x14ac:dyDescent="0.25">
      <c r="A24624" t="s">
        <v>7</v>
      </c>
      <c r="B24624" t="s">
        <v>6322</v>
      </c>
      <c r="C24624" s="1" t="s">
        <v>23490</v>
      </c>
      <c r="D24624" s="1" t="str">
        <f>HYPERLINK("https://rhld.insurance.arkansas.gov/NPILookup?Npi=1912978875","1912978875")</f>
        <v>1912978875</v>
      </c>
      <c r="E24624" t="s">
        <v>6507</v>
      </c>
    </row>
    <row r="24625" spans="1:5" x14ac:dyDescent="0.25">
      <c r="A24625" t="s">
        <v>7</v>
      </c>
      <c r="B24625" t="s">
        <v>6322</v>
      </c>
      <c r="C24625" s="1" t="s">
        <v>23490</v>
      </c>
      <c r="D24625" s="1" t="str">
        <f>HYPERLINK("https://rhld.insurance.arkansas.gov/NPILookup?Npi=1922016872","1922016872")</f>
        <v>1922016872</v>
      </c>
      <c r="E24625" t="s">
        <v>6508</v>
      </c>
    </row>
    <row r="24626" spans="1:5" x14ac:dyDescent="0.25">
      <c r="A24626" t="s">
        <v>7</v>
      </c>
      <c r="B24626" t="s">
        <v>6322</v>
      </c>
      <c r="C24626" s="1" t="s">
        <v>23490</v>
      </c>
      <c r="D24626" s="1" t="str">
        <f>HYPERLINK("https://rhld.insurance.arkansas.gov/NPILookup?Npi=1922096593","1922096593")</f>
        <v>1922096593</v>
      </c>
      <c r="E24626" t="s">
        <v>6509</v>
      </c>
    </row>
    <row r="24627" spans="1:5" x14ac:dyDescent="0.25">
      <c r="A24627" t="s">
        <v>7</v>
      </c>
      <c r="B24627" t="s">
        <v>6322</v>
      </c>
      <c r="C24627" s="1" t="s">
        <v>23490</v>
      </c>
      <c r="D24627" s="1" t="str">
        <f>HYPERLINK("https://rhld.insurance.arkansas.gov/NPILookup?Npi=1922132794","1922132794")</f>
        <v>1922132794</v>
      </c>
      <c r="E24627" t="s">
        <v>7588</v>
      </c>
    </row>
    <row r="24628" spans="1:5" x14ac:dyDescent="0.25">
      <c r="A24628" t="s">
        <v>7</v>
      </c>
      <c r="B24628" t="s">
        <v>6322</v>
      </c>
      <c r="C24628" s="1" t="s">
        <v>23490</v>
      </c>
      <c r="D24628" s="1" t="str">
        <f>HYPERLINK("https://rhld.insurance.arkansas.gov/NPILookup?Npi=1922219716","1922219716")</f>
        <v>1922219716</v>
      </c>
      <c r="E24628" t="s">
        <v>6510</v>
      </c>
    </row>
    <row r="24629" spans="1:5" x14ac:dyDescent="0.25">
      <c r="A24629" t="s">
        <v>7</v>
      </c>
      <c r="B24629" t="s">
        <v>6322</v>
      </c>
      <c r="C24629" s="1" t="s">
        <v>23490</v>
      </c>
      <c r="D24629" s="1" t="str">
        <f>HYPERLINK("https://rhld.insurance.arkansas.gov/NPILookup?Npi=1922300649","1922300649")</f>
        <v>1922300649</v>
      </c>
      <c r="E24629" t="s">
        <v>7569</v>
      </c>
    </row>
    <row r="24630" spans="1:5" x14ac:dyDescent="0.25">
      <c r="A24630" t="s">
        <v>7</v>
      </c>
      <c r="B24630" t="s">
        <v>6322</v>
      </c>
      <c r="C24630" s="1" t="s">
        <v>23490</v>
      </c>
      <c r="D24630" s="1" t="str">
        <f>HYPERLINK("https://rhld.insurance.arkansas.gov/NPILookup?Npi=1922342682","1922342682")</f>
        <v>1922342682</v>
      </c>
      <c r="E24630" t="s">
        <v>6511</v>
      </c>
    </row>
    <row r="24631" spans="1:5" x14ac:dyDescent="0.25">
      <c r="A24631" t="s">
        <v>7</v>
      </c>
      <c r="B24631" t="s">
        <v>6322</v>
      </c>
      <c r="C24631" s="1" t="s">
        <v>23490</v>
      </c>
      <c r="D24631" s="1" t="str">
        <f>HYPERLINK("https://rhld.insurance.arkansas.gov/NPILookup?Npi=1922498591","1922498591")</f>
        <v>1922498591</v>
      </c>
      <c r="E24631" t="s">
        <v>6512</v>
      </c>
    </row>
    <row r="24632" spans="1:5" x14ac:dyDescent="0.25">
      <c r="A24632" t="s">
        <v>7</v>
      </c>
      <c r="B24632" t="s">
        <v>6322</v>
      </c>
      <c r="C24632" s="1" t="s">
        <v>23490</v>
      </c>
      <c r="D24632" s="1" t="str">
        <f>HYPERLINK("https://rhld.insurance.arkansas.gov/NPILookup?Npi=1922582477","1922582477")</f>
        <v>1922582477</v>
      </c>
      <c r="E24632" t="s">
        <v>16390</v>
      </c>
    </row>
    <row r="24633" spans="1:5" x14ac:dyDescent="0.25">
      <c r="A24633" t="s">
        <v>7</v>
      </c>
      <c r="B24633" t="s">
        <v>6322</v>
      </c>
      <c r="C24633" s="1" t="s">
        <v>23490</v>
      </c>
      <c r="D24633" s="1" t="str">
        <f>HYPERLINK("https://rhld.insurance.arkansas.gov/NPILookup?Npi=1932235025","1932235025")</f>
        <v>1932235025</v>
      </c>
      <c r="E24633" t="s">
        <v>12022</v>
      </c>
    </row>
    <row r="24634" spans="1:5" x14ac:dyDescent="0.25">
      <c r="A24634" t="s">
        <v>7</v>
      </c>
      <c r="B24634" t="s">
        <v>6322</v>
      </c>
      <c r="C24634" s="1" t="s">
        <v>23490</v>
      </c>
      <c r="D24634" s="1" t="str">
        <f>HYPERLINK("https://rhld.insurance.arkansas.gov/NPILookup?Npi=1932361607","1932361607")</f>
        <v>1932361607</v>
      </c>
      <c r="E24634" t="s">
        <v>14410</v>
      </c>
    </row>
    <row r="24635" spans="1:5" x14ac:dyDescent="0.25">
      <c r="A24635" t="s">
        <v>7</v>
      </c>
      <c r="B24635" t="s">
        <v>6322</v>
      </c>
      <c r="C24635" s="1" t="s">
        <v>23490</v>
      </c>
      <c r="D24635" s="1" t="str">
        <f>HYPERLINK("https://rhld.insurance.arkansas.gov/NPILookup?Npi=1932421401","1932421401")</f>
        <v>1932421401</v>
      </c>
      <c r="E24635" t="s">
        <v>7605</v>
      </c>
    </row>
    <row r="24636" spans="1:5" x14ac:dyDescent="0.25">
      <c r="A24636" t="s">
        <v>7</v>
      </c>
      <c r="B24636" t="s">
        <v>6322</v>
      </c>
      <c r="C24636" s="1" t="s">
        <v>23490</v>
      </c>
      <c r="D24636" s="1" t="str">
        <f>HYPERLINK("https://rhld.insurance.arkansas.gov/NPILookup?Npi=1932496445","1932496445")</f>
        <v>1932496445</v>
      </c>
      <c r="E24636" t="s">
        <v>6513</v>
      </c>
    </row>
    <row r="24637" spans="1:5" x14ac:dyDescent="0.25">
      <c r="A24637" t="s">
        <v>7</v>
      </c>
      <c r="B24637" t="s">
        <v>6322</v>
      </c>
      <c r="C24637" s="1" t="s">
        <v>23490</v>
      </c>
      <c r="D24637" s="1" t="str">
        <f>HYPERLINK("https://rhld.insurance.arkansas.gov/NPILookup?Npi=1932536711","1932536711")</f>
        <v>1932536711</v>
      </c>
      <c r="E24637" t="s">
        <v>14411</v>
      </c>
    </row>
    <row r="24638" spans="1:5" x14ac:dyDescent="0.25">
      <c r="A24638" t="s">
        <v>7</v>
      </c>
      <c r="B24638" t="s">
        <v>6322</v>
      </c>
      <c r="C24638" s="1" t="s">
        <v>23490</v>
      </c>
      <c r="D24638" s="1" t="str">
        <f>HYPERLINK("https://rhld.insurance.arkansas.gov/NPILookup?Npi=1942267794","1942267794")</f>
        <v>1942267794</v>
      </c>
      <c r="E24638" t="s">
        <v>6514</v>
      </c>
    </row>
    <row r="24639" spans="1:5" x14ac:dyDescent="0.25">
      <c r="A24639" t="s">
        <v>7</v>
      </c>
      <c r="B24639" t="s">
        <v>6322</v>
      </c>
      <c r="C24639" s="1" t="s">
        <v>23490</v>
      </c>
      <c r="D24639" s="1" t="str">
        <f>HYPERLINK("https://rhld.insurance.arkansas.gov/NPILookup?Npi=1942544606","1942544606")</f>
        <v>1942544606</v>
      </c>
      <c r="E24639" t="s">
        <v>14412</v>
      </c>
    </row>
    <row r="24640" spans="1:5" x14ac:dyDescent="0.25">
      <c r="A24640" t="s">
        <v>7</v>
      </c>
      <c r="B24640" t="s">
        <v>6322</v>
      </c>
      <c r="C24640" s="1" t="s">
        <v>23490</v>
      </c>
      <c r="D24640" s="1" t="str">
        <f>HYPERLINK("https://rhld.insurance.arkansas.gov/NPILookup?Npi=1942939426","1942939426")</f>
        <v>1942939426</v>
      </c>
      <c r="E24640" t="s">
        <v>21264</v>
      </c>
    </row>
    <row r="24641" spans="1:5" x14ac:dyDescent="0.25">
      <c r="A24641" t="s">
        <v>7</v>
      </c>
      <c r="B24641" t="s">
        <v>6322</v>
      </c>
      <c r="C24641" s="1" t="s">
        <v>23490</v>
      </c>
      <c r="D24641" s="1" t="str">
        <f>HYPERLINK("https://rhld.insurance.arkansas.gov/NPILookup?Npi=1952302788","1952302788")</f>
        <v>1952302788</v>
      </c>
      <c r="E24641" t="s">
        <v>6358</v>
      </c>
    </row>
    <row r="24642" spans="1:5" x14ac:dyDescent="0.25">
      <c r="A24642" t="s">
        <v>7</v>
      </c>
      <c r="B24642" t="s">
        <v>6322</v>
      </c>
      <c r="C24642" s="1" t="s">
        <v>23490</v>
      </c>
      <c r="D24642" s="1" t="str">
        <f>HYPERLINK("https://rhld.insurance.arkansas.gov/NPILookup?Npi=1952308215","1952308215")</f>
        <v>1952308215</v>
      </c>
      <c r="E24642" t="s">
        <v>4106</v>
      </c>
    </row>
    <row r="24643" spans="1:5" x14ac:dyDescent="0.25">
      <c r="A24643" t="s">
        <v>7</v>
      </c>
      <c r="B24643" t="s">
        <v>6322</v>
      </c>
      <c r="C24643" s="1" t="s">
        <v>23490</v>
      </c>
      <c r="D24643" s="1" t="str">
        <f>HYPERLINK("https://rhld.insurance.arkansas.gov/NPILookup?Npi=1952705618","1952705618")</f>
        <v>1952705618</v>
      </c>
      <c r="E24643" t="s">
        <v>6515</v>
      </c>
    </row>
    <row r="24644" spans="1:5" x14ac:dyDescent="0.25">
      <c r="A24644" t="s">
        <v>7</v>
      </c>
      <c r="B24644" t="s">
        <v>6322</v>
      </c>
      <c r="C24644" s="1" t="s">
        <v>23490</v>
      </c>
      <c r="D24644" s="1" t="str">
        <f>HYPERLINK("https://rhld.insurance.arkansas.gov/NPILookup?Npi=1952727521","1952727521")</f>
        <v>1952727521</v>
      </c>
      <c r="E24644" t="s">
        <v>12023</v>
      </c>
    </row>
    <row r="24645" spans="1:5" x14ac:dyDescent="0.25">
      <c r="A24645" t="s">
        <v>7</v>
      </c>
      <c r="B24645" t="s">
        <v>6322</v>
      </c>
      <c r="C24645" s="1" t="s">
        <v>23490</v>
      </c>
      <c r="D24645" s="1" t="str">
        <f>HYPERLINK("https://rhld.insurance.arkansas.gov/NPILookup?Npi=1952782872","1952782872")</f>
        <v>1952782872</v>
      </c>
      <c r="E24645" t="s">
        <v>6516</v>
      </c>
    </row>
    <row r="24646" spans="1:5" x14ac:dyDescent="0.25">
      <c r="A24646" t="s">
        <v>7</v>
      </c>
      <c r="B24646" t="s">
        <v>6322</v>
      </c>
      <c r="C24646" s="1" t="s">
        <v>23490</v>
      </c>
      <c r="D24646" s="1" t="str">
        <f>HYPERLINK("https://rhld.insurance.arkansas.gov/NPILookup?Npi=1952791535","1952791535")</f>
        <v>1952791535</v>
      </c>
      <c r="E24646" t="s">
        <v>6517</v>
      </c>
    </row>
    <row r="24647" spans="1:5" x14ac:dyDescent="0.25">
      <c r="A24647" t="s">
        <v>7</v>
      </c>
      <c r="B24647" t="s">
        <v>6322</v>
      </c>
      <c r="C24647" s="1" t="s">
        <v>23490</v>
      </c>
      <c r="D24647" s="1" t="str">
        <f>HYPERLINK("https://rhld.insurance.arkansas.gov/NPILookup?Npi=1962071464","1962071464")</f>
        <v>1962071464</v>
      </c>
      <c r="E24647" t="s">
        <v>19261</v>
      </c>
    </row>
    <row r="24648" spans="1:5" x14ac:dyDescent="0.25">
      <c r="A24648" t="s">
        <v>7</v>
      </c>
      <c r="B24648" t="s">
        <v>6322</v>
      </c>
      <c r="C24648" s="1" t="s">
        <v>23490</v>
      </c>
      <c r="D24648" s="1" t="str">
        <f>HYPERLINK("https://rhld.insurance.arkansas.gov/NPILookup?Npi=1962087825","1962087825")</f>
        <v>1962087825</v>
      </c>
      <c r="E24648" t="s">
        <v>20715</v>
      </c>
    </row>
    <row r="24649" spans="1:5" x14ac:dyDescent="0.25">
      <c r="A24649" t="s">
        <v>7</v>
      </c>
      <c r="B24649" t="s">
        <v>6322</v>
      </c>
      <c r="C24649" s="1" t="s">
        <v>23490</v>
      </c>
      <c r="D24649" s="1" t="str">
        <f>HYPERLINK("https://rhld.insurance.arkansas.gov/NPILookup?Npi=1962410183","1962410183")</f>
        <v>1962410183</v>
      </c>
      <c r="E24649" t="s">
        <v>13256</v>
      </c>
    </row>
    <row r="24650" spans="1:5" x14ac:dyDescent="0.25">
      <c r="A24650" t="s">
        <v>7</v>
      </c>
      <c r="B24650" t="s">
        <v>6322</v>
      </c>
      <c r="C24650" s="1" t="s">
        <v>23490</v>
      </c>
      <c r="D24650" s="1" t="str">
        <f>HYPERLINK("https://rhld.insurance.arkansas.gov/NPILookup?Npi=1962457325","1962457325")</f>
        <v>1962457325</v>
      </c>
      <c r="E24650" t="s">
        <v>6325</v>
      </c>
    </row>
    <row r="24651" spans="1:5" x14ac:dyDescent="0.25">
      <c r="A24651" t="s">
        <v>7</v>
      </c>
      <c r="B24651" t="s">
        <v>6322</v>
      </c>
      <c r="C24651" s="1" t="s">
        <v>23490</v>
      </c>
      <c r="D24651" s="1" t="str">
        <f>HYPERLINK("https://rhld.insurance.arkansas.gov/NPILookup?Npi=1962725242","1962725242")</f>
        <v>1962725242</v>
      </c>
      <c r="E24651" t="s">
        <v>7605</v>
      </c>
    </row>
    <row r="24652" spans="1:5" x14ac:dyDescent="0.25">
      <c r="A24652" t="s">
        <v>7</v>
      </c>
      <c r="B24652" t="s">
        <v>6322</v>
      </c>
      <c r="C24652" s="1" t="s">
        <v>23490</v>
      </c>
      <c r="D24652" s="1" t="str">
        <f>HYPERLINK("https://rhld.insurance.arkansas.gov/NPILookup?Npi=1962851568","1962851568")</f>
        <v>1962851568</v>
      </c>
      <c r="E24652" t="s">
        <v>14413</v>
      </c>
    </row>
    <row r="24653" spans="1:5" x14ac:dyDescent="0.25">
      <c r="A24653" t="s">
        <v>7</v>
      </c>
      <c r="B24653" t="s">
        <v>6322</v>
      </c>
      <c r="C24653" s="1" t="s">
        <v>23490</v>
      </c>
      <c r="D24653" s="1" t="str">
        <f>HYPERLINK("https://rhld.insurance.arkansas.gov/NPILookup?Npi=1962860445","1962860445")</f>
        <v>1962860445</v>
      </c>
      <c r="E24653" t="s">
        <v>14414</v>
      </c>
    </row>
    <row r="24654" spans="1:5" x14ac:dyDescent="0.25">
      <c r="A24654" t="s">
        <v>7</v>
      </c>
      <c r="B24654" t="s">
        <v>6322</v>
      </c>
      <c r="C24654" s="1" t="s">
        <v>23490</v>
      </c>
      <c r="D24654" s="1" t="str">
        <f>HYPERLINK("https://rhld.insurance.arkansas.gov/NPILookup?Npi=1972535920","1972535920")</f>
        <v>1972535920</v>
      </c>
      <c r="E24654" t="s">
        <v>6518</v>
      </c>
    </row>
    <row r="24655" spans="1:5" x14ac:dyDescent="0.25">
      <c r="A24655" t="s">
        <v>7</v>
      </c>
      <c r="B24655" t="s">
        <v>6322</v>
      </c>
      <c r="C24655" s="1" t="s">
        <v>23490</v>
      </c>
      <c r="D24655" s="1" t="str">
        <f>HYPERLINK("https://rhld.insurance.arkansas.gov/NPILookup?Npi=1972539567","1972539567")</f>
        <v>1972539567</v>
      </c>
      <c r="E24655" t="s">
        <v>12000</v>
      </c>
    </row>
    <row r="24656" spans="1:5" x14ac:dyDescent="0.25">
      <c r="A24656" t="s">
        <v>7</v>
      </c>
      <c r="B24656" t="s">
        <v>6322</v>
      </c>
      <c r="C24656" s="1" t="s">
        <v>23490</v>
      </c>
      <c r="D24656" s="1" t="str">
        <f>HYPERLINK("https://rhld.insurance.arkansas.gov/NPILookup?Npi=1972543627","1972543627")</f>
        <v>1972543627</v>
      </c>
      <c r="E24656" t="s">
        <v>4094</v>
      </c>
    </row>
    <row r="24657" spans="1:5" x14ac:dyDescent="0.25">
      <c r="A24657" t="s">
        <v>7</v>
      </c>
      <c r="B24657" t="s">
        <v>6322</v>
      </c>
      <c r="C24657" s="1" t="s">
        <v>23490</v>
      </c>
      <c r="D24657" s="1" t="str">
        <f>HYPERLINK("https://rhld.insurance.arkansas.gov/NPILookup?Npi=1972554392","1972554392")</f>
        <v>1972554392</v>
      </c>
      <c r="E24657" t="s">
        <v>22898</v>
      </c>
    </row>
    <row r="24658" spans="1:5" x14ac:dyDescent="0.25">
      <c r="A24658" t="s">
        <v>7</v>
      </c>
      <c r="B24658" t="s">
        <v>6322</v>
      </c>
      <c r="C24658" s="1" t="s">
        <v>23490</v>
      </c>
      <c r="D24658" s="1" t="str">
        <f>HYPERLINK("https://rhld.insurance.arkansas.gov/NPILookup?Npi=1972586238","1972586238")</f>
        <v>1972586238</v>
      </c>
      <c r="E24658" t="s">
        <v>7607</v>
      </c>
    </row>
    <row r="24659" spans="1:5" x14ac:dyDescent="0.25">
      <c r="A24659" t="s">
        <v>7</v>
      </c>
      <c r="B24659" t="s">
        <v>6322</v>
      </c>
      <c r="C24659" s="1" t="s">
        <v>23490</v>
      </c>
      <c r="D24659" s="1" t="str">
        <f>HYPERLINK("https://rhld.insurance.arkansas.gov/NPILookup?Npi=1972758118","1972758118")</f>
        <v>1972758118</v>
      </c>
      <c r="E24659" t="s">
        <v>6519</v>
      </c>
    </row>
    <row r="24660" spans="1:5" x14ac:dyDescent="0.25">
      <c r="A24660" t="s">
        <v>7</v>
      </c>
      <c r="B24660" t="s">
        <v>6322</v>
      </c>
      <c r="C24660" s="1" t="s">
        <v>23490</v>
      </c>
      <c r="D24660" s="1" t="str">
        <f>HYPERLINK("https://rhld.insurance.arkansas.gov/NPILookup?Npi=1982020541","1982020541")</f>
        <v>1982020541</v>
      </c>
      <c r="E24660" t="s">
        <v>14415</v>
      </c>
    </row>
    <row r="24661" spans="1:5" x14ac:dyDescent="0.25">
      <c r="A24661" t="s">
        <v>7</v>
      </c>
      <c r="B24661" t="s">
        <v>6322</v>
      </c>
      <c r="C24661" s="1" t="s">
        <v>23490</v>
      </c>
      <c r="D24661" s="1" t="str">
        <f>HYPERLINK("https://rhld.insurance.arkansas.gov/NPILookup?Npi=1982206264","1982206264")</f>
        <v>1982206264</v>
      </c>
      <c r="E24661" t="s">
        <v>19262</v>
      </c>
    </row>
    <row r="24662" spans="1:5" x14ac:dyDescent="0.25">
      <c r="A24662" t="s">
        <v>7</v>
      </c>
      <c r="B24662" t="s">
        <v>6322</v>
      </c>
      <c r="C24662" s="1" t="s">
        <v>23490</v>
      </c>
      <c r="D24662" s="1" t="str">
        <f>HYPERLINK("https://rhld.insurance.arkansas.gov/NPILookup?Npi=1982615589","1982615589")</f>
        <v>1982615589</v>
      </c>
      <c r="E24662" t="s">
        <v>13256</v>
      </c>
    </row>
    <row r="24663" spans="1:5" x14ac:dyDescent="0.25">
      <c r="A24663" t="s">
        <v>7</v>
      </c>
      <c r="B24663" t="s">
        <v>6322</v>
      </c>
      <c r="C24663" s="1" t="s">
        <v>23490</v>
      </c>
      <c r="D24663" s="1" t="str">
        <f>HYPERLINK("https://rhld.insurance.arkansas.gov/NPILookup?Npi=1982665741","1982665741")</f>
        <v>1982665741</v>
      </c>
      <c r="E24663" t="s">
        <v>6520</v>
      </c>
    </row>
    <row r="24664" spans="1:5" x14ac:dyDescent="0.25">
      <c r="A24664" t="s">
        <v>7</v>
      </c>
      <c r="B24664" t="s">
        <v>6322</v>
      </c>
      <c r="C24664" s="1" t="s">
        <v>23490</v>
      </c>
      <c r="D24664" s="1" t="str">
        <f>HYPERLINK("https://rhld.insurance.arkansas.gov/NPILookup?Npi=1982856126","1982856126")</f>
        <v>1982856126</v>
      </c>
      <c r="E24664" t="s">
        <v>9228</v>
      </c>
    </row>
    <row r="24665" spans="1:5" x14ac:dyDescent="0.25">
      <c r="A24665" t="s">
        <v>7</v>
      </c>
      <c r="B24665" t="s">
        <v>6322</v>
      </c>
      <c r="C24665" s="1" t="s">
        <v>23490</v>
      </c>
      <c r="D24665" s="1" t="str">
        <f>HYPERLINK("https://rhld.insurance.arkansas.gov/NPILookup?Npi=1992013189","1992013189")</f>
        <v>1992013189</v>
      </c>
      <c r="E24665" t="s">
        <v>17709</v>
      </c>
    </row>
    <row r="24666" spans="1:5" x14ac:dyDescent="0.25">
      <c r="A24666" t="s">
        <v>7</v>
      </c>
      <c r="B24666" t="s">
        <v>6322</v>
      </c>
      <c r="C24666" s="1" t="s">
        <v>23490</v>
      </c>
      <c r="D24666" s="1" t="str">
        <f>HYPERLINK("https://rhld.insurance.arkansas.gov/NPILookup?Npi=1992185789","1992185789")</f>
        <v>1992185789</v>
      </c>
      <c r="E24666" t="s">
        <v>9229</v>
      </c>
    </row>
    <row r="24667" spans="1:5" x14ac:dyDescent="0.25">
      <c r="A24667" t="s">
        <v>7</v>
      </c>
      <c r="B24667" t="s">
        <v>6322</v>
      </c>
      <c r="C24667" s="1" t="s">
        <v>23490</v>
      </c>
      <c r="D24667" s="1" t="str">
        <f>HYPERLINK("https://rhld.insurance.arkansas.gov/NPILookup?Npi=1992289375","1992289375")</f>
        <v>1992289375</v>
      </c>
      <c r="E24667" t="s">
        <v>16391</v>
      </c>
    </row>
    <row r="24668" spans="1:5" x14ac:dyDescent="0.25">
      <c r="A24668" t="s">
        <v>7</v>
      </c>
      <c r="B24668" t="s">
        <v>6322</v>
      </c>
      <c r="C24668" s="1" t="s">
        <v>23490</v>
      </c>
      <c r="D24668" s="1" t="str">
        <f>HYPERLINK("https://rhld.insurance.arkansas.gov/NPILookup?Npi=1992714992","1992714992")</f>
        <v>1992714992</v>
      </c>
      <c r="E24668" t="s">
        <v>14416</v>
      </c>
    </row>
    <row r="24669" spans="1:5" x14ac:dyDescent="0.25">
      <c r="A24669" t="s">
        <v>7</v>
      </c>
      <c r="B24669" t="s">
        <v>6322</v>
      </c>
      <c r="C24669" s="1" t="s">
        <v>23490</v>
      </c>
      <c r="D24669" s="1" t="str">
        <f>HYPERLINK("https://rhld.insurance.arkansas.gov/NPILookup?Npi=1992737985","1992737985")</f>
        <v>1992737985</v>
      </c>
      <c r="E24669" t="s">
        <v>6521</v>
      </c>
    </row>
    <row r="24670" spans="1:5" x14ac:dyDescent="0.25">
      <c r="A24670" t="s">
        <v>7</v>
      </c>
      <c r="B24670" t="s">
        <v>6322</v>
      </c>
      <c r="C24670" s="1" t="s">
        <v>23490</v>
      </c>
      <c r="D24670" s="1" t="str">
        <f>HYPERLINK("https://rhld.insurance.arkansas.gov/NPILookup?Npi=1992760342","1992760342")</f>
        <v>1992760342</v>
      </c>
      <c r="E24670" t="s">
        <v>6522</v>
      </c>
    </row>
    <row r="24671" spans="1:5" x14ac:dyDescent="0.25">
      <c r="A24671" t="s">
        <v>7</v>
      </c>
      <c r="B24671" t="s">
        <v>6322</v>
      </c>
      <c r="C24671" s="1" t="s">
        <v>23490</v>
      </c>
      <c r="D24671" s="1" t="str">
        <f>HYPERLINK("https://rhld.insurance.arkansas.gov/NPILookup?Npi=1992865513","1992865513")</f>
        <v>1992865513</v>
      </c>
      <c r="E24671" t="s">
        <v>6522</v>
      </c>
    </row>
    <row r="24672" spans="1:5" x14ac:dyDescent="0.25">
      <c r="A24672" t="s">
        <v>8</v>
      </c>
      <c r="B24672" t="s">
        <v>6523</v>
      </c>
      <c r="C24672" s="1" t="s">
        <v>23490</v>
      </c>
      <c r="D24672" s="1" t="str">
        <f>HYPERLINK("https://rhld.insurance.arkansas.gov/NPILookup?Npi=1003048943","1003048943")</f>
        <v>1003048943</v>
      </c>
      <c r="E24672" t="s">
        <v>6524</v>
      </c>
    </row>
    <row r="24673" spans="1:5" x14ac:dyDescent="0.25">
      <c r="A24673" t="s">
        <v>8</v>
      </c>
      <c r="B24673" t="s">
        <v>6523</v>
      </c>
      <c r="C24673" s="1" t="s">
        <v>23490</v>
      </c>
      <c r="D24673" s="1" t="str">
        <f>HYPERLINK("https://rhld.insurance.arkansas.gov/NPILookup?Npi=1003066846","1003066846")</f>
        <v>1003066846</v>
      </c>
      <c r="E24673" t="s">
        <v>10579</v>
      </c>
    </row>
    <row r="24674" spans="1:5" x14ac:dyDescent="0.25">
      <c r="A24674" t="s">
        <v>8</v>
      </c>
      <c r="B24674" t="s">
        <v>6523</v>
      </c>
      <c r="C24674" s="1" t="s">
        <v>23490</v>
      </c>
      <c r="D24674" s="1" t="str">
        <f>HYPERLINK("https://rhld.insurance.arkansas.gov/NPILookup?Npi=1003070129","1003070129")</f>
        <v>1003070129</v>
      </c>
      <c r="E24674" t="s">
        <v>14417</v>
      </c>
    </row>
    <row r="24675" spans="1:5" x14ac:dyDescent="0.25">
      <c r="A24675" t="s">
        <v>8</v>
      </c>
      <c r="B24675" t="s">
        <v>6523</v>
      </c>
      <c r="C24675" s="1" t="s">
        <v>23490</v>
      </c>
      <c r="D24675" s="1" t="str">
        <f>HYPERLINK("https://rhld.insurance.arkansas.gov/NPILookup?Npi=1003080375","1003080375")</f>
        <v>1003080375</v>
      </c>
      <c r="E24675" t="s">
        <v>17710</v>
      </c>
    </row>
    <row r="24676" spans="1:5" x14ac:dyDescent="0.25">
      <c r="A24676" t="s">
        <v>8</v>
      </c>
      <c r="B24676" t="s">
        <v>6523</v>
      </c>
      <c r="C24676" s="1" t="s">
        <v>23490</v>
      </c>
      <c r="D24676" s="1" t="str">
        <f>HYPERLINK("https://rhld.insurance.arkansas.gov/NPILookup?Npi=1003097593","1003097593")</f>
        <v>1003097593</v>
      </c>
      <c r="E24676" t="s">
        <v>14418</v>
      </c>
    </row>
    <row r="24677" spans="1:5" x14ac:dyDescent="0.25">
      <c r="A24677" t="s">
        <v>8</v>
      </c>
      <c r="B24677" t="s">
        <v>6523</v>
      </c>
      <c r="C24677" s="1" t="s">
        <v>23490</v>
      </c>
      <c r="D24677" s="1" t="str">
        <f>HYPERLINK("https://rhld.insurance.arkansas.gov/NPILookup?Npi=1003256157","1003256157")</f>
        <v>1003256157</v>
      </c>
      <c r="E24677" t="s">
        <v>20716</v>
      </c>
    </row>
    <row r="24678" spans="1:5" x14ac:dyDescent="0.25">
      <c r="A24678" t="s">
        <v>8</v>
      </c>
      <c r="B24678" t="s">
        <v>6523</v>
      </c>
      <c r="C24678" s="1" t="s">
        <v>23490</v>
      </c>
      <c r="D24678" s="1" t="str">
        <f>HYPERLINK("https://rhld.insurance.arkansas.gov/NPILookup?Npi=1003856568","1003856568")</f>
        <v>1003856568</v>
      </c>
      <c r="E24678" t="s">
        <v>17829</v>
      </c>
    </row>
    <row r="24679" spans="1:5" x14ac:dyDescent="0.25">
      <c r="A24679" t="s">
        <v>8</v>
      </c>
      <c r="B24679" t="s">
        <v>6523</v>
      </c>
      <c r="C24679" s="1" t="s">
        <v>23490</v>
      </c>
      <c r="D24679" s="1" t="str">
        <f>HYPERLINK("https://rhld.insurance.arkansas.gov/NPILookup?Npi=1003862848","1003862848")</f>
        <v>1003862848</v>
      </c>
      <c r="E24679" t="s">
        <v>9230</v>
      </c>
    </row>
    <row r="24680" spans="1:5" x14ac:dyDescent="0.25">
      <c r="A24680" t="s">
        <v>8</v>
      </c>
      <c r="B24680" t="s">
        <v>6523</v>
      </c>
      <c r="C24680" s="1" t="s">
        <v>23490</v>
      </c>
      <c r="D24680" s="1" t="str">
        <f>HYPERLINK("https://rhld.insurance.arkansas.gov/NPILookup?Npi=1003887589","1003887589")</f>
        <v>1003887589</v>
      </c>
      <c r="E24680" t="s">
        <v>6526</v>
      </c>
    </row>
    <row r="24681" spans="1:5" x14ac:dyDescent="0.25">
      <c r="A24681" t="s">
        <v>8</v>
      </c>
      <c r="B24681" t="s">
        <v>6523</v>
      </c>
      <c r="C24681" s="1" t="s">
        <v>23490</v>
      </c>
      <c r="D24681" s="1" t="str">
        <f>HYPERLINK("https://rhld.insurance.arkansas.gov/NPILookup?Npi=1003991902","1003991902")</f>
        <v>1003991902</v>
      </c>
      <c r="E24681" t="s">
        <v>6527</v>
      </c>
    </row>
    <row r="24682" spans="1:5" x14ac:dyDescent="0.25">
      <c r="A24682" t="s">
        <v>8</v>
      </c>
      <c r="B24682" t="s">
        <v>6523</v>
      </c>
      <c r="C24682" s="1" t="s">
        <v>23490</v>
      </c>
      <c r="D24682" s="1" t="str">
        <f>HYPERLINK("https://rhld.insurance.arkansas.gov/NPILookup?Npi=1013276187","1013276187")</f>
        <v>1013276187</v>
      </c>
      <c r="E24682" t="s">
        <v>14419</v>
      </c>
    </row>
    <row r="24683" spans="1:5" x14ac:dyDescent="0.25">
      <c r="A24683" t="s">
        <v>8</v>
      </c>
      <c r="B24683" t="s">
        <v>6523</v>
      </c>
      <c r="C24683" s="1" t="s">
        <v>23490</v>
      </c>
      <c r="D24683" s="1" t="str">
        <f>HYPERLINK("https://rhld.insurance.arkansas.gov/NPILookup?Npi=1013974062","1013974062")</f>
        <v>1013974062</v>
      </c>
      <c r="E24683" t="s">
        <v>6528</v>
      </c>
    </row>
    <row r="24684" spans="1:5" x14ac:dyDescent="0.25">
      <c r="A24684" t="s">
        <v>8</v>
      </c>
      <c r="B24684" t="s">
        <v>6523</v>
      </c>
      <c r="C24684" s="1" t="s">
        <v>23490</v>
      </c>
      <c r="D24684" s="1" t="str">
        <f>HYPERLINK("https://rhld.insurance.arkansas.gov/NPILookup?Npi=1023011194","1023011194")</f>
        <v>1023011194</v>
      </c>
      <c r="E24684" t="s">
        <v>14420</v>
      </c>
    </row>
    <row r="24685" spans="1:5" x14ac:dyDescent="0.25">
      <c r="A24685" t="s">
        <v>8</v>
      </c>
      <c r="B24685" t="s">
        <v>6523</v>
      </c>
      <c r="C24685" s="1" t="s">
        <v>23490</v>
      </c>
      <c r="D24685" s="1" t="str">
        <f>HYPERLINK("https://rhld.insurance.arkansas.gov/NPILookup?Npi=1023029550","1023029550")</f>
        <v>1023029550</v>
      </c>
      <c r="E24685" t="s">
        <v>6529</v>
      </c>
    </row>
    <row r="24686" spans="1:5" x14ac:dyDescent="0.25">
      <c r="A24686" t="s">
        <v>8</v>
      </c>
      <c r="B24686" t="s">
        <v>6523</v>
      </c>
      <c r="C24686" s="1" t="s">
        <v>23490</v>
      </c>
      <c r="D24686" s="1" t="str">
        <f>HYPERLINK("https://rhld.insurance.arkansas.gov/NPILookup?Npi=1023061850","1023061850")</f>
        <v>1023061850</v>
      </c>
      <c r="E24686" t="s">
        <v>2214</v>
      </c>
    </row>
    <row r="24687" spans="1:5" x14ac:dyDescent="0.25">
      <c r="A24687" t="s">
        <v>8</v>
      </c>
      <c r="B24687" t="s">
        <v>6523</v>
      </c>
      <c r="C24687" s="1" t="s">
        <v>23490</v>
      </c>
      <c r="D24687" s="1" t="str">
        <f>HYPERLINK("https://rhld.insurance.arkansas.gov/NPILookup?Npi=1023072808","1023072808")</f>
        <v>1023072808</v>
      </c>
      <c r="E24687" t="s">
        <v>6530</v>
      </c>
    </row>
    <row r="24688" spans="1:5" x14ac:dyDescent="0.25">
      <c r="A24688" t="s">
        <v>8</v>
      </c>
      <c r="B24688" t="s">
        <v>6523</v>
      </c>
      <c r="C24688" s="1" t="s">
        <v>23490</v>
      </c>
      <c r="D24688" s="1" t="str">
        <f>HYPERLINK("https://rhld.insurance.arkansas.gov/NPILookup?Npi=1023074010","1023074010")</f>
        <v>1023074010</v>
      </c>
      <c r="E24688" t="s">
        <v>6531</v>
      </c>
    </row>
    <row r="24689" spans="1:5" x14ac:dyDescent="0.25">
      <c r="A24689" t="s">
        <v>8</v>
      </c>
      <c r="B24689" t="s">
        <v>6523</v>
      </c>
      <c r="C24689" s="1" t="s">
        <v>23490</v>
      </c>
      <c r="D24689" s="1" t="str">
        <f>HYPERLINK("https://rhld.insurance.arkansas.gov/NPILookup?Npi=1033108196","1033108196")</f>
        <v>1033108196</v>
      </c>
      <c r="E24689" t="s">
        <v>6532</v>
      </c>
    </row>
    <row r="24690" spans="1:5" x14ac:dyDescent="0.25">
      <c r="A24690" t="s">
        <v>8</v>
      </c>
      <c r="B24690" t="s">
        <v>6523</v>
      </c>
      <c r="C24690" s="1" t="s">
        <v>23490</v>
      </c>
      <c r="D24690" s="1" t="str">
        <f>HYPERLINK("https://rhld.insurance.arkansas.gov/NPILookup?Npi=1033119474","1033119474")</f>
        <v>1033119474</v>
      </c>
      <c r="E24690" t="s">
        <v>6533</v>
      </c>
    </row>
    <row r="24691" spans="1:5" x14ac:dyDescent="0.25">
      <c r="A24691" t="s">
        <v>8</v>
      </c>
      <c r="B24691" t="s">
        <v>6523</v>
      </c>
      <c r="C24691" s="1" t="s">
        <v>23490</v>
      </c>
      <c r="D24691" s="1" t="str">
        <f>HYPERLINK("https://rhld.insurance.arkansas.gov/NPILookup?Npi=1033313671","1033313671")</f>
        <v>1033313671</v>
      </c>
      <c r="E24691" t="s">
        <v>131</v>
      </c>
    </row>
    <row r="24692" spans="1:5" x14ac:dyDescent="0.25">
      <c r="A24692" t="s">
        <v>8</v>
      </c>
      <c r="B24692" t="s">
        <v>6523</v>
      </c>
      <c r="C24692" s="1" t="s">
        <v>23490</v>
      </c>
      <c r="D24692" s="1" t="str">
        <f>HYPERLINK("https://rhld.insurance.arkansas.gov/NPILookup?Npi=1033473285","1033473285")</f>
        <v>1033473285</v>
      </c>
      <c r="E24692" t="s">
        <v>19124</v>
      </c>
    </row>
    <row r="24693" spans="1:5" x14ac:dyDescent="0.25">
      <c r="A24693" t="s">
        <v>8</v>
      </c>
      <c r="B24693" t="s">
        <v>6523</v>
      </c>
      <c r="C24693" s="1" t="s">
        <v>23490</v>
      </c>
      <c r="D24693" s="1" t="str">
        <f>HYPERLINK("https://rhld.insurance.arkansas.gov/NPILookup?Npi=1043214323","1043214323")</f>
        <v>1043214323</v>
      </c>
      <c r="E24693" t="s">
        <v>6534</v>
      </c>
    </row>
    <row r="24694" spans="1:5" x14ac:dyDescent="0.25">
      <c r="A24694" t="s">
        <v>8</v>
      </c>
      <c r="B24694" t="s">
        <v>6523</v>
      </c>
      <c r="C24694" s="1" t="s">
        <v>23490</v>
      </c>
      <c r="D24694" s="1" t="str">
        <f>HYPERLINK("https://rhld.insurance.arkansas.gov/NPILookup?Npi=1043215023","1043215023")</f>
        <v>1043215023</v>
      </c>
      <c r="E24694" t="s">
        <v>6535</v>
      </c>
    </row>
    <row r="24695" spans="1:5" x14ac:dyDescent="0.25">
      <c r="A24695" t="s">
        <v>8</v>
      </c>
      <c r="B24695" t="s">
        <v>6523</v>
      </c>
      <c r="C24695" s="1" t="s">
        <v>23490</v>
      </c>
      <c r="D24695" s="1" t="str">
        <f>HYPERLINK("https://rhld.insurance.arkansas.gov/NPILookup?Npi=1043233372","1043233372")</f>
        <v>1043233372</v>
      </c>
      <c r="E24695" t="s">
        <v>16392</v>
      </c>
    </row>
    <row r="24696" spans="1:5" x14ac:dyDescent="0.25">
      <c r="A24696" t="s">
        <v>8</v>
      </c>
      <c r="B24696" t="s">
        <v>6523</v>
      </c>
      <c r="C24696" s="1" t="s">
        <v>23490</v>
      </c>
      <c r="D24696" s="1" t="str">
        <f>HYPERLINK("https://rhld.insurance.arkansas.gov/NPILookup?Npi=1043236730","1043236730")</f>
        <v>1043236730</v>
      </c>
      <c r="E24696" t="s">
        <v>6536</v>
      </c>
    </row>
    <row r="24697" spans="1:5" x14ac:dyDescent="0.25">
      <c r="A24697" t="s">
        <v>8</v>
      </c>
      <c r="B24697" t="s">
        <v>6523</v>
      </c>
      <c r="C24697" s="1" t="s">
        <v>23490</v>
      </c>
      <c r="D24697" s="1" t="str">
        <f>HYPERLINK("https://rhld.insurance.arkansas.gov/NPILookup?Npi=1043253511","1043253511")</f>
        <v>1043253511</v>
      </c>
      <c r="E24697" t="s">
        <v>6537</v>
      </c>
    </row>
    <row r="24698" spans="1:5" x14ac:dyDescent="0.25">
      <c r="A24698" t="s">
        <v>8</v>
      </c>
      <c r="B24698" t="s">
        <v>6523</v>
      </c>
      <c r="C24698" s="1" t="s">
        <v>23490</v>
      </c>
      <c r="D24698" s="1" t="str">
        <f>HYPERLINK("https://rhld.insurance.arkansas.gov/NPILookup?Npi=1043477136","1043477136")</f>
        <v>1043477136</v>
      </c>
      <c r="E24698" t="s">
        <v>6538</v>
      </c>
    </row>
    <row r="24699" spans="1:5" x14ac:dyDescent="0.25">
      <c r="A24699" t="s">
        <v>8</v>
      </c>
      <c r="B24699" t="s">
        <v>6523</v>
      </c>
      <c r="C24699" s="1" t="s">
        <v>23490</v>
      </c>
      <c r="D24699" s="1" t="str">
        <f>HYPERLINK("https://rhld.insurance.arkansas.gov/NPILookup?Npi=1043571029","1043571029")</f>
        <v>1043571029</v>
      </c>
      <c r="E24699" t="s">
        <v>22519</v>
      </c>
    </row>
    <row r="24700" spans="1:5" x14ac:dyDescent="0.25">
      <c r="A24700" t="s">
        <v>8</v>
      </c>
      <c r="B24700" t="s">
        <v>6523</v>
      </c>
      <c r="C24700" s="1" t="s">
        <v>23490</v>
      </c>
      <c r="D24700" s="1" t="str">
        <f>HYPERLINK("https://rhld.insurance.arkansas.gov/NPILookup?Npi=1053305466","1053305466")</f>
        <v>1053305466</v>
      </c>
      <c r="E24700" t="s">
        <v>6539</v>
      </c>
    </row>
    <row r="24701" spans="1:5" x14ac:dyDescent="0.25">
      <c r="A24701" t="s">
        <v>8</v>
      </c>
      <c r="B24701" t="s">
        <v>6523</v>
      </c>
      <c r="C24701" s="1" t="s">
        <v>23490</v>
      </c>
      <c r="D24701" s="1" t="str">
        <f>HYPERLINK("https://rhld.insurance.arkansas.gov/NPILookup?Npi=1053350256","1053350256")</f>
        <v>1053350256</v>
      </c>
      <c r="E24701" t="s">
        <v>6540</v>
      </c>
    </row>
    <row r="24702" spans="1:5" x14ac:dyDescent="0.25">
      <c r="A24702" t="s">
        <v>8</v>
      </c>
      <c r="B24702" t="s">
        <v>6523</v>
      </c>
      <c r="C24702" s="1" t="s">
        <v>23490</v>
      </c>
      <c r="D24702" s="1" t="str">
        <f>HYPERLINK("https://rhld.insurance.arkansas.gov/NPILookup?Npi=1053375857","1053375857")</f>
        <v>1053375857</v>
      </c>
      <c r="E24702" t="s">
        <v>6541</v>
      </c>
    </row>
    <row r="24703" spans="1:5" x14ac:dyDescent="0.25">
      <c r="A24703" t="s">
        <v>8</v>
      </c>
      <c r="B24703" t="s">
        <v>6523</v>
      </c>
      <c r="C24703" s="1" t="s">
        <v>23490</v>
      </c>
      <c r="D24703" s="1" t="str">
        <f>HYPERLINK("https://rhld.insurance.arkansas.gov/NPILookup?Npi=1053382473","1053382473")</f>
        <v>1053382473</v>
      </c>
      <c r="E24703" t="s">
        <v>6542</v>
      </c>
    </row>
    <row r="24704" spans="1:5" x14ac:dyDescent="0.25">
      <c r="A24704" t="s">
        <v>8</v>
      </c>
      <c r="B24704" t="s">
        <v>6523</v>
      </c>
      <c r="C24704" s="1" t="s">
        <v>23490</v>
      </c>
      <c r="D24704" s="1" t="str">
        <f>HYPERLINK("https://rhld.insurance.arkansas.gov/NPILookup?Npi=1053384974","1053384974")</f>
        <v>1053384974</v>
      </c>
      <c r="E24704" t="s">
        <v>6543</v>
      </c>
    </row>
    <row r="24705" spans="1:5" x14ac:dyDescent="0.25">
      <c r="A24705" t="s">
        <v>8</v>
      </c>
      <c r="B24705" t="s">
        <v>6523</v>
      </c>
      <c r="C24705" s="1" t="s">
        <v>23490</v>
      </c>
      <c r="D24705" s="1" t="str">
        <f>HYPERLINK("https://rhld.insurance.arkansas.gov/NPILookup?Npi=1063402717","1063402717")</f>
        <v>1063402717</v>
      </c>
      <c r="E24705" t="s">
        <v>6544</v>
      </c>
    </row>
    <row r="24706" spans="1:5" x14ac:dyDescent="0.25">
      <c r="A24706" t="s">
        <v>8</v>
      </c>
      <c r="B24706" t="s">
        <v>6523</v>
      </c>
      <c r="C24706" s="1" t="s">
        <v>23490</v>
      </c>
      <c r="D24706" s="1" t="str">
        <f>HYPERLINK("https://rhld.insurance.arkansas.gov/NPILookup?Npi=1063442572","1063442572")</f>
        <v>1063442572</v>
      </c>
      <c r="E24706" t="s">
        <v>16393</v>
      </c>
    </row>
    <row r="24707" spans="1:5" x14ac:dyDescent="0.25">
      <c r="A24707" t="s">
        <v>8</v>
      </c>
      <c r="B24707" t="s">
        <v>6523</v>
      </c>
      <c r="C24707" s="1" t="s">
        <v>23490</v>
      </c>
      <c r="D24707" s="1" t="str">
        <f>HYPERLINK("https://rhld.insurance.arkansas.gov/NPILookup?Npi=1063486215","1063486215")</f>
        <v>1063486215</v>
      </c>
      <c r="E24707" t="s">
        <v>16394</v>
      </c>
    </row>
    <row r="24708" spans="1:5" x14ac:dyDescent="0.25">
      <c r="A24708" t="s">
        <v>8</v>
      </c>
      <c r="B24708" t="s">
        <v>6523</v>
      </c>
      <c r="C24708" s="1" t="s">
        <v>23490</v>
      </c>
      <c r="D24708" s="1" t="str">
        <f>HYPERLINK("https://rhld.insurance.arkansas.gov/NPILookup?Npi=1063528198","1063528198")</f>
        <v>1063528198</v>
      </c>
      <c r="E24708" t="s">
        <v>6545</v>
      </c>
    </row>
    <row r="24709" spans="1:5" x14ac:dyDescent="0.25">
      <c r="A24709" t="s">
        <v>8</v>
      </c>
      <c r="B24709" t="s">
        <v>6523</v>
      </c>
      <c r="C24709" s="1" t="s">
        <v>23490</v>
      </c>
      <c r="D24709" s="1" t="str">
        <f>HYPERLINK("https://rhld.insurance.arkansas.gov/NPILookup?Npi=1063655637","1063655637")</f>
        <v>1063655637</v>
      </c>
      <c r="E24709" t="s">
        <v>6546</v>
      </c>
    </row>
    <row r="24710" spans="1:5" x14ac:dyDescent="0.25">
      <c r="A24710" t="s">
        <v>8</v>
      </c>
      <c r="B24710" t="s">
        <v>6523</v>
      </c>
      <c r="C24710" s="1" t="s">
        <v>23490</v>
      </c>
      <c r="D24710" s="1" t="str">
        <f>HYPERLINK("https://rhld.insurance.arkansas.gov/NPILookup?Npi=1073507471","1073507471")</f>
        <v>1073507471</v>
      </c>
      <c r="E24710" t="s">
        <v>20717</v>
      </c>
    </row>
    <row r="24711" spans="1:5" x14ac:dyDescent="0.25">
      <c r="A24711" t="s">
        <v>8</v>
      </c>
      <c r="B24711" t="s">
        <v>6523</v>
      </c>
      <c r="C24711" s="1" t="s">
        <v>23490</v>
      </c>
      <c r="D24711" s="1" t="str">
        <f>HYPERLINK("https://rhld.insurance.arkansas.gov/NPILookup?Npi=1073509535","1073509535")</f>
        <v>1073509535</v>
      </c>
      <c r="E24711" t="s">
        <v>6547</v>
      </c>
    </row>
    <row r="24712" spans="1:5" x14ac:dyDescent="0.25">
      <c r="A24712" t="s">
        <v>8</v>
      </c>
      <c r="B24712" t="s">
        <v>6523</v>
      </c>
      <c r="C24712" s="1" t="s">
        <v>23490</v>
      </c>
      <c r="D24712" s="1" t="str">
        <f>HYPERLINK("https://rhld.insurance.arkansas.gov/NPILookup?Npi=1073513008","1073513008")</f>
        <v>1073513008</v>
      </c>
      <c r="E24712" t="s">
        <v>5941</v>
      </c>
    </row>
    <row r="24713" spans="1:5" x14ac:dyDescent="0.25">
      <c r="A24713" t="s">
        <v>8</v>
      </c>
      <c r="B24713" t="s">
        <v>6523</v>
      </c>
      <c r="C24713" s="1" t="s">
        <v>23490</v>
      </c>
      <c r="D24713" s="1" t="str">
        <f>HYPERLINK("https://rhld.insurance.arkansas.gov/NPILookup?Npi=1073538823","1073538823")</f>
        <v>1073538823</v>
      </c>
      <c r="E24713" t="s">
        <v>22520</v>
      </c>
    </row>
    <row r="24714" spans="1:5" x14ac:dyDescent="0.25">
      <c r="A24714" t="s">
        <v>8</v>
      </c>
      <c r="B24714" t="s">
        <v>6523</v>
      </c>
      <c r="C24714" s="1" t="s">
        <v>23490</v>
      </c>
      <c r="D24714" s="1" t="str">
        <f>HYPERLINK("https://rhld.insurance.arkansas.gov/NPILookup?Npi=1073576625","1073576625")</f>
        <v>1073576625</v>
      </c>
      <c r="E24714" t="s">
        <v>6548</v>
      </c>
    </row>
    <row r="24715" spans="1:5" x14ac:dyDescent="0.25">
      <c r="A24715" t="s">
        <v>8</v>
      </c>
      <c r="B24715" t="s">
        <v>6523</v>
      </c>
      <c r="C24715" s="1" t="s">
        <v>23490</v>
      </c>
      <c r="D24715" s="1" t="str">
        <f>HYPERLINK("https://rhld.insurance.arkansas.gov/NPILookup?Npi=1073617775","1073617775")</f>
        <v>1073617775</v>
      </c>
      <c r="E24715" t="s">
        <v>12024</v>
      </c>
    </row>
    <row r="24716" spans="1:5" x14ac:dyDescent="0.25">
      <c r="A24716" t="s">
        <v>8</v>
      </c>
      <c r="B24716" t="s">
        <v>6523</v>
      </c>
      <c r="C24716" s="1" t="s">
        <v>23490</v>
      </c>
      <c r="D24716" s="1" t="str">
        <f>HYPERLINK("https://rhld.insurance.arkansas.gov/NPILookup?Npi=1073731592","1073731592")</f>
        <v>1073731592</v>
      </c>
      <c r="E24716" t="s">
        <v>6549</v>
      </c>
    </row>
    <row r="24717" spans="1:5" x14ac:dyDescent="0.25">
      <c r="A24717" t="s">
        <v>8</v>
      </c>
      <c r="B24717" t="s">
        <v>6523</v>
      </c>
      <c r="C24717" s="1" t="s">
        <v>23490</v>
      </c>
      <c r="D24717" s="1" t="str">
        <f>HYPERLINK("https://rhld.insurance.arkansas.gov/NPILookup?Npi=1073736682","1073736682")</f>
        <v>1073736682</v>
      </c>
      <c r="E24717" t="s">
        <v>6550</v>
      </c>
    </row>
    <row r="24718" spans="1:5" x14ac:dyDescent="0.25">
      <c r="A24718" t="s">
        <v>8</v>
      </c>
      <c r="B24718" t="s">
        <v>6523</v>
      </c>
      <c r="C24718" s="1" t="s">
        <v>23490</v>
      </c>
      <c r="D24718" s="1" t="str">
        <f>HYPERLINK("https://rhld.insurance.arkansas.gov/NPILookup?Npi=1073806618","1073806618")</f>
        <v>1073806618</v>
      </c>
      <c r="E24718" t="s">
        <v>13822</v>
      </c>
    </row>
    <row r="24719" spans="1:5" x14ac:dyDescent="0.25">
      <c r="A24719" t="s">
        <v>8</v>
      </c>
      <c r="B24719" t="s">
        <v>6523</v>
      </c>
      <c r="C24719" s="1" t="s">
        <v>23490</v>
      </c>
      <c r="D24719" s="1" t="str">
        <f>HYPERLINK("https://rhld.insurance.arkansas.gov/NPILookup?Npi=1083001382","1083001382")</f>
        <v>1083001382</v>
      </c>
      <c r="E24719" t="s">
        <v>11432</v>
      </c>
    </row>
    <row r="24720" spans="1:5" x14ac:dyDescent="0.25">
      <c r="A24720" t="s">
        <v>8</v>
      </c>
      <c r="B24720" t="s">
        <v>6523</v>
      </c>
      <c r="C24720" s="1" t="s">
        <v>23490</v>
      </c>
      <c r="D24720" s="1" t="str">
        <f>HYPERLINK("https://rhld.insurance.arkansas.gov/NPILookup?Npi=1083024970","1083024970")</f>
        <v>1083024970</v>
      </c>
      <c r="E24720" t="s">
        <v>22521</v>
      </c>
    </row>
    <row r="24721" spans="1:5" x14ac:dyDescent="0.25">
      <c r="A24721" t="s">
        <v>8</v>
      </c>
      <c r="B24721" t="s">
        <v>6523</v>
      </c>
      <c r="C24721" s="1" t="s">
        <v>23490</v>
      </c>
      <c r="D24721" s="1" t="str">
        <f>HYPERLINK("https://rhld.insurance.arkansas.gov/NPILookup?Npi=1083055214","1083055214")</f>
        <v>1083055214</v>
      </c>
      <c r="E24721" t="s">
        <v>18534</v>
      </c>
    </row>
    <row r="24722" spans="1:5" x14ac:dyDescent="0.25">
      <c r="A24722" t="s">
        <v>8</v>
      </c>
      <c r="B24722" t="s">
        <v>6523</v>
      </c>
      <c r="C24722" s="1" t="s">
        <v>23490</v>
      </c>
      <c r="D24722" s="1" t="str">
        <f>HYPERLINK("https://rhld.insurance.arkansas.gov/NPILookup?Npi=1083608889","1083608889")</f>
        <v>1083608889</v>
      </c>
      <c r="E24722" t="s">
        <v>6551</v>
      </c>
    </row>
    <row r="24723" spans="1:5" x14ac:dyDescent="0.25">
      <c r="A24723" t="s">
        <v>8</v>
      </c>
      <c r="B24723" t="s">
        <v>6523</v>
      </c>
      <c r="C24723" s="1" t="s">
        <v>23490</v>
      </c>
      <c r="D24723" s="1" t="str">
        <f>HYPERLINK("https://rhld.insurance.arkansas.gov/NPILookup?Npi=1083614572","1083614572")</f>
        <v>1083614572</v>
      </c>
      <c r="E24723" t="s">
        <v>6552</v>
      </c>
    </row>
    <row r="24724" spans="1:5" x14ac:dyDescent="0.25">
      <c r="A24724" t="s">
        <v>8</v>
      </c>
      <c r="B24724" t="s">
        <v>6523</v>
      </c>
      <c r="C24724" s="1" t="s">
        <v>23490</v>
      </c>
      <c r="D24724" s="1" t="str">
        <f>HYPERLINK("https://rhld.insurance.arkansas.gov/NPILookup?Npi=1083658132","1083658132")</f>
        <v>1083658132</v>
      </c>
      <c r="E24724" t="s">
        <v>6553</v>
      </c>
    </row>
    <row r="24725" spans="1:5" x14ac:dyDescent="0.25">
      <c r="A24725" t="s">
        <v>8</v>
      </c>
      <c r="B24725" t="s">
        <v>6523</v>
      </c>
      <c r="C24725" s="1" t="s">
        <v>23490</v>
      </c>
      <c r="D24725" s="1" t="str">
        <f>HYPERLINK("https://rhld.insurance.arkansas.gov/NPILookup?Npi=1083703904","1083703904")</f>
        <v>1083703904</v>
      </c>
      <c r="E24725" t="s">
        <v>12025</v>
      </c>
    </row>
    <row r="24726" spans="1:5" x14ac:dyDescent="0.25">
      <c r="A24726" t="s">
        <v>8</v>
      </c>
      <c r="B24726" t="s">
        <v>6523</v>
      </c>
      <c r="C24726" s="1" t="s">
        <v>23490</v>
      </c>
      <c r="D24726" s="1" t="str">
        <f>HYPERLINK("https://rhld.insurance.arkansas.gov/NPILookup?Npi=1083799985","1083799985")</f>
        <v>1083799985</v>
      </c>
      <c r="E24726" t="s">
        <v>16395</v>
      </c>
    </row>
    <row r="24727" spans="1:5" x14ac:dyDescent="0.25">
      <c r="A24727" t="s">
        <v>8</v>
      </c>
      <c r="B24727" t="s">
        <v>6523</v>
      </c>
      <c r="C24727" s="1" t="s">
        <v>23490</v>
      </c>
      <c r="D24727" s="1" t="str">
        <f>HYPERLINK("https://rhld.insurance.arkansas.gov/NPILookup?Npi=1093014441","1093014441")</f>
        <v>1093014441</v>
      </c>
      <c r="E24727" t="s">
        <v>14421</v>
      </c>
    </row>
    <row r="24728" spans="1:5" x14ac:dyDescent="0.25">
      <c r="A24728" t="s">
        <v>8</v>
      </c>
      <c r="B24728" t="s">
        <v>6523</v>
      </c>
      <c r="C24728" s="1" t="s">
        <v>8427</v>
      </c>
      <c r="D24728" s="1" t="str">
        <f>HYPERLINK("https://rhld.insurance.arkansas.gov/NPILookup?Npi=1093100976","1093100976")</f>
        <v>1093100976</v>
      </c>
      <c r="E24728" t="s">
        <v>23284</v>
      </c>
    </row>
    <row r="24729" spans="1:5" x14ac:dyDescent="0.25">
      <c r="A24729" t="s">
        <v>8</v>
      </c>
      <c r="B24729" t="s">
        <v>6523</v>
      </c>
      <c r="C24729" s="1" t="s">
        <v>23490</v>
      </c>
      <c r="D24729" s="1" t="str">
        <f>HYPERLINK("https://rhld.insurance.arkansas.gov/NPILookup?Npi=1093715591","1093715591")</f>
        <v>1093715591</v>
      </c>
      <c r="E24729" t="s">
        <v>6554</v>
      </c>
    </row>
    <row r="24730" spans="1:5" x14ac:dyDescent="0.25">
      <c r="A24730" t="s">
        <v>8</v>
      </c>
      <c r="B24730" t="s">
        <v>6523</v>
      </c>
      <c r="C24730" s="1" t="s">
        <v>23490</v>
      </c>
      <c r="D24730" s="1" t="str">
        <f>HYPERLINK("https://rhld.insurance.arkansas.gov/NPILookup?Npi=1093805657","1093805657")</f>
        <v>1093805657</v>
      </c>
      <c r="E24730" t="s">
        <v>6555</v>
      </c>
    </row>
    <row r="24731" spans="1:5" x14ac:dyDescent="0.25">
      <c r="A24731" t="s">
        <v>8</v>
      </c>
      <c r="B24731" t="s">
        <v>6523</v>
      </c>
      <c r="C24731" s="1" t="s">
        <v>23490</v>
      </c>
      <c r="D24731" s="1" t="str">
        <f>HYPERLINK("https://rhld.insurance.arkansas.gov/NPILookup?Npi=1093816233","1093816233")</f>
        <v>1093816233</v>
      </c>
      <c r="E24731" t="s">
        <v>16396</v>
      </c>
    </row>
    <row r="24732" spans="1:5" x14ac:dyDescent="0.25">
      <c r="A24732" t="s">
        <v>8</v>
      </c>
      <c r="B24732" t="s">
        <v>6523</v>
      </c>
      <c r="C24732" s="1" t="s">
        <v>23490</v>
      </c>
      <c r="D24732" s="1" t="str">
        <f>HYPERLINK("https://rhld.insurance.arkansas.gov/NPILookup?Npi=1093891269","1093891269")</f>
        <v>1093891269</v>
      </c>
      <c r="E24732" t="s">
        <v>17287</v>
      </c>
    </row>
    <row r="24733" spans="1:5" x14ac:dyDescent="0.25">
      <c r="A24733" t="s">
        <v>8</v>
      </c>
      <c r="B24733" t="s">
        <v>6523</v>
      </c>
      <c r="C24733" s="1" t="s">
        <v>23490</v>
      </c>
      <c r="D24733" s="1" t="str">
        <f>HYPERLINK("https://rhld.insurance.arkansas.gov/NPILookup?Npi=1093980526","1093980526")</f>
        <v>1093980526</v>
      </c>
      <c r="E24733" t="s">
        <v>8481</v>
      </c>
    </row>
    <row r="24734" spans="1:5" x14ac:dyDescent="0.25">
      <c r="A24734" t="s">
        <v>8</v>
      </c>
      <c r="B24734" t="s">
        <v>6523</v>
      </c>
      <c r="C24734" s="1" t="s">
        <v>23490</v>
      </c>
      <c r="D24734" s="1" t="str">
        <f>HYPERLINK("https://rhld.insurance.arkansas.gov/NPILookup?Npi=1104117670","1104117670")</f>
        <v>1104117670</v>
      </c>
      <c r="E24734" t="s">
        <v>14422</v>
      </c>
    </row>
    <row r="24735" spans="1:5" x14ac:dyDescent="0.25">
      <c r="A24735" t="s">
        <v>8</v>
      </c>
      <c r="B24735" t="s">
        <v>6523</v>
      </c>
      <c r="C24735" s="1" t="s">
        <v>23490</v>
      </c>
      <c r="D24735" s="1" t="str">
        <f>HYPERLINK("https://rhld.insurance.arkansas.gov/NPILookup?Npi=1104287747","1104287747")</f>
        <v>1104287747</v>
      </c>
      <c r="E24735" t="s">
        <v>21265</v>
      </c>
    </row>
    <row r="24736" spans="1:5" x14ac:dyDescent="0.25">
      <c r="A24736" t="s">
        <v>8</v>
      </c>
      <c r="B24736" t="s">
        <v>6523</v>
      </c>
      <c r="C24736" s="1" t="s">
        <v>23490</v>
      </c>
      <c r="D24736" s="1" t="str">
        <f>HYPERLINK("https://rhld.insurance.arkansas.gov/NPILookup?Npi=1104862200","1104862200")</f>
        <v>1104862200</v>
      </c>
      <c r="E24736" t="s">
        <v>6556</v>
      </c>
    </row>
    <row r="24737" spans="1:5" x14ac:dyDescent="0.25">
      <c r="A24737" t="s">
        <v>8</v>
      </c>
      <c r="B24737" t="s">
        <v>6523</v>
      </c>
      <c r="C24737" s="1" t="s">
        <v>23490</v>
      </c>
      <c r="D24737" s="1" t="str">
        <f>HYPERLINK("https://rhld.insurance.arkansas.gov/NPILookup?Npi=1104896497","1104896497")</f>
        <v>1104896497</v>
      </c>
      <c r="E24737" t="s">
        <v>6557</v>
      </c>
    </row>
    <row r="24738" spans="1:5" x14ac:dyDescent="0.25">
      <c r="A24738" t="s">
        <v>8</v>
      </c>
      <c r="B24738" t="s">
        <v>6523</v>
      </c>
      <c r="C24738" s="1" t="s">
        <v>23490</v>
      </c>
      <c r="D24738" s="1" t="str">
        <f>HYPERLINK("https://rhld.insurance.arkansas.gov/NPILookup?Npi=1104916600","1104916600")</f>
        <v>1104916600</v>
      </c>
      <c r="E24738" t="s">
        <v>6558</v>
      </c>
    </row>
    <row r="24739" spans="1:5" x14ac:dyDescent="0.25">
      <c r="A24739" t="s">
        <v>8</v>
      </c>
      <c r="B24739" t="s">
        <v>6523</v>
      </c>
      <c r="C24739" s="1" t="s">
        <v>23490</v>
      </c>
      <c r="D24739" s="1" t="str">
        <f>HYPERLINK("https://rhld.insurance.arkansas.gov/NPILookup?Npi=1104919182","1104919182")</f>
        <v>1104919182</v>
      </c>
      <c r="E24739" t="s">
        <v>391</v>
      </c>
    </row>
    <row r="24740" spans="1:5" x14ac:dyDescent="0.25">
      <c r="A24740" t="s">
        <v>8</v>
      </c>
      <c r="B24740" t="s">
        <v>6523</v>
      </c>
      <c r="C24740" s="1" t="s">
        <v>23490</v>
      </c>
      <c r="D24740" s="1" t="str">
        <f>HYPERLINK("https://rhld.insurance.arkansas.gov/NPILookup?Npi=1104939636","1104939636")</f>
        <v>1104939636</v>
      </c>
      <c r="E24740" t="s">
        <v>6559</v>
      </c>
    </row>
    <row r="24741" spans="1:5" x14ac:dyDescent="0.25">
      <c r="A24741" t="s">
        <v>8</v>
      </c>
      <c r="B24741" t="s">
        <v>6523</v>
      </c>
      <c r="C24741" s="1" t="s">
        <v>23490</v>
      </c>
      <c r="D24741" s="1" t="str">
        <f>HYPERLINK("https://rhld.insurance.arkansas.gov/NPILookup?Npi=1114098043","1114098043")</f>
        <v>1114098043</v>
      </c>
      <c r="E24741" t="s">
        <v>6560</v>
      </c>
    </row>
    <row r="24742" spans="1:5" x14ac:dyDescent="0.25">
      <c r="A24742" t="s">
        <v>8</v>
      </c>
      <c r="B24742" t="s">
        <v>6523</v>
      </c>
      <c r="C24742" s="1" t="s">
        <v>23490</v>
      </c>
      <c r="D24742" s="1" t="str">
        <f>HYPERLINK("https://rhld.insurance.arkansas.gov/NPILookup?Npi=1114173754","1114173754")</f>
        <v>1114173754</v>
      </c>
      <c r="E24742" t="s">
        <v>16397</v>
      </c>
    </row>
    <row r="24743" spans="1:5" x14ac:dyDescent="0.25">
      <c r="A24743" t="s">
        <v>8</v>
      </c>
      <c r="B24743" t="s">
        <v>6523</v>
      </c>
      <c r="C24743" s="1" t="s">
        <v>23490</v>
      </c>
      <c r="D24743" s="1" t="str">
        <f>HYPERLINK("https://rhld.insurance.arkansas.gov/NPILookup?Npi=1114919107","1114919107")</f>
        <v>1114919107</v>
      </c>
      <c r="E24743" t="s">
        <v>6561</v>
      </c>
    </row>
    <row r="24744" spans="1:5" x14ac:dyDescent="0.25">
      <c r="A24744" t="s">
        <v>8</v>
      </c>
      <c r="B24744" t="s">
        <v>6523</v>
      </c>
      <c r="C24744" s="1" t="s">
        <v>23490</v>
      </c>
      <c r="D24744" s="1" t="str">
        <f>HYPERLINK("https://rhld.insurance.arkansas.gov/NPILookup?Npi=1124002951","1124002951")</f>
        <v>1124002951</v>
      </c>
      <c r="E24744" t="s">
        <v>6562</v>
      </c>
    </row>
    <row r="24745" spans="1:5" x14ac:dyDescent="0.25">
      <c r="A24745" t="s">
        <v>8</v>
      </c>
      <c r="B24745" t="s">
        <v>6523</v>
      </c>
      <c r="C24745" s="1" t="s">
        <v>23490</v>
      </c>
      <c r="D24745" s="1" t="str">
        <f>HYPERLINK("https://rhld.insurance.arkansas.gov/NPILookup?Npi=1124015243","1124015243")</f>
        <v>1124015243</v>
      </c>
      <c r="E24745" t="s">
        <v>6563</v>
      </c>
    </row>
    <row r="24746" spans="1:5" x14ac:dyDescent="0.25">
      <c r="A24746" t="s">
        <v>8</v>
      </c>
      <c r="B24746" t="s">
        <v>6523</v>
      </c>
      <c r="C24746" s="1" t="s">
        <v>23490</v>
      </c>
      <c r="D24746" s="1" t="str">
        <f>HYPERLINK("https://rhld.insurance.arkansas.gov/NPILookup?Npi=1124023056","1124023056")</f>
        <v>1124023056</v>
      </c>
      <c r="E24746" t="s">
        <v>6564</v>
      </c>
    </row>
    <row r="24747" spans="1:5" x14ac:dyDescent="0.25">
      <c r="A24747" t="s">
        <v>8</v>
      </c>
      <c r="B24747" t="s">
        <v>6523</v>
      </c>
      <c r="C24747" s="1" t="s">
        <v>23490</v>
      </c>
      <c r="D24747" s="1" t="str">
        <f>HYPERLINK("https://rhld.insurance.arkansas.gov/NPILookup?Npi=1124030002","1124030002")</f>
        <v>1124030002</v>
      </c>
      <c r="E24747" t="s">
        <v>6565</v>
      </c>
    </row>
    <row r="24748" spans="1:5" x14ac:dyDescent="0.25">
      <c r="A24748" t="s">
        <v>8</v>
      </c>
      <c r="B24748" t="s">
        <v>6523</v>
      </c>
      <c r="C24748" s="1" t="s">
        <v>23490</v>
      </c>
      <c r="D24748" s="1" t="str">
        <f>HYPERLINK("https://rhld.insurance.arkansas.gov/NPILookup?Npi=1124098819","1124098819")</f>
        <v>1124098819</v>
      </c>
      <c r="E24748" t="s">
        <v>16398</v>
      </c>
    </row>
    <row r="24749" spans="1:5" x14ac:dyDescent="0.25">
      <c r="A24749" t="s">
        <v>8</v>
      </c>
      <c r="B24749" t="s">
        <v>6523</v>
      </c>
      <c r="C24749" s="1" t="s">
        <v>23490</v>
      </c>
      <c r="D24749" s="1" t="str">
        <f>HYPERLINK("https://rhld.insurance.arkansas.gov/NPILookup?Npi=1124118690","1124118690")</f>
        <v>1124118690</v>
      </c>
      <c r="E24749" t="s">
        <v>6566</v>
      </c>
    </row>
    <row r="24750" spans="1:5" x14ac:dyDescent="0.25">
      <c r="A24750" t="s">
        <v>8</v>
      </c>
      <c r="B24750" t="s">
        <v>6523</v>
      </c>
      <c r="C24750" s="1" t="s">
        <v>23490</v>
      </c>
      <c r="D24750" s="1" t="str">
        <f>HYPERLINK("https://rhld.insurance.arkansas.gov/NPILookup?Npi=1124122700","1124122700")</f>
        <v>1124122700</v>
      </c>
      <c r="E24750" t="s">
        <v>6567</v>
      </c>
    </row>
    <row r="24751" spans="1:5" x14ac:dyDescent="0.25">
      <c r="A24751" t="s">
        <v>8</v>
      </c>
      <c r="B24751" t="s">
        <v>6523</v>
      </c>
      <c r="C24751" s="1" t="s">
        <v>23490</v>
      </c>
      <c r="D24751" s="1" t="str">
        <f>HYPERLINK("https://rhld.insurance.arkansas.gov/NPILookup?Npi=1124156633","1124156633")</f>
        <v>1124156633</v>
      </c>
      <c r="E24751" t="s">
        <v>6568</v>
      </c>
    </row>
    <row r="24752" spans="1:5" x14ac:dyDescent="0.25">
      <c r="A24752" t="s">
        <v>8</v>
      </c>
      <c r="B24752" t="s">
        <v>6523</v>
      </c>
      <c r="C24752" s="1" t="s">
        <v>23490</v>
      </c>
      <c r="D24752" s="1" t="str">
        <f>HYPERLINK("https://rhld.insurance.arkansas.gov/NPILookup?Npi=1124209663","1124209663")</f>
        <v>1124209663</v>
      </c>
      <c r="E24752" t="s">
        <v>12026</v>
      </c>
    </row>
    <row r="24753" spans="1:5" x14ac:dyDescent="0.25">
      <c r="A24753" t="s">
        <v>8</v>
      </c>
      <c r="B24753" t="s">
        <v>6523</v>
      </c>
      <c r="C24753" s="1" t="s">
        <v>23490</v>
      </c>
      <c r="D24753" s="1" t="str">
        <f>HYPERLINK("https://rhld.insurance.arkansas.gov/NPILookup?Npi=1124317854","1124317854")</f>
        <v>1124317854</v>
      </c>
      <c r="E24753" t="s">
        <v>14423</v>
      </c>
    </row>
    <row r="24754" spans="1:5" x14ac:dyDescent="0.25">
      <c r="A24754" t="s">
        <v>8</v>
      </c>
      <c r="B24754" t="s">
        <v>6523</v>
      </c>
      <c r="C24754" s="1" t="s">
        <v>8427</v>
      </c>
      <c r="D24754" s="1" t="str">
        <f>HYPERLINK("https://rhld.insurance.arkansas.gov/NPILookup?Npi=1124505730","1124505730")</f>
        <v>1124505730</v>
      </c>
      <c r="E24754" t="s">
        <v>23285</v>
      </c>
    </row>
    <row r="24755" spans="1:5" x14ac:dyDescent="0.25">
      <c r="A24755" t="s">
        <v>8</v>
      </c>
      <c r="B24755" t="s">
        <v>6523</v>
      </c>
      <c r="C24755" s="1" t="s">
        <v>23490</v>
      </c>
      <c r="D24755" s="1" t="str">
        <f>HYPERLINK("https://rhld.insurance.arkansas.gov/NPILookup?Npi=1134129638","1134129638")</f>
        <v>1134129638</v>
      </c>
      <c r="E24755" t="s">
        <v>6569</v>
      </c>
    </row>
    <row r="24756" spans="1:5" x14ac:dyDescent="0.25">
      <c r="A24756" t="s">
        <v>8</v>
      </c>
      <c r="B24756" t="s">
        <v>6523</v>
      </c>
      <c r="C24756" s="1" t="s">
        <v>23490</v>
      </c>
      <c r="D24756" s="1" t="str">
        <f>HYPERLINK("https://rhld.insurance.arkansas.gov/NPILookup?Npi=1134184633","1134184633")</f>
        <v>1134184633</v>
      </c>
      <c r="E24756" t="s">
        <v>4324</v>
      </c>
    </row>
    <row r="24757" spans="1:5" x14ac:dyDescent="0.25">
      <c r="A24757" t="s">
        <v>8</v>
      </c>
      <c r="B24757" t="s">
        <v>6523</v>
      </c>
      <c r="C24757" s="1" t="s">
        <v>23490</v>
      </c>
      <c r="D24757" s="1" t="str">
        <f>HYPERLINK("https://rhld.insurance.arkansas.gov/NPILookup?Npi=1134314511","1134314511")</f>
        <v>1134314511</v>
      </c>
      <c r="E24757" t="s">
        <v>6570</v>
      </c>
    </row>
    <row r="24758" spans="1:5" x14ac:dyDescent="0.25">
      <c r="A24758" t="s">
        <v>8</v>
      </c>
      <c r="B24758" t="s">
        <v>6523</v>
      </c>
      <c r="C24758" s="1" t="s">
        <v>23490</v>
      </c>
      <c r="D24758" s="1" t="str">
        <f>HYPERLINK("https://rhld.insurance.arkansas.gov/NPILookup?Npi=1134469935","1134469935")</f>
        <v>1134469935</v>
      </c>
      <c r="E24758" t="s">
        <v>14424</v>
      </c>
    </row>
    <row r="24759" spans="1:5" x14ac:dyDescent="0.25">
      <c r="A24759" t="s">
        <v>8</v>
      </c>
      <c r="B24759" t="s">
        <v>6523</v>
      </c>
      <c r="C24759" s="1" t="s">
        <v>23490</v>
      </c>
      <c r="D24759" s="1" t="str">
        <f>HYPERLINK("https://rhld.insurance.arkansas.gov/NPILookup?Npi=1134564891","1134564891")</f>
        <v>1134564891</v>
      </c>
      <c r="E24759" t="s">
        <v>20718</v>
      </c>
    </row>
    <row r="24760" spans="1:5" x14ac:dyDescent="0.25">
      <c r="A24760" t="s">
        <v>8</v>
      </c>
      <c r="B24760" t="s">
        <v>6523</v>
      </c>
      <c r="C24760" s="1" t="s">
        <v>23490</v>
      </c>
      <c r="D24760" s="1" t="str">
        <f>HYPERLINK("https://rhld.insurance.arkansas.gov/NPILookup?Npi=1134570872","1134570872")</f>
        <v>1134570872</v>
      </c>
      <c r="E24760" t="s">
        <v>21266</v>
      </c>
    </row>
    <row r="24761" spans="1:5" x14ac:dyDescent="0.25">
      <c r="A24761" t="s">
        <v>8</v>
      </c>
      <c r="B24761" t="s">
        <v>6523</v>
      </c>
      <c r="C24761" s="1" t="s">
        <v>23490</v>
      </c>
      <c r="D24761" s="1" t="str">
        <f>HYPERLINK("https://rhld.insurance.arkansas.gov/NPILookup?Npi=1144231820","1144231820")</f>
        <v>1144231820</v>
      </c>
      <c r="E24761" t="s">
        <v>500</v>
      </c>
    </row>
    <row r="24762" spans="1:5" x14ac:dyDescent="0.25">
      <c r="A24762" t="s">
        <v>8</v>
      </c>
      <c r="B24762" t="s">
        <v>6523</v>
      </c>
      <c r="C24762" s="1" t="s">
        <v>23490</v>
      </c>
      <c r="D24762" s="1" t="str">
        <f>HYPERLINK("https://rhld.insurance.arkansas.gov/NPILookup?Npi=1144255928","1144255928")</f>
        <v>1144255928</v>
      </c>
      <c r="E24762" t="s">
        <v>6571</v>
      </c>
    </row>
    <row r="24763" spans="1:5" x14ac:dyDescent="0.25">
      <c r="A24763" t="s">
        <v>8</v>
      </c>
      <c r="B24763" t="s">
        <v>6523</v>
      </c>
      <c r="C24763" s="1" t="s">
        <v>23490</v>
      </c>
      <c r="D24763" s="1" t="str">
        <f>HYPERLINK("https://rhld.insurance.arkansas.gov/NPILookup?Npi=1144269978","1144269978")</f>
        <v>1144269978</v>
      </c>
      <c r="E24763" t="s">
        <v>6572</v>
      </c>
    </row>
    <row r="24764" spans="1:5" x14ac:dyDescent="0.25">
      <c r="A24764" t="s">
        <v>8</v>
      </c>
      <c r="B24764" t="s">
        <v>6523</v>
      </c>
      <c r="C24764" s="1" t="s">
        <v>23490</v>
      </c>
      <c r="D24764" s="1" t="str">
        <f>HYPERLINK("https://rhld.insurance.arkansas.gov/NPILookup?Npi=1144399718","1144399718")</f>
        <v>1144399718</v>
      </c>
      <c r="E24764" t="s">
        <v>6573</v>
      </c>
    </row>
    <row r="24765" spans="1:5" x14ac:dyDescent="0.25">
      <c r="A24765" t="s">
        <v>8</v>
      </c>
      <c r="B24765" t="s">
        <v>6523</v>
      </c>
      <c r="C24765" s="1" t="s">
        <v>23490</v>
      </c>
      <c r="D24765" s="1" t="str">
        <f>HYPERLINK("https://rhld.insurance.arkansas.gov/NPILookup?Npi=1144435728","1144435728")</f>
        <v>1144435728</v>
      </c>
      <c r="E24765" t="s">
        <v>12027</v>
      </c>
    </row>
    <row r="24766" spans="1:5" x14ac:dyDescent="0.25">
      <c r="A24766" t="s">
        <v>8</v>
      </c>
      <c r="B24766" t="s">
        <v>6523</v>
      </c>
      <c r="C24766" s="1" t="s">
        <v>23490</v>
      </c>
      <c r="D24766" s="1" t="str">
        <f>HYPERLINK("https://rhld.insurance.arkansas.gov/NPILookup?Npi=1144459686","1144459686")</f>
        <v>1144459686</v>
      </c>
      <c r="E24766" t="s">
        <v>16399</v>
      </c>
    </row>
    <row r="24767" spans="1:5" x14ac:dyDescent="0.25">
      <c r="A24767" t="s">
        <v>8</v>
      </c>
      <c r="B24767" t="s">
        <v>6523</v>
      </c>
      <c r="C24767" s="1" t="s">
        <v>23490</v>
      </c>
      <c r="D24767" s="1" t="str">
        <f>HYPERLINK("https://rhld.insurance.arkansas.gov/NPILookup?Npi=1144575283","1144575283")</f>
        <v>1144575283</v>
      </c>
      <c r="E24767" t="s">
        <v>22522</v>
      </c>
    </row>
    <row r="24768" spans="1:5" x14ac:dyDescent="0.25">
      <c r="A24768" t="s">
        <v>8</v>
      </c>
      <c r="B24768" t="s">
        <v>6523</v>
      </c>
      <c r="C24768" s="1" t="s">
        <v>23490</v>
      </c>
      <c r="D24768" s="1" t="str">
        <f>HYPERLINK("https://rhld.insurance.arkansas.gov/NPILookup?Npi=1144664491","1144664491")</f>
        <v>1144664491</v>
      </c>
      <c r="E24768" t="s">
        <v>17870</v>
      </c>
    </row>
    <row r="24769" spans="1:5" x14ac:dyDescent="0.25">
      <c r="A24769" t="s">
        <v>8</v>
      </c>
      <c r="B24769" t="s">
        <v>6523</v>
      </c>
      <c r="C24769" s="1" t="s">
        <v>23490</v>
      </c>
      <c r="D24769" s="1" t="str">
        <f>HYPERLINK("https://rhld.insurance.arkansas.gov/NPILookup?Npi=1144666025","1144666025")</f>
        <v>1144666025</v>
      </c>
      <c r="E24769" t="s">
        <v>17711</v>
      </c>
    </row>
    <row r="24770" spans="1:5" x14ac:dyDescent="0.25">
      <c r="A24770" t="s">
        <v>8</v>
      </c>
      <c r="B24770" t="s">
        <v>6523</v>
      </c>
      <c r="C24770" s="1" t="s">
        <v>23490</v>
      </c>
      <c r="D24770" s="1" t="str">
        <f>HYPERLINK("https://rhld.insurance.arkansas.gov/NPILookup?Npi=1154356764","1154356764")</f>
        <v>1154356764</v>
      </c>
      <c r="E24770" t="s">
        <v>6574</v>
      </c>
    </row>
    <row r="24771" spans="1:5" x14ac:dyDescent="0.25">
      <c r="A24771" t="s">
        <v>8</v>
      </c>
      <c r="B24771" t="s">
        <v>6523</v>
      </c>
      <c r="C24771" s="1" t="s">
        <v>23490</v>
      </c>
      <c r="D24771" s="1" t="str">
        <f>HYPERLINK("https://rhld.insurance.arkansas.gov/NPILookup?Npi=1154367332","1154367332")</f>
        <v>1154367332</v>
      </c>
      <c r="E24771" t="s">
        <v>6575</v>
      </c>
    </row>
    <row r="24772" spans="1:5" x14ac:dyDescent="0.25">
      <c r="A24772" t="s">
        <v>8</v>
      </c>
      <c r="B24772" t="s">
        <v>6523</v>
      </c>
      <c r="C24772" s="1" t="s">
        <v>23490</v>
      </c>
      <c r="D24772" s="1" t="str">
        <f>HYPERLINK("https://rhld.insurance.arkansas.gov/NPILookup?Npi=1154369932","1154369932")</f>
        <v>1154369932</v>
      </c>
      <c r="E24772" t="s">
        <v>6576</v>
      </c>
    </row>
    <row r="24773" spans="1:5" x14ac:dyDescent="0.25">
      <c r="A24773" t="s">
        <v>8</v>
      </c>
      <c r="B24773" t="s">
        <v>6523</v>
      </c>
      <c r="C24773" s="1" t="s">
        <v>23490</v>
      </c>
      <c r="D24773" s="1" t="str">
        <f>HYPERLINK("https://rhld.insurance.arkansas.gov/NPILookup?Npi=1154545309","1154545309")</f>
        <v>1154545309</v>
      </c>
      <c r="E24773" t="s">
        <v>6577</v>
      </c>
    </row>
    <row r="24774" spans="1:5" x14ac:dyDescent="0.25">
      <c r="A24774" t="s">
        <v>8</v>
      </c>
      <c r="B24774" t="s">
        <v>6523</v>
      </c>
      <c r="C24774" s="1" t="s">
        <v>23490</v>
      </c>
      <c r="D24774" s="1" t="str">
        <f>HYPERLINK("https://rhld.insurance.arkansas.gov/NPILookup?Npi=1154588762","1154588762")</f>
        <v>1154588762</v>
      </c>
      <c r="E24774" t="s">
        <v>6578</v>
      </c>
    </row>
    <row r="24775" spans="1:5" x14ac:dyDescent="0.25">
      <c r="A24775" t="s">
        <v>8</v>
      </c>
      <c r="B24775" t="s">
        <v>6523</v>
      </c>
      <c r="C24775" s="1" t="s">
        <v>23490</v>
      </c>
      <c r="D24775" s="1" t="str">
        <f>HYPERLINK("https://rhld.insurance.arkansas.gov/NPILookup?Npi=1154634095","1154634095")</f>
        <v>1154634095</v>
      </c>
      <c r="E24775" t="s">
        <v>17712</v>
      </c>
    </row>
    <row r="24776" spans="1:5" x14ac:dyDescent="0.25">
      <c r="A24776" t="s">
        <v>8</v>
      </c>
      <c r="B24776" t="s">
        <v>6523</v>
      </c>
      <c r="C24776" s="1" t="s">
        <v>23490</v>
      </c>
      <c r="D24776" s="1" t="str">
        <f>HYPERLINK("https://rhld.insurance.arkansas.gov/NPILookup?Npi=1154763449","1154763449")</f>
        <v>1154763449</v>
      </c>
      <c r="E24776" t="s">
        <v>21485</v>
      </c>
    </row>
    <row r="24777" spans="1:5" x14ac:dyDescent="0.25">
      <c r="A24777" t="s">
        <v>8</v>
      </c>
      <c r="B24777" t="s">
        <v>6523</v>
      </c>
      <c r="C24777" s="1" t="s">
        <v>23490</v>
      </c>
      <c r="D24777" s="1" t="str">
        <f>HYPERLINK("https://rhld.insurance.arkansas.gov/NPILookup?Npi=1164404331","1164404331")</f>
        <v>1164404331</v>
      </c>
      <c r="E24777" t="s">
        <v>6579</v>
      </c>
    </row>
    <row r="24778" spans="1:5" x14ac:dyDescent="0.25">
      <c r="A24778" t="s">
        <v>8</v>
      </c>
      <c r="B24778" t="s">
        <v>6523</v>
      </c>
      <c r="C24778" s="1" t="s">
        <v>23490</v>
      </c>
      <c r="D24778" s="1" t="str">
        <f>HYPERLINK("https://rhld.insurance.arkansas.gov/NPILookup?Npi=1164412789","1164412789")</f>
        <v>1164412789</v>
      </c>
      <c r="E24778" t="s">
        <v>6580</v>
      </c>
    </row>
    <row r="24779" spans="1:5" x14ac:dyDescent="0.25">
      <c r="A24779" t="s">
        <v>8</v>
      </c>
      <c r="B24779" t="s">
        <v>6523</v>
      </c>
      <c r="C24779" s="1" t="s">
        <v>23490</v>
      </c>
      <c r="D24779" s="1" t="str">
        <f>HYPERLINK("https://rhld.insurance.arkansas.gov/NPILookup?Npi=1164591947","1164591947")</f>
        <v>1164591947</v>
      </c>
      <c r="E24779" t="s">
        <v>6581</v>
      </c>
    </row>
    <row r="24780" spans="1:5" x14ac:dyDescent="0.25">
      <c r="A24780" t="s">
        <v>8</v>
      </c>
      <c r="B24780" t="s">
        <v>6523</v>
      </c>
      <c r="C24780" s="1" t="s">
        <v>23490</v>
      </c>
      <c r="D24780" s="1" t="str">
        <f>HYPERLINK("https://rhld.insurance.arkansas.gov/NPILookup?Npi=1164737490","1164737490")</f>
        <v>1164737490</v>
      </c>
      <c r="E24780" t="s">
        <v>12028</v>
      </c>
    </row>
    <row r="24781" spans="1:5" x14ac:dyDescent="0.25">
      <c r="A24781" t="s">
        <v>8</v>
      </c>
      <c r="B24781" t="s">
        <v>6523</v>
      </c>
      <c r="C24781" s="1" t="s">
        <v>23490</v>
      </c>
      <c r="D24781" s="1" t="str">
        <f>HYPERLINK("https://rhld.insurance.arkansas.gov/NPILookup?Npi=1164795381","1164795381")</f>
        <v>1164795381</v>
      </c>
      <c r="E24781" t="s">
        <v>21267</v>
      </c>
    </row>
    <row r="24782" spans="1:5" x14ac:dyDescent="0.25">
      <c r="A24782" t="s">
        <v>8</v>
      </c>
      <c r="B24782" t="s">
        <v>6523</v>
      </c>
      <c r="C24782" s="1" t="s">
        <v>23490</v>
      </c>
      <c r="D24782" s="1" t="str">
        <f>HYPERLINK("https://rhld.insurance.arkansas.gov/NPILookup?Npi=1174567812","1174567812")</f>
        <v>1174567812</v>
      </c>
      <c r="E24782" t="s">
        <v>6582</v>
      </c>
    </row>
    <row r="24783" spans="1:5" x14ac:dyDescent="0.25">
      <c r="A24783" t="s">
        <v>8</v>
      </c>
      <c r="B24783" t="s">
        <v>6523</v>
      </c>
      <c r="C24783" s="1" t="s">
        <v>23490</v>
      </c>
      <c r="D24783" s="1" t="str">
        <f>HYPERLINK("https://rhld.insurance.arkansas.gov/NPILookup?Npi=1174688360","1174688360")</f>
        <v>1174688360</v>
      </c>
      <c r="E24783" t="s">
        <v>12029</v>
      </c>
    </row>
    <row r="24784" spans="1:5" x14ac:dyDescent="0.25">
      <c r="A24784" t="s">
        <v>8</v>
      </c>
      <c r="B24784" t="s">
        <v>6523</v>
      </c>
      <c r="C24784" s="1" t="s">
        <v>23490</v>
      </c>
      <c r="D24784" s="1" t="str">
        <f>HYPERLINK("https://rhld.insurance.arkansas.gov/NPILookup?Npi=1174752554","1174752554")</f>
        <v>1174752554</v>
      </c>
      <c r="E24784" t="s">
        <v>22523</v>
      </c>
    </row>
    <row r="24785" spans="1:5" x14ac:dyDescent="0.25">
      <c r="A24785" t="s">
        <v>8</v>
      </c>
      <c r="B24785" t="s">
        <v>6523</v>
      </c>
      <c r="C24785" s="1" t="s">
        <v>8427</v>
      </c>
      <c r="D24785" s="1" t="str">
        <f>HYPERLINK("https://rhld.insurance.arkansas.gov/NPILookup?Npi=1184088924","1184088924")</f>
        <v>1184088924</v>
      </c>
      <c r="E24785" t="s">
        <v>23286</v>
      </c>
    </row>
    <row r="24786" spans="1:5" x14ac:dyDescent="0.25">
      <c r="A24786" t="s">
        <v>8</v>
      </c>
      <c r="B24786" t="s">
        <v>6523</v>
      </c>
      <c r="C24786" s="1" t="s">
        <v>23490</v>
      </c>
      <c r="D24786" s="1" t="str">
        <f>HYPERLINK("https://rhld.insurance.arkansas.gov/NPILookup?Npi=1184608721","1184608721")</f>
        <v>1184608721</v>
      </c>
      <c r="E24786" t="s">
        <v>6583</v>
      </c>
    </row>
    <row r="24787" spans="1:5" x14ac:dyDescent="0.25">
      <c r="A24787" t="s">
        <v>8</v>
      </c>
      <c r="B24787" t="s">
        <v>6523</v>
      </c>
      <c r="C24787" s="1" t="s">
        <v>23490</v>
      </c>
      <c r="D24787" s="1" t="str">
        <f>HYPERLINK("https://rhld.insurance.arkansas.gov/NPILookup?Npi=1184624686","1184624686")</f>
        <v>1184624686</v>
      </c>
      <c r="E24787" t="s">
        <v>6584</v>
      </c>
    </row>
    <row r="24788" spans="1:5" x14ac:dyDescent="0.25">
      <c r="A24788" t="s">
        <v>8</v>
      </c>
      <c r="B24788" t="s">
        <v>6523</v>
      </c>
      <c r="C24788" s="1" t="s">
        <v>23490</v>
      </c>
      <c r="D24788" s="1" t="str">
        <f>HYPERLINK("https://rhld.insurance.arkansas.gov/NPILookup?Npi=1184635732","1184635732")</f>
        <v>1184635732</v>
      </c>
      <c r="E24788" t="s">
        <v>6585</v>
      </c>
    </row>
    <row r="24789" spans="1:5" x14ac:dyDescent="0.25">
      <c r="A24789" t="s">
        <v>8</v>
      </c>
      <c r="B24789" t="s">
        <v>6523</v>
      </c>
      <c r="C24789" s="1" t="s">
        <v>23490</v>
      </c>
      <c r="D24789" s="1" t="str">
        <f>HYPERLINK("https://rhld.insurance.arkansas.gov/NPILookup?Npi=1184714743","1184714743")</f>
        <v>1184714743</v>
      </c>
      <c r="E24789" t="s">
        <v>6586</v>
      </c>
    </row>
    <row r="24790" spans="1:5" x14ac:dyDescent="0.25">
      <c r="A24790" t="s">
        <v>8</v>
      </c>
      <c r="B24790" t="s">
        <v>6523</v>
      </c>
      <c r="C24790" s="1" t="s">
        <v>23490</v>
      </c>
      <c r="D24790" s="1" t="str">
        <f>HYPERLINK("https://rhld.insurance.arkansas.gov/NPILookup?Npi=1184801367","1184801367")</f>
        <v>1184801367</v>
      </c>
      <c r="E24790" t="s">
        <v>6587</v>
      </c>
    </row>
    <row r="24791" spans="1:5" x14ac:dyDescent="0.25">
      <c r="A24791" t="s">
        <v>8</v>
      </c>
      <c r="B24791" t="s">
        <v>6523</v>
      </c>
      <c r="C24791" s="1" t="s">
        <v>23490</v>
      </c>
      <c r="D24791" s="1" t="str">
        <f>HYPERLINK("https://rhld.insurance.arkansas.gov/NPILookup?Npi=1184823551","1184823551")</f>
        <v>1184823551</v>
      </c>
      <c r="E24791" t="s">
        <v>16400</v>
      </c>
    </row>
    <row r="24792" spans="1:5" x14ac:dyDescent="0.25">
      <c r="A24792" t="s">
        <v>8</v>
      </c>
      <c r="B24792" t="s">
        <v>6523</v>
      </c>
      <c r="C24792" s="1" t="s">
        <v>23490</v>
      </c>
      <c r="D24792" s="1" t="str">
        <f>HYPERLINK("https://rhld.insurance.arkansas.gov/NPILookup?Npi=1184883852","1184883852")</f>
        <v>1184883852</v>
      </c>
      <c r="E24792" t="s">
        <v>6588</v>
      </c>
    </row>
    <row r="24793" spans="1:5" x14ac:dyDescent="0.25">
      <c r="A24793" t="s">
        <v>8</v>
      </c>
      <c r="B24793" t="s">
        <v>6523</v>
      </c>
      <c r="C24793" s="1" t="s">
        <v>23490</v>
      </c>
      <c r="D24793" s="1" t="str">
        <f>HYPERLINK("https://rhld.insurance.arkansas.gov/NPILookup?Npi=1194725820","1194725820")</f>
        <v>1194725820</v>
      </c>
      <c r="E24793" t="s">
        <v>6589</v>
      </c>
    </row>
    <row r="24794" spans="1:5" x14ac:dyDescent="0.25">
      <c r="A24794" t="s">
        <v>8</v>
      </c>
      <c r="B24794" t="s">
        <v>6523</v>
      </c>
      <c r="C24794" s="1" t="s">
        <v>23490</v>
      </c>
      <c r="D24794" s="1" t="str">
        <f>HYPERLINK("https://rhld.insurance.arkansas.gov/NPILookup?Npi=1194749150","1194749150")</f>
        <v>1194749150</v>
      </c>
      <c r="E24794" t="s">
        <v>16401</v>
      </c>
    </row>
    <row r="24795" spans="1:5" x14ac:dyDescent="0.25">
      <c r="A24795" t="s">
        <v>8</v>
      </c>
      <c r="B24795" t="s">
        <v>6523</v>
      </c>
      <c r="C24795" s="1" t="s">
        <v>23490</v>
      </c>
      <c r="D24795" s="1" t="str">
        <f>HYPERLINK("https://rhld.insurance.arkansas.gov/NPILookup?Npi=1194772954","1194772954")</f>
        <v>1194772954</v>
      </c>
      <c r="E24795" t="s">
        <v>22524</v>
      </c>
    </row>
    <row r="24796" spans="1:5" x14ac:dyDescent="0.25">
      <c r="A24796" t="s">
        <v>8</v>
      </c>
      <c r="B24796" t="s">
        <v>6523</v>
      </c>
      <c r="C24796" s="1" t="s">
        <v>23490</v>
      </c>
      <c r="D24796" s="1" t="str">
        <f>HYPERLINK("https://rhld.insurance.arkansas.gov/NPILookup?Npi=1194805440","1194805440")</f>
        <v>1194805440</v>
      </c>
      <c r="E24796" t="s">
        <v>6590</v>
      </c>
    </row>
    <row r="24797" spans="1:5" x14ac:dyDescent="0.25">
      <c r="A24797" t="s">
        <v>8</v>
      </c>
      <c r="B24797" t="s">
        <v>6523</v>
      </c>
      <c r="C24797" s="1" t="s">
        <v>23490</v>
      </c>
      <c r="D24797" s="1" t="str">
        <f>HYPERLINK("https://rhld.insurance.arkansas.gov/NPILookup?Npi=1194815696","1194815696")</f>
        <v>1194815696</v>
      </c>
      <c r="E24797" t="s">
        <v>6591</v>
      </c>
    </row>
    <row r="24798" spans="1:5" x14ac:dyDescent="0.25">
      <c r="A24798" t="s">
        <v>8</v>
      </c>
      <c r="B24798" t="s">
        <v>6523</v>
      </c>
      <c r="C24798" s="1" t="s">
        <v>23490</v>
      </c>
      <c r="D24798" s="1" t="str">
        <f>HYPERLINK("https://rhld.insurance.arkansas.gov/NPILookup?Npi=1194826164","1194826164")</f>
        <v>1194826164</v>
      </c>
      <c r="E24798" t="s">
        <v>16402</v>
      </c>
    </row>
    <row r="24799" spans="1:5" x14ac:dyDescent="0.25">
      <c r="A24799" t="s">
        <v>8</v>
      </c>
      <c r="B24799" t="s">
        <v>6523</v>
      </c>
      <c r="C24799" s="1" t="s">
        <v>23490</v>
      </c>
      <c r="D24799" s="1" t="str">
        <f>HYPERLINK("https://rhld.insurance.arkansas.gov/NPILookup?Npi=1194827089","1194827089")</f>
        <v>1194827089</v>
      </c>
      <c r="E24799" t="s">
        <v>6592</v>
      </c>
    </row>
    <row r="24800" spans="1:5" x14ac:dyDescent="0.25">
      <c r="A24800" t="s">
        <v>8</v>
      </c>
      <c r="B24800" t="s">
        <v>6523</v>
      </c>
      <c r="C24800" s="1" t="s">
        <v>23490</v>
      </c>
      <c r="D24800" s="1" t="str">
        <f>HYPERLINK("https://rhld.insurance.arkansas.gov/NPILookup?Npi=1205001799","1205001799")</f>
        <v>1205001799</v>
      </c>
      <c r="E24800" t="s">
        <v>9231</v>
      </c>
    </row>
    <row r="24801" spans="1:5" x14ac:dyDescent="0.25">
      <c r="A24801" t="s">
        <v>8</v>
      </c>
      <c r="B24801" t="s">
        <v>6523</v>
      </c>
      <c r="C24801" s="1" t="s">
        <v>23490</v>
      </c>
      <c r="D24801" s="1" t="str">
        <f>HYPERLINK("https://rhld.insurance.arkansas.gov/NPILookup?Npi=1205048048","1205048048")</f>
        <v>1205048048</v>
      </c>
      <c r="E24801" t="s">
        <v>17713</v>
      </c>
    </row>
    <row r="24802" spans="1:5" x14ac:dyDescent="0.25">
      <c r="A24802" t="s">
        <v>8</v>
      </c>
      <c r="B24802" t="s">
        <v>6523</v>
      </c>
      <c r="C24802" s="1" t="s">
        <v>8427</v>
      </c>
      <c r="D24802" s="1" t="str">
        <f>HYPERLINK("https://rhld.insurance.arkansas.gov/NPILookup?Npi=1205147105","1205147105")</f>
        <v>1205147105</v>
      </c>
      <c r="E24802" t="s">
        <v>23287</v>
      </c>
    </row>
    <row r="24803" spans="1:5" x14ac:dyDescent="0.25">
      <c r="A24803" t="s">
        <v>8</v>
      </c>
      <c r="B24803" t="s">
        <v>6523</v>
      </c>
      <c r="C24803" s="1" t="s">
        <v>23490</v>
      </c>
      <c r="D24803" s="1" t="str">
        <f>HYPERLINK("https://rhld.insurance.arkansas.gov/NPILookup?Npi=1205188760","1205188760")</f>
        <v>1205188760</v>
      </c>
      <c r="E24803" t="s">
        <v>16403</v>
      </c>
    </row>
    <row r="24804" spans="1:5" x14ac:dyDescent="0.25">
      <c r="A24804" t="s">
        <v>8</v>
      </c>
      <c r="B24804" t="s">
        <v>6523</v>
      </c>
      <c r="C24804" s="1" t="s">
        <v>23490</v>
      </c>
      <c r="D24804" s="1" t="str">
        <f>HYPERLINK("https://rhld.insurance.arkansas.gov/NPILookup?Npi=1205800380","1205800380")</f>
        <v>1205800380</v>
      </c>
      <c r="E24804" t="s">
        <v>16404</v>
      </c>
    </row>
    <row r="24805" spans="1:5" x14ac:dyDescent="0.25">
      <c r="A24805" t="s">
        <v>8</v>
      </c>
      <c r="B24805" t="s">
        <v>6523</v>
      </c>
      <c r="C24805" s="1" t="s">
        <v>23490</v>
      </c>
      <c r="D24805" s="1" t="str">
        <f>HYPERLINK("https://rhld.insurance.arkansas.gov/NPILookup?Npi=1205884376","1205884376")</f>
        <v>1205884376</v>
      </c>
      <c r="E24805" t="s">
        <v>1042</v>
      </c>
    </row>
    <row r="24806" spans="1:5" x14ac:dyDescent="0.25">
      <c r="A24806" t="s">
        <v>8</v>
      </c>
      <c r="B24806" t="s">
        <v>6523</v>
      </c>
      <c r="C24806" s="1" t="s">
        <v>23490</v>
      </c>
      <c r="D24806" s="1" t="str">
        <f>HYPERLINK("https://rhld.insurance.arkansas.gov/NPILookup?Npi=1215025648","1215025648")</f>
        <v>1215025648</v>
      </c>
      <c r="E24806" t="s">
        <v>22525</v>
      </c>
    </row>
    <row r="24807" spans="1:5" x14ac:dyDescent="0.25">
      <c r="A24807" t="s">
        <v>8</v>
      </c>
      <c r="B24807" t="s">
        <v>6523</v>
      </c>
      <c r="C24807" s="1" t="s">
        <v>23490</v>
      </c>
      <c r="D24807" s="1" t="str">
        <f>HYPERLINK("https://rhld.insurance.arkansas.gov/NPILookup?Npi=1215027784","1215027784")</f>
        <v>1215027784</v>
      </c>
      <c r="E24807" t="s">
        <v>6594</v>
      </c>
    </row>
    <row r="24808" spans="1:5" x14ac:dyDescent="0.25">
      <c r="A24808" t="s">
        <v>8</v>
      </c>
      <c r="B24808" t="s">
        <v>6523</v>
      </c>
      <c r="C24808" s="1" t="s">
        <v>23490</v>
      </c>
      <c r="D24808" s="1" t="str">
        <f>HYPERLINK("https://rhld.insurance.arkansas.gov/NPILookup?Npi=1215027792","1215027792")</f>
        <v>1215027792</v>
      </c>
      <c r="E24808" t="s">
        <v>6595</v>
      </c>
    </row>
    <row r="24809" spans="1:5" x14ac:dyDescent="0.25">
      <c r="A24809" t="s">
        <v>8</v>
      </c>
      <c r="B24809" t="s">
        <v>6523</v>
      </c>
      <c r="C24809" s="1" t="s">
        <v>23490</v>
      </c>
      <c r="D24809" s="1" t="str">
        <f>HYPERLINK("https://rhld.insurance.arkansas.gov/NPILookup?Npi=1215028402","1215028402")</f>
        <v>1215028402</v>
      </c>
      <c r="E24809" t="s">
        <v>22526</v>
      </c>
    </row>
    <row r="24810" spans="1:5" x14ac:dyDescent="0.25">
      <c r="A24810" t="s">
        <v>8</v>
      </c>
      <c r="B24810" t="s">
        <v>6523</v>
      </c>
      <c r="C24810" s="1" t="s">
        <v>23490</v>
      </c>
      <c r="D24810" s="1" t="str">
        <f>HYPERLINK("https://rhld.insurance.arkansas.gov/NPILookup?Npi=1215113154","1215113154")</f>
        <v>1215113154</v>
      </c>
      <c r="E24810" t="s">
        <v>763</v>
      </c>
    </row>
    <row r="24811" spans="1:5" x14ac:dyDescent="0.25">
      <c r="A24811" t="s">
        <v>8</v>
      </c>
      <c r="B24811" t="s">
        <v>6523</v>
      </c>
      <c r="C24811" s="1" t="s">
        <v>23490</v>
      </c>
      <c r="D24811" s="1" t="str">
        <f>HYPERLINK("https://rhld.insurance.arkansas.gov/NPILookup?Npi=1215224712","1215224712")</f>
        <v>1215224712</v>
      </c>
      <c r="E24811" t="s">
        <v>12030</v>
      </c>
    </row>
    <row r="24812" spans="1:5" x14ac:dyDescent="0.25">
      <c r="A24812" t="s">
        <v>8</v>
      </c>
      <c r="B24812" t="s">
        <v>6523</v>
      </c>
      <c r="C24812" s="1" t="s">
        <v>8427</v>
      </c>
      <c r="D24812" s="1" t="str">
        <f>HYPERLINK("https://rhld.insurance.arkansas.gov/NPILookup?Npi=1215314877","1215314877")</f>
        <v>1215314877</v>
      </c>
      <c r="E24812" t="s">
        <v>5825</v>
      </c>
    </row>
    <row r="24813" spans="1:5" x14ac:dyDescent="0.25">
      <c r="A24813" t="s">
        <v>8</v>
      </c>
      <c r="B24813" t="s">
        <v>6523</v>
      </c>
      <c r="C24813" s="1" t="s">
        <v>23490</v>
      </c>
      <c r="D24813" s="1" t="str">
        <f>HYPERLINK("https://rhld.insurance.arkansas.gov/NPILookup?Npi=1215342241","1215342241")</f>
        <v>1215342241</v>
      </c>
      <c r="E24813" t="s">
        <v>22527</v>
      </c>
    </row>
    <row r="24814" spans="1:5" x14ac:dyDescent="0.25">
      <c r="A24814" t="s">
        <v>8</v>
      </c>
      <c r="B24814" t="s">
        <v>6523</v>
      </c>
      <c r="C24814" s="1" t="s">
        <v>23490</v>
      </c>
      <c r="D24814" s="1" t="str">
        <f>HYPERLINK("https://rhld.insurance.arkansas.gov/NPILookup?Npi=1225002918","1225002918")</f>
        <v>1225002918</v>
      </c>
      <c r="E24814" t="s">
        <v>6596</v>
      </c>
    </row>
    <row r="24815" spans="1:5" x14ac:dyDescent="0.25">
      <c r="A24815" t="s">
        <v>8</v>
      </c>
      <c r="B24815" t="s">
        <v>6523</v>
      </c>
      <c r="C24815" s="1" t="s">
        <v>23490</v>
      </c>
      <c r="D24815" s="1" t="str">
        <f>HYPERLINK("https://rhld.insurance.arkansas.gov/NPILookup?Npi=1225009764","1225009764")</f>
        <v>1225009764</v>
      </c>
      <c r="E24815" t="s">
        <v>6597</v>
      </c>
    </row>
    <row r="24816" spans="1:5" x14ac:dyDescent="0.25">
      <c r="A24816" t="s">
        <v>8</v>
      </c>
      <c r="B24816" t="s">
        <v>6523</v>
      </c>
      <c r="C24816" s="1" t="s">
        <v>23490</v>
      </c>
      <c r="D24816" s="1" t="str">
        <f>HYPERLINK("https://rhld.insurance.arkansas.gov/NPILookup?Npi=1225015712","1225015712")</f>
        <v>1225015712</v>
      </c>
      <c r="E24816" t="s">
        <v>6598</v>
      </c>
    </row>
    <row r="24817" spans="1:5" x14ac:dyDescent="0.25">
      <c r="A24817" t="s">
        <v>8</v>
      </c>
      <c r="B24817" t="s">
        <v>6523</v>
      </c>
      <c r="C24817" s="1" t="s">
        <v>23490</v>
      </c>
      <c r="D24817" s="1" t="str">
        <f>HYPERLINK("https://rhld.insurance.arkansas.gov/NPILookup?Npi=1225090715","1225090715")</f>
        <v>1225090715</v>
      </c>
      <c r="E24817" t="s">
        <v>16405</v>
      </c>
    </row>
    <row r="24818" spans="1:5" x14ac:dyDescent="0.25">
      <c r="A24818" t="s">
        <v>8</v>
      </c>
      <c r="B24818" t="s">
        <v>6523</v>
      </c>
      <c r="C24818" s="1" t="s">
        <v>23490</v>
      </c>
      <c r="D24818" s="1" t="str">
        <f>HYPERLINK("https://rhld.insurance.arkansas.gov/NPILookup?Npi=1225126626","1225126626")</f>
        <v>1225126626</v>
      </c>
      <c r="E24818" t="s">
        <v>6599</v>
      </c>
    </row>
    <row r="24819" spans="1:5" x14ac:dyDescent="0.25">
      <c r="A24819" t="s">
        <v>8</v>
      </c>
      <c r="B24819" t="s">
        <v>6523</v>
      </c>
      <c r="C24819" s="1" t="s">
        <v>23490</v>
      </c>
      <c r="D24819" s="1" t="str">
        <f>HYPERLINK("https://rhld.insurance.arkansas.gov/NPILookup?Npi=1225135148","1225135148")</f>
        <v>1225135148</v>
      </c>
      <c r="E24819" t="s">
        <v>6600</v>
      </c>
    </row>
    <row r="24820" spans="1:5" x14ac:dyDescent="0.25">
      <c r="A24820" t="s">
        <v>8</v>
      </c>
      <c r="B24820" t="s">
        <v>6523</v>
      </c>
      <c r="C24820" s="1" t="s">
        <v>23490</v>
      </c>
      <c r="D24820" s="1" t="str">
        <f>HYPERLINK("https://rhld.insurance.arkansas.gov/NPILookup?Npi=1225259385","1225259385")</f>
        <v>1225259385</v>
      </c>
      <c r="E24820" t="s">
        <v>6601</v>
      </c>
    </row>
    <row r="24821" spans="1:5" x14ac:dyDescent="0.25">
      <c r="A24821" t="s">
        <v>8</v>
      </c>
      <c r="B24821" t="s">
        <v>6523</v>
      </c>
      <c r="C24821" s="1" t="s">
        <v>23490</v>
      </c>
      <c r="D24821" s="1" t="str">
        <f>HYPERLINK("https://rhld.insurance.arkansas.gov/NPILookup?Npi=1225418445","1225418445")</f>
        <v>1225418445</v>
      </c>
      <c r="E24821" t="s">
        <v>17714</v>
      </c>
    </row>
    <row r="24822" spans="1:5" x14ac:dyDescent="0.25">
      <c r="A24822" t="s">
        <v>8</v>
      </c>
      <c r="B24822" t="s">
        <v>6523</v>
      </c>
      <c r="C24822" s="1" t="s">
        <v>23490</v>
      </c>
      <c r="D24822" s="1" t="str">
        <f>HYPERLINK("https://rhld.insurance.arkansas.gov/NPILookup?Npi=1225478472","1225478472")</f>
        <v>1225478472</v>
      </c>
      <c r="E24822" t="s">
        <v>21501</v>
      </c>
    </row>
    <row r="24823" spans="1:5" x14ac:dyDescent="0.25">
      <c r="A24823" t="s">
        <v>8</v>
      </c>
      <c r="B24823" t="s">
        <v>6523</v>
      </c>
      <c r="C24823" s="1" t="s">
        <v>23490</v>
      </c>
      <c r="D24823" s="1" t="str">
        <f>HYPERLINK("https://rhld.insurance.arkansas.gov/NPILookup?Npi=1235122615","1235122615")</f>
        <v>1235122615</v>
      </c>
      <c r="E24823" t="s">
        <v>6602</v>
      </c>
    </row>
    <row r="24824" spans="1:5" x14ac:dyDescent="0.25">
      <c r="A24824" t="s">
        <v>8</v>
      </c>
      <c r="B24824" t="s">
        <v>6523</v>
      </c>
      <c r="C24824" s="1" t="s">
        <v>23490</v>
      </c>
      <c r="D24824" s="1" t="str">
        <f>HYPERLINK("https://rhld.insurance.arkansas.gov/NPILookup?Npi=1235140856","1235140856")</f>
        <v>1235140856</v>
      </c>
      <c r="E24824" t="s">
        <v>6603</v>
      </c>
    </row>
    <row r="24825" spans="1:5" x14ac:dyDescent="0.25">
      <c r="A24825" t="s">
        <v>8</v>
      </c>
      <c r="B24825" t="s">
        <v>6523</v>
      </c>
      <c r="C24825" s="1" t="s">
        <v>23490</v>
      </c>
      <c r="D24825" s="1" t="str">
        <f>HYPERLINK("https://rhld.insurance.arkansas.gov/NPILookup?Npi=1235192253","1235192253")</f>
        <v>1235192253</v>
      </c>
      <c r="E24825" t="s">
        <v>12031</v>
      </c>
    </row>
    <row r="24826" spans="1:5" x14ac:dyDescent="0.25">
      <c r="A24826" t="s">
        <v>8</v>
      </c>
      <c r="B24826" t="s">
        <v>6523</v>
      </c>
      <c r="C24826" s="1" t="s">
        <v>23490</v>
      </c>
      <c r="D24826" s="1" t="str">
        <f>HYPERLINK("https://rhld.insurance.arkansas.gov/NPILookup?Npi=1235295908","1235295908")</f>
        <v>1235295908</v>
      </c>
      <c r="E24826" t="s">
        <v>16406</v>
      </c>
    </row>
    <row r="24827" spans="1:5" x14ac:dyDescent="0.25">
      <c r="A24827" t="s">
        <v>8</v>
      </c>
      <c r="B24827" t="s">
        <v>6523</v>
      </c>
      <c r="C24827" s="1" t="s">
        <v>23490</v>
      </c>
      <c r="D24827" s="1" t="str">
        <f>HYPERLINK("https://rhld.insurance.arkansas.gov/NPILookup?Npi=1235354242","1235354242")</f>
        <v>1235354242</v>
      </c>
      <c r="E24827" t="s">
        <v>6604</v>
      </c>
    </row>
    <row r="24828" spans="1:5" x14ac:dyDescent="0.25">
      <c r="A24828" t="s">
        <v>8</v>
      </c>
      <c r="B24828" t="s">
        <v>6523</v>
      </c>
      <c r="C24828" s="1" t="s">
        <v>23490</v>
      </c>
      <c r="D24828" s="1" t="str">
        <f>HYPERLINK("https://rhld.insurance.arkansas.gov/NPILookup?Npi=1245215243","1245215243")</f>
        <v>1245215243</v>
      </c>
      <c r="E24828" t="s">
        <v>860</v>
      </c>
    </row>
    <row r="24829" spans="1:5" x14ac:dyDescent="0.25">
      <c r="A24829" t="s">
        <v>8</v>
      </c>
      <c r="B24829" t="s">
        <v>6523</v>
      </c>
      <c r="C24829" s="1" t="s">
        <v>23490</v>
      </c>
      <c r="D24829" s="1" t="str">
        <f>HYPERLINK("https://rhld.insurance.arkansas.gov/NPILookup?Npi=1245224625","1245224625")</f>
        <v>1245224625</v>
      </c>
      <c r="E24829" t="s">
        <v>6605</v>
      </c>
    </row>
    <row r="24830" spans="1:5" x14ac:dyDescent="0.25">
      <c r="A24830" t="s">
        <v>8</v>
      </c>
      <c r="B24830" t="s">
        <v>6523</v>
      </c>
      <c r="C24830" s="1" t="s">
        <v>23490</v>
      </c>
      <c r="D24830" s="1" t="str">
        <f>HYPERLINK("https://rhld.insurance.arkansas.gov/NPILookup?Npi=1245232768","1245232768")</f>
        <v>1245232768</v>
      </c>
      <c r="E24830" t="s">
        <v>9232</v>
      </c>
    </row>
    <row r="24831" spans="1:5" x14ac:dyDescent="0.25">
      <c r="A24831" t="s">
        <v>8</v>
      </c>
      <c r="B24831" t="s">
        <v>6523</v>
      </c>
      <c r="C24831" s="1" t="s">
        <v>23490</v>
      </c>
      <c r="D24831" s="1" t="str">
        <f>HYPERLINK("https://rhld.insurance.arkansas.gov/NPILookup?Npi=1245244227","1245244227")</f>
        <v>1245244227</v>
      </c>
      <c r="E24831" t="s">
        <v>6606</v>
      </c>
    </row>
    <row r="24832" spans="1:5" x14ac:dyDescent="0.25">
      <c r="A24832" t="s">
        <v>8</v>
      </c>
      <c r="B24832" t="s">
        <v>6523</v>
      </c>
      <c r="C24832" s="1" t="s">
        <v>23490</v>
      </c>
      <c r="D24832" s="1" t="str">
        <f>HYPERLINK("https://rhld.insurance.arkansas.gov/NPILookup?Npi=1245299924","1245299924")</f>
        <v>1245299924</v>
      </c>
      <c r="E24832" t="s">
        <v>6607</v>
      </c>
    </row>
    <row r="24833" spans="1:5" x14ac:dyDescent="0.25">
      <c r="A24833" t="s">
        <v>8</v>
      </c>
      <c r="B24833" t="s">
        <v>6523</v>
      </c>
      <c r="C24833" s="1" t="s">
        <v>23490</v>
      </c>
      <c r="D24833" s="1" t="str">
        <f>HYPERLINK("https://rhld.insurance.arkansas.gov/NPILookup?Npi=1245486547","1245486547")</f>
        <v>1245486547</v>
      </c>
      <c r="E24833" t="s">
        <v>17916</v>
      </c>
    </row>
    <row r="24834" spans="1:5" x14ac:dyDescent="0.25">
      <c r="A24834" t="s">
        <v>8</v>
      </c>
      <c r="B24834" t="s">
        <v>6523</v>
      </c>
      <c r="C24834" s="1" t="s">
        <v>23490</v>
      </c>
      <c r="D24834" s="1" t="str">
        <f>HYPERLINK("https://rhld.insurance.arkansas.gov/NPILookup?Npi=1255321881","1255321881")</f>
        <v>1255321881</v>
      </c>
      <c r="E24834" t="s">
        <v>6608</v>
      </c>
    </row>
    <row r="24835" spans="1:5" x14ac:dyDescent="0.25">
      <c r="A24835" t="s">
        <v>8</v>
      </c>
      <c r="B24835" t="s">
        <v>6523</v>
      </c>
      <c r="C24835" s="1" t="s">
        <v>23490</v>
      </c>
      <c r="D24835" s="1" t="str">
        <f>HYPERLINK("https://rhld.insurance.arkansas.gov/NPILookup?Npi=1255351128","1255351128")</f>
        <v>1255351128</v>
      </c>
      <c r="E24835" t="s">
        <v>6609</v>
      </c>
    </row>
    <row r="24836" spans="1:5" x14ac:dyDescent="0.25">
      <c r="A24836" t="s">
        <v>8</v>
      </c>
      <c r="B24836" t="s">
        <v>6523</v>
      </c>
      <c r="C24836" s="1" t="s">
        <v>23490</v>
      </c>
      <c r="D24836" s="1" t="str">
        <f>HYPERLINK("https://rhld.insurance.arkansas.gov/NPILookup?Npi=1255359931","1255359931")</f>
        <v>1255359931</v>
      </c>
      <c r="E24836" t="s">
        <v>6610</v>
      </c>
    </row>
    <row r="24837" spans="1:5" x14ac:dyDescent="0.25">
      <c r="A24837" t="s">
        <v>8</v>
      </c>
      <c r="B24837" t="s">
        <v>6523</v>
      </c>
      <c r="C24837" s="1" t="s">
        <v>23490</v>
      </c>
      <c r="D24837" s="1" t="str">
        <f>HYPERLINK("https://rhld.insurance.arkansas.gov/NPILookup?Npi=1255361986","1255361986")</f>
        <v>1255361986</v>
      </c>
      <c r="E24837" t="s">
        <v>6611</v>
      </c>
    </row>
    <row r="24838" spans="1:5" x14ac:dyDescent="0.25">
      <c r="A24838" t="s">
        <v>8</v>
      </c>
      <c r="B24838" t="s">
        <v>6523</v>
      </c>
      <c r="C24838" s="1" t="s">
        <v>23490</v>
      </c>
      <c r="D24838" s="1" t="str">
        <f>HYPERLINK("https://rhld.insurance.arkansas.gov/NPILookup?Npi=1255515037","1255515037")</f>
        <v>1255515037</v>
      </c>
      <c r="E24838" t="s">
        <v>6612</v>
      </c>
    </row>
    <row r="24839" spans="1:5" x14ac:dyDescent="0.25">
      <c r="A24839" t="s">
        <v>8</v>
      </c>
      <c r="B24839" t="s">
        <v>6523</v>
      </c>
      <c r="C24839" s="1" t="s">
        <v>23490</v>
      </c>
      <c r="D24839" s="1" t="str">
        <f>HYPERLINK("https://rhld.insurance.arkansas.gov/NPILookup?Npi=1255538898","1255538898")</f>
        <v>1255538898</v>
      </c>
      <c r="E24839" t="s">
        <v>13257</v>
      </c>
    </row>
    <row r="24840" spans="1:5" x14ac:dyDescent="0.25">
      <c r="A24840" t="s">
        <v>8</v>
      </c>
      <c r="B24840" t="s">
        <v>6523</v>
      </c>
      <c r="C24840" s="1" t="s">
        <v>23490</v>
      </c>
      <c r="D24840" s="1" t="str">
        <f>HYPERLINK("https://rhld.insurance.arkansas.gov/NPILookup?Npi=1255560918","1255560918")</f>
        <v>1255560918</v>
      </c>
      <c r="E24840" t="s">
        <v>16407</v>
      </c>
    </row>
    <row r="24841" spans="1:5" x14ac:dyDescent="0.25">
      <c r="A24841" t="s">
        <v>8</v>
      </c>
      <c r="B24841" t="s">
        <v>6523</v>
      </c>
      <c r="C24841" s="1" t="s">
        <v>23490</v>
      </c>
      <c r="D24841" s="1" t="str">
        <f>HYPERLINK("https://rhld.insurance.arkansas.gov/NPILookup?Npi=1255607164","1255607164")</f>
        <v>1255607164</v>
      </c>
      <c r="E24841" t="s">
        <v>16408</v>
      </c>
    </row>
    <row r="24842" spans="1:5" x14ac:dyDescent="0.25">
      <c r="A24842" t="s">
        <v>8</v>
      </c>
      <c r="B24842" t="s">
        <v>6523</v>
      </c>
      <c r="C24842" s="1" t="s">
        <v>23490</v>
      </c>
      <c r="D24842" s="1" t="str">
        <f>HYPERLINK("https://rhld.insurance.arkansas.gov/NPILookup?Npi=1255770061","1255770061")</f>
        <v>1255770061</v>
      </c>
      <c r="E24842" t="s">
        <v>22528</v>
      </c>
    </row>
    <row r="24843" spans="1:5" x14ac:dyDescent="0.25">
      <c r="A24843" t="s">
        <v>8</v>
      </c>
      <c r="B24843" t="s">
        <v>6523</v>
      </c>
      <c r="C24843" s="1" t="s">
        <v>23490</v>
      </c>
      <c r="D24843" s="1" t="str">
        <f>HYPERLINK("https://rhld.insurance.arkansas.gov/NPILookup?Npi=1265406953","1265406953")</f>
        <v>1265406953</v>
      </c>
      <c r="E24843" t="s">
        <v>6613</v>
      </c>
    </row>
    <row r="24844" spans="1:5" x14ac:dyDescent="0.25">
      <c r="A24844" t="s">
        <v>8</v>
      </c>
      <c r="B24844" t="s">
        <v>6523</v>
      </c>
      <c r="C24844" s="1" t="s">
        <v>23490</v>
      </c>
      <c r="D24844" s="1" t="str">
        <f>HYPERLINK("https://rhld.insurance.arkansas.gov/NPILookup?Npi=1265412506","1265412506")</f>
        <v>1265412506</v>
      </c>
      <c r="E24844" t="s">
        <v>6614</v>
      </c>
    </row>
    <row r="24845" spans="1:5" x14ac:dyDescent="0.25">
      <c r="A24845" t="s">
        <v>8</v>
      </c>
      <c r="B24845" t="s">
        <v>6523</v>
      </c>
      <c r="C24845" s="1" t="s">
        <v>23490</v>
      </c>
      <c r="D24845" s="1" t="str">
        <f>HYPERLINK("https://rhld.insurance.arkansas.gov/NPILookup?Npi=1265419741","1265419741")</f>
        <v>1265419741</v>
      </c>
      <c r="E24845" t="s">
        <v>16409</v>
      </c>
    </row>
    <row r="24846" spans="1:5" x14ac:dyDescent="0.25">
      <c r="A24846" t="s">
        <v>8</v>
      </c>
      <c r="B24846" t="s">
        <v>6523</v>
      </c>
      <c r="C24846" s="1" t="s">
        <v>23490</v>
      </c>
      <c r="D24846" s="1" t="str">
        <f>HYPERLINK("https://rhld.insurance.arkansas.gov/NPILookup?Npi=1265451769","1265451769")</f>
        <v>1265451769</v>
      </c>
      <c r="E24846" t="s">
        <v>5577</v>
      </c>
    </row>
    <row r="24847" spans="1:5" x14ac:dyDescent="0.25">
      <c r="A24847" t="s">
        <v>8</v>
      </c>
      <c r="B24847" t="s">
        <v>6523</v>
      </c>
      <c r="C24847" s="1" t="s">
        <v>23490</v>
      </c>
      <c r="D24847" s="1" t="str">
        <f>HYPERLINK("https://rhld.insurance.arkansas.gov/NPILookup?Npi=1265467609","1265467609")</f>
        <v>1265467609</v>
      </c>
      <c r="E24847" t="s">
        <v>6615</v>
      </c>
    </row>
    <row r="24848" spans="1:5" x14ac:dyDescent="0.25">
      <c r="A24848" t="s">
        <v>8</v>
      </c>
      <c r="B24848" t="s">
        <v>6523</v>
      </c>
      <c r="C24848" s="1" t="s">
        <v>23490</v>
      </c>
      <c r="D24848" s="1" t="str">
        <f>HYPERLINK("https://rhld.insurance.arkansas.gov/NPILookup?Npi=1265478390","1265478390")</f>
        <v>1265478390</v>
      </c>
      <c r="E24848" t="s">
        <v>16410</v>
      </c>
    </row>
    <row r="24849" spans="1:5" x14ac:dyDescent="0.25">
      <c r="A24849" t="s">
        <v>8</v>
      </c>
      <c r="B24849" t="s">
        <v>6523</v>
      </c>
      <c r="C24849" s="1" t="s">
        <v>23490</v>
      </c>
      <c r="D24849" s="1" t="str">
        <f>HYPERLINK("https://rhld.insurance.arkansas.gov/NPILookup?Npi=1265489348","1265489348")</f>
        <v>1265489348</v>
      </c>
      <c r="E24849" t="s">
        <v>6616</v>
      </c>
    </row>
    <row r="24850" spans="1:5" x14ac:dyDescent="0.25">
      <c r="A24850" t="s">
        <v>8</v>
      </c>
      <c r="B24850" t="s">
        <v>6523</v>
      </c>
      <c r="C24850" s="1" t="s">
        <v>23490</v>
      </c>
      <c r="D24850" s="1" t="str">
        <f>HYPERLINK("https://rhld.insurance.arkansas.gov/NPILookup?Npi=1265494231","1265494231")</f>
        <v>1265494231</v>
      </c>
      <c r="E24850" t="s">
        <v>6617</v>
      </c>
    </row>
    <row r="24851" spans="1:5" x14ac:dyDescent="0.25">
      <c r="A24851" t="s">
        <v>8</v>
      </c>
      <c r="B24851" t="s">
        <v>6523</v>
      </c>
      <c r="C24851" s="1" t="s">
        <v>23490</v>
      </c>
      <c r="D24851" s="1" t="str">
        <f>HYPERLINK("https://rhld.insurance.arkansas.gov/NPILookup?Npi=1265498752","1265498752")</f>
        <v>1265498752</v>
      </c>
      <c r="E24851" t="s">
        <v>6618</v>
      </c>
    </row>
    <row r="24852" spans="1:5" x14ac:dyDescent="0.25">
      <c r="A24852" t="s">
        <v>8</v>
      </c>
      <c r="B24852" t="s">
        <v>6523</v>
      </c>
      <c r="C24852" s="1" t="s">
        <v>23490</v>
      </c>
      <c r="D24852" s="1" t="str">
        <f>HYPERLINK("https://rhld.insurance.arkansas.gov/NPILookup?Npi=1265656672","1265656672")</f>
        <v>1265656672</v>
      </c>
      <c r="E24852" t="s">
        <v>6619</v>
      </c>
    </row>
    <row r="24853" spans="1:5" x14ac:dyDescent="0.25">
      <c r="A24853" t="s">
        <v>8</v>
      </c>
      <c r="B24853" t="s">
        <v>6523</v>
      </c>
      <c r="C24853" s="1" t="s">
        <v>23490</v>
      </c>
      <c r="D24853" s="1" t="str">
        <f>HYPERLINK("https://rhld.insurance.arkansas.gov/NPILookup?Npi=1265691976","1265691976")</f>
        <v>1265691976</v>
      </c>
      <c r="E24853" t="s">
        <v>6620</v>
      </c>
    </row>
    <row r="24854" spans="1:5" x14ac:dyDescent="0.25">
      <c r="A24854" t="s">
        <v>8</v>
      </c>
      <c r="B24854" t="s">
        <v>6523</v>
      </c>
      <c r="C24854" s="1" t="s">
        <v>23490</v>
      </c>
      <c r="D24854" s="1" t="str">
        <f>HYPERLINK("https://rhld.insurance.arkansas.gov/NPILookup?Npi=1265722268","1265722268")</f>
        <v>1265722268</v>
      </c>
      <c r="E24854" t="s">
        <v>21508</v>
      </c>
    </row>
    <row r="24855" spans="1:5" x14ac:dyDescent="0.25">
      <c r="A24855" t="s">
        <v>8</v>
      </c>
      <c r="B24855" t="s">
        <v>6523</v>
      </c>
      <c r="C24855" s="1" t="s">
        <v>23490</v>
      </c>
      <c r="D24855" s="1" t="str">
        <f>HYPERLINK("https://rhld.insurance.arkansas.gov/NPILookup?Npi=1265729537","1265729537")</f>
        <v>1265729537</v>
      </c>
      <c r="E24855" t="s">
        <v>14425</v>
      </c>
    </row>
    <row r="24856" spans="1:5" x14ac:dyDescent="0.25">
      <c r="A24856" t="s">
        <v>8</v>
      </c>
      <c r="B24856" t="s">
        <v>6523</v>
      </c>
      <c r="C24856" s="1" t="s">
        <v>23490</v>
      </c>
      <c r="D24856" s="1" t="str">
        <f>HYPERLINK("https://rhld.insurance.arkansas.gov/NPILookup?Npi=1275510729","1275510729")</f>
        <v>1275510729</v>
      </c>
      <c r="E24856" t="s">
        <v>6621</v>
      </c>
    </row>
    <row r="24857" spans="1:5" x14ac:dyDescent="0.25">
      <c r="A24857" t="s">
        <v>8</v>
      </c>
      <c r="B24857" t="s">
        <v>6523</v>
      </c>
      <c r="C24857" s="1" t="s">
        <v>23490</v>
      </c>
      <c r="D24857" s="1" t="str">
        <f>HYPERLINK("https://rhld.insurance.arkansas.gov/NPILookup?Npi=1275530065","1275530065")</f>
        <v>1275530065</v>
      </c>
      <c r="E24857" t="s">
        <v>20719</v>
      </c>
    </row>
    <row r="24858" spans="1:5" x14ac:dyDescent="0.25">
      <c r="A24858" t="s">
        <v>8</v>
      </c>
      <c r="B24858" t="s">
        <v>6523</v>
      </c>
      <c r="C24858" s="1" t="s">
        <v>23490</v>
      </c>
      <c r="D24858" s="1" t="str">
        <f>HYPERLINK("https://rhld.insurance.arkansas.gov/NPILookup?Npi=1275637654","1275637654")</f>
        <v>1275637654</v>
      </c>
      <c r="E24858" t="s">
        <v>16411</v>
      </c>
    </row>
    <row r="24859" spans="1:5" x14ac:dyDescent="0.25">
      <c r="A24859" t="s">
        <v>8</v>
      </c>
      <c r="B24859" t="s">
        <v>6523</v>
      </c>
      <c r="C24859" s="1" t="s">
        <v>23490</v>
      </c>
      <c r="D24859" s="1" t="str">
        <f>HYPERLINK("https://rhld.insurance.arkansas.gov/NPILookup?Npi=1275757437","1275757437")</f>
        <v>1275757437</v>
      </c>
      <c r="E24859" t="s">
        <v>6622</v>
      </c>
    </row>
    <row r="24860" spans="1:5" x14ac:dyDescent="0.25">
      <c r="A24860" t="s">
        <v>8</v>
      </c>
      <c r="B24860" t="s">
        <v>6523</v>
      </c>
      <c r="C24860" s="1" t="s">
        <v>23490</v>
      </c>
      <c r="D24860" s="1" t="str">
        <f>HYPERLINK("https://rhld.insurance.arkansas.gov/NPILookup?Npi=1275763757","1275763757")</f>
        <v>1275763757</v>
      </c>
      <c r="E24860" t="s">
        <v>17928</v>
      </c>
    </row>
    <row r="24861" spans="1:5" x14ac:dyDescent="0.25">
      <c r="A24861" t="s">
        <v>8</v>
      </c>
      <c r="B24861" t="s">
        <v>6523</v>
      </c>
      <c r="C24861" s="1" t="s">
        <v>23490</v>
      </c>
      <c r="D24861" s="1" t="str">
        <f>HYPERLINK("https://rhld.insurance.arkansas.gov/NPILookup?Npi=1285011643","1285011643")</f>
        <v>1285011643</v>
      </c>
      <c r="E24861" t="s">
        <v>22529</v>
      </c>
    </row>
    <row r="24862" spans="1:5" x14ac:dyDescent="0.25">
      <c r="A24862" t="s">
        <v>8</v>
      </c>
      <c r="B24862" t="s">
        <v>6523</v>
      </c>
      <c r="C24862" s="1" t="s">
        <v>23490</v>
      </c>
      <c r="D24862" s="1" t="str">
        <f>HYPERLINK("https://rhld.insurance.arkansas.gov/NPILookup?Npi=1285628065","1285628065")</f>
        <v>1285628065</v>
      </c>
      <c r="E24862" t="s">
        <v>6623</v>
      </c>
    </row>
    <row r="24863" spans="1:5" x14ac:dyDescent="0.25">
      <c r="A24863" t="s">
        <v>8</v>
      </c>
      <c r="B24863" t="s">
        <v>6523</v>
      </c>
      <c r="C24863" s="1" t="s">
        <v>23490</v>
      </c>
      <c r="D24863" s="1" t="str">
        <f>HYPERLINK("https://rhld.insurance.arkansas.gov/NPILookup?Npi=1285724849","1285724849")</f>
        <v>1285724849</v>
      </c>
      <c r="E24863" t="s">
        <v>6625</v>
      </c>
    </row>
    <row r="24864" spans="1:5" x14ac:dyDescent="0.25">
      <c r="A24864" t="s">
        <v>8</v>
      </c>
      <c r="B24864" t="s">
        <v>6523</v>
      </c>
      <c r="C24864" s="1" t="s">
        <v>23490</v>
      </c>
      <c r="D24864" s="1" t="str">
        <f>HYPERLINK("https://rhld.insurance.arkansas.gov/NPILookup?Npi=1285803353","1285803353")</f>
        <v>1285803353</v>
      </c>
      <c r="E24864" t="s">
        <v>12032</v>
      </c>
    </row>
    <row r="24865" spans="1:5" x14ac:dyDescent="0.25">
      <c r="A24865" t="s">
        <v>8</v>
      </c>
      <c r="B24865" t="s">
        <v>6523</v>
      </c>
      <c r="C24865" s="1" t="s">
        <v>23490</v>
      </c>
      <c r="D24865" s="1" t="str">
        <f>HYPERLINK("https://rhld.insurance.arkansas.gov/NPILookup?Npi=1285858449","1285858449")</f>
        <v>1285858449</v>
      </c>
      <c r="E24865" t="s">
        <v>6626</v>
      </c>
    </row>
    <row r="24866" spans="1:5" x14ac:dyDescent="0.25">
      <c r="A24866" t="s">
        <v>8</v>
      </c>
      <c r="B24866" t="s">
        <v>6523</v>
      </c>
      <c r="C24866" s="1" t="s">
        <v>23490</v>
      </c>
      <c r="D24866" s="1" t="str">
        <f>HYPERLINK("https://rhld.insurance.arkansas.gov/NPILookup?Npi=1285876607","1285876607")</f>
        <v>1285876607</v>
      </c>
      <c r="E24866" t="s">
        <v>22530</v>
      </c>
    </row>
    <row r="24867" spans="1:5" x14ac:dyDescent="0.25">
      <c r="A24867" t="s">
        <v>8</v>
      </c>
      <c r="B24867" t="s">
        <v>6523</v>
      </c>
      <c r="C24867" s="1" t="s">
        <v>23490</v>
      </c>
      <c r="D24867" s="1" t="str">
        <f>HYPERLINK("https://rhld.insurance.arkansas.gov/NPILookup?Npi=1285936625","1285936625")</f>
        <v>1285936625</v>
      </c>
      <c r="E24867" t="s">
        <v>16412</v>
      </c>
    </row>
    <row r="24868" spans="1:5" x14ac:dyDescent="0.25">
      <c r="A24868" t="s">
        <v>8</v>
      </c>
      <c r="B24868" t="s">
        <v>6523</v>
      </c>
      <c r="C24868" s="1" t="s">
        <v>23490</v>
      </c>
      <c r="D24868" s="1" t="str">
        <f>HYPERLINK("https://rhld.insurance.arkansas.gov/NPILookup?Npi=1295702595","1295702595")</f>
        <v>1295702595</v>
      </c>
      <c r="E24868" t="s">
        <v>6627</v>
      </c>
    </row>
    <row r="24869" spans="1:5" x14ac:dyDescent="0.25">
      <c r="A24869" t="s">
        <v>8</v>
      </c>
      <c r="B24869" t="s">
        <v>6523</v>
      </c>
      <c r="C24869" s="1" t="s">
        <v>23490</v>
      </c>
      <c r="D24869" s="1" t="str">
        <f>HYPERLINK("https://rhld.insurance.arkansas.gov/NPILookup?Npi=1295730224","1295730224")</f>
        <v>1295730224</v>
      </c>
      <c r="E24869" t="s">
        <v>22531</v>
      </c>
    </row>
    <row r="24870" spans="1:5" x14ac:dyDescent="0.25">
      <c r="A24870" t="s">
        <v>8</v>
      </c>
      <c r="B24870" t="s">
        <v>6523</v>
      </c>
      <c r="C24870" s="1" t="s">
        <v>23490</v>
      </c>
      <c r="D24870" s="1" t="str">
        <f>HYPERLINK("https://rhld.insurance.arkansas.gov/NPILookup?Npi=1295735793","1295735793")</f>
        <v>1295735793</v>
      </c>
      <c r="E24870" t="s">
        <v>6628</v>
      </c>
    </row>
    <row r="24871" spans="1:5" x14ac:dyDescent="0.25">
      <c r="A24871" t="s">
        <v>8</v>
      </c>
      <c r="B24871" t="s">
        <v>6523</v>
      </c>
      <c r="C24871" s="1" t="s">
        <v>23490</v>
      </c>
      <c r="D24871" s="1" t="str">
        <f>HYPERLINK("https://rhld.insurance.arkansas.gov/NPILookup?Npi=1295799443","1295799443")</f>
        <v>1295799443</v>
      </c>
      <c r="E24871" t="s">
        <v>6629</v>
      </c>
    </row>
    <row r="24872" spans="1:5" x14ac:dyDescent="0.25">
      <c r="A24872" t="s">
        <v>8</v>
      </c>
      <c r="B24872" t="s">
        <v>6523</v>
      </c>
      <c r="C24872" s="1" t="s">
        <v>23490</v>
      </c>
      <c r="D24872" s="1" t="str">
        <f>HYPERLINK("https://rhld.insurance.arkansas.gov/NPILookup?Npi=1295807733","1295807733")</f>
        <v>1295807733</v>
      </c>
      <c r="E24872" t="s">
        <v>6630</v>
      </c>
    </row>
    <row r="24873" spans="1:5" x14ac:dyDescent="0.25">
      <c r="A24873" t="s">
        <v>8</v>
      </c>
      <c r="B24873" t="s">
        <v>6523</v>
      </c>
      <c r="C24873" s="1" t="s">
        <v>23490</v>
      </c>
      <c r="D24873" s="1" t="str">
        <f>HYPERLINK("https://rhld.insurance.arkansas.gov/NPILookup?Npi=1306147301","1306147301")</f>
        <v>1306147301</v>
      </c>
      <c r="E24873" t="s">
        <v>12033</v>
      </c>
    </row>
    <row r="24874" spans="1:5" x14ac:dyDescent="0.25">
      <c r="A24874" t="s">
        <v>8</v>
      </c>
      <c r="B24874" t="s">
        <v>6523</v>
      </c>
      <c r="C24874" s="1" t="s">
        <v>23490</v>
      </c>
      <c r="D24874" s="1" t="str">
        <f>HYPERLINK("https://rhld.insurance.arkansas.gov/NPILookup?Npi=1306827571","1306827571")</f>
        <v>1306827571</v>
      </c>
      <c r="E24874" t="s">
        <v>6631</v>
      </c>
    </row>
    <row r="24875" spans="1:5" x14ac:dyDescent="0.25">
      <c r="A24875" t="s">
        <v>8</v>
      </c>
      <c r="B24875" t="s">
        <v>6523</v>
      </c>
      <c r="C24875" s="1" t="s">
        <v>23490</v>
      </c>
      <c r="D24875" s="1" t="str">
        <f>HYPERLINK("https://rhld.insurance.arkansas.gov/NPILookup?Npi=1306856851","1306856851")</f>
        <v>1306856851</v>
      </c>
      <c r="E24875" t="s">
        <v>6632</v>
      </c>
    </row>
    <row r="24876" spans="1:5" x14ac:dyDescent="0.25">
      <c r="A24876" t="s">
        <v>8</v>
      </c>
      <c r="B24876" t="s">
        <v>6523</v>
      </c>
      <c r="C24876" s="1" t="s">
        <v>23490</v>
      </c>
      <c r="D24876" s="1" t="str">
        <f>HYPERLINK("https://rhld.insurance.arkansas.gov/NPILookup?Npi=1306936885","1306936885")</f>
        <v>1306936885</v>
      </c>
      <c r="E24876" t="s">
        <v>22532</v>
      </c>
    </row>
    <row r="24877" spans="1:5" x14ac:dyDescent="0.25">
      <c r="A24877" t="s">
        <v>8</v>
      </c>
      <c r="B24877" t="s">
        <v>6523</v>
      </c>
      <c r="C24877" s="1" t="s">
        <v>23490</v>
      </c>
      <c r="D24877" s="1" t="str">
        <f>HYPERLINK("https://rhld.insurance.arkansas.gov/NPILookup?Npi=1316009731","1316009731")</f>
        <v>1316009731</v>
      </c>
      <c r="E24877" t="s">
        <v>6633</v>
      </c>
    </row>
    <row r="24878" spans="1:5" x14ac:dyDescent="0.25">
      <c r="A24878" t="s">
        <v>8</v>
      </c>
      <c r="B24878" t="s">
        <v>6523</v>
      </c>
      <c r="C24878" s="1" t="s">
        <v>23490</v>
      </c>
      <c r="D24878" s="1" t="str">
        <f>HYPERLINK("https://rhld.insurance.arkansas.gov/NPILookup?Npi=1316162332","1316162332")</f>
        <v>1316162332</v>
      </c>
      <c r="E24878" t="s">
        <v>12034</v>
      </c>
    </row>
    <row r="24879" spans="1:5" x14ac:dyDescent="0.25">
      <c r="A24879" t="s">
        <v>8</v>
      </c>
      <c r="B24879" t="s">
        <v>6523</v>
      </c>
      <c r="C24879" s="1" t="s">
        <v>23490</v>
      </c>
      <c r="D24879" s="1" t="str">
        <f>HYPERLINK("https://rhld.insurance.arkansas.gov/NPILookup?Npi=1316915424","1316915424")</f>
        <v>1316915424</v>
      </c>
      <c r="E24879" t="s">
        <v>1131</v>
      </c>
    </row>
    <row r="24880" spans="1:5" x14ac:dyDescent="0.25">
      <c r="A24880" t="s">
        <v>8</v>
      </c>
      <c r="B24880" t="s">
        <v>6523</v>
      </c>
      <c r="C24880" s="1" t="s">
        <v>23490</v>
      </c>
      <c r="D24880" s="1" t="str">
        <f>HYPERLINK("https://rhld.insurance.arkansas.gov/NPILookup?Npi=1316923329","1316923329")</f>
        <v>1316923329</v>
      </c>
      <c r="E24880" t="s">
        <v>6634</v>
      </c>
    </row>
    <row r="24881" spans="1:5" x14ac:dyDescent="0.25">
      <c r="A24881" t="s">
        <v>8</v>
      </c>
      <c r="B24881" t="s">
        <v>6523</v>
      </c>
      <c r="C24881" s="1" t="s">
        <v>23490</v>
      </c>
      <c r="D24881" s="1" t="str">
        <f>HYPERLINK("https://rhld.insurance.arkansas.gov/NPILookup?Npi=1316957889","1316957889")</f>
        <v>1316957889</v>
      </c>
      <c r="E24881" t="s">
        <v>1145</v>
      </c>
    </row>
    <row r="24882" spans="1:5" x14ac:dyDescent="0.25">
      <c r="A24882" t="s">
        <v>8</v>
      </c>
      <c r="B24882" t="s">
        <v>6523</v>
      </c>
      <c r="C24882" s="1" t="s">
        <v>23490</v>
      </c>
      <c r="D24882" s="1" t="str">
        <f>HYPERLINK("https://rhld.insurance.arkansas.gov/NPILookup?Npi=1316995137","1316995137")</f>
        <v>1316995137</v>
      </c>
      <c r="E24882" t="s">
        <v>6635</v>
      </c>
    </row>
    <row r="24883" spans="1:5" x14ac:dyDescent="0.25">
      <c r="A24883" t="s">
        <v>8</v>
      </c>
      <c r="B24883" t="s">
        <v>6523</v>
      </c>
      <c r="C24883" s="1" t="s">
        <v>23490</v>
      </c>
      <c r="D24883" s="1" t="str">
        <f>HYPERLINK("https://rhld.insurance.arkansas.gov/NPILookup?Npi=1326044561","1326044561")</f>
        <v>1326044561</v>
      </c>
      <c r="E24883" t="s">
        <v>6636</v>
      </c>
    </row>
    <row r="24884" spans="1:5" x14ac:dyDescent="0.25">
      <c r="A24884" t="s">
        <v>8</v>
      </c>
      <c r="B24884" t="s">
        <v>6523</v>
      </c>
      <c r="C24884" s="1" t="s">
        <v>23490</v>
      </c>
      <c r="D24884" s="1" t="str">
        <f>HYPERLINK("https://rhld.insurance.arkansas.gov/NPILookup?Npi=1326048877","1326048877")</f>
        <v>1326048877</v>
      </c>
      <c r="E24884" t="s">
        <v>6637</v>
      </c>
    </row>
    <row r="24885" spans="1:5" x14ac:dyDescent="0.25">
      <c r="A24885" t="s">
        <v>8</v>
      </c>
      <c r="B24885" t="s">
        <v>6523</v>
      </c>
      <c r="C24885" s="1" t="s">
        <v>23490</v>
      </c>
      <c r="D24885" s="1" t="str">
        <f>HYPERLINK("https://rhld.insurance.arkansas.gov/NPILookup?Npi=1326077058","1326077058")</f>
        <v>1326077058</v>
      </c>
      <c r="E24885" t="s">
        <v>6638</v>
      </c>
    </row>
    <row r="24886" spans="1:5" x14ac:dyDescent="0.25">
      <c r="A24886" t="s">
        <v>8</v>
      </c>
      <c r="B24886" t="s">
        <v>6523</v>
      </c>
      <c r="C24886" s="1" t="s">
        <v>23490</v>
      </c>
      <c r="D24886" s="1" t="str">
        <f>HYPERLINK("https://rhld.insurance.arkansas.gov/NPILookup?Npi=1326082454","1326082454")</f>
        <v>1326082454</v>
      </c>
      <c r="E24886" t="s">
        <v>22533</v>
      </c>
    </row>
    <row r="24887" spans="1:5" x14ac:dyDescent="0.25">
      <c r="A24887" t="s">
        <v>8</v>
      </c>
      <c r="B24887" t="s">
        <v>6523</v>
      </c>
      <c r="C24887" s="1" t="s">
        <v>23490</v>
      </c>
      <c r="D24887" s="1" t="str">
        <f>HYPERLINK("https://rhld.insurance.arkansas.gov/NPILookup?Npi=1326274952","1326274952")</f>
        <v>1326274952</v>
      </c>
      <c r="E24887" t="s">
        <v>12035</v>
      </c>
    </row>
    <row r="24888" spans="1:5" x14ac:dyDescent="0.25">
      <c r="A24888" t="s">
        <v>8</v>
      </c>
      <c r="B24888" t="s">
        <v>6523</v>
      </c>
      <c r="C24888" s="1" t="s">
        <v>23490</v>
      </c>
      <c r="D24888" s="1" t="str">
        <f>HYPERLINK("https://rhld.insurance.arkansas.gov/NPILookup?Npi=1326455841","1326455841")</f>
        <v>1326455841</v>
      </c>
      <c r="E24888" t="s">
        <v>21516</v>
      </c>
    </row>
    <row r="24889" spans="1:5" x14ac:dyDescent="0.25">
      <c r="A24889" t="s">
        <v>8</v>
      </c>
      <c r="B24889" t="s">
        <v>6523</v>
      </c>
      <c r="C24889" s="1" t="s">
        <v>23490</v>
      </c>
      <c r="D24889" s="1" t="str">
        <f>HYPERLINK("https://rhld.insurance.arkansas.gov/NPILookup?Npi=1336105907","1336105907")</f>
        <v>1336105907</v>
      </c>
      <c r="E24889" t="s">
        <v>6639</v>
      </c>
    </row>
    <row r="24890" spans="1:5" x14ac:dyDescent="0.25">
      <c r="A24890" t="s">
        <v>8</v>
      </c>
      <c r="B24890" t="s">
        <v>6523</v>
      </c>
      <c r="C24890" s="1" t="s">
        <v>23490</v>
      </c>
      <c r="D24890" s="1" t="str">
        <f>HYPERLINK("https://rhld.insurance.arkansas.gov/NPILookup?Npi=1336175942","1336175942")</f>
        <v>1336175942</v>
      </c>
      <c r="E24890" t="s">
        <v>16413</v>
      </c>
    </row>
    <row r="24891" spans="1:5" x14ac:dyDescent="0.25">
      <c r="A24891" t="s">
        <v>8</v>
      </c>
      <c r="B24891" t="s">
        <v>6523</v>
      </c>
      <c r="C24891" s="1" t="s">
        <v>23490</v>
      </c>
      <c r="D24891" s="1" t="str">
        <f>HYPERLINK("https://rhld.insurance.arkansas.gov/NPILookup?Npi=1336327295","1336327295")</f>
        <v>1336327295</v>
      </c>
      <c r="E24891" t="s">
        <v>6640</v>
      </c>
    </row>
    <row r="24892" spans="1:5" x14ac:dyDescent="0.25">
      <c r="A24892" t="s">
        <v>8</v>
      </c>
      <c r="B24892" t="s">
        <v>6523</v>
      </c>
      <c r="C24892" s="1" t="s">
        <v>23490</v>
      </c>
      <c r="D24892" s="1" t="str">
        <f>HYPERLINK("https://rhld.insurance.arkansas.gov/NPILookup?Npi=1336437359","1336437359")</f>
        <v>1336437359</v>
      </c>
      <c r="E24892" t="s">
        <v>1042</v>
      </c>
    </row>
    <row r="24893" spans="1:5" x14ac:dyDescent="0.25">
      <c r="A24893" t="s">
        <v>8</v>
      </c>
      <c r="B24893" t="s">
        <v>6523</v>
      </c>
      <c r="C24893" s="1" t="s">
        <v>23490</v>
      </c>
      <c r="D24893" s="1" t="str">
        <f>HYPERLINK("https://rhld.insurance.arkansas.gov/NPILookup?Npi=1336645225","1336645225")</f>
        <v>1336645225</v>
      </c>
      <c r="E24893" t="s">
        <v>22534</v>
      </c>
    </row>
    <row r="24894" spans="1:5" x14ac:dyDescent="0.25">
      <c r="A24894" t="s">
        <v>8</v>
      </c>
      <c r="B24894" t="s">
        <v>6523</v>
      </c>
      <c r="C24894" s="1" t="s">
        <v>23490</v>
      </c>
      <c r="D24894" s="1" t="str">
        <f>HYPERLINK("https://rhld.insurance.arkansas.gov/NPILookup?Npi=1346249661","1346249661")</f>
        <v>1346249661</v>
      </c>
      <c r="E24894" t="s">
        <v>6641</v>
      </c>
    </row>
    <row r="24895" spans="1:5" x14ac:dyDescent="0.25">
      <c r="A24895" t="s">
        <v>8</v>
      </c>
      <c r="B24895" t="s">
        <v>6523</v>
      </c>
      <c r="C24895" s="1" t="s">
        <v>23490</v>
      </c>
      <c r="D24895" s="1" t="str">
        <f>HYPERLINK("https://rhld.insurance.arkansas.gov/NPILookup?Npi=1346336815","1346336815")</f>
        <v>1346336815</v>
      </c>
      <c r="E24895" t="s">
        <v>22535</v>
      </c>
    </row>
    <row r="24896" spans="1:5" x14ac:dyDescent="0.25">
      <c r="A24896" t="s">
        <v>8</v>
      </c>
      <c r="B24896" t="s">
        <v>6523</v>
      </c>
      <c r="C24896" s="1" t="s">
        <v>23490</v>
      </c>
      <c r="D24896" s="1" t="str">
        <f>HYPERLINK("https://rhld.insurance.arkansas.gov/NPILookup?Npi=1346506409","1346506409")</f>
        <v>1346506409</v>
      </c>
      <c r="E24896" t="s">
        <v>22536</v>
      </c>
    </row>
    <row r="24897" spans="1:5" x14ac:dyDescent="0.25">
      <c r="A24897" t="s">
        <v>8</v>
      </c>
      <c r="B24897" t="s">
        <v>6523</v>
      </c>
      <c r="C24897" s="1" t="s">
        <v>23490</v>
      </c>
      <c r="D24897" s="1" t="str">
        <f>HYPERLINK("https://rhld.insurance.arkansas.gov/NPILookup?Npi=1346536042","1346536042")</f>
        <v>1346536042</v>
      </c>
      <c r="E24897" t="s">
        <v>16414</v>
      </c>
    </row>
    <row r="24898" spans="1:5" x14ac:dyDescent="0.25">
      <c r="A24898" t="s">
        <v>8</v>
      </c>
      <c r="B24898" t="s">
        <v>6523</v>
      </c>
      <c r="C24898" s="1" t="s">
        <v>23490</v>
      </c>
      <c r="D24898" s="1" t="str">
        <f>HYPERLINK("https://rhld.insurance.arkansas.gov/NPILookup?Npi=1346582590","1346582590")</f>
        <v>1346582590</v>
      </c>
      <c r="E24898" t="s">
        <v>18209</v>
      </c>
    </row>
    <row r="24899" spans="1:5" x14ac:dyDescent="0.25">
      <c r="A24899" t="s">
        <v>8</v>
      </c>
      <c r="B24899" t="s">
        <v>6523</v>
      </c>
      <c r="C24899" s="1" t="s">
        <v>23490</v>
      </c>
      <c r="D24899" s="1" t="str">
        <f>HYPERLINK("https://rhld.insurance.arkansas.gov/NPILookup?Npi=1346594470","1346594470")</f>
        <v>1346594470</v>
      </c>
      <c r="E24899" t="s">
        <v>6642</v>
      </c>
    </row>
    <row r="24900" spans="1:5" x14ac:dyDescent="0.25">
      <c r="A24900" t="s">
        <v>8</v>
      </c>
      <c r="B24900" t="s">
        <v>6523</v>
      </c>
      <c r="C24900" s="1" t="s">
        <v>23490</v>
      </c>
      <c r="D24900" s="1" t="str">
        <f>HYPERLINK("https://rhld.insurance.arkansas.gov/NPILookup?Npi=1346636974","1346636974")</f>
        <v>1346636974</v>
      </c>
      <c r="E24900" t="s">
        <v>20720</v>
      </c>
    </row>
    <row r="24901" spans="1:5" x14ac:dyDescent="0.25">
      <c r="A24901" t="s">
        <v>8</v>
      </c>
      <c r="B24901" t="s">
        <v>6523</v>
      </c>
      <c r="C24901" s="1" t="s">
        <v>23490</v>
      </c>
      <c r="D24901" s="1" t="str">
        <f>HYPERLINK("https://rhld.insurance.arkansas.gov/NPILookup?Npi=1346660727","1346660727")</f>
        <v>1346660727</v>
      </c>
      <c r="E24901" t="s">
        <v>21268</v>
      </c>
    </row>
    <row r="24902" spans="1:5" x14ac:dyDescent="0.25">
      <c r="A24902" t="s">
        <v>8</v>
      </c>
      <c r="B24902" t="s">
        <v>6523</v>
      </c>
      <c r="C24902" s="1" t="s">
        <v>23490</v>
      </c>
      <c r="D24902" s="1" t="str">
        <f>HYPERLINK("https://rhld.insurance.arkansas.gov/NPILookup?Npi=1356307177","1356307177")</f>
        <v>1356307177</v>
      </c>
      <c r="E24902" t="s">
        <v>22537</v>
      </c>
    </row>
    <row r="24903" spans="1:5" x14ac:dyDescent="0.25">
      <c r="A24903" t="s">
        <v>8</v>
      </c>
      <c r="B24903" t="s">
        <v>6523</v>
      </c>
      <c r="C24903" s="1" t="s">
        <v>23490</v>
      </c>
      <c r="D24903" s="1" t="str">
        <f>HYPERLINK("https://rhld.insurance.arkansas.gov/NPILookup?Npi=1356387484","1356387484")</f>
        <v>1356387484</v>
      </c>
      <c r="E24903" t="s">
        <v>16415</v>
      </c>
    </row>
    <row r="24904" spans="1:5" x14ac:dyDescent="0.25">
      <c r="A24904" t="s">
        <v>8</v>
      </c>
      <c r="B24904" t="s">
        <v>6523</v>
      </c>
      <c r="C24904" s="1" t="s">
        <v>23490</v>
      </c>
      <c r="D24904" s="1" t="str">
        <f>HYPERLINK("https://rhld.insurance.arkansas.gov/NPILookup?Npi=1356443451","1356443451")</f>
        <v>1356443451</v>
      </c>
      <c r="E24904" t="s">
        <v>6643</v>
      </c>
    </row>
    <row r="24905" spans="1:5" x14ac:dyDescent="0.25">
      <c r="A24905" t="s">
        <v>8</v>
      </c>
      <c r="B24905" t="s">
        <v>6523</v>
      </c>
      <c r="C24905" s="1" t="s">
        <v>23490</v>
      </c>
      <c r="D24905" s="1" t="str">
        <f>HYPERLINK("https://rhld.insurance.arkansas.gov/NPILookup?Npi=1356454193","1356454193")</f>
        <v>1356454193</v>
      </c>
      <c r="E24905" t="s">
        <v>546</v>
      </c>
    </row>
    <row r="24906" spans="1:5" x14ac:dyDescent="0.25">
      <c r="A24906" t="s">
        <v>8</v>
      </c>
      <c r="B24906" t="s">
        <v>6523</v>
      </c>
      <c r="C24906" s="1" t="s">
        <v>23490</v>
      </c>
      <c r="D24906" s="1" t="str">
        <f>HYPERLINK("https://rhld.insurance.arkansas.gov/NPILookup?Npi=1356521421","1356521421")</f>
        <v>1356521421</v>
      </c>
      <c r="E24906" t="s">
        <v>6644</v>
      </c>
    </row>
    <row r="24907" spans="1:5" x14ac:dyDescent="0.25">
      <c r="A24907" t="s">
        <v>8</v>
      </c>
      <c r="B24907" t="s">
        <v>6523</v>
      </c>
      <c r="C24907" s="1" t="s">
        <v>23490</v>
      </c>
      <c r="D24907" s="1" t="str">
        <f>HYPERLINK("https://rhld.insurance.arkansas.gov/NPILookup?Npi=1356761696","1356761696")</f>
        <v>1356761696</v>
      </c>
      <c r="E24907" t="s">
        <v>17715</v>
      </c>
    </row>
    <row r="24908" spans="1:5" x14ac:dyDescent="0.25">
      <c r="A24908" t="s">
        <v>8</v>
      </c>
      <c r="B24908" t="s">
        <v>6523</v>
      </c>
      <c r="C24908" s="1" t="s">
        <v>23490</v>
      </c>
      <c r="D24908" s="1" t="str">
        <f>HYPERLINK("https://rhld.insurance.arkansas.gov/NPILookup?Npi=1366436750","1366436750")</f>
        <v>1366436750</v>
      </c>
      <c r="E24908" t="s">
        <v>6645</v>
      </c>
    </row>
    <row r="24909" spans="1:5" x14ac:dyDescent="0.25">
      <c r="A24909" t="s">
        <v>8</v>
      </c>
      <c r="B24909" t="s">
        <v>6523</v>
      </c>
      <c r="C24909" s="1" t="s">
        <v>23490</v>
      </c>
      <c r="D24909" s="1" t="str">
        <f>HYPERLINK("https://rhld.insurance.arkansas.gov/NPILookup?Npi=1366485237","1366485237")</f>
        <v>1366485237</v>
      </c>
      <c r="E24909" t="s">
        <v>4845</v>
      </c>
    </row>
    <row r="24910" spans="1:5" x14ac:dyDescent="0.25">
      <c r="A24910" t="s">
        <v>8</v>
      </c>
      <c r="B24910" t="s">
        <v>6523</v>
      </c>
      <c r="C24910" s="1" t="s">
        <v>23490</v>
      </c>
      <c r="D24910" s="1" t="str">
        <f>HYPERLINK("https://rhld.insurance.arkansas.gov/NPILookup?Npi=1366602880","1366602880")</f>
        <v>1366602880</v>
      </c>
      <c r="E24910" t="s">
        <v>10866</v>
      </c>
    </row>
    <row r="24911" spans="1:5" x14ac:dyDescent="0.25">
      <c r="A24911" t="s">
        <v>8</v>
      </c>
      <c r="B24911" t="s">
        <v>6523</v>
      </c>
      <c r="C24911" s="1" t="s">
        <v>23490</v>
      </c>
      <c r="D24911" s="1" t="str">
        <f>HYPERLINK("https://rhld.insurance.arkansas.gov/NPILookup?Npi=1366622508","1366622508")</f>
        <v>1366622508</v>
      </c>
      <c r="E24911" t="s">
        <v>6646</v>
      </c>
    </row>
    <row r="24912" spans="1:5" x14ac:dyDescent="0.25">
      <c r="A24912" t="s">
        <v>8</v>
      </c>
      <c r="B24912" t="s">
        <v>6523</v>
      </c>
      <c r="C24912" s="1" t="s">
        <v>23490</v>
      </c>
      <c r="D24912" s="1" t="str">
        <f>HYPERLINK("https://rhld.insurance.arkansas.gov/NPILookup?Npi=1366691552","1366691552")</f>
        <v>1366691552</v>
      </c>
      <c r="E24912" t="s">
        <v>20152</v>
      </c>
    </row>
    <row r="24913" spans="1:5" x14ac:dyDescent="0.25">
      <c r="A24913" t="s">
        <v>8</v>
      </c>
      <c r="B24913" t="s">
        <v>6523</v>
      </c>
      <c r="C24913" s="1" t="s">
        <v>23490</v>
      </c>
      <c r="D24913" s="1" t="str">
        <f>HYPERLINK("https://rhld.insurance.arkansas.gov/NPILookup?Npi=1366721599","1366721599")</f>
        <v>1366721599</v>
      </c>
      <c r="E24913" t="s">
        <v>11451</v>
      </c>
    </row>
    <row r="24914" spans="1:5" x14ac:dyDescent="0.25">
      <c r="A24914" t="s">
        <v>8</v>
      </c>
      <c r="B24914" t="s">
        <v>6523</v>
      </c>
      <c r="C24914" s="1" t="s">
        <v>23490</v>
      </c>
      <c r="D24914" s="1" t="str">
        <f>HYPERLINK("https://rhld.insurance.arkansas.gov/NPILookup?Npi=1366838856","1366838856")</f>
        <v>1366838856</v>
      </c>
      <c r="E24914" t="s">
        <v>22538</v>
      </c>
    </row>
    <row r="24915" spans="1:5" x14ac:dyDescent="0.25">
      <c r="A24915" t="s">
        <v>8</v>
      </c>
      <c r="B24915" t="s">
        <v>6523</v>
      </c>
      <c r="C24915" s="1" t="s">
        <v>23490</v>
      </c>
      <c r="D24915" s="1" t="str">
        <f>HYPERLINK("https://rhld.insurance.arkansas.gov/NPILookup?Npi=1376500108","1376500108")</f>
        <v>1376500108</v>
      </c>
      <c r="E24915" t="s">
        <v>6647</v>
      </c>
    </row>
    <row r="24916" spans="1:5" x14ac:dyDescent="0.25">
      <c r="A24916" t="s">
        <v>8</v>
      </c>
      <c r="B24916" t="s">
        <v>6523</v>
      </c>
      <c r="C24916" s="1" t="s">
        <v>23490</v>
      </c>
      <c r="D24916" s="1" t="str">
        <f>HYPERLINK("https://rhld.insurance.arkansas.gov/NPILookup?Npi=1376511873","1376511873")</f>
        <v>1376511873</v>
      </c>
      <c r="E24916" t="s">
        <v>14426</v>
      </c>
    </row>
    <row r="24917" spans="1:5" x14ac:dyDescent="0.25">
      <c r="A24917" t="s">
        <v>8</v>
      </c>
      <c r="B24917" t="s">
        <v>6523</v>
      </c>
      <c r="C24917" s="1" t="s">
        <v>23490</v>
      </c>
      <c r="D24917" s="1" t="str">
        <f>HYPERLINK("https://rhld.insurance.arkansas.gov/NPILookup?Npi=1376586214","1376586214")</f>
        <v>1376586214</v>
      </c>
      <c r="E24917" t="s">
        <v>6648</v>
      </c>
    </row>
    <row r="24918" spans="1:5" x14ac:dyDescent="0.25">
      <c r="A24918" t="s">
        <v>8</v>
      </c>
      <c r="B24918" t="s">
        <v>6523</v>
      </c>
      <c r="C24918" s="1" t="s">
        <v>23490</v>
      </c>
      <c r="D24918" s="1" t="str">
        <f>HYPERLINK("https://rhld.insurance.arkansas.gov/NPILookup?Npi=1376602649","1376602649")</f>
        <v>1376602649</v>
      </c>
      <c r="E24918" t="s">
        <v>16416</v>
      </c>
    </row>
    <row r="24919" spans="1:5" x14ac:dyDescent="0.25">
      <c r="A24919" t="s">
        <v>8</v>
      </c>
      <c r="B24919" t="s">
        <v>6523</v>
      </c>
      <c r="C24919" s="1" t="s">
        <v>23490</v>
      </c>
      <c r="D24919" s="1" t="str">
        <f>HYPERLINK("https://rhld.insurance.arkansas.gov/NPILookup?Npi=1376716290","1376716290")</f>
        <v>1376716290</v>
      </c>
      <c r="E24919" t="s">
        <v>6649</v>
      </c>
    </row>
    <row r="24920" spans="1:5" x14ac:dyDescent="0.25">
      <c r="A24920" t="s">
        <v>8</v>
      </c>
      <c r="B24920" t="s">
        <v>6523</v>
      </c>
      <c r="C24920" s="1" t="s">
        <v>23490</v>
      </c>
      <c r="D24920" s="1" t="str">
        <f>HYPERLINK("https://rhld.insurance.arkansas.gov/NPILookup?Npi=1376804609","1376804609")</f>
        <v>1376804609</v>
      </c>
      <c r="E24920" t="s">
        <v>12036</v>
      </c>
    </row>
    <row r="24921" spans="1:5" x14ac:dyDescent="0.25">
      <c r="A24921" t="s">
        <v>8</v>
      </c>
      <c r="B24921" t="s">
        <v>6523</v>
      </c>
      <c r="C24921" s="1" t="s">
        <v>23490</v>
      </c>
      <c r="D24921" s="1" t="str">
        <f>HYPERLINK("https://rhld.insurance.arkansas.gov/NPILookup?Npi=1376864504","1376864504")</f>
        <v>1376864504</v>
      </c>
      <c r="E24921" t="s">
        <v>12037</v>
      </c>
    </row>
    <row r="24922" spans="1:5" x14ac:dyDescent="0.25">
      <c r="A24922" t="s">
        <v>8</v>
      </c>
      <c r="B24922" t="s">
        <v>6523</v>
      </c>
      <c r="C24922" s="1" t="s">
        <v>23490</v>
      </c>
      <c r="D24922" s="1" t="str">
        <f>HYPERLINK("https://rhld.insurance.arkansas.gov/NPILookup?Npi=1386692689","1386692689")</f>
        <v>1386692689</v>
      </c>
      <c r="E24922" t="s">
        <v>6650</v>
      </c>
    </row>
    <row r="24923" spans="1:5" x14ac:dyDescent="0.25">
      <c r="A24923" t="s">
        <v>8</v>
      </c>
      <c r="B24923" t="s">
        <v>6523</v>
      </c>
      <c r="C24923" s="1" t="s">
        <v>23490</v>
      </c>
      <c r="D24923" s="1" t="str">
        <f>HYPERLINK("https://rhld.insurance.arkansas.gov/NPILookup?Npi=1386734887","1386734887")</f>
        <v>1386734887</v>
      </c>
      <c r="E24923" t="s">
        <v>6651</v>
      </c>
    </row>
    <row r="24924" spans="1:5" x14ac:dyDescent="0.25">
      <c r="A24924" t="s">
        <v>8</v>
      </c>
      <c r="B24924" t="s">
        <v>6523</v>
      </c>
      <c r="C24924" s="1" t="s">
        <v>23490</v>
      </c>
      <c r="D24924" s="1" t="str">
        <f>HYPERLINK("https://rhld.insurance.arkansas.gov/NPILookup?Npi=1386824290","1386824290")</f>
        <v>1386824290</v>
      </c>
      <c r="E24924" t="s">
        <v>6652</v>
      </c>
    </row>
    <row r="24925" spans="1:5" x14ac:dyDescent="0.25">
      <c r="A24925" t="s">
        <v>8</v>
      </c>
      <c r="B24925" t="s">
        <v>6523</v>
      </c>
      <c r="C24925" s="1" t="s">
        <v>23490</v>
      </c>
      <c r="D24925" s="1" t="str">
        <f>HYPERLINK("https://rhld.insurance.arkansas.gov/NPILookup?Npi=1396710737","1396710737")</f>
        <v>1396710737</v>
      </c>
      <c r="E24925" t="s">
        <v>6653</v>
      </c>
    </row>
    <row r="24926" spans="1:5" x14ac:dyDescent="0.25">
      <c r="A24926" t="s">
        <v>8</v>
      </c>
      <c r="B24926" t="s">
        <v>6523</v>
      </c>
      <c r="C24926" s="1" t="s">
        <v>23490</v>
      </c>
      <c r="D24926" s="1" t="str">
        <f>HYPERLINK("https://rhld.insurance.arkansas.gov/NPILookup?Npi=1396735759","1396735759")</f>
        <v>1396735759</v>
      </c>
      <c r="E24926" t="s">
        <v>6654</v>
      </c>
    </row>
    <row r="24927" spans="1:5" x14ac:dyDescent="0.25">
      <c r="A24927" t="s">
        <v>8</v>
      </c>
      <c r="B24927" t="s">
        <v>6523</v>
      </c>
      <c r="C24927" s="1" t="s">
        <v>23490</v>
      </c>
      <c r="D24927" s="1" t="str">
        <f>HYPERLINK("https://rhld.insurance.arkansas.gov/NPILookup?Npi=1396795928","1396795928")</f>
        <v>1396795928</v>
      </c>
      <c r="E24927" t="s">
        <v>22540</v>
      </c>
    </row>
    <row r="24928" spans="1:5" x14ac:dyDescent="0.25">
      <c r="A24928" t="s">
        <v>8</v>
      </c>
      <c r="B24928" t="s">
        <v>6523</v>
      </c>
      <c r="C24928" s="1" t="s">
        <v>23490</v>
      </c>
      <c r="D24928" s="1" t="str">
        <f>HYPERLINK("https://rhld.insurance.arkansas.gov/NPILookup?Npi=1396912796","1396912796")</f>
        <v>1396912796</v>
      </c>
      <c r="E24928" t="s">
        <v>8658</v>
      </c>
    </row>
    <row r="24929" spans="1:5" x14ac:dyDescent="0.25">
      <c r="A24929" t="s">
        <v>8</v>
      </c>
      <c r="B24929" t="s">
        <v>6523</v>
      </c>
      <c r="C24929" s="1" t="s">
        <v>23490</v>
      </c>
      <c r="D24929" s="1" t="str">
        <f>HYPERLINK("https://rhld.insurance.arkansas.gov/NPILookup?Npi=1396951687","1396951687")</f>
        <v>1396951687</v>
      </c>
      <c r="E24929" t="s">
        <v>12038</v>
      </c>
    </row>
    <row r="24930" spans="1:5" x14ac:dyDescent="0.25">
      <c r="A24930" t="s">
        <v>8</v>
      </c>
      <c r="B24930" t="s">
        <v>6523</v>
      </c>
      <c r="C24930" s="1" t="s">
        <v>23490</v>
      </c>
      <c r="D24930" s="1" t="str">
        <f>HYPERLINK("https://rhld.insurance.arkansas.gov/NPILookup?Npi=1407122989","1407122989")</f>
        <v>1407122989</v>
      </c>
      <c r="E24930" t="s">
        <v>17716</v>
      </c>
    </row>
    <row r="24931" spans="1:5" x14ac:dyDescent="0.25">
      <c r="A24931" t="s">
        <v>8</v>
      </c>
      <c r="B24931" t="s">
        <v>6523</v>
      </c>
      <c r="C24931" s="1" t="s">
        <v>23490</v>
      </c>
      <c r="D24931" s="1" t="str">
        <f>HYPERLINK("https://rhld.insurance.arkansas.gov/NPILookup?Npi=1407805567","1407805567")</f>
        <v>1407805567</v>
      </c>
      <c r="E24931" t="s">
        <v>6534</v>
      </c>
    </row>
    <row r="24932" spans="1:5" x14ac:dyDescent="0.25">
      <c r="A24932" t="s">
        <v>8</v>
      </c>
      <c r="B24932" t="s">
        <v>6523</v>
      </c>
      <c r="C24932" s="1" t="s">
        <v>23490</v>
      </c>
      <c r="D24932" s="1" t="str">
        <f>HYPERLINK("https://rhld.insurance.arkansas.gov/NPILookup?Npi=1407833965","1407833965")</f>
        <v>1407833965</v>
      </c>
      <c r="E24932" t="s">
        <v>6655</v>
      </c>
    </row>
    <row r="24933" spans="1:5" x14ac:dyDescent="0.25">
      <c r="A24933" t="s">
        <v>8</v>
      </c>
      <c r="B24933" t="s">
        <v>6523</v>
      </c>
      <c r="C24933" s="1" t="s">
        <v>23490</v>
      </c>
      <c r="D24933" s="1" t="str">
        <f>HYPERLINK("https://rhld.insurance.arkansas.gov/NPILookup?Npi=1407840101","1407840101")</f>
        <v>1407840101</v>
      </c>
      <c r="E24933" t="s">
        <v>6656</v>
      </c>
    </row>
    <row r="24934" spans="1:5" x14ac:dyDescent="0.25">
      <c r="A24934" t="s">
        <v>8</v>
      </c>
      <c r="B24934" t="s">
        <v>6523</v>
      </c>
      <c r="C24934" s="1" t="s">
        <v>23490</v>
      </c>
      <c r="D24934" s="1" t="str">
        <f>HYPERLINK("https://rhld.insurance.arkansas.gov/NPILookup?Npi=1417921123","1417921123")</f>
        <v>1417921123</v>
      </c>
      <c r="E24934" t="s">
        <v>6657</v>
      </c>
    </row>
    <row r="24935" spans="1:5" x14ac:dyDescent="0.25">
      <c r="A24935" t="s">
        <v>8</v>
      </c>
      <c r="B24935" t="s">
        <v>6523</v>
      </c>
      <c r="C24935" s="1" t="s">
        <v>23490</v>
      </c>
      <c r="D24935" s="1" t="str">
        <f>HYPERLINK("https://rhld.insurance.arkansas.gov/NPILookup?Npi=1417968314","1417968314")</f>
        <v>1417968314</v>
      </c>
      <c r="E24935" t="s">
        <v>6658</v>
      </c>
    </row>
    <row r="24936" spans="1:5" x14ac:dyDescent="0.25">
      <c r="A24936" t="s">
        <v>8</v>
      </c>
      <c r="B24936" t="s">
        <v>6523</v>
      </c>
      <c r="C24936" s="1" t="s">
        <v>23490</v>
      </c>
      <c r="D24936" s="1" t="str">
        <f>HYPERLINK("https://rhld.insurance.arkansas.gov/NPILookup?Npi=1417970518","1417970518")</f>
        <v>1417970518</v>
      </c>
      <c r="E24936" t="s">
        <v>16417</v>
      </c>
    </row>
    <row r="24937" spans="1:5" x14ac:dyDescent="0.25">
      <c r="A24937" t="s">
        <v>8</v>
      </c>
      <c r="B24937" t="s">
        <v>6523</v>
      </c>
      <c r="C24937" s="1" t="s">
        <v>23490</v>
      </c>
      <c r="D24937" s="1" t="str">
        <f>HYPERLINK("https://rhld.insurance.arkansas.gov/NPILookup?Npi=1427060581","1427060581")</f>
        <v>1427060581</v>
      </c>
      <c r="E24937" t="s">
        <v>6659</v>
      </c>
    </row>
    <row r="24938" spans="1:5" x14ac:dyDescent="0.25">
      <c r="A24938" t="s">
        <v>8</v>
      </c>
      <c r="B24938" t="s">
        <v>6523</v>
      </c>
      <c r="C24938" s="1" t="s">
        <v>23490</v>
      </c>
      <c r="D24938" s="1" t="str">
        <f>HYPERLINK("https://rhld.insurance.arkansas.gov/NPILookup?Npi=1427139476","1427139476")</f>
        <v>1427139476</v>
      </c>
      <c r="E24938" t="s">
        <v>6660</v>
      </c>
    </row>
    <row r="24939" spans="1:5" x14ac:dyDescent="0.25">
      <c r="A24939" t="s">
        <v>8</v>
      </c>
      <c r="B24939" t="s">
        <v>6523</v>
      </c>
      <c r="C24939" s="1" t="s">
        <v>23490</v>
      </c>
      <c r="D24939" s="1" t="str">
        <f>HYPERLINK("https://rhld.insurance.arkansas.gov/NPILookup?Npi=1427159672","1427159672")</f>
        <v>1427159672</v>
      </c>
      <c r="E24939" t="s">
        <v>22541</v>
      </c>
    </row>
    <row r="24940" spans="1:5" x14ac:dyDescent="0.25">
      <c r="A24940" t="s">
        <v>8</v>
      </c>
      <c r="B24940" t="s">
        <v>6523</v>
      </c>
      <c r="C24940" s="1" t="s">
        <v>23490</v>
      </c>
      <c r="D24940" s="1" t="str">
        <f>HYPERLINK("https://rhld.insurance.arkansas.gov/NPILookup?Npi=1427273432","1427273432")</f>
        <v>1427273432</v>
      </c>
      <c r="E24940" t="s">
        <v>6661</v>
      </c>
    </row>
    <row r="24941" spans="1:5" x14ac:dyDescent="0.25">
      <c r="A24941" t="s">
        <v>8</v>
      </c>
      <c r="B24941" t="s">
        <v>6523</v>
      </c>
      <c r="C24941" s="1" t="s">
        <v>23490</v>
      </c>
      <c r="D24941" s="1" t="str">
        <f>HYPERLINK("https://rhld.insurance.arkansas.gov/NPILookup?Npi=1427343185","1427343185")</f>
        <v>1427343185</v>
      </c>
      <c r="E24941" t="s">
        <v>16418</v>
      </c>
    </row>
    <row r="24942" spans="1:5" x14ac:dyDescent="0.25">
      <c r="A24942" t="s">
        <v>8</v>
      </c>
      <c r="B24942" t="s">
        <v>6523</v>
      </c>
      <c r="C24942" s="1" t="s">
        <v>23490</v>
      </c>
      <c r="D24942" s="1" t="str">
        <f>HYPERLINK("https://rhld.insurance.arkansas.gov/NPILookup?Npi=1427362011","1427362011")</f>
        <v>1427362011</v>
      </c>
      <c r="E24942" t="s">
        <v>12039</v>
      </c>
    </row>
    <row r="24943" spans="1:5" x14ac:dyDescent="0.25">
      <c r="A24943" t="s">
        <v>8</v>
      </c>
      <c r="B24943" t="s">
        <v>6523</v>
      </c>
      <c r="C24943" s="1" t="s">
        <v>23490</v>
      </c>
      <c r="D24943" s="1" t="str">
        <f>HYPERLINK("https://rhld.insurance.arkansas.gov/NPILookup?Npi=1437115763","1437115763")</f>
        <v>1437115763</v>
      </c>
      <c r="E24943" t="s">
        <v>22542</v>
      </c>
    </row>
    <row r="24944" spans="1:5" x14ac:dyDescent="0.25">
      <c r="A24944" t="s">
        <v>8</v>
      </c>
      <c r="B24944" t="s">
        <v>6523</v>
      </c>
      <c r="C24944" s="1" t="s">
        <v>23490</v>
      </c>
      <c r="D24944" s="1" t="str">
        <f>HYPERLINK("https://rhld.insurance.arkansas.gov/NPILookup?Npi=1437124880","1437124880")</f>
        <v>1437124880</v>
      </c>
      <c r="E24944" t="s">
        <v>6662</v>
      </c>
    </row>
    <row r="24945" spans="1:5" x14ac:dyDescent="0.25">
      <c r="A24945" t="s">
        <v>8</v>
      </c>
      <c r="B24945" t="s">
        <v>6523</v>
      </c>
      <c r="C24945" s="1" t="s">
        <v>23490</v>
      </c>
      <c r="D24945" s="1" t="str">
        <f>HYPERLINK("https://rhld.insurance.arkansas.gov/NPILookup?Npi=1437146586","1437146586")</f>
        <v>1437146586</v>
      </c>
      <c r="E24945" t="s">
        <v>6663</v>
      </c>
    </row>
    <row r="24946" spans="1:5" x14ac:dyDescent="0.25">
      <c r="A24946" t="s">
        <v>8</v>
      </c>
      <c r="B24946" t="s">
        <v>6523</v>
      </c>
      <c r="C24946" s="1" t="s">
        <v>23490</v>
      </c>
      <c r="D24946" s="1" t="str">
        <f>HYPERLINK("https://rhld.insurance.arkansas.gov/NPILookup?Npi=1437154036","1437154036")</f>
        <v>1437154036</v>
      </c>
      <c r="E24946" t="s">
        <v>6664</v>
      </c>
    </row>
    <row r="24947" spans="1:5" x14ac:dyDescent="0.25">
      <c r="A24947" t="s">
        <v>8</v>
      </c>
      <c r="B24947" t="s">
        <v>6523</v>
      </c>
      <c r="C24947" s="1" t="s">
        <v>23490</v>
      </c>
      <c r="D24947" s="1" t="str">
        <f>HYPERLINK("https://rhld.insurance.arkansas.gov/NPILookup?Npi=1437191327","1437191327")</f>
        <v>1437191327</v>
      </c>
      <c r="E24947" t="s">
        <v>17717</v>
      </c>
    </row>
    <row r="24948" spans="1:5" x14ac:dyDescent="0.25">
      <c r="A24948" t="s">
        <v>8</v>
      </c>
      <c r="B24948" t="s">
        <v>6523</v>
      </c>
      <c r="C24948" s="1" t="s">
        <v>23490</v>
      </c>
      <c r="D24948" s="1" t="str">
        <f>HYPERLINK("https://rhld.insurance.arkansas.gov/NPILookup?Npi=1437193109","1437193109")</f>
        <v>1437193109</v>
      </c>
      <c r="E24948" t="s">
        <v>6665</v>
      </c>
    </row>
    <row r="24949" spans="1:5" x14ac:dyDescent="0.25">
      <c r="A24949" t="s">
        <v>8</v>
      </c>
      <c r="B24949" t="s">
        <v>6523</v>
      </c>
      <c r="C24949" s="1" t="s">
        <v>23490</v>
      </c>
      <c r="D24949" s="1" t="str">
        <f>HYPERLINK("https://rhld.insurance.arkansas.gov/NPILookup?Npi=1437193612","1437193612")</f>
        <v>1437193612</v>
      </c>
      <c r="E24949" t="s">
        <v>6666</v>
      </c>
    </row>
    <row r="24950" spans="1:5" x14ac:dyDescent="0.25">
      <c r="A24950" t="s">
        <v>8</v>
      </c>
      <c r="B24950" t="s">
        <v>6523</v>
      </c>
      <c r="C24950" s="1" t="s">
        <v>23490</v>
      </c>
      <c r="D24950" s="1" t="str">
        <f>HYPERLINK("https://rhld.insurance.arkansas.gov/NPILookup?Npi=1437376548","1437376548")</f>
        <v>1437376548</v>
      </c>
      <c r="E24950" t="s">
        <v>6667</v>
      </c>
    </row>
    <row r="24951" spans="1:5" x14ac:dyDescent="0.25">
      <c r="A24951" t="s">
        <v>8</v>
      </c>
      <c r="B24951" t="s">
        <v>6523</v>
      </c>
      <c r="C24951" s="1" t="s">
        <v>23490</v>
      </c>
      <c r="D24951" s="1" t="str">
        <f>HYPERLINK("https://rhld.insurance.arkansas.gov/NPILookup?Npi=1437380904","1437380904")</f>
        <v>1437380904</v>
      </c>
      <c r="E24951" t="s">
        <v>12040</v>
      </c>
    </row>
    <row r="24952" spans="1:5" x14ac:dyDescent="0.25">
      <c r="A24952" t="s">
        <v>8</v>
      </c>
      <c r="B24952" t="s">
        <v>6523</v>
      </c>
      <c r="C24952" s="1" t="s">
        <v>23490</v>
      </c>
      <c r="D24952" s="1" t="str">
        <f>HYPERLINK("https://rhld.insurance.arkansas.gov/NPILookup?Npi=1437477783","1437477783")</f>
        <v>1437477783</v>
      </c>
      <c r="E24952" t="s">
        <v>12041</v>
      </c>
    </row>
    <row r="24953" spans="1:5" x14ac:dyDescent="0.25">
      <c r="A24953" t="s">
        <v>8</v>
      </c>
      <c r="B24953" t="s">
        <v>6523</v>
      </c>
      <c r="C24953" s="1" t="s">
        <v>23490</v>
      </c>
      <c r="D24953" s="1" t="str">
        <f>HYPERLINK("https://rhld.insurance.arkansas.gov/NPILookup?Npi=1447239561","1447239561")</f>
        <v>1447239561</v>
      </c>
      <c r="E24953" t="s">
        <v>17288</v>
      </c>
    </row>
    <row r="24954" spans="1:5" x14ac:dyDescent="0.25">
      <c r="A24954" t="s">
        <v>8</v>
      </c>
      <c r="B24954" t="s">
        <v>6523</v>
      </c>
      <c r="C24954" s="1" t="s">
        <v>23490</v>
      </c>
      <c r="D24954" s="1" t="str">
        <f>HYPERLINK("https://rhld.insurance.arkansas.gov/NPILookup?Npi=1447269659","1447269659")</f>
        <v>1447269659</v>
      </c>
      <c r="E24954" t="s">
        <v>6668</v>
      </c>
    </row>
    <row r="24955" spans="1:5" x14ac:dyDescent="0.25">
      <c r="A24955" t="s">
        <v>8</v>
      </c>
      <c r="B24955" t="s">
        <v>6523</v>
      </c>
      <c r="C24955" s="1" t="s">
        <v>23490</v>
      </c>
      <c r="D24955" s="1" t="str">
        <f>HYPERLINK("https://rhld.insurance.arkansas.gov/NPILookup?Npi=1447331152","1447331152")</f>
        <v>1447331152</v>
      </c>
      <c r="E24955" t="s">
        <v>6669</v>
      </c>
    </row>
    <row r="24956" spans="1:5" x14ac:dyDescent="0.25">
      <c r="A24956" t="s">
        <v>8</v>
      </c>
      <c r="B24956" t="s">
        <v>6523</v>
      </c>
      <c r="C24956" s="1" t="s">
        <v>23490</v>
      </c>
      <c r="D24956" s="1" t="str">
        <f>HYPERLINK("https://rhld.insurance.arkansas.gov/NPILookup?Npi=1447342811","1447342811")</f>
        <v>1447342811</v>
      </c>
      <c r="E24956" t="s">
        <v>3142</v>
      </c>
    </row>
    <row r="24957" spans="1:5" x14ac:dyDescent="0.25">
      <c r="A24957" t="s">
        <v>8</v>
      </c>
      <c r="B24957" t="s">
        <v>6523</v>
      </c>
      <c r="C24957" s="1" t="s">
        <v>23490</v>
      </c>
      <c r="D24957" s="1" t="str">
        <f>HYPERLINK("https://rhld.insurance.arkansas.gov/NPILookup?Npi=1457308652","1457308652")</f>
        <v>1457308652</v>
      </c>
      <c r="E24957" t="s">
        <v>18535</v>
      </c>
    </row>
    <row r="24958" spans="1:5" x14ac:dyDescent="0.25">
      <c r="A24958" t="s">
        <v>8</v>
      </c>
      <c r="B24958" t="s">
        <v>6523</v>
      </c>
      <c r="C24958" s="1" t="s">
        <v>23490</v>
      </c>
      <c r="D24958" s="1" t="str">
        <f>HYPERLINK("https://rhld.insurance.arkansas.gov/NPILookup?Npi=1457538548","1457538548")</f>
        <v>1457538548</v>
      </c>
      <c r="E24958" t="s">
        <v>16419</v>
      </c>
    </row>
    <row r="24959" spans="1:5" x14ac:dyDescent="0.25">
      <c r="A24959" t="s">
        <v>8</v>
      </c>
      <c r="B24959" t="s">
        <v>6523</v>
      </c>
      <c r="C24959" s="1" t="s">
        <v>23490</v>
      </c>
      <c r="D24959" s="1" t="str">
        <f>HYPERLINK("https://rhld.insurance.arkansas.gov/NPILookup?Npi=1457619884","1457619884")</f>
        <v>1457619884</v>
      </c>
      <c r="E24959" t="s">
        <v>22543</v>
      </c>
    </row>
    <row r="24960" spans="1:5" x14ac:dyDescent="0.25">
      <c r="A24960" t="s">
        <v>8</v>
      </c>
      <c r="B24960" t="s">
        <v>6523</v>
      </c>
      <c r="C24960" s="1" t="s">
        <v>23490</v>
      </c>
      <c r="D24960" s="1" t="str">
        <f>HYPERLINK("https://rhld.insurance.arkansas.gov/NPILookup?Npi=1467456954","1467456954")</f>
        <v>1467456954</v>
      </c>
      <c r="E24960" t="s">
        <v>6670</v>
      </c>
    </row>
    <row r="24961" spans="1:5" x14ac:dyDescent="0.25">
      <c r="A24961" t="s">
        <v>8</v>
      </c>
      <c r="B24961" t="s">
        <v>6523</v>
      </c>
      <c r="C24961" s="1" t="s">
        <v>23490</v>
      </c>
      <c r="D24961" s="1" t="str">
        <f>HYPERLINK("https://rhld.insurance.arkansas.gov/NPILookup?Npi=1467457358","1467457358")</f>
        <v>1467457358</v>
      </c>
      <c r="E24961" t="s">
        <v>6671</v>
      </c>
    </row>
    <row r="24962" spans="1:5" x14ac:dyDescent="0.25">
      <c r="A24962" t="s">
        <v>8</v>
      </c>
      <c r="B24962" t="s">
        <v>6523</v>
      </c>
      <c r="C24962" s="1" t="s">
        <v>23490</v>
      </c>
      <c r="D24962" s="1" t="str">
        <f>HYPERLINK("https://rhld.insurance.arkansas.gov/NPILookup?Npi=1467480558","1467480558")</f>
        <v>1467480558</v>
      </c>
      <c r="E24962" t="s">
        <v>16420</v>
      </c>
    </row>
    <row r="24963" spans="1:5" x14ac:dyDescent="0.25">
      <c r="A24963" t="s">
        <v>8</v>
      </c>
      <c r="B24963" t="s">
        <v>6523</v>
      </c>
      <c r="C24963" s="1" t="s">
        <v>23490</v>
      </c>
      <c r="D24963" s="1" t="str">
        <f>HYPERLINK("https://rhld.insurance.arkansas.gov/NPILookup?Npi=1467541433","1467541433")</f>
        <v>1467541433</v>
      </c>
      <c r="E24963" t="s">
        <v>12554</v>
      </c>
    </row>
    <row r="24964" spans="1:5" x14ac:dyDescent="0.25">
      <c r="A24964" t="s">
        <v>8</v>
      </c>
      <c r="B24964" t="s">
        <v>6523</v>
      </c>
      <c r="C24964" s="1" t="s">
        <v>23490</v>
      </c>
      <c r="D24964" s="1" t="str">
        <f>HYPERLINK("https://rhld.insurance.arkansas.gov/NPILookup?Npi=1467688044","1467688044")</f>
        <v>1467688044</v>
      </c>
      <c r="E24964" t="s">
        <v>6672</v>
      </c>
    </row>
    <row r="24965" spans="1:5" x14ac:dyDescent="0.25">
      <c r="A24965" t="s">
        <v>8</v>
      </c>
      <c r="B24965" t="s">
        <v>6523</v>
      </c>
      <c r="C24965" s="1" t="s">
        <v>23490</v>
      </c>
      <c r="D24965" s="1" t="str">
        <f>HYPERLINK("https://rhld.insurance.arkansas.gov/NPILookup?Npi=1467865279","1467865279")</f>
        <v>1467865279</v>
      </c>
      <c r="E24965" t="s">
        <v>18536</v>
      </c>
    </row>
    <row r="24966" spans="1:5" x14ac:dyDescent="0.25">
      <c r="A24966" t="s">
        <v>8</v>
      </c>
      <c r="B24966" t="s">
        <v>6523</v>
      </c>
      <c r="C24966" s="1" t="s">
        <v>23490</v>
      </c>
      <c r="D24966" s="1" t="str">
        <f>HYPERLINK("https://rhld.insurance.arkansas.gov/NPILookup?Npi=1467891705","1467891705")</f>
        <v>1467891705</v>
      </c>
      <c r="E24966" t="s">
        <v>20721</v>
      </c>
    </row>
    <row r="24967" spans="1:5" x14ac:dyDescent="0.25">
      <c r="A24967" t="s">
        <v>8</v>
      </c>
      <c r="B24967" t="s">
        <v>6523</v>
      </c>
      <c r="C24967" s="1" t="s">
        <v>23490</v>
      </c>
      <c r="D24967" s="1" t="str">
        <f>HYPERLINK("https://rhld.insurance.arkansas.gov/NPILookup?Npi=1477503340","1477503340")</f>
        <v>1477503340</v>
      </c>
      <c r="E24967" t="s">
        <v>20722</v>
      </c>
    </row>
    <row r="24968" spans="1:5" x14ac:dyDescent="0.25">
      <c r="A24968" t="s">
        <v>8</v>
      </c>
      <c r="B24968" t="s">
        <v>6523</v>
      </c>
      <c r="C24968" s="1" t="s">
        <v>23490</v>
      </c>
      <c r="D24968" s="1" t="str">
        <f>HYPERLINK("https://rhld.insurance.arkansas.gov/NPILookup?Npi=1477513778","1477513778")</f>
        <v>1477513778</v>
      </c>
      <c r="E24968" t="s">
        <v>22544</v>
      </c>
    </row>
    <row r="24969" spans="1:5" x14ac:dyDescent="0.25">
      <c r="A24969" t="s">
        <v>8</v>
      </c>
      <c r="B24969" t="s">
        <v>6523</v>
      </c>
      <c r="C24969" s="1" t="s">
        <v>23490</v>
      </c>
      <c r="D24969" s="1" t="str">
        <f>HYPERLINK("https://rhld.insurance.arkansas.gov/NPILookup?Npi=1477553170","1477553170")</f>
        <v>1477553170</v>
      </c>
      <c r="E24969" t="s">
        <v>6673</v>
      </c>
    </row>
    <row r="24970" spans="1:5" x14ac:dyDescent="0.25">
      <c r="A24970" t="s">
        <v>8</v>
      </c>
      <c r="B24970" t="s">
        <v>6523</v>
      </c>
      <c r="C24970" s="1" t="s">
        <v>23490</v>
      </c>
      <c r="D24970" s="1" t="str">
        <f>HYPERLINK("https://rhld.insurance.arkansas.gov/NPILookup?Npi=1477558955","1477558955")</f>
        <v>1477558955</v>
      </c>
      <c r="E24970" t="s">
        <v>22545</v>
      </c>
    </row>
    <row r="24971" spans="1:5" x14ac:dyDescent="0.25">
      <c r="A24971" t="s">
        <v>8</v>
      </c>
      <c r="B24971" t="s">
        <v>6523</v>
      </c>
      <c r="C24971" s="1" t="s">
        <v>23490</v>
      </c>
      <c r="D24971" s="1" t="str">
        <f>HYPERLINK("https://rhld.insurance.arkansas.gov/NPILookup?Npi=1477585768","1477585768")</f>
        <v>1477585768</v>
      </c>
      <c r="E24971" t="s">
        <v>9233</v>
      </c>
    </row>
    <row r="24972" spans="1:5" x14ac:dyDescent="0.25">
      <c r="A24972" t="s">
        <v>8</v>
      </c>
      <c r="B24972" t="s">
        <v>6523</v>
      </c>
      <c r="C24972" s="1" t="s">
        <v>23490</v>
      </c>
      <c r="D24972" s="1" t="str">
        <f>HYPERLINK("https://rhld.insurance.arkansas.gov/NPILookup?Npi=1477635027","1477635027")</f>
        <v>1477635027</v>
      </c>
      <c r="E24972" t="s">
        <v>6674</v>
      </c>
    </row>
    <row r="24973" spans="1:5" x14ac:dyDescent="0.25">
      <c r="A24973" t="s">
        <v>8</v>
      </c>
      <c r="B24973" t="s">
        <v>6523</v>
      </c>
      <c r="C24973" s="1" t="s">
        <v>23490</v>
      </c>
      <c r="D24973" s="1" t="str">
        <f>HYPERLINK("https://rhld.insurance.arkansas.gov/NPILookup?Npi=1477654630","1477654630")</f>
        <v>1477654630</v>
      </c>
      <c r="E24973" t="s">
        <v>12042</v>
      </c>
    </row>
    <row r="24974" spans="1:5" x14ac:dyDescent="0.25">
      <c r="A24974" t="s">
        <v>8</v>
      </c>
      <c r="B24974" t="s">
        <v>6523</v>
      </c>
      <c r="C24974" s="1" t="s">
        <v>23490</v>
      </c>
      <c r="D24974" s="1" t="str">
        <f>HYPERLINK("https://rhld.insurance.arkansas.gov/NPILookup?Npi=1477656536","1477656536")</f>
        <v>1477656536</v>
      </c>
      <c r="E24974" t="s">
        <v>6675</v>
      </c>
    </row>
    <row r="24975" spans="1:5" x14ac:dyDescent="0.25">
      <c r="A24975" t="s">
        <v>8</v>
      </c>
      <c r="B24975" t="s">
        <v>6523</v>
      </c>
      <c r="C24975" s="1" t="s">
        <v>8427</v>
      </c>
      <c r="D24975" s="1" t="str">
        <f>HYPERLINK("https://rhld.insurance.arkansas.gov/NPILookup?Npi=1477930295","1477930295")</f>
        <v>1477930295</v>
      </c>
      <c r="E24975" t="s">
        <v>23288</v>
      </c>
    </row>
    <row r="24976" spans="1:5" x14ac:dyDescent="0.25">
      <c r="A24976" t="s">
        <v>8</v>
      </c>
      <c r="B24976" t="s">
        <v>6523</v>
      </c>
      <c r="C24976" s="1" t="s">
        <v>23490</v>
      </c>
      <c r="D24976" s="1" t="str">
        <f>HYPERLINK("https://rhld.insurance.arkansas.gov/NPILookup?Npi=1487038477","1487038477")</f>
        <v>1487038477</v>
      </c>
      <c r="E24976" t="s">
        <v>21269</v>
      </c>
    </row>
    <row r="24977" spans="1:5" x14ac:dyDescent="0.25">
      <c r="A24977" t="s">
        <v>8</v>
      </c>
      <c r="B24977" t="s">
        <v>6523</v>
      </c>
      <c r="C24977" s="1" t="s">
        <v>23490</v>
      </c>
      <c r="D24977" s="1" t="str">
        <f>HYPERLINK("https://rhld.insurance.arkansas.gov/NPILookup?Npi=1487628194","1487628194")</f>
        <v>1487628194</v>
      </c>
      <c r="E24977" t="s">
        <v>6676</v>
      </c>
    </row>
    <row r="24978" spans="1:5" x14ac:dyDescent="0.25">
      <c r="A24978" t="s">
        <v>8</v>
      </c>
      <c r="B24978" t="s">
        <v>6523</v>
      </c>
      <c r="C24978" s="1" t="s">
        <v>23490</v>
      </c>
      <c r="D24978" s="1" t="str">
        <f>HYPERLINK("https://rhld.insurance.arkansas.gov/NPILookup?Npi=1487647806","1487647806")</f>
        <v>1487647806</v>
      </c>
      <c r="E24978" t="s">
        <v>6677</v>
      </c>
    </row>
    <row r="24979" spans="1:5" x14ac:dyDescent="0.25">
      <c r="A24979" t="s">
        <v>8</v>
      </c>
      <c r="B24979" t="s">
        <v>6523</v>
      </c>
      <c r="C24979" s="1" t="s">
        <v>23490</v>
      </c>
      <c r="D24979" s="1" t="str">
        <f>HYPERLINK("https://rhld.insurance.arkansas.gov/NPILookup?Npi=1487648879","1487648879")</f>
        <v>1487648879</v>
      </c>
      <c r="E24979" t="s">
        <v>6678</v>
      </c>
    </row>
    <row r="24980" spans="1:5" x14ac:dyDescent="0.25">
      <c r="A24980" t="s">
        <v>8</v>
      </c>
      <c r="B24980" t="s">
        <v>6523</v>
      </c>
      <c r="C24980" s="1" t="s">
        <v>23490</v>
      </c>
      <c r="D24980" s="1" t="str">
        <f>HYPERLINK("https://rhld.insurance.arkansas.gov/NPILookup?Npi=1487699864","1487699864")</f>
        <v>1487699864</v>
      </c>
      <c r="E24980" t="s">
        <v>6679</v>
      </c>
    </row>
    <row r="24981" spans="1:5" x14ac:dyDescent="0.25">
      <c r="A24981" t="s">
        <v>8</v>
      </c>
      <c r="B24981" t="s">
        <v>6523</v>
      </c>
      <c r="C24981" s="1" t="s">
        <v>23490</v>
      </c>
      <c r="D24981" s="1" t="str">
        <f>HYPERLINK("https://rhld.insurance.arkansas.gov/NPILookup?Npi=1487744983","1487744983")</f>
        <v>1487744983</v>
      </c>
      <c r="E24981" t="s">
        <v>6680</v>
      </c>
    </row>
    <row r="24982" spans="1:5" x14ac:dyDescent="0.25">
      <c r="A24982" t="s">
        <v>8</v>
      </c>
      <c r="B24982" t="s">
        <v>6523</v>
      </c>
      <c r="C24982" s="1" t="s">
        <v>23490</v>
      </c>
      <c r="D24982" s="1" t="str">
        <f>HYPERLINK("https://rhld.insurance.arkansas.gov/NPILookup?Npi=1487852034","1487852034")</f>
        <v>1487852034</v>
      </c>
      <c r="E24982" t="s">
        <v>16421</v>
      </c>
    </row>
    <row r="24983" spans="1:5" x14ac:dyDescent="0.25">
      <c r="A24983" t="s">
        <v>8</v>
      </c>
      <c r="B24983" t="s">
        <v>6523</v>
      </c>
      <c r="C24983" s="1" t="s">
        <v>23490</v>
      </c>
      <c r="D24983" s="1" t="str">
        <f>HYPERLINK("https://rhld.insurance.arkansas.gov/NPILookup?Npi=1497041982","1497041982")</f>
        <v>1497041982</v>
      </c>
      <c r="E24983" t="s">
        <v>14427</v>
      </c>
    </row>
    <row r="24984" spans="1:5" x14ac:dyDescent="0.25">
      <c r="A24984" t="s">
        <v>8</v>
      </c>
      <c r="B24984" t="s">
        <v>6523</v>
      </c>
      <c r="C24984" s="1" t="s">
        <v>23490</v>
      </c>
      <c r="D24984" s="1" t="str">
        <f>HYPERLINK("https://rhld.insurance.arkansas.gov/NPILookup?Npi=1497160386","1497160386")</f>
        <v>1497160386</v>
      </c>
      <c r="E24984" t="s">
        <v>19125</v>
      </c>
    </row>
    <row r="24985" spans="1:5" x14ac:dyDescent="0.25">
      <c r="A24985" t="s">
        <v>8</v>
      </c>
      <c r="B24985" t="s">
        <v>6523</v>
      </c>
      <c r="C24985" s="1" t="s">
        <v>23490</v>
      </c>
      <c r="D24985" s="1" t="str">
        <f>HYPERLINK("https://rhld.insurance.arkansas.gov/NPILookup?Npi=1497717128","1497717128")</f>
        <v>1497717128</v>
      </c>
      <c r="E24985" t="s">
        <v>6681</v>
      </c>
    </row>
    <row r="24986" spans="1:5" x14ac:dyDescent="0.25">
      <c r="A24986" t="s">
        <v>8</v>
      </c>
      <c r="B24986" t="s">
        <v>6523</v>
      </c>
      <c r="C24986" s="1" t="s">
        <v>23490</v>
      </c>
      <c r="D24986" s="1" t="str">
        <f>HYPERLINK("https://rhld.insurance.arkansas.gov/NPILookup?Npi=1497718662","1497718662")</f>
        <v>1497718662</v>
      </c>
      <c r="E24986" t="s">
        <v>18537</v>
      </c>
    </row>
    <row r="24987" spans="1:5" x14ac:dyDescent="0.25">
      <c r="A24987" t="s">
        <v>8</v>
      </c>
      <c r="B24987" t="s">
        <v>6523</v>
      </c>
      <c r="C24987" s="1" t="s">
        <v>23490</v>
      </c>
      <c r="D24987" s="1" t="str">
        <f>HYPERLINK("https://rhld.insurance.arkansas.gov/NPILookup?Npi=1497756076","1497756076")</f>
        <v>1497756076</v>
      </c>
      <c r="E24987" t="s">
        <v>6682</v>
      </c>
    </row>
    <row r="24988" spans="1:5" x14ac:dyDescent="0.25">
      <c r="A24988" t="s">
        <v>8</v>
      </c>
      <c r="B24988" t="s">
        <v>6523</v>
      </c>
      <c r="C24988" s="1" t="s">
        <v>23490</v>
      </c>
      <c r="D24988" s="1" t="str">
        <f>HYPERLINK("https://rhld.insurance.arkansas.gov/NPILookup?Npi=1497847867","1497847867")</f>
        <v>1497847867</v>
      </c>
      <c r="E24988" t="s">
        <v>6683</v>
      </c>
    </row>
    <row r="24989" spans="1:5" x14ac:dyDescent="0.25">
      <c r="A24989" t="s">
        <v>8</v>
      </c>
      <c r="B24989" t="s">
        <v>6523</v>
      </c>
      <c r="C24989" s="1" t="s">
        <v>23490</v>
      </c>
      <c r="D24989" s="1" t="str">
        <f>HYPERLINK("https://rhld.insurance.arkansas.gov/NPILookup?Npi=1497878474","1497878474")</f>
        <v>1497878474</v>
      </c>
      <c r="E24989" t="s">
        <v>6684</v>
      </c>
    </row>
    <row r="24990" spans="1:5" x14ac:dyDescent="0.25">
      <c r="A24990" t="s">
        <v>8</v>
      </c>
      <c r="B24990" t="s">
        <v>6523</v>
      </c>
      <c r="C24990" s="1" t="s">
        <v>23490</v>
      </c>
      <c r="D24990" s="1" t="str">
        <f>HYPERLINK("https://rhld.insurance.arkansas.gov/NPILookup?Npi=1497956601","1497956601")</f>
        <v>1497956601</v>
      </c>
      <c r="E24990" t="s">
        <v>19126</v>
      </c>
    </row>
    <row r="24991" spans="1:5" x14ac:dyDescent="0.25">
      <c r="A24991" t="s">
        <v>8</v>
      </c>
      <c r="B24991" t="s">
        <v>6523</v>
      </c>
      <c r="C24991" s="1" t="s">
        <v>23490</v>
      </c>
      <c r="D24991" s="1" t="str">
        <f>HYPERLINK("https://rhld.insurance.arkansas.gov/NPILookup?Npi=1508088162","1508088162")</f>
        <v>1508088162</v>
      </c>
      <c r="E24991" t="s">
        <v>6685</v>
      </c>
    </row>
    <row r="24992" spans="1:5" x14ac:dyDescent="0.25">
      <c r="A24992" t="s">
        <v>8</v>
      </c>
      <c r="B24992" t="s">
        <v>6523</v>
      </c>
      <c r="C24992" s="1" t="s">
        <v>23490</v>
      </c>
      <c r="D24992" s="1" t="str">
        <f>HYPERLINK("https://rhld.insurance.arkansas.gov/NPILookup?Npi=1508276932","1508276932")</f>
        <v>1508276932</v>
      </c>
      <c r="E24992" t="s">
        <v>17718</v>
      </c>
    </row>
    <row r="24993" spans="1:5" x14ac:dyDescent="0.25">
      <c r="A24993" t="s">
        <v>8</v>
      </c>
      <c r="B24993" t="s">
        <v>6523</v>
      </c>
      <c r="C24993" s="1" t="s">
        <v>23490</v>
      </c>
      <c r="D24993" s="1" t="str">
        <f>HYPERLINK("https://rhld.insurance.arkansas.gov/NPILookup?Npi=1508822594","1508822594")</f>
        <v>1508822594</v>
      </c>
      <c r="E24993" t="s">
        <v>12043</v>
      </c>
    </row>
    <row r="24994" spans="1:5" x14ac:dyDescent="0.25">
      <c r="A24994" t="s">
        <v>8</v>
      </c>
      <c r="B24994" t="s">
        <v>6523</v>
      </c>
      <c r="C24994" s="1" t="s">
        <v>23490</v>
      </c>
      <c r="D24994" s="1" t="str">
        <f>HYPERLINK("https://rhld.insurance.arkansas.gov/NPILookup?Npi=1508825647","1508825647")</f>
        <v>1508825647</v>
      </c>
      <c r="E24994" t="s">
        <v>6686</v>
      </c>
    </row>
    <row r="24995" spans="1:5" x14ac:dyDescent="0.25">
      <c r="A24995" t="s">
        <v>8</v>
      </c>
      <c r="B24995" t="s">
        <v>6523</v>
      </c>
      <c r="C24995" s="1" t="s">
        <v>23490</v>
      </c>
      <c r="D24995" s="1" t="str">
        <f>HYPERLINK("https://rhld.insurance.arkansas.gov/NPILookup?Npi=1508851510","1508851510")</f>
        <v>1508851510</v>
      </c>
      <c r="E24995" t="s">
        <v>6687</v>
      </c>
    </row>
    <row r="24996" spans="1:5" x14ac:dyDescent="0.25">
      <c r="A24996" t="s">
        <v>8</v>
      </c>
      <c r="B24996" t="s">
        <v>6523</v>
      </c>
      <c r="C24996" s="1" t="s">
        <v>23490</v>
      </c>
      <c r="D24996" s="1" t="str">
        <f>HYPERLINK("https://rhld.insurance.arkansas.gov/NPILookup?Npi=1518245935","1518245935")</f>
        <v>1518245935</v>
      </c>
      <c r="E24996" t="s">
        <v>17289</v>
      </c>
    </row>
    <row r="24997" spans="1:5" x14ac:dyDescent="0.25">
      <c r="A24997" t="s">
        <v>8</v>
      </c>
      <c r="B24997" t="s">
        <v>6523</v>
      </c>
      <c r="C24997" s="1" t="s">
        <v>23490</v>
      </c>
      <c r="D24997" s="1" t="str">
        <f>HYPERLINK("https://rhld.insurance.arkansas.gov/NPILookup?Npi=1518304534","1518304534")</f>
        <v>1518304534</v>
      </c>
      <c r="E24997" t="s">
        <v>17290</v>
      </c>
    </row>
    <row r="24998" spans="1:5" x14ac:dyDescent="0.25">
      <c r="A24998" t="s">
        <v>8</v>
      </c>
      <c r="B24998" t="s">
        <v>6523</v>
      </c>
      <c r="C24998" s="1" t="s">
        <v>23490</v>
      </c>
      <c r="D24998" s="1" t="str">
        <f>HYPERLINK("https://rhld.insurance.arkansas.gov/NPILookup?Npi=1518907807","1518907807")</f>
        <v>1518907807</v>
      </c>
      <c r="E24998" t="s">
        <v>6688</v>
      </c>
    </row>
    <row r="24999" spans="1:5" x14ac:dyDescent="0.25">
      <c r="A24999" t="s">
        <v>8</v>
      </c>
      <c r="B24999" t="s">
        <v>6523</v>
      </c>
      <c r="C24999" s="1" t="s">
        <v>23490</v>
      </c>
      <c r="D24999" s="1" t="str">
        <f>HYPERLINK("https://rhld.insurance.arkansas.gov/NPILookup?Npi=1518917921","1518917921")</f>
        <v>1518917921</v>
      </c>
      <c r="E24999" t="s">
        <v>6689</v>
      </c>
    </row>
    <row r="25000" spans="1:5" x14ac:dyDescent="0.25">
      <c r="A25000" t="s">
        <v>8</v>
      </c>
      <c r="B25000" t="s">
        <v>6523</v>
      </c>
      <c r="C25000" s="1" t="s">
        <v>23490</v>
      </c>
      <c r="D25000" s="1" t="str">
        <f>HYPERLINK("https://rhld.insurance.arkansas.gov/NPILookup?Npi=1528018868","1528018868")</f>
        <v>1528018868</v>
      </c>
      <c r="E25000" t="s">
        <v>6690</v>
      </c>
    </row>
    <row r="25001" spans="1:5" x14ac:dyDescent="0.25">
      <c r="A25001" t="s">
        <v>8</v>
      </c>
      <c r="B25001" t="s">
        <v>6523</v>
      </c>
      <c r="C25001" s="1" t="s">
        <v>23490</v>
      </c>
      <c r="D25001" s="1" t="str">
        <f>HYPERLINK("https://rhld.insurance.arkansas.gov/NPILookup?Npi=1528220050","1528220050")</f>
        <v>1528220050</v>
      </c>
      <c r="E25001" t="s">
        <v>20723</v>
      </c>
    </row>
    <row r="25002" spans="1:5" x14ac:dyDescent="0.25">
      <c r="A25002" t="s">
        <v>8</v>
      </c>
      <c r="B25002" t="s">
        <v>6523</v>
      </c>
      <c r="C25002" s="1" t="s">
        <v>23490</v>
      </c>
      <c r="D25002" s="1" t="str">
        <f>HYPERLINK("https://rhld.insurance.arkansas.gov/NPILookup?Npi=1528227667","1528227667")</f>
        <v>1528227667</v>
      </c>
      <c r="E25002" t="s">
        <v>17291</v>
      </c>
    </row>
    <row r="25003" spans="1:5" x14ac:dyDescent="0.25">
      <c r="A25003" t="s">
        <v>8</v>
      </c>
      <c r="B25003" t="s">
        <v>6523</v>
      </c>
      <c r="C25003" s="1" t="s">
        <v>23490</v>
      </c>
      <c r="D25003" s="1" t="str">
        <f>HYPERLINK("https://rhld.insurance.arkansas.gov/NPILookup?Npi=1528260460","1528260460")</f>
        <v>1528260460</v>
      </c>
      <c r="E25003" t="s">
        <v>6691</v>
      </c>
    </row>
    <row r="25004" spans="1:5" x14ac:dyDescent="0.25">
      <c r="A25004" t="s">
        <v>8</v>
      </c>
      <c r="B25004" t="s">
        <v>6523</v>
      </c>
      <c r="C25004" s="1" t="s">
        <v>23490</v>
      </c>
      <c r="D25004" s="1" t="str">
        <f>HYPERLINK("https://rhld.insurance.arkansas.gov/NPILookup?Npi=1528486438","1528486438")</f>
        <v>1528486438</v>
      </c>
      <c r="E25004" t="s">
        <v>22547</v>
      </c>
    </row>
    <row r="25005" spans="1:5" x14ac:dyDescent="0.25">
      <c r="A25005" t="s">
        <v>8</v>
      </c>
      <c r="B25005" t="s">
        <v>6523</v>
      </c>
      <c r="C25005" s="1" t="s">
        <v>23490</v>
      </c>
      <c r="D25005" s="1" t="str">
        <f>HYPERLINK("https://rhld.insurance.arkansas.gov/NPILookup?Npi=1538164421","1538164421")</f>
        <v>1538164421</v>
      </c>
      <c r="E25005" t="s">
        <v>6692</v>
      </c>
    </row>
    <row r="25006" spans="1:5" x14ac:dyDescent="0.25">
      <c r="A25006" t="s">
        <v>8</v>
      </c>
      <c r="B25006" t="s">
        <v>6523</v>
      </c>
      <c r="C25006" s="1" t="s">
        <v>23490</v>
      </c>
      <c r="D25006" s="1" t="str">
        <f>HYPERLINK("https://rhld.insurance.arkansas.gov/NPILookup?Npi=1538357470","1538357470")</f>
        <v>1538357470</v>
      </c>
      <c r="E25006" t="s">
        <v>6693</v>
      </c>
    </row>
    <row r="25007" spans="1:5" x14ac:dyDescent="0.25">
      <c r="A25007" t="s">
        <v>8</v>
      </c>
      <c r="B25007" t="s">
        <v>6523</v>
      </c>
      <c r="C25007" s="1" t="s">
        <v>23490</v>
      </c>
      <c r="D25007" s="1" t="str">
        <f>HYPERLINK("https://rhld.insurance.arkansas.gov/NPILookup?Npi=1538391446","1538391446")</f>
        <v>1538391446</v>
      </c>
      <c r="E25007" t="s">
        <v>11027</v>
      </c>
    </row>
    <row r="25008" spans="1:5" x14ac:dyDescent="0.25">
      <c r="A25008" t="s">
        <v>8</v>
      </c>
      <c r="B25008" t="s">
        <v>6523</v>
      </c>
      <c r="C25008" s="1" t="s">
        <v>23490</v>
      </c>
      <c r="D25008" s="1" t="str">
        <f>HYPERLINK("https://rhld.insurance.arkansas.gov/NPILookup?Npi=1538574975","1538574975")</f>
        <v>1538574975</v>
      </c>
      <c r="E25008" t="s">
        <v>21270</v>
      </c>
    </row>
    <row r="25009" spans="1:5" x14ac:dyDescent="0.25">
      <c r="A25009" t="s">
        <v>8</v>
      </c>
      <c r="B25009" t="s">
        <v>6523</v>
      </c>
      <c r="C25009" s="1" t="s">
        <v>23490</v>
      </c>
      <c r="D25009" s="1" t="str">
        <f>HYPERLINK("https://rhld.insurance.arkansas.gov/NPILookup?Npi=1538577333","1538577333")</f>
        <v>1538577333</v>
      </c>
      <c r="E25009" t="s">
        <v>22549</v>
      </c>
    </row>
    <row r="25010" spans="1:5" x14ac:dyDescent="0.25">
      <c r="A25010" t="s">
        <v>8</v>
      </c>
      <c r="B25010" t="s">
        <v>6523</v>
      </c>
      <c r="C25010" s="1" t="s">
        <v>23490</v>
      </c>
      <c r="D25010" s="1" t="str">
        <f>HYPERLINK("https://rhld.insurance.arkansas.gov/NPILookup?Npi=1548216138","1548216138")</f>
        <v>1548216138</v>
      </c>
      <c r="E25010" t="s">
        <v>6694</v>
      </c>
    </row>
    <row r="25011" spans="1:5" x14ac:dyDescent="0.25">
      <c r="A25011" t="s">
        <v>8</v>
      </c>
      <c r="B25011" t="s">
        <v>6523</v>
      </c>
      <c r="C25011" s="1" t="s">
        <v>23490</v>
      </c>
      <c r="D25011" s="1" t="str">
        <f>HYPERLINK("https://rhld.insurance.arkansas.gov/NPILookup?Npi=1548239585","1548239585")</f>
        <v>1548239585</v>
      </c>
      <c r="E25011" t="s">
        <v>6695</v>
      </c>
    </row>
    <row r="25012" spans="1:5" x14ac:dyDescent="0.25">
      <c r="A25012" t="s">
        <v>8</v>
      </c>
      <c r="B25012" t="s">
        <v>6523</v>
      </c>
      <c r="C25012" s="1" t="s">
        <v>23490</v>
      </c>
      <c r="D25012" s="1" t="str">
        <f>HYPERLINK("https://rhld.insurance.arkansas.gov/NPILookup?Npi=1548292386","1548292386")</f>
        <v>1548292386</v>
      </c>
      <c r="E25012" t="s">
        <v>14428</v>
      </c>
    </row>
    <row r="25013" spans="1:5" x14ac:dyDescent="0.25">
      <c r="A25013" t="s">
        <v>8</v>
      </c>
      <c r="B25013" t="s">
        <v>6523</v>
      </c>
      <c r="C25013" s="1" t="s">
        <v>23490</v>
      </c>
      <c r="D25013" s="1" t="str">
        <f>HYPERLINK("https://rhld.insurance.arkansas.gov/NPILookup?Npi=1548425622","1548425622")</f>
        <v>1548425622</v>
      </c>
      <c r="E25013" t="s">
        <v>9234</v>
      </c>
    </row>
    <row r="25014" spans="1:5" x14ac:dyDescent="0.25">
      <c r="A25014" t="s">
        <v>8</v>
      </c>
      <c r="B25014" t="s">
        <v>6523</v>
      </c>
      <c r="C25014" s="1" t="s">
        <v>23490</v>
      </c>
      <c r="D25014" s="1" t="str">
        <f>HYPERLINK("https://rhld.insurance.arkansas.gov/NPILookup?Npi=1548440522","1548440522")</f>
        <v>1548440522</v>
      </c>
      <c r="E25014" t="s">
        <v>6696</v>
      </c>
    </row>
    <row r="25015" spans="1:5" x14ac:dyDescent="0.25">
      <c r="A25015" t="s">
        <v>8</v>
      </c>
      <c r="B25015" t="s">
        <v>6523</v>
      </c>
      <c r="C25015" s="1" t="s">
        <v>23490</v>
      </c>
      <c r="D25015" s="1" t="str">
        <f>HYPERLINK("https://rhld.insurance.arkansas.gov/NPILookup?Npi=1548674583","1548674583")</f>
        <v>1548674583</v>
      </c>
      <c r="E25015" t="s">
        <v>20724</v>
      </c>
    </row>
    <row r="25016" spans="1:5" x14ac:dyDescent="0.25">
      <c r="A25016" t="s">
        <v>8</v>
      </c>
      <c r="B25016" t="s">
        <v>6523</v>
      </c>
      <c r="C25016" s="1" t="s">
        <v>23490</v>
      </c>
      <c r="D25016" s="1" t="str">
        <f>HYPERLINK("https://rhld.insurance.arkansas.gov/NPILookup?Npi=1558319962","1558319962")</f>
        <v>1558319962</v>
      </c>
      <c r="E25016" t="s">
        <v>6697</v>
      </c>
    </row>
    <row r="25017" spans="1:5" x14ac:dyDescent="0.25">
      <c r="A25017" t="s">
        <v>8</v>
      </c>
      <c r="B25017" t="s">
        <v>6523</v>
      </c>
      <c r="C25017" s="1" t="s">
        <v>23490</v>
      </c>
      <c r="D25017" s="1" t="str">
        <f>HYPERLINK("https://rhld.insurance.arkansas.gov/NPILookup?Npi=1558325324","1558325324")</f>
        <v>1558325324</v>
      </c>
      <c r="E25017" t="s">
        <v>6698</v>
      </c>
    </row>
    <row r="25018" spans="1:5" x14ac:dyDescent="0.25">
      <c r="A25018" t="s">
        <v>8</v>
      </c>
      <c r="B25018" t="s">
        <v>6523</v>
      </c>
      <c r="C25018" s="1" t="s">
        <v>23490</v>
      </c>
      <c r="D25018" s="1" t="str">
        <f>HYPERLINK("https://rhld.insurance.arkansas.gov/NPILookup?Npi=1558333617","1558333617")</f>
        <v>1558333617</v>
      </c>
      <c r="E25018" t="s">
        <v>6699</v>
      </c>
    </row>
    <row r="25019" spans="1:5" x14ac:dyDescent="0.25">
      <c r="A25019" t="s">
        <v>8</v>
      </c>
      <c r="B25019" t="s">
        <v>6523</v>
      </c>
      <c r="C25019" s="1" t="s">
        <v>23490</v>
      </c>
      <c r="D25019" s="1" t="str">
        <f>HYPERLINK("https://rhld.insurance.arkansas.gov/NPILookup?Npi=1558347278","1558347278")</f>
        <v>1558347278</v>
      </c>
      <c r="E25019" t="s">
        <v>22550</v>
      </c>
    </row>
    <row r="25020" spans="1:5" x14ac:dyDescent="0.25">
      <c r="A25020" t="s">
        <v>8</v>
      </c>
      <c r="B25020" t="s">
        <v>6523</v>
      </c>
      <c r="C25020" s="1" t="s">
        <v>23490</v>
      </c>
      <c r="D25020" s="1" t="str">
        <f>HYPERLINK("https://rhld.insurance.arkansas.gov/NPILookup?Npi=1558363622","1558363622")</f>
        <v>1558363622</v>
      </c>
      <c r="E25020" t="s">
        <v>6700</v>
      </c>
    </row>
    <row r="25021" spans="1:5" x14ac:dyDescent="0.25">
      <c r="A25021" t="s">
        <v>8</v>
      </c>
      <c r="B25021" t="s">
        <v>6523</v>
      </c>
      <c r="C25021" s="1" t="s">
        <v>23490</v>
      </c>
      <c r="D25021" s="1" t="str">
        <f>HYPERLINK("https://rhld.insurance.arkansas.gov/NPILookup?Npi=1558367490","1558367490")</f>
        <v>1558367490</v>
      </c>
      <c r="E25021" t="s">
        <v>6701</v>
      </c>
    </row>
    <row r="25022" spans="1:5" x14ac:dyDescent="0.25">
      <c r="A25022" t="s">
        <v>8</v>
      </c>
      <c r="B25022" t="s">
        <v>6523</v>
      </c>
      <c r="C25022" s="1" t="s">
        <v>23490</v>
      </c>
      <c r="D25022" s="1" t="str">
        <f>HYPERLINK("https://rhld.insurance.arkansas.gov/NPILookup?Npi=1558429522","1558429522")</f>
        <v>1558429522</v>
      </c>
      <c r="E25022" t="s">
        <v>6702</v>
      </c>
    </row>
    <row r="25023" spans="1:5" x14ac:dyDescent="0.25">
      <c r="A25023" t="s">
        <v>8</v>
      </c>
      <c r="B25023" t="s">
        <v>6523</v>
      </c>
      <c r="C25023" s="1" t="s">
        <v>23490</v>
      </c>
      <c r="D25023" s="1" t="str">
        <f>HYPERLINK("https://rhld.insurance.arkansas.gov/NPILookup?Npi=1558572552","1558572552")</f>
        <v>1558572552</v>
      </c>
      <c r="E25023" t="s">
        <v>6703</v>
      </c>
    </row>
    <row r="25024" spans="1:5" x14ac:dyDescent="0.25">
      <c r="A25024" t="s">
        <v>8</v>
      </c>
      <c r="B25024" t="s">
        <v>6523</v>
      </c>
      <c r="C25024" s="1" t="s">
        <v>23490</v>
      </c>
      <c r="D25024" s="1" t="str">
        <f>HYPERLINK("https://rhld.insurance.arkansas.gov/NPILookup?Npi=1568404622","1568404622")</f>
        <v>1568404622</v>
      </c>
      <c r="E25024" t="s">
        <v>6704</v>
      </c>
    </row>
    <row r="25025" spans="1:5" x14ac:dyDescent="0.25">
      <c r="A25025" t="s">
        <v>8</v>
      </c>
      <c r="B25025" t="s">
        <v>6523</v>
      </c>
      <c r="C25025" s="1" t="s">
        <v>23490</v>
      </c>
      <c r="D25025" s="1" t="str">
        <f>HYPERLINK("https://rhld.insurance.arkansas.gov/NPILookup?Npi=1568465482","1568465482")</f>
        <v>1568465482</v>
      </c>
      <c r="E25025" t="s">
        <v>6705</v>
      </c>
    </row>
    <row r="25026" spans="1:5" x14ac:dyDescent="0.25">
      <c r="A25026" t="s">
        <v>8</v>
      </c>
      <c r="B25026" t="s">
        <v>6523</v>
      </c>
      <c r="C25026" s="1" t="s">
        <v>23490</v>
      </c>
      <c r="D25026" s="1" t="str">
        <f>HYPERLINK("https://rhld.insurance.arkansas.gov/NPILookup?Npi=1568490118","1568490118")</f>
        <v>1568490118</v>
      </c>
      <c r="E25026" t="s">
        <v>6706</v>
      </c>
    </row>
    <row r="25027" spans="1:5" x14ac:dyDescent="0.25">
      <c r="A25027" t="s">
        <v>8</v>
      </c>
      <c r="B25027" t="s">
        <v>6523</v>
      </c>
      <c r="C25027" s="1" t="s">
        <v>23490</v>
      </c>
      <c r="D25027" s="1" t="str">
        <f>HYPERLINK("https://rhld.insurance.arkansas.gov/NPILookup?Npi=1568620540","1568620540")</f>
        <v>1568620540</v>
      </c>
      <c r="E25027" t="s">
        <v>6707</v>
      </c>
    </row>
    <row r="25028" spans="1:5" x14ac:dyDescent="0.25">
      <c r="A25028" t="s">
        <v>8</v>
      </c>
      <c r="B25028" t="s">
        <v>6523</v>
      </c>
      <c r="C25028" s="1" t="s">
        <v>23490</v>
      </c>
      <c r="D25028" s="1" t="str">
        <f>HYPERLINK("https://rhld.insurance.arkansas.gov/NPILookup?Npi=1568625200","1568625200")</f>
        <v>1568625200</v>
      </c>
      <c r="E25028" t="s">
        <v>22551</v>
      </c>
    </row>
    <row r="25029" spans="1:5" x14ac:dyDescent="0.25">
      <c r="A25029" t="s">
        <v>8</v>
      </c>
      <c r="B25029" t="s">
        <v>6523</v>
      </c>
      <c r="C25029" s="1" t="s">
        <v>23490</v>
      </c>
      <c r="D25029" s="1" t="str">
        <f>HYPERLINK("https://rhld.insurance.arkansas.gov/NPILookup?Npi=1568782811","1568782811")</f>
        <v>1568782811</v>
      </c>
      <c r="E25029" t="s">
        <v>22552</v>
      </c>
    </row>
    <row r="25030" spans="1:5" x14ac:dyDescent="0.25">
      <c r="A25030" t="s">
        <v>8</v>
      </c>
      <c r="B25030" t="s">
        <v>6523</v>
      </c>
      <c r="C25030" s="1" t="s">
        <v>23490</v>
      </c>
      <c r="D25030" s="1" t="str">
        <f>HYPERLINK("https://rhld.insurance.arkansas.gov/NPILookup?Npi=1568823912","1568823912")</f>
        <v>1568823912</v>
      </c>
      <c r="E25030" t="s">
        <v>19127</v>
      </c>
    </row>
    <row r="25031" spans="1:5" x14ac:dyDescent="0.25">
      <c r="A25031" t="s">
        <v>8</v>
      </c>
      <c r="B25031" t="s">
        <v>6523</v>
      </c>
      <c r="C25031" s="1" t="s">
        <v>23490</v>
      </c>
      <c r="D25031" s="1" t="str">
        <f>HYPERLINK("https://rhld.insurance.arkansas.gov/NPILookup?Npi=1578653077","1578653077")</f>
        <v>1578653077</v>
      </c>
      <c r="E25031" t="s">
        <v>6708</v>
      </c>
    </row>
    <row r="25032" spans="1:5" x14ac:dyDescent="0.25">
      <c r="A25032" t="s">
        <v>8</v>
      </c>
      <c r="B25032" t="s">
        <v>6523</v>
      </c>
      <c r="C25032" s="1" t="s">
        <v>23490</v>
      </c>
      <c r="D25032" s="1" t="str">
        <f>HYPERLINK("https://rhld.insurance.arkansas.gov/NPILookup?Npi=1578679395","1578679395")</f>
        <v>1578679395</v>
      </c>
      <c r="E25032" t="s">
        <v>6709</v>
      </c>
    </row>
    <row r="25033" spans="1:5" x14ac:dyDescent="0.25">
      <c r="A25033" t="s">
        <v>8</v>
      </c>
      <c r="B25033" t="s">
        <v>6523</v>
      </c>
      <c r="C25033" s="1" t="s">
        <v>23490</v>
      </c>
      <c r="D25033" s="1" t="str">
        <f>HYPERLINK("https://rhld.insurance.arkansas.gov/NPILookup?Npi=1578772604","1578772604")</f>
        <v>1578772604</v>
      </c>
      <c r="E25033" t="s">
        <v>6710</v>
      </c>
    </row>
    <row r="25034" spans="1:5" x14ac:dyDescent="0.25">
      <c r="A25034" t="s">
        <v>8</v>
      </c>
      <c r="B25034" t="s">
        <v>6523</v>
      </c>
      <c r="C25034" s="1" t="s">
        <v>8427</v>
      </c>
      <c r="D25034" s="1" t="str">
        <f>HYPERLINK("https://rhld.insurance.arkansas.gov/NPILookup?Npi=1588005078","1588005078")</f>
        <v>1588005078</v>
      </c>
      <c r="E25034" t="s">
        <v>23289</v>
      </c>
    </row>
    <row r="25035" spans="1:5" x14ac:dyDescent="0.25">
      <c r="A25035" t="s">
        <v>8</v>
      </c>
      <c r="B25035" t="s">
        <v>6523</v>
      </c>
      <c r="C25035" s="1" t="s">
        <v>23490</v>
      </c>
      <c r="D25035" s="1" t="str">
        <f>HYPERLINK("https://rhld.insurance.arkansas.gov/NPILookup?Npi=1588010813","1588010813")</f>
        <v>1588010813</v>
      </c>
      <c r="E25035" t="s">
        <v>21271</v>
      </c>
    </row>
    <row r="25036" spans="1:5" x14ac:dyDescent="0.25">
      <c r="A25036" t="s">
        <v>8</v>
      </c>
      <c r="B25036" t="s">
        <v>6523</v>
      </c>
      <c r="C25036" s="1" t="s">
        <v>23490</v>
      </c>
      <c r="D25036" s="1" t="str">
        <f>HYPERLINK("https://rhld.insurance.arkansas.gov/NPILookup?Npi=1588641526","1588641526")</f>
        <v>1588641526</v>
      </c>
      <c r="E25036" t="s">
        <v>6711</v>
      </c>
    </row>
    <row r="25037" spans="1:5" x14ac:dyDescent="0.25">
      <c r="A25037" t="s">
        <v>8</v>
      </c>
      <c r="B25037" t="s">
        <v>6523</v>
      </c>
      <c r="C25037" s="1" t="s">
        <v>23490</v>
      </c>
      <c r="D25037" s="1" t="str">
        <f>HYPERLINK("https://rhld.insurance.arkansas.gov/NPILookup?Npi=1588654149","1588654149")</f>
        <v>1588654149</v>
      </c>
      <c r="E25037" t="s">
        <v>6712</v>
      </c>
    </row>
    <row r="25038" spans="1:5" x14ac:dyDescent="0.25">
      <c r="A25038" t="s">
        <v>8</v>
      </c>
      <c r="B25038" t="s">
        <v>6523</v>
      </c>
      <c r="C25038" s="1" t="s">
        <v>23490</v>
      </c>
      <c r="D25038" s="1" t="str">
        <f>HYPERLINK("https://rhld.insurance.arkansas.gov/NPILookup?Npi=1588658983","1588658983")</f>
        <v>1588658983</v>
      </c>
      <c r="E25038" t="s">
        <v>6713</v>
      </c>
    </row>
    <row r="25039" spans="1:5" x14ac:dyDescent="0.25">
      <c r="A25039" t="s">
        <v>8</v>
      </c>
      <c r="B25039" t="s">
        <v>6523</v>
      </c>
      <c r="C25039" s="1" t="s">
        <v>23490</v>
      </c>
      <c r="D25039" s="1" t="str">
        <f>HYPERLINK("https://rhld.insurance.arkansas.gov/NPILookup?Npi=1588664080","1588664080")</f>
        <v>1588664080</v>
      </c>
      <c r="E25039" t="s">
        <v>1641</v>
      </c>
    </row>
    <row r="25040" spans="1:5" x14ac:dyDescent="0.25">
      <c r="A25040" t="s">
        <v>8</v>
      </c>
      <c r="B25040" t="s">
        <v>6523</v>
      </c>
      <c r="C25040" s="1" t="s">
        <v>23490</v>
      </c>
      <c r="D25040" s="1" t="str">
        <f>HYPERLINK("https://rhld.insurance.arkansas.gov/NPILookup?Npi=1588743868","1588743868")</f>
        <v>1588743868</v>
      </c>
      <c r="E25040" t="s">
        <v>6714</v>
      </c>
    </row>
    <row r="25041" spans="1:5" x14ac:dyDescent="0.25">
      <c r="A25041" t="s">
        <v>8</v>
      </c>
      <c r="B25041" t="s">
        <v>6523</v>
      </c>
      <c r="C25041" s="1" t="s">
        <v>23490</v>
      </c>
      <c r="D25041" s="1" t="str">
        <f>HYPERLINK("https://rhld.insurance.arkansas.gov/NPILookup?Npi=1588753727","1588753727")</f>
        <v>1588753727</v>
      </c>
      <c r="E25041" t="s">
        <v>6715</v>
      </c>
    </row>
    <row r="25042" spans="1:5" x14ac:dyDescent="0.25">
      <c r="A25042" t="s">
        <v>8</v>
      </c>
      <c r="B25042" t="s">
        <v>6523</v>
      </c>
      <c r="C25042" s="1" t="s">
        <v>23490</v>
      </c>
      <c r="D25042" s="1" t="str">
        <f>HYPERLINK("https://rhld.insurance.arkansas.gov/NPILookup?Npi=1588754055","1588754055")</f>
        <v>1588754055</v>
      </c>
      <c r="E25042" t="s">
        <v>22553</v>
      </c>
    </row>
    <row r="25043" spans="1:5" x14ac:dyDescent="0.25">
      <c r="A25043" t="s">
        <v>8</v>
      </c>
      <c r="B25043" t="s">
        <v>6523</v>
      </c>
      <c r="C25043" s="1" t="s">
        <v>23490</v>
      </c>
      <c r="D25043" s="1" t="str">
        <f>HYPERLINK("https://rhld.insurance.arkansas.gov/NPILookup?Npi=1588754402","1588754402")</f>
        <v>1588754402</v>
      </c>
      <c r="E25043" t="s">
        <v>16422</v>
      </c>
    </row>
    <row r="25044" spans="1:5" x14ac:dyDescent="0.25">
      <c r="A25044" t="s">
        <v>8</v>
      </c>
      <c r="B25044" t="s">
        <v>6523</v>
      </c>
      <c r="C25044" s="1" t="s">
        <v>23490</v>
      </c>
      <c r="D25044" s="1" t="str">
        <f>HYPERLINK("https://rhld.insurance.arkansas.gov/NPILookup?Npi=1588825087","1588825087")</f>
        <v>1588825087</v>
      </c>
      <c r="E25044" t="s">
        <v>22554</v>
      </c>
    </row>
    <row r="25045" spans="1:5" x14ac:dyDescent="0.25">
      <c r="A25045" t="s">
        <v>8</v>
      </c>
      <c r="B25045" t="s">
        <v>6523</v>
      </c>
      <c r="C25045" s="1" t="s">
        <v>23490</v>
      </c>
      <c r="D25045" s="1" t="str">
        <f>HYPERLINK("https://rhld.insurance.arkansas.gov/NPILookup?Npi=1588841340","1588841340")</f>
        <v>1588841340</v>
      </c>
      <c r="E25045" t="s">
        <v>6716</v>
      </c>
    </row>
    <row r="25046" spans="1:5" x14ac:dyDescent="0.25">
      <c r="A25046" t="s">
        <v>8</v>
      </c>
      <c r="B25046" t="s">
        <v>6523</v>
      </c>
      <c r="C25046" s="1" t="s">
        <v>23490</v>
      </c>
      <c r="D25046" s="1" t="str">
        <f>HYPERLINK("https://rhld.insurance.arkansas.gov/NPILookup?Npi=1588868061","1588868061")</f>
        <v>1588868061</v>
      </c>
      <c r="E25046" t="s">
        <v>13258</v>
      </c>
    </row>
    <row r="25047" spans="1:5" x14ac:dyDescent="0.25">
      <c r="A25047" t="s">
        <v>8</v>
      </c>
      <c r="B25047" t="s">
        <v>6523</v>
      </c>
      <c r="C25047" s="1" t="s">
        <v>23490</v>
      </c>
      <c r="D25047" s="1" t="str">
        <f>HYPERLINK("https://rhld.insurance.arkansas.gov/NPILookup?Npi=1598022675","1598022675")</f>
        <v>1598022675</v>
      </c>
      <c r="E25047" t="s">
        <v>14429</v>
      </c>
    </row>
    <row r="25048" spans="1:5" x14ac:dyDescent="0.25">
      <c r="A25048" t="s">
        <v>8</v>
      </c>
      <c r="B25048" t="s">
        <v>6523</v>
      </c>
      <c r="C25048" s="1" t="s">
        <v>23490</v>
      </c>
      <c r="D25048" s="1" t="str">
        <f>HYPERLINK("https://rhld.insurance.arkansas.gov/NPILookup?Npi=1598148611","1598148611")</f>
        <v>1598148611</v>
      </c>
      <c r="E25048" t="s">
        <v>19128</v>
      </c>
    </row>
    <row r="25049" spans="1:5" x14ac:dyDescent="0.25">
      <c r="A25049" t="s">
        <v>8</v>
      </c>
      <c r="B25049" t="s">
        <v>6523</v>
      </c>
      <c r="C25049" s="1" t="s">
        <v>23490</v>
      </c>
      <c r="D25049" s="1" t="str">
        <f>HYPERLINK("https://rhld.insurance.arkansas.gov/NPILookup?Npi=1598707572","1598707572")</f>
        <v>1598707572</v>
      </c>
      <c r="E25049" t="s">
        <v>9235</v>
      </c>
    </row>
    <row r="25050" spans="1:5" x14ac:dyDescent="0.25">
      <c r="A25050" t="s">
        <v>8</v>
      </c>
      <c r="B25050" t="s">
        <v>6523</v>
      </c>
      <c r="C25050" s="1" t="s">
        <v>23490</v>
      </c>
      <c r="D25050" s="1" t="str">
        <f>HYPERLINK("https://rhld.insurance.arkansas.gov/NPILookup?Npi=1598737835","1598737835")</f>
        <v>1598737835</v>
      </c>
      <c r="E25050" t="s">
        <v>21272</v>
      </c>
    </row>
    <row r="25051" spans="1:5" x14ac:dyDescent="0.25">
      <c r="A25051" t="s">
        <v>8</v>
      </c>
      <c r="B25051" t="s">
        <v>6523</v>
      </c>
      <c r="C25051" s="1" t="s">
        <v>23490</v>
      </c>
      <c r="D25051" s="1" t="str">
        <f>HYPERLINK("https://rhld.insurance.arkansas.gov/NPILookup?Npi=1598992059","1598992059")</f>
        <v>1598992059</v>
      </c>
      <c r="E25051" t="s">
        <v>22555</v>
      </c>
    </row>
    <row r="25052" spans="1:5" x14ac:dyDescent="0.25">
      <c r="A25052" t="s">
        <v>8</v>
      </c>
      <c r="B25052" t="s">
        <v>6523</v>
      </c>
      <c r="C25052" s="1" t="s">
        <v>23490</v>
      </c>
      <c r="D25052" s="1" t="str">
        <f>HYPERLINK("https://rhld.insurance.arkansas.gov/NPILookup?Npi=1609004233","1609004233")</f>
        <v>1609004233</v>
      </c>
      <c r="E25052" t="s">
        <v>17719</v>
      </c>
    </row>
    <row r="25053" spans="1:5" x14ac:dyDescent="0.25">
      <c r="A25053" t="s">
        <v>8</v>
      </c>
      <c r="B25053" t="s">
        <v>6523</v>
      </c>
      <c r="C25053" s="1" t="s">
        <v>23490</v>
      </c>
      <c r="D25053" s="1" t="str">
        <f>HYPERLINK("https://rhld.insurance.arkansas.gov/NPILookup?Npi=1609060334","1609060334")</f>
        <v>1609060334</v>
      </c>
      <c r="E25053" t="s">
        <v>11232</v>
      </c>
    </row>
    <row r="25054" spans="1:5" x14ac:dyDescent="0.25">
      <c r="A25054" t="s">
        <v>8</v>
      </c>
      <c r="B25054" t="s">
        <v>6523</v>
      </c>
      <c r="C25054" s="1" t="s">
        <v>23490</v>
      </c>
      <c r="D25054" s="1" t="str">
        <f>HYPERLINK("https://rhld.insurance.arkansas.gov/NPILookup?Npi=1609163336","1609163336")</f>
        <v>1609163336</v>
      </c>
      <c r="E25054" t="s">
        <v>16423</v>
      </c>
    </row>
    <row r="25055" spans="1:5" x14ac:dyDescent="0.25">
      <c r="A25055" t="s">
        <v>8</v>
      </c>
      <c r="B25055" t="s">
        <v>6523</v>
      </c>
      <c r="C25055" s="1" t="s">
        <v>23490</v>
      </c>
      <c r="D25055" s="1" t="str">
        <f>HYPERLINK("https://rhld.insurance.arkansas.gov/NPILookup?Npi=1609876036","1609876036")</f>
        <v>1609876036</v>
      </c>
      <c r="E25055" t="s">
        <v>6717</v>
      </c>
    </row>
    <row r="25056" spans="1:5" x14ac:dyDescent="0.25">
      <c r="A25056" t="s">
        <v>8</v>
      </c>
      <c r="B25056" t="s">
        <v>6523</v>
      </c>
      <c r="C25056" s="1" t="s">
        <v>23490</v>
      </c>
      <c r="D25056" s="1" t="str">
        <f>HYPERLINK("https://rhld.insurance.arkansas.gov/NPILookup?Npi=1609887124","1609887124")</f>
        <v>1609887124</v>
      </c>
      <c r="E25056" t="s">
        <v>6718</v>
      </c>
    </row>
    <row r="25057" spans="1:5" x14ac:dyDescent="0.25">
      <c r="A25057" t="s">
        <v>8</v>
      </c>
      <c r="B25057" t="s">
        <v>6523</v>
      </c>
      <c r="C25057" s="1" t="s">
        <v>23490</v>
      </c>
      <c r="D25057" s="1" t="str">
        <f>HYPERLINK("https://rhld.insurance.arkansas.gov/NPILookup?Npi=1609965524","1609965524")</f>
        <v>1609965524</v>
      </c>
      <c r="E25057" t="s">
        <v>16424</v>
      </c>
    </row>
    <row r="25058" spans="1:5" x14ac:dyDescent="0.25">
      <c r="A25058" t="s">
        <v>8</v>
      </c>
      <c r="B25058" t="s">
        <v>6523</v>
      </c>
      <c r="C25058" s="1" t="s">
        <v>23490</v>
      </c>
      <c r="D25058" s="1" t="str">
        <f>HYPERLINK("https://rhld.insurance.arkansas.gov/NPILookup?Npi=1619136165","1619136165")</f>
        <v>1619136165</v>
      </c>
      <c r="E25058" t="s">
        <v>9236</v>
      </c>
    </row>
    <row r="25059" spans="1:5" x14ac:dyDescent="0.25">
      <c r="A25059" t="s">
        <v>8</v>
      </c>
      <c r="B25059" t="s">
        <v>6523</v>
      </c>
      <c r="C25059" s="1" t="s">
        <v>23490</v>
      </c>
      <c r="D25059" s="1" t="str">
        <f>HYPERLINK("https://rhld.insurance.arkansas.gov/NPILookup?Npi=1619318029","1619318029")</f>
        <v>1619318029</v>
      </c>
      <c r="E25059" t="s">
        <v>16425</v>
      </c>
    </row>
    <row r="25060" spans="1:5" x14ac:dyDescent="0.25">
      <c r="A25060" t="s">
        <v>8</v>
      </c>
      <c r="B25060" t="s">
        <v>6523</v>
      </c>
      <c r="C25060" s="1" t="s">
        <v>23490</v>
      </c>
      <c r="D25060" s="1" t="str">
        <f>HYPERLINK("https://rhld.insurance.arkansas.gov/NPILookup?Npi=1619920469","1619920469")</f>
        <v>1619920469</v>
      </c>
      <c r="E25060" t="s">
        <v>14430</v>
      </c>
    </row>
    <row r="25061" spans="1:5" x14ac:dyDescent="0.25">
      <c r="A25061" t="s">
        <v>8</v>
      </c>
      <c r="B25061" t="s">
        <v>6523</v>
      </c>
      <c r="C25061" s="1" t="s">
        <v>23490</v>
      </c>
      <c r="D25061" s="1" t="str">
        <f>HYPERLINK("https://rhld.insurance.arkansas.gov/NPILookup?Npi=1619948700","1619948700")</f>
        <v>1619948700</v>
      </c>
      <c r="E25061" t="s">
        <v>6719</v>
      </c>
    </row>
    <row r="25062" spans="1:5" x14ac:dyDescent="0.25">
      <c r="A25062" t="s">
        <v>8</v>
      </c>
      <c r="B25062" t="s">
        <v>6523</v>
      </c>
      <c r="C25062" s="1" t="s">
        <v>23490</v>
      </c>
      <c r="D25062" s="1" t="str">
        <f>HYPERLINK("https://rhld.insurance.arkansas.gov/NPILookup?Npi=1619966330","1619966330")</f>
        <v>1619966330</v>
      </c>
      <c r="E25062" t="s">
        <v>20725</v>
      </c>
    </row>
    <row r="25063" spans="1:5" x14ac:dyDescent="0.25">
      <c r="A25063" t="s">
        <v>8</v>
      </c>
      <c r="B25063" t="s">
        <v>6523</v>
      </c>
      <c r="C25063" s="1" t="s">
        <v>23490</v>
      </c>
      <c r="D25063" s="1" t="str">
        <f>HYPERLINK("https://rhld.insurance.arkansas.gov/NPILookup?Npi=1619977188","1619977188")</f>
        <v>1619977188</v>
      </c>
      <c r="E25063" t="s">
        <v>6720</v>
      </c>
    </row>
    <row r="25064" spans="1:5" x14ac:dyDescent="0.25">
      <c r="A25064" t="s">
        <v>8</v>
      </c>
      <c r="B25064" t="s">
        <v>6523</v>
      </c>
      <c r="C25064" s="1" t="s">
        <v>23490</v>
      </c>
      <c r="D25064" s="1" t="str">
        <f>HYPERLINK("https://rhld.insurance.arkansas.gov/NPILookup?Npi=1629010012","1629010012")</f>
        <v>1629010012</v>
      </c>
      <c r="E25064" t="s">
        <v>17292</v>
      </c>
    </row>
    <row r="25065" spans="1:5" x14ac:dyDescent="0.25">
      <c r="A25065" t="s">
        <v>8</v>
      </c>
      <c r="B25065" t="s">
        <v>6523</v>
      </c>
      <c r="C25065" s="1" t="s">
        <v>23490</v>
      </c>
      <c r="D25065" s="1" t="str">
        <f>HYPERLINK("https://rhld.insurance.arkansas.gov/NPILookup?Npi=1629078324","1629078324")</f>
        <v>1629078324</v>
      </c>
      <c r="E25065" t="s">
        <v>6721</v>
      </c>
    </row>
    <row r="25066" spans="1:5" x14ac:dyDescent="0.25">
      <c r="A25066" t="s">
        <v>8</v>
      </c>
      <c r="B25066" t="s">
        <v>6523</v>
      </c>
      <c r="C25066" s="1" t="s">
        <v>23490</v>
      </c>
      <c r="D25066" s="1" t="str">
        <f>HYPERLINK("https://rhld.insurance.arkansas.gov/NPILookup?Npi=1629268693","1629268693")</f>
        <v>1629268693</v>
      </c>
      <c r="E25066" t="s">
        <v>22556</v>
      </c>
    </row>
    <row r="25067" spans="1:5" x14ac:dyDescent="0.25">
      <c r="A25067" t="s">
        <v>8</v>
      </c>
      <c r="B25067" t="s">
        <v>6523</v>
      </c>
      <c r="C25067" s="1" t="s">
        <v>23490</v>
      </c>
      <c r="D25067" s="1" t="str">
        <f>HYPERLINK("https://rhld.insurance.arkansas.gov/NPILookup?Npi=1629292883","1629292883")</f>
        <v>1629292883</v>
      </c>
      <c r="E25067" t="s">
        <v>6722</v>
      </c>
    </row>
    <row r="25068" spans="1:5" x14ac:dyDescent="0.25">
      <c r="A25068" t="s">
        <v>8</v>
      </c>
      <c r="B25068" t="s">
        <v>6523</v>
      </c>
      <c r="C25068" s="1" t="s">
        <v>23490</v>
      </c>
      <c r="D25068" s="1" t="str">
        <f>HYPERLINK("https://rhld.insurance.arkansas.gov/NPILookup?Npi=1639122054","1639122054")</f>
        <v>1639122054</v>
      </c>
      <c r="E25068" t="s">
        <v>6723</v>
      </c>
    </row>
    <row r="25069" spans="1:5" x14ac:dyDescent="0.25">
      <c r="A25069" t="s">
        <v>8</v>
      </c>
      <c r="B25069" t="s">
        <v>6523</v>
      </c>
      <c r="C25069" s="1" t="s">
        <v>23490</v>
      </c>
      <c r="D25069" s="1" t="str">
        <f>HYPERLINK("https://rhld.insurance.arkansas.gov/NPILookup?Npi=1639125222","1639125222")</f>
        <v>1639125222</v>
      </c>
      <c r="E25069" t="s">
        <v>6724</v>
      </c>
    </row>
    <row r="25070" spans="1:5" x14ac:dyDescent="0.25">
      <c r="A25070" t="s">
        <v>8</v>
      </c>
      <c r="B25070" t="s">
        <v>6523</v>
      </c>
      <c r="C25070" s="1" t="s">
        <v>23490</v>
      </c>
      <c r="D25070" s="1" t="str">
        <f>HYPERLINK("https://rhld.insurance.arkansas.gov/NPILookup?Npi=1639129133","1639129133")</f>
        <v>1639129133</v>
      </c>
      <c r="E25070" t="s">
        <v>6725</v>
      </c>
    </row>
    <row r="25071" spans="1:5" x14ac:dyDescent="0.25">
      <c r="A25071" t="s">
        <v>8</v>
      </c>
      <c r="B25071" t="s">
        <v>6523</v>
      </c>
      <c r="C25071" s="1" t="s">
        <v>23490</v>
      </c>
      <c r="D25071" s="1" t="str">
        <f>HYPERLINK("https://rhld.insurance.arkansas.gov/NPILookup?Npi=1639186406","1639186406")</f>
        <v>1639186406</v>
      </c>
      <c r="E25071" t="s">
        <v>6726</v>
      </c>
    </row>
    <row r="25072" spans="1:5" x14ac:dyDescent="0.25">
      <c r="A25072" t="s">
        <v>8</v>
      </c>
      <c r="B25072" t="s">
        <v>6523</v>
      </c>
      <c r="C25072" s="1" t="s">
        <v>23490</v>
      </c>
      <c r="D25072" s="1" t="str">
        <f>HYPERLINK("https://rhld.insurance.arkansas.gov/NPILookup?Npi=1639198591","1639198591")</f>
        <v>1639198591</v>
      </c>
      <c r="E25072" t="s">
        <v>6727</v>
      </c>
    </row>
    <row r="25073" spans="1:5" x14ac:dyDescent="0.25">
      <c r="A25073" t="s">
        <v>8</v>
      </c>
      <c r="B25073" t="s">
        <v>6523</v>
      </c>
      <c r="C25073" s="1" t="s">
        <v>23490</v>
      </c>
      <c r="D25073" s="1" t="str">
        <f>HYPERLINK("https://rhld.insurance.arkansas.gov/NPILookup?Npi=1639261001","1639261001")</f>
        <v>1639261001</v>
      </c>
      <c r="E25073" t="s">
        <v>6728</v>
      </c>
    </row>
    <row r="25074" spans="1:5" x14ac:dyDescent="0.25">
      <c r="A25074" t="s">
        <v>8</v>
      </c>
      <c r="B25074" t="s">
        <v>6523</v>
      </c>
      <c r="C25074" s="1" t="s">
        <v>23490</v>
      </c>
      <c r="D25074" s="1" t="str">
        <f>HYPERLINK("https://rhld.insurance.arkansas.gov/NPILookup?Npi=1639332091","1639332091")</f>
        <v>1639332091</v>
      </c>
      <c r="E25074" t="s">
        <v>16426</v>
      </c>
    </row>
    <row r="25075" spans="1:5" x14ac:dyDescent="0.25">
      <c r="A25075" t="s">
        <v>8</v>
      </c>
      <c r="B25075" t="s">
        <v>6523</v>
      </c>
      <c r="C25075" s="1" t="s">
        <v>23490</v>
      </c>
      <c r="D25075" s="1" t="str">
        <f>HYPERLINK("https://rhld.insurance.arkansas.gov/NPILookup?Npi=1639370851","1639370851")</f>
        <v>1639370851</v>
      </c>
      <c r="E25075" t="s">
        <v>6729</v>
      </c>
    </row>
    <row r="25076" spans="1:5" x14ac:dyDescent="0.25">
      <c r="A25076" t="s">
        <v>8</v>
      </c>
      <c r="B25076" t="s">
        <v>6523</v>
      </c>
      <c r="C25076" s="1" t="s">
        <v>23490</v>
      </c>
      <c r="D25076" s="1" t="str">
        <f>HYPERLINK("https://rhld.insurance.arkansas.gov/NPILookup?Npi=1649241258","1649241258")</f>
        <v>1649241258</v>
      </c>
      <c r="E25076" t="s">
        <v>6730</v>
      </c>
    </row>
    <row r="25077" spans="1:5" x14ac:dyDescent="0.25">
      <c r="A25077" t="s">
        <v>8</v>
      </c>
      <c r="B25077" t="s">
        <v>6523</v>
      </c>
      <c r="C25077" s="1" t="s">
        <v>23490</v>
      </c>
      <c r="D25077" s="1" t="str">
        <f>HYPERLINK("https://rhld.insurance.arkansas.gov/NPILookup?Npi=1649273715","1649273715")</f>
        <v>1649273715</v>
      </c>
      <c r="E25077" t="s">
        <v>22557</v>
      </c>
    </row>
    <row r="25078" spans="1:5" x14ac:dyDescent="0.25">
      <c r="A25078" t="s">
        <v>8</v>
      </c>
      <c r="B25078" t="s">
        <v>6523</v>
      </c>
      <c r="C25078" s="1" t="s">
        <v>23490</v>
      </c>
      <c r="D25078" s="1" t="str">
        <f>HYPERLINK("https://rhld.insurance.arkansas.gov/NPILookup?Npi=1649369661","1649369661")</f>
        <v>1649369661</v>
      </c>
      <c r="E25078" t="s">
        <v>12044</v>
      </c>
    </row>
    <row r="25079" spans="1:5" x14ac:dyDescent="0.25">
      <c r="A25079" t="s">
        <v>8</v>
      </c>
      <c r="B25079" t="s">
        <v>6523</v>
      </c>
      <c r="C25079" s="1" t="s">
        <v>23490</v>
      </c>
      <c r="D25079" s="1" t="str">
        <f>HYPERLINK("https://rhld.insurance.arkansas.gov/NPILookup?Npi=1649470337","1649470337")</f>
        <v>1649470337</v>
      </c>
      <c r="E25079" t="s">
        <v>6731</v>
      </c>
    </row>
    <row r="25080" spans="1:5" x14ac:dyDescent="0.25">
      <c r="A25080" t="s">
        <v>8</v>
      </c>
      <c r="B25080" t="s">
        <v>6523</v>
      </c>
      <c r="C25080" s="1" t="s">
        <v>23490</v>
      </c>
      <c r="D25080" s="1" t="str">
        <f>HYPERLINK("https://rhld.insurance.arkansas.gov/NPILookup?Npi=1649583923","1649583923")</f>
        <v>1649583923</v>
      </c>
      <c r="E25080" t="s">
        <v>14431</v>
      </c>
    </row>
    <row r="25081" spans="1:5" x14ac:dyDescent="0.25">
      <c r="A25081" t="s">
        <v>8</v>
      </c>
      <c r="B25081" t="s">
        <v>6523</v>
      </c>
      <c r="C25081" s="1" t="s">
        <v>23490</v>
      </c>
      <c r="D25081" s="1" t="str">
        <f>HYPERLINK("https://rhld.insurance.arkansas.gov/NPILookup?Npi=1659355477","1659355477")</f>
        <v>1659355477</v>
      </c>
      <c r="E25081" t="s">
        <v>22558</v>
      </c>
    </row>
    <row r="25082" spans="1:5" x14ac:dyDescent="0.25">
      <c r="A25082" t="s">
        <v>8</v>
      </c>
      <c r="B25082" t="s">
        <v>6523</v>
      </c>
      <c r="C25082" s="1" t="s">
        <v>23490</v>
      </c>
      <c r="D25082" s="1" t="str">
        <f>HYPERLINK("https://rhld.insurance.arkansas.gov/NPILookup?Npi=1659371235","1659371235")</f>
        <v>1659371235</v>
      </c>
      <c r="E25082" t="s">
        <v>6732</v>
      </c>
    </row>
    <row r="25083" spans="1:5" x14ac:dyDescent="0.25">
      <c r="A25083" t="s">
        <v>8</v>
      </c>
      <c r="B25083" t="s">
        <v>6523</v>
      </c>
      <c r="C25083" s="1" t="s">
        <v>23490</v>
      </c>
      <c r="D25083" s="1" t="str">
        <f>HYPERLINK("https://rhld.insurance.arkansas.gov/NPILookup?Npi=1659417855","1659417855")</f>
        <v>1659417855</v>
      </c>
      <c r="E25083" t="s">
        <v>6733</v>
      </c>
    </row>
    <row r="25084" spans="1:5" x14ac:dyDescent="0.25">
      <c r="A25084" t="s">
        <v>8</v>
      </c>
      <c r="B25084" t="s">
        <v>6523</v>
      </c>
      <c r="C25084" s="1" t="s">
        <v>23490</v>
      </c>
      <c r="D25084" s="1" t="str">
        <f>HYPERLINK("https://rhld.insurance.arkansas.gov/NPILookup?Npi=1669418612","1669418612")</f>
        <v>1669418612</v>
      </c>
      <c r="E25084" t="s">
        <v>16427</v>
      </c>
    </row>
    <row r="25085" spans="1:5" x14ac:dyDescent="0.25">
      <c r="A25085" t="s">
        <v>8</v>
      </c>
      <c r="B25085" t="s">
        <v>6523</v>
      </c>
      <c r="C25085" s="1" t="s">
        <v>23490</v>
      </c>
      <c r="D25085" s="1" t="str">
        <f>HYPERLINK("https://rhld.insurance.arkansas.gov/NPILookup?Npi=1669472155","1669472155")</f>
        <v>1669472155</v>
      </c>
      <c r="E25085" t="s">
        <v>6734</v>
      </c>
    </row>
    <row r="25086" spans="1:5" x14ac:dyDescent="0.25">
      <c r="A25086" t="s">
        <v>8</v>
      </c>
      <c r="B25086" t="s">
        <v>6523</v>
      </c>
      <c r="C25086" s="1" t="s">
        <v>23490</v>
      </c>
      <c r="D25086" s="1" t="str">
        <f>HYPERLINK("https://rhld.insurance.arkansas.gov/NPILookup?Npi=1669483293","1669483293")</f>
        <v>1669483293</v>
      </c>
      <c r="E25086" t="s">
        <v>6735</v>
      </c>
    </row>
    <row r="25087" spans="1:5" x14ac:dyDescent="0.25">
      <c r="A25087" t="s">
        <v>8</v>
      </c>
      <c r="B25087" t="s">
        <v>6523</v>
      </c>
      <c r="C25087" s="1" t="s">
        <v>23490</v>
      </c>
      <c r="D25087" s="1" t="str">
        <f>HYPERLINK("https://rhld.insurance.arkansas.gov/NPILookup?Npi=1669561643","1669561643")</f>
        <v>1669561643</v>
      </c>
      <c r="E25087" t="s">
        <v>12045</v>
      </c>
    </row>
    <row r="25088" spans="1:5" x14ac:dyDescent="0.25">
      <c r="A25088" t="s">
        <v>8</v>
      </c>
      <c r="B25088" t="s">
        <v>6523</v>
      </c>
      <c r="C25088" s="1" t="s">
        <v>23490</v>
      </c>
      <c r="D25088" s="1" t="str">
        <f>HYPERLINK("https://rhld.insurance.arkansas.gov/NPILookup?Npi=1669764106","1669764106")</f>
        <v>1669764106</v>
      </c>
      <c r="E25088" t="s">
        <v>14432</v>
      </c>
    </row>
    <row r="25089" spans="1:5" x14ac:dyDescent="0.25">
      <c r="A25089" t="s">
        <v>8</v>
      </c>
      <c r="B25089" t="s">
        <v>6523</v>
      </c>
      <c r="C25089" s="1" t="s">
        <v>23490</v>
      </c>
      <c r="D25089" s="1" t="str">
        <f>HYPERLINK("https://rhld.insurance.arkansas.gov/NPILookup?Npi=1679511026","1679511026")</f>
        <v>1679511026</v>
      </c>
      <c r="E25089" t="s">
        <v>16428</v>
      </c>
    </row>
    <row r="25090" spans="1:5" x14ac:dyDescent="0.25">
      <c r="A25090" t="s">
        <v>8</v>
      </c>
      <c r="B25090" t="s">
        <v>6523</v>
      </c>
      <c r="C25090" s="1" t="s">
        <v>23490</v>
      </c>
      <c r="D25090" s="1" t="str">
        <f>HYPERLINK("https://rhld.insurance.arkansas.gov/NPILookup?Npi=1679550818","1679550818")</f>
        <v>1679550818</v>
      </c>
      <c r="E25090" t="s">
        <v>8794</v>
      </c>
    </row>
    <row r="25091" spans="1:5" x14ac:dyDescent="0.25">
      <c r="A25091" t="s">
        <v>8</v>
      </c>
      <c r="B25091" t="s">
        <v>6523</v>
      </c>
      <c r="C25091" s="1" t="s">
        <v>23490</v>
      </c>
      <c r="D25091" s="1" t="str">
        <f>HYPERLINK("https://rhld.insurance.arkansas.gov/NPILookup?Npi=1679560288","1679560288")</f>
        <v>1679560288</v>
      </c>
      <c r="E25091" t="s">
        <v>6736</v>
      </c>
    </row>
    <row r="25092" spans="1:5" x14ac:dyDescent="0.25">
      <c r="A25092" t="s">
        <v>8</v>
      </c>
      <c r="B25092" t="s">
        <v>6523</v>
      </c>
      <c r="C25092" s="1" t="s">
        <v>23490</v>
      </c>
      <c r="D25092" s="1" t="str">
        <f>HYPERLINK("https://rhld.insurance.arkansas.gov/NPILookup?Npi=1679574255","1679574255")</f>
        <v>1679574255</v>
      </c>
      <c r="E25092" t="s">
        <v>6737</v>
      </c>
    </row>
    <row r="25093" spans="1:5" x14ac:dyDescent="0.25">
      <c r="A25093" t="s">
        <v>8</v>
      </c>
      <c r="B25093" t="s">
        <v>6523</v>
      </c>
      <c r="C25093" s="1" t="s">
        <v>23490</v>
      </c>
      <c r="D25093" s="1" t="str">
        <f>HYPERLINK("https://rhld.insurance.arkansas.gov/NPILookup?Npi=1679738538","1679738538")</f>
        <v>1679738538</v>
      </c>
      <c r="E25093" t="s">
        <v>8796</v>
      </c>
    </row>
    <row r="25094" spans="1:5" x14ac:dyDescent="0.25">
      <c r="A25094" t="s">
        <v>8</v>
      </c>
      <c r="B25094" t="s">
        <v>6523</v>
      </c>
      <c r="C25094" s="1" t="s">
        <v>23490</v>
      </c>
      <c r="D25094" s="1" t="str">
        <f>HYPERLINK("https://rhld.insurance.arkansas.gov/NPILookup?Npi=1679779979","1679779979")</f>
        <v>1679779979</v>
      </c>
      <c r="E25094" t="s">
        <v>12046</v>
      </c>
    </row>
    <row r="25095" spans="1:5" x14ac:dyDescent="0.25">
      <c r="A25095" t="s">
        <v>8</v>
      </c>
      <c r="B25095" t="s">
        <v>6523</v>
      </c>
      <c r="C25095" s="1" t="s">
        <v>23490</v>
      </c>
      <c r="D25095" s="1" t="str">
        <f>HYPERLINK("https://rhld.insurance.arkansas.gov/NPILookup?Npi=1679786594","1679786594")</f>
        <v>1679786594</v>
      </c>
      <c r="E25095" t="s">
        <v>6738</v>
      </c>
    </row>
    <row r="25096" spans="1:5" x14ac:dyDescent="0.25">
      <c r="A25096" t="s">
        <v>8</v>
      </c>
      <c r="B25096" t="s">
        <v>6523</v>
      </c>
      <c r="C25096" s="1" t="s">
        <v>23490</v>
      </c>
      <c r="D25096" s="1" t="str">
        <f>HYPERLINK("https://rhld.insurance.arkansas.gov/NPILookup?Npi=1679875017","1679875017")</f>
        <v>1679875017</v>
      </c>
      <c r="E25096" t="s">
        <v>14433</v>
      </c>
    </row>
    <row r="25097" spans="1:5" x14ac:dyDescent="0.25">
      <c r="A25097" t="s">
        <v>8</v>
      </c>
      <c r="B25097" t="s">
        <v>6523</v>
      </c>
      <c r="C25097" s="1" t="s">
        <v>23490</v>
      </c>
      <c r="D25097" s="1" t="str">
        <f>HYPERLINK("https://rhld.insurance.arkansas.gov/NPILookup?Npi=1679988604","1679988604")</f>
        <v>1679988604</v>
      </c>
      <c r="E25097" t="s">
        <v>22559</v>
      </c>
    </row>
    <row r="25098" spans="1:5" x14ac:dyDescent="0.25">
      <c r="A25098" t="s">
        <v>8</v>
      </c>
      <c r="B25098" t="s">
        <v>6523</v>
      </c>
      <c r="C25098" s="1" t="s">
        <v>23490</v>
      </c>
      <c r="D25098" s="1" t="str">
        <f>HYPERLINK("https://rhld.insurance.arkansas.gov/NPILookup?Npi=1689634982","1689634982")</f>
        <v>1689634982</v>
      </c>
      <c r="E25098" t="s">
        <v>6739</v>
      </c>
    </row>
    <row r="25099" spans="1:5" x14ac:dyDescent="0.25">
      <c r="A25099" t="s">
        <v>8</v>
      </c>
      <c r="B25099" t="s">
        <v>6523</v>
      </c>
      <c r="C25099" s="1" t="s">
        <v>23490</v>
      </c>
      <c r="D25099" s="1" t="str">
        <f>HYPERLINK("https://rhld.insurance.arkansas.gov/NPILookup?Npi=1689642415","1689642415")</f>
        <v>1689642415</v>
      </c>
      <c r="E25099" t="s">
        <v>22560</v>
      </c>
    </row>
    <row r="25100" spans="1:5" x14ac:dyDescent="0.25">
      <c r="A25100" t="s">
        <v>8</v>
      </c>
      <c r="B25100" t="s">
        <v>6523</v>
      </c>
      <c r="C25100" s="1" t="s">
        <v>23490</v>
      </c>
      <c r="D25100" s="1" t="str">
        <f>HYPERLINK("https://rhld.insurance.arkansas.gov/NPILookup?Npi=1689651036","1689651036")</f>
        <v>1689651036</v>
      </c>
      <c r="E25100" t="s">
        <v>6740</v>
      </c>
    </row>
    <row r="25101" spans="1:5" x14ac:dyDescent="0.25">
      <c r="A25101" t="s">
        <v>8</v>
      </c>
      <c r="B25101" t="s">
        <v>6523</v>
      </c>
      <c r="C25101" s="1" t="s">
        <v>23490</v>
      </c>
      <c r="D25101" s="1" t="str">
        <f>HYPERLINK("https://rhld.insurance.arkansas.gov/NPILookup?Npi=1689822678","1689822678")</f>
        <v>1689822678</v>
      </c>
      <c r="E25101" t="s">
        <v>6741</v>
      </c>
    </row>
    <row r="25102" spans="1:5" x14ac:dyDescent="0.25">
      <c r="A25102" t="s">
        <v>8</v>
      </c>
      <c r="B25102" t="s">
        <v>6523</v>
      </c>
      <c r="C25102" s="1" t="s">
        <v>23490</v>
      </c>
      <c r="D25102" s="1" t="str">
        <f>HYPERLINK("https://rhld.insurance.arkansas.gov/NPILookup?Npi=1689874166","1689874166")</f>
        <v>1689874166</v>
      </c>
      <c r="E25102" t="s">
        <v>12047</v>
      </c>
    </row>
    <row r="25103" spans="1:5" x14ac:dyDescent="0.25">
      <c r="A25103" t="s">
        <v>8</v>
      </c>
      <c r="B25103" t="s">
        <v>6523</v>
      </c>
      <c r="C25103" s="1" t="s">
        <v>23490</v>
      </c>
      <c r="D25103" s="1" t="str">
        <f>HYPERLINK("https://rhld.insurance.arkansas.gov/NPILookup?Npi=1689893919","1689893919")</f>
        <v>1689893919</v>
      </c>
      <c r="E25103" t="s">
        <v>16429</v>
      </c>
    </row>
    <row r="25104" spans="1:5" x14ac:dyDescent="0.25">
      <c r="A25104" t="s">
        <v>8</v>
      </c>
      <c r="B25104" t="s">
        <v>6523</v>
      </c>
      <c r="C25104" s="1" t="s">
        <v>23490</v>
      </c>
      <c r="D25104" s="1" t="str">
        <f>HYPERLINK("https://rhld.insurance.arkansas.gov/NPILookup?Npi=1689937781","1689937781")</f>
        <v>1689937781</v>
      </c>
      <c r="E25104" t="s">
        <v>22562</v>
      </c>
    </row>
    <row r="25105" spans="1:5" x14ac:dyDescent="0.25">
      <c r="A25105" t="s">
        <v>8</v>
      </c>
      <c r="B25105" t="s">
        <v>6523</v>
      </c>
      <c r="C25105" s="1" t="s">
        <v>23490</v>
      </c>
      <c r="D25105" s="1" t="str">
        <f>HYPERLINK("https://rhld.insurance.arkansas.gov/NPILookup?Npi=1699114330","1699114330")</f>
        <v>1699114330</v>
      </c>
      <c r="E25105" t="s">
        <v>16430</v>
      </c>
    </row>
    <row r="25106" spans="1:5" x14ac:dyDescent="0.25">
      <c r="A25106" t="s">
        <v>8</v>
      </c>
      <c r="B25106" t="s">
        <v>6523</v>
      </c>
      <c r="C25106" s="1" t="s">
        <v>23490</v>
      </c>
      <c r="D25106" s="1" t="str">
        <f>HYPERLINK("https://rhld.insurance.arkansas.gov/NPILookup?Npi=1699708008","1699708008")</f>
        <v>1699708008</v>
      </c>
      <c r="E25106" t="s">
        <v>16431</v>
      </c>
    </row>
    <row r="25107" spans="1:5" x14ac:dyDescent="0.25">
      <c r="A25107" t="s">
        <v>8</v>
      </c>
      <c r="B25107" t="s">
        <v>6523</v>
      </c>
      <c r="C25107" s="1" t="s">
        <v>23490</v>
      </c>
      <c r="D25107" s="1" t="str">
        <f>HYPERLINK("https://rhld.insurance.arkansas.gov/NPILookup?Npi=1699710996","1699710996")</f>
        <v>1699710996</v>
      </c>
      <c r="E25107" t="s">
        <v>16432</v>
      </c>
    </row>
    <row r="25108" spans="1:5" x14ac:dyDescent="0.25">
      <c r="A25108" t="s">
        <v>8</v>
      </c>
      <c r="B25108" t="s">
        <v>6523</v>
      </c>
      <c r="C25108" s="1" t="s">
        <v>23490</v>
      </c>
      <c r="D25108" s="1" t="str">
        <f>HYPERLINK("https://rhld.insurance.arkansas.gov/NPILookup?Npi=1699718569","1699718569")</f>
        <v>1699718569</v>
      </c>
      <c r="E25108" t="s">
        <v>16433</v>
      </c>
    </row>
    <row r="25109" spans="1:5" x14ac:dyDescent="0.25">
      <c r="A25109" t="s">
        <v>8</v>
      </c>
      <c r="B25109" t="s">
        <v>6523</v>
      </c>
      <c r="C25109" s="1" t="s">
        <v>23490</v>
      </c>
      <c r="D25109" s="1" t="str">
        <f>HYPERLINK("https://rhld.insurance.arkansas.gov/NPILookup?Npi=1699724294","1699724294")</f>
        <v>1699724294</v>
      </c>
      <c r="E25109" t="s">
        <v>6742</v>
      </c>
    </row>
    <row r="25110" spans="1:5" x14ac:dyDescent="0.25">
      <c r="A25110" t="s">
        <v>8</v>
      </c>
      <c r="B25110" t="s">
        <v>6523</v>
      </c>
      <c r="C25110" s="1" t="s">
        <v>23490</v>
      </c>
      <c r="D25110" s="1" t="str">
        <f>HYPERLINK("https://rhld.insurance.arkansas.gov/NPILookup?Npi=1699740035","1699740035")</f>
        <v>1699740035</v>
      </c>
      <c r="E25110" t="s">
        <v>6743</v>
      </c>
    </row>
    <row r="25111" spans="1:5" x14ac:dyDescent="0.25">
      <c r="A25111" t="s">
        <v>8</v>
      </c>
      <c r="B25111" t="s">
        <v>6523</v>
      </c>
      <c r="C25111" s="1" t="s">
        <v>23490</v>
      </c>
      <c r="D25111" s="1" t="str">
        <f>HYPERLINK("https://rhld.insurance.arkansas.gov/NPILookup?Npi=1699748806","1699748806")</f>
        <v>1699748806</v>
      </c>
      <c r="E25111" t="s">
        <v>6744</v>
      </c>
    </row>
    <row r="25112" spans="1:5" x14ac:dyDescent="0.25">
      <c r="A25112" t="s">
        <v>8</v>
      </c>
      <c r="B25112" t="s">
        <v>6523</v>
      </c>
      <c r="C25112" s="1" t="s">
        <v>23490</v>
      </c>
      <c r="D25112" s="1" t="str">
        <f>HYPERLINK("https://rhld.insurance.arkansas.gov/NPILookup?Npi=1699770271","1699770271")</f>
        <v>1699770271</v>
      </c>
      <c r="E25112" t="s">
        <v>6745</v>
      </c>
    </row>
    <row r="25113" spans="1:5" x14ac:dyDescent="0.25">
      <c r="A25113" t="s">
        <v>8</v>
      </c>
      <c r="B25113" t="s">
        <v>6523</v>
      </c>
      <c r="C25113" s="1" t="s">
        <v>23490</v>
      </c>
      <c r="D25113" s="1" t="str">
        <f>HYPERLINK("https://rhld.insurance.arkansas.gov/NPILookup?Npi=1699776104","1699776104")</f>
        <v>1699776104</v>
      </c>
      <c r="E25113" t="s">
        <v>6746</v>
      </c>
    </row>
    <row r="25114" spans="1:5" x14ac:dyDescent="0.25">
      <c r="A25114" t="s">
        <v>8</v>
      </c>
      <c r="B25114" t="s">
        <v>6523</v>
      </c>
      <c r="C25114" s="1" t="s">
        <v>23490</v>
      </c>
      <c r="D25114" s="1" t="str">
        <f>HYPERLINK("https://rhld.insurance.arkansas.gov/NPILookup?Npi=1699776195","1699776195")</f>
        <v>1699776195</v>
      </c>
      <c r="E25114" t="s">
        <v>6747</v>
      </c>
    </row>
    <row r="25115" spans="1:5" x14ac:dyDescent="0.25">
      <c r="A25115" t="s">
        <v>8</v>
      </c>
      <c r="B25115" t="s">
        <v>6523</v>
      </c>
      <c r="C25115" s="1" t="s">
        <v>23490</v>
      </c>
      <c r="D25115" s="1" t="str">
        <f>HYPERLINK("https://rhld.insurance.arkansas.gov/NPILookup?Npi=1699779314","1699779314")</f>
        <v>1699779314</v>
      </c>
      <c r="E25115" t="s">
        <v>6748</v>
      </c>
    </row>
    <row r="25116" spans="1:5" x14ac:dyDescent="0.25">
      <c r="A25116" t="s">
        <v>8</v>
      </c>
      <c r="B25116" t="s">
        <v>6523</v>
      </c>
      <c r="C25116" s="1" t="s">
        <v>23490</v>
      </c>
      <c r="D25116" s="1" t="str">
        <f>HYPERLINK("https://rhld.insurance.arkansas.gov/NPILookup?Npi=1699865857","1699865857")</f>
        <v>1699865857</v>
      </c>
      <c r="E25116" t="s">
        <v>14434</v>
      </c>
    </row>
    <row r="25117" spans="1:5" x14ac:dyDescent="0.25">
      <c r="A25117" t="s">
        <v>8</v>
      </c>
      <c r="B25117" t="s">
        <v>6523</v>
      </c>
      <c r="C25117" s="1" t="s">
        <v>23490</v>
      </c>
      <c r="D25117" s="1" t="str">
        <f>HYPERLINK("https://rhld.insurance.arkansas.gov/NPILookup?Npi=1699983635","1699983635")</f>
        <v>1699983635</v>
      </c>
      <c r="E25117" t="s">
        <v>6749</v>
      </c>
    </row>
    <row r="25118" spans="1:5" x14ac:dyDescent="0.25">
      <c r="A25118" t="s">
        <v>8</v>
      </c>
      <c r="B25118" t="s">
        <v>6523</v>
      </c>
      <c r="C25118" s="1" t="s">
        <v>23490</v>
      </c>
      <c r="D25118" s="1" t="str">
        <f>HYPERLINK("https://rhld.insurance.arkansas.gov/NPILookup?Npi=1700020872","1700020872")</f>
        <v>1700020872</v>
      </c>
      <c r="E25118" t="s">
        <v>9237</v>
      </c>
    </row>
    <row r="25119" spans="1:5" x14ac:dyDescent="0.25">
      <c r="A25119" t="s">
        <v>8</v>
      </c>
      <c r="B25119" t="s">
        <v>6523</v>
      </c>
      <c r="C25119" s="1" t="s">
        <v>23490</v>
      </c>
      <c r="D25119" s="1" t="str">
        <f>HYPERLINK("https://rhld.insurance.arkansas.gov/NPILookup?Npi=1700226768","1700226768")</f>
        <v>1700226768</v>
      </c>
      <c r="E25119" t="s">
        <v>20726</v>
      </c>
    </row>
    <row r="25120" spans="1:5" x14ac:dyDescent="0.25">
      <c r="A25120" t="s">
        <v>8</v>
      </c>
      <c r="B25120" t="s">
        <v>6523</v>
      </c>
      <c r="C25120" s="1" t="s">
        <v>23490</v>
      </c>
      <c r="D25120" s="1" t="str">
        <f>HYPERLINK("https://rhld.insurance.arkansas.gov/NPILookup?Npi=1700267713","1700267713")</f>
        <v>1700267713</v>
      </c>
      <c r="E25120" t="s">
        <v>21630</v>
      </c>
    </row>
    <row r="25121" spans="1:5" x14ac:dyDescent="0.25">
      <c r="A25121" t="s">
        <v>8</v>
      </c>
      <c r="B25121" t="s">
        <v>6523</v>
      </c>
      <c r="C25121" s="1" t="s">
        <v>23490</v>
      </c>
      <c r="D25121" s="1" t="str">
        <f>HYPERLINK("https://rhld.insurance.arkansas.gov/NPILookup?Npi=1700845427","1700845427")</f>
        <v>1700845427</v>
      </c>
      <c r="E25121" t="s">
        <v>6750</v>
      </c>
    </row>
    <row r="25122" spans="1:5" x14ac:dyDescent="0.25">
      <c r="A25122" t="s">
        <v>8</v>
      </c>
      <c r="B25122" t="s">
        <v>6523</v>
      </c>
      <c r="C25122" s="1" t="s">
        <v>23490</v>
      </c>
      <c r="D25122" s="1" t="str">
        <f>HYPERLINK("https://rhld.insurance.arkansas.gov/NPILookup?Npi=1700855921","1700855921")</f>
        <v>1700855921</v>
      </c>
      <c r="E25122" t="s">
        <v>6751</v>
      </c>
    </row>
    <row r="25123" spans="1:5" x14ac:dyDescent="0.25">
      <c r="A25123" t="s">
        <v>8</v>
      </c>
      <c r="B25123" t="s">
        <v>6523</v>
      </c>
      <c r="C25123" s="1" t="s">
        <v>23490</v>
      </c>
      <c r="D25123" s="1" t="str">
        <f>HYPERLINK("https://rhld.insurance.arkansas.gov/NPILookup?Npi=1700895497","1700895497")</f>
        <v>1700895497</v>
      </c>
      <c r="E25123" t="s">
        <v>6752</v>
      </c>
    </row>
    <row r="25124" spans="1:5" x14ac:dyDescent="0.25">
      <c r="A25124" t="s">
        <v>8</v>
      </c>
      <c r="B25124" t="s">
        <v>6523</v>
      </c>
      <c r="C25124" s="1" t="s">
        <v>23490</v>
      </c>
      <c r="D25124" s="1" t="str">
        <f>HYPERLINK("https://rhld.insurance.arkansas.gov/NPILookup?Npi=1710032008","1710032008")</f>
        <v>1710032008</v>
      </c>
      <c r="E25124" t="s">
        <v>6753</v>
      </c>
    </row>
    <row r="25125" spans="1:5" x14ac:dyDescent="0.25">
      <c r="A25125" t="s">
        <v>8</v>
      </c>
      <c r="B25125" t="s">
        <v>6523</v>
      </c>
      <c r="C25125" s="1" t="s">
        <v>23490</v>
      </c>
      <c r="D25125" s="1" t="str">
        <f>HYPERLINK("https://rhld.insurance.arkansas.gov/NPILookup?Npi=1710060280","1710060280")</f>
        <v>1710060280</v>
      </c>
      <c r="E25125" t="s">
        <v>2492</v>
      </c>
    </row>
    <row r="25126" spans="1:5" x14ac:dyDescent="0.25">
      <c r="A25126" t="s">
        <v>8</v>
      </c>
      <c r="B25126" t="s">
        <v>6523</v>
      </c>
      <c r="C25126" s="1" t="s">
        <v>23490</v>
      </c>
      <c r="D25126" s="1" t="str">
        <f>HYPERLINK("https://rhld.insurance.arkansas.gov/NPILookup?Npi=1710076708","1710076708")</f>
        <v>1710076708</v>
      </c>
      <c r="E25126" t="s">
        <v>12048</v>
      </c>
    </row>
    <row r="25127" spans="1:5" x14ac:dyDescent="0.25">
      <c r="A25127" t="s">
        <v>8</v>
      </c>
      <c r="B25127" t="s">
        <v>6523</v>
      </c>
      <c r="C25127" s="1" t="s">
        <v>23490</v>
      </c>
      <c r="D25127" s="1" t="str">
        <f>HYPERLINK("https://rhld.insurance.arkansas.gov/NPILookup?Npi=1710151204","1710151204")</f>
        <v>1710151204</v>
      </c>
      <c r="E25127" t="s">
        <v>2496</v>
      </c>
    </row>
    <row r="25128" spans="1:5" x14ac:dyDescent="0.25">
      <c r="A25128" t="s">
        <v>8</v>
      </c>
      <c r="B25128" t="s">
        <v>6523</v>
      </c>
      <c r="C25128" s="1" t="s">
        <v>23490</v>
      </c>
      <c r="D25128" s="1" t="str">
        <f>HYPERLINK("https://rhld.insurance.arkansas.gov/NPILookup?Npi=1710904628","1710904628")</f>
        <v>1710904628</v>
      </c>
      <c r="E25128" t="s">
        <v>6754</v>
      </c>
    </row>
    <row r="25129" spans="1:5" x14ac:dyDescent="0.25">
      <c r="A25129" t="s">
        <v>8</v>
      </c>
      <c r="B25129" t="s">
        <v>6523</v>
      </c>
      <c r="C25129" s="1" t="s">
        <v>23490</v>
      </c>
      <c r="D25129" s="1" t="str">
        <f>HYPERLINK("https://rhld.insurance.arkansas.gov/NPILookup?Npi=1710922125","1710922125")</f>
        <v>1710922125</v>
      </c>
      <c r="E25129" t="s">
        <v>6755</v>
      </c>
    </row>
    <row r="25130" spans="1:5" x14ac:dyDescent="0.25">
      <c r="A25130" t="s">
        <v>8</v>
      </c>
      <c r="B25130" t="s">
        <v>6523</v>
      </c>
      <c r="C25130" s="1" t="s">
        <v>23490</v>
      </c>
      <c r="D25130" s="1" t="str">
        <f>HYPERLINK("https://rhld.insurance.arkansas.gov/NPILookup?Npi=1710934153","1710934153")</f>
        <v>1710934153</v>
      </c>
      <c r="E25130" t="s">
        <v>6756</v>
      </c>
    </row>
    <row r="25131" spans="1:5" x14ac:dyDescent="0.25">
      <c r="A25131" t="s">
        <v>8</v>
      </c>
      <c r="B25131" t="s">
        <v>6523</v>
      </c>
      <c r="C25131" s="1" t="s">
        <v>23490</v>
      </c>
      <c r="D25131" s="1" t="str">
        <f>HYPERLINK("https://rhld.insurance.arkansas.gov/NPILookup?Npi=1710970637","1710970637")</f>
        <v>1710970637</v>
      </c>
      <c r="E25131" t="s">
        <v>6757</v>
      </c>
    </row>
    <row r="25132" spans="1:5" x14ac:dyDescent="0.25">
      <c r="A25132" t="s">
        <v>8</v>
      </c>
      <c r="B25132" t="s">
        <v>6523</v>
      </c>
      <c r="C25132" s="1" t="s">
        <v>23490</v>
      </c>
      <c r="D25132" s="1" t="str">
        <f>HYPERLINK("https://rhld.insurance.arkansas.gov/NPILookup?Npi=1720003031","1720003031")</f>
        <v>1720003031</v>
      </c>
      <c r="E25132" t="s">
        <v>6758</v>
      </c>
    </row>
    <row r="25133" spans="1:5" x14ac:dyDescent="0.25">
      <c r="A25133" t="s">
        <v>8</v>
      </c>
      <c r="B25133" t="s">
        <v>6523</v>
      </c>
      <c r="C25133" s="1" t="s">
        <v>23490</v>
      </c>
      <c r="D25133" s="1" t="str">
        <f>HYPERLINK("https://rhld.insurance.arkansas.gov/NPILookup?Npi=1720034317","1720034317")</f>
        <v>1720034317</v>
      </c>
      <c r="E25133" t="s">
        <v>6759</v>
      </c>
    </row>
    <row r="25134" spans="1:5" x14ac:dyDescent="0.25">
      <c r="A25134" t="s">
        <v>8</v>
      </c>
      <c r="B25134" t="s">
        <v>6523</v>
      </c>
      <c r="C25134" s="1" t="s">
        <v>23490</v>
      </c>
      <c r="D25134" s="1" t="str">
        <f>HYPERLINK("https://rhld.insurance.arkansas.gov/NPILookup?Npi=1720072176","1720072176")</f>
        <v>1720072176</v>
      </c>
      <c r="E25134" t="s">
        <v>6760</v>
      </c>
    </row>
    <row r="25135" spans="1:5" x14ac:dyDescent="0.25">
      <c r="A25135" t="s">
        <v>8</v>
      </c>
      <c r="B25135" t="s">
        <v>6523</v>
      </c>
      <c r="C25135" s="1" t="s">
        <v>23490</v>
      </c>
      <c r="D25135" s="1" t="str">
        <f>HYPERLINK("https://rhld.insurance.arkansas.gov/NPILookup?Npi=1720088297","1720088297")</f>
        <v>1720088297</v>
      </c>
      <c r="E25135" t="s">
        <v>6761</v>
      </c>
    </row>
    <row r="25136" spans="1:5" x14ac:dyDescent="0.25">
      <c r="A25136" t="s">
        <v>8</v>
      </c>
      <c r="B25136" t="s">
        <v>6523</v>
      </c>
      <c r="C25136" s="1" t="s">
        <v>23490</v>
      </c>
      <c r="D25136" s="1" t="str">
        <f>HYPERLINK("https://rhld.insurance.arkansas.gov/NPILookup?Npi=1720104516","1720104516")</f>
        <v>1720104516</v>
      </c>
      <c r="E25136" t="s">
        <v>6762</v>
      </c>
    </row>
    <row r="25137" spans="1:5" x14ac:dyDescent="0.25">
      <c r="A25137" t="s">
        <v>8</v>
      </c>
      <c r="B25137" t="s">
        <v>6523</v>
      </c>
      <c r="C25137" s="1" t="s">
        <v>23490</v>
      </c>
      <c r="D25137" s="1" t="str">
        <f>HYPERLINK("https://rhld.insurance.arkansas.gov/NPILookup?Npi=1720109598","1720109598")</f>
        <v>1720109598</v>
      </c>
      <c r="E25137" t="s">
        <v>16434</v>
      </c>
    </row>
    <row r="25138" spans="1:5" x14ac:dyDescent="0.25">
      <c r="A25138" t="s">
        <v>8</v>
      </c>
      <c r="B25138" t="s">
        <v>6523</v>
      </c>
      <c r="C25138" s="1" t="s">
        <v>23490</v>
      </c>
      <c r="D25138" s="1" t="str">
        <f>HYPERLINK("https://rhld.insurance.arkansas.gov/NPILookup?Npi=1720180433","1720180433")</f>
        <v>1720180433</v>
      </c>
      <c r="E25138" t="s">
        <v>16435</v>
      </c>
    </row>
    <row r="25139" spans="1:5" x14ac:dyDescent="0.25">
      <c r="A25139" t="s">
        <v>8</v>
      </c>
      <c r="B25139" t="s">
        <v>6523</v>
      </c>
      <c r="C25139" s="1" t="s">
        <v>23490</v>
      </c>
      <c r="D25139" s="1" t="str">
        <f>HYPERLINK("https://rhld.insurance.arkansas.gov/NPILookup?Npi=1720187040","1720187040")</f>
        <v>1720187040</v>
      </c>
      <c r="E25139" t="s">
        <v>6763</v>
      </c>
    </row>
    <row r="25140" spans="1:5" x14ac:dyDescent="0.25">
      <c r="A25140" t="s">
        <v>8</v>
      </c>
      <c r="B25140" t="s">
        <v>6523</v>
      </c>
      <c r="C25140" s="1" t="s">
        <v>23490</v>
      </c>
      <c r="D25140" s="1" t="str">
        <f>HYPERLINK("https://rhld.insurance.arkansas.gov/NPILookup?Npi=1720390578","1720390578")</f>
        <v>1720390578</v>
      </c>
      <c r="E25140" t="s">
        <v>22563</v>
      </c>
    </row>
    <row r="25141" spans="1:5" x14ac:dyDescent="0.25">
      <c r="A25141" t="s">
        <v>8</v>
      </c>
      <c r="B25141" t="s">
        <v>6523</v>
      </c>
      <c r="C25141" s="1" t="s">
        <v>23490</v>
      </c>
      <c r="D25141" s="1" t="str">
        <f>HYPERLINK("https://rhld.insurance.arkansas.gov/NPILookup?Npi=1730130956","1730130956")</f>
        <v>1730130956</v>
      </c>
      <c r="E25141" t="s">
        <v>6764</v>
      </c>
    </row>
    <row r="25142" spans="1:5" x14ac:dyDescent="0.25">
      <c r="A25142" t="s">
        <v>8</v>
      </c>
      <c r="B25142" t="s">
        <v>6523</v>
      </c>
      <c r="C25142" s="1" t="s">
        <v>23490</v>
      </c>
      <c r="D25142" s="1" t="str">
        <f>HYPERLINK("https://rhld.insurance.arkansas.gov/NPILookup?Npi=1730278664","1730278664")</f>
        <v>1730278664</v>
      </c>
      <c r="E25142" t="s">
        <v>12049</v>
      </c>
    </row>
    <row r="25143" spans="1:5" x14ac:dyDescent="0.25">
      <c r="A25143" t="s">
        <v>8</v>
      </c>
      <c r="B25143" t="s">
        <v>6523</v>
      </c>
      <c r="C25143" s="1" t="s">
        <v>23490</v>
      </c>
      <c r="D25143" s="1" t="str">
        <f>HYPERLINK("https://rhld.insurance.arkansas.gov/NPILookup?Npi=1730404120","1730404120")</f>
        <v>1730404120</v>
      </c>
      <c r="E25143" t="s">
        <v>12050</v>
      </c>
    </row>
    <row r="25144" spans="1:5" x14ac:dyDescent="0.25">
      <c r="A25144" t="s">
        <v>8</v>
      </c>
      <c r="B25144" t="s">
        <v>6523</v>
      </c>
      <c r="C25144" s="1" t="s">
        <v>23490</v>
      </c>
      <c r="D25144" s="1" t="str">
        <f>HYPERLINK("https://rhld.insurance.arkansas.gov/NPILookup?Npi=1730481516","1730481516")</f>
        <v>1730481516</v>
      </c>
      <c r="E25144" t="s">
        <v>17720</v>
      </c>
    </row>
    <row r="25145" spans="1:5" x14ac:dyDescent="0.25">
      <c r="A25145" t="s">
        <v>8</v>
      </c>
      <c r="B25145" t="s">
        <v>6523</v>
      </c>
      <c r="C25145" s="1" t="s">
        <v>23490</v>
      </c>
      <c r="D25145" s="1" t="str">
        <f>HYPERLINK("https://rhld.insurance.arkansas.gov/NPILookup?Npi=1740216514","1740216514")</f>
        <v>1740216514</v>
      </c>
      <c r="E25145" t="s">
        <v>14435</v>
      </c>
    </row>
    <row r="25146" spans="1:5" x14ac:dyDescent="0.25">
      <c r="A25146" t="s">
        <v>8</v>
      </c>
      <c r="B25146" t="s">
        <v>6523</v>
      </c>
      <c r="C25146" s="1" t="s">
        <v>23490</v>
      </c>
      <c r="D25146" s="1" t="str">
        <f>HYPERLINK("https://rhld.insurance.arkansas.gov/NPILookup?Npi=1740266998","1740266998")</f>
        <v>1740266998</v>
      </c>
      <c r="E25146" t="s">
        <v>14436</v>
      </c>
    </row>
    <row r="25147" spans="1:5" x14ac:dyDescent="0.25">
      <c r="A25147" t="s">
        <v>8</v>
      </c>
      <c r="B25147" t="s">
        <v>6523</v>
      </c>
      <c r="C25147" s="1" t="s">
        <v>23490</v>
      </c>
      <c r="D25147" s="1" t="str">
        <f>HYPERLINK("https://rhld.insurance.arkansas.gov/NPILookup?Npi=1740273184","1740273184")</f>
        <v>1740273184</v>
      </c>
      <c r="E25147" t="s">
        <v>6765</v>
      </c>
    </row>
    <row r="25148" spans="1:5" x14ac:dyDescent="0.25">
      <c r="A25148" t="s">
        <v>8</v>
      </c>
      <c r="B25148" t="s">
        <v>6523</v>
      </c>
      <c r="C25148" s="1" t="s">
        <v>23490</v>
      </c>
      <c r="D25148" s="1" t="str">
        <f>HYPERLINK("https://rhld.insurance.arkansas.gov/NPILookup?Npi=1740621457","1740621457")</f>
        <v>1740621457</v>
      </c>
      <c r="E25148" t="s">
        <v>22564</v>
      </c>
    </row>
    <row r="25149" spans="1:5" x14ac:dyDescent="0.25">
      <c r="A25149" t="s">
        <v>8</v>
      </c>
      <c r="B25149" t="s">
        <v>6523</v>
      </c>
      <c r="C25149" s="1" t="s">
        <v>23490</v>
      </c>
      <c r="D25149" s="1" t="str">
        <f>HYPERLINK("https://rhld.insurance.arkansas.gov/NPILookup?Npi=1750381430","1750381430")</f>
        <v>1750381430</v>
      </c>
      <c r="E25149" t="s">
        <v>6766</v>
      </c>
    </row>
    <row r="25150" spans="1:5" x14ac:dyDescent="0.25">
      <c r="A25150" t="s">
        <v>8</v>
      </c>
      <c r="B25150" t="s">
        <v>6523</v>
      </c>
      <c r="C25150" s="1" t="s">
        <v>23490</v>
      </c>
      <c r="D25150" s="1" t="str">
        <f>HYPERLINK("https://rhld.insurance.arkansas.gov/NPILookup?Npi=1750505582","1750505582")</f>
        <v>1750505582</v>
      </c>
      <c r="E25150" t="s">
        <v>6767</v>
      </c>
    </row>
    <row r="25151" spans="1:5" x14ac:dyDescent="0.25">
      <c r="A25151" t="s">
        <v>8</v>
      </c>
      <c r="B25151" t="s">
        <v>6523</v>
      </c>
      <c r="C25151" s="1" t="s">
        <v>23490</v>
      </c>
      <c r="D25151" s="1" t="str">
        <f>HYPERLINK("https://rhld.insurance.arkansas.gov/NPILookup?Npi=1750523544","1750523544")</f>
        <v>1750523544</v>
      </c>
      <c r="E25151" t="s">
        <v>11232</v>
      </c>
    </row>
    <row r="25152" spans="1:5" x14ac:dyDescent="0.25">
      <c r="A25152" t="s">
        <v>8</v>
      </c>
      <c r="B25152" t="s">
        <v>6523</v>
      </c>
      <c r="C25152" s="1" t="s">
        <v>23490</v>
      </c>
      <c r="D25152" s="1" t="str">
        <f>HYPERLINK("https://rhld.insurance.arkansas.gov/NPILookup?Npi=1760472419","1760472419")</f>
        <v>1760472419</v>
      </c>
      <c r="E25152" t="s">
        <v>1378</v>
      </c>
    </row>
    <row r="25153" spans="1:5" x14ac:dyDescent="0.25">
      <c r="A25153" t="s">
        <v>8</v>
      </c>
      <c r="B25153" t="s">
        <v>6523</v>
      </c>
      <c r="C25153" s="1" t="s">
        <v>23490</v>
      </c>
      <c r="D25153" s="1" t="str">
        <f>HYPERLINK("https://rhld.insurance.arkansas.gov/NPILookup?Npi=1760484976","1760484976")</f>
        <v>1760484976</v>
      </c>
      <c r="E25153" t="s">
        <v>2096</v>
      </c>
    </row>
    <row r="25154" spans="1:5" x14ac:dyDescent="0.25">
      <c r="A25154" t="s">
        <v>8</v>
      </c>
      <c r="B25154" t="s">
        <v>6523</v>
      </c>
      <c r="C25154" s="1" t="s">
        <v>23490</v>
      </c>
      <c r="D25154" s="1" t="str">
        <f>HYPERLINK("https://rhld.insurance.arkansas.gov/NPILookup?Npi=1760491989","1760491989")</f>
        <v>1760491989</v>
      </c>
      <c r="E25154" t="s">
        <v>22565</v>
      </c>
    </row>
    <row r="25155" spans="1:5" x14ac:dyDescent="0.25">
      <c r="A25155" t="s">
        <v>8</v>
      </c>
      <c r="B25155" t="s">
        <v>6523</v>
      </c>
      <c r="C25155" s="1" t="s">
        <v>23490</v>
      </c>
      <c r="D25155" s="1" t="str">
        <f>HYPERLINK("https://rhld.insurance.arkansas.gov/NPILookup?Npi=1760594238","1760594238")</f>
        <v>1760594238</v>
      </c>
      <c r="E25155" t="s">
        <v>16436</v>
      </c>
    </row>
    <row r="25156" spans="1:5" x14ac:dyDescent="0.25">
      <c r="A25156" t="s">
        <v>8</v>
      </c>
      <c r="B25156" t="s">
        <v>6523</v>
      </c>
      <c r="C25156" s="1" t="s">
        <v>23490</v>
      </c>
      <c r="D25156" s="1" t="str">
        <f>HYPERLINK("https://rhld.insurance.arkansas.gov/NPILookup?Npi=1760794192","1760794192")</f>
        <v>1760794192</v>
      </c>
      <c r="E25156" t="s">
        <v>12051</v>
      </c>
    </row>
    <row r="25157" spans="1:5" x14ac:dyDescent="0.25">
      <c r="A25157" t="s">
        <v>8</v>
      </c>
      <c r="B25157" t="s">
        <v>6523</v>
      </c>
      <c r="C25157" s="1" t="s">
        <v>23490</v>
      </c>
      <c r="D25157" s="1" t="str">
        <f>HYPERLINK("https://rhld.insurance.arkansas.gov/NPILookup?Npi=1760898373","1760898373")</f>
        <v>1760898373</v>
      </c>
      <c r="E25157" t="s">
        <v>19129</v>
      </c>
    </row>
    <row r="25158" spans="1:5" x14ac:dyDescent="0.25">
      <c r="A25158" t="s">
        <v>8</v>
      </c>
      <c r="B25158" t="s">
        <v>6523</v>
      </c>
      <c r="C25158" s="1" t="s">
        <v>23490</v>
      </c>
      <c r="D25158" s="1" t="str">
        <f>HYPERLINK("https://rhld.insurance.arkansas.gov/NPILookup?Npi=1770583049","1770583049")</f>
        <v>1770583049</v>
      </c>
      <c r="E25158" t="s">
        <v>6768</v>
      </c>
    </row>
    <row r="25159" spans="1:5" x14ac:dyDescent="0.25">
      <c r="A25159" t="s">
        <v>8</v>
      </c>
      <c r="B25159" t="s">
        <v>6523</v>
      </c>
      <c r="C25159" s="1" t="s">
        <v>23490</v>
      </c>
      <c r="D25159" s="1" t="str">
        <f>HYPERLINK("https://rhld.insurance.arkansas.gov/NPILookup?Npi=1770583239","1770583239")</f>
        <v>1770583239</v>
      </c>
      <c r="E25159" t="s">
        <v>6769</v>
      </c>
    </row>
    <row r="25160" spans="1:5" x14ac:dyDescent="0.25">
      <c r="A25160" t="s">
        <v>8</v>
      </c>
      <c r="B25160" t="s">
        <v>6523</v>
      </c>
      <c r="C25160" s="1" t="s">
        <v>23490</v>
      </c>
      <c r="D25160" s="1" t="str">
        <f>HYPERLINK("https://rhld.insurance.arkansas.gov/NPILookup?Npi=1770594301","1770594301")</f>
        <v>1770594301</v>
      </c>
      <c r="E25160" t="s">
        <v>6770</v>
      </c>
    </row>
    <row r="25161" spans="1:5" x14ac:dyDescent="0.25">
      <c r="A25161" t="s">
        <v>8</v>
      </c>
      <c r="B25161" t="s">
        <v>6523</v>
      </c>
      <c r="C25161" s="1" t="s">
        <v>23490</v>
      </c>
      <c r="D25161" s="1" t="str">
        <f>HYPERLINK("https://rhld.insurance.arkansas.gov/NPILookup?Npi=1770635047","1770635047")</f>
        <v>1770635047</v>
      </c>
      <c r="E25161" t="s">
        <v>6771</v>
      </c>
    </row>
    <row r="25162" spans="1:5" x14ac:dyDescent="0.25">
      <c r="A25162" t="s">
        <v>8</v>
      </c>
      <c r="B25162" t="s">
        <v>6523</v>
      </c>
      <c r="C25162" s="1" t="s">
        <v>8427</v>
      </c>
      <c r="D25162" s="1" t="str">
        <f>HYPERLINK("https://rhld.insurance.arkansas.gov/NPILookup?Npi=1770691107","1770691107")</f>
        <v>1770691107</v>
      </c>
      <c r="E25162" t="s">
        <v>23290</v>
      </c>
    </row>
    <row r="25163" spans="1:5" x14ac:dyDescent="0.25">
      <c r="A25163" t="s">
        <v>8</v>
      </c>
      <c r="B25163" t="s">
        <v>6523</v>
      </c>
      <c r="C25163" s="1" t="s">
        <v>23490</v>
      </c>
      <c r="D25163" s="1" t="str">
        <f>HYPERLINK("https://rhld.insurance.arkansas.gov/NPILookup?Npi=1770740672","1770740672")</f>
        <v>1770740672</v>
      </c>
      <c r="E25163" t="s">
        <v>6772</v>
      </c>
    </row>
    <row r="25164" spans="1:5" x14ac:dyDescent="0.25">
      <c r="A25164" t="s">
        <v>8</v>
      </c>
      <c r="B25164" t="s">
        <v>6523</v>
      </c>
      <c r="C25164" s="1" t="s">
        <v>23490</v>
      </c>
      <c r="D25164" s="1" t="str">
        <f>HYPERLINK("https://rhld.insurance.arkansas.gov/NPILookup?Npi=1770891970","1770891970")</f>
        <v>1770891970</v>
      </c>
      <c r="E25164" t="s">
        <v>12052</v>
      </c>
    </row>
    <row r="25165" spans="1:5" x14ac:dyDescent="0.25">
      <c r="A25165" t="s">
        <v>8</v>
      </c>
      <c r="B25165" t="s">
        <v>6523</v>
      </c>
      <c r="C25165" s="1" t="s">
        <v>23490</v>
      </c>
      <c r="D25165" s="1" t="str">
        <f>HYPERLINK("https://rhld.insurance.arkansas.gov/NPILookup?Npi=1770901142","1770901142")</f>
        <v>1770901142</v>
      </c>
      <c r="E25165" t="s">
        <v>17721</v>
      </c>
    </row>
    <row r="25166" spans="1:5" x14ac:dyDescent="0.25">
      <c r="A25166" t="s">
        <v>8</v>
      </c>
      <c r="B25166" t="s">
        <v>6523</v>
      </c>
      <c r="C25166" s="1" t="s">
        <v>23490</v>
      </c>
      <c r="D25166" s="1" t="str">
        <f>HYPERLINK("https://rhld.insurance.arkansas.gov/NPILookup?Npi=1780657056","1780657056")</f>
        <v>1780657056</v>
      </c>
      <c r="E25166" t="s">
        <v>3177</v>
      </c>
    </row>
    <row r="25167" spans="1:5" x14ac:dyDescent="0.25">
      <c r="A25167" t="s">
        <v>8</v>
      </c>
      <c r="B25167" t="s">
        <v>6523</v>
      </c>
      <c r="C25167" s="1" t="s">
        <v>23490</v>
      </c>
      <c r="D25167" s="1" t="str">
        <f>HYPERLINK("https://rhld.insurance.arkansas.gov/NPILookup?Npi=1780675546","1780675546")</f>
        <v>1780675546</v>
      </c>
      <c r="E25167" t="s">
        <v>6773</v>
      </c>
    </row>
    <row r="25168" spans="1:5" x14ac:dyDescent="0.25">
      <c r="A25168" t="s">
        <v>8</v>
      </c>
      <c r="B25168" t="s">
        <v>6523</v>
      </c>
      <c r="C25168" s="1" t="s">
        <v>23490</v>
      </c>
      <c r="D25168" s="1" t="str">
        <f>HYPERLINK("https://rhld.insurance.arkansas.gov/NPILookup?Npi=1780689844","1780689844")</f>
        <v>1780689844</v>
      </c>
      <c r="E25168" t="s">
        <v>12053</v>
      </c>
    </row>
    <row r="25169" spans="1:5" x14ac:dyDescent="0.25">
      <c r="A25169" t="s">
        <v>8</v>
      </c>
      <c r="B25169" t="s">
        <v>6523</v>
      </c>
      <c r="C25169" s="1" t="s">
        <v>23490</v>
      </c>
      <c r="D25169" s="1" t="str">
        <f>HYPERLINK("https://rhld.insurance.arkansas.gov/NPILookup?Npi=1780695312","1780695312")</f>
        <v>1780695312</v>
      </c>
      <c r="E25169" t="s">
        <v>6774</v>
      </c>
    </row>
    <row r="25170" spans="1:5" x14ac:dyDescent="0.25">
      <c r="A25170" t="s">
        <v>8</v>
      </c>
      <c r="B25170" t="s">
        <v>6523</v>
      </c>
      <c r="C25170" s="1" t="s">
        <v>23490</v>
      </c>
      <c r="D25170" s="1" t="str">
        <f>HYPERLINK("https://rhld.insurance.arkansas.gov/NPILookup?Npi=1780840298","1780840298")</f>
        <v>1780840298</v>
      </c>
      <c r="E25170" t="s">
        <v>22566</v>
      </c>
    </row>
    <row r="25171" spans="1:5" x14ac:dyDescent="0.25">
      <c r="A25171" t="s">
        <v>8</v>
      </c>
      <c r="B25171" t="s">
        <v>6523</v>
      </c>
      <c r="C25171" s="1" t="s">
        <v>23490</v>
      </c>
      <c r="D25171" s="1" t="str">
        <f>HYPERLINK("https://rhld.insurance.arkansas.gov/NPILookup?Npi=1780981670","1780981670")</f>
        <v>1780981670</v>
      </c>
      <c r="E25171" t="s">
        <v>11272</v>
      </c>
    </row>
    <row r="25172" spans="1:5" x14ac:dyDescent="0.25">
      <c r="A25172" t="s">
        <v>8</v>
      </c>
      <c r="B25172" t="s">
        <v>6523</v>
      </c>
      <c r="C25172" s="1" t="s">
        <v>23490</v>
      </c>
      <c r="D25172" s="1" t="str">
        <f>HYPERLINK("https://rhld.insurance.arkansas.gov/NPILookup?Npi=1790103216","1790103216")</f>
        <v>1790103216</v>
      </c>
      <c r="E25172" t="s">
        <v>19130</v>
      </c>
    </row>
    <row r="25173" spans="1:5" x14ac:dyDescent="0.25">
      <c r="A25173" t="s">
        <v>8</v>
      </c>
      <c r="B25173" t="s">
        <v>6523</v>
      </c>
      <c r="C25173" s="1" t="s">
        <v>23490</v>
      </c>
      <c r="D25173" s="1" t="str">
        <f>HYPERLINK("https://rhld.insurance.arkansas.gov/NPILookup?Npi=1790191039","1790191039")</f>
        <v>1790191039</v>
      </c>
      <c r="E25173" t="s">
        <v>20727</v>
      </c>
    </row>
    <row r="25174" spans="1:5" x14ac:dyDescent="0.25">
      <c r="A25174" t="s">
        <v>8</v>
      </c>
      <c r="B25174" t="s">
        <v>6523</v>
      </c>
      <c r="C25174" s="1" t="s">
        <v>23490</v>
      </c>
      <c r="D25174" s="1" t="str">
        <f>HYPERLINK("https://rhld.insurance.arkansas.gov/NPILookup?Npi=1790728178","1790728178")</f>
        <v>1790728178</v>
      </c>
      <c r="E25174" t="s">
        <v>22567</v>
      </c>
    </row>
    <row r="25175" spans="1:5" x14ac:dyDescent="0.25">
      <c r="A25175" t="s">
        <v>8</v>
      </c>
      <c r="B25175" t="s">
        <v>6523</v>
      </c>
      <c r="C25175" s="1" t="s">
        <v>23490</v>
      </c>
      <c r="D25175" s="1" t="str">
        <f>HYPERLINK("https://rhld.insurance.arkansas.gov/NPILookup?Npi=1790749638","1790749638")</f>
        <v>1790749638</v>
      </c>
      <c r="E25175" t="s">
        <v>6775</v>
      </c>
    </row>
    <row r="25176" spans="1:5" x14ac:dyDescent="0.25">
      <c r="A25176" t="s">
        <v>8</v>
      </c>
      <c r="B25176" t="s">
        <v>6523</v>
      </c>
      <c r="C25176" s="1" t="s">
        <v>23490</v>
      </c>
      <c r="D25176" s="1" t="str">
        <f>HYPERLINK("https://rhld.insurance.arkansas.gov/NPILookup?Npi=1790752566","1790752566")</f>
        <v>1790752566</v>
      </c>
      <c r="E25176" t="s">
        <v>6776</v>
      </c>
    </row>
    <row r="25177" spans="1:5" x14ac:dyDescent="0.25">
      <c r="A25177" t="s">
        <v>8</v>
      </c>
      <c r="B25177" t="s">
        <v>6523</v>
      </c>
      <c r="C25177" s="1" t="s">
        <v>23490</v>
      </c>
      <c r="D25177" s="1" t="str">
        <f>HYPERLINK("https://rhld.insurance.arkansas.gov/NPILookup?Npi=1790769586","1790769586")</f>
        <v>1790769586</v>
      </c>
      <c r="E25177" t="s">
        <v>6777</v>
      </c>
    </row>
    <row r="25178" spans="1:5" x14ac:dyDescent="0.25">
      <c r="A25178" t="s">
        <v>8</v>
      </c>
      <c r="B25178" t="s">
        <v>6523</v>
      </c>
      <c r="C25178" s="1" t="s">
        <v>23490</v>
      </c>
      <c r="D25178" s="1" t="str">
        <f>HYPERLINK("https://rhld.insurance.arkansas.gov/NPILookup?Npi=1790855534","1790855534")</f>
        <v>1790855534</v>
      </c>
      <c r="E25178" t="s">
        <v>6778</v>
      </c>
    </row>
    <row r="25179" spans="1:5" x14ac:dyDescent="0.25">
      <c r="A25179" t="s">
        <v>8</v>
      </c>
      <c r="B25179" t="s">
        <v>6523</v>
      </c>
      <c r="C25179" s="1" t="s">
        <v>23490</v>
      </c>
      <c r="D25179" s="1" t="str">
        <f>HYPERLINK("https://rhld.insurance.arkansas.gov/NPILookup?Npi=1790907418","1790907418")</f>
        <v>1790907418</v>
      </c>
      <c r="E25179" t="s">
        <v>16437</v>
      </c>
    </row>
    <row r="25180" spans="1:5" x14ac:dyDescent="0.25">
      <c r="A25180" t="s">
        <v>8</v>
      </c>
      <c r="B25180" t="s">
        <v>6523</v>
      </c>
      <c r="C25180" s="1" t="s">
        <v>23490</v>
      </c>
      <c r="D25180" s="1" t="str">
        <f>HYPERLINK("https://rhld.insurance.arkansas.gov/NPILookup?Npi=1790914372","1790914372")</f>
        <v>1790914372</v>
      </c>
      <c r="E25180" t="s">
        <v>17293</v>
      </c>
    </row>
    <row r="25181" spans="1:5" x14ac:dyDescent="0.25">
      <c r="A25181" t="s">
        <v>8</v>
      </c>
      <c r="B25181" t="s">
        <v>6523</v>
      </c>
      <c r="C25181" s="1" t="s">
        <v>23490</v>
      </c>
      <c r="D25181" s="1" t="str">
        <f>HYPERLINK("https://rhld.insurance.arkansas.gov/NPILookup?Npi=1790990562","1790990562")</f>
        <v>1790990562</v>
      </c>
      <c r="E25181" t="s">
        <v>2814</v>
      </c>
    </row>
    <row r="25182" spans="1:5" x14ac:dyDescent="0.25">
      <c r="A25182" t="s">
        <v>8</v>
      </c>
      <c r="B25182" t="s">
        <v>6523</v>
      </c>
      <c r="C25182" s="1" t="s">
        <v>23490</v>
      </c>
      <c r="D25182" s="1" t="str">
        <f>HYPERLINK("https://rhld.insurance.arkansas.gov/NPILookup?Npi=1801000476","1801000476")</f>
        <v>1801000476</v>
      </c>
      <c r="E25182" t="s">
        <v>22568</v>
      </c>
    </row>
    <row r="25183" spans="1:5" x14ac:dyDescent="0.25">
      <c r="A25183" t="s">
        <v>8</v>
      </c>
      <c r="B25183" t="s">
        <v>6523</v>
      </c>
      <c r="C25183" s="1" t="s">
        <v>23490</v>
      </c>
      <c r="D25183" s="1" t="str">
        <f>HYPERLINK("https://rhld.insurance.arkansas.gov/NPILookup?Npi=1801051909","1801051909")</f>
        <v>1801051909</v>
      </c>
      <c r="E25183" t="s">
        <v>6779</v>
      </c>
    </row>
    <row r="25184" spans="1:5" x14ac:dyDescent="0.25">
      <c r="A25184" t="s">
        <v>8</v>
      </c>
      <c r="B25184" t="s">
        <v>6523</v>
      </c>
      <c r="C25184" s="1" t="s">
        <v>23490</v>
      </c>
      <c r="D25184" s="1" t="str">
        <f>HYPERLINK("https://rhld.insurance.arkansas.gov/NPILookup?Npi=1801099775","1801099775")</f>
        <v>1801099775</v>
      </c>
      <c r="E25184" t="s">
        <v>6780</v>
      </c>
    </row>
    <row r="25185" spans="1:5" x14ac:dyDescent="0.25">
      <c r="A25185" t="s">
        <v>8</v>
      </c>
      <c r="B25185" t="s">
        <v>6523</v>
      </c>
      <c r="C25185" s="1" t="s">
        <v>23490</v>
      </c>
      <c r="D25185" s="1" t="str">
        <f>HYPERLINK("https://rhld.insurance.arkansas.gov/NPILookup?Npi=1801150214","1801150214")</f>
        <v>1801150214</v>
      </c>
      <c r="E25185" t="s">
        <v>21273</v>
      </c>
    </row>
    <row r="25186" spans="1:5" x14ac:dyDescent="0.25">
      <c r="A25186" t="s">
        <v>8</v>
      </c>
      <c r="B25186" t="s">
        <v>6523</v>
      </c>
      <c r="C25186" s="1" t="s">
        <v>23490</v>
      </c>
      <c r="D25186" s="1" t="str">
        <f>HYPERLINK("https://rhld.insurance.arkansas.gov/NPILookup?Npi=1801209614","1801209614")</f>
        <v>1801209614</v>
      </c>
      <c r="E25186" t="s">
        <v>20728</v>
      </c>
    </row>
    <row r="25187" spans="1:5" x14ac:dyDescent="0.25">
      <c r="A25187" t="s">
        <v>8</v>
      </c>
      <c r="B25187" t="s">
        <v>6523</v>
      </c>
      <c r="C25187" s="1" t="s">
        <v>23490</v>
      </c>
      <c r="D25187" s="1" t="str">
        <f>HYPERLINK("https://rhld.insurance.arkansas.gov/NPILookup?Npi=1801835897","1801835897")</f>
        <v>1801835897</v>
      </c>
      <c r="E25187" t="s">
        <v>6781</v>
      </c>
    </row>
    <row r="25188" spans="1:5" x14ac:dyDescent="0.25">
      <c r="A25188" t="s">
        <v>8</v>
      </c>
      <c r="B25188" t="s">
        <v>6523</v>
      </c>
      <c r="C25188" s="1" t="s">
        <v>23490</v>
      </c>
      <c r="D25188" s="1" t="str">
        <f>HYPERLINK("https://rhld.insurance.arkansas.gov/NPILookup?Npi=1801861240","1801861240")</f>
        <v>1801861240</v>
      </c>
      <c r="E25188" t="s">
        <v>6782</v>
      </c>
    </row>
    <row r="25189" spans="1:5" x14ac:dyDescent="0.25">
      <c r="A25189" t="s">
        <v>8</v>
      </c>
      <c r="B25189" t="s">
        <v>6523</v>
      </c>
      <c r="C25189" s="1" t="s">
        <v>23490</v>
      </c>
      <c r="D25189" s="1" t="str">
        <f>HYPERLINK("https://rhld.insurance.arkansas.gov/NPILookup?Npi=1801886585","1801886585")</f>
        <v>1801886585</v>
      </c>
      <c r="E25189" t="s">
        <v>1144</v>
      </c>
    </row>
    <row r="25190" spans="1:5" x14ac:dyDescent="0.25">
      <c r="A25190" t="s">
        <v>8</v>
      </c>
      <c r="B25190" t="s">
        <v>6523</v>
      </c>
      <c r="C25190" s="1" t="s">
        <v>23490</v>
      </c>
      <c r="D25190" s="1" t="str">
        <f>HYPERLINK("https://rhld.insurance.arkansas.gov/NPILookup?Npi=1811918287","1811918287")</f>
        <v>1811918287</v>
      </c>
      <c r="E25190" t="s">
        <v>6783</v>
      </c>
    </row>
    <row r="25191" spans="1:5" x14ac:dyDescent="0.25">
      <c r="A25191" t="s">
        <v>8</v>
      </c>
      <c r="B25191" t="s">
        <v>6523</v>
      </c>
      <c r="C25191" s="1" t="s">
        <v>23490</v>
      </c>
      <c r="D25191" s="1" t="str">
        <f>HYPERLINK("https://rhld.insurance.arkansas.gov/NPILookup?Npi=1811931090","1811931090")</f>
        <v>1811931090</v>
      </c>
      <c r="E25191" t="s">
        <v>6784</v>
      </c>
    </row>
    <row r="25192" spans="1:5" x14ac:dyDescent="0.25">
      <c r="A25192" t="s">
        <v>8</v>
      </c>
      <c r="B25192" t="s">
        <v>6523</v>
      </c>
      <c r="C25192" s="1" t="s">
        <v>23490</v>
      </c>
      <c r="D25192" s="1" t="str">
        <f>HYPERLINK("https://rhld.insurance.arkansas.gov/NPILookup?Npi=1811943400","1811943400")</f>
        <v>1811943400</v>
      </c>
      <c r="E25192" t="s">
        <v>6785</v>
      </c>
    </row>
    <row r="25193" spans="1:5" x14ac:dyDescent="0.25">
      <c r="A25193" t="s">
        <v>8</v>
      </c>
      <c r="B25193" t="s">
        <v>6523</v>
      </c>
      <c r="C25193" s="1" t="s">
        <v>23490</v>
      </c>
      <c r="D25193" s="1" t="str">
        <f>HYPERLINK("https://rhld.insurance.arkansas.gov/NPILookup?Npi=1811952237","1811952237")</f>
        <v>1811952237</v>
      </c>
      <c r="E25193" t="s">
        <v>14437</v>
      </c>
    </row>
    <row r="25194" spans="1:5" x14ac:dyDescent="0.25">
      <c r="A25194" t="s">
        <v>8</v>
      </c>
      <c r="B25194" t="s">
        <v>6523</v>
      </c>
      <c r="C25194" s="1" t="s">
        <v>23490</v>
      </c>
      <c r="D25194" s="1" t="str">
        <f>HYPERLINK("https://rhld.insurance.arkansas.gov/NPILookup?Npi=1821009341","1821009341")</f>
        <v>1821009341</v>
      </c>
      <c r="E25194" t="s">
        <v>6786</v>
      </c>
    </row>
    <row r="25195" spans="1:5" x14ac:dyDescent="0.25">
      <c r="A25195" t="s">
        <v>8</v>
      </c>
      <c r="B25195" t="s">
        <v>6523</v>
      </c>
      <c r="C25195" s="1" t="s">
        <v>23490</v>
      </c>
      <c r="D25195" s="1" t="str">
        <f>HYPERLINK("https://rhld.insurance.arkansas.gov/NPILookup?Npi=1821062548","1821062548")</f>
        <v>1821062548</v>
      </c>
      <c r="E25195" t="s">
        <v>6787</v>
      </c>
    </row>
    <row r="25196" spans="1:5" x14ac:dyDescent="0.25">
      <c r="A25196" t="s">
        <v>8</v>
      </c>
      <c r="B25196" t="s">
        <v>6523</v>
      </c>
      <c r="C25196" s="1" t="s">
        <v>23490</v>
      </c>
      <c r="D25196" s="1" t="str">
        <f>HYPERLINK("https://rhld.insurance.arkansas.gov/NPILookup?Npi=1821121955","1821121955")</f>
        <v>1821121955</v>
      </c>
      <c r="E25196" t="s">
        <v>6788</v>
      </c>
    </row>
    <row r="25197" spans="1:5" x14ac:dyDescent="0.25">
      <c r="A25197" t="s">
        <v>8</v>
      </c>
      <c r="B25197" t="s">
        <v>6523</v>
      </c>
      <c r="C25197" s="1" t="s">
        <v>23490</v>
      </c>
      <c r="D25197" s="1" t="str">
        <f>HYPERLINK("https://rhld.insurance.arkansas.gov/NPILookup?Npi=1821352220","1821352220")</f>
        <v>1821352220</v>
      </c>
      <c r="E25197" t="s">
        <v>16438</v>
      </c>
    </row>
    <row r="25198" spans="1:5" x14ac:dyDescent="0.25">
      <c r="A25198" t="s">
        <v>8</v>
      </c>
      <c r="B25198" t="s">
        <v>6523</v>
      </c>
      <c r="C25198" s="1" t="s">
        <v>23490</v>
      </c>
      <c r="D25198" s="1" t="str">
        <f>HYPERLINK("https://rhld.insurance.arkansas.gov/NPILookup?Npi=1821435876","1821435876")</f>
        <v>1821435876</v>
      </c>
      <c r="E25198" t="s">
        <v>18538</v>
      </c>
    </row>
    <row r="25199" spans="1:5" x14ac:dyDescent="0.25">
      <c r="A25199" t="s">
        <v>8</v>
      </c>
      <c r="B25199" t="s">
        <v>6523</v>
      </c>
      <c r="C25199" s="1" t="s">
        <v>23490</v>
      </c>
      <c r="D25199" s="1" t="str">
        <f>HYPERLINK("https://rhld.insurance.arkansas.gov/NPILookup?Npi=1831110550","1831110550")</f>
        <v>1831110550</v>
      </c>
      <c r="E25199" t="s">
        <v>12054</v>
      </c>
    </row>
    <row r="25200" spans="1:5" x14ac:dyDescent="0.25">
      <c r="A25200" t="s">
        <v>8</v>
      </c>
      <c r="B25200" t="s">
        <v>6523</v>
      </c>
      <c r="C25200" s="1" t="s">
        <v>23490</v>
      </c>
      <c r="D25200" s="1" t="str">
        <f>HYPERLINK("https://rhld.insurance.arkansas.gov/NPILookup?Npi=1831117258","1831117258")</f>
        <v>1831117258</v>
      </c>
      <c r="E25200" t="s">
        <v>22569</v>
      </c>
    </row>
    <row r="25201" spans="1:5" x14ac:dyDescent="0.25">
      <c r="A25201" t="s">
        <v>8</v>
      </c>
      <c r="B25201" t="s">
        <v>6523</v>
      </c>
      <c r="C25201" s="1" t="s">
        <v>23490</v>
      </c>
      <c r="D25201" s="1" t="str">
        <f>HYPERLINK("https://rhld.insurance.arkansas.gov/NPILookup?Npi=1831362300","1831362300")</f>
        <v>1831362300</v>
      </c>
      <c r="E25201" t="s">
        <v>9238</v>
      </c>
    </row>
    <row r="25202" spans="1:5" x14ac:dyDescent="0.25">
      <c r="A25202" t="s">
        <v>8</v>
      </c>
      <c r="B25202" t="s">
        <v>6523</v>
      </c>
      <c r="C25202" s="1" t="s">
        <v>23490</v>
      </c>
      <c r="D25202" s="1" t="str">
        <f>HYPERLINK("https://rhld.insurance.arkansas.gov/NPILookup?Npi=1831386556","1831386556")</f>
        <v>1831386556</v>
      </c>
      <c r="E25202" t="s">
        <v>6789</v>
      </c>
    </row>
    <row r="25203" spans="1:5" x14ac:dyDescent="0.25">
      <c r="A25203" t="s">
        <v>8</v>
      </c>
      <c r="B25203" t="s">
        <v>6523</v>
      </c>
      <c r="C25203" s="1" t="s">
        <v>8427</v>
      </c>
      <c r="D25203" s="1" t="str">
        <f>HYPERLINK("https://rhld.insurance.arkansas.gov/NPILookup?Npi=1831630110","1831630110")</f>
        <v>1831630110</v>
      </c>
      <c r="E25203" t="s">
        <v>23291</v>
      </c>
    </row>
    <row r="25204" spans="1:5" x14ac:dyDescent="0.25">
      <c r="A25204" t="s">
        <v>8</v>
      </c>
      <c r="B25204" t="s">
        <v>6523</v>
      </c>
      <c r="C25204" s="1" t="s">
        <v>23490</v>
      </c>
      <c r="D25204" s="1" t="str">
        <f>HYPERLINK("https://rhld.insurance.arkansas.gov/NPILookup?Npi=1841224300","1841224300")</f>
        <v>1841224300</v>
      </c>
      <c r="E25204" t="s">
        <v>6790</v>
      </c>
    </row>
    <row r="25205" spans="1:5" x14ac:dyDescent="0.25">
      <c r="A25205" t="s">
        <v>8</v>
      </c>
      <c r="B25205" t="s">
        <v>6523</v>
      </c>
      <c r="C25205" s="1" t="s">
        <v>23490</v>
      </c>
      <c r="D25205" s="1" t="str">
        <f>HYPERLINK("https://rhld.insurance.arkansas.gov/NPILookup?Npi=1841267846","1841267846")</f>
        <v>1841267846</v>
      </c>
      <c r="E25205" t="s">
        <v>6791</v>
      </c>
    </row>
    <row r="25206" spans="1:5" x14ac:dyDescent="0.25">
      <c r="A25206" t="s">
        <v>8</v>
      </c>
      <c r="B25206" t="s">
        <v>6523</v>
      </c>
      <c r="C25206" s="1" t="s">
        <v>23490</v>
      </c>
      <c r="D25206" s="1" t="str">
        <f>HYPERLINK("https://rhld.insurance.arkansas.gov/NPILookup?Npi=1841277308","1841277308")</f>
        <v>1841277308</v>
      </c>
      <c r="E25206" t="s">
        <v>6792</v>
      </c>
    </row>
    <row r="25207" spans="1:5" x14ac:dyDescent="0.25">
      <c r="A25207" t="s">
        <v>8</v>
      </c>
      <c r="B25207" t="s">
        <v>6523</v>
      </c>
      <c r="C25207" s="1" t="s">
        <v>23490</v>
      </c>
      <c r="D25207" s="1" t="str">
        <f>HYPERLINK("https://rhld.insurance.arkansas.gov/NPILookup?Npi=1841370475","1841370475")</f>
        <v>1841370475</v>
      </c>
      <c r="E25207" t="s">
        <v>6793</v>
      </c>
    </row>
    <row r="25208" spans="1:5" x14ac:dyDescent="0.25">
      <c r="A25208" t="s">
        <v>8</v>
      </c>
      <c r="B25208" t="s">
        <v>6523</v>
      </c>
      <c r="C25208" s="1" t="s">
        <v>23490</v>
      </c>
      <c r="D25208" s="1" t="str">
        <f>HYPERLINK("https://rhld.insurance.arkansas.gov/NPILookup?Npi=1841566288","1841566288")</f>
        <v>1841566288</v>
      </c>
      <c r="E25208" t="s">
        <v>22570</v>
      </c>
    </row>
    <row r="25209" spans="1:5" x14ac:dyDescent="0.25">
      <c r="A25209" t="s">
        <v>8</v>
      </c>
      <c r="B25209" t="s">
        <v>6523</v>
      </c>
      <c r="C25209" s="1" t="s">
        <v>23490</v>
      </c>
      <c r="D25209" s="1" t="str">
        <f>HYPERLINK("https://rhld.insurance.arkansas.gov/NPILookup?Npi=1841622008","1841622008")</f>
        <v>1841622008</v>
      </c>
      <c r="E25209" t="s">
        <v>17722</v>
      </c>
    </row>
    <row r="25210" spans="1:5" x14ac:dyDescent="0.25">
      <c r="A25210" t="s">
        <v>8</v>
      </c>
      <c r="B25210" t="s">
        <v>6523</v>
      </c>
      <c r="C25210" s="1" t="s">
        <v>23490</v>
      </c>
      <c r="D25210" s="1" t="str">
        <f>HYPERLINK("https://rhld.insurance.arkansas.gov/NPILookup?Npi=1851324446","1851324446")</f>
        <v>1851324446</v>
      </c>
      <c r="E25210" t="s">
        <v>6794</v>
      </c>
    </row>
    <row r="25211" spans="1:5" x14ac:dyDescent="0.25">
      <c r="A25211" t="s">
        <v>8</v>
      </c>
      <c r="B25211" t="s">
        <v>6523</v>
      </c>
      <c r="C25211" s="1" t="s">
        <v>23490</v>
      </c>
      <c r="D25211" s="1" t="str">
        <f>HYPERLINK("https://rhld.insurance.arkansas.gov/NPILookup?Npi=1851328603","1851328603")</f>
        <v>1851328603</v>
      </c>
      <c r="E25211" t="s">
        <v>22571</v>
      </c>
    </row>
    <row r="25212" spans="1:5" x14ac:dyDescent="0.25">
      <c r="A25212" t="s">
        <v>8</v>
      </c>
      <c r="B25212" t="s">
        <v>6523</v>
      </c>
      <c r="C25212" s="1" t="s">
        <v>23490</v>
      </c>
      <c r="D25212" s="1" t="str">
        <f>HYPERLINK("https://rhld.insurance.arkansas.gov/NPILookup?Npi=1851375349","1851375349")</f>
        <v>1851375349</v>
      </c>
      <c r="E25212" t="s">
        <v>6795</v>
      </c>
    </row>
    <row r="25213" spans="1:5" x14ac:dyDescent="0.25">
      <c r="A25213" t="s">
        <v>8</v>
      </c>
      <c r="B25213" t="s">
        <v>6523</v>
      </c>
      <c r="C25213" s="1" t="s">
        <v>23490</v>
      </c>
      <c r="D25213" s="1" t="str">
        <f>HYPERLINK("https://rhld.insurance.arkansas.gov/NPILookup?Npi=1851496194","1851496194")</f>
        <v>1851496194</v>
      </c>
      <c r="E25213" t="s">
        <v>18539</v>
      </c>
    </row>
    <row r="25214" spans="1:5" x14ac:dyDescent="0.25">
      <c r="A25214" t="s">
        <v>8</v>
      </c>
      <c r="B25214" t="s">
        <v>6523</v>
      </c>
      <c r="C25214" s="1" t="s">
        <v>23490</v>
      </c>
      <c r="D25214" s="1" t="str">
        <f>HYPERLINK("https://rhld.insurance.arkansas.gov/NPILookup?Npi=1851535827","1851535827")</f>
        <v>1851535827</v>
      </c>
      <c r="E25214" t="s">
        <v>14438</v>
      </c>
    </row>
    <row r="25215" spans="1:5" x14ac:dyDescent="0.25">
      <c r="A25215" t="s">
        <v>8</v>
      </c>
      <c r="B25215" t="s">
        <v>6523</v>
      </c>
      <c r="C25215" s="1" t="s">
        <v>23490</v>
      </c>
      <c r="D25215" s="1" t="str">
        <f>HYPERLINK("https://rhld.insurance.arkansas.gov/NPILookup?Npi=1851644256","1851644256")</f>
        <v>1851644256</v>
      </c>
      <c r="E25215" t="s">
        <v>21274</v>
      </c>
    </row>
    <row r="25216" spans="1:5" x14ac:dyDescent="0.25">
      <c r="A25216" t="s">
        <v>8</v>
      </c>
      <c r="B25216" t="s">
        <v>6523</v>
      </c>
      <c r="C25216" s="1" t="s">
        <v>23490</v>
      </c>
      <c r="D25216" s="1" t="str">
        <f>HYPERLINK("https://rhld.insurance.arkansas.gov/NPILookup?Npi=1851656755","1851656755")</f>
        <v>1851656755</v>
      </c>
      <c r="E25216" t="s">
        <v>16439</v>
      </c>
    </row>
    <row r="25217" spans="1:5" x14ac:dyDescent="0.25">
      <c r="A25217" t="s">
        <v>8</v>
      </c>
      <c r="B25217" t="s">
        <v>6523</v>
      </c>
      <c r="C25217" s="1" t="s">
        <v>23490</v>
      </c>
      <c r="D25217" s="1" t="str">
        <f>HYPERLINK("https://rhld.insurance.arkansas.gov/NPILookup?Npi=1851670608","1851670608")</f>
        <v>1851670608</v>
      </c>
      <c r="E25217" t="s">
        <v>14439</v>
      </c>
    </row>
    <row r="25218" spans="1:5" x14ac:dyDescent="0.25">
      <c r="A25218" t="s">
        <v>8</v>
      </c>
      <c r="B25218" t="s">
        <v>6523</v>
      </c>
      <c r="C25218" s="1" t="s">
        <v>23490</v>
      </c>
      <c r="D25218" s="1" t="str">
        <f>HYPERLINK("https://rhld.insurance.arkansas.gov/NPILookup?Npi=1851787659","1851787659")</f>
        <v>1851787659</v>
      </c>
      <c r="E25218" t="s">
        <v>13753</v>
      </c>
    </row>
    <row r="25219" spans="1:5" x14ac:dyDescent="0.25">
      <c r="A25219" t="s">
        <v>8</v>
      </c>
      <c r="B25219" t="s">
        <v>6523</v>
      </c>
      <c r="C25219" s="1" t="s">
        <v>23490</v>
      </c>
      <c r="D25219" s="1" t="str">
        <f>HYPERLINK("https://rhld.insurance.arkansas.gov/NPILookup?Npi=1861402778","1861402778")</f>
        <v>1861402778</v>
      </c>
      <c r="E25219" t="s">
        <v>2996</v>
      </c>
    </row>
    <row r="25220" spans="1:5" x14ac:dyDescent="0.25">
      <c r="A25220" t="s">
        <v>8</v>
      </c>
      <c r="B25220" t="s">
        <v>6523</v>
      </c>
      <c r="C25220" s="1" t="s">
        <v>23490</v>
      </c>
      <c r="D25220" s="1" t="str">
        <f>HYPERLINK("https://rhld.insurance.arkansas.gov/NPILookup?Npi=1861485302","1861485302")</f>
        <v>1861485302</v>
      </c>
      <c r="E25220" t="s">
        <v>6796</v>
      </c>
    </row>
    <row r="25221" spans="1:5" x14ac:dyDescent="0.25">
      <c r="A25221" t="s">
        <v>8</v>
      </c>
      <c r="B25221" t="s">
        <v>6523</v>
      </c>
      <c r="C25221" s="1" t="s">
        <v>23490</v>
      </c>
      <c r="D25221" s="1" t="str">
        <f>HYPERLINK("https://rhld.insurance.arkansas.gov/NPILookup?Npi=1861491854","1861491854")</f>
        <v>1861491854</v>
      </c>
      <c r="E25221" t="s">
        <v>17723</v>
      </c>
    </row>
    <row r="25222" spans="1:5" x14ac:dyDescent="0.25">
      <c r="A25222" t="s">
        <v>8</v>
      </c>
      <c r="B25222" t="s">
        <v>6523</v>
      </c>
      <c r="C25222" s="1" t="s">
        <v>23490</v>
      </c>
      <c r="D25222" s="1" t="str">
        <f>HYPERLINK("https://rhld.insurance.arkansas.gov/NPILookup?Npi=1861497349","1861497349")</f>
        <v>1861497349</v>
      </c>
      <c r="E25222" t="s">
        <v>6797</v>
      </c>
    </row>
    <row r="25223" spans="1:5" x14ac:dyDescent="0.25">
      <c r="A25223" t="s">
        <v>8</v>
      </c>
      <c r="B25223" t="s">
        <v>6523</v>
      </c>
      <c r="C25223" s="1" t="s">
        <v>23490</v>
      </c>
      <c r="D25223" s="1" t="str">
        <f>HYPERLINK("https://rhld.insurance.arkansas.gov/NPILookup?Npi=1861528234","1861528234")</f>
        <v>1861528234</v>
      </c>
      <c r="E25223" t="s">
        <v>22573</v>
      </c>
    </row>
    <row r="25224" spans="1:5" x14ac:dyDescent="0.25">
      <c r="A25224" t="s">
        <v>8</v>
      </c>
      <c r="B25224" t="s">
        <v>6523</v>
      </c>
      <c r="C25224" s="1" t="s">
        <v>23490</v>
      </c>
      <c r="D25224" s="1" t="str">
        <f>HYPERLINK("https://rhld.insurance.arkansas.gov/NPILookup?Npi=1861593105","1861593105")</f>
        <v>1861593105</v>
      </c>
      <c r="E25224" t="s">
        <v>16440</v>
      </c>
    </row>
    <row r="25225" spans="1:5" x14ac:dyDescent="0.25">
      <c r="A25225" t="s">
        <v>8</v>
      </c>
      <c r="B25225" t="s">
        <v>6523</v>
      </c>
      <c r="C25225" s="1" t="s">
        <v>23490</v>
      </c>
      <c r="D25225" s="1" t="str">
        <f>HYPERLINK("https://rhld.insurance.arkansas.gov/NPILookup?Npi=1861706046","1861706046")</f>
        <v>1861706046</v>
      </c>
      <c r="E25225" t="s">
        <v>12055</v>
      </c>
    </row>
    <row r="25226" spans="1:5" x14ac:dyDescent="0.25">
      <c r="A25226" t="s">
        <v>8</v>
      </c>
      <c r="B25226" t="s">
        <v>6523</v>
      </c>
      <c r="C25226" s="1" t="s">
        <v>23490</v>
      </c>
      <c r="D25226" s="1" t="str">
        <f>HYPERLINK("https://rhld.insurance.arkansas.gov/NPILookup?Npi=1871512954","1871512954")</f>
        <v>1871512954</v>
      </c>
      <c r="E25226" t="s">
        <v>3036</v>
      </c>
    </row>
    <row r="25227" spans="1:5" x14ac:dyDescent="0.25">
      <c r="A25227" t="s">
        <v>8</v>
      </c>
      <c r="B25227" t="s">
        <v>6523</v>
      </c>
      <c r="C25227" s="1" t="s">
        <v>23490</v>
      </c>
      <c r="D25227" s="1" t="str">
        <f>HYPERLINK("https://rhld.insurance.arkansas.gov/NPILookup?Npi=1871518522","1871518522")</f>
        <v>1871518522</v>
      </c>
      <c r="E25227" t="s">
        <v>6798</v>
      </c>
    </row>
    <row r="25228" spans="1:5" x14ac:dyDescent="0.25">
      <c r="A25228" t="s">
        <v>8</v>
      </c>
      <c r="B25228" t="s">
        <v>6523</v>
      </c>
      <c r="C25228" s="1" t="s">
        <v>23490</v>
      </c>
      <c r="D25228" s="1" t="str">
        <f>HYPERLINK("https://rhld.insurance.arkansas.gov/NPILookup?Npi=1871539890","1871539890")</f>
        <v>1871539890</v>
      </c>
      <c r="E25228" t="s">
        <v>6799</v>
      </c>
    </row>
    <row r="25229" spans="1:5" x14ac:dyDescent="0.25">
      <c r="A25229" t="s">
        <v>8</v>
      </c>
      <c r="B25229" t="s">
        <v>6523</v>
      </c>
      <c r="C25229" s="1" t="s">
        <v>23490</v>
      </c>
      <c r="D25229" s="1" t="str">
        <f>HYPERLINK("https://rhld.insurance.arkansas.gov/NPILookup?Npi=1871547828","1871547828")</f>
        <v>1871547828</v>
      </c>
      <c r="E25229" t="s">
        <v>6800</v>
      </c>
    </row>
    <row r="25230" spans="1:5" x14ac:dyDescent="0.25">
      <c r="A25230" t="s">
        <v>8</v>
      </c>
      <c r="B25230" t="s">
        <v>6523</v>
      </c>
      <c r="C25230" s="1" t="s">
        <v>23490</v>
      </c>
      <c r="D25230" s="1" t="str">
        <f>HYPERLINK("https://rhld.insurance.arkansas.gov/NPILookup?Npi=1881037414","1881037414")</f>
        <v>1881037414</v>
      </c>
      <c r="E25230" t="s">
        <v>17294</v>
      </c>
    </row>
    <row r="25231" spans="1:5" x14ac:dyDescent="0.25">
      <c r="A25231" t="s">
        <v>8</v>
      </c>
      <c r="B25231" t="s">
        <v>6523</v>
      </c>
      <c r="C25231" s="1" t="s">
        <v>23490</v>
      </c>
      <c r="D25231" s="1" t="str">
        <f>HYPERLINK("https://rhld.insurance.arkansas.gov/NPILookup?Npi=1881684256","1881684256")</f>
        <v>1881684256</v>
      </c>
      <c r="E25231" t="s">
        <v>196</v>
      </c>
    </row>
    <row r="25232" spans="1:5" x14ac:dyDescent="0.25">
      <c r="A25232" t="s">
        <v>8</v>
      </c>
      <c r="B25232" t="s">
        <v>6523</v>
      </c>
      <c r="C25232" s="1" t="s">
        <v>23490</v>
      </c>
      <c r="D25232" s="1" t="str">
        <f>HYPERLINK("https://rhld.insurance.arkansas.gov/NPILookup?Npi=1881699767","1881699767")</f>
        <v>1881699767</v>
      </c>
      <c r="E25232" t="s">
        <v>6801</v>
      </c>
    </row>
    <row r="25233" spans="1:5" x14ac:dyDescent="0.25">
      <c r="A25233" t="s">
        <v>8</v>
      </c>
      <c r="B25233" t="s">
        <v>6523</v>
      </c>
      <c r="C25233" s="1" t="s">
        <v>23490</v>
      </c>
      <c r="D25233" s="1" t="str">
        <f>HYPERLINK("https://rhld.insurance.arkansas.gov/NPILookup?Npi=1881784346","1881784346")</f>
        <v>1881784346</v>
      </c>
      <c r="E25233" t="s">
        <v>6802</v>
      </c>
    </row>
    <row r="25234" spans="1:5" x14ac:dyDescent="0.25">
      <c r="A25234" t="s">
        <v>8</v>
      </c>
      <c r="B25234" t="s">
        <v>6523</v>
      </c>
      <c r="C25234" s="1" t="s">
        <v>23490</v>
      </c>
      <c r="D25234" s="1" t="str">
        <f>HYPERLINK("https://rhld.insurance.arkansas.gov/NPILookup?Npi=1881855930","1881855930")</f>
        <v>1881855930</v>
      </c>
      <c r="E25234" t="s">
        <v>14440</v>
      </c>
    </row>
    <row r="25235" spans="1:5" x14ac:dyDescent="0.25">
      <c r="A25235" t="s">
        <v>8</v>
      </c>
      <c r="B25235" t="s">
        <v>6523</v>
      </c>
      <c r="C25235" s="1" t="s">
        <v>23490</v>
      </c>
      <c r="D25235" s="1" t="str">
        <f>HYPERLINK("https://rhld.insurance.arkansas.gov/NPILookup?Npi=1891051348","1891051348")</f>
        <v>1891051348</v>
      </c>
      <c r="E25235" t="s">
        <v>22574</v>
      </c>
    </row>
    <row r="25236" spans="1:5" x14ac:dyDescent="0.25">
      <c r="A25236" t="s">
        <v>8</v>
      </c>
      <c r="B25236" t="s">
        <v>6523</v>
      </c>
      <c r="C25236" s="1" t="s">
        <v>23490</v>
      </c>
      <c r="D25236" s="1" t="str">
        <f>HYPERLINK("https://rhld.insurance.arkansas.gov/NPILookup?Npi=1891100335","1891100335")</f>
        <v>1891100335</v>
      </c>
      <c r="E25236" t="s">
        <v>19131</v>
      </c>
    </row>
    <row r="25237" spans="1:5" x14ac:dyDescent="0.25">
      <c r="A25237" t="s">
        <v>8</v>
      </c>
      <c r="B25237" t="s">
        <v>6523</v>
      </c>
      <c r="C25237" s="1" t="s">
        <v>23490</v>
      </c>
      <c r="D25237" s="1" t="str">
        <f>HYPERLINK("https://rhld.insurance.arkansas.gov/NPILookup?Npi=1891719084","1891719084")</f>
        <v>1891719084</v>
      </c>
      <c r="E25237" t="s">
        <v>6803</v>
      </c>
    </row>
    <row r="25238" spans="1:5" x14ac:dyDescent="0.25">
      <c r="A25238" t="s">
        <v>8</v>
      </c>
      <c r="B25238" t="s">
        <v>6523</v>
      </c>
      <c r="C25238" s="1" t="s">
        <v>23490</v>
      </c>
      <c r="D25238" s="1" t="str">
        <f>HYPERLINK("https://rhld.insurance.arkansas.gov/NPILookup?Npi=1891884821","1891884821")</f>
        <v>1891884821</v>
      </c>
      <c r="E25238" t="s">
        <v>6804</v>
      </c>
    </row>
    <row r="25239" spans="1:5" x14ac:dyDescent="0.25">
      <c r="A25239" t="s">
        <v>8</v>
      </c>
      <c r="B25239" t="s">
        <v>6523</v>
      </c>
      <c r="C25239" s="1" t="s">
        <v>23490</v>
      </c>
      <c r="D25239" s="1" t="str">
        <f>HYPERLINK("https://rhld.insurance.arkansas.gov/NPILookup?Npi=1891890430","1891890430")</f>
        <v>1891890430</v>
      </c>
      <c r="E25239" t="s">
        <v>6805</v>
      </c>
    </row>
    <row r="25240" spans="1:5" x14ac:dyDescent="0.25">
      <c r="A25240" t="s">
        <v>8</v>
      </c>
      <c r="B25240" t="s">
        <v>6523</v>
      </c>
      <c r="C25240" s="1" t="s">
        <v>23490</v>
      </c>
      <c r="D25240" s="1" t="str">
        <f>HYPERLINK("https://rhld.insurance.arkansas.gov/NPILookup?Npi=1891893020","1891893020")</f>
        <v>1891893020</v>
      </c>
      <c r="E25240" t="s">
        <v>12056</v>
      </c>
    </row>
    <row r="25241" spans="1:5" x14ac:dyDescent="0.25">
      <c r="A25241" t="s">
        <v>8</v>
      </c>
      <c r="B25241" t="s">
        <v>6523</v>
      </c>
      <c r="C25241" s="1" t="s">
        <v>23490</v>
      </c>
      <c r="D25241" s="1" t="str">
        <f>HYPERLINK("https://rhld.insurance.arkansas.gov/NPILookup?Npi=1902086119","1902086119")</f>
        <v>1902086119</v>
      </c>
      <c r="E25241" t="s">
        <v>6806</v>
      </c>
    </row>
    <row r="25242" spans="1:5" x14ac:dyDescent="0.25">
      <c r="A25242" t="s">
        <v>8</v>
      </c>
      <c r="B25242" t="s">
        <v>6523</v>
      </c>
      <c r="C25242" s="1" t="s">
        <v>23490</v>
      </c>
      <c r="D25242" s="1" t="str">
        <f>HYPERLINK("https://rhld.insurance.arkansas.gov/NPILookup?Npi=1902852593","1902852593")</f>
        <v>1902852593</v>
      </c>
      <c r="E25242" t="s">
        <v>6807</v>
      </c>
    </row>
    <row r="25243" spans="1:5" x14ac:dyDescent="0.25">
      <c r="A25243" t="s">
        <v>8</v>
      </c>
      <c r="B25243" t="s">
        <v>6523</v>
      </c>
      <c r="C25243" s="1" t="s">
        <v>23490</v>
      </c>
      <c r="D25243" s="1" t="str">
        <f>HYPERLINK("https://rhld.insurance.arkansas.gov/NPILookup?Npi=1902883481","1902883481")</f>
        <v>1902883481</v>
      </c>
      <c r="E25243" t="s">
        <v>6808</v>
      </c>
    </row>
    <row r="25244" spans="1:5" x14ac:dyDescent="0.25">
      <c r="A25244" t="s">
        <v>8</v>
      </c>
      <c r="B25244" t="s">
        <v>6523</v>
      </c>
      <c r="C25244" s="1" t="s">
        <v>23490</v>
      </c>
      <c r="D25244" s="1" t="str">
        <f>HYPERLINK("https://rhld.insurance.arkansas.gov/NPILookup?Npi=1902992118","1902992118")</f>
        <v>1902992118</v>
      </c>
      <c r="E25244" t="s">
        <v>16441</v>
      </c>
    </row>
    <row r="25245" spans="1:5" x14ac:dyDescent="0.25">
      <c r="A25245" t="s">
        <v>8</v>
      </c>
      <c r="B25245" t="s">
        <v>6523</v>
      </c>
      <c r="C25245" s="1" t="s">
        <v>23490</v>
      </c>
      <c r="D25245" s="1" t="str">
        <f>HYPERLINK("https://rhld.insurance.arkansas.gov/NPILookup?Npi=1912097411","1912097411")</f>
        <v>1912097411</v>
      </c>
      <c r="E25245" t="s">
        <v>6809</v>
      </c>
    </row>
    <row r="25246" spans="1:5" x14ac:dyDescent="0.25">
      <c r="A25246" t="s">
        <v>8</v>
      </c>
      <c r="B25246" t="s">
        <v>6523</v>
      </c>
      <c r="C25246" s="1" t="s">
        <v>23490</v>
      </c>
      <c r="D25246" s="1" t="str">
        <f>HYPERLINK("https://rhld.insurance.arkansas.gov/NPILookup?Npi=1912142985","1912142985")</f>
        <v>1912142985</v>
      </c>
      <c r="E25246" t="s">
        <v>16442</v>
      </c>
    </row>
    <row r="25247" spans="1:5" x14ac:dyDescent="0.25">
      <c r="A25247" t="s">
        <v>8</v>
      </c>
      <c r="B25247" t="s">
        <v>6523</v>
      </c>
      <c r="C25247" s="1" t="s">
        <v>23490</v>
      </c>
      <c r="D25247" s="1" t="str">
        <f>HYPERLINK("https://rhld.insurance.arkansas.gov/NPILookup?Npi=1912190323","1912190323")</f>
        <v>1912190323</v>
      </c>
      <c r="E25247" t="s">
        <v>6810</v>
      </c>
    </row>
    <row r="25248" spans="1:5" x14ac:dyDescent="0.25">
      <c r="A25248" t="s">
        <v>8</v>
      </c>
      <c r="B25248" t="s">
        <v>6523</v>
      </c>
      <c r="C25248" s="1" t="s">
        <v>23490</v>
      </c>
      <c r="D25248" s="1" t="str">
        <f>HYPERLINK("https://rhld.insurance.arkansas.gov/NPILookup?Npi=1912299967","1912299967")</f>
        <v>1912299967</v>
      </c>
      <c r="E25248" t="s">
        <v>14441</v>
      </c>
    </row>
    <row r="25249" spans="1:5" x14ac:dyDescent="0.25">
      <c r="A25249" t="s">
        <v>8</v>
      </c>
      <c r="B25249" t="s">
        <v>6523</v>
      </c>
      <c r="C25249" s="1" t="s">
        <v>23490</v>
      </c>
      <c r="D25249" s="1" t="str">
        <f>HYPERLINK("https://rhld.insurance.arkansas.gov/NPILookup?Npi=1912905092","1912905092")</f>
        <v>1912905092</v>
      </c>
      <c r="E25249" t="s">
        <v>6811</v>
      </c>
    </row>
    <row r="25250" spans="1:5" x14ac:dyDescent="0.25">
      <c r="A25250" t="s">
        <v>8</v>
      </c>
      <c r="B25250" t="s">
        <v>6523</v>
      </c>
      <c r="C25250" s="1" t="s">
        <v>23490</v>
      </c>
      <c r="D25250" s="1" t="str">
        <f>HYPERLINK("https://rhld.insurance.arkansas.gov/NPILookup?Npi=1912955824","1912955824")</f>
        <v>1912955824</v>
      </c>
      <c r="E25250" t="s">
        <v>1386</v>
      </c>
    </row>
    <row r="25251" spans="1:5" x14ac:dyDescent="0.25">
      <c r="A25251" t="s">
        <v>8</v>
      </c>
      <c r="B25251" t="s">
        <v>6523</v>
      </c>
      <c r="C25251" s="1" t="s">
        <v>23490</v>
      </c>
      <c r="D25251" s="1" t="str">
        <f>HYPERLINK("https://rhld.insurance.arkansas.gov/NPILookup?Npi=1912991381","1912991381")</f>
        <v>1912991381</v>
      </c>
      <c r="E25251" t="s">
        <v>6813</v>
      </c>
    </row>
    <row r="25252" spans="1:5" x14ac:dyDescent="0.25">
      <c r="A25252" t="s">
        <v>8</v>
      </c>
      <c r="B25252" t="s">
        <v>6523</v>
      </c>
      <c r="C25252" s="1" t="s">
        <v>23490</v>
      </c>
      <c r="D25252" s="1" t="str">
        <f>HYPERLINK("https://rhld.insurance.arkansas.gov/NPILookup?Npi=1922003037","1922003037")</f>
        <v>1922003037</v>
      </c>
      <c r="E25252" t="s">
        <v>6814</v>
      </c>
    </row>
    <row r="25253" spans="1:5" x14ac:dyDescent="0.25">
      <c r="A25253" t="s">
        <v>8</v>
      </c>
      <c r="B25253" t="s">
        <v>6523</v>
      </c>
      <c r="C25253" s="1" t="s">
        <v>23490</v>
      </c>
      <c r="D25253" s="1" t="str">
        <f>HYPERLINK("https://rhld.insurance.arkansas.gov/NPILookup?Npi=1922047422","1922047422")</f>
        <v>1922047422</v>
      </c>
      <c r="E25253" t="s">
        <v>16443</v>
      </c>
    </row>
    <row r="25254" spans="1:5" x14ac:dyDescent="0.25">
      <c r="A25254" t="s">
        <v>8</v>
      </c>
      <c r="B25254" t="s">
        <v>6523</v>
      </c>
      <c r="C25254" s="1" t="s">
        <v>23490</v>
      </c>
      <c r="D25254" s="1" t="str">
        <f>HYPERLINK("https://rhld.insurance.arkansas.gov/NPILookup?Npi=1922098532","1922098532")</f>
        <v>1922098532</v>
      </c>
      <c r="E25254" t="s">
        <v>6815</v>
      </c>
    </row>
    <row r="25255" spans="1:5" x14ac:dyDescent="0.25">
      <c r="A25255" t="s">
        <v>8</v>
      </c>
      <c r="B25255" t="s">
        <v>6523</v>
      </c>
      <c r="C25255" s="1" t="s">
        <v>23490</v>
      </c>
      <c r="D25255" s="1" t="str">
        <f>HYPERLINK("https://rhld.insurance.arkansas.gov/NPILookup?Npi=1922108497","1922108497")</f>
        <v>1922108497</v>
      </c>
      <c r="E25255" t="s">
        <v>6816</v>
      </c>
    </row>
    <row r="25256" spans="1:5" x14ac:dyDescent="0.25">
      <c r="A25256" t="s">
        <v>8</v>
      </c>
      <c r="B25256" t="s">
        <v>6523</v>
      </c>
      <c r="C25256" s="1" t="s">
        <v>23490</v>
      </c>
      <c r="D25256" s="1" t="str">
        <f>HYPERLINK("https://rhld.insurance.arkansas.gov/NPILookup?Npi=1922118173","1922118173")</f>
        <v>1922118173</v>
      </c>
      <c r="E25256" t="s">
        <v>22575</v>
      </c>
    </row>
    <row r="25257" spans="1:5" x14ac:dyDescent="0.25">
      <c r="A25257" t="s">
        <v>8</v>
      </c>
      <c r="B25257" t="s">
        <v>6523</v>
      </c>
      <c r="C25257" s="1" t="s">
        <v>23490</v>
      </c>
      <c r="D25257" s="1" t="str">
        <f>HYPERLINK("https://rhld.insurance.arkansas.gov/NPILookup?Npi=1922190396","1922190396")</f>
        <v>1922190396</v>
      </c>
      <c r="E25257" t="s">
        <v>6817</v>
      </c>
    </row>
    <row r="25258" spans="1:5" x14ac:dyDescent="0.25">
      <c r="A25258" t="s">
        <v>8</v>
      </c>
      <c r="B25258" t="s">
        <v>6523</v>
      </c>
      <c r="C25258" s="1" t="s">
        <v>23490</v>
      </c>
      <c r="D25258" s="1" t="str">
        <f>HYPERLINK("https://rhld.insurance.arkansas.gov/NPILookup?Npi=1922268986","1922268986")</f>
        <v>1922268986</v>
      </c>
      <c r="E25258" t="s">
        <v>14442</v>
      </c>
    </row>
    <row r="25259" spans="1:5" x14ac:dyDescent="0.25">
      <c r="A25259" t="s">
        <v>8</v>
      </c>
      <c r="B25259" t="s">
        <v>6523</v>
      </c>
      <c r="C25259" s="1" t="s">
        <v>23490</v>
      </c>
      <c r="D25259" s="1" t="str">
        <f>HYPERLINK("https://rhld.insurance.arkansas.gov/NPILookup?Npi=1942262571","1942262571")</f>
        <v>1942262571</v>
      </c>
      <c r="E25259" t="s">
        <v>6818</v>
      </c>
    </row>
    <row r="25260" spans="1:5" x14ac:dyDescent="0.25">
      <c r="A25260" t="s">
        <v>8</v>
      </c>
      <c r="B25260" t="s">
        <v>6523</v>
      </c>
      <c r="C25260" s="1" t="s">
        <v>23490</v>
      </c>
      <c r="D25260" s="1" t="str">
        <f>HYPERLINK("https://rhld.insurance.arkansas.gov/NPILookup?Npi=1942301619","1942301619")</f>
        <v>1942301619</v>
      </c>
      <c r="E25260" t="s">
        <v>22576</v>
      </c>
    </row>
    <row r="25261" spans="1:5" x14ac:dyDescent="0.25">
      <c r="A25261" t="s">
        <v>8</v>
      </c>
      <c r="B25261" t="s">
        <v>6523</v>
      </c>
      <c r="C25261" s="1" t="s">
        <v>23490</v>
      </c>
      <c r="D25261" s="1" t="str">
        <f>HYPERLINK("https://rhld.insurance.arkansas.gov/NPILookup?Npi=1942315379","1942315379")</f>
        <v>1942315379</v>
      </c>
      <c r="E25261" t="s">
        <v>20729</v>
      </c>
    </row>
    <row r="25262" spans="1:5" x14ac:dyDescent="0.25">
      <c r="A25262" t="s">
        <v>8</v>
      </c>
      <c r="B25262" t="s">
        <v>6523</v>
      </c>
      <c r="C25262" s="1" t="s">
        <v>23490</v>
      </c>
      <c r="D25262" s="1" t="str">
        <f>HYPERLINK("https://rhld.insurance.arkansas.gov/NPILookup?Npi=1942390414","1942390414")</f>
        <v>1942390414</v>
      </c>
      <c r="E25262" t="s">
        <v>22577</v>
      </c>
    </row>
    <row r="25263" spans="1:5" x14ac:dyDescent="0.25">
      <c r="A25263" t="s">
        <v>8</v>
      </c>
      <c r="B25263" t="s">
        <v>6523</v>
      </c>
      <c r="C25263" s="1" t="s">
        <v>23490</v>
      </c>
      <c r="D25263" s="1" t="str">
        <f>HYPERLINK("https://rhld.insurance.arkansas.gov/NPILookup?Npi=1942422696","1942422696")</f>
        <v>1942422696</v>
      </c>
      <c r="E25263" t="s">
        <v>6819</v>
      </c>
    </row>
    <row r="25264" spans="1:5" x14ac:dyDescent="0.25">
      <c r="A25264" t="s">
        <v>8</v>
      </c>
      <c r="B25264" t="s">
        <v>6523</v>
      </c>
      <c r="C25264" s="1" t="s">
        <v>23490</v>
      </c>
      <c r="D25264" s="1" t="str">
        <f>HYPERLINK("https://rhld.insurance.arkansas.gov/NPILookup?Npi=1942538335","1942538335")</f>
        <v>1942538335</v>
      </c>
      <c r="E25264" t="s">
        <v>21275</v>
      </c>
    </row>
    <row r="25265" spans="1:5" x14ac:dyDescent="0.25">
      <c r="A25265" t="s">
        <v>8</v>
      </c>
      <c r="B25265" t="s">
        <v>6523</v>
      </c>
      <c r="C25265" s="1" t="s">
        <v>23490</v>
      </c>
      <c r="D25265" s="1" t="str">
        <f>HYPERLINK("https://rhld.insurance.arkansas.gov/NPILookup?Npi=1942668082","1942668082")</f>
        <v>1942668082</v>
      </c>
      <c r="E25265" t="s">
        <v>17724</v>
      </c>
    </row>
    <row r="25266" spans="1:5" x14ac:dyDescent="0.25">
      <c r="A25266" t="s">
        <v>8</v>
      </c>
      <c r="B25266" t="s">
        <v>6523</v>
      </c>
      <c r="C25266" s="1" t="s">
        <v>23490</v>
      </c>
      <c r="D25266" s="1" t="str">
        <f>HYPERLINK("https://rhld.insurance.arkansas.gov/NPILookup?Npi=1952344301","1952344301")</f>
        <v>1952344301</v>
      </c>
      <c r="E25266" t="s">
        <v>22578</v>
      </c>
    </row>
    <row r="25267" spans="1:5" x14ac:dyDescent="0.25">
      <c r="A25267" t="s">
        <v>8</v>
      </c>
      <c r="B25267" t="s">
        <v>6523</v>
      </c>
      <c r="C25267" s="1" t="s">
        <v>23490</v>
      </c>
      <c r="D25267" s="1" t="str">
        <f>HYPERLINK("https://rhld.insurance.arkansas.gov/NPILookup?Npi=1952520488","1952520488")</f>
        <v>1952520488</v>
      </c>
      <c r="E25267" t="s">
        <v>6820</v>
      </c>
    </row>
    <row r="25268" spans="1:5" x14ac:dyDescent="0.25">
      <c r="A25268" t="s">
        <v>8</v>
      </c>
      <c r="B25268" t="s">
        <v>6523</v>
      </c>
      <c r="C25268" s="1" t="s">
        <v>23490</v>
      </c>
      <c r="D25268" s="1" t="str">
        <f>HYPERLINK("https://rhld.insurance.arkansas.gov/NPILookup?Npi=1952615007","1952615007")</f>
        <v>1952615007</v>
      </c>
      <c r="E25268" t="s">
        <v>11394</v>
      </c>
    </row>
    <row r="25269" spans="1:5" x14ac:dyDescent="0.25">
      <c r="A25269" t="s">
        <v>8</v>
      </c>
      <c r="B25269" t="s">
        <v>6523</v>
      </c>
      <c r="C25269" s="1" t="s">
        <v>23490</v>
      </c>
      <c r="D25269" s="1" t="str">
        <f>HYPERLINK("https://rhld.insurance.arkansas.gov/NPILookup?Npi=1952719338","1952719338")</f>
        <v>1952719338</v>
      </c>
      <c r="E25269" t="s">
        <v>18540</v>
      </c>
    </row>
    <row r="25270" spans="1:5" x14ac:dyDescent="0.25">
      <c r="A25270" t="s">
        <v>8</v>
      </c>
      <c r="B25270" t="s">
        <v>6523</v>
      </c>
      <c r="C25270" s="1" t="s">
        <v>23490</v>
      </c>
      <c r="D25270" s="1" t="str">
        <f>HYPERLINK("https://rhld.insurance.arkansas.gov/NPILookup?Npi=1962402487","1962402487")</f>
        <v>1962402487</v>
      </c>
      <c r="E25270" t="s">
        <v>6821</v>
      </c>
    </row>
    <row r="25271" spans="1:5" x14ac:dyDescent="0.25">
      <c r="A25271" t="s">
        <v>8</v>
      </c>
      <c r="B25271" t="s">
        <v>6523</v>
      </c>
      <c r="C25271" s="1" t="s">
        <v>23490</v>
      </c>
      <c r="D25271" s="1" t="str">
        <f>HYPERLINK("https://rhld.insurance.arkansas.gov/NPILookup?Npi=1962407940","1962407940")</f>
        <v>1962407940</v>
      </c>
      <c r="E25271" t="s">
        <v>6822</v>
      </c>
    </row>
    <row r="25272" spans="1:5" x14ac:dyDescent="0.25">
      <c r="A25272" t="s">
        <v>8</v>
      </c>
      <c r="B25272" t="s">
        <v>6523</v>
      </c>
      <c r="C25272" s="1" t="s">
        <v>23490</v>
      </c>
      <c r="D25272" s="1" t="str">
        <f>HYPERLINK("https://rhld.insurance.arkansas.gov/NPILookup?Npi=1962440552","1962440552")</f>
        <v>1962440552</v>
      </c>
      <c r="E25272" t="s">
        <v>16444</v>
      </c>
    </row>
    <row r="25273" spans="1:5" x14ac:dyDescent="0.25">
      <c r="A25273" t="s">
        <v>8</v>
      </c>
      <c r="B25273" t="s">
        <v>6523</v>
      </c>
      <c r="C25273" s="1" t="s">
        <v>23490</v>
      </c>
      <c r="D25273" s="1" t="str">
        <f>HYPERLINK("https://rhld.insurance.arkansas.gov/NPILookup?Npi=1962440685","1962440685")</f>
        <v>1962440685</v>
      </c>
      <c r="E25273" t="s">
        <v>6823</v>
      </c>
    </row>
    <row r="25274" spans="1:5" x14ac:dyDescent="0.25">
      <c r="A25274" t="s">
        <v>8</v>
      </c>
      <c r="B25274" t="s">
        <v>6523</v>
      </c>
      <c r="C25274" s="1" t="s">
        <v>23490</v>
      </c>
      <c r="D25274" s="1" t="str">
        <f>HYPERLINK("https://rhld.insurance.arkansas.gov/NPILookup?Npi=1962440701","1962440701")</f>
        <v>1962440701</v>
      </c>
      <c r="E25274" t="s">
        <v>6824</v>
      </c>
    </row>
    <row r="25275" spans="1:5" x14ac:dyDescent="0.25">
      <c r="A25275" t="s">
        <v>8</v>
      </c>
      <c r="B25275" t="s">
        <v>6523</v>
      </c>
      <c r="C25275" s="1" t="s">
        <v>23490</v>
      </c>
      <c r="D25275" s="1" t="str">
        <f>HYPERLINK("https://rhld.insurance.arkansas.gov/NPILookup?Npi=1962444166","1962444166")</f>
        <v>1962444166</v>
      </c>
      <c r="E25275" t="s">
        <v>6825</v>
      </c>
    </row>
    <row r="25276" spans="1:5" x14ac:dyDescent="0.25">
      <c r="A25276" t="s">
        <v>8</v>
      </c>
      <c r="B25276" t="s">
        <v>6523</v>
      </c>
      <c r="C25276" s="1" t="s">
        <v>23490</v>
      </c>
      <c r="D25276" s="1" t="str">
        <f>HYPERLINK("https://rhld.insurance.arkansas.gov/NPILookup?Npi=1962449728","1962449728")</f>
        <v>1962449728</v>
      </c>
      <c r="E25276" t="s">
        <v>6826</v>
      </c>
    </row>
    <row r="25277" spans="1:5" x14ac:dyDescent="0.25">
      <c r="A25277" t="s">
        <v>8</v>
      </c>
      <c r="B25277" t="s">
        <v>6523</v>
      </c>
      <c r="C25277" s="1" t="s">
        <v>23490</v>
      </c>
      <c r="D25277" s="1" t="str">
        <f>HYPERLINK("https://rhld.insurance.arkansas.gov/NPILookup?Npi=1962502898","1962502898")</f>
        <v>1962502898</v>
      </c>
      <c r="E25277" t="s">
        <v>6827</v>
      </c>
    </row>
    <row r="25278" spans="1:5" x14ac:dyDescent="0.25">
      <c r="A25278" t="s">
        <v>8</v>
      </c>
      <c r="B25278" t="s">
        <v>6523</v>
      </c>
      <c r="C25278" s="1" t="s">
        <v>23490</v>
      </c>
      <c r="D25278" s="1" t="str">
        <f>HYPERLINK("https://rhld.insurance.arkansas.gov/NPILookup?Npi=1962695668","1962695668")</f>
        <v>1962695668</v>
      </c>
      <c r="E25278" t="s">
        <v>6828</v>
      </c>
    </row>
    <row r="25279" spans="1:5" x14ac:dyDescent="0.25">
      <c r="A25279" t="s">
        <v>8</v>
      </c>
      <c r="B25279" t="s">
        <v>6523</v>
      </c>
      <c r="C25279" s="1" t="s">
        <v>23490</v>
      </c>
      <c r="D25279" s="1" t="str">
        <f>HYPERLINK("https://rhld.insurance.arkansas.gov/NPILookup?Npi=1962714600","1962714600")</f>
        <v>1962714600</v>
      </c>
      <c r="E25279" t="s">
        <v>22579</v>
      </c>
    </row>
    <row r="25280" spans="1:5" x14ac:dyDescent="0.25">
      <c r="A25280" t="s">
        <v>8</v>
      </c>
      <c r="B25280" t="s">
        <v>6523</v>
      </c>
      <c r="C25280" s="1" t="s">
        <v>23490</v>
      </c>
      <c r="D25280" s="1" t="str">
        <f>HYPERLINK("https://rhld.insurance.arkansas.gov/NPILookup?Npi=1972523801","1972523801")</f>
        <v>1972523801</v>
      </c>
      <c r="E25280" t="s">
        <v>6829</v>
      </c>
    </row>
    <row r="25281" spans="1:5" x14ac:dyDescent="0.25">
      <c r="A25281" t="s">
        <v>8</v>
      </c>
      <c r="B25281" t="s">
        <v>6523</v>
      </c>
      <c r="C25281" s="1" t="s">
        <v>23490</v>
      </c>
      <c r="D25281" s="1" t="str">
        <f>HYPERLINK("https://rhld.insurance.arkansas.gov/NPILookup?Npi=1972551950","1972551950")</f>
        <v>1972551950</v>
      </c>
      <c r="E25281" t="s">
        <v>12057</v>
      </c>
    </row>
    <row r="25282" spans="1:5" x14ac:dyDescent="0.25">
      <c r="A25282" t="s">
        <v>8</v>
      </c>
      <c r="B25282" t="s">
        <v>6523</v>
      </c>
      <c r="C25282" s="1" t="s">
        <v>23490</v>
      </c>
      <c r="D25282" s="1" t="str">
        <f>HYPERLINK("https://rhld.insurance.arkansas.gov/NPILookup?Npi=1972564359","1972564359")</f>
        <v>1972564359</v>
      </c>
      <c r="E25282" t="s">
        <v>6830</v>
      </c>
    </row>
    <row r="25283" spans="1:5" x14ac:dyDescent="0.25">
      <c r="A25283" t="s">
        <v>8</v>
      </c>
      <c r="B25283" t="s">
        <v>6523</v>
      </c>
      <c r="C25283" s="1" t="s">
        <v>23490</v>
      </c>
      <c r="D25283" s="1" t="str">
        <f>HYPERLINK("https://rhld.insurance.arkansas.gov/NPILookup?Npi=1972572097","1972572097")</f>
        <v>1972572097</v>
      </c>
      <c r="E25283" t="s">
        <v>6831</v>
      </c>
    </row>
    <row r="25284" spans="1:5" x14ac:dyDescent="0.25">
      <c r="A25284" t="s">
        <v>8</v>
      </c>
      <c r="B25284" t="s">
        <v>6523</v>
      </c>
      <c r="C25284" s="1" t="s">
        <v>23490</v>
      </c>
      <c r="D25284" s="1" t="str">
        <f>HYPERLINK("https://rhld.insurance.arkansas.gov/NPILookup?Npi=1972659480","1972659480")</f>
        <v>1972659480</v>
      </c>
      <c r="E25284" t="s">
        <v>6832</v>
      </c>
    </row>
    <row r="25285" spans="1:5" x14ac:dyDescent="0.25">
      <c r="A25285" t="s">
        <v>8</v>
      </c>
      <c r="B25285" t="s">
        <v>6523</v>
      </c>
      <c r="C25285" s="1" t="s">
        <v>23490</v>
      </c>
      <c r="D25285" s="1" t="str">
        <f>HYPERLINK("https://rhld.insurance.arkansas.gov/NPILookup?Npi=1972867422","1972867422")</f>
        <v>1972867422</v>
      </c>
      <c r="E25285" t="s">
        <v>14443</v>
      </c>
    </row>
    <row r="25286" spans="1:5" x14ac:dyDescent="0.25">
      <c r="A25286" t="s">
        <v>8</v>
      </c>
      <c r="B25286" t="s">
        <v>6523</v>
      </c>
      <c r="C25286" s="1" t="s">
        <v>23490</v>
      </c>
      <c r="D25286" s="1" t="str">
        <f>HYPERLINK("https://rhld.insurance.arkansas.gov/NPILookup?Npi=1982040580","1982040580")</f>
        <v>1982040580</v>
      </c>
      <c r="E25286" t="s">
        <v>22581</v>
      </c>
    </row>
    <row r="25287" spans="1:5" x14ac:dyDescent="0.25">
      <c r="A25287" t="s">
        <v>8</v>
      </c>
      <c r="B25287" t="s">
        <v>6523</v>
      </c>
      <c r="C25287" s="1" t="s">
        <v>23490</v>
      </c>
      <c r="D25287" s="1" t="str">
        <f>HYPERLINK("https://rhld.insurance.arkansas.gov/NPILookup?Npi=1982043741","1982043741")</f>
        <v>1982043741</v>
      </c>
      <c r="E25287" t="s">
        <v>21276</v>
      </c>
    </row>
    <row r="25288" spans="1:5" x14ac:dyDescent="0.25">
      <c r="A25288" t="s">
        <v>8</v>
      </c>
      <c r="B25288" t="s">
        <v>6523</v>
      </c>
      <c r="C25288" s="1" t="s">
        <v>23490</v>
      </c>
      <c r="D25288" s="1" t="str">
        <f>HYPERLINK("https://rhld.insurance.arkansas.gov/NPILookup?Npi=1982763462","1982763462")</f>
        <v>1982763462</v>
      </c>
      <c r="E25288" t="s">
        <v>6833</v>
      </c>
    </row>
    <row r="25289" spans="1:5" x14ac:dyDescent="0.25">
      <c r="A25289" t="s">
        <v>8</v>
      </c>
      <c r="B25289" t="s">
        <v>6523</v>
      </c>
      <c r="C25289" s="1" t="s">
        <v>23490</v>
      </c>
      <c r="D25289" s="1" t="str">
        <f>HYPERLINK("https://rhld.insurance.arkansas.gov/NPILookup?Npi=1982870119","1982870119")</f>
        <v>1982870119</v>
      </c>
      <c r="E25289" t="s">
        <v>6834</v>
      </c>
    </row>
    <row r="25290" spans="1:5" x14ac:dyDescent="0.25">
      <c r="A25290" t="s">
        <v>8</v>
      </c>
      <c r="B25290" t="s">
        <v>6523</v>
      </c>
      <c r="C25290" s="1" t="s">
        <v>23490</v>
      </c>
      <c r="D25290" s="1" t="str">
        <f>HYPERLINK("https://rhld.insurance.arkansas.gov/NPILookup?Npi=1982921391","1982921391")</f>
        <v>1982921391</v>
      </c>
      <c r="E25290" t="s">
        <v>3412</v>
      </c>
    </row>
    <row r="25291" spans="1:5" x14ac:dyDescent="0.25">
      <c r="A25291" t="s">
        <v>8</v>
      </c>
      <c r="B25291" t="s">
        <v>6523</v>
      </c>
      <c r="C25291" s="1" t="s">
        <v>23490</v>
      </c>
      <c r="D25291" s="1" t="str">
        <f>HYPERLINK("https://rhld.insurance.arkansas.gov/NPILookup?Npi=1982984951","1982984951")</f>
        <v>1982984951</v>
      </c>
      <c r="E25291" t="s">
        <v>12058</v>
      </c>
    </row>
    <row r="25292" spans="1:5" x14ac:dyDescent="0.25">
      <c r="A25292" t="s">
        <v>8</v>
      </c>
      <c r="B25292" t="s">
        <v>6523</v>
      </c>
      <c r="C25292" s="1" t="s">
        <v>23490</v>
      </c>
      <c r="D25292" s="1" t="str">
        <f>HYPERLINK("https://rhld.insurance.arkansas.gov/NPILookup?Npi=1992716732","1992716732")</f>
        <v>1992716732</v>
      </c>
      <c r="E25292" t="s">
        <v>16445</v>
      </c>
    </row>
    <row r="25293" spans="1:5" x14ac:dyDescent="0.25">
      <c r="A25293" t="s">
        <v>8</v>
      </c>
      <c r="B25293" t="s">
        <v>6523</v>
      </c>
      <c r="C25293" s="1" t="s">
        <v>23490</v>
      </c>
      <c r="D25293" s="1" t="str">
        <f>HYPERLINK("https://rhld.insurance.arkansas.gov/NPILookup?Npi=1992735641","1992735641")</f>
        <v>1992735641</v>
      </c>
      <c r="E25293" t="s">
        <v>9239</v>
      </c>
    </row>
    <row r="25294" spans="1:5" x14ac:dyDescent="0.25">
      <c r="A25294" t="s">
        <v>8</v>
      </c>
      <c r="B25294" t="s">
        <v>6523</v>
      </c>
      <c r="C25294" s="1" t="s">
        <v>23490</v>
      </c>
      <c r="D25294" s="1" t="str">
        <f>HYPERLINK("https://rhld.insurance.arkansas.gov/NPILookup?Npi=1992754360","1992754360")</f>
        <v>1992754360</v>
      </c>
      <c r="E25294" t="s">
        <v>17725</v>
      </c>
    </row>
    <row r="25295" spans="1:5" x14ac:dyDescent="0.25">
      <c r="A25295" t="s">
        <v>8</v>
      </c>
      <c r="B25295" t="s">
        <v>6523</v>
      </c>
      <c r="C25295" s="1" t="s">
        <v>23490</v>
      </c>
      <c r="D25295" s="1" t="str">
        <f>HYPERLINK("https://rhld.insurance.arkansas.gov/NPILookup?Npi=1992994396","1992994396")</f>
        <v>1992994396</v>
      </c>
      <c r="E25295" t="s">
        <v>6835</v>
      </c>
    </row>
    <row r="25296" spans="1:5" x14ac:dyDescent="0.25">
      <c r="A25296" t="s">
        <v>9</v>
      </c>
      <c r="B25296" t="s">
        <v>6836</v>
      </c>
      <c r="C25296" s="1" t="s">
        <v>23490</v>
      </c>
      <c r="D25296" s="1" t="str">
        <f>HYPERLINK("https://rhld.insurance.arkansas.gov/NPILookup?Npi=1003813437","1003813437")</f>
        <v>1003813437</v>
      </c>
      <c r="E25296" t="s">
        <v>6837</v>
      </c>
    </row>
    <row r="25297" spans="1:5" x14ac:dyDescent="0.25">
      <c r="A25297" t="s">
        <v>9</v>
      </c>
      <c r="B25297" t="s">
        <v>6836</v>
      </c>
      <c r="C25297" s="1" t="s">
        <v>23490</v>
      </c>
      <c r="D25297" s="1" t="str">
        <f>HYPERLINK("https://rhld.insurance.arkansas.gov/NPILookup?Npi=1003814054","1003814054")</f>
        <v>1003814054</v>
      </c>
      <c r="E25297" t="s">
        <v>13259</v>
      </c>
    </row>
    <row r="25298" spans="1:5" x14ac:dyDescent="0.25">
      <c r="A25298" t="s">
        <v>9</v>
      </c>
      <c r="B25298" t="s">
        <v>6836</v>
      </c>
      <c r="C25298" s="1" t="s">
        <v>23490</v>
      </c>
      <c r="D25298" s="1" t="str">
        <f>HYPERLINK("https://rhld.insurance.arkansas.gov/NPILookup?Npi=1003815283","1003815283")</f>
        <v>1003815283</v>
      </c>
      <c r="E25298" t="s">
        <v>6838</v>
      </c>
    </row>
    <row r="25299" spans="1:5" x14ac:dyDescent="0.25">
      <c r="A25299" t="s">
        <v>9</v>
      </c>
      <c r="B25299" t="s">
        <v>6836</v>
      </c>
      <c r="C25299" s="1" t="s">
        <v>23490</v>
      </c>
      <c r="D25299" s="1" t="str">
        <f>HYPERLINK("https://rhld.insurance.arkansas.gov/NPILookup?Npi=1003822016","1003822016")</f>
        <v>1003822016</v>
      </c>
      <c r="E25299" t="s">
        <v>6839</v>
      </c>
    </row>
    <row r="25300" spans="1:5" x14ac:dyDescent="0.25">
      <c r="A25300" t="s">
        <v>9</v>
      </c>
      <c r="B25300" t="s">
        <v>6836</v>
      </c>
      <c r="C25300" s="1" t="s">
        <v>23490</v>
      </c>
      <c r="D25300" s="1" t="str">
        <f>HYPERLINK("https://rhld.insurance.arkansas.gov/NPILookup?Npi=1003843582","1003843582")</f>
        <v>1003843582</v>
      </c>
      <c r="E25300" t="s">
        <v>12059</v>
      </c>
    </row>
    <row r="25301" spans="1:5" x14ac:dyDescent="0.25">
      <c r="A25301" t="s">
        <v>9</v>
      </c>
      <c r="B25301" t="s">
        <v>6836</v>
      </c>
      <c r="C25301" s="1" t="s">
        <v>23490</v>
      </c>
      <c r="D25301" s="1" t="str">
        <f>HYPERLINK("https://rhld.insurance.arkansas.gov/NPILookup?Npi=1003878141","1003878141")</f>
        <v>1003878141</v>
      </c>
      <c r="E25301" t="s">
        <v>16446</v>
      </c>
    </row>
    <row r="25302" spans="1:5" x14ac:dyDescent="0.25">
      <c r="A25302" t="s">
        <v>9</v>
      </c>
      <c r="B25302" t="s">
        <v>6836</v>
      </c>
      <c r="C25302" s="1" t="s">
        <v>23490</v>
      </c>
      <c r="D25302" s="1" t="str">
        <f>HYPERLINK("https://rhld.insurance.arkansas.gov/NPILookup?Npi=1003883851","1003883851")</f>
        <v>1003883851</v>
      </c>
      <c r="E25302" t="s">
        <v>16447</v>
      </c>
    </row>
    <row r="25303" spans="1:5" x14ac:dyDescent="0.25">
      <c r="A25303" t="s">
        <v>9</v>
      </c>
      <c r="B25303" t="s">
        <v>6836</v>
      </c>
      <c r="C25303" s="1" t="s">
        <v>23490</v>
      </c>
      <c r="D25303" s="1" t="str">
        <f>HYPERLINK("https://rhld.insurance.arkansas.gov/NPILookup?Npi=1013010370","1013010370")</f>
        <v>1013010370</v>
      </c>
      <c r="E25303" t="s">
        <v>16448</v>
      </c>
    </row>
    <row r="25304" spans="1:5" x14ac:dyDescent="0.25">
      <c r="A25304" t="s">
        <v>9</v>
      </c>
      <c r="B25304" t="s">
        <v>6836</v>
      </c>
      <c r="C25304" s="1" t="s">
        <v>23490</v>
      </c>
      <c r="D25304" s="1" t="str">
        <f>HYPERLINK("https://rhld.insurance.arkansas.gov/NPILookup?Npi=1013068469","1013068469")</f>
        <v>1013068469</v>
      </c>
      <c r="E25304" t="s">
        <v>16449</v>
      </c>
    </row>
    <row r="25305" spans="1:5" x14ac:dyDescent="0.25">
      <c r="A25305" t="s">
        <v>9</v>
      </c>
      <c r="B25305" t="s">
        <v>6836</v>
      </c>
      <c r="C25305" s="1" t="s">
        <v>23490</v>
      </c>
      <c r="D25305" s="1" t="str">
        <f>HYPERLINK("https://rhld.insurance.arkansas.gov/NPILookup?Npi=1013238054","1013238054")</f>
        <v>1013238054</v>
      </c>
      <c r="E25305" t="s">
        <v>6840</v>
      </c>
    </row>
    <row r="25306" spans="1:5" x14ac:dyDescent="0.25">
      <c r="A25306" t="s">
        <v>9</v>
      </c>
      <c r="B25306" t="s">
        <v>6836</v>
      </c>
      <c r="C25306" s="1" t="s">
        <v>23490</v>
      </c>
      <c r="D25306" s="1" t="str">
        <f>HYPERLINK("https://rhld.insurance.arkansas.gov/NPILookup?Npi=1013238955","1013238955")</f>
        <v>1013238955</v>
      </c>
      <c r="E25306" t="s">
        <v>6841</v>
      </c>
    </row>
    <row r="25307" spans="1:5" x14ac:dyDescent="0.25">
      <c r="A25307" t="s">
        <v>9</v>
      </c>
      <c r="B25307" t="s">
        <v>6836</v>
      </c>
      <c r="C25307" s="1" t="s">
        <v>23490</v>
      </c>
      <c r="D25307" s="1" t="str">
        <f>HYPERLINK("https://rhld.insurance.arkansas.gov/NPILookup?Npi=1013250265","1013250265")</f>
        <v>1013250265</v>
      </c>
      <c r="E25307" t="s">
        <v>12060</v>
      </c>
    </row>
    <row r="25308" spans="1:5" x14ac:dyDescent="0.25">
      <c r="A25308" t="s">
        <v>9</v>
      </c>
      <c r="B25308" t="s">
        <v>6836</v>
      </c>
      <c r="C25308" s="1" t="s">
        <v>23490</v>
      </c>
      <c r="D25308" s="1" t="str">
        <f>HYPERLINK("https://rhld.insurance.arkansas.gov/NPILookup?Npi=1013271428","1013271428")</f>
        <v>1013271428</v>
      </c>
      <c r="E25308" t="s">
        <v>16450</v>
      </c>
    </row>
    <row r="25309" spans="1:5" x14ac:dyDescent="0.25">
      <c r="A25309" t="s">
        <v>9</v>
      </c>
      <c r="B25309" t="s">
        <v>6836</v>
      </c>
      <c r="C25309" s="1" t="s">
        <v>23490</v>
      </c>
      <c r="D25309" s="1" t="str">
        <f>HYPERLINK("https://rhld.insurance.arkansas.gov/NPILookup?Npi=1013303700","1013303700")</f>
        <v>1013303700</v>
      </c>
      <c r="E25309" t="s">
        <v>16451</v>
      </c>
    </row>
    <row r="25310" spans="1:5" x14ac:dyDescent="0.25">
      <c r="A25310" t="s">
        <v>9</v>
      </c>
      <c r="B25310" t="s">
        <v>6836</v>
      </c>
      <c r="C25310" s="1" t="s">
        <v>23490</v>
      </c>
      <c r="D25310" s="1" t="str">
        <f>HYPERLINK("https://rhld.insurance.arkansas.gov/NPILookup?Npi=1013459981","1013459981")</f>
        <v>1013459981</v>
      </c>
      <c r="E25310" t="s">
        <v>19132</v>
      </c>
    </row>
    <row r="25311" spans="1:5" x14ac:dyDescent="0.25">
      <c r="A25311" t="s">
        <v>9</v>
      </c>
      <c r="B25311" t="s">
        <v>6836</v>
      </c>
      <c r="C25311" s="1" t="s">
        <v>23490</v>
      </c>
      <c r="D25311" s="1" t="str">
        <f>HYPERLINK("https://rhld.insurance.arkansas.gov/NPILookup?Npi=1013913474","1013913474")</f>
        <v>1013913474</v>
      </c>
      <c r="E25311" t="s">
        <v>6842</v>
      </c>
    </row>
    <row r="25312" spans="1:5" x14ac:dyDescent="0.25">
      <c r="A25312" t="s">
        <v>9</v>
      </c>
      <c r="B25312" t="s">
        <v>6836</v>
      </c>
      <c r="C25312" s="1" t="s">
        <v>23490</v>
      </c>
      <c r="D25312" s="1" t="str">
        <f>HYPERLINK("https://rhld.insurance.arkansas.gov/NPILookup?Npi=1013966290","1013966290")</f>
        <v>1013966290</v>
      </c>
      <c r="E25312" t="s">
        <v>22582</v>
      </c>
    </row>
    <row r="25313" spans="1:5" x14ac:dyDescent="0.25">
      <c r="A25313" t="s">
        <v>9</v>
      </c>
      <c r="B25313" t="s">
        <v>6836</v>
      </c>
      <c r="C25313" s="1" t="s">
        <v>23490</v>
      </c>
      <c r="D25313" s="1" t="str">
        <f>HYPERLINK("https://rhld.insurance.arkansas.gov/NPILookup?Npi=1013988609","1013988609")</f>
        <v>1013988609</v>
      </c>
      <c r="E25313" t="s">
        <v>6844</v>
      </c>
    </row>
    <row r="25314" spans="1:5" x14ac:dyDescent="0.25">
      <c r="A25314" t="s">
        <v>9</v>
      </c>
      <c r="B25314" t="s">
        <v>6836</v>
      </c>
      <c r="C25314" s="1" t="s">
        <v>23490</v>
      </c>
      <c r="D25314" s="1" t="str">
        <f>HYPERLINK("https://rhld.insurance.arkansas.gov/NPILookup?Npi=1023026739","1023026739")</f>
        <v>1023026739</v>
      </c>
      <c r="E25314" t="s">
        <v>6845</v>
      </c>
    </row>
    <row r="25315" spans="1:5" x14ac:dyDescent="0.25">
      <c r="A25315" t="s">
        <v>9</v>
      </c>
      <c r="B25315" t="s">
        <v>6836</v>
      </c>
      <c r="C25315" s="1" t="s">
        <v>23490</v>
      </c>
      <c r="D25315" s="1" t="str">
        <f>HYPERLINK("https://rhld.insurance.arkansas.gov/NPILookup?Npi=1023076163","1023076163")</f>
        <v>1023076163</v>
      </c>
      <c r="E25315" t="s">
        <v>6846</v>
      </c>
    </row>
    <row r="25316" spans="1:5" x14ac:dyDescent="0.25">
      <c r="A25316" t="s">
        <v>9</v>
      </c>
      <c r="B25316" t="s">
        <v>6836</v>
      </c>
      <c r="C25316" s="1" t="s">
        <v>23490</v>
      </c>
      <c r="D25316" s="1" t="str">
        <f>HYPERLINK("https://rhld.insurance.arkansas.gov/NPILookup?Npi=1023077203","1023077203")</f>
        <v>1023077203</v>
      </c>
      <c r="E25316" t="s">
        <v>16452</v>
      </c>
    </row>
    <row r="25317" spans="1:5" x14ac:dyDescent="0.25">
      <c r="A25317" t="s">
        <v>9</v>
      </c>
      <c r="B25317" t="s">
        <v>6836</v>
      </c>
      <c r="C25317" s="1" t="s">
        <v>23490</v>
      </c>
      <c r="D25317" s="1" t="str">
        <f>HYPERLINK("https://rhld.insurance.arkansas.gov/NPILookup?Npi=1023086451","1023086451")</f>
        <v>1023086451</v>
      </c>
      <c r="E25317" t="s">
        <v>6847</v>
      </c>
    </row>
    <row r="25318" spans="1:5" x14ac:dyDescent="0.25">
      <c r="A25318" t="s">
        <v>9</v>
      </c>
      <c r="B25318" t="s">
        <v>6836</v>
      </c>
      <c r="C25318" s="1" t="s">
        <v>23490</v>
      </c>
      <c r="D25318" s="1" t="str">
        <f>HYPERLINK("https://rhld.insurance.arkansas.gov/NPILookup?Npi=1023090073","1023090073")</f>
        <v>1023090073</v>
      </c>
      <c r="E25318" t="s">
        <v>14444</v>
      </c>
    </row>
    <row r="25319" spans="1:5" x14ac:dyDescent="0.25">
      <c r="A25319" t="s">
        <v>9</v>
      </c>
      <c r="B25319" t="s">
        <v>6836</v>
      </c>
      <c r="C25319" s="1" t="s">
        <v>23490</v>
      </c>
      <c r="D25319" s="1" t="str">
        <f>HYPERLINK("https://rhld.insurance.arkansas.gov/NPILookup?Npi=1023121688","1023121688")</f>
        <v>1023121688</v>
      </c>
      <c r="E25319" t="s">
        <v>6848</v>
      </c>
    </row>
    <row r="25320" spans="1:5" x14ac:dyDescent="0.25">
      <c r="A25320" t="s">
        <v>9</v>
      </c>
      <c r="B25320" t="s">
        <v>6836</v>
      </c>
      <c r="C25320" s="1" t="s">
        <v>23490</v>
      </c>
      <c r="D25320" s="1" t="str">
        <f>HYPERLINK("https://rhld.insurance.arkansas.gov/NPILookup?Npi=1023195310","1023195310")</f>
        <v>1023195310</v>
      </c>
      <c r="E25320" t="s">
        <v>14445</v>
      </c>
    </row>
    <row r="25321" spans="1:5" x14ac:dyDescent="0.25">
      <c r="A25321" t="s">
        <v>9</v>
      </c>
      <c r="B25321" t="s">
        <v>6836</v>
      </c>
      <c r="C25321" s="1" t="s">
        <v>23490</v>
      </c>
      <c r="D25321" s="1" t="str">
        <f>HYPERLINK("https://rhld.insurance.arkansas.gov/NPILookup?Npi=1023294527","1023294527")</f>
        <v>1023294527</v>
      </c>
      <c r="E25321" t="s">
        <v>16453</v>
      </c>
    </row>
    <row r="25322" spans="1:5" x14ac:dyDescent="0.25">
      <c r="A25322" t="s">
        <v>9</v>
      </c>
      <c r="B25322" t="s">
        <v>6836</v>
      </c>
      <c r="C25322" s="1" t="s">
        <v>23490</v>
      </c>
      <c r="D25322" s="1" t="str">
        <f>HYPERLINK("https://rhld.insurance.arkansas.gov/NPILookup?Npi=1023587714","1023587714")</f>
        <v>1023587714</v>
      </c>
      <c r="E25322" t="s">
        <v>16454</v>
      </c>
    </row>
    <row r="25323" spans="1:5" x14ac:dyDescent="0.25">
      <c r="A25323" t="s">
        <v>9</v>
      </c>
      <c r="B25323" t="s">
        <v>6836</v>
      </c>
      <c r="C25323" s="1" t="s">
        <v>23490</v>
      </c>
      <c r="D25323" s="1" t="str">
        <f>HYPERLINK("https://rhld.insurance.arkansas.gov/NPILookup?Npi=1033121413","1033121413")</f>
        <v>1033121413</v>
      </c>
      <c r="E25323" t="s">
        <v>6850</v>
      </c>
    </row>
    <row r="25324" spans="1:5" x14ac:dyDescent="0.25">
      <c r="A25324" t="s">
        <v>9</v>
      </c>
      <c r="B25324" t="s">
        <v>6836</v>
      </c>
      <c r="C25324" s="1" t="s">
        <v>23490</v>
      </c>
      <c r="D25324" s="1" t="str">
        <f>HYPERLINK("https://rhld.insurance.arkansas.gov/NPILookup?Npi=1033134457","1033134457")</f>
        <v>1033134457</v>
      </c>
      <c r="E25324" t="s">
        <v>21277</v>
      </c>
    </row>
    <row r="25325" spans="1:5" x14ac:dyDescent="0.25">
      <c r="A25325" t="s">
        <v>9</v>
      </c>
      <c r="B25325" t="s">
        <v>6836</v>
      </c>
      <c r="C25325" s="1" t="s">
        <v>23490</v>
      </c>
      <c r="D25325" s="1" t="str">
        <f>HYPERLINK("https://rhld.insurance.arkansas.gov/NPILookup?Npi=1033203955","1033203955")</f>
        <v>1033203955</v>
      </c>
      <c r="E25325" t="s">
        <v>6851</v>
      </c>
    </row>
    <row r="25326" spans="1:5" x14ac:dyDescent="0.25">
      <c r="A25326" t="s">
        <v>9</v>
      </c>
      <c r="B25326" t="s">
        <v>6836</v>
      </c>
      <c r="C25326" s="1" t="s">
        <v>23490</v>
      </c>
      <c r="D25326" s="1" t="str">
        <f>HYPERLINK("https://rhld.insurance.arkansas.gov/NPILookup?Npi=1033320155","1033320155")</f>
        <v>1033320155</v>
      </c>
      <c r="E25326" t="s">
        <v>6852</v>
      </c>
    </row>
    <row r="25327" spans="1:5" x14ac:dyDescent="0.25">
      <c r="A25327" t="s">
        <v>9</v>
      </c>
      <c r="B25327" t="s">
        <v>6836</v>
      </c>
      <c r="C25327" s="1" t="s">
        <v>23490</v>
      </c>
      <c r="D25327" s="1" t="str">
        <f>HYPERLINK("https://rhld.insurance.arkansas.gov/NPILookup?Npi=1033382684","1033382684")</f>
        <v>1033382684</v>
      </c>
      <c r="E25327" t="s">
        <v>20730</v>
      </c>
    </row>
    <row r="25328" spans="1:5" x14ac:dyDescent="0.25">
      <c r="A25328" t="s">
        <v>9</v>
      </c>
      <c r="B25328" t="s">
        <v>6836</v>
      </c>
      <c r="C25328" s="1" t="s">
        <v>23490</v>
      </c>
      <c r="D25328" s="1" t="str">
        <f>HYPERLINK("https://rhld.insurance.arkansas.gov/NPILookup?Npi=1033434527","1033434527")</f>
        <v>1033434527</v>
      </c>
      <c r="E25328" t="s">
        <v>12061</v>
      </c>
    </row>
    <row r="25329" spans="1:5" x14ac:dyDescent="0.25">
      <c r="A25329" t="s">
        <v>9</v>
      </c>
      <c r="B25329" t="s">
        <v>6836</v>
      </c>
      <c r="C25329" s="1" t="s">
        <v>23490</v>
      </c>
      <c r="D25329" s="1" t="str">
        <f>HYPERLINK("https://rhld.insurance.arkansas.gov/NPILookup?Npi=1033573746","1033573746")</f>
        <v>1033573746</v>
      </c>
      <c r="E25329" t="s">
        <v>21278</v>
      </c>
    </row>
    <row r="25330" spans="1:5" x14ac:dyDescent="0.25">
      <c r="A25330" t="s">
        <v>9</v>
      </c>
      <c r="B25330" t="s">
        <v>6836</v>
      </c>
      <c r="C25330" s="1" t="s">
        <v>23490</v>
      </c>
      <c r="D25330" s="1" t="str">
        <f>HYPERLINK("https://rhld.insurance.arkansas.gov/NPILookup?Npi=1033776497","1033776497")</f>
        <v>1033776497</v>
      </c>
      <c r="E25330" t="s">
        <v>16455</v>
      </c>
    </row>
    <row r="25331" spans="1:5" x14ac:dyDescent="0.25">
      <c r="A25331" t="s">
        <v>9</v>
      </c>
      <c r="B25331" t="s">
        <v>6836</v>
      </c>
      <c r="C25331" s="1" t="s">
        <v>8427</v>
      </c>
      <c r="D25331" s="1" t="str">
        <f>HYPERLINK("https://rhld.insurance.arkansas.gov/NPILookup?Npi=1033849765","1033849765")</f>
        <v>1033849765</v>
      </c>
      <c r="E25331" t="s">
        <v>23292</v>
      </c>
    </row>
    <row r="25332" spans="1:5" x14ac:dyDescent="0.25">
      <c r="A25332" t="s">
        <v>9</v>
      </c>
      <c r="B25332" t="s">
        <v>6836</v>
      </c>
      <c r="C25332" s="1" t="s">
        <v>23490</v>
      </c>
      <c r="D25332" s="1" t="str">
        <f>HYPERLINK("https://rhld.insurance.arkansas.gov/NPILookup?Npi=1043238637","1043238637")</f>
        <v>1043238637</v>
      </c>
      <c r="E25332" t="s">
        <v>16456</v>
      </c>
    </row>
    <row r="25333" spans="1:5" x14ac:dyDescent="0.25">
      <c r="A25333" t="s">
        <v>9</v>
      </c>
      <c r="B25333" t="s">
        <v>6836</v>
      </c>
      <c r="C25333" s="1" t="s">
        <v>23490</v>
      </c>
      <c r="D25333" s="1" t="str">
        <f>HYPERLINK("https://rhld.insurance.arkansas.gov/NPILookup?Npi=1043300536","1043300536")</f>
        <v>1043300536</v>
      </c>
      <c r="E25333" t="s">
        <v>6853</v>
      </c>
    </row>
    <row r="25334" spans="1:5" x14ac:dyDescent="0.25">
      <c r="A25334" t="s">
        <v>9</v>
      </c>
      <c r="B25334" t="s">
        <v>6836</v>
      </c>
      <c r="C25334" s="1" t="s">
        <v>23490</v>
      </c>
      <c r="D25334" s="1" t="str">
        <f>HYPERLINK("https://rhld.insurance.arkansas.gov/NPILookup?Npi=1043363005","1043363005")</f>
        <v>1043363005</v>
      </c>
      <c r="E25334" t="s">
        <v>6854</v>
      </c>
    </row>
    <row r="25335" spans="1:5" x14ac:dyDescent="0.25">
      <c r="A25335" t="s">
        <v>9</v>
      </c>
      <c r="B25335" t="s">
        <v>6836</v>
      </c>
      <c r="C25335" s="1" t="s">
        <v>23490</v>
      </c>
      <c r="D25335" s="1" t="str">
        <f>HYPERLINK("https://rhld.insurance.arkansas.gov/NPILookup?Npi=1043624232","1043624232")</f>
        <v>1043624232</v>
      </c>
      <c r="E25335" t="s">
        <v>12426</v>
      </c>
    </row>
    <row r="25336" spans="1:5" x14ac:dyDescent="0.25">
      <c r="A25336" t="s">
        <v>9</v>
      </c>
      <c r="B25336" t="s">
        <v>6836</v>
      </c>
      <c r="C25336" s="1" t="s">
        <v>8427</v>
      </c>
      <c r="D25336" s="1" t="str">
        <f>HYPERLINK("https://rhld.insurance.arkansas.gov/NPILookup?Npi=1043660624","1043660624")</f>
        <v>1043660624</v>
      </c>
      <c r="E25336" t="s">
        <v>23293</v>
      </c>
    </row>
    <row r="25337" spans="1:5" x14ac:dyDescent="0.25">
      <c r="A25337" t="s">
        <v>9</v>
      </c>
      <c r="B25337" t="s">
        <v>6836</v>
      </c>
      <c r="C25337" s="1" t="s">
        <v>23490</v>
      </c>
      <c r="D25337" s="1" t="str">
        <f>HYPERLINK("https://rhld.insurance.arkansas.gov/NPILookup?Npi=1053023796","1053023796")</f>
        <v>1053023796</v>
      </c>
      <c r="E25337" t="s">
        <v>22583</v>
      </c>
    </row>
    <row r="25338" spans="1:5" x14ac:dyDescent="0.25">
      <c r="A25338" t="s">
        <v>9</v>
      </c>
      <c r="B25338" t="s">
        <v>6836</v>
      </c>
      <c r="C25338" s="1" t="s">
        <v>23490</v>
      </c>
      <c r="D25338" s="1" t="str">
        <f>HYPERLINK("https://rhld.insurance.arkansas.gov/NPILookup?Npi=1053315028","1053315028")</f>
        <v>1053315028</v>
      </c>
      <c r="E25338" t="s">
        <v>16457</v>
      </c>
    </row>
    <row r="25339" spans="1:5" x14ac:dyDescent="0.25">
      <c r="A25339" t="s">
        <v>9</v>
      </c>
      <c r="B25339" t="s">
        <v>6836</v>
      </c>
      <c r="C25339" s="1" t="s">
        <v>23490</v>
      </c>
      <c r="D25339" s="1" t="str">
        <f>HYPERLINK("https://rhld.insurance.arkansas.gov/NPILookup?Npi=1053316570","1053316570")</f>
        <v>1053316570</v>
      </c>
      <c r="E25339" t="s">
        <v>6855</v>
      </c>
    </row>
    <row r="25340" spans="1:5" x14ac:dyDescent="0.25">
      <c r="A25340" t="s">
        <v>9</v>
      </c>
      <c r="B25340" t="s">
        <v>6836</v>
      </c>
      <c r="C25340" s="1" t="s">
        <v>23490</v>
      </c>
      <c r="D25340" s="1" t="str">
        <f>HYPERLINK("https://rhld.insurance.arkansas.gov/NPILookup?Npi=1053316745","1053316745")</f>
        <v>1053316745</v>
      </c>
      <c r="E25340" t="s">
        <v>196</v>
      </c>
    </row>
    <row r="25341" spans="1:5" x14ac:dyDescent="0.25">
      <c r="A25341" t="s">
        <v>9</v>
      </c>
      <c r="B25341" t="s">
        <v>6836</v>
      </c>
      <c r="C25341" s="1" t="s">
        <v>23490</v>
      </c>
      <c r="D25341" s="1" t="str">
        <f>HYPERLINK("https://rhld.insurance.arkansas.gov/NPILookup?Npi=1053322974","1053322974")</f>
        <v>1053322974</v>
      </c>
      <c r="E25341" t="s">
        <v>6856</v>
      </c>
    </row>
    <row r="25342" spans="1:5" x14ac:dyDescent="0.25">
      <c r="A25342" t="s">
        <v>9</v>
      </c>
      <c r="B25342" t="s">
        <v>6836</v>
      </c>
      <c r="C25342" s="1" t="s">
        <v>23490</v>
      </c>
      <c r="D25342" s="1" t="str">
        <f>HYPERLINK("https://rhld.insurance.arkansas.gov/NPILookup?Npi=1053343467","1053343467")</f>
        <v>1053343467</v>
      </c>
      <c r="E25342" t="s">
        <v>6857</v>
      </c>
    </row>
    <row r="25343" spans="1:5" x14ac:dyDescent="0.25">
      <c r="A25343" t="s">
        <v>9</v>
      </c>
      <c r="B25343" t="s">
        <v>6836</v>
      </c>
      <c r="C25343" s="1" t="s">
        <v>23490</v>
      </c>
      <c r="D25343" s="1" t="str">
        <f>HYPERLINK("https://rhld.insurance.arkansas.gov/NPILookup?Npi=1053348045","1053348045")</f>
        <v>1053348045</v>
      </c>
      <c r="E25343" t="s">
        <v>16458</v>
      </c>
    </row>
    <row r="25344" spans="1:5" x14ac:dyDescent="0.25">
      <c r="A25344" t="s">
        <v>9</v>
      </c>
      <c r="B25344" t="s">
        <v>6836</v>
      </c>
      <c r="C25344" s="1" t="s">
        <v>23490</v>
      </c>
      <c r="D25344" s="1" t="str">
        <f>HYPERLINK("https://rhld.insurance.arkansas.gov/NPILookup?Npi=1053366617","1053366617")</f>
        <v>1053366617</v>
      </c>
      <c r="E25344" t="s">
        <v>6858</v>
      </c>
    </row>
    <row r="25345" spans="1:5" x14ac:dyDescent="0.25">
      <c r="A25345" t="s">
        <v>9</v>
      </c>
      <c r="B25345" t="s">
        <v>6836</v>
      </c>
      <c r="C25345" s="1" t="s">
        <v>23490</v>
      </c>
      <c r="D25345" s="1" t="str">
        <f>HYPERLINK("https://rhld.insurance.arkansas.gov/NPILookup?Npi=1053367714","1053367714")</f>
        <v>1053367714</v>
      </c>
      <c r="E25345" t="s">
        <v>6859</v>
      </c>
    </row>
    <row r="25346" spans="1:5" x14ac:dyDescent="0.25">
      <c r="A25346" t="s">
        <v>9</v>
      </c>
      <c r="B25346" t="s">
        <v>6836</v>
      </c>
      <c r="C25346" s="1" t="s">
        <v>23490</v>
      </c>
      <c r="D25346" s="1" t="str">
        <f>HYPERLINK("https://rhld.insurance.arkansas.gov/NPILookup?Npi=1053388355","1053388355")</f>
        <v>1053388355</v>
      </c>
      <c r="E25346" t="s">
        <v>6860</v>
      </c>
    </row>
    <row r="25347" spans="1:5" x14ac:dyDescent="0.25">
      <c r="A25347" t="s">
        <v>9</v>
      </c>
      <c r="B25347" t="s">
        <v>6836</v>
      </c>
      <c r="C25347" s="1" t="s">
        <v>23490</v>
      </c>
      <c r="D25347" s="1" t="str">
        <f>HYPERLINK("https://rhld.insurance.arkansas.gov/NPILookup?Npi=1053394155","1053394155")</f>
        <v>1053394155</v>
      </c>
      <c r="E25347" t="s">
        <v>6861</v>
      </c>
    </row>
    <row r="25348" spans="1:5" x14ac:dyDescent="0.25">
      <c r="A25348" t="s">
        <v>9</v>
      </c>
      <c r="B25348" t="s">
        <v>6836</v>
      </c>
      <c r="C25348" s="1" t="s">
        <v>23490</v>
      </c>
      <c r="D25348" s="1" t="str">
        <f>HYPERLINK("https://rhld.insurance.arkansas.gov/NPILookup?Npi=1053396200","1053396200")</f>
        <v>1053396200</v>
      </c>
      <c r="E25348" t="s">
        <v>22584</v>
      </c>
    </row>
    <row r="25349" spans="1:5" x14ac:dyDescent="0.25">
      <c r="A25349" t="s">
        <v>9</v>
      </c>
      <c r="B25349" t="s">
        <v>6836</v>
      </c>
      <c r="C25349" s="1" t="s">
        <v>23490</v>
      </c>
      <c r="D25349" s="1" t="str">
        <f>HYPERLINK("https://rhld.insurance.arkansas.gov/NPILookup?Npi=1053412668","1053412668")</f>
        <v>1053412668</v>
      </c>
      <c r="E25349" t="s">
        <v>6862</v>
      </c>
    </row>
    <row r="25350" spans="1:5" x14ac:dyDescent="0.25">
      <c r="A25350" t="s">
        <v>9</v>
      </c>
      <c r="B25350" t="s">
        <v>6836</v>
      </c>
      <c r="C25350" s="1" t="s">
        <v>23490</v>
      </c>
      <c r="D25350" s="1" t="str">
        <f>HYPERLINK("https://rhld.insurance.arkansas.gov/NPILookup?Npi=1053601492","1053601492")</f>
        <v>1053601492</v>
      </c>
      <c r="E25350" t="s">
        <v>6863</v>
      </c>
    </row>
    <row r="25351" spans="1:5" x14ac:dyDescent="0.25">
      <c r="A25351" t="s">
        <v>9</v>
      </c>
      <c r="B25351" t="s">
        <v>6836</v>
      </c>
      <c r="C25351" s="1" t="s">
        <v>23490</v>
      </c>
      <c r="D25351" s="1" t="str">
        <f>HYPERLINK("https://rhld.insurance.arkansas.gov/NPILookup?Npi=1053927012","1053927012")</f>
        <v>1053927012</v>
      </c>
      <c r="E25351" t="s">
        <v>17726</v>
      </c>
    </row>
    <row r="25352" spans="1:5" x14ac:dyDescent="0.25">
      <c r="A25352" t="s">
        <v>9</v>
      </c>
      <c r="B25352" t="s">
        <v>6836</v>
      </c>
      <c r="C25352" s="1" t="s">
        <v>23490</v>
      </c>
      <c r="D25352" s="1" t="str">
        <f>HYPERLINK("https://rhld.insurance.arkansas.gov/NPILookup?Npi=1063408409","1063408409")</f>
        <v>1063408409</v>
      </c>
      <c r="E25352" t="s">
        <v>6864</v>
      </c>
    </row>
    <row r="25353" spans="1:5" x14ac:dyDescent="0.25">
      <c r="A25353" t="s">
        <v>9</v>
      </c>
      <c r="B25353" t="s">
        <v>6836</v>
      </c>
      <c r="C25353" s="1" t="s">
        <v>23490</v>
      </c>
      <c r="D25353" s="1" t="str">
        <f>HYPERLINK("https://rhld.insurance.arkansas.gov/NPILookup?Npi=1063421014","1063421014")</f>
        <v>1063421014</v>
      </c>
      <c r="E25353" t="s">
        <v>16459</v>
      </c>
    </row>
    <row r="25354" spans="1:5" x14ac:dyDescent="0.25">
      <c r="A25354" t="s">
        <v>9</v>
      </c>
      <c r="B25354" t="s">
        <v>6836</v>
      </c>
      <c r="C25354" s="1" t="s">
        <v>23490</v>
      </c>
      <c r="D25354" s="1" t="str">
        <f>HYPERLINK("https://rhld.insurance.arkansas.gov/NPILookup?Npi=1063424166","1063424166")</f>
        <v>1063424166</v>
      </c>
      <c r="E25354" t="s">
        <v>16460</v>
      </c>
    </row>
    <row r="25355" spans="1:5" x14ac:dyDescent="0.25">
      <c r="A25355" t="s">
        <v>9</v>
      </c>
      <c r="B25355" t="s">
        <v>6836</v>
      </c>
      <c r="C25355" s="1" t="s">
        <v>23490</v>
      </c>
      <c r="D25355" s="1" t="str">
        <f>HYPERLINK("https://rhld.insurance.arkansas.gov/NPILookup?Npi=1063449692","1063449692")</f>
        <v>1063449692</v>
      </c>
      <c r="E25355" t="s">
        <v>6865</v>
      </c>
    </row>
    <row r="25356" spans="1:5" x14ac:dyDescent="0.25">
      <c r="A25356" t="s">
        <v>9</v>
      </c>
      <c r="B25356" t="s">
        <v>6836</v>
      </c>
      <c r="C25356" s="1" t="s">
        <v>23490</v>
      </c>
      <c r="D25356" s="1" t="str">
        <f>HYPERLINK("https://rhld.insurance.arkansas.gov/NPILookup?Npi=1063468007","1063468007")</f>
        <v>1063468007</v>
      </c>
      <c r="E25356" t="s">
        <v>6866</v>
      </c>
    </row>
    <row r="25357" spans="1:5" x14ac:dyDescent="0.25">
      <c r="A25357" t="s">
        <v>9</v>
      </c>
      <c r="B25357" t="s">
        <v>6836</v>
      </c>
      <c r="C25357" s="1" t="s">
        <v>23490</v>
      </c>
      <c r="D25357" s="1" t="str">
        <f>HYPERLINK("https://rhld.insurance.arkansas.gov/NPILookup?Npi=1063725711","1063725711")</f>
        <v>1063725711</v>
      </c>
      <c r="E25357" t="s">
        <v>6867</v>
      </c>
    </row>
    <row r="25358" spans="1:5" x14ac:dyDescent="0.25">
      <c r="A25358" t="s">
        <v>9</v>
      </c>
      <c r="B25358" t="s">
        <v>6836</v>
      </c>
      <c r="C25358" s="1" t="s">
        <v>23490</v>
      </c>
      <c r="D25358" s="1" t="str">
        <f>HYPERLINK("https://rhld.insurance.arkansas.gov/NPILookup?Npi=1073517975","1073517975")</f>
        <v>1073517975</v>
      </c>
      <c r="E25358" t="s">
        <v>6869</v>
      </c>
    </row>
    <row r="25359" spans="1:5" x14ac:dyDescent="0.25">
      <c r="A25359" t="s">
        <v>9</v>
      </c>
      <c r="B25359" t="s">
        <v>6836</v>
      </c>
      <c r="C25359" s="1" t="s">
        <v>23490</v>
      </c>
      <c r="D25359" s="1" t="str">
        <f>HYPERLINK("https://rhld.insurance.arkansas.gov/NPILookup?Npi=1073540977","1073540977")</f>
        <v>1073540977</v>
      </c>
      <c r="E25359" t="s">
        <v>16461</v>
      </c>
    </row>
    <row r="25360" spans="1:5" x14ac:dyDescent="0.25">
      <c r="A25360" t="s">
        <v>9</v>
      </c>
      <c r="B25360" t="s">
        <v>6836</v>
      </c>
      <c r="C25360" s="1" t="s">
        <v>23490</v>
      </c>
      <c r="D25360" s="1" t="str">
        <f>HYPERLINK("https://rhld.insurance.arkansas.gov/NPILookup?Npi=1073554929","1073554929")</f>
        <v>1073554929</v>
      </c>
      <c r="E25360" t="s">
        <v>6870</v>
      </c>
    </row>
    <row r="25361" spans="1:5" x14ac:dyDescent="0.25">
      <c r="A25361" t="s">
        <v>9</v>
      </c>
      <c r="B25361" t="s">
        <v>6836</v>
      </c>
      <c r="C25361" s="1" t="s">
        <v>23490</v>
      </c>
      <c r="D25361" s="1" t="str">
        <f>HYPERLINK("https://rhld.insurance.arkansas.gov/NPILookup?Npi=1073557005","1073557005")</f>
        <v>1073557005</v>
      </c>
      <c r="E25361" t="s">
        <v>6871</v>
      </c>
    </row>
    <row r="25362" spans="1:5" x14ac:dyDescent="0.25">
      <c r="A25362" t="s">
        <v>9</v>
      </c>
      <c r="B25362" t="s">
        <v>6836</v>
      </c>
      <c r="C25362" s="1" t="s">
        <v>23490</v>
      </c>
      <c r="D25362" s="1" t="str">
        <f>HYPERLINK("https://rhld.insurance.arkansas.gov/NPILookup?Npi=1073570156","1073570156")</f>
        <v>1073570156</v>
      </c>
      <c r="E25362" t="s">
        <v>6872</v>
      </c>
    </row>
    <row r="25363" spans="1:5" x14ac:dyDescent="0.25">
      <c r="A25363" t="s">
        <v>9</v>
      </c>
      <c r="B25363" t="s">
        <v>6836</v>
      </c>
      <c r="C25363" s="1" t="s">
        <v>23490</v>
      </c>
      <c r="D25363" s="1" t="str">
        <f>HYPERLINK("https://rhld.insurance.arkansas.gov/NPILookup?Npi=1073575148","1073575148")</f>
        <v>1073575148</v>
      </c>
      <c r="E25363" t="s">
        <v>6873</v>
      </c>
    </row>
    <row r="25364" spans="1:5" x14ac:dyDescent="0.25">
      <c r="A25364" t="s">
        <v>9</v>
      </c>
      <c r="B25364" t="s">
        <v>6836</v>
      </c>
      <c r="C25364" s="1" t="s">
        <v>23490</v>
      </c>
      <c r="D25364" s="1" t="str">
        <f>HYPERLINK("https://rhld.insurance.arkansas.gov/NPILookup?Npi=1073675948","1073675948")</f>
        <v>1073675948</v>
      </c>
      <c r="E25364" t="s">
        <v>16462</v>
      </c>
    </row>
    <row r="25365" spans="1:5" x14ac:dyDescent="0.25">
      <c r="A25365" t="s">
        <v>9</v>
      </c>
      <c r="B25365" t="s">
        <v>6836</v>
      </c>
      <c r="C25365" s="1" t="s">
        <v>23490</v>
      </c>
      <c r="D25365" s="1" t="str">
        <f>HYPERLINK("https://rhld.insurance.arkansas.gov/NPILookup?Npi=1073735205","1073735205")</f>
        <v>1073735205</v>
      </c>
      <c r="E25365" t="s">
        <v>22585</v>
      </c>
    </row>
    <row r="25366" spans="1:5" x14ac:dyDescent="0.25">
      <c r="A25366" t="s">
        <v>9</v>
      </c>
      <c r="B25366" t="s">
        <v>6836</v>
      </c>
      <c r="C25366" s="1" t="s">
        <v>23490</v>
      </c>
      <c r="D25366" s="1" t="str">
        <f>HYPERLINK("https://rhld.insurance.arkansas.gov/NPILookup?Npi=1083071237","1083071237")</f>
        <v>1083071237</v>
      </c>
      <c r="E25366" t="s">
        <v>9240</v>
      </c>
    </row>
    <row r="25367" spans="1:5" x14ac:dyDescent="0.25">
      <c r="A25367" t="s">
        <v>9</v>
      </c>
      <c r="B25367" t="s">
        <v>6836</v>
      </c>
      <c r="C25367" s="1" t="s">
        <v>23490</v>
      </c>
      <c r="D25367" s="1" t="str">
        <f>HYPERLINK("https://rhld.insurance.arkansas.gov/NPILookup?Npi=1083091110","1083091110")</f>
        <v>1083091110</v>
      </c>
      <c r="E25367" t="s">
        <v>16463</v>
      </c>
    </row>
    <row r="25368" spans="1:5" x14ac:dyDescent="0.25">
      <c r="A25368" t="s">
        <v>9</v>
      </c>
      <c r="B25368" t="s">
        <v>6836</v>
      </c>
      <c r="C25368" s="1" t="s">
        <v>23490</v>
      </c>
      <c r="D25368" s="1" t="str">
        <f>HYPERLINK("https://rhld.insurance.arkansas.gov/NPILookup?Npi=1083607501","1083607501")</f>
        <v>1083607501</v>
      </c>
      <c r="E25368" t="s">
        <v>6874</v>
      </c>
    </row>
    <row r="25369" spans="1:5" x14ac:dyDescent="0.25">
      <c r="A25369" t="s">
        <v>9</v>
      </c>
      <c r="B25369" t="s">
        <v>6836</v>
      </c>
      <c r="C25369" s="1" t="s">
        <v>23490</v>
      </c>
      <c r="D25369" s="1" t="str">
        <f>HYPERLINK("https://rhld.insurance.arkansas.gov/NPILookup?Npi=1083633366","1083633366")</f>
        <v>1083633366</v>
      </c>
      <c r="E25369" t="s">
        <v>6875</v>
      </c>
    </row>
    <row r="25370" spans="1:5" x14ac:dyDescent="0.25">
      <c r="A25370" t="s">
        <v>9</v>
      </c>
      <c r="B25370" t="s">
        <v>6836</v>
      </c>
      <c r="C25370" s="1" t="s">
        <v>23490</v>
      </c>
      <c r="D25370" s="1" t="str">
        <f>HYPERLINK("https://rhld.insurance.arkansas.gov/NPILookup?Npi=1083684468","1083684468")</f>
        <v>1083684468</v>
      </c>
      <c r="E25370" t="s">
        <v>16464</v>
      </c>
    </row>
    <row r="25371" spans="1:5" x14ac:dyDescent="0.25">
      <c r="A25371" t="s">
        <v>9</v>
      </c>
      <c r="B25371" t="s">
        <v>6836</v>
      </c>
      <c r="C25371" s="1" t="s">
        <v>23490</v>
      </c>
      <c r="D25371" s="1" t="str">
        <f>HYPERLINK("https://rhld.insurance.arkansas.gov/NPILookup?Npi=1083705388","1083705388")</f>
        <v>1083705388</v>
      </c>
      <c r="E25371" t="s">
        <v>6876</v>
      </c>
    </row>
    <row r="25372" spans="1:5" x14ac:dyDescent="0.25">
      <c r="A25372" t="s">
        <v>9</v>
      </c>
      <c r="B25372" t="s">
        <v>6836</v>
      </c>
      <c r="C25372" s="1" t="s">
        <v>23490</v>
      </c>
      <c r="D25372" s="1" t="str">
        <f>HYPERLINK("https://rhld.insurance.arkansas.gov/NPILookup?Npi=1083806210","1083806210")</f>
        <v>1083806210</v>
      </c>
      <c r="E25372" t="s">
        <v>21430</v>
      </c>
    </row>
    <row r="25373" spans="1:5" x14ac:dyDescent="0.25">
      <c r="A25373" t="s">
        <v>9</v>
      </c>
      <c r="B25373" t="s">
        <v>6836</v>
      </c>
      <c r="C25373" s="1" t="s">
        <v>23490</v>
      </c>
      <c r="D25373" s="1" t="str">
        <f>HYPERLINK("https://rhld.insurance.arkansas.gov/NPILookup?Npi=1083836886","1083836886")</f>
        <v>1083836886</v>
      </c>
      <c r="E25373" t="s">
        <v>20731</v>
      </c>
    </row>
    <row r="25374" spans="1:5" x14ac:dyDescent="0.25">
      <c r="A25374" t="s">
        <v>9</v>
      </c>
      <c r="B25374" t="s">
        <v>6836</v>
      </c>
      <c r="C25374" s="1" t="s">
        <v>23490</v>
      </c>
      <c r="D25374" s="1" t="str">
        <f>HYPERLINK("https://rhld.insurance.arkansas.gov/NPILookup?Npi=1083932842","1083932842")</f>
        <v>1083932842</v>
      </c>
      <c r="E25374" t="s">
        <v>6877</v>
      </c>
    </row>
    <row r="25375" spans="1:5" x14ac:dyDescent="0.25">
      <c r="A25375" t="s">
        <v>9</v>
      </c>
      <c r="B25375" t="s">
        <v>6836</v>
      </c>
      <c r="C25375" s="1" t="s">
        <v>23490</v>
      </c>
      <c r="D25375" s="1" t="str">
        <f>HYPERLINK("https://rhld.insurance.arkansas.gov/NPILookup?Npi=1093213357","1093213357")</f>
        <v>1093213357</v>
      </c>
      <c r="E25375" t="s">
        <v>14446</v>
      </c>
    </row>
    <row r="25376" spans="1:5" x14ac:dyDescent="0.25">
      <c r="A25376" t="s">
        <v>9</v>
      </c>
      <c r="B25376" t="s">
        <v>6836</v>
      </c>
      <c r="C25376" s="1" t="s">
        <v>23490</v>
      </c>
      <c r="D25376" s="1" t="str">
        <f>HYPERLINK("https://rhld.insurance.arkansas.gov/NPILookup?Npi=1093717035","1093717035")</f>
        <v>1093717035</v>
      </c>
      <c r="E25376" t="s">
        <v>6878</v>
      </c>
    </row>
    <row r="25377" spans="1:5" x14ac:dyDescent="0.25">
      <c r="A25377" t="s">
        <v>9</v>
      </c>
      <c r="B25377" t="s">
        <v>6836</v>
      </c>
      <c r="C25377" s="1" t="s">
        <v>23490</v>
      </c>
      <c r="D25377" s="1" t="str">
        <f>HYPERLINK("https://rhld.insurance.arkansas.gov/NPILookup?Npi=1093722423","1093722423")</f>
        <v>1093722423</v>
      </c>
      <c r="E25377" t="s">
        <v>13261</v>
      </c>
    </row>
    <row r="25378" spans="1:5" x14ac:dyDescent="0.25">
      <c r="A25378" t="s">
        <v>9</v>
      </c>
      <c r="B25378" t="s">
        <v>6836</v>
      </c>
      <c r="C25378" s="1" t="s">
        <v>23490</v>
      </c>
      <c r="D25378" s="1" t="str">
        <f>HYPERLINK("https://rhld.insurance.arkansas.gov/NPILookup?Npi=1093749301","1093749301")</f>
        <v>1093749301</v>
      </c>
      <c r="E25378" t="s">
        <v>12062</v>
      </c>
    </row>
    <row r="25379" spans="1:5" x14ac:dyDescent="0.25">
      <c r="A25379" t="s">
        <v>9</v>
      </c>
      <c r="B25379" t="s">
        <v>6836</v>
      </c>
      <c r="C25379" s="1" t="s">
        <v>23490</v>
      </c>
      <c r="D25379" s="1" t="str">
        <f>HYPERLINK("https://rhld.insurance.arkansas.gov/NPILookup?Npi=1093764417","1093764417")</f>
        <v>1093764417</v>
      </c>
      <c r="E25379" t="s">
        <v>22586</v>
      </c>
    </row>
    <row r="25380" spans="1:5" x14ac:dyDescent="0.25">
      <c r="A25380" t="s">
        <v>9</v>
      </c>
      <c r="B25380" t="s">
        <v>6836</v>
      </c>
      <c r="C25380" s="1" t="s">
        <v>23490</v>
      </c>
      <c r="D25380" s="1" t="str">
        <f>HYPERLINK("https://rhld.insurance.arkansas.gov/NPILookup?Npi=1093772055","1093772055")</f>
        <v>1093772055</v>
      </c>
      <c r="E25380" t="s">
        <v>6879</v>
      </c>
    </row>
    <row r="25381" spans="1:5" x14ac:dyDescent="0.25">
      <c r="A25381" t="s">
        <v>9</v>
      </c>
      <c r="B25381" t="s">
        <v>6836</v>
      </c>
      <c r="C25381" s="1" t="s">
        <v>23490</v>
      </c>
      <c r="D25381" s="1" t="str">
        <f>HYPERLINK("https://rhld.insurance.arkansas.gov/NPILookup?Npi=1093786170","1093786170")</f>
        <v>1093786170</v>
      </c>
      <c r="E25381" t="s">
        <v>6880</v>
      </c>
    </row>
    <row r="25382" spans="1:5" x14ac:dyDescent="0.25">
      <c r="A25382" t="s">
        <v>9</v>
      </c>
      <c r="B25382" t="s">
        <v>6836</v>
      </c>
      <c r="C25382" s="1" t="s">
        <v>23490</v>
      </c>
      <c r="D25382" s="1" t="str">
        <f>HYPERLINK("https://rhld.insurance.arkansas.gov/NPILookup?Npi=1093844086","1093844086")</f>
        <v>1093844086</v>
      </c>
      <c r="E25382" t="s">
        <v>6881</v>
      </c>
    </row>
    <row r="25383" spans="1:5" x14ac:dyDescent="0.25">
      <c r="A25383" t="s">
        <v>9</v>
      </c>
      <c r="B25383" t="s">
        <v>6836</v>
      </c>
      <c r="C25383" s="1" t="s">
        <v>23490</v>
      </c>
      <c r="D25383" s="1" t="str">
        <f>HYPERLINK("https://rhld.insurance.arkansas.gov/NPILookup?Npi=1093866733","1093866733")</f>
        <v>1093866733</v>
      </c>
      <c r="E25383" t="s">
        <v>6882</v>
      </c>
    </row>
    <row r="25384" spans="1:5" x14ac:dyDescent="0.25">
      <c r="A25384" t="s">
        <v>9</v>
      </c>
      <c r="B25384" t="s">
        <v>6836</v>
      </c>
      <c r="C25384" s="1" t="s">
        <v>23490</v>
      </c>
      <c r="D25384" s="1" t="str">
        <f>HYPERLINK("https://rhld.insurance.arkansas.gov/NPILookup?Npi=1093918997","1093918997")</f>
        <v>1093918997</v>
      </c>
      <c r="E25384" t="s">
        <v>6883</v>
      </c>
    </row>
    <row r="25385" spans="1:5" x14ac:dyDescent="0.25">
      <c r="A25385" t="s">
        <v>9</v>
      </c>
      <c r="B25385" t="s">
        <v>6836</v>
      </c>
      <c r="C25385" s="1" t="s">
        <v>23490</v>
      </c>
      <c r="D25385" s="1" t="str">
        <f>HYPERLINK("https://rhld.insurance.arkansas.gov/NPILookup?Npi=1093926396","1093926396")</f>
        <v>1093926396</v>
      </c>
      <c r="E25385" t="s">
        <v>22587</v>
      </c>
    </row>
    <row r="25386" spans="1:5" x14ac:dyDescent="0.25">
      <c r="A25386" t="s">
        <v>9</v>
      </c>
      <c r="B25386" t="s">
        <v>6836</v>
      </c>
      <c r="C25386" s="1" t="s">
        <v>23490</v>
      </c>
      <c r="D25386" s="1" t="str">
        <f>HYPERLINK("https://rhld.insurance.arkansas.gov/NPILookup?Npi=1093945834","1093945834")</f>
        <v>1093945834</v>
      </c>
      <c r="E25386" t="s">
        <v>6884</v>
      </c>
    </row>
    <row r="25387" spans="1:5" x14ac:dyDescent="0.25">
      <c r="A25387" t="s">
        <v>9</v>
      </c>
      <c r="B25387" t="s">
        <v>6836</v>
      </c>
      <c r="C25387" s="1" t="s">
        <v>23490</v>
      </c>
      <c r="D25387" s="1" t="str">
        <f>HYPERLINK("https://rhld.insurance.arkansas.gov/NPILookup?Npi=1104210830","1104210830")</f>
        <v>1104210830</v>
      </c>
      <c r="E25387" t="s">
        <v>16465</v>
      </c>
    </row>
    <row r="25388" spans="1:5" x14ac:dyDescent="0.25">
      <c r="A25388" t="s">
        <v>9</v>
      </c>
      <c r="B25388" t="s">
        <v>6836</v>
      </c>
      <c r="C25388" s="1" t="s">
        <v>23490</v>
      </c>
      <c r="D25388" s="1" t="str">
        <f>HYPERLINK("https://rhld.insurance.arkansas.gov/NPILookup?Npi=1104269745","1104269745")</f>
        <v>1104269745</v>
      </c>
      <c r="E25388" t="s">
        <v>12063</v>
      </c>
    </row>
    <row r="25389" spans="1:5" x14ac:dyDescent="0.25">
      <c r="A25389" t="s">
        <v>9</v>
      </c>
      <c r="B25389" t="s">
        <v>6836</v>
      </c>
      <c r="C25389" s="1" t="s">
        <v>23490</v>
      </c>
      <c r="D25389" s="1" t="str">
        <f>HYPERLINK("https://rhld.insurance.arkansas.gov/NPILookup?Npi=1104292895","1104292895")</f>
        <v>1104292895</v>
      </c>
      <c r="E25389" t="s">
        <v>16466</v>
      </c>
    </row>
    <row r="25390" spans="1:5" x14ac:dyDescent="0.25">
      <c r="A25390" t="s">
        <v>9</v>
      </c>
      <c r="B25390" t="s">
        <v>6836</v>
      </c>
      <c r="C25390" s="1" t="s">
        <v>23490</v>
      </c>
      <c r="D25390" s="1" t="str">
        <f>HYPERLINK("https://rhld.insurance.arkansas.gov/NPILookup?Npi=1104853803","1104853803")</f>
        <v>1104853803</v>
      </c>
      <c r="E25390" t="s">
        <v>16467</v>
      </c>
    </row>
    <row r="25391" spans="1:5" x14ac:dyDescent="0.25">
      <c r="A25391" t="s">
        <v>9</v>
      </c>
      <c r="B25391" t="s">
        <v>6836</v>
      </c>
      <c r="C25391" s="1" t="s">
        <v>23490</v>
      </c>
      <c r="D25391" s="1" t="str">
        <f>HYPERLINK("https://rhld.insurance.arkansas.gov/NPILookup?Npi=1104886761","1104886761")</f>
        <v>1104886761</v>
      </c>
      <c r="E25391" t="s">
        <v>6885</v>
      </c>
    </row>
    <row r="25392" spans="1:5" x14ac:dyDescent="0.25">
      <c r="A25392" t="s">
        <v>9</v>
      </c>
      <c r="B25392" t="s">
        <v>6836</v>
      </c>
      <c r="C25392" s="1" t="s">
        <v>23490</v>
      </c>
      <c r="D25392" s="1" t="str">
        <f>HYPERLINK("https://rhld.insurance.arkansas.gov/NPILookup?Npi=1104977560","1104977560")</f>
        <v>1104977560</v>
      </c>
      <c r="E25392" t="s">
        <v>16468</v>
      </c>
    </row>
    <row r="25393" spans="1:5" x14ac:dyDescent="0.25">
      <c r="A25393" t="s">
        <v>9</v>
      </c>
      <c r="B25393" t="s">
        <v>6836</v>
      </c>
      <c r="C25393" s="1" t="s">
        <v>23490</v>
      </c>
      <c r="D25393" s="1" t="str">
        <f>HYPERLINK("https://rhld.insurance.arkansas.gov/NPILookup?Npi=1104981208","1104981208")</f>
        <v>1104981208</v>
      </c>
      <c r="E25393" t="s">
        <v>6886</v>
      </c>
    </row>
    <row r="25394" spans="1:5" x14ac:dyDescent="0.25">
      <c r="A25394" t="s">
        <v>9</v>
      </c>
      <c r="B25394" t="s">
        <v>6836</v>
      </c>
      <c r="C25394" s="1" t="s">
        <v>23490</v>
      </c>
      <c r="D25394" s="1" t="str">
        <f>HYPERLINK("https://rhld.insurance.arkansas.gov/NPILookup?Npi=1114036027","1114036027")</f>
        <v>1114036027</v>
      </c>
      <c r="E25394" t="s">
        <v>6887</v>
      </c>
    </row>
    <row r="25395" spans="1:5" x14ac:dyDescent="0.25">
      <c r="A25395" t="s">
        <v>9</v>
      </c>
      <c r="B25395" t="s">
        <v>6836</v>
      </c>
      <c r="C25395" s="1" t="s">
        <v>23490</v>
      </c>
      <c r="D25395" s="1" t="str">
        <f>HYPERLINK("https://rhld.insurance.arkansas.gov/NPILookup?Npi=1114037546","1114037546")</f>
        <v>1114037546</v>
      </c>
      <c r="E25395" t="s">
        <v>6888</v>
      </c>
    </row>
    <row r="25396" spans="1:5" x14ac:dyDescent="0.25">
      <c r="A25396" t="s">
        <v>9</v>
      </c>
      <c r="B25396" t="s">
        <v>6836</v>
      </c>
      <c r="C25396" s="1" t="s">
        <v>23490</v>
      </c>
      <c r="D25396" s="1" t="str">
        <f>HYPERLINK("https://rhld.insurance.arkansas.gov/NPILookup?Npi=1114097458","1114097458")</f>
        <v>1114097458</v>
      </c>
      <c r="E25396" t="s">
        <v>6889</v>
      </c>
    </row>
    <row r="25397" spans="1:5" x14ac:dyDescent="0.25">
      <c r="A25397" t="s">
        <v>9</v>
      </c>
      <c r="B25397" t="s">
        <v>6836</v>
      </c>
      <c r="C25397" s="1" t="s">
        <v>23490</v>
      </c>
      <c r="D25397" s="1" t="str">
        <f>HYPERLINK("https://rhld.insurance.arkansas.gov/NPILookup?Npi=1114125036","1114125036")</f>
        <v>1114125036</v>
      </c>
      <c r="E25397" t="s">
        <v>22588</v>
      </c>
    </row>
    <row r="25398" spans="1:5" x14ac:dyDescent="0.25">
      <c r="A25398" t="s">
        <v>9</v>
      </c>
      <c r="B25398" t="s">
        <v>6836</v>
      </c>
      <c r="C25398" s="1" t="s">
        <v>23490</v>
      </c>
      <c r="D25398" s="1" t="str">
        <f>HYPERLINK("https://rhld.insurance.arkansas.gov/NPILookup?Npi=1114134228","1114134228")</f>
        <v>1114134228</v>
      </c>
      <c r="E25398" t="s">
        <v>6890</v>
      </c>
    </row>
    <row r="25399" spans="1:5" x14ac:dyDescent="0.25">
      <c r="A25399" t="s">
        <v>9</v>
      </c>
      <c r="B25399" t="s">
        <v>6836</v>
      </c>
      <c r="C25399" s="1" t="s">
        <v>23490</v>
      </c>
      <c r="D25399" s="1" t="str">
        <f>HYPERLINK("https://rhld.insurance.arkansas.gov/NPILookup?Npi=1114194966","1114194966")</f>
        <v>1114194966</v>
      </c>
      <c r="E25399" t="s">
        <v>6891</v>
      </c>
    </row>
    <row r="25400" spans="1:5" x14ac:dyDescent="0.25">
      <c r="A25400" t="s">
        <v>9</v>
      </c>
      <c r="B25400" t="s">
        <v>6836</v>
      </c>
      <c r="C25400" s="1" t="s">
        <v>23490</v>
      </c>
      <c r="D25400" s="1" t="str">
        <f>HYPERLINK("https://rhld.insurance.arkansas.gov/NPILookup?Npi=1114360641","1114360641")</f>
        <v>1114360641</v>
      </c>
      <c r="E25400" t="s">
        <v>12064</v>
      </c>
    </row>
    <row r="25401" spans="1:5" x14ac:dyDescent="0.25">
      <c r="A25401" t="s">
        <v>9</v>
      </c>
      <c r="B25401" t="s">
        <v>6836</v>
      </c>
      <c r="C25401" s="1" t="s">
        <v>23490</v>
      </c>
      <c r="D25401" s="1" t="str">
        <f>HYPERLINK("https://rhld.insurance.arkansas.gov/NPILookup?Npi=1114908639","1114908639")</f>
        <v>1114908639</v>
      </c>
      <c r="E25401" t="s">
        <v>6892</v>
      </c>
    </row>
    <row r="25402" spans="1:5" x14ac:dyDescent="0.25">
      <c r="A25402" t="s">
        <v>9</v>
      </c>
      <c r="B25402" t="s">
        <v>6836</v>
      </c>
      <c r="C25402" s="1" t="s">
        <v>23490</v>
      </c>
      <c r="D25402" s="1" t="str">
        <f>HYPERLINK("https://rhld.insurance.arkansas.gov/NPILookup?Npi=1114935483","1114935483")</f>
        <v>1114935483</v>
      </c>
      <c r="E25402" t="s">
        <v>16469</v>
      </c>
    </row>
    <row r="25403" spans="1:5" x14ac:dyDescent="0.25">
      <c r="A25403" t="s">
        <v>9</v>
      </c>
      <c r="B25403" t="s">
        <v>6836</v>
      </c>
      <c r="C25403" s="1" t="s">
        <v>23490</v>
      </c>
      <c r="D25403" s="1" t="str">
        <f>HYPERLINK("https://rhld.insurance.arkansas.gov/NPILookup?Npi=1114947173","1114947173")</f>
        <v>1114947173</v>
      </c>
      <c r="E25403" t="s">
        <v>6893</v>
      </c>
    </row>
    <row r="25404" spans="1:5" x14ac:dyDescent="0.25">
      <c r="A25404" t="s">
        <v>9</v>
      </c>
      <c r="B25404" t="s">
        <v>6836</v>
      </c>
      <c r="C25404" s="1" t="s">
        <v>23490</v>
      </c>
      <c r="D25404" s="1" t="str">
        <f>HYPERLINK("https://rhld.insurance.arkansas.gov/NPILookup?Npi=1114984705","1114984705")</f>
        <v>1114984705</v>
      </c>
      <c r="E25404" t="s">
        <v>22589</v>
      </c>
    </row>
    <row r="25405" spans="1:5" x14ac:dyDescent="0.25">
      <c r="A25405" t="s">
        <v>9</v>
      </c>
      <c r="B25405" t="s">
        <v>6836</v>
      </c>
      <c r="C25405" s="1" t="s">
        <v>23490</v>
      </c>
      <c r="D25405" s="1" t="str">
        <f>HYPERLINK("https://rhld.insurance.arkansas.gov/NPILookup?Npi=1124013479","1124013479")</f>
        <v>1124013479</v>
      </c>
      <c r="E25405" t="s">
        <v>6894</v>
      </c>
    </row>
    <row r="25406" spans="1:5" x14ac:dyDescent="0.25">
      <c r="A25406" t="s">
        <v>9</v>
      </c>
      <c r="B25406" t="s">
        <v>6836</v>
      </c>
      <c r="C25406" s="1" t="s">
        <v>23490</v>
      </c>
      <c r="D25406" s="1" t="str">
        <f>HYPERLINK("https://rhld.insurance.arkansas.gov/NPILookup?Npi=1124036280","1124036280")</f>
        <v>1124036280</v>
      </c>
      <c r="E25406" t="s">
        <v>21279</v>
      </c>
    </row>
    <row r="25407" spans="1:5" x14ac:dyDescent="0.25">
      <c r="A25407" t="s">
        <v>9</v>
      </c>
      <c r="B25407" t="s">
        <v>6836</v>
      </c>
      <c r="C25407" s="1" t="s">
        <v>23490</v>
      </c>
      <c r="D25407" s="1" t="str">
        <f>HYPERLINK("https://rhld.insurance.arkansas.gov/NPILookup?Npi=1124096151","1124096151")</f>
        <v>1124096151</v>
      </c>
      <c r="E25407" t="s">
        <v>6895</v>
      </c>
    </row>
    <row r="25408" spans="1:5" x14ac:dyDescent="0.25">
      <c r="A25408" t="s">
        <v>9</v>
      </c>
      <c r="B25408" t="s">
        <v>6836</v>
      </c>
      <c r="C25408" s="1" t="s">
        <v>23490</v>
      </c>
      <c r="D25408" s="1" t="str">
        <f>HYPERLINK("https://rhld.insurance.arkansas.gov/NPILookup?Npi=1124118617","1124118617")</f>
        <v>1124118617</v>
      </c>
      <c r="E25408" t="s">
        <v>6896</v>
      </c>
    </row>
    <row r="25409" spans="1:5" x14ac:dyDescent="0.25">
      <c r="A25409" t="s">
        <v>9</v>
      </c>
      <c r="B25409" t="s">
        <v>6836</v>
      </c>
      <c r="C25409" s="1" t="s">
        <v>23490</v>
      </c>
      <c r="D25409" s="1" t="str">
        <f>HYPERLINK("https://rhld.insurance.arkansas.gov/NPILookup?Npi=1124178454","1124178454")</f>
        <v>1124178454</v>
      </c>
      <c r="E25409" t="s">
        <v>22590</v>
      </c>
    </row>
    <row r="25410" spans="1:5" x14ac:dyDescent="0.25">
      <c r="A25410" t="s">
        <v>9</v>
      </c>
      <c r="B25410" t="s">
        <v>6836</v>
      </c>
      <c r="C25410" s="1" t="s">
        <v>23490</v>
      </c>
      <c r="D25410" s="1" t="str">
        <f>HYPERLINK("https://rhld.insurance.arkansas.gov/NPILookup?Npi=1124330469","1124330469")</f>
        <v>1124330469</v>
      </c>
      <c r="E25410" t="s">
        <v>6897</v>
      </c>
    </row>
    <row r="25411" spans="1:5" x14ac:dyDescent="0.25">
      <c r="A25411" t="s">
        <v>9</v>
      </c>
      <c r="B25411" t="s">
        <v>6836</v>
      </c>
      <c r="C25411" s="1" t="s">
        <v>23490</v>
      </c>
      <c r="D25411" s="1" t="str">
        <f>HYPERLINK("https://rhld.insurance.arkansas.gov/NPILookup?Npi=1124387238","1124387238")</f>
        <v>1124387238</v>
      </c>
      <c r="E25411" t="s">
        <v>9241</v>
      </c>
    </row>
    <row r="25412" spans="1:5" x14ac:dyDescent="0.25">
      <c r="A25412" t="s">
        <v>9</v>
      </c>
      <c r="B25412" t="s">
        <v>6836</v>
      </c>
      <c r="C25412" s="1" t="s">
        <v>23490</v>
      </c>
      <c r="D25412" s="1" t="str">
        <f>HYPERLINK("https://rhld.insurance.arkansas.gov/NPILookup?Npi=1124411095","1124411095")</f>
        <v>1124411095</v>
      </c>
      <c r="E25412" t="s">
        <v>6843</v>
      </c>
    </row>
    <row r="25413" spans="1:5" x14ac:dyDescent="0.25">
      <c r="A25413" t="s">
        <v>9</v>
      </c>
      <c r="B25413" t="s">
        <v>6836</v>
      </c>
      <c r="C25413" s="1" t="s">
        <v>23490</v>
      </c>
      <c r="D25413" s="1" t="str">
        <f>HYPERLINK("https://rhld.insurance.arkansas.gov/NPILookup?Npi=1124421011","1124421011")</f>
        <v>1124421011</v>
      </c>
      <c r="E25413" t="s">
        <v>17295</v>
      </c>
    </row>
    <row r="25414" spans="1:5" x14ac:dyDescent="0.25">
      <c r="A25414" t="s">
        <v>9</v>
      </c>
      <c r="B25414" t="s">
        <v>6836</v>
      </c>
      <c r="C25414" s="1" t="s">
        <v>23490</v>
      </c>
      <c r="D25414" s="1" t="str">
        <f>HYPERLINK("https://rhld.insurance.arkansas.gov/NPILookup?Npi=1124552526","1124552526")</f>
        <v>1124552526</v>
      </c>
      <c r="E25414" t="s">
        <v>22591</v>
      </c>
    </row>
    <row r="25415" spans="1:5" x14ac:dyDescent="0.25">
      <c r="A25415" t="s">
        <v>9</v>
      </c>
      <c r="B25415" t="s">
        <v>6836</v>
      </c>
      <c r="C25415" s="1" t="s">
        <v>8427</v>
      </c>
      <c r="D25415" s="1" t="str">
        <f>HYPERLINK("https://rhld.insurance.arkansas.gov/NPILookup?Npi=1124587357","1124587357")</f>
        <v>1124587357</v>
      </c>
      <c r="E25415" t="s">
        <v>23294</v>
      </c>
    </row>
    <row r="25416" spans="1:5" x14ac:dyDescent="0.25">
      <c r="A25416" t="s">
        <v>9</v>
      </c>
      <c r="B25416" t="s">
        <v>6836</v>
      </c>
      <c r="C25416" s="1" t="s">
        <v>23490</v>
      </c>
      <c r="D25416" s="1" t="str">
        <f>HYPERLINK("https://rhld.insurance.arkansas.gov/NPILookup?Npi=1134126006","1134126006")</f>
        <v>1134126006</v>
      </c>
      <c r="E25416" t="s">
        <v>6898</v>
      </c>
    </row>
    <row r="25417" spans="1:5" x14ac:dyDescent="0.25">
      <c r="A25417" t="s">
        <v>9</v>
      </c>
      <c r="B25417" t="s">
        <v>6836</v>
      </c>
      <c r="C25417" s="1" t="s">
        <v>23490</v>
      </c>
      <c r="D25417" s="1" t="str">
        <f>HYPERLINK("https://rhld.insurance.arkansas.gov/NPILookup?Npi=1134190580","1134190580")</f>
        <v>1134190580</v>
      </c>
      <c r="E25417" t="s">
        <v>6899</v>
      </c>
    </row>
    <row r="25418" spans="1:5" x14ac:dyDescent="0.25">
      <c r="A25418" t="s">
        <v>9</v>
      </c>
      <c r="B25418" t="s">
        <v>6836</v>
      </c>
      <c r="C25418" s="1" t="s">
        <v>23490</v>
      </c>
      <c r="D25418" s="1" t="str">
        <f>HYPERLINK("https://rhld.insurance.arkansas.gov/NPILookup?Npi=1134219629","1134219629")</f>
        <v>1134219629</v>
      </c>
      <c r="E25418" t="s">
        <v>6900</v>
      </c>
    </row>
    <row r="25419" spans="1:5" x14ac:dyDescent="0.25">
      <c r="A25419" t="s">
        <v>9</v>
      </c>
      <c r="B25419" t="s">
        <v>6836</v>
      </c>
      <c r="C25419" s="1" t="s">
        <v>23490</v>
      </c>
      <c r="D25419" s="1" t="str">
        <f>HYPERLINK("https://rhld.insurance.arkansas.gov/NPILookup?Npi=1134269723","1134269723")</f>
        <v>1134269723</v>
      </c>
      <c r="E25419" t="s">
        <v>22592</v>
      </c>
    </row>
    <row r="25420" spans="1:5" x14ac:dyDescent="0.25">
      <c r="A25420" t="s">
        <v>9</v>
      </c>
      <c r="B25420" t="s">
        <v>6836</v>
      </c>
      <c r="C25420" s="1" t="s">
        <v>23490</v>
      </c>
      <c r="D25420" s="1" t="str">
        <f>HYPERLINK("https://rhld.insurance.arkansas.gov/NPILookup?Npi=1134361827","1134361827")</f>
        <v>1134361827</v>
      </c>
      <c r="E25420" t="s">
        <v>6901</v>
      </c>
    </row>
    <row r="25421" spans="1:5" x14ac:dyDescent="0.25">
      <c r="A25421" t="s">
        <v>9</v>
      </c>
      <c r="B25421" t="s">
        <v>6836</v>
      </c>
      <c r="C25421" s="1" t="s">
        <v>23490</v>
      </c>
      <c r="D25421" s="1" t="str">
        <f>HYPERLINK("https://rhld.insurance.arkansas.gov/NPILookup?Npi=1134550767","1134550767")</f>
        <v>1134550767</v>
      </c>
      <c r="E25421" t="s">
        <v>6902</v>
      </c>
    </row>
    <row r="25422" spans="1:5" x14ac:dyDescent="0.25">
      <c r="A25422" t="s">
        <v>9</v>
      </c>
      <c r="B25422" t="s">
        <v>6836</v>
      </c>
      <c r="C25422" s="1" t="s">
        <v>23490</v>
      </c>
      <c r="D25422" s="1" t="str">
        <f>HYPERLINK("https://rhld.insurance.arkansas.gov/NPILookup?Npi=1134564289","1134564289")</f>
        <v>1134564289</v>
      </c>
      <c r="E25422" t="s">
        <v>12065</v>
      </c>
    </row>
    <row r="25423" spans="1:5" x14ac:dyDescent="0.25">
      <c r="A25423" t="s">
        <v>9</v>
      </c>
      <c r="B25423" t="s">
        <v>6836</v>
      </c>
      <c r="C25423" s="1" t="s">
        <v>23490</v>
      </c>
      <c r="D25423" s="1" t="str">
        <f>HYPERLINK("https://rhld.insurance.arkansas.gov/NPILookup?Npi=1144222993","1144222993")</f>
        <v>1144222993</v>
      </c>
      <c r="E25423" t="s">
        <v>20732</v>
      </c>
    </row>
    <row r="25424" spans="1:5" x14ac:dyDescent="0.25">
      <c r="A25424" t="s">
        <v>9</v>
      </c>
      <c r="B25424" t="s">
        <v>6836</v>
      </c>
      <c r="C25424" s="1" t="s">
        <v>23490</v>
      </c>
      <c r="D25424" s="1" t="str">
        <f>HYPERLINK("https://rhld.insurance.arkansas.gov/NPILookup?Npi=1144232430","1144232430")</f>
        <v>1144232430</v>
      </c>
      <c r="E25424" t="s">
        <v>6903</v>
      </c>
    </row>
    <row r="25425" spans="1:5" x14ac:dyDescent="0.25">
      <c r="A25425" t="s">
        <v>9</v>
      </c>
      <c r="B25425" t="s">
        <v>6836</v>
      </c>
      <c r="C25425" s="1" t="s">
        <v>23490</v>
      </c>
      <c r="D25425" s="1" t="str">
        <f>HYPERLINK("https://rhld.insurance.arkansas.gov/NPILookup?Npi=1144275413","1144275413")</f>
        <v>1144275413</v>
      </c>
      <c r="E25425" t="s">
        <v>6904</v>
      </c>
    </row>
    <row r="25426" spans="1:5" x14ac:dyDescent="0.25">
      <c r="A25426" t="s">
        <v>9</v>
      </c>
      <c r="B25426" t="s">
        <v>6836</v>
      </c>
      <c r="C25426" s="1" t="s">
        <v>23490</v>
      </c>
      <c r="D25426" s="1" t="str">
        <f>HYPERLINK("https://rhld.insurance.arkansas.gov/NPILookup?Npi=1144278102","1144278102")</f>
        <v>1144278102</v>
      </c>
      <c r="E25426" t="s">
        <v>6905</v>
      </c>
    </row>
    <row r="25427" spans="1:5" x14ac:dyDescent="0.25">
      <c r="A25427" t="s">
        <v>9</v>
      </c>
      <c r="B25427" t="s">
        <v>6836</v>
      </c>
      <c r="C25427" s="1" t="s">
        <v>23490</v>
      </c>
      <c r="D25427" s="1" t="str">
        <f>HYPERLINK("https://rhld.insurance.arkansas.gov/NPILookup?Npi=1144288879","1144288879")</f>
        <v>1144288879</v>
      </c>
      <c r="E25427" t="s">
        <v>6906</v>
      </c>
    </row>
    <row r="25428" spans="1:5" x14ac:dyDescent="0.25">
      <c r="A25428" t="s">
        <v>9</v>
      </c>
      <c r="B25428" t="s">
        <v>6836</v>
      </c>
      <c r="C25428" s="1" t="s">
        <v>23490</v>
      </c>
      <c r="D25428" s="1" t="str">
        <f>HYPERLINK("https://rhld.insurance.arkansas.gov/NPILookup?Npi=1144414707","1144414707")</f>
        <v>1144414707</v>
      </c>
      <c r="E25428" t="s">
        <v>6864</v>
      </c>
    </row>
    <row r="25429" spans="1:5" x14ac:dyDescent="0.25">
      <c r="A25429" t="s">
        <v>9</v>
      </c>
      <c r="B25429" t="s">
        <v>6836</v>
      </c>
      <c r="C25429" s="1" t="s">
        <v>23490</v>
      </c>
      <c r="D25429" s="1" t="str">
        <f>HYPERLINK("https://rhld.insurance.arkansas.gov/NPILookup?Npi=1144609108","1144609108")</f>
        <v>1144609108</v>
      </c>
      <c r="E25429" t="s">
        <v>22593</v>
      </c>
    </row>
    <row r="25430" spans="1:5" x14ac:dyDescent="0.25">
      <c r="A25430" t="s">
        <v>9</v>
      </c>
      <c r="B25430" t="s">
        <v>6836</v>
      </c>
      <c r="C25430" s="1" t="s">
        <v>23490</v>
      </c>
      <c r="D25430" s="1" t="str">
        <f>HYPERLINK("https://rhld.insurance.arkansas.gov/NPILookup?Npi=1144615170","1144615170")</f>
        <v>1144615170</v>
      </c>
      <c r="E25430" t="s">
        <v>16470</v>
      </c>
    </row>
    <row r="25431" spans="1:5" x14ac:dyDescent="0.25">
      <c r="A25431" t="s">
        <v>9</v>
      </c>
      <c r="B25431" t="s">
        <v>6836</v>
      </c>
      <c r="C25431" s="1" t="s">
        <v>23490</v>
      </c>
      <c r="D25431" s="1" t="str">
        <f>HYPERLINK("https://rhld.insurance.arkansas.gov/NPILookup?Npi=1144660846","1144660846")</f>
        <v>1144660846</v>
      </c>
      <c r="E25431" t="s">
        <v>16471</v>
      </c>
    </row>
    <row r="25432" spans="1:5" x14ac:dyDescent="0.25">
      <c r="A25432" t="s">
        <v>9</v>
      </c>
      <c r="B25432" t="s">
        <v>6836</v>
      </c>
      <c r="C25432" s="1" t="s">
        <v>23490</v>
      </c>
      <c r="D25432" s="1" t="str">
        <f>HYPERLINK("https://rhld.insurance.arkansas.gov/NPILookup?Npi=1154300648","1154300648")</f>
        <v>1154300648</v>
      </c>
      <c r="E25432" t="s">
        <v>6907</v>
      </c>
    </row>
    <row r="25433" spans="1:5" x14ac:dyDescent="0.25">
      <c r="A25433" t="s">
        <v>9</v>
      </c>
      <c r="B25433" t="s">
        <v>6836</v>
      </c>
      <c r="C25433" s="1" t="s">
        <v>23490</v>
      </c>
      <c r="D25433" s="1" t="str">
        <f>HYPERLINK("https://rhld.insurance.arkansas.gov/NPILookup?Npi=1154352763","1154352763")</f>
        <v>1154352763</v>
      </c>
      <c r="E25433" t="s">
        <v>6908</v>
      </c>
    </row>
    <row r="25434" spans="1:5" x14ac:dyDescent="0.25">
      <c r="A25434" t="s">
        <v>9</v>
      </c>
      <c r="B25434" t="s">
        <v>6836</v>
      </c>
      <c r="C25434" s="1" t="s">
        <v>23490</v>
      </c>
      <c r="D25434" s="1" t="str">
        <f>HYPERLINK("https://rhld.insurance.arkansas.gov/NPILookup?Npi=1154356426","1154356426")</f>
        <v>1154356426</v>
      </c>
      <c r="E25434" t="s">
        <v>6909</v>
      </c>
    </row>
    <row r="25435" spans="1:5" x14ac:dyDescent="0.25">
      <c r="A25435" t="s">
        <v>9</v>
      </c>
      <c r="B25435" t="s">
        <v>6836</v>
      </c>
      <c r="C25435" s="1" t="s">
        <v>23490</v>
      </c>
      <c r="D25435" s="1" t="str">
        <f>HYPERLINK("https://rhld.insurance.arkansas.gov/NPILookup?Npi=1154359842","1154359842")</f>
        <v>1154359842</v>
      </c>
      <c r="E25435" t="s">
        <v>22594</v>
      </c>
    </row>
    <row r="25436" spans="1:5" x14ac:dyDescent="0.25">
      <c r="A25436" t="s">
        <v>9</v>
      </c>
      <c r="B25436" t="s">
        <v>6836</v>
      </c>
      <c r="C25436" s="1" t="s">
        <v>23490</v>
      </c>
      <c r="D25436" s="1" t="str">
        <f>HYPERLINK("https://rhld.insurance.arkansas.gov/NPILookup?Npi=1154403962","1154403962")</f>
        <v>1154403962</v>
      </c>
      <c r="E25436" t="s">
        <v>6910</v>
      </c>
    </row>
    <row r="25437" spans="1:5" x14ac:dyDescent="0.25">
      <c r="A25437" t="s">
        <v>9</v>
      </c>
      <c r="B25437" t="s">
        <v>6836</v>
      </c>
      <c r="C25437" s="1" t="s">
        <v>23490</v>
      </c>
      <c r="D25437" s="1" t="str">
        <f>HYPERLINK("https://rhld.insurance.arkansas.gov/NPILookup?Npi=1154524031","1154524031")</f>
        <v>1154524031</v>
      </c>
      <c r="E25437" t="s">
        <v>6911</v>
      </c>
    </row>
    <row r="25438" spans="1:5" x14ac:dyDescent="0.25">
      <c r="A25438" t="s">
        <v>9</v>
      </c>
      <c r="B25438" t="s">
        <v>6836</v>
      </c>
      <c r="C25438" s="1" t="s">
        <v>23490</v>
      </c>
      <c r="D25438" s="1" t="str">
        <f>HYPERLINK("https://rhld.insurance.arkansas.gov/NPILookup?Npi=1154937571","1154937571")</f>
        <v>1154937571</v>
      </c>
      <c r="E25438" t="s">
        <v>17727</v>
      </c>
    </row>
    <row r="25439" spans="1:5" x14ac:dyDescent="0.25">
      <c r="A25439" t="s">
        <v>9</v>
      </c>
      <c r="B25439" t="s">
        <v>6836</v>
      </c>
      <c r="C25439" s="1" t="s">
        <v>23490</v>
      </c>
      <c r="D25439" s="1" t="str">
        <f>HYPERLINK("https://rhld.insurance.arkansas.gov/NPILookup?Npi=1164110953","1164110953")</f>
        <v>1164110953</v>
      </c>
      <c r="E25439" t="s">
        <v>22595</v>
      </c>
    </row>
    <row r="25440" spans="1:5" x14ac:dyDescent="0.25">
      <c r="A25440" t="s">
        <v>9</v>
      </c>
      <c r="B25440" t="s">
        <v>6836</v>
      </c>
      <c r="C25440" s="1" t="s">
        <v>23490</v>
      </c>
      <c r="D25440" s="1" t="str">
        <f>HYPERLINK("https://rhld.insurance.arkansas.gov/NPILookup?Npi=1164417309","1164417309")</f>
        <v>1164417309</v>
      </c>
      <c r="E25440" t="s">
        <v>6912</v>
      </c>
    </row>
    <row r="25441" spans="1:5" x14ac:dyDescent="0.25">
      <c r="A25441" t="s">
        <v>9</v>
      </c>
      <c r="B25441" t="s">
        <v>6836</v>
      </c>
      <c r="C25441" s="1" t="s">
        <v>23490</v>
      </c>
      <c r="D25441" s="1" t="str">
        <f>HYPERLINK("https://rhld.insurance.arkansas.gov/NPILookup?Npi=1164427985","1164427985")</f>
        <v>1164427985</v>
      </c>
      <c r="E25441" t="s">
        <v>6913</v>
      </c>
    </row>
    <row r="25442" spans="1:5" x14ac:dyDescent="0.25">
      <c r="A25442" t="s">
        <v>9</v>
      </c>
      <c r="B25442" t="s">
        <v>6836</v>
      </c>
      <c r="C25442" s="1" t="s">
        <v>23490</v>
      </c>
      <c r="D25442" s="1" t="str">
        <f>HYPERLINK("https://rhld.insurance.arkansas.gov/NPILookup?Npi=1164431052","1164431052")</f>
        <v>1164431052</v>
      </c>
      <c r="E25442" t="s">
        <v>22444</v>
      </c>
    </row>
    <row r="25443" spans="1:5" x14ac:dyDescent="0.25">
      <c r="A25443" t="s">
        <v>9</v>
      </c>
      <c r="B25443" t="s">
        <v>6836</v>
      </c>
      <c r="C25443" s="1" t="s">
        <v>23490</v>
      </c>
      <c r="D25443" s="1" t="str">
        <f>HYPERLINK("https://rhld.insurance.arkansas.gov/NPILookup?Npi=1164485470","1164485470")</f>
        <v>1164485470</v>
      </c>
      <c r="E25443" t="s">
        <v>16472</v>
      </c>
    </row>
    <row r="25444" spans="1:5" x14ac:dyDescent="0.25">
      <c r="A25444" t="s">
        <v>9</v>
      </c>
      <c r="B25444" t="s">
        <v>6836</v>
      </c>
      <c r="C25444" s="1" t="s">
        <v>23490</v>
      </c>
      <c r="D25444" s="1" t="str">
        <f>HYPERLINK("https://rhld.insurance.arkansas.gov/NPILookup?Npi=1164491270","1164491270")</f>
        <v>1164491270</v>
      </c>
      <c r="E25444" t="s">
        <v>6914</v>
      </c>
    </row>
    <row r="25445" spans="1:5" x14ac:dyDescent="0.25">
      <c r="A25445" t="s">
        <v>9</v>
      </c>
      <c r="B25445" t="s">
        <v>6836</v>
      </c>
      <c r="C25445" s="1" t="s">
        <v>23490</v>
      </c>
      <c r="D25445" s="1" t="str">
        <f>HYPERLINK("https://rhld.insurance.arkansas.gov/NPILookup?Npi=1164630828","1164630828")</f>
        <v>1164630828</v>
      </c>
      <c r="E25445" t="s">
        <v>6915</v>
      </c>
    </row>
    <row r="25446" spans="1:5" x14ac:dyDescent="0.25">
      <c r="A25446" t="s">
        <v>9</v>
      </c>
      <c r="B25446" t="s">
        <v>6836</v>
      </c>
      <c r="C25446" s="1" t="s">
        <v>23490</v>
      </c>
      <c r="D25446" s="1" t="str">
        <f>HYPERLINK("https://rhld.insurance.arkansas.gov/NPILookup?Npi=1164695409","1164695409")</f>
        <v>1164695409</v>
      </c>
      <c r="E25446" t="s">
        <v>22596</v>
      </c>
    </row>
    <row r="25447" spans="1:5" x14ac:dyDescent="0.25">
      <c r="A25447" t="s">
        <v>9</v>
      </c>
      <c r="B25447" t="s">
        <v>6836</v>
      </c>
      <c r="C25447" s="1" t="s">
        <v>23490</v>
      </c>
      <c r="D25447" s="1" t="str">
        <f>HYPERLINK("https://rhld.insurance.arkansas.gov/NPILookup?Npi=1164950499","1164950499")</f>
        <v>1164950499</v>
      </c>
      <c r="E25447" t="s">
        <v>19133</v>
      </c>
    </row>
    <row r="25448" spans="1:5" x14ac:dyDescent="0.25">
      <c r="A25448" t="s">
        <v>9</v>
      </c>
      <c r="B25448" t="s">
        <v>6836</v>
      </c>
      <c r="C25448" s="1" t="s">
        <v>23490</v>
      </c>
      <c r="D25448" s="1" t="str">
        <f>HYPERLINK("https://rhld.insurance.arkansas.gov/NPILookup?Npi=1174088389","1174088389")</f>
        <v>1174088389</v>
      </c>
      <c r="E25448" t="s">
        <v>22597</v>
      </c>
    </row>
    <row r="25449" spans="1:5" x14ac:dyDescent="0.25">
      <c r="A25449" t="s">
        <v>9</v>
      </c>
      <c r="B25449" t="s">
        <v>6836</v>
      </c>
      <c r="C25449" s="1" t="s">
        <v>23490</v>
      </c>
      <c r="D25449" s="1" t="str">
        <f>HYPERLINK("https://rhld.insurance.arkansas.gov/NPILookup?Npi=1174542807","1174542807")</f>
        <v>1174542807</v>
      </c>
      <c r="E25449" t="s">
        <v>6916</v>
      </c>
    </row>
    <row r="25450" spans="1:5" x14ac:dyDescent="0.25">
      <c r="A25450" t="s">
        <v>9</v>
      </c>
      <c r="B25450" t="s">
        <v>6836</v>
      </c>
      <c r="C25450" s="1" t="s">
        <v>23490</v>
      </c>
      <c r="D25450" s="1" t="str">
        <f>HYPERLINK("https://rhld.insurance.arkansas.gov/NPILookup?Npi=1174551055","1174551055")</f>
        <v>1174551055</v>
      </c>
      <c r="E25450" t="s">
        <v>6917</v>
      </c>
    </row>
    <row r="25451" spans="1:5" x14ac:dyDescent="0.25">
      <c r="A25451" t="s">
        <v>9</v>
      </c>
      <c r="B25451" t="s">
        <v>6836</v>
      </c>
      <c r="C25451" s="1" t="s">
        <v>23490</v>
      </c>
      <c r="D25451" s="1" t="str">
        <f>HYPERLINK("https://rhld.insurance.arkansas.gov/NPILookup?Npi=1174558613","1174558613")</f>
        <v>1174558613</v>
      </c>
      <c r="E25451" t="s">
        <v>6918</v>
      </c>
    </row>
    <row r="25452" spans="1:5" x14ac:dyDescent="0.25">
      <c r="A25452" t="s">
        <v>9</v>
      </c>
      <c r="B25452" t="s">
        <v>6836</v>
      </c>
      <c r="C25452" s="1" t="s">
        <v>23490</v>
      </c>
      <c r="D25452" s="1" t="str">
        <f>HYPERLINK("https://rhld.insurance.arkansas.gov/NPILookup?Npi=1174564397","1174564397")</f>
        <v>1174564397</v>
      </c>
      <c r="E25452" t="s">
        <v>16473</v>
      </c>
    </row>
    <row r="25453" spans="1:5" x14ac:dyDescent="0.25">
      <c r="A25453" t="s">
        <v>9</v>
      </c>
      <c r="B25453" t="s">
        <v>6836</v>
      </c>
      <c r="C25453" s="1" t="s">
        <v>23490</v>
      </c>
      <c r="D25453" s="1" t="str">
        <f>HYPERLINK("https://rhld.insurance.arkansas.gov/NPILookup?Npi=1174579833","1174579833")</f>
        <v>1174579833</v>
      </c>
      <c r="E25453" t="s">
        <v>6919</v>
      </c>
    </row>
    <row r="25454" spans="1:5" x14ac:dyDescent="0.25">
      <c r="A25454" t="s">
        <v>9</v>
      </c>
      <c r="B25454" t="s">
        <v>6836</v>
      </c>
      <c r="C25454" s="1" t="s">
        <v>23490</v>
      </c>
      <c r="D25454" s="1" t="str">
        <f>HYPERLINK("https://rhld.insurance.arkansas.gov/NPILookup?Npi=1174599641","1174599641")</f>
        <v>1174599641</v>
      </c>
      <c r="E25454" t="s">
        <v>22598</v>
      </c>
    </row>
    <row r="25455" spans="1:5" x14ac:dyDescent="0.25">
      <c r="A25455" t="s">
        <v>9</v>
      </c>
      <c r="B25455" t="s">
        <v>6836</v>
      </c>
      <c r="C25455" s="1" t="s">
        <v>23490</v>
      </c>
      <c r="D25455" s="1" t="str">
        <f>HYPERLINK("https://rhld.insurance.arkansas.gov/NPILookup?Npi=1174633515","1174633515")</f>
        <v>1174633515</v>
      </c>
      <c r="E25455" t="s">
        <v>6920</v>
      </c>
    </row>
    <row r="25456" spans="1:5" x14ac:dyDescent="0.25">
      <c r="A25456" t="s">
        <v>9</v>
      </c>
      <c r="B25456" t="s">
        <v>6836</v>
      </c>
      <c r="C25456" s="1" t="s">
        <v>23490</v>
      </c>
      <c r="D25456" s="1" t="str">
        <f>HYPERLINK("https://rhld.insurance.arkansas.gov/NPILookup?Npi=1174810782","1174810782")</f>
        <v>1174810782</v>
      </c>
      <c r="E25456" t="s">
        <v>16474</v>
      </c>
    </row>
    <row r="25457" spans="1:5" x14ac:dyDescent="0.25">
      <c r="A25457" t="s">
        <v>9</v>
      </c>
      <c r="B25457" t="s">
        <v>6836</v>
      </c>
      <c r="C25457" s="1" t="s">
        <v>23490</v>
      </c>
      <c r="D25457" s="1" t="str">
        <f>HYPERLINK("https://rhld.insurance.arkansas.gov/NPILookup?Npi=1184006710","1184006710")</f>
        <v>1184006710</v>
      </c>
      <c r="E25457" t="s">
        <v>20733</v>
      </c>
    </row>
    <row r="25458" spans="1:5" x14ac:dyDescent="0.25">
      <c r="A25458" t="s">
        <v>9</v>
      </c>
      <c r="B25458" t="s">
        <v>6836</v>
      </c>
      <c r="C25458" s="1" t="s">
        <v>23490</v>
      </c>
      <c r="D25458" s="1" t="str">
        <f>HYPERLINK("https://rhld.insurance.arkansas.gov/NPILookup?Npi=1184063182","1184063182")</f>
        <v>1184063182</v>
      </c>
      <c r="E25458" t="s">
        <v>198</v>
      </c>
    </row>
    <row r="25459" spans="1:5" x14ac:dyDescent="0.25">
      <c r="A25459" t="s">
        <v>9</v>
      </c>
      <c r="B25459" t="s">
        <v>6836</v>
      </c>
      <c r="C25459" s="1" t="s">
        <v>23490</v>
      </c>
      <c r="D25459" s="1" t="str">
        <f>HYPERLINK("https://rhld.insurance.arkansas.gov/NPILookup?Npi=1184612996","1184612996")</f>
        <v>1184612996</v>
      </c>
      <c r="E25459" t="s">
        <v>16475</v>
      </c>
    </row>
    <row r="25460" spans="1:5" x14ac:dyDescent="0.25">
      <c r="A25460" t="s">
        <v>9</v>
      </c>
      <c r="B25460" t="s">
        <v>6836</v>
      </c>
      <c r="C25460" s="1" t="s">
        <v>23490</v>
      </c>
      <c r="D25460" s="1" t="str">
        <f>HYPERLINK("https://rhld.insurance.arkansas.gov/NPILookup?Npi=1184616369","1184616369")</f>
        <v>1184616369</v>
      </c>
      <c r="E25460" t="s">
        <v>22599</v>
      </c>
    </row>
    <row r="25461" spans="1:5" x14ac:dyDescent="0.25">
      <c r="A25461" t="s">
        <v>9</v>
      </c>
      <c r="B25461" t="s">
        <v>6836</v>
      </c>
      <c r="C25461" s="1" t="s">
        <v>23490</v>
      </c>
      <c r="D25461" s="1" t="str">
        <f>HYPERLINK("https://rhld.insurance.arkansas.gov/NPILookup?Npi=1184629388","1184629388")</f>
        <v>1184629388</v>
      </c>
      <c r="E25461" t="s">
        <v>6921</v>
      </c>
    </row>
    <row r="25462" spans="1:5" x14ac:dyDescent="0.25">
      <c r="A25462" t="s">
        <v>9</v>
      </c>
      <c r="B25462" t="s">
        <v>6836</v>
      </c>
      <c r="C25462" s="1" t="s">
        <v>23490</v>
      </c>
      <c r="D25462" s="1" t="str">
        <f>HYPERLINK("https://rhld.insurance.arkansas.gov/NPILookup?Npi=1184633612","1184633612")</f>
        <v>1184633612</v>
      </c>
      <c r="E25462" t="s">
        <v>9877</v>
      </c>
    </row>
    <row r="25463" spans="1:5" x14ac:dyDescent="0.25">
      <c r="A25463" t="s">
        <v>9</v>
      </c>
      <c r="B25463" t="s">
        <v>6836</v>
      </c>
      <c r="C25463" s="1" t="s">
        <v>23490</v>
      </c>
      <c r="D25463" s="1" t="str">
        <f>HYPERLINK("https://rhld.insurance.arkansas.gov/NPILookup?Npi=1184852378","1184852378")</f>
        <v>1184852378</v>
      </c>
      <c r="E25463" t="s">
        <v>12066</v>
      </c>
    </row>
    <row r="25464" spans="1:5" x14ac:dyDescent="0.25">
      <c r="A25464" t="s">
        <v>9</v>
      </c>
      <c r="B25464" t="s">
        <v>6836</v>
      </c>
      <c r="C25464" s="1" t="s">
        <v>23490</v>
      </c>
      <c r="D25464" s="1" t="str">
        <f>HYPERLINK("https://rhld.insurance.arkansas.gov/NPILookup?Npi=1184885253","1184885253")</f>
        <v>1184885253</v>
      </c>
      <c r="E25464" t="s">
        <v>10722</v>
      </c>
    </row>
    <row r="25465" spans="1:5" x14ac:dyDescent="0.25">
      <c r="A25465" t="s">
        <v>9</v>
      </c>
      <c r="B25465" t="s">
        <v>6836</v>
      </c>
      <c r="C25465" s="1" t="s">
        <v>23490</v>
      </c>
      <c r="D25465" s="1" t="str">
        <f>HYPERLINK("https://rhld.insurance.arkansas.gov/NPILookup?Npi=1184886483","1184886483")</f>
        <v>1184886483</v>
      </c>
      <c r="E25465" t="s">
        <v>6922</v>
      </c>
    </row>
    <row r="25466" spans="1:5" x14ac:dyDescent="0.25">
      <c r="A25466" t="s">
        <v>9</v>
      </c>
      <c r="B25466" t="s">
        <v>6836</v>
      </c>
      <c r="C25466" s="1" t="s">
        <v>23490</v>
      </c>
      <c r="D25466" s="1" t="str">
        <f>HYPERLINK("https://rhld.insurance.arkansas.gov/NPILookup?Npi=1194022533","1194022533")</f>
        <v>1194022533</v>
      </c>
      <c r="E25466" t="s">
        <v>685</v>
      </c>
    </row>
    <row r="25467" spans="1:5" x14ac:dyDescent="0.25">
      <c r="A25467" t="s">
        <v>9</v>
      </c>
      <c r="B25467" t="s">
        <v>6836</v>
      </c>
      <c r="C25467" s="1" t="s">
        <v>23490</v>
      </c>
      <c r="D25467" s="1" t="str">
        <f>HYPERLINK("https://rhld.insurance.arkansas.gov/NPILookup?Npi=1194074393","1194074393")</f>
        <v>1194074393</v>
      </c>
      <c r="E25467" t="s">
        <v>6924</v>
      </c>
    </row>
    <row r="25468" spans="1:5" x14ac:dyDescent="0.25">
      <c r="A25468" t="s">
        <v>9</v>
      </c>
      <c r="B25468" t="s">
        <v>6836</v>
      </c>
      <c r="C25468" s="1" t="s">
        <v>8427</v>
      </c>
      <c r="D25468" s="1" t="str">
        <f>HYPERLINK("https://rhld.insurance.arkansas.gov/NPILookup?Npi=1194083006","1194083006")</f>
        <v>1194083006</v>
      </c>
      <c r="E25468" t="s">
        <v>23295</v>
      </c>
    </row>
    <row r="25469" spans="1:5" x14ac:dyDescent="0.25">
      <c r="A25469" t="s">
        <v>9</v>
      </c>
      <c r="B25469" t="s">
        <v>6836</v>
      </c>
      <c r="C25469" s="1" t="s">
        <v>23490</v>
      </c>
      <c r="D25469" s="1" t="str">
        <f>HYPERLINK("https://rhld.insurance.arkansas.gov/NPILookup?Npi=1194089144","1194089144")</f>
        <v>1194089144</v>
      </c>
      <c r="E25469" t="s">
        <v>16013</v>
      </c>
    </row>
    <row r="25470" spans="1:5" x14ac:dyDescent="0.25">
      <c r="A25470" t="s">
        <v>9</v>
      </c>
      <c r="B25470" t="s">
        <v>6836</v>
      </c>
      <c r="C25470" s="1" t="s">
        <v>23490</v>
      </c>
      <c r="D25470" s="1" t="str">
        <f>HYPERLINK("https://rhld.insurance.arkansas.gov/NPILookup?Npi=1194238907","1194238907")</f>
        <v>1194238907</v>
      </c>
      <c r="E25470" t="s">
        <v>13262</v>
      </c>
    </row>
    <row r="25471" spans="1:5" x14ac:dyDescent="0.25">
      <c r="A25471" t="s">
        <v>9</v>
      </c>
      <c r="B25471" t="s">
        <v>6836</v>
      </c>
      <c r="C25471" s="1" t="s">
        <v>23490</v>
      </c>
      <c r="D25471" s="1" t="str">
        <f>HYPERLINK("https://rhld.insurance.arkansas.gov/NPILookup?Npi=1194908335","1194908335")</f>
        <v>1194908335</v>
      </c>
      <c r="E25471" t="s">
        <v>6925</v>
      </c>
    </row>
    <row r="25472" spans="1:5" x14ac:dyDescent="0.25">
      <c r="A25472" t="s">
        <v>9</v>
      </c>
      <c r="B25472" t="s">
        <v>6836</v>
      </c>
      <c r="C25472" s="1" t="s">
        <v>23490</v>
      </c>
      <c r="D25472" s="1" t="str">
        <f>HYPERLINK("https://rhld.insurance.arkansas.gov/NPILookup?Npi=1194938381","1194938381")</f>
        <v>1194938381</v>
      </c>
      <c r="E25472" t="s">
        <v>21280</v>
      </c>
    </row>
    <row r="25473" spans="1:5" x14ac:dyDescent="0.25">
      <c r="A25473" t="s">
        <v>9</v>
      </c>
      <c r="B25473" t="s">
        <v>6836</v>
      </c>
      <c r="C25473" s="1" t="s">
        <v>23490</v>
      </c>
      <c r="D25473" s="1" t="str">
        <f>HYPERLINK("https://rhld.insurance.arkansas.gov/NPILookup?Npi=1205025269","1205025269")</f>
        <v>1205025269</v>
      </c>
      <c r="E25473" t="s">
        <v>6926</v>
      </c>
    </row>
    <row r="25474" spans="1:5" x14ac:dyDescent="0.25">
      <c r="A25474" t="s">
        <v>9</v>
      </c>
      <c r="B25474" t="s">
        <v>6836</v>
      </c>
      <c r="C25474" s="1" t="s">
        <v>23490</v>
      </c>
      <c r="D25474" s="1" t="str">
        <f>HYPERLINK("https://rhld.insurance.arkansas.gov/NPILookup?Npi=1205032281","1205032281")</f>
        <v>1205032281</v>
      </c>
      <c r="E25474" t="s">
        <v>6927</v>
      </c>
    </row>
    <row r="25475" spans="1:5" x14ac:dyDescent="0.25">
      <c r="A25475" t="s">
        <v>9</v>
      </c>
      <c r="B25475" t="s">
        <v>6836</v>
      </c>
      <c r="C25475" s="1" t="s">
        <v>23490</v>
      </c>
      <c r="D25475" s="1" t="str">
        <f>HYPERLINK("https://rhld.insurance.arkansas.gov/NPILookup?Npi=1205053758","1205053758")</f>
        <v>1205053758</v>
      </c>
      <c r="E25475" t="s">
        <v>6928</v>
      </c>
    </row>
    <row r="25476" spans="1:5" x14ac:dyDescent="0.25">
      <c r="A25476" t="s">
        <v>9</v>
      </c>
      <c r="B25476" t="s">
        <v>6836</v>
      </c>
      <c r="C25476" s="1" t="s">
        <v>23490</v>
      </c>
      <c r="D25476" s="1" t="str">
        <f>HYPERLINK("https://rhld.insurance.arkansas.gov/NPILookup?Npi=1205110202","1205110202")</f>
        <v>1205110202</v>
      </c>
      <c r="E25476" t="s">
        <v>6929</v>
      </c>
    </row>
    <row r="25477" spans="1:5" x14ac:dyDescent="0.25">
      <c r="A25477" t="s">
        <v>9</v>
      </c>
      <c r="B25477" t="s">
        <v>6836</v>
      </c>
      <c r="C25477" s="1" t="s">
        <v>23490</v>
      </c>
      <c r="D25477" s="1" t="str">
        <f>HYPERLINK("https://rhld.insurance.arkansas.gov/NPILookup?Npi=1205129848","1205129848")</f>
        <v>1205129848</v>
      </c>
      <c r="E25477" t="s">
        <v>18541</v>
      </c>
    </row>
    <row r="25478" spans="1:5" x14ac:dyDescent="0.25">
      <c r="A25478" t="s">
        <v>9</v>
      </c>
      <c r="B25478" t="s">
        <v>6836</v>
      </c>
      <c r="C25478" s="1" t="s">
        <v>23490</v>
      </c>
      <c r="D25478" s="1" t="str">
        <f>HYPERLINK("https://rhld.insurance.arkansas.gov/NPILookup?Npi=1205806510","1205806510")</f>
        <v>1205806510</v>
      </c>
      <c r="E25478" t="s">
        <v>6930</v>
      </c>
    </row>
    <row r="25479" spans="1:5" x14ac:dyDescent="0.25">
      <c r="A25479" t="s">
        <v>9</v>
      </c>
      <c r="B25479" t="s">
        <v>6836</v>
      </c>
      <c r="C25479" s="1" t="s">
        <v>23490</v>
      </c>
      <c r="D25479" s="1" t="str">
        <f>HYPERLINK("https://rhld.insurance.arkansas.gov/NPILookup?Npi=1205806536","1205806536")</f>
        <v>1205806536</v>
      </c>
      <c r="E25479" t="s">
        <v>6931</v>
      </c>
    </row>
    <row r="25480" spans="1:5" x14ac:dyDescent="0.25">
      <c r="A25480" t="s">
        <v>9</v>
      </c>
      <c r="B25480" t="s">
        <v>6836</v>
      </c>
      <c r="C25480" s="1" t="s">
        <v>23490</v>
      </c>
      <c r="D25480" s="1" t="str">
        <f>HYPERLINK("https://rhld.insurance.arkansas.gov/NPILookup?Npi=1205878113","1205878113")</f>
        <v>1205878113</v>
      </c>
      <c r="E25480" t="s">
        <v>6932</v>
      </c>
    </row>
    <row r="25481" spans="1:5" x14ac:dyDescent="0.25">
      <c r="A25481" t="s">
        <v>9</v>
      </c>
      <c r="B25481" t="s">
        <v>6836</v>
      </c>
      <c r="C25481" s="1" t="s">
        <v>23490</v>
      </c>
      <c r="D25481" s="1" t="str">
        <f>HYPERLINK("https://rhld.insurance.arkansas.gov/NPILookup?Npi=1205892437","1205892437")</f>
        <v>1205892437</v>
      </c>
      <c r="E25481" t="s">
        <v>6933</v>
      </c>
    </row>
    <row r="25482" spans="1:5" x14ac:dyDescent="0.25">
      <c r="A25482" t="s">
        <v>9</v>
      </c>
      <c r="B25482" t="s">
        <v>6836</v>
      </c>
      <c r="C25482" s="1" t="s">
        <v>23490</v>
      </c>
      <c r="D25482" s="1" t="str">
        <f>HYPERLINK("https://rhld.insurance.arkansas.gov/NPILookup?Npi=1205909470","1205909470")</f>
        <v>1205909470</v>
      </c>
      <c r="E25482" t="s">
        <v>16476</v>
      </c>
    </row>
    <row r="25483" spans="1:5" x14ac:dyDescent="0.25">
      <c r="A25483" t="s">
        <v>9</v>
      </c>
      <c r="B25483" t="s">
        <v>6836</v>
      </c>
      <c r="C25483" s="1" t="s">
        <v>23490</v>
      </c>
      <c r="D25483" s="1" t="str">
        <f>HYPERLINK("https://rhld.insurance.arkansas.gov/NPILookup?Npi=1215195631","1215195631")</f>
        <v>1215195631</v>
      </c>
      <c r="E25483" t="s">
        <v>6934</v>
      </c>
    </row>
    <row r="25484" spans="1:5" x14ac:dyDescent="0.25">
      <c r="A25484" t="s">
        <v>9</v>
      </c>
      <c r="B25484" t="s">
        <v>6836</v>
      </c>
      <c r="C25484" s="1" t="s">
        <v>23490</v>
      </c>
      <c r="D25484" s="1" t="str">
        <f>HYPERLINK("https://rhld.insurance.arkansas.gov/NPILookup?Npi=1215296322","1215296322")</f>
        <v>1215296322</v>
      </c>
      <c r="E25484" t="s">
        <v>9243</v>
      </c>
    </row>
    <row r="25485" spans="1:5" x14ac:dyDescent="0.25">
      <c r="A25485" t="s">
        <v>9</v>
      </c>
      <c r="B25485" t="s">
        <v>6836</v>
      </c>
      <c r="C25485" s="1" t="s">
        <v>23490</v>
      </c>
      <c r="D25485" s="1" t="str">
        <f>HYPERLINK("https://rhld.insurance.arkansas.gov/NPILookup?Npi=1215903257","1215903257")</f>
        <v>1215903257</v>
      </c>
      <c r="E25485" t="s">
        <v>6935</v>
      </c>
    </row>
    <row r="25486" spans="1:5" x14ac:dyDescent="0.25">
      <c r="A25486" t="s">
        <v>9</v>
      </c>
      <c r="B25486" t="s">
        <v>6836</v>
      </c>
      <c r="C25486" s="1" t="s">
        <v>23490</v>
      </c>
      <c r="D25486" s="1" t="str">
        <f>HYPERLINK("https://rhld.insurance.arkansas.gov/NPILookup?Npi=1215924832","1215924832")</f>
        <v>1215924832</v>
      </c>
      <c r="E25486" t="s">
        <v>16477</v>
      </c>
    </row>
    <row r="25487" spans="1:5" x14ac:dyDescent="0.25">
      <c r="A25487" t="s">
        <v>9</v>
      </c>
      <c r="B25487" t="s">
        <v>6836</v>
      </c>
      <c r="C25487" s="1" t="s">
        <v>23490</v>
      </c>
      <c r="D25487" s="1" t="str">
        <f>HYPERLINK("https://rhld.insurance.arkansas.gov/NPILookup?Npi=1215960471","1215960471")</f>
        <v>1215960471</v>
      </c>
      <c r="E25487" t="s">
        <v>6936</v>
      </c>
    </row>
    <row r="25488" spans="1:5" x14ac:dyDescent="0.25">
      <c r="A25488" t="s">
        <v>9</v>
      </c>
      <c r="B25488" t="s">
        <v>6836</v>
      </c>
      <c r="C25488" s="1" t="s">
        <v>23490</v>
      </c>
      <c r="D25488" s="1" t="str">
        <f>HYPERLINK("https://rhld.insurance.arkansas.gov/NPILookup?Npi=1215990668","1215990668")</f>
        <v>1215990668</v>
      </c>
      <c r="E25488" t="s">
        <v>6937</v>
      </c>
    </row>
    <row r="25489" spans="1:5" x14ac:dyDescent="0.25">
      <c r="A25489" t="s">
        <v>9</v>
      </c>
      <c r="B25489" t="s">
        <v>6836</v>
      </c>
      <c r="C25489" s="1" t="s">
        <v>23490</v>
      </c>
      <c r="D25489" s="1" t="str">
        <f>HYPERLINK("https://rhld.insurance.arkansas.gov/NPILookup?Npi=1215994116","1215994116")</f>
        <v>1215994116</v>
      </c>
      <c r="E25489" t="s">
        <v>6938</v>
      </c>
    </row>
    <row r="25490" spans="1:5" x14ac:dyDescent="0.25">
      <c r="A25490" t="s">
        <v>9</v>
      </c>
      <c r="B25490" t="s">
        <v>6836</v>
      </c>
      <c r="C25490" s="1" t="s">
        <v>23490</v>
      </c>
      <c r="D25490" s="1" t="str">
        <f>HYPERLINK("https://rhld.insurance.arkansas.gov/NPILookup?Npi=1225005531","1225005531")</f>
        <v>1225005531</v>
      </c>
      <c r="E25490" t="s">
        <v>22600</v>
      </c>
    </row>
    <row r="25491" spans="1:5" x14ac:dyDescent="0.25">
      <c r="A25491" t="s">
        <v>9</v>
      </c>
      <c r="B25491" t="s">
        <v>6836</v>
      </c>
      <c r="C25491" s="1" t="s">
        <v>23490</v>
      </c>
      <c r="D25491" s="1" t="str">
        <f>HYPERLINK("https://rhld.insurance.arkansas.gov/NPILookup?Npi=1225016637","1225016637")</f>
        <v>1225016637</v>
      </c>
      <c r="E25491" t="s">
        <v>16478</v>
      </c>
    </row>
    <row r="25492" spans="1:5" x14ac:dyDescent="0.25">
      <c r="A25492" t="s">
        <v>9</v>
      </c>
      <c r="B25492" t="s">
        <v>6836</v>
      </c>
      <c r="C25492" s="1" t="s">
        <v>23490</v>
      </c>
      <c r="D25492" s="1" t="str">
        <f>HYPERLINK("https://rhld.insurance.arkansas.gov/NPILookup?Npi=1225040645","1225040645")</f>
        <v>1225040645</v>
      </c>
      <c r="E25492" t="s">
        <v>6939</v>
      </c>
    </row>
    <row r="25493" spans="1:5" x14ac:dyDescent="0.25">
      <c r="A25493" t="s">
        <v>9</v>
      </c>
      <c r="B25493" t="s">
        <v>6836</v>
      </c>
      <c r="C25493" s="1" t="s">
        <v>23490</v>
      </c>
      <c r="D25493" s="1" t="str">
        <f>HYPERLINK("https://rhld.insurance.arkansas.gov/NPILookup?Npi=1225079064","1225079064")</f>
        <v>1225079064</v>
      </c>
      <c r="E25493" t="s">
        <v>6940</v>
      </c>
    </row>
    <row r="25494" spans="1:5" x14ac:dyDescent="0.25">
      <c r="A25494" t="s">
        <v>9</v>
      </c>
      <c r="B25494" t="s">
        <v>6836</v>
      </c>
      <c r="C25494" s="1" t="s">
        <v>23490</v>
      </c>
      <c r="D25494" s="1" t="str">
        <f>HYPERLINK("https://rhld.insurance.arkansas.gov/NPILookup?Npi=1225128713","1225128713")</f>
        <v>1225128713</v>
      </c>
      <c r="E25494" t="s">
        <v>6941</v>
      </c>
    </row>
    <row r="25495" spans="1:5" x14ac:dyDescent="0.25">
      <c r="A25495" t="s">
        <v>9</v>
      </c>
      <c r="B25495" t="s">
        <v>6836</v>
      </c>
      <c r="C25495" s="1" t="s">
        <v>23490</v>
      </c>
      <c r="D25495" s="1" t="str">
        <f>HYPERLINK("https://rhld.insurance.arkansas.gov/NPILookup?Npi=1225167463","1225167463")</f>
        <v>1225167463</v>
      </c>
      <c r="E25495" t="s">
        <v>6942</v>
      </c>
    </row>
    <row r="25496" spans="1:5" x14ac:dyDescent="0.25">
      <c r="A25496" t="s">
        <v>9</v>
      </c>
      <c r="B25496" t="s">
        <v>6836</v>
      </c>
      <c r="C25496" s="1" t="s">
        <v>23490</v>
      </c>
      <c r="D25496" s="1" t="str">
        <f>HYPERLINK("https://rhld.insurance.arkansas.gov/NPILookup?Npi=1225197528","1225197528")</f>
        <v>1225197528</v>
      </c>
      <c r="E25496" t="s">
        <v>14447</v>
      </c>
    </row>
    <row r="25497" spans="1:5" x14ac:dyDescent="0.25">
      <c r="A25497" t="s">
        <v>9</v>
      </c>
      <c r="B25497" t="s">
        <v>6836</v>
      </c>
      <c r="C25497" s="1" t="s">
        <v>23490</v>
      </c>
      <c r="D25497" s="1" t="str">
        <f>HYPERLINK("https://rhld.insurance.arkansas.gov/NPILookup?Npi=1225239494","1225239494")</f>
        <v>1225239494</v>
      </c>
      <c r="E25497" t="s">
        <v>19263</v>
      </c>
    </row>
    <row r="25498" spans="1:5" x14ac:dyDescent="0.25">
      <c r="A25498" t="s">
        <v>9</v>
      </c>
      <c r="B25498" t="s">
        <v>6836</v>
      </c>
      <c r="C25498" s="1" t="s">
        <v>23490</v>
      </c>
      <c r="D25498" s="1" t="str">
        <f>HYPERLINK("https://rhld.insurance.arkansas.gov/NPILookup?Npi=1225458813","1225458813")</f>
        <v>1225458813</v>
      </c>
      <c r="E25498" t="s">
        <v>13263</v>
      </c>
    </row>
    <row r="25499" spans="1:5" x14ac:dyDescent="0.25">
      <c r="A25499" t="s">
        <v>9</v>
      </c>
      <c r="B25499" t="s">
        <v>6836</v>
      </c>
      <c r="C25499" s="1" t="s">
        <v>23490</v>
      </c>
      <c r="D25499" s="1" t="str">
        <f>HYPERLINK("https://rhld.insurance.arkansas.gov/NPILookup?Npi=1235185265","1235185265")</f>
        <v>1235185265</v>
      </c>
      <c r="E25499" t="s">
        <v>16479</v>
      </c>
    </row>
    <row r="25500" spans="1:5" x14ac:dyDescent="0.25">
      <c r="A25500" t="s">
        <v>9</v>
      </c>
      <c r="B25500" t="s">
        <v>6836</v>
      </c>
      <c r="C25500" s="1" t="s">
        <v>23490</v>
      </c>
      <c r="D25500" s="1" t="str">
        <f>HYPERLINK("https://rhld.insurance.arkansas.gov/NPILookup?Npi=1235286246","1235286246")</f>
        <v>1235286246</v>
      </c>
      <c r="E25500" t="s">
        <v>22601</v>
      </c>
    </row>
    <row r="25501" spans="1:5" x14ac:dyDescent="0.25">
      <c r="A25501" t="s">
        <v>9</v>
      </c>
      <c r="B25501" t="s">
        <v>6836</v>
      </c>
      <c r="C25501" s="1" t="s">
        <v>23490</v>
      </c>
      <c r="D25501" s="1" t="str">
        <f>HYPERLINK("https://rhld.insurance.arkansas.gov/NPILookup?Npi=1235488719","1235488719")</f>
        <v>1235488719</v>
      </c>
      <c r="E25501" t="s">
        <v>22602</v>
      </c>
    </row>
    <row r="25502" spans="1:5" x14ac:dyDescent="0.25">
      <c r="A25502" t="s">
        <v>9</v>
      </c>
      <c r="B25502" t="s">
        <v>6836</v>
      </c>
      <c r="C25502" s="1" t="s">
        <v>23490</v>
      </c>
      <c r="D25502" s="1" t="str">
        <f>HYPERLINK("https://rhld.insurance.arkansas.gov/NPILookup?Npi=1235497645","1235497645")</f>
        <v>1235497645</v>
      </c>
      <c r="E25502" t="s">
        <v>16480</v>
      </c>
    </row>
    <row r="25503" spans="1:5" x14ac:dyDescent="0.25">
      <c r="A25503" t="s">
        <v>9</v>
      </c>
      <c r="B25503" t="s">
        <v>6836</v>
      </c>
      <c r="C25503" s="1" t="s">
        <v>23490</v>
      </c>
      <c r="D25503" s="1" t="str">
        <f>HYPERLINK("https://rhld.insurance.arkansas.gov/NPILookup?Npi=1235505074","1235505074")</f>
        <v>1235505074</v>
      </c>
      <c r="E25503" t="s">
        <v>17296</v>
      </c>
    </row>
    <row r="25504" spans="1:5" x14ac:dyDescent="0.25">
      <c r="A25504" t="s">
        <v>9</v>
      </c>
      <c r="B25504" t="s">
        <v>6836</v>
      </c>
      <c r="C25504" s="1" t="s">
        <v>23490</v>
      </c>
      <c r="D25504" s="1" t="str">
        <f>HYPERLINK("https://rhld.insurance.arkansas.gov/NPILookup?Npi=1235553611","1235553611")</f>
        <v>1235553611</v>
      </c>
      <c r="E25504" t="s">
        <v>17297</v>
      </c>
    </row>
    <row r="25505" spans="1:5" x14ac:dyDescent="0.25">
      <c r="A25505" t="s">
        <v>9</v>
      </c>
      <c r="B25505" t="s">
        <v>6836</v>
      </c>
      <c r="C25505" s="1" t="s">
        <v>23490</v>
      </c>
      <c r="D25505" s="1" t="str">
        <f>HYPERLINK("https://rhld.insurance.arkansas.gov/NPILookup?Npi=1235665126","1235665126")</f>
        <v>1235665126</v>
      </c>
      <c r="E25505" t="s">
        <v>19134</v>
      </c>
    </row>
    <row r="25506" spans="1:5" x14ac:dyDescent="0.25">
      <c r="A25506" t="s">
        <v>9</v>
      </c>
      <c r="B25506" t="s">
        <v>6836</v>
      </c>
      <c r="C25506" s="1" t="s">
        <v>23490</v>
      </c>
      <c r="D25506" s="1" t="str">
        <f>HYPERLINK("https://rhld.insurance.arkansas.gov/NPILookup?Npi=1235855685","1235855685")</f>
        <v>1235855685</v>
      </c>
      <c r="E25506" t="s">
        <v>22603</v>
      </c>
    </row>
    <row r="25507" spans="1:5" x14ac:dyDescent="0.25">
      <c r="A25507" t="s">
        <v>9</v>
      </c>
      <c r="B25507" t="s">
        <v>6836</v>
      </c>
      <c r="C25507" s="1" t="s">
        <v>23490</v>
      </c>
      <c r="D25507" s="1" t="str">
        <f>HYPERLINK("https://rhld.insurance.arkansas.gov/NPILookup?Npi=1245231752","1245231752")</f>
        <v>1245231752</v>
      </c>
      <c r="E25507" t="s">
        <v>6943</v>
      </c>
    </row>
    <row r="25508" spans="1:5" x14ac:dyDescent="0.25">
      <c r="A25508" t="s">
        <v>9</v>
      </c>
      <c r="B25508" t="s">
        <v>6836</v>
      </c>
      <c r="C25508" s="1" t="s">
        <v>23490</v>
      </c>
      <c r="D25508" s="1" t="str">
        <f>HYPERLINK("https://rhld.insurance.arkansas.gov/NPILookup?Npi=1245231943","1245231943")</f>
        <v>1245231943</v>
      </c>
      <c r="E25508" t="s">
        <v>6944</v>
      </c>
    </row>
    <row r="25509" spans="1:5" x14ac:dyDescent="0.25">
      <c r="A25509" t="s">
        <v>9</v>
      </c>
      <c r="B25509" t="s">
        <v>6836</v>
      </c>
      <c r="C25509" s="1" t="s">
        <v>23490</v>
      </c>
      <c r="D25509" s="1" t="str">
        <f>HYPERLINK("https://rhld.insurance.arkansas.gov/NPILookup?Npi=1245242221","1245242221")</f>
        <v>1245242221</v>
      </c>
      <c r="E25509" t="s">
        <v>6945</v>
      </c>
    </row>
    <row r="25510" spans="1:5" x14ac:dyDescent="0.25">
      <c r="A25510" t="s">
        <v>9</v>
      </c>
      <c r="B25510" t="s">
        <v>6836</v>
      </c>
      <c r="C25510" s="1" t="s">
        <v>23490</v>
      </c>
      <c r="D25510" s="1" t="str">
        <f>HYPERLINK("https://rhld.insurance.arkansas.gov/NPILookup?Npi=1245290535","1245290535")</f>
        <v>1245290535</v>
      </c>
      <c r="E25510" t="s">
        <v>6946</v>
      </c>
    </row>
    <row r="25511" spans="1:5" x14ac:dyDescent="0.25">
      <c r="A25511" t="s">
        <v>9</v>
      </c>
      <c r="B25511" t="s">
        <v>6836</v>
      </c>
      <c r="C25511" s="1" t="s">
        <v>23490</v>
      </c>
      <c r="D25511" s="1" t="str">
        <f>HYPERLINK("https://rhld.insurance.arkansas.gov/NPILookup?Npi=1245296961","1245296961")</f>
        <v>1245296961</v>
      </c>
      <c r="E25511" t="s">
        <v>6947</v>
      </c>
    </row>
    <row r="25512" spans="1:5" x14ac:dyDescent="0.25">
      <c r="A25512" t="s">
        <v>9</v>
      </c>
      <c r="B25512" t="s">
        <v>6836</v>
      </c>
      <c r="C25512" s="1" t="s">
        <v>23490</v>
      </c>
      <c r="D25512" s="1" t="str">
        <f>HYPERLINK("https://rhld.insurance.arkansas.gov/NPILookup?Npi=1245316637","1245316637")</f>
        <v>1245316637</v>
      </c>
      <c r="E25512" t="s">
        <v>6948</v>
      </c>
    </row>
    <row r="25513" spans="1:5" x14ac:dyDescent="0.25">
      <c r="A25513" t="s">
        <v>9</v>
      </c>
      <c r="B25513" t="s">
        <v>6836</v>
      </c>
      <c r="C25513" s="1" t="s">
        <v>23490</v>
      </c>
      <c r="D25513" s="1" t="str">
        <f>HYPERLINK("https://rhld.insurance.arkansas.gov/NPILookup?Npi=1245340561","1245340561")</f>
        <v>1245340561</v>
      </c>
      <c r="E25513" t="s">
        <v>22604</v>
      </c>
    </row>
    <row r="25514" spans="1:5" x14ac:dyDescent="0.25">
      <c r="A25514" t="s">
        <v>9</v>
      </c>
      <c r="B25514" t="s">
        <v>6836</v>
      </c>
      <c r="C25514" s="1" t="s">
        <v>23490</v>
      </c>
      <c r="D25514" s="1" t="str">
        <f>HYPERLINK("https://rhld.insurance.arkansas.gov/NPILookup?Npi=1245453562","1245453562")</f>
        <v>1245453562</v>
      </c>
      <c r="E25514" t="s">
        <v>8990</v>
      </c>
    </row>
    <row r="25515" spans="1:5" x14ac:dyDescent="0.25">
      <c r="A25515" t="s">
        <v>9</v>
      </c>
      <c r="B25515" t="s">
        <v>6836</v>
      </c>
      <c r="C25515" s="1" t="s">
        <v>23490</v>
      </c>
      <c r="D25515" s="1" t="str">
        <f>HYPERLINK("https://rhld.insurance.arkansas.gov/NPILookup?Npi=1245539816","1245539816")</f>
        <v>1245539816</v>
      </c>
      <c r="E25515" t="s">
        <v>16481</v>
      </c>
    </row>
    <row r="25516" spans="1:5" x14ac:dyDescent="0.25">
      <c r="A25516" t="s">
        <v>9</v>
      </c>
      <c r="B25516" t="s">
        <v>6836</v>
      </c>
      <c r="C25516" s="1" t="s">
        <v>23490</v>
      </c>
      <c r="D25516" s="1" t="str">
        <f>HYPERLINK("https://rhld.insurance.arkansas.gov/NPILookup?Npi=1245612431","1245612431")</f>
        <v>1245612431</v>
      </c>
      <c r="E25516" t="s">
        <v>9244</v>
      </c>
    </row>
    <row r="25517" spans="1:5" x14ac:dyDescent="0.25">
      <c r="A25517" t="s">
        <v>9</v>
      </c>
      <c r="B25517" t="s">
        <v>6836</v>
      </c>
      <c r="C25517" s="1" t="s">
        <v>23490</v>
      </c>
      <c r="D25517" s="1" t="str">
        <f>HYPERLINK("https://rhld.insurance.arkansas.gov/NPILookup?Npi=1245659002","1245659002")</f>
        <v>1245659002</v>
      </c>
      <c r="E25517" t="s">
        <v>14448</v>
      </c>
    </row>
    <row r="25518" spans="1:5" x14ac:dyDescent="0.25">
      <c r="A25518" t="s">
        <v>9</v>
      </c>
      <c r="B25518" t="s">
        <v>6836</v>
      </c>
      <c r="C25518" s="1" t="s">
        <v>23490</v>
      </c>
      <c r="D25518" s="1" t="str">
        <f>HYPERLINK("https://rhld.insurance.arkansas.gov/NPILookup?Npi=1245690197","1245690197")</f>
        <v>1245690197</v>
      </c>
      <c r="E25518" t="s">
        <v>12067</v>
      </c>
    </row>
    <row r="25519" spans="1:5" x14ac:dyDescent="0.25">
      <c r="A25519" t="s">
        <v>9</v>
      </c>
      <c r="B25519" t="s">
        <v>6836</v>
      </c>
      <c r="C25519" s="1" t="s">
        <v>23490</v>
      </c>
      <c r="D25519" s="1" t="str">
        <f>HYPERLINK("https://rhld.insurance.arkansas.gov/NPILookup?Npi=1255304143","1255304143")</f>
        <v>1255304143</v>
      </c>
      <c r="E25519" t="s">
        <v>6950</v>
      </c>
    </row>
    <row r="25520" spans="1:5" x14ac:dyDescent="0.25">
      <c r="A25520" t="s">
        <v>9</v>
      </c>
      <c r="B25520" t="s">
        <v>6836</v>
      </c>
      <c r="C25520" s="1" t="s">
        <v>23490</v>
      </c>
      <c r="D25520" s="1" t="str">
        <f>HYPERLINK("https://rhld.insurance.arkansas.gov/NPILookup?Npi=1255326765","1255326765")</f>
        <v>1255326765</v>
      </c>
      <c r="E25520" t="s">
        <v>16482</v>
      </c>
    </row>
    <row r="25521" spans="1:5" x14ac:dyDescent="0.25">
      <c r="A25521" t="s">
        <v>9</v>
      </c>
      <c r="B25521" t="s">
        <v>6836</v>
      </c>
      <c r="C25521" s="1" t="s">
        <v>23490</v>
      </c>
      <c r="D25521" s="1" t="str">
        <f>HYPERLINK("https://rhld.insurance.arkansas.gov/NPILookup?Npi=1255329595","1255329595")</f>
        <v>1255329595</v>
      </c>
      <c r="E25521" t="s">
        <v>6951</v>
      </c>
    </row>
    <row r="25522" spans="1:5" x14ac:dyDescent="0.25">
      <c r="A25522" t="s">
        <v>9</v>
      </c>
      <c r="B25522" t="s">
        <v>6836</v>
      </c>
      <c r="C25522" s="1" t="s">
        <v>23490</v>
      </c>
      <c r="D25522" s="1" t="str">
        <f>HYPERLINK("https://rhld.insurance.arkansas.gov/NPILookup?Npi=1255332276","1255332276")</f>
        <v>1255332276</v>
      </c>
      <c r="E25522" t="s">
        <v>6952</v>
      </c>
    </row>
    <row r="25523" spans="1:5" x14ac:dyDescent="0.25">
      <c r="A25523" t="s">
        <v>9</v>
      </c>
      <c r="B25523" t="s">
        <v>6836</v>
      </c>
      <c r="C25523" s="1" t="s">
        <v>23490</v>
      </c>
      <c r="D25523" s="1" t="str">
        <f>HYPERLINK("https://rhld.insurance.arkansas.gov/NPILookup?Npi=1255351995","1255351995")</f>
        <v>1255351995</v>
      </c>
      <c r="E25523" t="s">
        <v>16483</v>
      </c>
    </row>
    <row r="25524" spans="1:5" x14ac:dyDescent="0.25">
      <c r="A25524" t="s">
        <v>9</v>
      </c>
      <c r="B25524" t="s">
        <v>6836</v>
      </c>
      <c r="C25524" s="1" t="s">
        <v>23490</v>
      </c>
      <c r="D25524" s="1" t="str">
        <f>HYPERLINK("https://rhld.insurance.arkansas.gov/NPILookup?Npi=1255360798","1255360798")</f>
        <v>1255360798</v>
      </c>
      <c r="E25524" t="s">
        <v>6953</v>
      </c>
    </row>
    <row r="25525" spans="1:5" x14ac:dyDescent="0.25">
      <c r="A25525" t="s">
        <v>9</v>
      </c>
      <c r="B25525" t="s">
        <v>6836</v>
      </c>
      <c r="C25525" s="1" t="s">
        <v>23490</v>
      </c>
      <c r="D25525" s="1" t="str">
        <f>HYPERLINK("https://rhld.insurance.arkansas.gov/NPILookup?Npi=1255383709","1255383709")</f>
        <v>1255383709</v>
      </c>
      <c r="E25525" t="s">
        <v>6954</v>
      </c>
    </row>
    <row r="25526" spans="1:5" x14ac:dyDescent="0.25">
      <c r="A25526" t="s">
        <v>9</v>
      </c>
      <c r="B25526" t="s">
        <v>6836</v>
      </c>
      <c r="C25526" s="1" t="s">
        <v>23490</v>
      </c>
      <c r="D25526" s="1" t="str">
        <f>HYPERLINK("https://rhld.insurance.arkansas.gov/NPILookup?Npi=1255389219","1255389219")</f>
        <v>1255389219</v>
      </c>
      <c r="E25526" t="s">
        <v>6955</v>
      </c>
    </row>
    <row r="25527" spans="1:5" x14ac:dyDescent="0.25">
      <c r="A25527" t="s">
        <v>9</v>
      </c>
      <c r="B25527" t="s">
        <v>6836</v>
      </c>
      <c r="C25527" s="1" t="s">
        <v>23490</v>
      </c>
      <c r="D25527" s="1" t="str">
        <f>HYPERLINK("https://rhld.insurance.arkansas.gov/NPILookup?Npi=1255453130","1255453130")</f>
        <v>1255453130</v>
      </c>
      <c r="E25527" t="s">
        <v>6956</v>
      </c>
    </row>
    <row r="25528" spans="1:5" x14ac:dyDescent="0.25">
      <c r="A25528" t="s">
        <v>9</v>
      </c>
      <c r="B25528" t="s">
        <v>6836</v>
      </c>
      <c r="C25528" s="1" t="s">
        <v>23490</v>
      </c>
      <c r="D25528" s="1" t="str">
        <f>HYPERLINK("https://rhld.insurance.arkansas.gov/NPILookup?Npi=1255566824","1255566824")</f>
        <v>1255566824</v>
      </c>
      <c r="E25528" t="s">
        <v>6957</v>
      </c>
    </row>
    <row r="25529" spans="1:5" x14ac:dyDescent="0.25">
      <c r="A25529" t="s">
        <v>9</v>
      </c>
      <c r="B25529" t="s">
        <v>6836</v>
      </c>
      <c r="C25529" s="1" t="s">
        <v>23490</v>
      </c>
      <c r="D25529" s="1" t="str">
        <f>HYPERLINK("https://rhld.insurance.arkansas.gov/NPILookup?Npi=1255588950","1255588950")</f>
        <v>1255588950</v>
      </c>
      <c r="E25529" t="s">
        <v>16484</v>
      </c>
    </row>
    <row r="25530" spans="1:5" x14ac:dyDescent="0.25">
      <c r="A25530" t="s">
        <v>9</v>
      </c>
      <c r="B25530" t="s">
        <v>6836</v>
      </c>
      <c r="C25530" s="1" t="s">
        <v>23490</v>
      </c>
      <c r="D25530" s="1" t="str">
        <f>HYPERLINK("https://rhld.insurance.arkansas.gov/NPILookup?Npi=1255767653","1255767653")</f>
        <v>1255767653</v>
      </c>
      <c r="E25530" t="s">
        <v>14449</v>
      </c>
    </row>
    <row r="25531" spans="1:5" x14ac:dyDescent="0.25">
      <c r="A25531" t="s">
        <v>9</v>
      </c>
      <c r="B25531" t="s">
        <v>6836</v>
      </c>
      <c r="C25531" s="1" t="s">
        <v>8427</v>
      </c>
      <c r="D25531" s="1" t="str">
        <f>HYPERLINK("https://rhld.insurance.arkansas.gov/NPILookup?Npi=1255892279","1255892279")</f>
        <v>1255892279</v>
      </c>
      <c r="E25531" t="s">
        <v>23296</v>
      </c>
    </row>
    <row r="25532" spans="1:5" x14ac:dyDescent="0.25">
      <c r="A25532" t="s">
        <v>9</v>
      </c>
      <c r="B25532" t="s">
        <v>6836</v>
      </c>
      <c r="C25532" s="1" t="s">
        <v>23490</v>
      </c>
      <c r="D25532" s="1" t="str">
        <f>HYPERLINK("https://rhld.insurance.arkansas.gov/NPILookup?Npi=1265408751","1265408751")</f>
        <v>1265408751</v>
      </c>
      <c r="E25532" t="s">
        <v>16485</v>
      </c>
    </row>
    <row r="25533" spans="1:5" x14ac:dyDescent="0.25">
      <c r="A25533" t="s">
        <v>9</v>
      </c>
      <c r="B25533" t="s">
        <v>6836</v>
      </c>
      <c r="C25533" s="1" t="s">
        <v>23490</v>
      </c>
      <c r="D25533" s="1" t="str">
        <f>HYPERLINK("https://rhld.insurance.arkansas.gov/NPILookup?Npi=1265419030","1265419030")</f>
        <v>1265419030</v>
      </c>
      <c r="E25533" t="s">
        <v>6958</v>
      </c>
    </row>
    <row r="25534" spans="1:5" x14ac:dyDescent="0.25">
      <c r="A25534" t="s">
        <v>9</v>
      </c>
      <c r="B25534" t="s">
        <v>6836</v>
      </c>
      <c r="C25534" s="1" t="s">
        <v>23490</v>
      </c>
      <c r="D25534" s="1" t="str">
        <f>HYPERLINK("https://rhld.insurance.arkansas.gov/NPILookup?Npi=1265430581","1265430581")</f>
        <v>1265430581</v>
      </c>
      <c r="E25534" t="s">
        <v>6959</v>
      </c>
    </row>
    <row r="25535" spans="1:5" x14ac:dyDescent="0.25">
      <c r="A25535" t="s">
        <v>9</v>
      </c>
      <c r="B25535" t="s">
        <v>6836</v>
      </c>
      <c r="C25535" s="1" t="s">
        <v>23490</v>
      </c>
      <c r="D25535" s="1" t="str">
        <f>HYPERLINK("https://rhld.insurance.arkansas.gov/NPILookup?Npi=1265636443","1265636443")</f>
        <v>1265636443</v>
      </c>
      <c r="E25535" t="s">
        <v>6960</v>
      </c>
    </row>
    <row r="25536" spans="1:5" x14ac:dyDescent="0.25">
      <c r="A25536" t="s">
        <v>9</v>
      </c>
      <c r="B25536" t="s">
        <v>6836</v>
      </c>
      <c r="C25536" s="1" t="s">
        <v>23490</v>
      </c>
      <c r="D25536" s="1" t="str">
        <f>HYPERLINK("https://rhld.insurance.arkansas.gov/NPILookup?Npi=1265746820","1265746820")</f>
        <v>1265746820</v>
      </c>
      <c r="E25536" t="s">
        <v>19563</v>
      </c>
    </row>
    <row r="25537" spans="1:5" x14ac:dyDescent="0.25">
      <c r="A25537" t="s">
        <v>9</v>
      </c>
      <c r="B25537" t="s">
        <v>6836</v>
      </c>
      <c r="C25537" s="1" t="s">
        <v>8427</v>
      </c>
      <c r="D25537" s="1" t="str">
        <f>HYPERLINK("https://rhld.insurance.arkansas.gov/NPILookup?Npi=1265752935","1265752935")</f>
        <v>1265752935</v>
      </c>
      <c r="E25537" t="s">
        <v>23297</v>
      </c>
    </row>
    <row r="25538" spans="1:5" x14ac:dyDescent="0.25">
      <c r="A25538" t="s">
        <v>9</v>
      </c>
      <c r="B25538" t="s">
        <v>6836</v>
      </c>
      <c r="C25538" s="1" t="s">
        <v>23490</v>
      </c>
      <c r="D25538" s="1" t="str">
        <f>HYPERLINK("https://rhld.insurance.arkansas.gov/NPILookup?Npi=1265753008","1265753008")</f>
        <v>1265753008</v>
      </c>
      <c r="E25538" t="s">
        <v>6961</v>
      </c>
    </row>
    <row r="25539" spans="1:5" x14ac:dyDescent="0.25">
      <c r="A25539" t="s">
        <v>9</v>
      </c>
      <c r="B25539" t="s">
        <v>6836</v>
      </c>
      <c r="C25539" s="1" t="s">
        <v>23490</v>
      </c>
      <c r="D25539" s="1" t="str">
        <f>HYPERLINK("https://rhld.insurance.arkansas.gov/NPILookup?Npi=1265865885","1265865885")</f>
        <v>1265865885</v>
      </c>
      <c r="E25539" t="s">
        <v>16486</v>
      </c>
    </row>
    <row r="25540" spans="1:5" x14ac:dyDescent="0.25">
      <c r="A25540" t="s">
        <v>9</v>
      </c>
      <c r="B25540" t="s">
        <v>6836</v>
      </c>
      <c r="C25540" s="1" t="s">
        <v>23490</v>
      </c>
      <c r="D25540" s="1" t="str">
        <f>HYPERLINK("https://rhld.insurance.arkansas.gov/NPILookup?Npi=1265895189","1265895189")</f>
        <v>1265895189</v>
      </c>
      <c r="E25540" t="s">
        <v>17728</v>
      </c>
    </row>
    <row r="25541" spans="1:5" x14ac:dyDescent="0.25">
      <c r="A25541" t="s">
        <v>9</v>
      </c>
      <c r="B25541" t="s">
        <v>6836</v>
      </c>
      <c r="C25541" s="1" t="s">
        <v>23490</v>
      </c>
      <c r="D25541" s="1" t="str">
        <f>HYPERLINK("https://rhld.insurance.arkansas.gov/NPILookup?Npi=1275682965","1275682965")</f>
        <v>1275682965</v>
      </c>
      <c r="E25541" t="s">
        <v>6962</v>
      </c>
    </row>
    <row r="25542" spans="1:5" x14ac:dyDescent="0.25">
      <c r="A25542" t="s">
        <v>9</v>
      </c>
      <c r="B25542" t="s">
        <v>6836</v>
      </c>
      <c r="C25542" s="1" t="s">
        <v>23490</v>
      </c>
      <c r="D25542" s="1" t="str">
        <f>HYPERLINK("https://rhld.insurance.arkansas.gov/NPILookup?Npi=1275774887","1275774887")</f>
        <v>1275774887</v>
      </c>
      <c r="E25542" t="s">
        <v>16487</v>
      </c>
    </row>
    <row r="25543" spans="1:5" x14ac:dyDescent="0.25">
      <c r="A25543" t="s">
        <v>9</v>
      </c>
      <c r="B25543" t="s">
        <v>6836</v>
      </c>
      <c r="C25543" s="1" t="s">
        <v>23490</v>
      </c>
      <c r="D25543" s="1" t="str">
        <f>HYPERLINK("https://rhld.insurance.arkansas.gov/NPILookup?Npi=1285053686","1285053686")</f>
        <v>1285053686</v>
      </c>
      <c r="E25543" t="s">
        <v>14450</v>
      </c>
    </row>
    <row r="25544" spans="1:5" x14ac:dyDescent="0.25">
      <c r="A25544" t="s">
        <v>9</v>
      </c>
      <c r="B25544" t="s">
        <v>6836</v>
      </c>
      <c r="C25544" s="1" t="s">
        <v>23490</v>
      </c>
      <c r="D25544" s="1" t="str">
        <f>HYPERLINK("https://rhld.insurance.arkansas.gov/NPILookup?Npi=1285606020","1285606020")</f>
        <v>1285606020</v>
      </c>
      <c r="E25544" t="s">
        <v>6963</v>
      </c>
    </row>
    <row r="25545" spans="1:5" x14ac:dyDescent="0.25">
      <c r="A25545" t="s">
        <v>9</v>
      </c>
      <c r="B25545" t="s">
        <v>6836</v>
      </c>
      <c r="C25545" s="1" t="s">
        <v>23490</v>
      </c>
      <c r="D25545" s="1" t="str">
        <f>HYPERLINK("https://rhld.insurance.arkansas.gov/NPILookup?Npi=1285632463","1285632463")</f>
        <v>1285632463</v>
      </c>
      <c r="E25545" t="s">
        <v>6964</v>
      </c>
    </row>
    <row r="25546" spans="1:5" x14ac:dyDescent="0.25">
      <c r="A25546" t="s">
        <v>9</v>
      </c>
      <c r="B25546" t="s">
        <v>6836</v>
      </c>
      <c r="C25546" s="1" t="s">
        <v>23490</v>
      </c>
      <c r="D25546" s="1" t="str">
        <f>HYPERLINK("https://rhld.insurance.arkansas.gov/NPILookup?Npi=1285638734","1285638734")</f>
        <v>1285638734</v>
      </c>
      <c r="E25546" t="s">
        <v>18542</v>
      </c>
    </row>
    <row r="25547" spans="1:5" x14ac:dyDescent="0.25">
      <c r="A25547" t="s">
        <v>9</v>
      </c>
      <c r="B25547" t="s">
        <v>6836</v>
      </c>
      <c r="C25547" s="1" t="s">
        <v>23490</v>
      </c>
      <c r="D25547" s="1" t="str">
        <f>HYPERLINK("https://rhld.insurance.arkansas.gov/NPILookup?Npi=1285668467","1285668467")</f>
        <v>1285668467</v>
      </c>
      <c r="E25547" t="s">
        <v>6965</v>
      </c>
    </row>
    <row r="25548" spans="1:5" x14ac:dyDescent="0.25">
      <c r="A25548" t="s">
        <v>9</v>
      </c>
      <c r="B25548" t="s">
        <v>6836</v>
      </c>
      <c r="C25548" s="1" t="s">
        <v>23490</v>
      </c>
      <c r="D25548" s="1" t="str">
        <f>HYPERLINK("https://rhld.insurance.arkansas.gov/NPILookup?Npi=1285677310","1285677310")</f>
        <v>1285677310</v>
      </c>
      <c r="E25548" t="s">
        <v>611</v>
      </c>
    </row>
    <row r="25549" spans="1:5" x14ac:dyDescent="0.25">
      <c r="A25549" t="s">
        <v>9</v>
      </c>
      <c r="B25549" t="s">
        <v>6836</v>
      </c>
      <c r="C25549" s="1" t="s">
        <v>23490</v>
      </c>
      <c r="D25549" s="1" t="str">
        <f>HYPERLINK("https://rhld.insurance.arkansas.gov/NPILookup?Npi=1285728626","1285728626")</f>
        <v>1285728626</v>
      </c>
      <c r="E25549" t="s">
        <v>6966</v>
      </c>
    </row>
    <row r="25550" spans="1:5" x14ac:dyDescent="0.25">
      <c r="A25550" t="s">
        <v>9</v>
      </c>
      <c r="B25550" t="s">
        <v>6836</v>
      </c>
      <c r="C25550" s="1" t="s">
        <v>23490</v>
      </c>
      <c r="D25550" s="1" t="str">
        <f>HYPERLINK("https://rhld.insurance.arkansas.gov/NPILookup?Npi=1285732487","1285732487")</f>
        <v>1285732487</v>
      </c>
      <c r="E25550" t="s">
        <v>6967</v>
      </c>
    </row>
    <row r="25551" spans="1:5" x14ac:dyDescent="0.25">
      <c r="A25551" t="s">
        <v>9</v>
      </c>
      <c r="B25551" t="s">
        <v>6836</v>
      </c>
      <c r="C25551" s="1" t="s">
        <v>23490</v>
      </c>
      <c r="D25551" s="1" t="str">
        <f>HYPERLINK("https://rhld.insurance.arkansas.gov/NPILookup?Npi=1285785931","1285785931")</f>
        <v>1285785931</v>
      </c>
      <c r="E25551" t="s">
        <v>16488</v>
      </c>
    </row>
    <row r="25552" spans="1:5" x14ac:dyDescent="0.25">
      <c r="A25552" t="s">
        <v>9</v>
      </c>
      <c r="B25552" t="s">
        <v>6836</v>
      </c>
      <c r="C25552" s="1" t="s">
        <v>23490</v>
      </c>
      <c r="D25552" s="1" t="str">
        <f>HYPERLINK("https://rhld.insurance.arkansas.gov/NPILookup?Npi=1285907907","1285907907")</f>
        <v>1285907907</v>
      </c>
      <c r="E25552" t="s">
        <v>6968</v>
      </c>
    </row>
    <row r="25553" spans="1:5" x14ac:dyDescent="0.25">
      <c r="A25553" t="s">
        <v>9</v>
      </c>
      <c r="B25553" t="s">
        <v>6836</v>
      </c>
      <c r="C25553" s="1" t="s">
        <v>23490</v>
      </c>
      <c r="D25553" s="1" t="str">
        <f>HYPERLINK("https://rhld.insurance.arkansas.gov/NPILookup?Npi=1285951186","1285951186")</f>
        <v>1285951186</v>
      </c>
      <c r="E25553" t="s">
        <v>21281</v>
      </c>
    </row>
    <row r="25554" spans="1:5" x14ac:dyDescent="0.25">
      <c r="A25554" t="s">
        <v>9</v>
      </c>
      <c r="B25554" t="s">
        <v>6836</v>
      </c>
      <c r="C25554" s="1" t="s">
        <v>23490</v>
      </c>
      <c r="D25554" s="1" t="str">
        <f>HYPERLINK("https://rhld.insurance.arkansas.gov/NPILookup?Npi=1295027787","1295027787")</f>
        <v>1295027787</v>
      </c>
      <c r="E25554" t="s">
        <v>6969</v>
      </c>
    </row>
    <row r="25555" spans="1:5" x14ac:dyDescent="0.25">
      <c r="A25555" t="s">
        <v>9</v>
      </c>
      <c r="B25555" t="s">
        <v>6836</v>
      </c>
      <c r="C25555" s="1" t="s">
        <v>23490</v>
      </c>
      <c r="D25555" s="1" t="str">
        <f>HYPERLINK("https://rhld.insurance.arkansas.gov/NPILookup?Npi=1295091650","1295091650")</f>
        <v>1295091650</v>
      </c>
      <c r="E25555" t="s">
        <v>22605</v>
      </c>
    </row>
    <row r="25556" spans="1:5" x14ac:dyDescent="0.25">
      <c r="A25556" t="s">
        <v>9</v>
      </c>
      <c r="B25556" t="s">
        <v>6836</v>
      </c>
      <c r="C25556" s="1" t="s">
        <v>23490</v>
      </c>
      <c r="D25556" s="1" t="str">
        <f>HYPERLINK("https://rhld.insurance.arkansas.gov/NPILookup?Npi=1295114486","1295114486")</f>
        <v>1295114486</v>
      </c>
      <c r="E25556" t="s">
        <v>16489</v>
      </c>
    </row>
    <row r="25557" spans="1:5" x14ac:dyDescent="0.25">
      <c r="A25557" t="s">
        <v>9</v>
      </c>
      <c r="B25557" t="s">
        <v>6836</v>
      </c>
      <c r="C25557" s="1" t="s">
        <v>23490</v>
      </c>
      <c r="D25557" s="1" t="str">
        <f>HYPERLINK("https://rhld.insurance.arkansas.gov/NPILookup?Npi=1295143980","1295143980")</f>
        <v>1295143980</v>
      </c>
      <c r="E25557" t="s">
        <v>6970</v>
      </c>
    </row>
    <row r="25558" spans="1:5" x14ac:dyDescent="0.25">
      <c r="A25558" t="s">
        <v>9</v>
      </c>
      <c r="B25558" t="s">
        <v>6836</v>
      </c>
      <c r="C25558" s="1" t="s">
        <v>23490</v>
      </c>
      <c r="D25558" s="1" t="str">
        <f>HYPERLINK("https://rhld.insurance.arkansas.gov/NPILookup?Npi=1295199099","1295199099")</f>
        <v>1295199099</v>
      </c>
      <c r="E25558" t="s">
        <v>17729</v>
      </c>
    </row>
    <row r="25559" spans="1:5" x14ac:dyDescent="0.25">
      <c r="A25559" t="s">
        <v>9</v>
      </c>
      <c r="B25559" t="s">
        <v>6836</v>
      </c>
      <c r="C25559" s="1" t="s">
        <v>23490</v>
      </c>
      <c r="D25559" s="1" t="str">
        <f>HYPERLINK("https://rhld.insurance.arkansas.gov/NPILookup?Npi=1295732170","1295732170")</f>
        <v>1295732170</v>
      </c>
      <c r="E25559" t="s">
        <v>6971</v>
      </c>
    </row>
    <row r="25560" spans="1:5" x14ac:dyDescent="0.25">
      <c r="A25560" t="s">
        <v>9</v>
      </c>
      <c r="B25560" t="s">
        <v>6836</v>
      </c>
      <c r="C25560" s="1" t="s">
        <v>23490</v>
      </c>
      <c r="D25560" s="1" t="str">
        <f>HYPERLINK("https://rhld.insurance.arkansas.gov/NPILookup?Npi=1295737559","1295737559")</f>
        <v>1295737559</v>
      </c>
      <c r="E25560" t="s">
        <v>12068</v>
      </c>
    </row>
    <row r="25561" spans="1:5" x14ac:dyDescent="0.25">
      <c r="A25561" t="s">
        <v>9</v>
      </c>
      <c r="B25561" t="s">
        <v>6836</v>
      </c>
      <c r="C25561" s="1" t="s">
        <v>23490</v>
      </c>
      <c r="D25561" s="1" t="str">
        <f>HYPERLINK("https://rhld.insurance.arkansas.gov/NPILookup?Npi=1295755213","1295755213")</f>
        <v>1295755213</v>
      </c>
      <c r="E25561" t="s">
        <v>1834</v>
      </c>
    </row>
    <row r="25562" spans="1:5" x14ac:dyDescent="0.25">
      <c r="A25562" t="s">
        <v>9</v>
      </c>
      <c r="B25562" t="s">
        <v>6836</v>
      </c>
      <c r="C25562" s="1" t="s">
        <v>23490</v>
      </c>
      <c r="D25562" s="1" t="str">
        <f>HYPERLINK("https://rhld.insurance.arkansas.gov/NPILookup?Npi=1295761203","1295761203")</f>
        <v>1295761203</v>
      </c>
      <c r="E25562" t="s">
        <v>6972</v>
      </c>
    </row>
    <row r="25563" spans="1:5" x14ac:dyDescent="0.25">
      <c r="A25563" t="s">
        <v>9</v>
      </c>
      <c r="B25563" t="s">
        <v>6836</v>
      </c>
      <c r="C25563" s="1" t="s">
        <v>23490</v>
      </c>
      <c r="D25563" s="1" t="str">
        <f>HYPERLINK("https://rhld.insurance.arkansas.gov/NPILookup?Npi=1295814861","1295814861")</f>
        <v>1295814861</v>
      </c>
      <c r="E25563" t="s">
        <v>6973</v>
      </c>
    </row>
    <row r="25564" spans="1:5" x14ac:dyDescent="0.25">
      <c r="A25564" t="s">
        <v>9</v>
      </c>
      <c r="B25564" t="s">
        <v>6836</v>
      </c>
      <c r="C25564" s="1" t="s">
        <v>23490</v>
      </c>
      <c r="D25564" s="1" t="str">
        <f>HYPERLINK("https://rhld.insurance.arkansas.gov/NPILookup?Npi=1295937993","1295937993")</f>
        <v>1295937993</v>
      </c>
      <c r="E25564" t="s">
        <v>22606</v>
      </c>
    </row>
    <row r="25565" spans="1:5" x14ac:dyDescent="0.25">
      <c r="A25565" t="s">
        <v>9</v>
      </c>
      <c r="B25565" t="s">
        <v>6836</v>
      </c>
      <c r="C25565" s="1" t="s">
        <v>23490</v>
      </c>
      <c r="D25565" s="1" t="str">
        <f>HYPERLINK("https://rhld.insurance.arkansas.gov/NPILookup?Npi=1306005145","1306005145")</f>
        <v>1306005145</v>
      </c>
      <c r="E25565" t="s">
        <v>22607</v>
      </c>
    </row>
    <row r="25566" spans="1:5" x14ac:dyDescent="0.25">
      <c r="A25566" t="s">
        <v>9</v>
      </c>
      <c r="B25566" t="s">
        <v>6836</v>
      </c>
      <c r="C25566" s="1" t="s">
        <v>23490</v>
      </c>
      <c r="D25566" s="1" t="str">
        <f>HYPERLINK("https://rhld.insurance.arkansas.gov/NPILookup?Npi=1306009204","1306009204")</f>
        <v>1306009204</v>
      </c>
      <c r="E25566" t="s">
        <v>6974</v>
      </c>
    </row>
    <row r="25567" spans="1:5" x14ac:dyDescent="0.25">
      <c r="A25567" t="s">
        <v>9</v>
      </c>
      <c r="B25567" t="s">
        <v>6836</v>
      </c>
      <c r="C25567" s="1" t="s">
        <v>23490</v>
      </c>
      <c r="D25567" s="1" t="str">
        <f>HYPERLINK("https://rhld.insurance.arkansas.gov/NPILookup?Npi=1306024492","1306024492")</f>
        <v>1306024492</v>
      </c>
      <c r="E25567" t="s">
        <v>6975</v>
      </c>
    </row>
    <row r="25568" spans="1:5" x14ac:dyDescent="0.25">
      <c r="A25568" t="s">
        <v>9</v>
      </c>
      <c r="B25568" t="s">
        <v>6836</v>
      </c>
      <c r="C25568" s="1" t="s">
        <v>23490</v>
      </c>
      <c r="D25568" s="1" t="str">
        <f>HYPERLINK("https://rhld.insurance.arkansas.gov/NPILookup?Npi=1306048251","1306048251")</f>
        <v>1306048251</v>
      </c>
      <c r="E25568" t="s">
        <v>6976</v>
      </c>
    </row>
    <row r="25569" spans="1:5" x14ac:dyDescent="0.25">
      <c r="A25569" t="s">
        <v>9</v>
      </c>
      <c r="B25569" t="s">
        <v>6836</v>
      </c>
      <c r="C25569" s="1" t="s">
        <v>23490</v>
      </c>
      <c r="D25569" s="1" t="str">
        <f>HYPERLINK("https://rhld.insurance.arkansas.gov/NPILookup?Npi=1306211966","1306211966")</f>
        <v>1306211966</v>
      </c>
      <c r="E25569" t="s">
        <v>9245</v>
      </c>
    </row>
    <row r="25570" spans="1:5" x14ac:dyDescent="0.25">
      <c r="A25570" t="s">
        <v>9</v>
      </c>
      <c r="B25570" t="s">
        <v>6836</v>
      </c>
      <c r="C25570" s="1" t="s">
        <v>23490</v>
      </c>
      <c r="D25570" s="1" t="str">
        <f>HYPERLINK("https://rhld.insurance.arkansas.gov/NPILookup?Npi=1306266226","1306266226")</f>
        <v>1306266226</v>
      </c>
      <c r="E25570" t="s">
        <v>14451</v>
      </c>
    </row>
    <row r="25571" spans="1:5" x14ac:dyDescent="0.25">
      <c r="A25571" t="s">
        <v>9</v>
      </c>
      <c r="B25571" t="s">
        <v>6836</v>
      </c>
      <c r="C25571" s="1" t="s">
        <v>23490</v>
      </c>
      <c r="D25571" s="1" t="str">
        <f>HYPERLINK("https://rhld.insurance.arkansas.gov/NPILookup?Npi=1306808910","1306808910")</f>
        <v>1306808910</v>
      </c>
      <c r="E25571" t="s">
        <v>21282</v>
      </c>
    </row>
    <row r="25572" spans="1:5" x14ac:dyDescent="0.25">
      <c r="A25572" t="s">
        <v>9</v>
      </c>
      <c r="B25572" t="s">
        <v>6836</v>
      </c>
      <c r="C25572" s="1" t="s">
        <v>23490</v>
      </c>
      <c r="D25572" s="1" t="str">
        <f>HYPERLINK("https://rhld.insurance.arkansas.gov/NPILookup?Npi=1306818133","1306818133")</f>
        <v>1306818133</v>
      </c>
      <c r="E25572" t="s">
        <v>22608</v>
      </c>
    </row>
    <row r="25573" spans="1:5" x14ac:dyDescent="0.25">
      <c r="A25573" t="s">
        <v>9</v>
      </c>
      <c r="B25573" t="s">
        <v>6836</v>
      </c>
      <c r="C25573" s="1" t="s">
        <v>23490</v>
      </c>
      <c r="D25573" s="1" t="str">
        <f>HYPERLINK("https://rhld.insurance.arkansas.gov/NPILookup?Npi=1306826524","1306826524")</f>
        <v>1306826524</v>
      </c>
      <c r="E25573" t="s">
        <v>16490</v>
      </c>
    </row>
    <row r="25574" spans="1:5" x14ac:dyDescent="0.25">
      <c r="A25574" t="s">
        <v>9</v>
      </c>
      <c r="B25574" t="s">
        <v>6836</v>
      </c>
      <c r="C25574" s="1" t="s">
        <v>23490</v>
      </c>
      <c r="D25574" s="1" t="str">
        <f>HYPERLINK("https://rhld.insurance.arkansas.gov/NPILookup?Npi=1316031040","1316031040")</f>
        <v>1316031040</v>
      </c>
      <c r="E25574" t="s">
        <v>6977</v>
      </c>
    </row>
    <row r="25575" spans="1:5" x14ac:dyDescent="0.25">
      <c r="A25575" t="s">
        <v>9</v>
      </c>
      <c r="B25575" t="s">
        <v>6836</v>
      </c>
      <c r="C25575" s="1" t="s">
        <v>23490</v>
      </c>
      <c r="D25575" s="1" t="str">
        <f>HYPERLINK("https://rhld.insurance.arkansas.gov/NPILookup?Npi=1316141963","1316141963")</f>
        <v>1316141963</v>
      </c>
      <c r="E25575" t="s">
        <v>6978</v>
      </c>
    </row>
    <row r="25576" spans="1:5" x14ac:dyDescent="0.25">
      <c r="A25576" t="s">
        <v>9</v>
      </c>
      <c r="B25576" t="s">
        <v>6836</v>
      </c>
      <c r="C25576" s="1" t="s">
        <v>23490</v>
      </c>
      <c r="D25576" s="1" t="str">
        <f>HYPERLINK("https://rhld.insurance.arkansas.gov/NPILookup?Npi=1316263866","1316263866")</f>
        <v>1316263866</v>
      </c>
      <c r="E25576" t="s">
        <v>14452</v>
      </c>
    </row>
    <row r="25577" spans="1:5" x14ac:dyDescent="0.25">
      <c r="A25577" t="s">
        <v>9</v>
      </c>
      <c r="B25577" t="s">
        <v>6836</v>
      </c>
      <c r="C25577" s="1" t="s">
        <v>23490</v>
      </c>
      <c r="D25577" s="1" t="str">
        <f>HYPERLINK("https://rhld.insurance.arkansas.gov/NPILookup?Npi=1316925613","1316925613")</f>
        <v>1316925613</v>
      </c>
      <c r="E25577" t="s">
        <v>12069</v>
      </c>
    </row>
    <row r="25578" spans="1:5" x14ac:dyDescent="0.25">
      <c r="A25578" t="s">
        <v>9</v>
      </c>
      <c r="B25578" t="s">
        <v>6836</v>
      </c>
      <c r="C25578" s="1" t="s">
        <v>23490</v>
      </c>
      <c r="D25578" s="1" t="str">
        <f>HYPERLINK("https://rhld.insurance.arkansas.gov/NPILookup?Npi=1316943301","1316943301")</f>
        <v>1316943301</v>
      </c>
      <c r="E25578" t="s">
        <v>6979</v>
      </c>
    </row>
    <row r="25579" spans="1:5" x14ac:dyDescent="0.25">
      <c r="A25579" t="s">
        <v>9</v>
      </c>
      <c r="B25579" t="s">
        <v>6836</v>
      </c>
      <c r="C25579" s="1" t="s">
        <v>23490</v>
      </c>
      <c r="D25579" s="1" t="str">
        <f>HYPERLINK("https://rhld.insurance.arkansas.gov/NPILookup?Npi=1316974207","1316974207")</f>
        <v>1316974207</v>
      </c>
      <c r="E25579" t="s">
        <v>16491</v>
      </c>
    </row>
    <row r="25580" spans="1:5" x14ac:dyDescent="0.25">
      <c r="A25580" t="s">
        <v>9</v>
      </c>
      <c r="B25580" t="s">
        <v>6836</v>
      </c>
      <c r="C25580" s="1" t="s">
        <v>23490</v>
      </c>
      <c r="D25580" s="1" t="str">
        <f>HYPERLINK("https://rhld.insurance.arkansas.gov/NPILookup?Npi=1326004060","1326004060")</f>
        <v>1326004060</v>
      </c>
      <c r="E25580" t="s">
        <v>6980</v>
      </c>
    </row>
    <row r="25581" spans="1:5" x14ac:dyDescent="0.25">
      <c r="A25581" t="s">
        <v>9</v>
      </c>
      <c r="B25581" t="s">
        <v>6836</v>
      </c>
      <c r="C25581" s="1" t="s">
        <v>23490</v>
      </c>
      <c r="D25581" s="1" t="str">
        <f>HYPERLINK("https://rhld.insurance.arkansas.gov/NPILookup?Npi=1326008400","1326008400")</f>
        <v>1326008400</v>
      </c>
      <c r="E25581" t="s">
        <v>16492</v>
      </c>
    </row>
    <row r="25582" spans="1:5" x14ac:dyDescent="0.25">
      <c r="A25582" t="s">
        <v>9</v>
      </c>
      <c r="B25582" t="s">
        <v>6836</v>
      </c>
      <c r="C25582" s="1" t="s">
        <v>23490</v>
      </c>
      <c r="D25582" s="1" t="str">
        <f>HYPERLINK("https://rhld.insurance.arkansas.gov/NPILookup?Npi=1326030016","1326030016")</f>
        <v>1326030016</v>
      </c>
      <c r="E25582" t="s">
        <v>6981</v>
      </c>
    </row>
    <row r="25583" spans="1:5" x14ac:dyDescent="0.25">
      <c r="A25583" t="s">
        <v>9</v>
      </c>
      <c r="B25583" t="s">
        <v>6836</v>
      </c>
      <c r="C25583" s="1" t="s">
        <v>23490</v>
      </c>
      <c r="D25583" s="1" t="str">
        <f>HYPERLINK("https://rhld.insurance.arkansas.gov/NPILookup?Npi=1326072901","1326072901")</f>
        <v>1326072901</v>
      </c>
      <c r="E25583" t="s">
        <v>6982</v>
      </c>
    </row>
    <row r="25584" spans="1:5" x14ac:dyDescent="0.25">
      <c r="A25584" t="s">
        <v>9</v>
      </c>
      <c r="B25584" t="s">
        <v>6836</v>
      </c>
      <c r="C25584" s="1" t="s">
        <v>23490</v>
      </c>
      <c r="D25584" s="1" t="str">
        <f>HYPERLINK("https://rhld.insurance.arkansas.gov/NPILookup?Npi=1326082157","1326082157")</f>
        <v>1326082157</v>
      </c>
      <c r="E25584" t="s">
        <v>6983</v>
      </c>
    </row>
    <row r="25585" spans="1:5" x14ac:dyDescent="0.25">
      <c r="A25585" t="s">
        <v>9</v>
      </c>
      <c r="B25585" t="s">
        <v>6836</v>
      </c>
      <c r="C25585" s="1" t="s">
        <v>23490</v>
      </c>
      <c r="D25585" s="1" t="str">
        <f>HYPERLINK("https://rhld.insurance.arkansas.gov/NPILookup?Npi=1326082785","1326082785")</f>
        <v>1326082785</v>
      </c>
      <c r="E25585" t="s">
        <v>6984</v>
      </c>
    </row>
    <row r="25586" spans="1:5" x14ac:dyDescent="0.25">
      <c r="A25586" t="s">
        <v>9</v>
      </c>
      <c r="B25586" t="s">
        <v>6836</v>
      </c>
      <c r="C25586" s="1" t="s">
        <v>23490</v>
      </c>
      <c r="D25586" s="1" t="str">
        <f>HYPERLINK("https://rhld.insurance.arkansas.gov/NPILookup?Npi=1326094566","1326094566")</f>
        <v>1326094566</v>
      </c>
      <c r="E25586" t="s">
        <v>6985</v>
      </c>
    </row>
    <row r="25587" spans="1:5" x14ac:dyDescent="0.25">
      <c r="A25587" t="s">
        <v>9</v>
      </c>
      <c r="B25587" t="s">
        <v>6836</v>
      </c>
      <c r="C25587" s="1" t="s">
        <v>23490</v>
      </c>
      <c r="D25587" s="1" t="str">
        <f>HYPERLINK("https://rhld.insurance.arkansas.gov/NPILookup?Npi=1326200213","1326200213")</f>
        <v>1326200213</v>
      </c>
      <c r="E25587" t="s">
        <v>6986</v>
      </c>
    </row>
    <row r="25588" spans="1:5" x14ac:dyDescent="0.25">
      <c r="A25588" t="s">
        <v>9</v>
      </c>
      <c r="B25588" t="s">
        <v>6836</v>
      </c>
      <c r="C25588" s="1" t="s">
        <v>23490</v>
      </c>
      <c r="D25588" s="1" t="str">
        <f>HYPERLINK("https://rhld.insurance.arkansas.gov/NPILookup?Npi=1326573395","1326573395")</f>
        <v>1326573395</v>
      </c>
      <c r="E25588" t="s">
        <v>22609</v>
      </c>
    </row>
    <row r="25589" spans="1:5" x14ac:dyDescent="0.25">
      <c r="A25589" t="s">
        <v>9</v>
      </c>
      <c r="B25589" t="s">
        <v>6836</v>
      </c>
      <c r="C25589" s="1" t="s">
        <v>23490</v>
      </c>
      <c r="D25589" s="1" t="str">
        <f>HYPERLINK("https://rhld.insurance.arkansas.gov/NPILookup?Npi=1326579749","1326579749")</f>
        <v>1326579749</v>
      </c>
      <c r="E25589" t="s">
        <v>22610</v>
      </c>
    </row>
    <row r="25590" spans="1:5" x14ac:dyDescent="0.25">
      <c r="A25590" t="s">
        <v>9</v>
      </c>
      <c r="B25590" t="s">
        <v>6836</v>
      </c>
      <c r="C25590" s="1" t="s">
        <v>23490</v>
      </c>
      <c r="D25590" s="1" t="str">
        <f>HYPERLINK("https://rhld.insurance.arkansas.gov/NPILookup?Npi=1336111665","1336111665")</f>
        <v>1336111665</v>
      </c>
      <c r="E25590" t="s">
        <v>6987</v>
      </c>
    </row>
    <row r="25591" spans="1:5" x14ac:dyDescent="0.25">
      <c r="A25591" t="s">
        <v>9</v>
      </c>
      <c r="B25591" t="s">
        <v>6836</v>
      </c>
      <c r="C25591" s="1" t="s">
        <v>23490</v>
      </c>
      <c r="D25591" s="1" t="str">
        <f>HYPERLINK("https://rhld.insurance.arkansas.gov/NPILookup?Npi=1336119304","1336119304")</f>
        <v>1336119304</v>
      </c>
      <c r="E25591" t="s">
        <v>17298</v>
      </c>
    </row>
    <row r="25592" spans="1:5" x14ac:dyDescent="0.25">
      <c r="A25592" t="s">
        <v>9</v>
      </c>
      <c r="B25592" t="s">
        <v>6836</v>
      </c>
      <c r="C25592" s="1" t="s">
        <v>23490</v>
      </c>
      <c r="D25592" s="1" t="str">
        <f>HYPERLINK("https://rhld.insurance.arkansas.gov/NPILookup?Npi=1336148600","1336148600")</f>
        <v>1336148600</v>
      </c>
      <c r="E25592" t="s">
        <v>18543</v>
      </c>
    </row>
    <row r="25593" spans="1:5" x14ac:dyDescent="0.25">
      <c r="A25593" t="s">
        <v>9</v>
      </c>
      <c r="B25593" t="s">
        <v>6836</v>
      </c>
      <c r="C25593" s="1" t="s">
        <v>23490</v>
      </c>
      <c r="D25593" s="1" t="str">
        <f>HYPERLINK("https://rhld.insurance.arkansas.gov/NPILookup?Npi=1336149905","1336149905")</f>
        <v>1336149905</v>
      </c>
      <c r="E25593" t="s">
        <v>6988</v>
      </c>
    </row>
    <row r="25594" spans="1:5" x14ac:dyDescent="0.25">
      <c r="A25594" t="s">
        <v>9</v>
      </c>
      <c r="B25594" t="s">
        <v>6836</v>
      </c>
      <c r="C25594" s="1" t="s">
        <v>23490</v>
      </c>
      <c r="D25594" s="1" t="str">
        <f>HYPERLINK("https://rhld.insurance.arkansas.gov/NPILookup?Npi=1336341106","1336341106")</f>
        <v>1336341106</v>
      </c>
      <c r="E25594" t="s">
        <v>6989</v>
      </c>
    </row>
    <row r="25595" spans="1:5" x14ac:dyDescent="0.25">
      <c r="A25595" t="s">
        <v>9</v>
      </c>
      <c r="B25595" t="s">
        <v>6836</v>
      </c>
      <c r="C25595" s="1" t="s">
        <v>23490</v>
      </c>
      <c r="D25595" s="1" t="str">
        <f>HYPERLINK("https://rhld.insurance.arkansas.gov/NPILookup?Npi=1336397454","1336397454")</f>
        <v>1336397454</v>
      </c>
      <c r="E25595" t="s">
        <v>6990</v>
      </c>
    </row>
    <row r="25596" spans="1:5" x14ac:dyDescent="0.25">
      <c r="A25596" t="s">
        <v>9</v>
      </c>
      <c r="B25596" t="s">
        <v>6836</v>
      </c>
      <c r="C25596" s="1" t="s">
        <v>23490</v>
      </c>
      <c r="D25596" s="1" t="str">
        <f>HYPERLINK("https://rhld.insurance.arkansas.gov/NPILookup?Npi=1336407949","1336407949")</f>
        <v>1336407949</v>
      </c>
      <c r="E25596" t="s">
        <v>16493</v>
      </c>
    </row>
    <row r="25597" spans="1:5" x14ac:dyDescent="0.25">
      <c r="A25597" t="s">
        <v>9</v>
      </c>
      <c r="B25597" t="s">
        <v>6836</v>
      </c>
      <c r="C25597" s="1" t="s">
        <v>23490</v>
      </c>
      <c r="D25597" s="1" t="str">
        <f>HYPERLINK("https://rhld.insurance.arkansas.gov/NPILookup?Npi=1336462712","1336462712")</f>
        <v>1336462712</v>
      </c>
      <c r="E25597" t="s">
        <v>6991</v>
      </c>
    </row>
    <row r="25598" spans="1:5" x14ac:dyDescent="0.25">
      <c r="A25598" t="s">
        <v>9</v>
      </c>
      <c r="B25598" t="s">
        <v>6836</v>
      </c>
      <c r="C25598" s="1" t="s">
        <v>23490</v>
      </c>
      <c r="D25598" s="1" t="str">
        <f>HYPERLINK("https://rhld.insurance.arkansas.gov/NPILookup?Npi=1336644095","1336644095")</f>
        <v>1336644095</v>
      </c>
      <c r="E25598" t="s">
        <v>21283</v>
      </c>
    </row>
    <row r="25599" spans="1:5" x14ac:dyDescent="0.25">
      <c r="A25599" t="s">
        <v>9</v>
      </c>
      <c r="B25599" t="s">
        <v>6836</v>
      </c>
      <c r="C25599" s="1" t="s">
        <v>23490</v>
      </c>
      <c r="D25599" s="1" t="str">
        <f>HYPERLINK("https://rhld.insurance.arkansas.gov/NPILookup?Npi=1346202579","1346202579")</f>
        <v>1346202579</v>
      </c>
      <c r="E25599" t="s">
        <v>6258</v>
      </c>
    </row>
    <row r="25600" spans="1:5" x14ac:dyDescent="0.25">
      <c r="A25600" t="s">
        <v>9</v>
      </c>
      <c r="B25600" t="s">
        <v>6836</v>
      </c>
      <c r="C25600" s="1" t="s">
        <v>23490</v>
      </c>
      <c r="D25600" s="1" t="str">
        <f>HYPERLINK("https://rhld.insurance.arkansas.gov/NPILookup?Npi=1346210671","1346210671")</f>
        <v>1346210671</v>
      </c>
      <c r="E25600" t="s">
        <v>6992</v>
      </c>
    </row>
    <row r="25601" spans="1:5" x14ac:dyDescent="0.25">
      <c r="A25601" t="s">
        <v>9</v>
      </c>
      <c r="B25601" t="s">
        <v>6836</v>
      </c>
      <c r="C25601" s="1" t="s">
        <v>23490</v>
      </c>
      <c r="D25601" s="1" t="str">
        <f>HYPERLINK("https://rhld.insurance.arkansas.gov/NPILookup?Npi=1346220449","1346220449")</f>
        <v>1346220449</v>
      </c>
      <c r="E25601" t="s">
        <v>494</v>
      </c>
    </row>
    <row r="25602" spans="1:5" x14ac:dyDescent="0.25">
      <c r="A25602" t="s">
        <v>9</v>
      </c>
      <c r="B25602" t="s">
        <v>6836</v>
      </c>
      <c r="C25602" s="1" t="s">
        <v>23490</v>
      </c>
      <c r="D25602" s="1" t="str">
        <f>HYPERLINK("https://rhld.insurance.arkansas.gov/NPILookup?Npi=1346235587","1346235587")</f>
        <v>1346235587</v>
      </c>
      <c r="E25602" t="s">
        <v>6993</v>
      </c>
    </row>
    <row r="25603" spans="1:5" x14ac:dyDescent="0.25">
      <c r="A25603" t="s">
        <v>9</v>
      </c>
      <c r="B25603" t="s">
        <v>6836</v>
      </c>
      <c r="C25603" s="1" t="s">
        <v>23490</v>
      </c>
      <c r="D25603" s="1" t="str">
        <f>HYPERLINK("https://rhld.insurance.arkansas.gov/NPILookup?Npi=1346235850","1346235850")</f>
        <v>1346235850</v>
      </c>
      <c r="E25603" t="s">
        <v>975</v>
      </c>
    </row>
    <row r="25604" spans="1:5" x14ac:dyDescent="0.25">
      <c r="A25604" t="s">
        <v>9</v>
      </c>
      <c r="B25604" t="s">
        <v>6836</v>
      </c>
      <c r="C25604" s="1" t="s">
        <v>23490</v>
      </c>
      <c r="D25604" s="1" t="str">
        <f>HYPERLINK("https://rhld.insurance.arkansas.gov/NPILookup?Npi=1346253184","1346253184")</f>
        <v>1346253184</v>
      </c>
      <c r="E25604" t="s">
        <v>23298</v>
      </c>
    </row>
    <row r="25605" spans="1:5" x14ac:dyDescent="0.25">
      <c r="A25605" t="s">
        <v>9</v>
      </c>
      <c r="B25605" t="s">
        <v>6836</v>
      </c>
      <c r="C25605" s="1" t="s">
        <v>23490</v>
      </c>
      <c r="D25605" s="1" t="str">
        <f>HYPERLINK("https://rhld.insurance.arkansas.gov/NPILookup?Npi=1346284841","1346284841")</f>
        <v>1346284841</v>
      </c>
      <c r="E25605" t="s">
        <v>20734</v>
      </c>
    </row>
    <row r="25606" spans="1:5" x14ac:dyDescent="0.25">
      <c r="A25606" t="s">
        <v>9</v>
      </c>
      <c r="B25606" t="s">
        <v>6836</v>
      </c>
      <c r="C25606" s="1" t="s">
        <v>23490</v>
      </c>
      <c r="D25606" s="1" t="str">
        <f>HYPERLINK("https://rhld.insurance.arkansas.gov/NPILookup?Npi=1346293461","1346293461")</f>
        <v>1346293461</v>
      </c>
      <c r="E25606" t="s">
        <v>6994</v>
      </c>
    </row>
    <row r="25607" spans="1:5" x14ac:dyDescent="0.25">
      <c r="A25607" t="s">
        <v>9</v>
      </c>
      <c r="B25607" t="s">
        <v>6836</v>
      </c>
      <c r="C25607" s="1" t="s">
        <v>23490</v>
      </c>
      <c r="D25607" s="1" t="str">
        <f>HYPERLINK("https://rhld.insurance.arkansas.gov/NPILookup?Npi=1346298353","1346298353")</f>
        <v>1346298353</v>
      </c>
      <c r="E25607" t="s">
        <v>16494</v>
      </c>
    </row>
    <row r="25608" spans="1:5" x14ac:dyDescent="0.25">
      <c r="A25608" t="s">
        <v>9</v>
      </c>
      <c r="B25608" t="s">
        <v>6836</v>
      </c>
      <c r="C25608" s="1" t="s">
        <v>23490</v>
      </c>
      <c r="D25608" s="1" t="str">
        <f>HYPERLINK("https://rhld.insurance.arkansas.gov/NPILookup?Npi=1346318441","1346318441")</f>
        <v>1346318441</v>
      </c>
      <c r="E25608" t="s">
        <v>14453</v>
      </c>
    </row>
    <row r="25609" spans="1:5" x14ac:dyDescent="0.25">
      <c r="A25609" t="s">
        <v>9</v>
      </c>
      <c r="B25609" t="s">
        <v>6836</v>
      </c>
      <c r="C25609" s="1" t="s">
        <v>23490</v>
      </c>
      <c r="D25609" s="1" t="str">
        <f>HYPERLINK("https://rhld.insurance.arkansas.gov/NPILookup?Npi=1346362225","1346362225")</f>
        <v>1346362225</v>
      </c>
      <c r="E25609" t="s">
        <v>6995</v>
      </c>
    </row>
    <row r="25610" spans="1:5" x14ac:dyDescent="0.25">
      <c r="A25610" t="s">
        <v>9</v>
      </c>
      <c r="B25610" t="s">
        <v>6836</v>
      </c>
      <c r="C25610" s="1" t="s">
        <v>23490</v>
      </c>
      <c r="D25610" s="1" t="str">
        <f>HYPERLINK("https://rhld.insurance.arkansas.gov/NPILookup?Npi=1346385077","1346385077")</f>
        <v>1346385077</v>
      </c>
      <c r="E25610" t="s">
        <v>6996</v>
      </c>
    </row>
    <row r="25611" spans="1:5" x14ac:dyDescent="0.25">
      <c r="A25611" t="s">
        <v>9</v>
      </c>
      <c r="B25611" t="s">
        <v>6836</v>
      </c>
      <c r="C25611" s="1" t="s">
        <v>23490</v>
      </c>
      <c r="D25611" s="1" t="str">
        <f>HYPERLINK("https://rhld.insurance.arkansas.gov/NPILookup?Npi=1346441706","1346441706")</f>
        <v>1346441706</v>
      </c>
      <c r="E25611" t="s">
        <v>6997</v>
      </c>
    </row>
    <row r="25612" spans="1:5" x14ac:dyDescent="0.25">
      <c r="A25612" t="s">
        <v>9</v>
      </c>
      <c r="B25612" t="s">
        <v>6836</v>
      </c>
      <c r="C25612" s="1" t="s">
        <v>23490</v>
      </c>
      <c r="D25612" s="1" t="str">
        <f>HYPERLINK("https://rhld.insurance.arkansas.gov/NPILookup?Npi=1346501020","1346501020")</f>
        <v>1346501020</v>
      </c>
      <c r="E25612" t="s">
        <v>9246</v>
      </c>
    </row>
    <row r="25613" spans="1:5" x14ac:dyDescent="0.25">
      <c r="A25613" t="s">
        <v>9</v>
      </c>
      <c r="B25613" t="s">
        <v>6836</v>
      </c>
      <c r="C25613" s="1" t="s">
        <v>23490</v>
      </c>
      <c r="D25613" s="1" t="str">
        <f>HYPERLINK("https://rhld.insurance.arkansas.gov/NPILookup?Npi=1346580628","1346580628")</f>
        <v>1346580628</v>
      </c>
      <c r="E25613" t="s">
        <v>6998</v>
      </c>
    </row>
    <row r="25614" spans="1:5" x14ac:dyDescent="0.25">
      <c r="A25614" t="s">
        <v>9</v>
      </c>
      <c r="B25614" t="s">
        <v>6836</v>
      </c>
      <c r="C25614" s="1" t="s">
        <v>23490</v>
      </c>
      <c r="D25614" s="1" t="str">
        <f>HYPERLINK("https://rhld.insurance.arkansas.gov/NPILookup?Npi=1346625993","1346625993")</f>
        <v>1346625993</v>
      </c>
      <c r="E25614" t="s">
        <v>6999</v>
      </c>
    </row>
    <row r="25615" spans="1:5" x14ac:dyDescent="0.25">
      <c r="A25615" t="s">
        <v>9</v>
      </c>
      <c r="B25615" t="s">
        <v>6836</v>
      </c>
      <c r="C25615" s="1" t="s">
        <v>23490</v>
      </c>
      <c r="D25615" s="1" t="str">
        <f>HYPERLINK("https://rhld.insurance.arkansas.gov/NPILookup?Npi=1356309447","1356309447")</f>
        <v>1356309447</v>
      </c>
      <c r="E25615" t="s">
        <v>7000</v>
      </c>
    </row>
    <row r="25616" spans="1:5" x14ac:dyDescent="0.25">
      <c r="A25616" t="s">
        <v>9</v>
      </c>
      <c r="B25616" t="s">
        <v>6836</v>
      </c>
      <c r="C25616" s="1" t="s">
        <v>23490</v>
      </c>
      <c r="D25616" s="1" t="str">
        <f>HYPERLINK("https://rhld.insurance.arkansas.gov/NPILookup?Npi=1356312904","1356312904")</f>
        <v>1356312904</v>
      </c>
      <c r="E25616" t="s">
        <v>7001</v>
      </c>
    </row>
    <row r="25617" spans="1:5" x14ac:dyDescent="0.25">
      <c r="A25617" t="s">
        <v>9</v>
      </c>
      <c r="B25617" t="s">
        <v>6836</v>
      </c>
      <c r="C25617" s="1" t="s">
        <v>23490</v>
      </c>
      <c r="D25617" s="1" t="str">
        <f>HYPERLINK("https://rhld.insurance.arkansas.gov/NPILookup?Npi=1356317507","1356317507")</f>
        <v>1356317507</v>
      </c>
      <c r="E25617" t="s">
        <v>7002</v>
      </c>
    </row>
    <row r="25618" spans="1:5" x14ac:dyDescent="0.25">
      <c r="A25618" t="s">
        <v>9</v>
      </c>
      <c r="B25618" t="s">
        <v>6836</v>
      </c>
      <c r="C25618" s="1" t="s">
        <v>23490</v>
      </c>
      <c r="D25618" s="1" t="str">
        <f>HYPERLINK("https://rhld.insurance.arkansas.gov/NPILookup?Npi=1356509236","1356509236")</f>
        <v>1356509236</v>
      </c>
      <c r="E25618" t="s">
        <v>7003</v>
      </c>
    </row>
    <row r="25619" spans="1:5" x14ac:dyDescent="0.25">
      <c r="A25619" t="s">
        <v>9</v>
      </c>
      <c r="B25619" t="s">
        <v>6836</v>
      </c>
      <c r="C25619" s="1" t="s">
        <v>23490</v>
      </c>
      <c r="D25619" s="1" t="str">
        <f>HYPERLINK("https://rhld.insurance.arkansas.gov/NPILookup?Npi=1356543177","1356543177")</f>
        <v>1356543177</v>
      </c>
      <c r="E25619" t="s">
        <v>7004</v>
      </c>
    </row>
    <row r="25620" spans="1:5" x14ac:dyDescent="0.25">
      <c r="A25620" t="s">
        <v>9</v>
      </c>
      <c r="B25620" t="s">
        <v>6836</v>
      </c>
      <c r="C25620" s="1" t="s">
        <v>23490</v>
      </c>
      <c r="D25620" s="1" t="str">
        <f>HYPERLINK("https://rhld.insurance.arkansas.gov/NPILookup?Npi=1356563472","1356563472")</f>
        <v>1356563472</v>
      </c>
      <c r="E25620" t="s">
        <v>7005</v>
      </c>
    </row>
    <row r="25621" spans="1:5" x14ac:dyDescent="0.25">
      <c r="A25621" t="s">
        <v>9</v>
      </c>
      <c r="B25621" t="s">
        <v>6836</v>
      </c>
      <c r="C25621" s="1" t="s">
        <v>23490</v>
      </c>
      <c r="D25621" s="1" t="str">
        <f>HYPERLINK("https://rhld.insurance.arkansas.gov/NPILookup?Npi=1356564850","1356564850")</f>
        <v>1356564850</v>
      </c>
      <c r="E25621" t="s">
        <v>7006</v>
      </c>
    </row>
    <row r="25622" spans="1:5" x14ac:dyDescent="0.25">
      <c r="A25622" t="s">
        <v>9</v>
      </c>
      <c r="B25622" t="s">
        <v>6836</v>
      </c>
      <c r="C25622" s="1" t="s">
        <v>23490</v>
      </c>
      <c r="D25622" s="1" t="str">
        <f>HYPERLINK("https://rhld.insurance.arkansas.gov/NPILookup?Npi=1356575492","1356575492")</f>
        <v>1356575492</v>
      </c>
      <c r="E25622" t="s">
        <v>12070</v>
      </c>
    </row>
    <row r="25623" spans="1:5" x14ac:dyDescent="0.25">
      <c r="A25623" t="s">
        <v>9</v>
      </c>
      <c r="B25623" t="s">
        <v>6836</v>
      </c>
      <c r="C25623" s="1" t="s">
        <v>23490</v>
      </c>
      <c r="D25623" s="1" t="str">
        <f>HYPERLINK("https://rhld.insurance.arkansas.gov/NPILookup?Npi=1356582266","1356582266")</f>
        <v>1356582266</v>
      </c>
      <c r="E25623" t="s">
        <v>7007</v>
      </c>
    </row>
    <row r="25624" spans="1:5" x14ac:dyDescent="0.25">
      <c r="A25624" t="s">
        <v>9</v>
      </c>
      <c r="B25624" t="s">
        <v>6836</v>
      </c>
      <c r="C25624" s="1" t="s">
        <v>23490</v>
      </c>
      <c r="D25624" s="1" t="str">
        <f>HYPERLINK("https://rhld.insurance.arkansas.gov/NPILookup?Npi=1356623201","1356623201")</f>
        <v>1356623201</v>
      </c>
      <c r="E25624" t="s">
        <v>12071</v>
      </c>
    </row>
    <row r="25625" spans="1:5" x14ac:dyDescent="0.25">
      <c r="A25625" t="s">
        <v>9</v>
      </c>
      <c r="B25625" t="s">
        <v>6836</v>
      </c>
      <c r="C25625" s="1" t="s">
        <v>23490</v>
      </c>
      <c r="D25625" s="1" t="str">
        <f>HYPERLINK("https://rhld.insurance.arkansas.gov/NPILookup?Npi=1356732341","1356732341")</f>
        <v>1356732341</v>
      </c>
      <c r="E25625" t="s">
        <v>9247</v>
      </c>
    </row>
    <row r="25626" spans="1:5" x14ac:dyDescent="0.25">
      <c r="A25626" t="s">
        <v>9</v>
      </c>
      <c r="B25626" t="s">
        <v>6836</v>
      </c>
      <c r="C25626" s="1" t="s">
        <v>8427</v>
      </c>
      <c r="D25626" s="1" t="str">
        <f>HYPERLINK("https://rhld.insurance.arkansas.gov/NPILookup?Npi=1356797740","1356797740")</f>
        <v>1356797740</v>
      </c>
      <c r="E25626" t="s">
        <v>23299</v>
      </c>
    </row>
    <row r="25627" spans="1:5" x14ac:dyDescent="0.25">
      <c r="A25627" t="s">
        <v>9</v>
      </c>
      <c r="B25627" t="s">
        <v>6836</v>
      </c>
      <c r="C25627" s="1" t="s">
        <v>23490</v>
      </c>
      <c r="D25627" s="1" t="str">
        <f>HYPERLINK("https://rhld.insurance.arkansas.gov/NPILookup?Npi=1366437543","1366437543")</f>
        <v>1366437543</v>
      </c>
      <c r="E25627" t="s">
        <v>7008</v>
      </c>
    </row>
    <row r="25628" spans="1:5" x14ac:dyDescent="0.25">
      <c r="A25628" t="s">
        <v>9</v>
      </c>
      <c r="B25628" t="s">
        <v>6836</v>
      </c>
      <c r="C25628" s="1" t="s">
        <v>23490</v>
      </c>
      <c r="D25628" s="1" t="str">
        <f>HYPERLINK("https://rhld.insurance.arkansas.gov/NPILookup?Npi=1366438772","1366438772")</f>
        <v>1366438772</v>
      </c>
      <c r="E25628" t="s">
        <v>7009</v>
      </c>
    </row>
    <row r="25629" spans="1:5" x14ac:dyDescent="0.25">
      <c r="A25629" t="s">
        <v>9</v>
      </c>
      <c r="B25629" t="s">
        <v>6836</v>
      </c>
      <c r="C25629" s="1" t="s">
        <v>23490</v>
      </c>
      <c r="D25629" s="1" t="str">
        <f>HYPERLINK("https://rhld.insurance.arkansas.gov/NPILookup?Npi=1366462368","1366462368")</f>
        <v>1366462368</v>
      </c>
      <c r="E25629" t="s">
        <v>7010</v>
      </c>
    </row>
    <row r="25630" spans="1:5" x14ac:dyDescent="0.25">
      <c r="A25630" t="s">
        <v>9</v>
      </c>
      <c r="B25630" t="s">
        <v>6836</v>
      </c>
      <c r="C25630" s="1" t="s">
        <v>23490</v>
      </c>
      <c r="D25630" s="1" t="str">
        <f>HYPERLINK("https://rhld.insurance.arkansas.gov/NPILookup?Npi=1366596066","1366596066")</f>
        <v>1366596066</v>
      </c>
      <c r="E25630" t="s">
        <v>14454</v>
      </c>
    </row>
    <row r="25631" spans="1:5" x14ac:dyDescent="0.25">
      <c r="A25631" t="s">
        <v>9</v>
      </c>
      <c r="B25631" t="s">
        <v>6836</v>
      </c>
      <c r="C25631" s="1" t="s">
        <v>23490</v>
      </c>
      <c r="D25631" s="1" t="str">
        <f>HYPERLINK("https://rhld.insurance.arkansas.gov/NPILookup?Npi=1366762155","1366762155")</f>
        <v>1366762155</v>
      </c>
      <c r="E25631" t="s">
        <v>9248</v>
      </c>
    </row>
    <row r="25632" spans="1:5" x14ac:dyDescent="0.25">
      <c r="A25632" t="s">
        <v>9</v>
      </c>
      <c r="B25632" t="s">
        <v>6836</v>
      </c>
      <c r="C25632" s="1" t="s">
        <v>23490</v>
      </c>
      <c r="D25632" s="1" t="str">
        <f>HYPERLINK("https://rhld.insurance.arkansas.gov/NPILookup?Npi=1366782641","1366782641")</f>
        <v>1366782641</v>
      </c>
      <c r="E25632" t="s">
        <v>7011</v>
      </c>
    </row>
    <row r="25633" spans="1:5" x14ac:dyDescent="0.25">
      <c r="A25633" t="s">
        <v>9</v>
      </c>
      <c r="B25633" t="s">
        <v>6836</v>
      </c>
      <c r="C25633" s="1" t="s">
        <v>23490</v>
      </c>
      <c r="D25633" s="1" t="str">
        <f>HYPERLINK("https://rhld.insurance.arkansas.gov/NPILookup?Npi=1376049288","1376049288")</f>
        <v>1376049288</v>
      </c>
      <c r="E25633" t="s">
        <v>21284</v>
      </c>
    </row>
    <row r="25634" spans="1:5" x14ac:dyDescent="0.25">
      <c r="A25634" t="s">
        <v>9</v>
      </c>
      <c r="B25634" t="s">
        <v>6836</v>
      </c>
      <c r="C25634" s="1" t="s">
        <v>23490</v>
      </c>
      <c r="D25634" s="1" t="str">
        <f>HYPERLINK("https://rhld.insurance.arkansas.gov/NPILookup?Npi=1376509760","1376509760")</f>
        <v>1376509760</v>
      </c>
      <c r="E25634" t="s">
        <v>7012</v>
      </c>
    </row>
    <row r="25635" spans="1:5" x14ac:dyDescent="0.25">
      <c r="A25635" t="s">
        <v>9</v>
      </c>
      <c r="B25635" t="s">
        <v>6836</v>
      </c>
      <c r="C25635" s="1" t="s">
        <v>23490</v>
      </c>
      <c r="D25635" s="1" t="str">
        <f>HYPERLINK("https://rhld.insurance.arkansas.gov/NPILookup?Npi=1376552315","1376552315")</f>
        <v>1376552315</v>
      </c>
      <c r="E25635" t="s">
        <v>7013</v>
      </c>
    </row>
    <row r="25636" spans="1:5" x14ac:dyDescent="0.25">
      <c r="A25636" t="s">
        <v>9</v>
      </c>
      <c r="B25636" t="s">
        <v>6836</v>
      </c>
      <c r="C25636" s="1" t="s">
        <v>23490</v>
      </c>
      <c r="D25636" s="1" t="str">
        <f>HYPERLINK("https://rhld.insurance.arkansas.gov/NPILookup?Npi=1376568709","1376568709")</f>
        <v>1376568709</v>
      </c>
      <c r="E25636" t="s">
        <v>7014</v>
      </c>
    </row>
    <row r="25637" spans="1:5" x14ac:dyDescent="0.25">
      <c r="A25637" t="s">
        <v>9</v>
      </c>
      <c r="B25637" t="s">
        <v>6836</v>
      </c>
      <c r="C25637" s="1" t="s">
        <v>23490</v>
      </c>
      <c r="D25637" s="1" t="str">
        <f>HYPERLINK("https://rhld.insurance.arkansas.gov/NPILookup?Npi=1376623819","1376623819")</f>
        <v>1376623819</v>
      </c>
      <c r="E25637" t="s">
        <v>7015</v>
      </c>
    </row>
    <row r="25638" spans="1:5" x14ac:dyDescent="0.25">
      <c r="A25638" t="s">
        <v>9</v>
      </c>
      <c r="B25638" t="s">
        <v>6836</v>
      </c>
      <c r="C25638" s="1" t="s">
        <v>23490</v>
      </c>
      <c r="D25638" s="1" t="str">
        <f>HYPERLINK("https://rhld.insurance.arkansas.gov/NPILookup?Npi=1376637314","1376637314")</f>
        <v>1376637314</v>
      </c>
      <c r="E25638" t="s">
        <v>16495</v>
      </c>
    </row>
    <row r="25639" spans="1:5" x14ac:dyDescent="0.25">
      <c r="A25639" t="s">
        <v>9</v>
      </c>
      <c r="B25639" t="s">
        <v>6836</v>
      </c>
      <c r="C25639" s="1" t="s">
        <v>23490</v>
      </c>
      <c r="D25639" s="1" t="str">
        <f>HYPERLINK("https://rhld.insurance.arkansas.gov/NPILookup?Npi=1376654566","1376654566")</f>
        <v>1376654566</v>
      </c>
      <c r="E25639" t="s">
        <v>16496</v>
      </c>
    </row>
    <row r="25640" spans="1:5" x14ac:dyDescent="0.25">
      <c r="A25640" t="s">
        <v>9</v>
      </c>
      <c r="B25640" t="s">
        <v>6836</v>
      </c>
      <c r="C25640" s="1" t="s">
        <v>23490</v>
      </c>
      <c r="D25640" s="1" t="str">
        <f>HYPERLINK("https://rhld.insurance.arkansas.gov/NPILookup?Npi=1376717579","1376717579")</f>
        <v>1376717579</v>
      </c>
      <c r="E25640" t="s">
        <v>12072</v>
      </c>
    </row>
    <row r="25641" spans="1:5" x14ac:dyDescent="0.25">
      <c r="A25641" t="s">
        <v>9</v>
      </c>
      <c r="B25641" t="s">
        <v>6836</v>
      </c>
      <c r="C25641" s="1" t="s">
        <v>23490</v>
      </c>
      <c r="D25641" s="1" t="str">
        <f>HYPERLINK("https://rhld.insurance.arkansas.gov/NPILookup?Npi=1376777466","1376777466")</f>
        <v>1376777466</v>
      </c>
      <c r="E25641" t="s">
        <v>7016</v>
      </c>
    </row>
    <row r="25642" spans="1:5" x14ac:dyDescent="0.25">
      <c r="A25642" t="s">
        <v>9</v>
      </c>
      <c r="B25642" t="s">
        <v>6836</v>
      </c>
      <c r="C25642" s="1" t="s">
        <v>23490</v>
      </c>
      <c r="D25642" s="1" t="str">
        <f>HYPERLINK("https://rhld.insurance.arkansas.gov/NPILookup?Npi=1386060218","1386060218")</f>
        <v>1386060218</v>
      </c>
      <c r="E25642" t="s">
        <v>7017</v>
      </c>
    </row>
    <row r="25643" spans="1:5" x14ac:dyDescent="0.25">
      <c r="A25643" t="s">
        <v>9</v>
      </c>
      <c r="B25643" t="s">
        <v>6836</v>
      </c>
      <c r="C25643" s="1" t="s">
        <v>23490</v>
      </c>
      <c r="D25643" s="1" t="str">
        <f>HYPERLINK("https://rhld.insurance.arkansas.gov/NPILookup?Npi=1386630911","1386630911")</f>
        <v>1386630911</v>
      </c>
      <c r="E25643" t="s">
        <v>14455</v>
      </c>
    </row>
    <row r="25644" spans="1:5" x14ac:dyDescent="0.25">
      <c r="A25644" t="s">
        <v>9</v>
      </c>
      <c r="B25644" t="s">
        <v>6836</v>
      </c>
      <c r="C25644" s="1" t="s">
        <v>23490</v>
      </c>
      <c r="D25644" s="1" t="str">
        <f>HYPERLINK("https://rhld.insurance.arkansas.gov/NPILookup?Npi=1386658417","1386658417")</f>
        <v>1386658417</v>
      </c>
      <c r="E25644" t="s">
        <v>16497</v>
      </c>
    </row>
    <row r="25645" spans="1:5" x14ac:dyDescent="0.25">
      <c r="A25645" t="s">
        <v>9</v>
      </c>
      <c r="B25645" t="s">
        <v>6836</v>
      </c>
      <c r="C25645" s="1" t="s">
        <v>23490</v>
      </c>
      <c r="D25645" s="1" t="str">
        <f>HYPERLINK("https://rhld.insurance.arkansas.gov/NPILookup?Npi=1386659076","1386659076")</f>
        <v>1386659076</v>
      </c>
      <c r="E25645" t="s">
        <v>9249</v>
      </c>
    </row>
    <row r="25646" spans="1:5" x14ac:dyDescent="0.25">
      <c r="A25646" t="s">
        <v>9</v>
      </c>
      <c r="B25646" t="s">
        <v>6836</v>
      </c>
      <c r="C25646" s="1" t="s">
        <v>23490</v>
      </c>
      <c r="D25646" s="1" t="str">
        <f>HYPERLINK("https://rhld.insurance.arkansas.gov/NPILookup?Npi=1386664449","1386664449")</f>
        <v>1386664449</v>
      </c>
      <c r="E25646" t="s">
        <v>7018</v>
      </c>
    </row>
    <row r="25647" spans="1:5" x14ac:dyDescent="0.25">
      <c r="A25647" t="s">
        <v>9</v>
      </c>
      <c r="B25647" t="s">
        <v>6836</v>
      </c>
      <c r="C25647" s="1" t="s">
        <v>23490</v>
      </c>
      <c r="D25647" s="1" t="str">
        <f>HYPERLINK("https://rhld.insurance.arkansas.gov/NPILookup?Npi=1386687150","1386687150")</f>
        <v>1386687150</v>
      </c>
      <c r="E25647" t="s">
        <v>7019</v>
      </c>
    </row>
    <row r="25648" spans="1:5" x14ac:dyDescent="0.25">
      <c r="A25648" t="s">
        <v>9</v>
      </c>
      <c r="B25648" t="s">
        <v>6836</v>
      </c>
      <c r="C25648" s="1" t="s">
        <v>23490</v>
      </c>
      <c r="D25648" s="1" t="str">
        <f>HYPERLINK("https://rhld.insurance.arkansas.gov/NPILookup?Npi=1386692994","1386692994")</f>
        <v>1386692994</v>
      </c>
      <c r="E25648" t="s">
        <v>7020</v>
      </c>
    </row>
    <row r="25649" spans="1:5" x14ac:dyDescent="0.25">
      <c r="A25649" t="s">
        <v>9</v>
      </c>
      <c r="B25649" t="s">
        <v>6836</v>
      </c>
      <c r="C25649" s="1" t="s">
        <v>23490</v>
      </c>
      <c r="D25649" s="1" t="str">
        <f>HYPERLINK("https://rhld.insurance.arkansas.gov/NPILookup?Npi=1386754224","1386754224")</f>
        <v>1386754224</v>
      </c>
      <c r="E25649" t="s">
        <v>7021</v>
      </c>
    </row>
    <row r="25650" spans="1:5" x14ac:dyDescent="0.25">
      <c r="A25650" t="s">
        <v>9</v>
      </c>
      <c r="B25650" t="s">
        <v>6836</v>
      </c>
      <c r="C25650" s="1" t="s">
        <v>23490</v>
      </c>
      <c r="D25650" s="1" t="str">
        <f>HYPERLINK("https://rhld.insurance.arkansas.gov/NPILookup?Npi=1386790137","1386790137")</f>
        <v>1386790137</v>
      </c>
      <c r="E25650" t="s">
        <v>7022</v>
      </c>
    </row>
    <row r="25651" spans="1:5" x14ac:dyDescent="0.25">
      <c r="A25651" t="s">
        <v>9</v>
      </c>
      <c r="B25651" t="s">
        <v>6836</v>
      </c>
      <c r="C25651" s="1" t="s">
        <v>23490</v>
      </c>
      <c r="D25651" s="1" t="str">
        <f>HYPERLINK("https://rhld.insurance.arkansas.gov/NPILookup?Npi=1386859916","1386859916")</f>
        <v>1386859916</v>
      </c>
      <c r="E25651" t="s">
        <v>7023</v>
      </c>
    </row>
    <row r="25652" spans="1:5" x14ac:dyDescent="0.25">
      <c r="A25652" t="s">
        <v>9</v>
      </c>
      <c r="B25652" t="s">
        <v>6836</v>
      </c>
      <c r="C25652" s="1" t="s">
        <v>23490</v>
      </c>
      <c r="D25652" s="1" t="str">
        <f>HYPERLINK("https://rhld.insurance.arkansas.gov/NPILookup?Npi=1396060356","1396060356")</f>
        <v>1396060356</v>
      </c>
      <c r="E25652" t="s">
        <v>7024</v>
      </c>
    </row>
    <row r="25653" spans="1:5" x14ac:dyDescent="0.25">
      <c r="A25653" t="s">
        <v>9</v>
      </c>
      <c r="B25653" t="s">
        <v>6836</v>
      </c>
      <c r="C25653" s="1" t="s">
        <v>23490</v>
      </c>
      <c r="D25653" s="1" t="str">
        <f>HYPERLINK("https://rhld.insurance.arkansas.gov/NPILookup?Npi=1396139903","1396139903")</f>
        <v>1396139903</v>
      </c>
      <c r="E25653" t="s">
        <v>23300</v>
      </c>
    </row>
    <row r="25654" spans="1:5" x14ac:dyDescent="0.25">
      <c r="A25654" t="s">
        <v>9</v>
      </c>
      <c r="B25654" t="s">
        <v>6836</v>
      </c>
      <c r="C25654" s="1" t="s">
        <v>23490</v>
      </c>
      <c r="D25654" s="1" t="str">
        <f>HYPERLINK("https://rhld.insurance.arkansas.gov/NPILookup?Npi=1396157145","1396157145")</f>
        <v>1396157145</v>
      </c>
      <c r="E25654" t="s">
        <v>14456</v>
      </c>
    </row>
    <row r="25655" spans="1:5" x14ac:dyDescent="0.25">
      <c r="A25655" t="s">
        <v>9</v>
      </c>
      <c r="B25655" t="s">
        <v>6836</v>
      </c>
      <c r="C25655" s="1" t="s">
        <v>23490</v>
      </c>
      <c r="D25655" s="1" t="str">
        <f>HYPERLINK("https://rhld.insurance.arkansas.gov/NPILookup?Npi=1396162400","1396162400")</f>
        <v>1396162400</v>
      </c>
      <c r="E25655" t="s">
        <v>14457</v>
      </c>
    </row>
    <row r="25656" spans="1:5" x14ac:dyDescent="0.25">
      <c r="A25656" t="s">
        <v>9</v>
      </c>
      <c r="B25656" t="s">
        <v>6836</v>
      </c>
      <c r="C25656" s="1" t="s">
        <v>23490</v>
      </c>
      <c r="D25656" s="1" t="str">
        <f>HYPERLINK("https://rhld.insurance.arkansas.gov/NPILookup?Npi=1396706248","1396706248")</f>
        <v>1396706248</v>
      </c>
      <c r="E25656" t="s">
        <v>16498</v>
      </c>
    </row>
    <row r="25657" spans="1:5" x14ac:dyDescent="0.25">
      <c r="A25657" t="s">
        <v>9</v>
      </c>
      <c r="B25657" t="s">
        <v>6836</v>
      </c>
      <c r="C25657" s="1" t="s">
        <v>23490</v>
      </c>
      <c r="D25657" s="1" t="str">
        <f>HYPERLINK("https://rhld.insurance.arkansas.gov/NPILookup?Npi=1396788519","1396788519")</f>
        <v>1396788519</v>
      </c>
      <c r="E25657" t="s">
        <v>7025</v>
      </c>
    </row>
    <row r="25658" spans="1:5" x14ac:dyDescent="0.25">
      <c r="A25658" t="s">
        <v>9</v>
      </c>
      <c r="B25658" t="s">
        <v>6836</v>
      </c>
      <c r="C25658" s="1" t="s">
        <v>23490</v>
      </c>
      <c r="D25658" s="1" t="str">
        <f>HYPERLINK("https://rhld.insurance.arkansas.gov/NPILookup?Npi=1396804266","1396804266")</f>
        <v>1396804266</v>
      </c>
      <c r="E25658" t="s">
        <v>7026</v>
      </c>
    </row>
    <row r="25659" spans="1:5" x14ac:dyDescent="0.25">
      <c r="A25659" t="s">
        <v>9</v>
      </c>
      <c r="B25659" t="s">
        <v>6836</v>
      </c>
      <c r="C25659" s="1" t="s">
        <v>23490</v>
      </c>
      <c r="D25659" s="1" t="str">
        <f>HYPERLINK("https://rhld.insurance.arkansas.gov/NPILookup?Npi=1396835880","1396835880")</f>
        <v>1396835880</v>
      </c>
      <c r="E25659" t="s">
        <v>7027</v>
      </c>
    </row>
    <row r="25660" spans="1:5" x14ac:dyDescent="0.25">
      <c r="A25660" t="s">
        <v>9</v>
      </c>
      <c r="B25660" t="s">
        <v>6836</v>
      </c>
      <c r="C25660" s="1" t="s">
        <v>23490</v>
      </c>
      <c r="D25660" s="1" t="str">
        <f>HYPERLINK("https://rhld.insurance.arkansas.gov/NPILookup?Npi=1407077241","1407077241")</f>
        <v>1407077241</v>
      </c>
      <c r="E25660" t="s">
        <v>22611</v>
      </c>
    </row>
    <row r="25661" spans="1:5" x14ac:dyDescent="0.25">
      <c r="A25661" t="s">
        <v>9</v>
      </c>
      <c r="B25661" t="s">
        <v>6836</v>
      </c>
      <c r="C25661" s="1" t="s">
        <v>23490</v>
      </c>
      <c r="D25661" s="1" t="str">
        <f>HYPERLINK("https://rhld.insurance.arkansas.gov/NPILookup?Npi=1407099971","1407099971")</f>
        <v>1407099971</v>
      </c>
      <c r="E25661" t="s">
        <v>13264</v>
      </c>
    </row>
    <row r="25662" spans="1:5" x14ac:dyDescent="0.25">
      <c r="A25662" t="s">
        <v>9</v>
      </c>
      <c r="B25662" t="s">
        <v>6836</v>
      </c>
      <c r="C25662" s="1" t="s">
        <v>23490</v>
      </c>
      <c r="D25662" s="1" t="str">
        <f>HYPERLINK("https://rhld.insurance.arkansas.gov/NPILookup?Npi=1407808132","1407808132")</f>
        <v>1407808132</v>
      </c>
      <c r="E25662" t="s">
        <v>7028</v>
      </c>
    </row>
    <row r="25663" spans="1:5" x14ac:dyDescent="0.25">
      <c r="A25663" t="s">
        <v>9</v>
      </c>
      <c r="B25663" t="s">
        <v>6836</v>
      </c>
      <c r="C25663" s="1" t="s">
        <v>23490</v>
      </c>
      <c r="D25663" s="1" t="str">
        <f>HYPERLINK("https://rhld.insurance.arkansas.gov/NPILookup?Npi=1407817737","1407817737")</f>
        <v>1407817737</v>
      </c>
      <c r="E25663" t="s">
        <v>16499</v>
      </c>
    </row>
    <row r="25664" spans="1:5" x14ac:dyDescent="0.25">
      <c r="A25664" t="s">
        <v>9</v>
      </c>
      <c r="B25664" t="s">
        <v>6836</v>
      </c>
      <c r="C25664" s="1" t="s">
        <v>23490</v>
      </c>
      <c r="D25664" s="1" t="str">
        <f>HYPERLINK("https://rhld.insurance.arkansas.gov/NPILookup?Npi=1407831233","1407831233")</f>
        <v>1407831233</v>
      </c>
      <c r="E25664" t="s">
        <v>22612</v>
      </c>
    </row>
    <row r="25665" spans="1:5" x14ac:dyDescent="0.25">
      <c r="A25665" t="s">
        <v>9</v>
      </c>
      <c r="B25665" t="s">
        <v>6836</v>
      </c>
      <c r="C25665" s="1" t="s">
        <v>23490</v>
      </c>
      <c r="D25665" s="1" t="str">
        <f>HYPERLINK("https://rhld.insurance.arkansas.gov/NPILookup?Npi=1407844202","1407844202")</f>
        <v>1407844202</v>
      </c>
      <c r="E25665" t="s">
        <v>16500</v>
      </c>
    </row>
    <row r="25666" spans="1:5" x14ac:dyDescent="0.25">
      <c r="A25666" t="s">
        <v>9</v>
      </c>
      <c r="B25666" t="s">
        <v>6836</v>
      </c>
      <c r="C25666" s="1" t="s">
        <v>23490</v>
      </c>
      <c r="D25666" s="1" t="str">
        <f>HYPERLINK("https://rhld.insurance.arkansas.gov/NPILookup?Npi=1407852734","1407852734")</f>
        <v>1407852734</v>
      </c>
      <c r="E25666" t="s">
        <v>7029</v>
      </c>
    </row>
    <row r="25667" spans="1:5" x14ac:dyDescent="0.25">
      <c r="A25667" t="s">
        <v>9</v>
      </c>
      <c r="B25667" t="s">
        <v>6836</v>
      </c>
      <c r="C25667" s="1" t="s">
        <v>23490</v>
      </c>
      <c r="D25667" s="1" t="str">
        <f>HYPERLINK("https://rhld.insurance.arkansas.gov/NPILookup?Npi=1407894215","1407894215")</f>
        <v>1407894215</v>
      </c>
      <c r="E25667" t="s">
        <v>18544</v>
      </c>
    </row>
    <row r="25668" spans="1:5" x14ac:dyDescent="0.25">
      <c r="A25668" t="s">
        <v>9</v>
      </c>
      <c r="B25668" t="s">
        <v>6836</v>
      </c>
      <c r="C25668" s="1" t="s">
        <v>23490</v>
      </c>
      <c r="D25668" s="1" t="str">
        <f>HYPERLINK("https://rhld.insurance.arkansas.gov/NPILookup?Npi=1407959760","1407959760")</f>
        <v>1407959760</v>
      </c>
      <c r="E25668" t="s">
        <v>16501</v>
      </c>
    </row>
    <row r="25669" spans="1:5" x14ac:dyDescent="0.25">
      <c r="A25669" t="s">
        <v>9</v>
      </c>
      <c r="B25669" t="s">
        <v>6836</v>
      </c>
      <c r="C25669" s="1" t="s">
        <v>23490</v>
      </c>
      <c r="D25669" s="1" t="str">
        <f>HYPERLINK("https://rhld.insurance.arkansas.gov/NPILookup?Npi=1407990740","1407990740")</f>
        <v>1407990740</v>
      </c>
      <c r="E25669" t="s">
        <v>17730</v>
      </c>
    </row>
    <row r="25670" spans="1:5" x14ac:dyDescent="0.25">
      <c r="A25670" t="s">
        <v>9</v>
      </c>
      <c r="B25670" t="s">
        <v>6836</v>
      </c>
      <c r="C25670" s="1" t="s">
        <v>23490</v>
      </c>
      <c r="D25670" s="1" t="str">
        <f>HYPERLINK("https://rhld.insurance.arkansas.gov/NPILookup?Npi=1417037383","1417037383")</f>
        <v>1417037383</v>
      </c>
      <c r="E25670" t="s">
        <v>7030</v>
      </c>
    </row>
    <row r="25671" spans="1:5" x14ac:dyDescent="0.25">
      <c r="A25671" t="s">
        <v>9</v>
      </c>
      <c r="B25671" t="s">
        <v>6836</v>
      </c>
      <c r="C25671" s="1" t="s">
        <v>23490</v>
      </c>
      <c r="D25671" s="1" t="str">
        <f>HYPERLINK("https://rhld.insurance.arkansas.gov/NPILookup?Npi=1417121013","1417121013")</f>
        <v>1417121013</v>
      </c>
      <c r="E25671" t="s">
        <v>7031</v>
      </c>
    </row>
    <row r="25672" spans="1:5" x14ac:dyDescent="0.25">
      <c r="A25672" t="s">
        <v>9</v>
      </c>
      <c r="B25672" t="s">
        <v>6836</v>
      </c>
      <c r="C25672" s="1" t="s">
        <v>23490</v>
      </c>
      <c r="D25672" s="1" t="str">
        <f>HYPERLINK("https://rhld.insurance.arkansas.gov/NPILookup?Npi=1417132689","1417132689")</f>
        <v>1417132689</v>
      </c>
      <c r="E25672" t="s">
        <v>7032</v>
      </c>
    </row>
    <row r="25673" spans="1:5" x14ac:dyDescent="0.25">
      <c r="A25673" t="s">
        <v>9</v>
      </c>
      <c r="B25673" t="s">
        <v>6836</v>
      </c>
      <c r="C25673" s="1" t="s">
        <v>23490</v>
      </c>
      <c r="D25673" s="1" t="str">
        <f>HYPERLINK("https://rhld.insurance.arkansas.gov/NPILookup?Npi=1417174491","1417174491")</f>
        <v>1417174491</v>
      </c>
      <c r="E25673" t="s">
        <v>7033</v>
      </c>
    </row>
    <row r="25674" spans="1:5" x14ac:dyDescent="0.25">
      <c r="A25674" t="s">
        <v>9</v>
      </c>
      <c r="B25674" t="s">
        <v>6836</v>
      </c>
      <c r="C25674" s="1" t="s">
        <v>23490</v>
      </c>
      <c r="D25674" s="1" t="str">
        <f>HYPERLINK("https://rhld.insurance.arkansas.gov/NPILookup?Npi=1417247628","1417247628")</f>
        <v>1417247628</v>
      </c>
      <c r="E25674" t="s">
        <v>7034</v>
      </c>
    </row>
    <row r="25675" spans="1:5" x14ac:dyDescent="0.25">
      <c r="A25675" t="s">
        <v>9</v>
      </c>
      <c r="B25675" t="s">
        <v>6836</v>
      </c>
      <c r="C25675" s="1" t="s">
        <v>23490</v>
      </c>
      <c r="D25675" s="1" t="str">
        <f>HYPERLINK("https://rhld.insurance.arkansas.gov/NPILookup?Npi=1417953811","1417953811")</f>
        <v>1417953811</v>
      </c>
      <c r="E25675" t="s">
        <v>7035</v>
      </c>
    </row>
    <row r="25676" spans="1:5" x14ac:dyDescent="0.25">
      <c r="A25676" t="s">
        <v>9</v>
      </c>
      <c r="B25676" t="s">
        <v>6836</v>
      </c>
      <c r="C25676" s="1" t="s">
        <v>23490</v>
      </c>
      <c r="D25676" s="1" t="str">
        <f>HYPERLINK("https://rhld.insurance.arkansas.gov/NPILookup?Npi=1417958042","1417958042")</f>
        <v>1417958042</v>
      </c>
      <c r="E25676" t="s">
        <v>7036</v>
      </c>
    </row>
    <row r="25677" spans="1:5" x14ac:dyDescent="0.25">
      <c r="A25677" t="s">
        <v>9</v>
      </c>
      <c r="B25677" t="s">
        <v>6836</v>
      </c>
      <c r="C25677" s="1" t="s">
        <v>23490</v>
      </c>
      <c r="D25677" s="1" t="str">
        <f>HYPERLINK("https://rhld.insurance.arkansas.gov/NPILookup?Npi=1427016310","1427016310")</f>
        <v>1427016310</v>
      </c>
      <c r="E25677" t="s">
        <v>7037</v>
      </c>
    </row>
    <row r="25678" spans="1:5" x14ac:dyDescent="0.25">
      <c r="A25678" t="s">
        <v>9</v>
      </c>
      <c r="B25678" t="s">
        <v>6836</v>
      </c>
      <c r="C25678" s="1" t="s">
        <v>23490</v>
      </c>
      <c r="D25678" s="1" t="str">
        <f>HYPERLINK("https://rhld.insurance.arkansas.gov/NPILookup?Npi=1427020882","1427020882")</f>
        <v>1427020882</v>
      </c>
      <c r="E25678" t="s">
        <v>7038</v>
      </c>
    </row>
    <row r="25679" spans="1:5" x14ac:dyDescent="0.25">
      <c r="A25679" t="s">
        <v>9</v>
      </c>
      <c r="B25679" t="s">
        <v>6836</v>
      </c>
      <c r="C25679" s="1" t="s">
        <v>23490</v>
      </c>
      <c r="D25679" s="1" t="str">
        <f>HYPERLINK("https://rhld.insurance.arkansas.gov/NPILookup?Npi=1427028638","1427028638")</f>
        <v>1427028638</v>
      </c>
      <c r="E25679" t="s">
        <v>7039</v>
      </c>
    </row>
    <row r="25680" spans="1:5" x14ac:dyDescent="0.25">
      <c r="A25680" t="s">
        <v>9</v>
      </c>
      <c r="B25680" t="s">
        <v>6836</v>
      </c>
      <c r="C25680" s="1" t="s">
        <v>23490</v>
      </c>
      <c r="D25680" s="1" t="str">
        <f>HYPERLINK("https://rhld.insurance.arkansas.gov/NPILookup?Npi=1427085182","1427085182")</f>
        <v>1427085182</v>
      </c>
      <c r="E25680" t="s">
        <v>350</v>
      </c>
    </row>
    <row r="25681" spans="1:5" x14ac:dyDescent="0.25">
      <c r="A25681" t="s">
        <v>9</v>
      </c>
      <c r="B25681" t="s">
        <v>6836</v>
      </c>
      <c r="C25681" s="1" t="s">
        <v>23490</v>
      </c>
      <c r="D25681" s="1" t="str">
        <f>HYPERLINK("https://rhld.insurance.arkansas.gov/NPILookup?Npi=1427088988","1427088988")</f>
        <v>1427088988</v>
      </c>
      <c r="E25681" t="s">
        <v>7040</v>
      </c>
    </row>
    <row r="25682" spans="1:5" x14ac:dyDescent="0.25">
      <c r="A25682" t="s">
        <v>9</v>
      </c>
      <c r="B25682" t="s">
        <v>6836</v>
      </c>
      <c r="C25682" s="1" t="s">
        <v>23490</v>
      </c>
      <c r="D25682" s="1" t="str">
        <f>HYPERLINK("https://rhld.insurance.arkansas.gov/NPILookup?Npi=1427234764","1427234764")</f>
        <v>1427234764</v>
      </c>
      <c r="E25682" t="s">
        <v>7041</v>
      </c>
    </row>
    <row r="25683" spans="1:5" x14ac:dyDescent="0.25">
      <c r="A25683" t="s">
        <v>9</v>
      </c>
      <c r="B25683" t="s">
        <v>6836</v>
      </c>
      <c r="C25683" s="1" t="s">
        <v>23490</v>
      </c>
      <c r="D25683" s="1" t="str">
        <f>HYPERLINK("https://rhld.insurance.arkansas.gov/NPILookup?Npi=1427286236","1427286236")</f>
        <v>1427286236</v>
      </c>
      <c r="E25683" t="s">
        <v>16502</v>
      </c>
    </row>
    <row r="25684" spans="1:5" x14ac:dyDescent="0.25">
      <c r="A25684" t="s">
        <v>9</v>
      </c>
      <c r="B25684" t="s">
        <v>6836</v>
      </c>
      <c r="C25684" s="1" t="s">
        <v>23490</v>
      </c>
      <c r="D25684" s="1" t="str">
        <f>HYPERLINK("https://rhld.insurance.arkansas.gov/NPILookup?Npi=1427421288","1427421288")</f>
        <v>1427421288</v>
      </c>
      <c r="E25684" t="s">
        <v>12073</v>
      </c>
    </row>
    <row r="25685" spans="1:5" x14ac:dyDescent="0.25">
      <c r="A25685" t="s">
        <v>9</v>
      </c>
      <c r="B25685" t="s">
        <v>6836</v>
      </c>
      <c r="C25685" s="1" t="s">
        <v>23490</v>
      </c>
      <c r="D25685" s="1" t="str">
        <f>HYPERLINK("https://rhld.insurance.arkansas.gov/NPILookup?Npi=1427541630","1427541630")</f>
        <v>1427541630</v>
      </c>
      <c r="E25685" t="s">
        <v>13532</v>
      </c>
    </row>
    <row r="25686" spans="1:5" x14ac:dyDescent="0.25">
      <c r="A25686" t="s">
        <v>9</v>
      </c>
      <c r="B25686" t="s">
        <v>6836</v>
      </c>
      <c r="C25686" s="1" t="s">
        <v>23490</v>
      </c>
      <c r="D25686" s="1" t="str">
        <f>HYPERLINK("https://rhld.insurance.arkansas.gov/NPILookup?Npi=1437115201","1437115201")</f>
        <v>1437115201</v>
      </c>
      <c r="E25686" t="s">
        <v>7042</v>
      </c>
    </row>
    <row r="25687" spans="1:5" x14ac:dyDescent="0.25">
      <c r="A25687" t="s">
        <v>9</v>
      </c>
      <c r="B25687" t="s">
        <v>6836</v>
      </c>
      <c r="C25687" s="1" t="s">
        <v>23490</v>
      </c>
      <c r="D25687" s="1" t="str">
        <f>HYPERLINK("https://rhld.insurance.arkansas.gov/NPILookup?Npi=1437124757","1437124757")</f>
        <v>1437124757</v>
      </c>
      <c r="E25687" t="s">
        <v>7043</v>
      </c>
    </row>
    <row r="25688" spans="1:5" x14ac:dyDescent="0.25">
      <c r="A25688" t="s">
        <v>9</v>
      </c>
      <c r="B25688" t="s">
        <v>6836</v>
      </c>
      <c r="C25688" s="1" t="s">
        <v>8427</v>
      </c>
      <c r="D25688" s="1" t="str">
        <f>HYPERLINK("https://rhld.insurance.arkansas.gov/NPILookup?Npi=1437279254","1437279254")</f>
        <v>1437279254</v>
      </c>
      <c r="E25688" t="s">
        <v>23301</v>
      </c>
    </row>
    <row r="25689" spans="1:5" x14ac:dyDescent="0.25">
      <c r="A25689" t="s">
        <v>9</v>
      </c>
      <c r="B25689" t="s">
        <v>6836</v>
      </c>
      <c r="C25689" s="1" t="s">
        <v>23490</v>
      </c>
      <c r="D25689" s="1" t="str">
        <f>HYPERLINK("https://rhld.insurance.arkansas.gov/NPILookup?Npi=1437291697","1437291697")</f>
        <v>1437291697</v>
      </c>
      <c r="E25689" t="s">
        <v>16503</v>
      </c>
    </row>
    <row r="25690" spans="1:5" x14ac:dyDescent="0.25">
      <c r="A25690" t="s">
        <v>9</v>
      </c>
      <c r="B25690" t="s">
        <v>6836</v>
      </c>
      <c r="C25690" s="1" t="s">
        <v>23490</v>
      </c>
      <c r="D25690" s="1" t="str">
        <f>HYPERLINK("https://rhld.insurance.arkansas.gov/NPILookup?Npi=1437444122","1437444122")</f>
        <v>1437444122</v>
      </c>
      <c r="E25690" t="s">
        <v>9250</v>
      </c>
    </row>
    <row r="25691" spans="1:5" x14ac:dyDescent="0.25">
      <c r="A25691" t="s">
        <v>9</v>
      </c>
      <c r="B25691" t="s">
        <v>6836</v>
      </c>
      <c r="C25691" s="1" t="s">
        <v>23490</v>
      </c>
      <c r="D25691" s="1" t="str">
        <f>HYPERLINK("https://rhld.insurance.arkansas.gov/NPILookup?Npi=1437477189","1437477189")</f>
        <v>1437477189</v>
      </c>
      <c r="E25691" t="s">
        <v>7044</v>
      </c>
    </row>
    <row r="25692" spans="1:5" x14ac:dyDescent="0.25">
      <c r="A25692" t="s">
        <v>9</v>
      </c>
      <c r="B25692" t="s">
        <v>6836</v>
      </c>
      <c r="C25692" s="1" t="s">
        <v>23490</v>
      </c>
      <c r="D25692" s="1" t="str">
        <f>HYPERLINK("https://rhld.insurance.arkansas.gov/NPILookup?Npi=1437576469","1437576469")</f>
        <v>1437576469</v>
      </c>
      <c r="E25692" t="s">
        <v>8673</v>
      </c>
    </row>
    <row r="25693" spans="1:5" x14ac:dyDescent="0.25">
      <c r="A25693" t="s">
        <v>9</v>
      </c>
      <c r="B25693" t="s">
        <v>6836</v>
      </c>
      <c r="C25693" s="1" t="s">
        <v>23490</v>
      </c>
      <c r="D25693" s="1" t="str">
        <f>HYPERLINK("https://rhld.insurance.arkansas.gov/NPILookup?Npi=1447203450","1447203450")</f>
        <v>1447203450</v>
      </c>
      <c r="E25693" t="s">
        <v>22613</v>
      </c>
    </row>
    <row r="25694" spans="1:5" x14ac:dyDescent="0.25">
      <c r="A25694" t="s">
        <v>9</v>
      </c>
      <c r="B25694" t="s">
        <v>6836</v>
      </c>
      <c r="C25694" s="1" t="s">
        <v>23490</v>
      </c>
      <c r="D25694" s="1" t="str">
        <f>HYPERLINK("https://rhld.insurance.arkansas.gov/NPILookup?Npi=1447208038","1447208038")</f>
        <v>1447208038</v>
      </c>
      <c r="E25694" t="s">
        <v>7045</v>
      </c>
    </row>
    <row r="25695" spans="1:5" x14ac:dyDescent="0.25">
      <c r="A25695" t="s">
        <v>9</v>
      </c>
      <c r="B25695" t="s">
        <v>6836</v>
      </c>
      <c r="C25695" s="1" t="s">
        <v>23490</v>
      </c>
      <c r="D25695" s="1" t="str">
        <f>HYPERLINK("https://rhld.insurance.arkansas.gov/NPILookup?Npi=1447227244","1447227244")</f>
        <v>1447227244</v>
      </c>
      <c r="E25695" t="s">
        <v>7046</v>
      </c>
    </row>
    <row r="25696" spans="1:5" x14ac:dyDescent="0.25">
      <c r="A25696" t="s">
        <v>9</v>
      </c>
      <c r="B25696" t="s">
        <v>6836</v>
      </c>
      <c r="C25696" s="1" t="s">
        <v>23490</v>
      </c>
      <c r="D25696" s="1" t="str">
        <f>HYPERLINK("https://rhld.insurance.arkansas.gov/NPILookup?Npi=1447232517","1447232517")</f>
        <v>1447232517</v>
      </c>
      <c r="E25696" t="s">
        <v>7047</v>
      </c>
    </row>
    <row r="25697" spans="1:5" x14ac:dyDescent="0.25">
      <c r="A25697" t="s">
        <v>9</v>
      </c>
      <c r="B25697" t="s">
        <v>6836</v>
      </c>
      <c r="C25697" s="1" t="s">
        <v>23490</v>
      </c>
      <c r="D25697" s="1" t="str">
        <f>HYPERLINK("https://rhld.insurance.arkansas.gov/NPILookup?Npi=1447265509","1447265509")</f>
        <v>1447265509</v>
      </c>
      <c r="E25697" t="s">
        <v>21431</v>
      </c>
    </row>
    <row r="25698" spans="1:5" x14ac:dyDescent="0.25">
      <c r="A25698" t="s">
        <v>9</v>
      </c>
      <c r="B25698" t="s">
        <v>6836</v>
      </c>
      <c r="C25698" s="1" t="s">
        <v>23490</v>
      </c>
      <c r="D25698" s="1" t="str">
        <f>HYPERLINK("https://rhld.insurance.arkansas.gov/NPILookup?Npi=1447477070","1447477070")</f>
        <v>1447477070</v>
      </c>
      <c r="E25698" t="s">
        <v>7048</v>
      </c>
    </row>
    <row r="25699" spans="1:5" x14ac:dyDescent="0.25">
      <c r="A25699" t="s">
        <v>9</v>
      </c>
      <c r="B25699" t="s">
        <v>6836</v>
      </c>
      <c r="C25699" s="1" t="s">
        <v>23490</v>
      </c>
      <c r="D25699" s="1" t="str">
        <f>HYPERLINK("https://rhld.insurance.arkansas.gov/NPILookup?Npi=1447570940","1447570940")</f>
        <v>1447570940</v>
      </c>
      <c r="E25699" t="s">
        <v>22614</v>
      </c>
    </row>
    <row r="25700" spans="1:5" x14ac:dyDescent="0.25">
      <c r="A25700" t="s">
        <v>9</v>
      </c>
      <c r="B25700" t="s">
        <v>6836</v>
      </c>
      <c r="C25700" s="1" t="s">
        <v>23490</v>
      </c>
      <c r="D25700" s="1" t="str">
        <f>HYPERLINK("https://rhld.insurance.arkansas.gov/NPILookup?Npi=1447645940","1447645940")</f>
        <v>1447645940</v>
      </c>
      <c r="E25700" t="s">
        <v>16504</v>
      </c>
    </row>
    <row r="25701" spans="1:5" x14ac:dyDescent="0.25">
      <c r="A25701" t="s">
        <v>9</v>
      </c>
      <c r="B25701" t="s">
        <v>6836</v>
      </c>
      <c r="C25701" s="1" t="s">
        <v>23490</v>
      </c>
      <c r="D25701" s="1" t="str">
        <f>HYPERLINK("https://rhld.insurance.arkansas.gov/NPILookup?Npi=1447676937","1447676937")</f>
        <v>1447676937</v>
      </c>
      <c r="E25701" t="s">
        <v>14458</v>
      </c>
    </row>
    <row r="25702" spans="1:5" x14ac:dyDescent="0.25">
      <c r="A25702" t="s">
        <v>9</v>
      </c>
      <c r="B25702" t="s">
        <v>6836</v>
      </c>
      <c r="C25702" s="1" t="s">
        <v>23490</v>
      </c>
      <c r="D25702" s="1" t="str">
        <f>HYPERLINK("https://rhld.insurance.arkansas.gov/NPILookup?Npi=1457454704","1457454704")</f>
        <v>1457454704</v>
      </c>
      <c r="E25702" t="s">
        <v>16505</v>
      </c>
    </row>
    <row r="25703" spans="1:5" x14ac:dyDescent="0.25">
      <c r="A25703" t="s">
        <v>9</v>
      </c>
      <c r="B25703" t="s">
        <v>6836</v>
      </c>
      <c r="C25703" s="1" t="s">
        <v>23490</v>
      </c>
      <c r="D25703" s="1" t="str">
        <f>HYPERLINK("https://rhld.insurance.arkansas.gov/NPILookup?Npi=1457770372","1457770372")</f>
        <v>1457770372</v>
      </c>
      <c r="E25703" t="s">
        <v>14459</v>
      </c>
    </row>
    <row r="25704" spans="1:5" x14ac:dyDescent="0.25">
      <c r="A25704" t="s">
        <v>9</v>
      </c>
      <c r="B25704" t="s">
        <v>6836</v>
      </c>
      <c r="C25704" s="1" t="s">
        <v>23490</v>
      </c>
      <c r="D25704" s="1" t="str">
        <f>HYPERLINK("https://rhld.insurance.arkansas.gov/NPILookup?Npi=1457790610","1457790610")</f>
        <v>1457790610</v>
      </c>
      <c r="E25704" t="s">
        <v>12074</v>
      </c>
    </row>
    <row r="25705" spans="1:5" x14ac:dyDescent="0.25">
      <c r="A25705" t="s">
        <v>9</v>
      </c>
      <c r="B25705" t="s">
        <v>6836</v>
      </c>
      <c r="C25705" s="1" t="s">
        <v>23490</v>
      </c>
      <c r="D25705" s="1" t="str">
        <f>HYPERLINK("https://rhld.insurance.arkansas.gov/NPILookup?Npi=1457812869","1457812869")</f>
        <v>1457812869</v>
      </c>
      <c r="E25705" t="s">
        <v>16506</v>
      </c>
    </row>
    <row r="25706" spans="1:5" x14ac:dyDescent="0.25">
      <c r="A25706" t="s">
        <v>9</v>
      </c>
      <c r="B25706" t="s">
        <v>6836</v>
      </c>
      <c r="C25706" s="1" t="s">
        <v>23490</v>
      </c>
      <c r="D25706" s="1" t="str">
        <f>HYPERLINK("https://rhld.insurance.arkansas.gov/NPILookup?Npi=1457879801","1457879801")</f>
        <v>1457879801</v>
      </c>
      <c r="E25706" t="s">
        <v>16507</v>
      </c>
    </row>
    <row r="25707" spans="1:5" x14ac:dyDescent="0.25">
      <c r="A25707" t="s">
        <v>9</v>
      </c>
      <c r="B25707" t="s">
        <v>6836</v>
      </c>
      <c r="C25707" s="1" t="s">
        <v>23490</v>
      </c>
      <c r="D25707" s="1" t="str">
        <f>HYPERLINK("https://rhld.insurance.arkansas.gov/NPILookup?Npi=1467417394","1467417394")</f>
        <v>1467417394</v>
      </c>
      <c r="E25707" t="s">
        <v>242</v>
      </c>
    </row>
    <row r="25708" spans="1:5" x14ac:dyDescent="0.25">
      <c r="A25708" t="s">
        <v>9</v>
      </c>
      <c r="B25708" t="s">
        <v>6836</v>
      </c>
      <c r="C25708" s="1" t="s">
        <v>23490</v>
      </c>
      <c r="D25708" s="1" t="str">
        <f>HYPERLINK("https://rhld.insurance.arkansas.gov/NPILookup?Npi=1467472464","1467472464")</f>
        <v>1467472464</v>
      </c>
      <c r="E25708" t="s">
        <v>20735</v>
      </c>
    </row>
    <row r="25709" spans="1:5" x14ac:dyDescent="0.25">
      <c r="A25709" t="s">
        <v>9</v>
      </c>
      <c r="B25709" t="s">
        <v>6836</v>
      </c>
      <c r="C25709" s="1" t="s">
        <v>23490</v>
      </c>
      <c r="D25709" s="1" t="str">
        <f>HYPERLINK("https://rhld.insurance.arkansas.gov/NPILookup?Npi=1467489203","1467489203")</f>
        <v>1467489203</v>
      </c>
      <c r="E25709" t="s">
        <v>4243</v>
      </c>
    </row>
    <row r="25710" spans="1:5" x14ac:dyDescent="0.25">
      <c r="A25710" t="s">
        <v>9</v>
      </c>
      <c r="B25710" t="s">
        <v>6836</v>
      </c>
      <c r="C25710" s="1" t="s">
        <v>23490</v>
      </c>
      <c r="D25710" s="1" t="str">
        <f>HYPERLINK("https://rhld.insurance.arkansas.gov/NPILookup?Npi=1467624783","1467624783")</f>
        <v>1467624783</v>
      </c>
      <c r="E25710" t="s">
        <v>7049</v>
      </c>
    </row>
    <row r="25711" spans="1:5" x14ac:dyDescent="0.25">
      <c r="A25711" t="s">
        <v>9</v>
      </c>
      <c r="B25711" t="s">
        <v>6836</v>
      </c>
      <c r="C25711" s="1" t="s">
        <v>23490</v>
      </c>
      <c r="D25711" s="1" t="str">
        <f>HYPERLINK("https://rhld.insurance.arkansas.gov/NPILookup?Npi=1477528867","1477528867")</f>
        <v>1477528867</v>
      </c>
      <c r="E25711" t="s">
        <v>7050</v>
      </c>
    </row>
    <row r="25712" spans="1:5" x14ac:dyDescent="0.25">
      <c r="A25712" t="s">
        <v>9</v>
      </c>
      <c r="B25712" t="s">
        <v>6836</v>
      </c>
      <c r="C25712" s="1" t="s">
        <v>23490</v>
      </c>
      <c r="D25712" s="1" t="str">
        <f>HYPERLINK("https://rhld.insurance.arkansas.gov/NPILookup?Npi=1477620458","1477620458")</f>
        <v>1477620458</v>
      </c>
      <c r="E25712" t="s">
        <v>16508</v>
      </c>
    </row>
    <row r="25713" spans="1:5" x14ac:dyDescent="0.25">
      <c r="A25713" t="s">
        <v>9</v>
      </c>
      <c r="B25713" t="s">
        <v>6836</v>
      </c>
      <c r="C25713" s="1" t="s">
        <v>23490</v>
      </c>
      <c r="D25713" s="1" t="str">
        <f>HYPERLINK("https://rhld.insurance.arkansas.gov/NPILookup?Npi=1477764769","1477764769")</f>
        <v>1477764769</v>
      </c>
      <c r="E25713" t="s">
        <v>7051</v>
      </c>
    </row>
    <row r="25714" spans="1:5" x14ac:dyDescent="0.25">
      <c r="A25714" t="s">
        <v>9</v>
      </c>
      <c r="B25714" t="s">
        <v>6836</v>
      </c>
      <c r="C25714" s="1" t="s">
        <v>23490</v>
      </c>
      <c r="D25714" s="1" t="str">
        <f>HYPERLINK("https://rhld.insurance.arkansas.gov/NPILookup?Npi=1477768000","1477768000")</f>
        <v>1477768000</v>
      </c>
      <c r="E25714" t="s">
        <v>7052</v>
      </c>
    </row>
    <row r="25715" spans="1:5" x14ac:dyDescent="0.25">
      <c r="A25715" t="s">
        <v>9</v>
      </c>
      <c r="B25715" t="s">
        <v>6836</v>
      </c>
      <c r="C25715" s="1" t="s">
        <v>23490</v>
      </c>
      <c r="D25715" s="1" t="str">
        <f>HYPERLINK("https://rhld.insurance.arkansas.gov/NPILookup?Npi=1477831261","1477831261")</f>
        <v>1477831261</v>
      </c>
      <c r="E25715" t="s">
        <v>7053</v>
      </c>
    </row>
    <row r="25716" spans="1:5" x14ac:dyDescent="0.25">
      <c r="A25716" t="s">
        <v>9</v>
      </c>
      <c r="B25716" t="s">
        <v>6836</v>
      </c>
      <c r="C25716" s="1" t="s">
        <v>23490</v>
      </c>
      <c r="D25716" s="1" t="str">
        <f>HYPERLINK("https://rhld.insurance.arkansas.gov/NPILookup?Npi=1477993665","1477993665")</f>
        <v>1477993665</v>
      </c>
      <c r="E25716" t="s">
        <v>12075</v>
      </c>
    </row>
    <row r="25717" spans="1:5" x14ac:dyDescent="0.25">
      <c r="A25717" t="s">
        <v>9</v>
      </c>
      <c r="B25717" t="s">
        <v>6836</v>
      </c>
      <c r="C25717" s="1" t="s">
        <v>23490</v>
      </c>
      <c r="D25717" s="1" t="str">
        <f>HYPERLINK("https://rhld.insurance.arkansas.gov/NPILookup?Npi=1487072062","1487072062")</f>
        <v>1487072062</v>
      </c>
      <c r="E25717" t="s">
        <v>22615</v>
      </c>
    </row>
    <row r="25718" spans="1:5" x14ac:dyDescent="0.25">
      <c r="A25718" t="s">
        <v>9</v>
      </c>
      <c r="B25718" t="s">
        <v>6836</v>
      </c>
      <c r="C25718" s="1" t="s">
        <v>23490</v>
      </c>
      <c r="D25718" s="1" t="str">
        <f>HYPERLINK("https://rhld.insurance.arkansas.gov/NPILookup?Npi=1487074969","1487074969")</f>
        <v>1487074969</v>
      </c>
      <c r="E25718" t="s">
        <v>14460</v>
      </c>
    </row>
    <row r="25719" spans="1:5" x14ac:dyDescent="0.25">
      <c r="A25719" t="s">
        <v>9</v>
      </c>
      <c r="B25719" t="s">
        <v>6836</v>
      </c>
      <c r="C25719" s="1" t="s">
        <v>23490</v>
      </c>
      <c r="D25719" s="1" t="str">
        <f>HYPERLINK("https://rhld.insurance.arkansas.gov/NPILookup?Npi=1487082699","1487082699")</f>
        <v>1487082699</v>
      </c>
      <c r="E25719" t="s">
        <v>12076</v>
      </c>
    </row>
    <row r="25720" spans="1:5" x14ac:dyDescent="0.25">
      <c r="A25720" t="s">
        <v>9</v>
      </c>
      <c r="B25720" t="s">
        <v>6836</v>
      </c>
      <c r="C25720" s="1" t="s">
        <v>23490</v>
      </c>
      <c r="D25720" s="1" t="str">
        <f>HYPERLINK("https://rhld.insurance.arkansas.gov/NPILookup?Npi=1487665105","1487665105")</f>
        <v>1487665105</v>
      </c>
      <c r="E25720" t="s">
        <v>16509</v>
      </c>
    </row>
    <row r="25721" spans="1:5" x14ac:dyDescent="0.25">
      <c r="A25721" t="s">
        <v>9</v>
      </c>
      <c r="B25721" t="s">
        <v>6836</v>
      </c>
      <c r="C25721" s="1" t="s">
        <v>23490</v>
      </c>
      <c r="D25721" s="1" t="str">
        <f>HYPERLINK("https://rhld.insurance.arkansas.gov/NPILookup?Npi=1487680989","1487680989")</f>
        <v>1487680989</v>
      </c>
      <c r="E25721" t="s">
        <v>7054</v>
      </c>
    </row>
    <row r="25722" spans="1:5" x14ac:dyDescent="0.25">
      <c r="A25722" t="s">
        <v>9</v>
      </c>
      <c r="B25722" t="s">
        <v>6836</v>
      </c>
      <c r="C25722" s="1" t="s">
        <v>23490</v>
      </c>
      <c r="D25722" s="1" t="str">
        <f>HYPERLINK("https://rhld.insurance.arkansas.gov/NPILookup?Npi=1487694790","1487694790")</f>
        <v>1487694790</v>
      </c>
      <c r="E25722" t="s">
        <v>7055</v>
      </c>
    </row>
    <row r="25723" spans="1:5" x14ac:dyDescent="0.25">
      <c r="A25723" t="s">
        <v>9</v>
      </c>
      <c r="B25723" t="s">
        <v>6836</v>
      </c>
      <c r="C25723" s="1" t="s">
        <v>23490</v>
      </c>
      <c r="D25723" s="1" t="str">
        <f>HYPERLINK("https://rhld.insurance.arkansas.gov/NPILookup?Npi=1487766986","1487766986")</f>
        <v>1487766986</v>
      </c>
      <c r="E25723" t="s">
        <v>7056</v>
      </c>
    </row>
    <row r="25724" spans="1:5" x14ac:dyDescent="0.25">
      <c r="A25724" t="s">
        <v>9</v>
      </c>
      <c r="B25724" t="s">
        <v>6836</v>
      </c>
      <c r="C25724" s="1" t="s">
        <v>23490</v>
      </c>
      <c r="D25724" s="1" t="str">
        <f>HYPERLINK("https://rhld.insurance.arkansas.gov/NPILookup?Npi=1497006217","1497006217")</f>
        <v>1497006217</v>
      </c>
      <c r="E25724" t="s">
        <v>7057</v>
      </c>
    </row>
    <row r="25725" spans="1:5" x14ac:dyDescent="0.25">
      <c r="A25725" t="s">
        <v>9</v>
      </c>
      <c r="B25725" t="s">
        <v>6836</v>
      </c>
      <c r="C25725" s="1" t="s">
        <v>23490</v>
      </c>
      <c r="D25725" s="1" t="str">
        <f>HYPERLINK("https://rhld.insurance.arkansas.gov/NPILookup?Npi=1497009062","1497009062")</f>
        <v>1497009062</v>
      </c>
      <c r="E25725" t="s">
        <v>7058</v>
      </c>
    </row>
    <row r="25726" spans="1:5" x14ac:dyDescent="0.25">
      <c r="A25726" t="s">
        <v>9</v>
      </c>
      <c r="B25726" t="s">
        <v>6836</v>
      </c>
      <c r="C25726" s="1" t="s">
        <v>23490</v>
      </c>
      <c r="D25726" s="1" t="str">
        <f>HYPERLINK("https://rhld.insurance.arkansas.gov/NPILookup?Npi=1497045306","1497045306")</f>
        <v>1497045306</v>
      </c>
      <c r="E25726" t="s">
        <v>7059</v>
      </c>
    </row>
    <row r="25727" spans="1:5" x14ac:dyDescent="0.25">
      <c r="A25727" t="s">
        <v>9</v>
      </c>
      <c r="B25727" t="s">
        <v>6836</v>
      </c>
      <c r="C25727" s="1" t="s">
        <v>23490</v>
      </c>
      <c r="D25727" s="1" t="str">
        <f>HYPERLINK("https://rhld.insurance.arkansas.gov/NPILookup?Npi=1497141188","1497141188")</f>
        <v>1497141188</v>
      </c>
      <c r="E25727" t="s">
        <v>16510</v>
      </c>
    </row>
    <row r="25728" spans="1:5" x14ac:dyDescent="0.25">
      <c r="A25728" t="s">
        <v>9</v>
      </c>
      <c r="B25728" t="s">
        <v>6836</v>
      </c>
      <c r="C25728" s="1" t="s">
        <v>23490</v>
      </c>
      <c r="D25728" s="1" t="str">
        <f>HYPERLINK("https://rhld.insurance.arkansas.gov/NPILookup?Npi=1497194864","1497194864")</f>
        <v>1497194864</v>
      </c>
      <c r="E25728" t="s">
        <v>14461</v>
      </c>
    </row>
    <row r="25729" spans="1:5" x14ac:dyDescent="0.25">
      <c r="A25729" t="s">
        <v>9</v>
      </c>
      <c r="B25729" t="s">
        <v>6836</v>
      </c>
      <c r="C25729" s="1" t="s">
        <v>23490</v>
      </c>
      <c r="D25729" s="1" t="str">
        <f>HYPERLINK("https://rhld.insurance.arkansas.gov/NPILookup?Npi=1497195903","1497195903")</f>
        <v>1497195903</v>
      </c>
      <c r="E25729" t="s">
        <v>13265</v>
      </c>
    </row>
    <row r="25730" spans="1:5" x14ac:dyDescent="0.25">
      <c r="A25730" t="s">
        <v>9</v>
      </c>
      <c r="B25730" t="s">
        <v>6836</v>
      </c>
      <c r="C25730" s="1" t="s">
        <v>23490</v>
      </c>
      <c r="D25730" s="1" t="str">
        <f>HYPERLINK("https://rhld.insurance.arkansas.gov/NPILookup?Npi=1497722169","1497722169")</f>
        <v>1497722169</v>
      </c>
      <c r="E25730" t="s">
        <v>14462</v>
      </c>
    </row>
    <row r="25731" spans="1:5" x14ac:dyDescent="0.25">
      <c r="A25731" t="s">
        <v>9</v>
      </c>
      <c r="B25731" t="s">
        <v>6836</v>
      </c>
      <c r="C25731" s="1" t="s">
        <v>23490</v>
      </c>
      <c r="D25731" s="1" t="str">
        <f>HYPERLINK("https://rhld.insurance.arkansas.gov/NPILookup?Npi=1497755383","1497755383")</f>
        <v>1497755383</v>
      </c>
      <c r="E25731" t="s">
        <v>7060</v>
      </c>
    </row>
    <row r="25732" spans="1:5" x14ac:dyDescent="0.25">
      <c r="A25732" t="s">
        <v>9</v>
      </c>
      <c r="B25732" t="s">
        <v>6836</v>
      </c>
      <c r="C25732" s="1" t="s">
        <v>23490</v>
      </c>
      <c r="D25732" s="1" t="str">
        <f>HYPERLINK("https://rhld.insurance.arkansas.gov/NPILookup?Npi=1497756415","1497756415")</f>
        <v>1497756415</v>
      </c>
      <c r="E25732" t="s">
        <v>7061</v>
      </c>
    </row>
    <row r="25733" spans="1:5" x14ac:dyDescent="0.25">
      <c r="A25733" t="s">
        <v>9</v>
      </c>
      <c r="B25733" t="s">
        <v>6836</v>
      </c>
      <c r="C25733" s="1" t="s">
        <v>23490</v>
      </c>
      <c r="D25733" s="1" t="str">
        <f>HYPERLINK("https://rhld.insurance.arkansas.gov/NPILookup?Npi=1497788996","1497788996")</f>
        <v>1497788996</v>
      </c>
      <c r="E25733" t="s">
        <v>9251</v>
      </c>
    </row>
    <row r="25734" spans="1:5" x14ac:dyDescent="0.25">
      <c r="A25734" t="s">
        <v>9</v>
      </c>
      <c r="B25734" t="s">
        <v>6836</v>
      </c>
      <c r="C25734" s="1" t="s">
        <v>23490</v>
      </c>
      <c r="D25734" s="1" t="str">
        <f>HYPERLINK("https://rhld.insurance.arkansas.gov/NPILookup?Npi=1497931166","1497931166")</f>
        <v>1497931166</v>
      </c>
      <c r="E25734" t="s">
        <v>7062</v>
      </c>
    </row>
    <row r="25735" spans="1:5" x14ac:dyDescent="0.25">
      <c r="A25735" t="s">
        <v>9</v>
      </c>
      <c r="B25735" t="s">
        <v>6836</v>
      </c>
      <c r="C25735" s="1" t="s">
        <v>23490</v>
      </c>
      <c r="D25735" s="1" t="str">
        <f>HYPERLINK("https://rhld.insurance.arkansas.gov/NPILookup?Npi=1497937577","1497937577")</f>
        <v>1497937577</v>
      </c>
      <c r="E25735" t="s">
        <v>22616</v>
      </c>
    </row>
    <row r="25736" spans="1:5" x14ac:dyDescent="0.25">
      <c r="A25736" t="s">
        <v>9</v>
      </c>
      <c r="B25736" t="s">
        <v>6836</v>
      </c>
      <c r="C25736" s="1" t="s">
        <v>23490</v>
      </c>
      <c r="D25736" s="1" t="str">
        <f>HYPERLINK("https://rhld.insurance.arkansas.gov/NPILookup?Npi=1497966808","1497966808")</f>
        <v>1497966808</v>
      </c>
      <c r="E25736" t="s">
        <v>7063</v>
      </c>
    </row>
    <row r="25737" spans="1:5" x14ac:dyDescent="0.25">
      <c r="A25737" t="s">
        <v>9</v>
      </c>
      <c r="B25737" t="s">
        <v>6836</v>
      </c>
      <c r="C25737" s="1" t="s">
        <v>23490</v>
      </c>
      <c r="D25737" s="1" t="str">
        <f>HYPERLINK("https://rhld.insurance.arkansas.gov/NPILookup?Npi=1508000167","1508000167")</f>
        <v>1508000167</v>
      </c>
      <c r="E25737" t="s">
        <v>7064</v>
      </c>
    </row>
    <row r="25738" spans="1:5" x14ac:dyDescent="0.25">
      <c r="A25738" t="s">
        <v>9</v>
      </c>
      <c r="B25738" t="s">
        <v>6836</v>
      </c>
      <c r="C25738" s="1" t="s">
        <v>23490</v>
      </c>
      <c r="D25738" s="1" t="str">
        <f>HYPERLINK("https://rhld.insurance.arkansas.gov/NPILookup?Npi=1508060435","1508060435")</f>
        <v>1508060435</v>
      </c>
      <c r="E25738" t="s">
        <v>7065</v>
      </c>
    </row>
    <row r="25739" spans="1:5" x14ac:dyDescent="0.25">
      <c r="A25739" t="s">
        <v>9</v>
      </c>
      <c r="B25739" t="s">
        <v>6836</v>
      </c>
      <c r="C25739" s="1" t="s">
        <v>23490</v>
      </c>
      <c r="D25739" s="1" t="str">
        <f>HYPERLINK("https://rhld.insurance.arkansas.gov/NPILookup?Npi=1508066366","1508066366")</f>
        <v>1508066366</v>
      </c>
      <c r="E25739" t="s">
        <v>7066</v>
      </c>
    </row>
    <row r="25740" spans="1:5" x14ac:dyDescent="0.25">
      <c r="A25740" t="s">
        <v>9</v>
      </c>
      <c r="B25740" t="s">
        <v>6836</v>
      </c>
      <c r="C25740" s="1" t="s">
        <v>23490</v>
      </c>
      <c r="D25740" s="1" t="str">
        <f>HYPERLINK("https://rhld.insurance.arkansas.gov/NPILookup?Npi=1508200395","1508200395")</f>
        <v>1508200395</v>
      </c>
      <c r="E25740" t="s">
        <v>11715</v>
      </c>
    </row>
    <row r="25741" spans="1:5" x14ac:dyDescent="0.25">
      <c r="A25741" t="s">
        <v>9</v>
      </c>
      <c r="B25741" t="s">
        <v>6836</v>
      </c>
      <c r="C25741" s="1" t="s">
        <v>23490</v>
      </c>
      <c r="D25741" s="1" t="str">
        <f>HYPERLINK("https://rhld.insurance.arkansas.gov/NPILookup?Npi=1508812850","1508812850")</f>
        <v>1508812850</v>
      </c>
      <c r="E25741" t="s">
        <v>7067</v>
      </c>
    </row>
    <row r="25742" spans="1:5" x14ac:dyDescent="0.25">
      <c r="A25742" t="s">
        <v>9</v>
      </c>
      <c r="B25742" t="s">
        <v>6836</v>
      </c>
      <c r="C25742" s="1" t="s">
        <v>23490</v>
      </c>
      <c r="D25742" s="1" t="str">
        <f>HYPERLINK("https://rhld.insurance.arkansas.gov/NPILookup?Npi=1508842832","1508842832")</f>
        <v>1508842832</v>
      </c>
      <c r="E25742" t="s">
        <v>12077</v>
      </c>
    </row>
    <row r="25743" spans="1:5" x14ac:dyDescent="0.25">
      <c r="A25743" t="s">
        <v>9</v>
      </c>
      <c r="B25743" t="s">
        <v>6836</v>
      </c>
      <c r="C25743" s="1" t="s">
        <v>23490</v>
      </c>
      <c r="D25743" s="1" t="str">
        <f>HYPERLINK("https://rhld.insurance.arkansas.gov/NPILookup?Npi=1508851833","1508851833")</f>
        <v>1508851833</v>
      </c>
      <c r="E25743" t="s">
        <v>7068</v>
      </c>
    </row>
    <row r="25744" spans="1:5" x14ac:dyDescent="0.25">
      <c r="A25744" t="s">
        <v>9</v>
      </c>
      <c r="B25744" t="s">
        <v>6836</v>
      </c>
      <c r="C25744" s="1" t="s">
        <v>23490</v>
      </c>
      <c r="D25744" s="1" t="str">
        <f>HYPERLINK("https://rhld.insurance.arkansas.gov/NPILookup?Npi=1508863556","1508863556")</f>
        <v>1508863556</v>
      </c>
      <c r="E25744" t="s">
        <v>7069</v>
      </c>
    </row>
    <row r="25745" spans="1:5" x14ac:dyDescent="0.25">
      <c r="A25745" t="s">
        <v>9</v>
      </c>
      <c r="B25745" t="s">
        <v>6836</v>
      </c>
      <c r="C25745" s="1" t="s">
        <v>23490</v>
      </c>
      <c r="D25745" s="1" t="str">
        <f>HYPERLINK("https://rhld.insurance.arkansas.gov/NPILookup?Npi=1508864125","1508864125")</f>
        <v>1508864125</v>
      </c>
      <c r="E25745" t="s">
        <v>7070</v>
      </c>
    </row>
    <row r="25746" spans="1:5" x14ac:dyDescent="0.25">
      <c r="A25746" t="s">
        <v>9</v>
      </c>
      <c r="B25746" t="s">
        <v>6836</v>
      </c>
      <c r="C25746" s="1" t="s">
        <v>23490</v>
      </c>
      <c r="D25746" s="1" t="str">
        <f>HYPERLINK("https://rhld.insurance.arkansas.gov/NPILookup?Npi=1508865809","1508865809")</f>
        <v>1508865809</v>
      </c>
      <c r="E25746" t="s">
        <v>7071</v>
      </c>
    </row>
    <row r="25747" spans="1:5" x14ac:dyDescent="0.25">
      <c r="A25747" t="s">
        <v>9</v>
      </c>
      <c r="B25747" t="s">
        <v>6836</v>
      </c>
      <c r="C25747" s="1" t="s">
        <v>23490</v>
      </c>
      <c r="D25747" s="1" t="str">
        <f>HYPERLINK("https://rhld.insurance.arkansas.gov/NPILookup?Npi=1508972365","1508972365")</f>
        <v>1508972365</v>
      </c>
      <c r="E25747" t="s">
        <v>7072</v>
      </c>
    </row>
    <row r="25748" spans="1:5" x14ac:dyDescent="0.25">
      <c r="A25748" t="s">
        <v>9</v>
      </c>
      <c r="B25748" t="s">
        <v>6836</v>
      </c>
      <c r="C25748" s="1" t="s">
        <v>23490</v>
      </c>
      <c r="D25748" s="1" t="str">
        <f>HYPERLINK("https://rhld.insurance.arkansas.gov/NPILookup?Npi=1518115971","1518115971")</f>
        <v>1518115971</v>
      </c>
      <c r="E25748" t="s">
        <v>16511</v>
      </c>
    </row>
    <row r="25749" spans="1:5" x14ac:dyDescent="0.25">
      <c r="A25749" t="s">
        <v>9</v>
      </c>
      <c r="B25749" t="s">
        <v>6836</v>
      </c>
      <c r="C25749" s="1" t="s">
        <v>23490</v>
      </c>
      <c r="D25749" s="1" t="str">
        <f>HYPERLINK("https://rhld.insurance.arkansas.gov/NPILookup?Npi=1518178938","1518178938")</f>
        <v>1518178938</v>
      </c>
      <c r="E25749" t="s">
        <v>7073</v>
      </c>
    </row>
    <row r="25750" spans="1:5" x14ac:dyDescent="0.25">
      <c r="A25750" t="s">
        <v>9</v>
      </c>
      <c r="B25750" t="s">
        <v>6836</v>
      </c>
      <c r="C25750" s="1" t="s">
        <v>23490</v>
      </c>
      <c r="D25750" s="1" t="str">
        <f>HYPERLINK("https://rhld.insurance.arkansas.gov/NPILookup?Npi=1518278340","1518278340")</f>
        <v>1518278340</v>
      </c>
      <c r="E25750" t="s">
        <v>16512</v>
      </c>
    </row>
    <row r="25751" spans="1:5" x14ac:dyDescent="0.25">
      <c r="A25751" t="s">
        <v>9</v>
      </c>
      <c r="B25751" t="s">
        <v>6836</v>
      </c>
      <c r="C25751" s="1" t="s">
        <v>23490</v>
      </c>
      <c r="D25751" s="1" t="str">
        <f>HYPERLINK("https://rhld.insurance.arkansas.gov/NPILookup?Npi=1518351402","1518351402")</f>
        <v>1518351402</v>
      </c>
      <c r="E25751" t="s">
        <v>17731</v>
      </c>
    </row>
    <row r="25752" spans="1:5" x14ac:dyDescent="0.25">
      <c r="A25752" t="s">
        <v>9</v>
      </c>
      <c r="B25752" t="s">
        <v>6836</v>
      </c>
      <c r="C25752" s="1" t="s">
        <v>23490</v>
      </c>
      <c r="D25752" s="1" t="str">
        <f>HYPERLINK("https://rhld.insurance.arkansas.gov/NPILookup?Npi=1518387638","1518387638")</f>
        <v>1518387638</v>
      </c>
      <c r="E25752" t="s">
        <v>14463</v>
      </c>
    </row>
    <row r="25753" spans="1:5" x14ac:dyDescent="0.25">
      <c r="A25753" t="s">
        <v>9</v>
      </c>
      <c r="B25753" t="s">
        <v>6836</v>
      </c>
      <c r="C25753" s="1" t="s">
        <v>23490</v>
      </c>
      <c r="D25753" s="1" t="str">
        <f>HYPERLINK("https://rhld.insurance.arkansas.gov/NPILookup?Npi=1518409069","1518409069")</f>
        <v>1518409069</v>
      </c>
      <c r="E25753" t="s">
        <v>16513</v>
      </c>
    </row>
    <row r="25754" spans="1:5" x14ac:dyDescent="0.25">
      <c r="A25754" t="s">
        <v>9</v>
      </c>
      <c r="B25754" t="s">
        <v>6836</v>
      </c>
      <c r="C25754" s="1" t="s">
        <v>23490</v>
      </c>
      <c r="D25754" s="1" t="str">
        <f>HYPERLINK("https://rhld.insurance.arkansas.gov/NPILookup?Npi=1518499557","1518499557")</f>
        <v>1518499557</v>
      </c>
      <c r="E25754" t="s">
        <v>21285</v>
      </c>
    </row>
    <row r="25755" spans="1:5" x14ac:dyDescent="0.25">
      <c r="A25755" t="s">
        <v>9</v>
      </c>
      <c r="B25755" t="s">
        <v>6836</v>
      </c>
      <c r="C25755" s="1" t="s">
        <v>23490</v>
      </c>
      <c r="D25755" s="1" t="str">
        <f>HYPERLINK("https://rhld.insurance.arkansas.gov/NPILookup?Npi=1518909431","1518909431")</f>
        <v>1518909431</v>
      </c>
      <c r="E25755" t="s">
        <v>7074</v>
      </c>
    </row>
    <row r="25756" spans="1:5" x14ac:dyDescent="0.25">
      <c r="A25756" t="s">
        <v>9</v>
      </c>
      <c r="B25756" t="s">
        <v>6836</v>
      </c>
      <c r="C25756" s="1" t="s">
        <v>23490</v>
      </c>
      <c r="D25756" s="1" t="str">
        <f>HYPERLINK("https://rhld.insurance.arkansas.gov/NPILookup?Npi=1518911684","1518911684")</f>
        <v>1518911684</v>
      </c>
      <c r="E25756" t="s">
        <v>7075</v>
      </c>
    </row>
    <row r="25757" spans="1:5" x14ac:dyDescent="0.25">
      <c r="A25757" t="s">
        <v>9</v>
      </c>
      <c r="B25757" t="s">
        <v>6836</v>
      </c>
      <c r="C25757" s="1" t="s">
        <v>23490</v>
      </c>
      <c r="D25757" s="1" t="str">
        <f>HYPERLINK("https://rhld.insurance.arkansas.gov/NPILookup?Npi=1518958230","1518958230")</f>
        <v>1518958230</v>
      </c>
      <c r="E25757" t="s">
        <v>22617</v>
      </c>
    </row>
    <row r="25758" spans="1:5" x14ac:dyDescent="0.25">
      <c r="A25758" t="s">
        <v>9</v>
      </c>
      <c r="B25758" t="s">
        <v>6836</v>
      </c>
      <c r="C25758" s="1" t="s">
        <v>23490</v>
      </c>
      <c r="D25758" s="1" t="str">
        <f>HYPERLINK("https://rhld.insurance.arkansas.gov/NPILookup?Npi=1528005006","1528005006")</f>
        <v>1528005006</v>
      </c>
      <c r="E25758" t="s">
        <v>7076</v>
      </c>
    </row>
    <row r="25759" spans="1:5" x14ac:dyDescent="0.25">
      <c r="A25759" t="s">
        <v>9</v>
      </c>
      <c r="B25759" t="s">
        <v>6836</v>
      </c>
      <c r="C25759" s="1" t="s">
        <v>23490</v>
      </c>
      <c r="D25759" s="1" t="str">
        <f>HYPERLINK("https://rhld.insurance.arkansas.gov/NPILookup?Npi=1528176740","1528176740")</f>
        <v>1528176740</v>
      </c>
      <c r="E25759" t="s">
        <v>14464</v>
      </c>
    </row>
    <row r="25760" spans="1:5" x14ac:dyDescent="0.25">
      <c r="A25760" t="s">
        <v>9</v>
      </c>
      <c r="B25760" t="s">
        <v>6836</v>
      </c>
      <c r="C25760" s="1" t="s">
        <v>23490</v>
      </c>
      <c r="D25760" s="1" t="str">
        <f>HYPERLINK("https://rhld.insurance.arkansas.gov/NPILookup?Npi=1528223005","1528223005")</f>
        <v>1528223005</v>
      </c>
      <c r="E25760" t="s">
        <v>16514</v>
      </c>
    </row>
    <row r="25761" spans="1:5" x14ac:dyDescent="0.25">
      <c r="A25761" t="s">
        <v>9</v>
      </c>
      <c r="B25761" t="s">
        <v>6836</v>
      </c>
      <c r="C25761" s="1" t="s">
        <v>23490</v>
      </c>
      <c r="D25761" s="1" t="str">
        <f>HYPERLINK("https://rhld.insurance.arkansas.gov/NPILookup?Npi=1528332319","1528332319")</f>
        <v>1528332319</v>
      </c>
      <c r="E25761" t="s">
        <v>7077</v>
      </c>
    </row>
    <row r="25762" spans="1:5" x14ac:dyDescent="0.25">
      <c r="A25762" t="s">
        <v>9</v>
      </c>
      <c r="B25762" t="s">
        <v>6836</v>
      </c>
      <c r="C25762" s="1" t="s">
        <v>23490</v>
      </c>
      <c r="D25762" s="1" t="str">
        <f>HYPERLINK("https://rhld.insurance.arkansas.gov/NPILookup?Npi=1528432390","1528432390")</f>
        <v>1528432390</v>
      </c>
      <c r="E25762" t="s">
        <v>22618</v>
      </c>
    </row>
    <row r="25763" spans="1:5" x14ac:dyDescent="0.25">
      <c r="A25763" t="s">
        <v>9</v>
      </c>
      <c r="B25763" t="s">
        <v>6836</v>
      </c>
      <c r="C25763" s="1" t="s">
        <v>23490</v>
      </c>
      <c r="D25763" s="1" t="str">
        <f>HYPERLINK("https://rhld.insurance.arkansas.gov/NPILookup?Npi=1528505880","1528505880")</f>
        <v>1528505880</v>
      </c>
      <c r="E25763" t="s">
        <v>12078</v>
      </c>
    </row>
    <row r="25764" spans="1:5" x14ac:dyDescent="0.25">
      <c r="A25764" t="s">
        <v>9</v>
      </c>
      <c r="B25764" t="s">
        <v>6836</v>
      </c>
      <c r="C25764" s="1" t="s">
        <v>23490</v>
      </c>
      <c r="D25764" s="1" t="str">
        <f>HYPERLINK("https://rhld.insurance.arkansas.gov/NPILookup?Npi=1538152426","1538152426")</f>
        <v>1538152426</v>
      </c>
      <c r="E25764" t="s">
        <v>7078</v>
      </c>
    </row>
    <row r="25765" spans="1:5" x14ac:dyDescent="0.25">
      <c r="A25765" t="s">
        <v>9</v>
      </c>
      <c r="B25765" t="s">
        <v>6836</v>
      </c>
      <c r="C25765" s="1" t="s">
        <v>23490</v>
      </c>
      <c r="D25765" s="1" t="str">
        <f>HYPERLINK("https://rhld.insurance.arkansas.gov/NPILookup?Npi=1538161765","1538161765")</f>
        <v>1538161765</v>
      </c>
      <c r="E25765" t="s">
        <v>7079</v>
      </c>
    </row>
    <row r="25766" spans="1:5" x14ac:dyDescent="0.25">
      <c r="A25766" t="s">
        <v>9</v>
      </c>
      <c r="B25766" t="s">
        <v>6836</v>
      </c>
      <c r="C25766" s="1" t="s">
        <v>23490</v>
      </c>
      <c r="D25766" s="1" t="str">
        <f>HYPERLINK("https://rhld.insurance.arkansas.gov/NPILookup?Npi=1538176805","1538176805")</f>
        <v>1538176805</v>
      </c>
      <c r="E25766" t="s">
        <v>7080</v>
      </c>
    </row>
    <row r="25767" spans="1:5" x14ac:dyDescent="0.25">
      <c r="A25767" t="s">
        <v>9</v>
      </c>
      <c r="B25767" t="s">
        <v>6836</v>
      </c>
      <c r="C25767" s="1" t="s">
        <v>23490</v>
      </c>
      <c r="D25767" s="1" t="str">
        <f>HYPERLINK("https://rhld.insurance.arkansas.gov/NPILookup?Npi=1538182415","1538182415")</f>
        <v>1538182415</v>
      </c>
      <c r="E25767" t="s">
        <v>7081</v>
      </c>
    </row>
    <row r="25768" spans="1:5" x14ac:dyDescent="0.25">
      <c r="A25768" t="s">
        <v>9</v>
      </c>
      <c r="B25768" t="s">
        <v>6836</v>
      </c>
      <c r="C25768" s="1" t="s">
        <v>23490</v>
      </c>
      <c r="D25768" s="1" t="str">
        <f>HYPERLINK("https://rhld.insurance.arkansas.gov/NPILookup?Npi=1538192141","1538192141")</f>
        <v>1538192141</v>
      </c>
      <c r="E25768" t="s">
        <v>7082</v>
      </c>
    </row>
    <row r="25769" spans="1:5" x14ac:dyDescent="0.25">
      <c r="A25769" t="s">
        <v>9</v>
      </c>
      <c r="B25769" t="s">
        <v>6836</v>
      </c>
      <c r="C25769" s="1" t="s">
        <v>23490</v>
      </c>
      <c r="D25769" s="1" t="str">
        <f>HYPERLINK("https://rhld.insurance.arkansas.gov/NPILookup?Npi=1538253265","1538253265")</f>
        <v>1538253265</v>
      </c>
      <c r="E25769" t="s">
        <v>7083</v>
      </c>
    </row>
    <row r="25770" spans="1:5" x14ac:dyDescent="0.25">
      <c r="A25770" t="s">
        <v>9</v>
      </c>
      <c r="B25770" t="s">
        <v>6836</v>
      </c>
      <c r="C25770" s="1" t="s">
        <v>23490</v>
      </c>
      <c r="D25770" s="1" t="str">
        <f>HYPERLINK("https://rhld.insurance.arkansas.gov/NPILookup?Npi=1538450317","1538450317")</f>
        <v>1538450317</v>
      </c>
      <c r="E25770" t="s">
        <v>9252</v>
      </c>
    </row>
    <row r="25771" spans="1:5" x14ac:dyDescent="0.25">
      <c r="A25771" t="s">
        <v>9</v>
      </c>
      <c r="B25771" t="s">
        <v>6836</v>
      </c>
      <c r="C25771" s="1" t="s">
        <v>23490</v>
      </c>
      <c r="D25771" s="1" t="str">
        <f>HYPERLINK("https://rhld.insurance.arkansas.gov/NPILookup?Npi=1538485271","1538485271")</f>
        <v>1538485271</v>
      </c>
      <c r="E25771" t="s">
        <v>7084</v>
      </c>
    </row>
    <row r="25772" spans="1:5" x14ac:dyDescent="0.25">
      <c r="A25772" t="s">
        <v>9</v>
      </c>
      <c r="B25772" t="s">
        <v>6836</v>
      </c>
      <c r="C25772" s="1" t="s">
        <v>23490</v>
      </c>
      <c r="D25772" s="1" t="str">
        <f>HYPERLINK("https://rhld.insurance.arkansas.gov/NPILookup?Npi=1538555818","1538555818")</f>
        <v>1538555818</v>
      </c>
      <c r="E25772" t="s">
        <v>7085</v>
      </c>
    </row>
    <row r="25773" spans="1:5" x14ac:dyDescent="0.25">
      <c r="A25773" t="s">
        <v>9</v>
      </c>
      <c r="B25773" t="s">
        <v>6836</v>
      </c>
      <c r="C25773" s="1" t="s">
        <v>23490</v>
      </c>
      <c r="D25773" s="1" t="str">
        <f>HYPERLINK("https://rhld.insurance.arkansas.gov/NPILookup?Npi=1538571575","1538571575")</f>
        <v>1538571575</v>
      </c>
      <c r="E25773" t="s">
        <v>7086</v>
      </c>
    </row>
    <row r="25774" spans="1:5" x14ac:dyDescent="0.25">
      <c r="A25774" t="s">
        <v>9</v>
      </c>
      <c r="B25774" t="s">
        <v>6836</v>
      </c>
      <c r="C25774" s="1" t="s">
        <v>23490</v>
      </c>
      <c r="D25774" s="1" t="str">
        <f>HYPERLINK("https://rhld.insurance.arkansas.gov/NPILookup?Npi=1548204043","1548204043")</f>
        <v>1548204043</v>
      </c>
      <c r="E25774" t="s">
        <v>22619</v>
      </c>
    </row>
    <row r="25775" spans="1:5" x14ac:dyDescent="0.25">
      <c r="A25775" t="s">
        <v>9</v>
      </c>
      <c r="B25775" t="s">
        <v>6836</v>
      </c>
      <c r="C25775" s="1" t="s">
        <v>23490</v>
      </c>
      <c r="D25775" s="1" t="str">
        <f>HYPERLINK("https://rhld.insurance.arkansas.gov/NPILookup?Npi=1548227143","1548227143")</f>
        <v>1548227143</v>
      </c>
      <c r="E25775" t="s">
        <v>7087</v>
      </c>
    </row>
    <row r="25776" spans="1:5" x14ac:dyDescent="0.25">
      <c r="A25776" t="s">
        <v>9</v>
      </c>
      <c r="B25776" t="s">
        <v>6836</v>
      </c>
      <c r="C25776" s="1" t="s">
        <v>23490</v>
      </c>
      <c r="D25776" s="1" t="str">
        <f>HYPERLINK("https://rhld.insurance.arkansas.gov/NPILookup?Npi=1548229909","1548229909")</f>
        <v>1548229909</v>
      </c>
      <c r="E25776" t="s">
        <v>7088</v>
      </c>
    </row>
    <row r="25777" spans="1:5" x14ac:dyDescent="0.25">
      <c r="A25777" t="s">
        <v>9</v>
      </c>
      <c r="B25777" t="s">
        <v>6836</v>
      </c>
      <c r="C25777" s="1" t="s">
        <v>23490</v>
      </c>
      <c r="D25777" s="1" t="str">
        <f>HYPERLINK("https://rhld.insurance.arkansas.gov/NPILookup?Npi=1548248206","1548248206")</f>
        <v>1548248206</v>
      </c>
      <c r="E25777" t="s">
        <v>3094</v>
      </c>
    </row>
    <row r="25778" spans="1:5" x14ac:dyDescent="0.25">
      <c r="A25778" t="s">
        <v>9</v>
      </c>
      <c r="B25778" t="s">
        <v>6836</v>
      </c>
      <c r="C25778" s="1" t="s">
        <v>23490</v>
      </c>
      <c r="D25778" s="1" t="str">
        <f>HYPERLINK("https://rhld.insurance.arkansas.gov/NPILookup?Npi=1548258874","1548258874")</f>
        <v>1548258874</v>
      </c>
      <c r="E25778" t="s">
        <v>7089</v>
      </c>
    </row>
    <row r="25779" spans="1:5" x14ac:dyDescent="0.25">
      <c r="A25779" t="s">
        <v>9</v>
      </c>
      <c r="B25779" t="s">
        <v>6836</v>
      </c>
      <c r="C25779" s="1" t="s">
        <v>23490</v>
      </c>
      <c r="D25779" s="1" t="str">
        <f>HYPERLINK("https://rhld.insurance.arkansas.gov/NPILookup?Npi=1548262306","1548262306")</f>
        <v>1548262306</v>
      </c>
      <c r="E25779" t="s">
        <v>7090</v>
      </c>
    </row>
    <row r="25780" spans="1:5" x14ac:dyDescent="0.25">
      <c r="A25780" t="s">
        <v>9</v>
      </c>
      <c r="B25780" t="s">
        <v>6836</v>
      </c>
      <c r="C25780" s="1" t="s">
        <v>23490</v>
      </c>
      <c r="D25780" s="1" t="str">
        <f>HYPERLINK("https://rhld.insurance.arkansas.gov/NPILookup?Npi=1548263627","1548263627")</f>
        <v>1548263627</v>
      </c>
      <c r="E25780" t="s">
        <v>7091</v>
      </c>
    </row>
    <row r="25781" spans="1:5" x14ac:dyDescent="0.25">
      <c r="A25781" t="s">
        <v>9</v>
      </c>
      <c r="B25781" t="s">
        <v>6836</v>
      </c>
      <c r="C25781" s="1" t="s">
        <v>23490</v>
      </c>
      <c r="D25781" s="1" t="str">
        <f>HYPERLINK("https://rhld.insurance.arkansas.gov/NPILookup?Npi=1548292949","1548292949")</f>
        <v>1548292949</v>
      </c>
      <c r="E25781" t="s">
        <v>7092</v>
      </c>
    </row>
    <row r="25782" spans="1:5" x14ac:dyDescent="0.25">
      <c r="A25782" t="s">
        <v>9</v>
      </c>
      <c r="B25782" t="s">
        <v>6836</v>
      </c>
      <c r="C25782" s="1" t="s">
        <v>23490</v>
      </c>
      <c r="D25782" s="1" t="str">
        <f>HYPERLINK("https://rhld.insurance.arkansas.gov/NPILookup?Npi=1548333636","1548333636")</f>
        <v>1548333636</v>
      </c>
      <c r="E25782" t="s">
        <v>7093</v>
      </c>
    </row>
    <row r="25783" spans="1:5" x14ac:dyDescent="0.25">
      <c r="A25783" t="s">
        <v>9</v>
      </c>
      <c r="B25783" t="s">
        <v>6836</v>
      </c>
      <c r="C25783" s="1" t="s">
        <v>23490</v>
      </c>
      <c r="D25783" s="1" t="str">
        <f>HYPERLINK("https://rhld.insurance.arkansas.gov/NPILookup?Npi=1548333727","1548333727")</f>
        <v>1548333727</v>
      </c>
      <c r="E25783" t="s">
        <v>16515</v>
      </c>
    </row>
    <row r="25784" spans="1:5" x14ac:dyDescent="0.25">
      <c r="A25784" t="s">
        <v>9</v>
      </c>
      <c r="B25784" t="s">
        <v>6836</v>
      </c>
      <c r="C25784" s="1" t="s">
        <v>23490</v>
      </c>
      <c r="D25784" s="1" t="str">
        <f>HYPERLINK("https://rhld.insurance.arkansas.gov/NPILookup?Npi=1548370992","1548370992")</f>
        <v>1548370992</v>
      </c>
      <c r="E25784" t="s">
        <v>7094</v>
      </c>
    </row>
    <row r="25785" spans="1:5" x14ac:dyDescent="0.25">
      <c r="A25785" t="s">
        <v>9</v>
      </c>
      <c r="B25785" t="s">
        <v>6836</v>
      </c>
      <c r="C25785" s="1" t="s">
        <v>23490</v>
      </c>
      <c r="D25785" s="1" t="str">
        <f>HYPERLINK("https://rhld.insurance.arkansas.gov/NPILookup?Npi=1548378375","1548378375")</f>
        <v>1548378375</v>
      </c>
      <c r="E25785" t="s">
        <v>16516</v>
      </c>
    </row>
    <row r="25786" spans="1:5" x14ac:dyDescent="0.25">
      <c r="A25786" t="s">
        <v>9</v>
      </c>
      <c r="B25786" t="s">
        <v>6836</v>
      </c>
      <c r="C25786" s="1" t="s">
        <v>23490</v>
      </c>
      <c r="D25786" s="1" t="str">
        <f>HYPERLINK("https://rhld.insurance.arkansas.gov/NPILookup?Npi=1548474240","1548474240")</f>
        <v>1548474240</v>
      </c>
      <c r="E25786" t="s">
        <v>7095</v>
      </c>
    </row>
    <row r="25787" spans="1:5" x14ac:dyDescent="0.25">
      <c r="A25787" t="s">
        <v>9</v>
      </c>
      <c r="B25787" t="s">
        <v>6836</v>
      </c>
      <c r="C25787" s="1" t="s">
        <v>23490</v>
      </c>
      <c r="D25787" s="1" t="str">
        <f>HYPERLINK("https://rhld.insurance.arkansas.gov/NPILookup?Npi=1548656630","1548656630")</f>
        <v>1548656630</v>
      </c>
      <c r="E25787" t="s">
        <v>16517</v>
      </c>
    </row>
    <row r="25788" spans="1:5" x14ac:dyDescent="0.25">
      <c r="A25788" t="s">
        <v>9</v>
      </c>
      <c r="B25788" t="s">
        <v>6836</v>
      </c>
      <c r="C25788" s="1" t="s">
        <v>23490</v>
      </c>
      <c r="D25788" s="1" t="str">
        <f>HYPERLINK("https://rhld.insurance.arkansas.gov/NPILookup?Npi=1548662182","1548662182")</f>
        <v>1548662182</v>
      </c>
      <c r="E25788" t="s">
        <v>14465</v>
      </c>
    </row>
    <row r="25789" spans="1:5" x14ac:dyDescent="0.25">
      <c r="A25789" t="s">
        <v>9</v>
      </c>
      <c r="B25789" t="s">
        <v>6836</v>
      </c>
      <c r="C25789" s="1" t="s">
        <v>23490</v>
      </c>
      <c r="D25789" s="1" t="str">
        <f>HYPERLINK("https://rhld.insurance.arkansas.gov/NPILookup?Npi=1558385260","1558385260")</f>
        <v>1558385260</v>
      </c>
      <c r="E25789" t="s">
        <v>14466</v>
      </c>
    </row>
    <row r="25790" spans="1:5" x14ac:dyDescent="0.25">
      <c r="A25790" t="s">
        <v>9</v>
      </c>
      <c r="B25790" t="s">
        <v>6836</v>
      </c>
      <c r="C25790" s="1" t="s">
        <v>23490</v>
      </c>
      <c r="D25790" s="1" t="str">
        <f>HYPERLINK("https://rhld.insurance.arkansas.gov/NPILookup?Npi=1558396838","1558396838")</f>
        <v>1558396838</v>
      </c>
      <c r="E25790" t="s">
        <v>7096</v>
      </c>
    </row>
    <row r="25791" spans="1:5" x14ac:dyDescent="0.25">
      <c r="A25791" t="s">
        <v>9</v>
      </c>
      <c r="B25791" t="s">
        <v>6836</v>
      </c>
      <c r="C25791" s="1" t="s">
        <v>23490</v>
      </c>
      <c r="D25791" s="1" t="str">
        <f>HYPERLINK("https://rhld.insurance.arkansas.gov/NPILookup?Npi=1558413807","1558413807")</f>
        <v>1558413807</v>
      </c>
      <c r="E25791" t="s">
        <v>7097</v>
      </c>
    </row>
    <row r="25792" spans="1:5" x14ac:dyDescent="0.25">
      <c r="A25792" t="s">
        <v>9</v>
      </c>
      <c r="B25792" t="s">
        <v>6836</v>
      </c>
      <c r="C25792" s="1" t="s">
        <v>23490</v>
      </c>
      <c r="D25792" s="1" t="str">
        <f>HYPERLINK("https://rhld.insurance.arkansas.gov/NPILookup?Npi=1558456764","1558456764")</f>
        <v>1558456764</v>
      </c>
      <c r="E25792" t="s">
        <v>7098</v>
      </c>
    </row>
    <row r="25793" spans="1:5" x14ac:dyDescent="0.25">
      <c r="A25793" t="s">
        <v>9</v>
      </c>
      <c r="B25793" t="s">
        <v>6836</v>
      </c>
      <c r="C25793" s="1" t="s">
        <v>23490</v>
      </c>
      <c r="D25793" s="1" t="str">
        <f>HYPERLINK("https://rhld.insurance.arkansas.gov/NPILookup?Npi=1558496414","1558496414")</f>
        <v>1558496414</v>
      </c>
      <c r="E25793" t="s">
        <v>7099</v>
      </c>
    </row>
    <row r="25794" spans="1:5" x14ac:dyDescent="0.25">
      <c r="A25794" t="s">
        <v>9</v>
      </c>
      <c r="B25794" t="s">
        <v>6836</v>
      </c>
      <c r="C25794" s="1" t="s">
        <v>23490</v>
      </c>
      <c r="D25794" s="1" t="str">
        <f>HYPERLINK("https://rhld.insurance.arkansas.gov/NPILookup?Npi=1558529966","1558529966")</f>
        <v>1558529966</v>
      </c>
      <c r="E25794" t="s">
        <v>18545</v>
      </c>
    </row>
    <row r="25795" spans="1:5" x14ac:dyDescent="0.25">
      <c r="A25795" t="s">
        <v>9</v>
      </c>
      <c r="B25795" t="s">
        <v>6836</v>
      </c>
      <c r="C25795" s="1" t="s">
        <v>23490</v>
      </c>
      <c r="D25795" s="1" t="str">
        <f>HYPERLINK("https://rhld.insurance.arkansas.gov/NPILookup?Npi=1558560102","1558560102")</f>
        <v>1558560102</v>
      </c>
      <c r="E25795" t="s">
        <v>7100</v>
      </c>
    </row>
    <row r="25796" spans="1:5" x14ac:dyDescent="0.25">
      <c r="A25796" t="s">
        <v>9</v>
      </c>
      <c r="B25796" t="s">
        <v>6836</v>
      </c>
      <c r="C25796" s="1" t="s">
        <v>23490</v>
      </c>
      <c r="D25796" s="1" t="str">
        <f>HYPERLINK("https://rhld.insurance.arkansas.gov/NPILookup?Npi=1558626556","1558626556")</f>
        <v>1558626556</v>
      </c>
      <c r="E25796" t="s">
        <v>9253</v>
      </c>
    </row>
    <row r="25797" spans="1:5" x14ac:dyDescent="0.25">
      <c r="A25797" t="s">
        <v>9</v>
      </c>
      <c r="B25797" t="s">
        <v>6836</v>
      </c>
      <c r="C25797" s="1" t="s">
        <v>23490</v>
      </c>
      <c r="D25797" s="1" t="str">
        <f>HYPERLINK("https://rhld.insurance.arkansas.gov/NPILookup?Npi=1558709469","1558709469")</f>
        <v>1558709469</v>
      </c>
      <c r="E25797" t="s">
        <v>12079</v>
      </c>
    </row>
    <row r="25798" spans="1:5" x14ac:dyDescent="0.25">
      <c r="A25798" t="s">
        <v>9</v>
      </c>
      <c r="B25798" t="s">
        <v>6836</v>
      </c>
      <c r="C25798" s="1" t="s">
        <v>23490</v>
      </c>
      <c r="D25798" s="1" t="str">
        <f>HYPERLINK("https://rhld.insurance.arkansas.gov/NPILookup?Npi=1558793125","1558793125")</f>
        <v>1558793125</v>
      </c>
      <c r="E25798" t="s">
        <v>7101</v>
      </c>
    </row>
    <row r="25799" spans="1:5" x14ac:dyDescent="0.25">
      <c r="A25799" t="s">
        <v>9</v>
      </c>
      <c r="B25799" t="s">
        <v>6836</v>
      </c>
      <c r="C25799" s="1" t="s">
        <v>23490</v>
      </c>
      <c r="D25799" s="1" t="str">
        <f>HYPERLINK("https://rhld.insurance.arkansas.gov/NPILookup?Npi=1568403244","1568403244")</f>
        <v>1568403244</v>
      </c>
      <c r="E25799" t="s">
        <v>14467</v>
      </c>
    </row>
    <row r="25800" spans="1:5" x14ac:dyDescent="0.25">
      <c r="A25800" t="s">
        <v>9</v>
      </c>
      <c r="B25800" t="s">
        <v>6836</v>
      </c>
      <c r="C25800" s="1" t="s">
        <v>23490</v>
      </c>
      <c r="D25800" s="1" t="str">
        <f>HYPERLINK("https://rhld.insurance.arkansas.gov/NPILookup?Npi=1568406650","1568406650")</f>
        <v>1568406650</v>
      </c>
      <c r="E25800" t="s">
        <v>7102</v>
      </c>
    </row>
    <row r="25801" spans="1:5" x14ac:dyDescent="0.25">
      <c r="A25801" t="s">
        <v>9</v>
      </c>
      <c r="B25801" t="s">
        <v>6836</v>
      </c>
      <c r="C25801" s="1" t="s">
        <v>23490</v>
      </c>
      <c r="D25801" s="1" t="str">
        <f>HYPERLINK("https://rhld.insurance.arkansas.gov/NPILookup?Npi=1568427011","1568427011")</f>
        <v>1568427011</v>
      </c>
      <c r="E25801" t="s">
        <v>1724</v>
      </c>
    </row>
    <row r="25802" spans="1:5" x14ac:dyDescent="0.25">
      <c r="A25802" t="s">
        <v>9</v>
      </c>
      <c r="B25802" t="s">
        <v>6836</v>
      </c>
      <c r="C25802" s="1" t="s">
        <v>23490</v>
      </c>
      <c r="D25802" s="1" t="str">
        <f>HYPERLINK("https://rhld.insurance.arkansas.gov/NPILookup?Npi=1568446995","1568446995")</f>
        <v>1568446995</v>
      </c>
      <c r="E25802" t="s">
        <v>12080</v>
      </c>
    </row>
    <row r="25803" spans="1:5" x14ac:dyDescent="0.25">
      <c r="A25803" t="s">
        <v>9</v>
      </c>
      <c r="B25803" t="s">
        <v>6836</v>
      </c>
      <c r="C25803" s="1" t="s">
        <v>23490</v>
      </c>
      <c r="D25803" s="1" t="str">
        <f>HYPERLINK("https://rhld.insurance.arkansas.gov/NPILookup?Npi=1568464782","1568464782")</f>
        <v>1568464782</v>
      </c>
      <c r="E25803" t="s">
        <v>7104</v>
      </c>
    </row>
    <row r="25804" spans="1:5" x14ac:dyDescent="0.25">
      <c r="A25804" t="s">
        <v>9</v>
      </c>
      <c r="B25804" t="s">
        <v>6836</v>
      </c>
      <c r="C25804" s="1" t="s">
        <v>23490</v>
      </c>
      <c r="D25804" s="1" t="str">
        <f>HYPERLINK("https://rhld.insurance.arkansas.gov/NPILookup?Npi=1568493948","1568493948")</f>
        <v>1568493948</v>
      </c>
      <c r="E25804" t="s">
        <v>22620</v>
      </c>
    </row>
    <row r="25805" spans="1:5" x14ac:dyDescent="0.25">
      <c r="A25805" t="s">
        <v>9</v>
      </c>
      <c r="B25805" t="s">
        <v>6836</v>
      </c>
      <c r="C25805" s="1" t="s">
        <v>23490</v>
      </c>
      <c r="D25805" s="1" t="str">
        <f>HYPERLINK("https://rhld.insurance.arkansas.gov/NPILookup?Npi=1568498582","1568498582")</f>
        <v>1568498582</v>
      </c>
      <c r="E25805" t="s">
        <v>7105</v>
      </c>
    </row>
    <row r="25806" spans="1:5" x14ac:dyDescent="0.25">
      <c r="A25806" t="s">
        <v>9</v>
      </c>
      <c r="B25806" t="s">
        <v>6836</v>
      </c>
      <c r="C25806" s="1" t="s">
        <v>23490</v>
      </c>
      <c r="D25806" s="1" t="str">
        <f>HYPERLINK("https://rhld.insurance.arkansas.gov/NPILookup?Npi=1568638518","1568638518")</f>
        <v>1568638518</v>
      </c>
      <c r="E25806" t="s">
        <v>12081</v>
      </c>
    </row>
    <row r="25807" spans="1:5" x14ac:dyDescent="0.25">
      <c r="A25807" t="s">
        <v>9</v>
      </c>
      <c r="B25807" t="s">
        <v>6836</v>
      </c>
      <c r="C25807" s="1" t="s">
        <v>23490</v>
      </c>
      <c r="D25807" s="1" t="str">
        <f>HYPERLINK("https://rhld.insurance.arkansas.gov/NPILookup?Npi=1568671246","1568671246")</f>
        <v>1568671246</v>
      </c>
      <c r="E25807" t="s">
        <v>9254</v>
      </c>
    </row>
    <row r="25808" spans="1:5" x14ac:dyDescent="0.25">
      <c r="A25808" t="s">
        <v>9</v>
      </c>
      <c r="B25808" t="s">
        <v>6836</v>
      </c>
      <c r="C25808" s="1" t="s">
        <v>23490</v>
      </c>
      <c r="D25808" s="1" t="str">
        <f>HYPERLINK("https://rhld.insurance.arkansas.gov/NPILookup?Npi=1568683878","1568683878")</f>
        <v>1568683878</v>
      </c>
      <c r="E25808" t="s">
        <v>16518</v>
      </c>
    </row>
    <row r="25809" spans="1:5" x14ac:dyDescent="0.25">
      <c r="A25809" t="s">
        <v>9</v>
      </c>
      <c r="B25809" t="s">
        <v>6836</v>
      </c>
      <c r="C25809" s="1" t="s">
        <v>23490</v>
      </c>
      <c r="D25809" s="1" t="str">
        <f>HYPERLINK("https://rhld.insurance.arkansas.gov/NPILookup?Npi=1568750149","1568750149")</f>
        <v>1568750149</v>
      </c>
      <c r="E25809" t="s">
        <v>12082</v>
      </c>
    </row>
    <row r="25810" spans="1:5" x14ac:dyDescent="0.25">
      <c r="A25810" t="s">
        <v>9</v>
      </c>
      <c r="B25810" t="s">
        <v>6836</v>
      </c>
      <c r="C25810" s="1" t="s">
        <v>23490</v>
      </c>
      <c r="D25810" s="1" t="str">
        <f>HYPERLINK("https://rhld.insurance.arkansas.gov/NPILookup?Npi=1568808871","1568808871")</f>
        <v>1568808871</v>
      </c>
      <c r="E25810" t="s">
        <v>18546</v>
      </c>
    </row>
    <row r="25811" spans="1:5" x14ac:dyDescent="0.25">
      <c r="A25811" t="s">
        <v>9</v>
      </c>
      <c r="B25811" t="s">
        <v>6836</v>
      </c>
      <c r="C25811" s="1" t="s">
        <v>23490</v>
      </c>
      <c r="D25811" s="1" t="str">
        <f>HYPERLINK("https://rhld.insurance.arkansas.gov/NPILookup?Npi=1568825354","1568825354")</f>
        <v>1568825354</v>
      </c>
      <c r="E25811" t="s">
        <v>17732</v>
      </c>
    </row>
    <row r="25812" spans="1:5" x14ac:dyDescent="0.25">
      <c r="A25812" t="s">
        <v>9</v>
      </c>
      <c r="B25812" t="s">
        <v>6836</v>
      </c>
      <c r="C25812" s="1" t="s">
        <v>23490</v>
      </c>
      <c r="D25812" s="1" t="str">
        <f>HYPERLINK("https://rhld.insurance.arkansas.gov/NPILookup?Npi=1578511473","1578511473")</f>
        <v>1578511473</v>
      </c>
      <c r="E25812" t="s">
        <v>7106</v>
      </c>
    </row>
    <row r="25813" spans="1:5" x14ac:dyDescent="0.25">
      <c r="A25813" t="s">
        <v>9</v>
      </c>
      <c r="B25813" t="s">
        <v>6836</v>
      </c>
      <c r="C25813" s="1" t="s">
        <v>23490</v>
      </c>
      <c r="D25813" s="1" t="str">
        <f>HYPERLINK("https://rhld.insurance.arkansas.gov/NPILookup?Npi=1578535092","1578535092")</f>
        <v>1578535092</v>
      </c>
      <c r="E25813" t="s">
        <v>7107</v>
      </c>
    </row>
    <row r="25814" spans="1:5" x14ac:dyDescent="0.25">
      <c r="A25814" t="s">
        <v>9</v>
      </c>
      <c r="B25814" t="s">
        <v>6836</v>
      </c>
      <c r="C25814" s="1" t="s">
        <v>23490</v>
      </c>
      <c r="D25814" s="1" t="str">
        <f>HYPERLINK("https://rhld.insurance.arkansas.gov/NPILookup?Npi=1578558722","1578558722")</f>
        <v>1578558722</v>
      </c>
      <c r="E25814" t="s">
        <v>1851</v>
      </c>
    </row>
    <row r="25815" spans="1:5" x14ac:dyDescent="0.25">
      <c r="A25815" t="s">
        <v>9</v>
      </c>
      <c r="B25815" t="s">
        <v>6836</v>
      </c>
      <c r="C25815" s="1" t="s">
        <v>23490</v>
      </c>
      <c r="D25815" s="1" t="str">
        <f>HYPERLINK("https://rhld.insurance.arkansas.gov/NPILookup?Npi=1578580536","1578580536")</f>
        <v>1578580536</v>
      </c>
      <c r="E25815" t="s">
        <v>7108</v>
      </c>
    </row>
    <row r="25816" spans="1:5" x14ac:dyDescent="0.25">
      <c r="A25816" t="s">
        <v>9</v>
      </c>
      <c r="B25816" t="s">
        <v>6836</v>
      </c>
      <c r="C25816" s="1" t="s">
        <v>23490</v>
      </c>
      <c r="D25816" s="1" t="str">
        <f>HYPERLINK("https://rhld.insurance.arkansas.gov/NPILookup?Npi=1578586376","1578586376")</f>
        <v>1578586376</v>
      </c>
      <c r="E25816" t="s">
        <v>7109</v>
      </c>
    </row>
    <row r="25817" spans="1:5" x14ac:dyDescent="0.25">
      <c r="A25817" t="s">
        <v>9</v>
      </c>
      <c r="B25817" t="s">
        <v>6836</v>
      </c>
      <c r="C25817" s="1" t="s">
        <v>23490</v>
      </c>
      <c r="D25817" s="1" t="str">
        <f>HYPERLINK("https://rhld.insurance.arkansas.gov/NPILookup?Npi=1578593133","1578593133")</f>
        <v>1578593133</v>
      </c>
      <c r="E25817" t="s">
        <v>7110</v>
      </c>
    </row>
    <row r="25818" spans="1:5" x14ac:dyDescent="0.25">
      <c r="A25818" t="s">
        <v>9</v>
      </c>
      <c r="B25818" t="s">
        <v>6836</v>
      </c>
      <c r="C25818" s="1" t="s">
        <v>23490</v>
      </c>
      <c r="D25818" s="1" t="str">
        <f>HYPERLINK("https://rhld.insurance.arkansas.gov/NPILookup?Npi=1578620266","1578620266")</f>
        <v>1578620266</v>
      </c>
      <c r="E25818" t="s">
        <v>7111</v>
      </c>
    </row>
    <row r="25819" spans="1:5" x14ac:dyDescent="0.25">
      <c r="A25819" t="s">
        <v>9</v>
      </c>
      <c r="B25819" t="s">
        <v>6836</v>
      </c>
      <c r="C25819" s="1" t="s">
        <v>23490</v>
      </c>
      <c r="D25819" s="1" t="str">
        <f>HYPERLINK("https://rhld.insurance.arkansas.gov/NPILookup?Npi=1578673919","1578673919")</f>
        <v>1578673919</v>
      </c>
      <c r="E25819" t="s">
        <v>7112</v>
      </c>
    </row>
    <row r="25820" spans="1:5" x14ac:dyDescent="0.25">
      <c r="A25820" t="s">
        <v>9</v>
      </c>
      <c r="B25820" t="s">
        <v>6836</v>
      </c>
      <c r="C25820" s="1" t="s">
        <v>23490</v>
      </c>
      <c r="D25820" s="1" t="str">
        <f>HYPERLINK("https://rhld.insurance.arkansas.gov/NPILookup?Npi=1578720793","1578720793")</f>
        <v>1578720793</v>
      </c>
      <c r="E25820" t="s">
        <v>7113</v>
      </c>
    </row>
    <row r="25821" spans="1:5" x14ac:dyDescent="0.25">
      <c r="A25821" t="s">
        <v>9</v>
      </c>
      <c r="B25821" t="s">
        <v>6836</v>
      </c>
      <c r="C25821" s="1" t="s">
        <v>8427</v>
      </c>
      <c r="D25821" s="1" t="str">
        <f>HYPERLINK("https://rhld.insurance.arkansas.gov/NPILookup?Npi=1578725107","1578725107")</f>
        <v>1578725107</v>
      </c>
      <c r="E25821" t="s">
        <v>23302</v>
      </c>
    </row>
    <row r="25822" spans="1:5" x14ac:dyDescent="0.25">
      <c r="A25822" t="s">
        <v>9</v>
      </c>
      <c r="B25822" t="s">
        <v>6836</v>
      </c>
      <c r="C25822" s="1" t="s">
        <v>23490</v>
      </c>
      <c r="D25822" s="1" t="str">
        <f>HYPERLINK("https://rhld.insurance.arkansas.gov/NPILookup?Npi=1578775359","1578775359")</f>
        <v>1578775359</v>
      </c>
      <c r="E25822" t="s">
        <v>7114</v>
      </c>
    </row>
    <row r="25823" spans="1:5" x14ac:dyDescent="0.25">
      <c r="A25823" t="s">
        <v>9</v>
      </c>
      <c r="B25823" t="s">
        <v>6836</v>
      </c>
      <c r="C25823" s="1" t="s">
        <v>23490</v>
      </c>
      <c r="D25823" s="1" t="str">
        <f>HYPERLINK("https://rhld.insurance.arkansas.gov/NPILookup?Npi=1578822581","1578822581")</f>
        <v>1578822581</v>
      </c>
      <c r="E25823" t="s">
        <v>12083</v>
      </c>
    </row>
    <row r="25824" spans="1:5" x14ac:dyDescent="0.25">
      <c r="A25824" t="s">
        <v>9</v>
      </c>
      <c r="B25824" t="s">
        <v>6836</v>
      </c>
      <c r="C25824" s="1" t="s">
        <v>23490</v>
      </c>
      <c r="D25824" s="1" t="str">
        <f>HYPERLINK("https://rhld.insurance.arkansas.gov/NPILookup?Npi=1578908091","1578908091")</f>
        <v>1578908091</v>
      </c>
      <c r="E25824" t="s">
        <v>14468</v>
      </c>
    </row>
    <row r="25825" spans="1:5" x14ac:dyDescent="0.25">
      <c r="A25825" t="s">
        <v>9</v>
      </c>
      <c r="B25825" t="s">
        <v>6836</v>
      </c>
      <c r="C25825" s="1" t="s">
        <v>23490</v>
      </c>
      <c r="D25825" s="1" t="str">
        <f>HYPERLINK("https://rhld.insurance.arkansas.gov/NPILookup?Npi=1578923116","1578923116")</f>
        <v>1578923116</v>
      </c>
      <c r="E25825" t="s">
        <v>9255</v>
      </c>
    </row>
    <row r="25826" spans="1:5" x14ac:dyDescent="0.25">
      <c r="A25826" t="s">
        <v>9</v>
      </c>
      <c r="B25826" t="s">
        <v>6836</v>
      </c>
      <c r="C25826" s="1" t="s">
        <v>23490</v>
      </c>
      <c r="D25826" s="1" t="str">
        <f>HYPERLINK("https://rhld.insurance.arkansas.gov/NPILookup?Npi=1588001382","1588001382")</f>
        <v>1588001382</v>
      </c>
      <c r="E25826" t="s">
        <v>17733</v>
      </c>
    </row>
    <row r="25827" spans="1:5" x14ac:dyDescent="0.25">
      <c r="A25827" t="s">
        <v>9</v>
      </c>
      <c r="B25827" t="s">
        <v>6836</v>
      </c>
      <c r="C25827" s="1" t="s">
        <v>23490</v>
      </c>
      <c r="D25827" s="1" t="str">
        <f>HYPERLINK("https://rhld.insurance.arkansas.gov/NPILookup?Npi=1588053789","1588053789")</f>
        <v>1588053789</v>
      </c>
      <c r="E25827" t="s">
        <v>2053</v>
      </c>
    </row>
    <row r="25828" spans="1:5" x14ac:dyDescent="0.25">
      <c r="A25828" t="s">
        <v>9</v>
      </c>
      <c r="B25828" t="s">
        <v>6836</v>
      </c>
      <c r="C25828" s="1" t="s">
        <v>23490</v>
      </c>
      <c r="D25828" s="1" t="str">
        <f>HYPERLINK("https://rhld.insurance.arkansas.gov/NPILookup?Npi=1588609101","1588609101")</f>
        <v>1588609101</v>
      </c>
      <c r="E25828" t="s">
        <v>7115</v>
      </c>
    </row>
    <row r="25829" spans="1:5" x14ac:dyDescent="0.25">
      <c r="A25829" t="s">
        <v>9</v>
      </c>
      <c r="B25829" t="s">
        <v>6836</v>
      </c>
      <c r="C25829" s="1" t="s">
        <v>23490</v>
      </c>
      <c r="D25829" s="1" t="str">
        <f>HYPERLINK("https://rhld.insurance.arkansas.gov/NPILookup?Npi=1588622039","1588622039")</f>
        <v>1588622039</v>
      </c>
      <c r="E25829" t="s">
        <v>7116</v>
      </c>
    </row>
    <row r="25830" spans="1:5" x14ac:dyDescent="0.25">
      <c r="A25830" t="s">
        <v>9</v>
      </c>
      <c r="B25830" t="s">
        <v>6836</v>
      </c>
      <c r="C25830" s="1" t="s">
        <v>23490</v>
      </c>
      <c r="D25830" s="1" t="str">
        <f>HYPERLINK("https://rhld.insurance.arkansas.gov/NPILookup?Npi=1588639959","1588639959")</f>
        <v>1588639959</v>
      </c>
      <c r="E25830" t="s">
        <v>7117</v>
      </c>
    </row>
    <row r="25831" spans="1:5" x14ac:dyDescent="0.25">
      <c r="A25831" t="s">
        <v>9</v>
      </c>
      <c r="B25831" t="s">
        <v>6836</v>
      </c>
      <c r="C25831" s="1" t="s">
        <v>23490</v>
      </c>
      <c r="D25831" s="1" t="str">
        <f>HYPERLINK("https://rhld.insurance.arkansas.gov/NPILookup?Npi=1588686943","1588686943")</f>
        <v>1588686943</v>
      </c>
      <c r="E25831" t="s">
        <v>7118</v>
      </c>
    </row>
    <row r="25832" spans="1:5" x14ac:dyDescent="0.25">
      <c r="A25832" t="s">
        <v>9</v>
      </c>
      <c r="B25832" t="s">
        <v>6836</v>
      </c>
      <c r="C25832" s="1" t="s">
        <v>23490</v>
      </c>
      <c r="D25832" s="1" t="str">
        <f>HYPERLINK("https://rhld.insurance.arkansas.gov/NPILookup?Npi=1588704217","1588704217")</f>
        <v>1588704217</v>
      </c>
      <c r="E25832" t="s">
        <v>7119</v>
      </c>
    </row>
    <row r="25833" spans="1:5" x14ac:dyDescent="0.25">
      <c r="A25833" t="s">
        <v>9</v>
      </c>
      <c r="B25833" t="s">
        <v>6836</v>
      </c>
      <c r="C25833" s="1" t="s">
        <v>23490</v>
      </c>
      <c r="D25833" s="1" t="str">
        <f>HYPERLINK("https://rhld.insurance.arkansas.gov/NPILookup?Npi=1588715254","1588715254")</f>
        <v>1588715254</v>
      </c>
      <c r="E25833" t="s">
        <v>7120</v>
      </c>
    </row>
    <row r="25834" spans="1:5" x14ac:dyDescent="0.25">
      <c r="A25834" t="s">
        <v>9</v>
      </c>
      <c r="B25834" t="s">
        <v>6836</v>
      </c>
      <c r="C25834" s="1" t="s">
        <v>23490</v>
      </c>
      <c r="D25834" s="1" t="str">
        <f>HYPERLINK("https://rhld.insurance.arkansas.gov/NPILookup?Npi=1588715940","1588715940")</f>
        <v>1588715940</v>
      </c>
      <c r="E25834" t="s">
        <v>16519</v>
      </c>
    </row>
    <row r="25835" spans="1:5" x14ac:dyDescent="0.25">
      <c r="A25835" t="s">
        <v>9</v>
      </c>
      <c r="B25835" t="s">
        <v>6836</v>
      </c>
      <c r="C25835" s="1" t="s">
        <v>23490</v>
      </c>
      <c r="D25835" s="1" t="str">
        <f>HYPERLINK("https://rhld.insurance.arkansas.gov/NPILookup?Npi=1588745046","1588745046")</f>
        <v>1588745046</v>
      </c>
      <c r="E25835" t="s">
        <v>7121</v>
      </c>
    </row>
    <row r="25836" spans="1:5" x14ac:dyDescent="0.25">
      <c r="A25836" t="s">
        <v>9</v>
      </c>
      <c r="B25836" t="s">
        <v>6836</v>
      </c>
      <c r="C25836" s="1" t="s">
        <v>23490</v>
      </c>
      <c r="D25836" s="1" t="str">
        <f>HYPERLINK("https://rhld.insurance.arkansas.gov/NPILookup?Npi=1588754071","1588754071")</f>
        <v>1588754071</v>
      </c>
      <c r="E25836" t="s">
        <v>7122</v>
      </c>
    </row>
    <row r="25837" spans="1:5" x14ac:dyDescent="0.25">
      <c r="A25837" t="s">
        <v>9</v>
      </c>
      <c r="B25837" t="s">
        <v>6836</v>
      </c>
      <c r="C25837" s="1" t="s">
        <v>23490</v>
      </c>
      <c r="D25837" s="1" t="str">
        <f>HYPERLINK("https://rhld.insurance.arkansas.gov/NPILookup?Npi=1588807135","1588807135")</f>
        <v>1588807135</v>
      </c>
      <c r="E25837" t="s">
        <v>7123</v>
      </c>
    </row>
    <row r="25838" spans="1:5" x14ac:dyDescent="0.25">
      <c r="A25838" t="s">
        <v>9</v>
      </c>
      <c r="B25838" t="s">
        <v>6836</v>
      </c>
      <c r="C25838" s="1" t="s">
        <v>23490</v>
      </c>
      <c r="D25838" s="1" t="str">
        <f>HYPERLINK("https://rhld.insurance.arkansas.gov/NPILookup?Npi=1588858567","1588858567")</f>
        <v>1588858567</v>
      </c>
      <c r="E25838" t="s">
        <v>23303</v>
      </c>
    </row>
    <row r="25839" spans="1:5" x14ac:dyDescent="0.25">
      <c r="A25839" t="s">
        <v>9</v>
      </c>
      <c r="B25839" t="s">
        <v>6836</v>
      </c>
      <c r="C25839" s="1" t="s">
        <v>23490</v>
      </c>
      <c r="D25839" s="1" t="str">
        <f>HYPERLINK("https://rhld.insurance.arkansas.gov/NPILookup?Npi=1598161838","1598161838")</f>
        <v>1598161838</v>
      </c>
      <c r="E25839" t="s">
        <v>9256</v>
      </c>
    </row>
    <row r="25840" spans="1:5" x14ac:dyDescent="0.25">
      <c r="A25840" t="s">
        <v>9</v>
      </c>
      <c r="B25840" t="s">
        <v>6836</v>
      </c>
      <c r="C25840" s="1" t="s">
        <v>23490</v>
      </c>
      <c r="D25840" s="1" t="str">
        <f>HYPERLINK("https://rhld.insurance.arkansas.gov/NPILookup?Npi=1598720021","1598720021")</f>
        <v>1598720021</v>
      </c>
      <c r="E25840" t="s">
        <v>7124</v>
      </c>
    </row>
    <row r="25841" spans="1:5" x14ac:dyDescent="0.25">
      <c r="A25841" t="s">
        <v>9</v>
      </c>
      <c r="B25841" t="s">
        <v>6836</v>
      </c>
      <c r="C25841" s="1" t="s">
        <v>23490</v>
      </c>
      <c r="D25841" s="1" t="str">
        <f>HYPERLINK("https://rhld.insurance.arkansas.gov/NPILookup?Npi=1598795973","1598795973")</f>
        <v>1598795973</v>
      </c>
      <c r="E25841" t="s">
        <v>14469</v>
      </c>
    </row>
    <row r="25842" spans="1:5" x14ac:dyDescent="0.25">
      <c r="A25842" t="s">
        <v>9</v>
      </c>
      <c r="B25842" t="s">
        <v>6836</v>
      </c>
      <c r="C25842" s="1" t="s">
        <v>23490</v>
      </c>
      <c r="D25842" s="1" t="str">
        <f>HYPERLINK("https://rhld.insurance.arkansas.gov/NPILookup?Npi=1598855082","1598855082")</f>
        <v>1598855082</v>
      </c>
      <c r="E25842" t="s">
        <v>7125</v>
      </c>
    </row>
    <row r="25843" spans="1:5" x14ac:dyDescent="0.25">
      <c r="A25843" t="s">
        <v>9</v>
      </c>
      <c r="B25843" t="s">
        <v>6836</v>
      </c>
      <c r="C25843" s="1" t="s">
        <v>23490</v>
      </c>
      <c r="D25843" s="1" t="str">
        <f>HYPERLINK("https://rhld.insurance.arkansas.gov/NPILookup?Npi=1598960437","1598960437")</f>
        <v>1598960437</v>
      </c>
      <c r="E25843" t="s">
        <v>7126</v>
      </c>
    </row>
    <row r="25844" spans="1:5" x14ac:dyDescent="0.25">
      <c r="A25844" t="s">
        <v>9</v>
      </c>
      <c r="B25844" t="s">
        <v>6836</v>
      </c>
      <c r="C25844" s="1" t="s">
        <v>23490</v>
      </c>
      <c r="D25844" s="1" t="str">
        <f>HYPERLINK("https://rhld.insurance.arkansas.gov/NPILookup?Npi=1598977423","1598977423")</f>
        <v>1598977423</v>
      </c>
      <c r="E25844" t="s">
        <v>7127</v>
      </c>
    </row>
    <row r="25845" spans="1:5" x14ac:dyDescent="0.25">
      <c r="A25845" t="s">
        <v>9</v>
      </c>
      <c r="B25845" t="s">
        <v>6836</v>
      </c>
      <c r="C25845" s="1" t="s">
        <v>23490</v>
      </c>
      <c r="D25845" s="1" t="str">
        <f>HYPERLINK("https://rhld.insurance.arkansas.gov/NPILookup?Npi=1609036755","1609036755")</f>
        <v>1609036755</v>
      </c>
      <c r="E25845" t="s">
        <v>7128</v>
      </c>
    </row>
    <row r="25846" spans="1:5" x14ac:dyDescent="0.25">
      <c r="A25846" t="s">
        <v>9</v>
      </c>
      <c r="B25846" t="s">
        <v>6836</v>
      </c>
      <c r="C25846" s="1" t="s">
        <v>23490</v>
      </c>
      <c r="D25846" s="1" t="str">
        <f>HYPERLINK("https://rhld.insurance.arkansas.gov/NPILookup?Npi=1609185586","1609185586")</f>
        <v>1609185586</v>
      </c>
      <c r="E25846" t="s">
        <v>7129</v>
      </c>
    </row>
    <row r="25847" spans="1:5" x14ac:dyDescent="0.25">
      <c r="A25847" t="s">
        <v>9</v>
      </c>
      <c r="B25847" t="s">
        <v>6836</v>
      </c>
      <c r="C25847" s="1" t="s">
        <v>23490</v>
      </c>
      <c r="D25847" s="1" t="str">
        <f>HYPERLINK("https://rhld.insurance.arkansas.gov/NPILookup?Npi=1609285527","1609285527")</f>
        <v>1609285527</v>
      </c>
      <c r="E25847" t="s">
        <v>7130</v>
      </c>
    </row>
    <row r="25848" spans="1:5" x14ac:dyDescent="0.25">
      <c r="A25848" t="s">
        <v>9</v>
      </c>
      <c r="B25848" t="s">
        <v>6836</v>
      </c>
      <c r="C25848" s="1" t="s">
        <v>23490</v>
      </c>
      <c r="D25848" s="1" t="str">
        <f>HYPERLINK("https://rhld.insurance.arkansas.gov/NPILookup?Npi=1609323658","1609323658")</f>
        <v>1609323658</v>
      </c>
      <c r="E25848" t="s">
        <v>11104</v>
      </c>
    </row>
    <row r="25849" spans="1:5" x14ac:dyDescent="0.25">
      <c r="A25849" t="s">
        <v>9</v>
      </c>
      <c r="B25849" t="s">
        <v>6836</v>
      </c>
      <c r="C25849" s="1" t="s">
        <v>23490</v>
      </c>
      <c r="D25849" s="1" t="str">
        <f>HYPERLINK("https://rhld.insurance.arkansas.gov/NPILookup?Npi=1609818657","1609818657")</f>
        <v>1609818657</v>
      </c>
      <c r="E25849" t="s">
        <v>14470</v>
      </c>
    </row>
    <row r="25850" spans="1:5" x14ac:dyDescent="0.25">
      <c r="A25850" t="s">
        <v>9</v>
      </c>
      <c r="B25850" t="s">
        <v>6836</v>
      </c>
      <c r="C25850" s="1" t="s">
        <v>23490</v>
      </c>
      <c r="D25850" s="1" t="str">
        <f>HYPERLINK("https://rhld.insurance.arkansas.gov/NPILookup?Npi=1609860956","1609860956")</f>
        <v>1609860956</v>
      </c>
      <c r="E25850" t="s">
        <v>14471</v>
      </c>
    </row>
    <row r="25851" spans="1:5" x14ac:dyDescent="0.25">
      <c r="A25851" t="s">
        <v>9</v>
      </c>
      <c r="B25851" t="s">
        <v>6836</v>
      </c>
      <c r="C25851" s="1" t="s">
        <v>23490</v>
      </c>
      <c r="D25851" s="1" t="str">
        <f>HYPERLINK("https://rhld.insurance.arkansas.gov/NPILookup?Npi=1609862838","1609862838")</f>
        <v>1609862838</v>
      </c>
      <c r="E25851" t="s">
        <v>7131</v>
      </c>
    </row>
    <row r="25852" spans="1:5" x14ac:dyDescent="0.25">
      <c r="A25852" t="s">
        <v>9</v>
      </c>
      <c r="B25852" t="s">
        <v>6836</v>
      </c>
      <c r="C25852" s="1" t="s">
        <v>23490</v>
      </c>
      <c r="D25852" s="1" t="str">
        <f>HYPERLINK("https://rhld.insurance.arkansas.gov/NPILookup?Npi=1609894245","1609894245")</f>
        <v>1609894245</v>
      </c>
      <c r="E25852" t="s">
        <v>7132</v>
      </c>
    </row>
    <row r="25853" spans="1:5" x14ac:dyDescent="0.25">
      <c r="A25853" t="s">
        <v>9</v>
      </c>
      <c r="B25853" t="s">
        <v>6836</v>
      </c>
      <c r="C25853" s="1" t="s">
        <v>23490</v>
      </c>
      <c r="D25853" s="1" t="str">
        <f>HYPERLINK("https://rhld.insurance.arkansas.gov/NPILookup?Npi=1609936293","1609936293")</f>
        <v>1609936293</v>
      </c>
      <c r="E25853" t="s">
        <v>1392</v>
      </c>
    </row>
    <row r="25854" spans="1:5" x14ac:dyDescent="0.25">
      <c r="A25854" t="s">
        <v>9</v>
      </c>
      <c r="B25854" t="s">
        <v>6836</v>
      </c>
      <c r="C25854" s="1" t="s">
        <v>23490</v>
      </c>
      <c r="D25854" s="1" t="str">
        <f>HYPERLINK("https://rhld.insurance.arkansas.gov/NPILookup?Npi=1609985381","1609985381")</f>
        <v>1609985381</v>
      </c>
      <c r="E25854" t="s">
        <v>7133</v>
      </c>
    </row>
    <row r="25855" spans="1:5" x14ac:dyDescent="0.25">
      <c r="A25855" t="s">
        <v>9</v>
      </c>
      <c r="B25855" t="s">
        <v>6836</v>
      </c>
      <c r="C25855" s="1" t="s">
        <v>23490</v>
      </c>
      <c r="D25855" s="1" t="str">
        <f>HYPERLINK("https://rhld.insurance.arkansas.gov/NPILookup?Npi=1609985522","1609985522")</f>
        <v>1609985522</v>
      </c>
      <c r="E25855" t="s">
        <v>7134</v>
      </c>
    </row>
    <row r="25856" spans="1:5" x14ac:dyDescent="0.25">
      <c r="A25856" t="s">
        <v>9</v>
      </c>
      <c r="B25856" t="s">
        <v>6836</v>
      </c>
      <c r="C25856" s="1" t="s">
        <v>23490</v>
      </c>
      <c r="D25856" s="1" t="str">
        <f>HYPERLINK("https://rhld.insurance.arkansas.gov/NPILookup?Npi=1619042249","1619042249")</f>
        <v>1619042249</v>
      </c>
      <c r="E25856" t="s">
        <v>16520</v>
      </c>
    </row>
    <row r="25857" spans="1:5" x14ac:dyDescent="0.25">
      <c r="A25857" t="s">
        <v>9</v>
      </c>
      <c r="B25857" t="s">
        <v>6836</v>
      </c>
      <c r="C25857" s="1" t="s">
        <v>23490</v>
      </c>
      <c r="D25857" s="1" t="str">
        <f>HYPERLINK("https://rhld.insurance.arkansas.gov/NPILookup?Npi=1619042462","1619042462")</f>
        <v>1619042462</v>
      </c>
      <c r="E25857" t="s">
        <v>7135</v>
      </c>
    </row>
    <row r="25858" spans="1:5" x14ac:dyDescent="0.25">
      <c r="A25858" t="s">
        <v>9</v>
      </c>
      <c r="B25858" t="s">
        <v>6836</v>
      </c>
      <c r="C25858" s="1" t="s">
        <v>23490</v>
      </c>
      <c r="D25858" s="1" t="str">
        <f>HYPERLINK("https://rhld.insurance.arkansas.gov/NPILookup?Npi=1619124310","1619124310")</f>
        <v>1619124310</v>
      </c>
      <c r="E25858" t="s">
        <v>16521</v>
      </c>
    </row>
    <row r="25859" spans="1:5" x14ac:dyDescent="0.25">
      <c r="A25859" t="s">
        <v>9</v>
      </c>
      <c r="B25859" t="s">
        <v>6836</v>
      </c>
      <c r="C25859" s="1" t="s">
        <v>23490</v>
      </c>
      <c r="D25859" s="1" t="str">
        <f>HYPERLINK("https://rhld.insurance.arkansas.gov/NPILookup?Npi=1619215944","1619215944")</f>
        <v>1619215944</v>
      </c>
      <c r="E25859" t="s">
        <v>12084</v>
      </c>
    </row>
    <row r="25860" spans="1:5" x14ac:dyDescent="0.25">
      <c r="A25860" t="s">
        <v>9</v>
      </c>
      <c r="B25860" t="s">
        <v>6836</v>
      </c>
      <c r="C25860" s="1" t="s">
        <v>23490</v>
      </c>
      <c r="D25860" s="1" t="str">
        <f>HYPERLINK("https://rhld.insurance.arkansas.gov/NPILookup?Npi=1619237880","1619237880")</f>
        <v>1619237880</v>
      </c>
      <c r="E25860" t="s">
        <v>9257</v>
      </c>
    </row>
    <row r="25861" spans="1:5" x14ac:dyDescent="0.25">
      <c r="A25861" t="s">
        <v>9</v>
      </c>
      <c r="B25861" t="s">
        <v>6836</v>
      </c>
      <c r="C25861" s="1" t="s">
        <v>23490</v>
      </c>
      <c r="D25861" s="1" t="str">
        <f>HYPERLINK("https://rhld.insurance.arkansas.gov/NPILookup?Npi=1619388592","1619388592")</f>
        <v>1619388592</v>
      </c>
      <c r="E25861" t="s">
        <v>22621</v>
      </c>
    </row>
    <row r="25862" spans="1:5" x14ac:dyDescent="0.25">
      <c r="A25862" t="s">
        <v>9</v>
      </c>
      <c r="B25862" t="s">
        <v>6836</v>
      </c>
      <c r="C25862" s="1" t="s">
        <v>23490</v>
      </c>
      <c r="D25862" s="1" t="str">
        <f>HYPERLINK("https://rhld.insurance.arkansas.gov/NPILookup?Npi=1619901048","1619901048")</f>
        <v>1619901048</v>
      </c>
      <c r="E25862" t="s">
        <v>16522</v>
      </c>
    </row>
    <row r="25863" spans="1:5" x14ac:dyDescent="0.25">
      <c r="A25863" t="s">
        <v>9</v>
      </c>
      <c r="B25863" t="s">
        <v>6836</v>
      </c>
      <c r="C25863" s="1" t="s">
        <v>23490</v>
      </c>
      <c r="D25863" s="1" t="str">
        <f>HYPERLINK("https://rhld.insurance.arkansas.gov/NPILookup?Npi=1619919198","1619919198")</f>
        <v>1619919198</v>
      </c>
      <c r="E25863" t="s">
        <v>16523</v>
      </c>
    </row>
    <row r="25864" spans="1:5" x14ac:dyDescent="0.25">
      <c r="A25864" t="s">
        <v>9</v>
      </c>
      <c r="B25864" t="s">
        <v>6836</v>
      </c>
      <c r="C25864" s="1" t="s">
        <v>23490</v>
      </c>
      <c r="D25864" s="1" t="str">
        <f>HYPERLINK("https://rhld.insurance.arkansas.gov/NPILookup?Npi=1619939360","1619939360")</f>
        <v>1619939360</v>
      </c>
      <c r="E25864" t="s">
        <v>6978</v>
      </c>
    </row>
    <row r="25865" spans="1:5" x14ac:dyDescent="0.25">
      <c r="A25865" t="s">
        <v>9</v>
      </c>
      <c r="B25865" t="s">
        <v>6836</v>
      </c>
      <c r="C25865" s="1" t="s">
        <v>23490</v>
      </c>
      <c r="D25865" s="1" t="str">
        <f>HYPERLINK("https://rhld.insurance.arkansas.gov/NPILookup?Npi=1629062922","1629062922")</f>
        <v>1629062922</v>
      </c>
      <c r="E25865" t="s">
        <v>7138</v>
      </c>
    </row>
    <row r="25866" spans="1:5" x14ac:dyDescent="0.25">
      <c r="A25866" t="s">
        <v>9</v>
      </c>
      <c r="B25866" t="s">
        <v>6836</v>
      </c>
      <c r="C25866" s="1" t="s">
        <v>23490</v>
      </c>
      <c r="D25866" s="1" t="str">
        <f>HYPERLINK("https://rhld.insurance.arkansas.gov/NPILookup?Npi=1629063359","1629063359")</f>
        <v>1629063359</v>
      </c>
      <c r="E25866" t="s">
        <v>7139</v>
      </c>
    </row>
    <row r="25867" spans="1:5" x14ac:dyDescent="0.25">
      <c r="A25867" t="s">
        <v>9</v>
      </c>
      <c r="B25867" t="s">
        <v>6836</v>
      </c>
      <c r="C25867" s="1" t="s">
        <v>23490</v>
      </c>
      <c r="D25867" s="1" t="str">
        <f>HYPERLINK("https://rhld.insurance.arkansas.gov/NPILookup?Npi=1629225362","1629225362")</f>
        <v>1629225362</v>
      </c>
      <c r="E25867" t="s">
        <v>7140</v>
      </c>
    </row>
    <row r="25868" spans="1:5" x14ac:dyDescent="0.25">
      <c r="A25868" t="s">
        <v>9</v>
      </c>
      <c r="B25868" t="s">
        <v>6836</v>
      </c>
      <c r="C25868" s="1" t="s">
        <v>23490</v>
      </c>
      <c r="D25868" s="1" t="str">
        <f>HYPERLINK("https://rhld.insurance.arkansas.gov/NPILookup?Npi=1629315791","1629315791")</f>
        <v>1629315791</v>
      </c>
      <c r="E25868" t="s">
        <v>14472</v>
      </c>
    </row>
    <row r="25869" spans="1:5" x14ac:dyDescent="0.25">
      <c r="A25869" t="s">
        <v>9</v>
      </c>
      <c r="B25869" t="s">
        <v>6836</v>
      </c>
      <c r="C25869" s="1" t="s">
        <v>23490</v>
      </c>
      <c r="D25869" s="1" t="str">
        <f>HYPERLINK("https://rhld.insurance.arkansas.gov/NPILookup?Npi=1629346481","1629346481")</f>
        <v>1629346481</v>
      </c>
      <c r="E25869" t="s">
        <v>11118</v>
      </c>
    </row>
    <row r="25870" spans="1:5" x14ac:dyDescent="0.25">
      <c r="A25870" t="s">
        <v>9</v>
      </c>
      <c r="B25870" t="s">
        <v>6836</v>
      </c>
      <c r="C25870" s="1" t="s">
        <v>23490</v>
      </c>
      <c r="D25870" s="1" t="str">
        <f>HYPERLINK("https://rhld.insurance.arkansas.gov/NPILookup?Npi=1629527940","1629527940")</f>
        <v>1629527940</v>
      </c>
      <c r="E25870" t="s">
        <v>14473</v>
      </c>
    </row>
    <row r="25871" spans="1:5" x14ac:dyDescent="0.25">
      <c r="A25871" t="s">
        <v>9</v>
      </c>
      <c r="B25871" t="s">
        <v>6836</v>
      </c>
      <c r="C25871" s="1" t="s">
        <v>23490</v>
      </c>
      <c r="D25871" s="1" t="str">
        <f>HYPERLINK("https://rhld.insurance.arkansas.gov/NPILookup?Npi=1629631338","1629631338")</f>
        <v>1629631338</v>
      </c>
      <c r="E25871" t="s">
        <v>16524</v>
      </c>
    </row>
    <row r="25872" spans="1:5" x14ac:dyDescent="0.25">
      <c r="A25872" t="s">
        <v>9</v>
      </c>
      <c r="B25872" t="s">
        <v>6836</v>
      </c>
      <c r="C25872" s="1" t="s">
        <v>23490</v>
      </c>
      <c r="D25872" s="1" t="str">
        <f>HYPERLINK("https://rhld.insurance.arkansas.gov/NPILookup?Npi=1629658885","1629658885")</f>
        <v>1629658885</v>
      </c>
      <c r="E25872" t="s">
        <v>19135</v>
      </c>
    </row>
    <row r="25873" spans="1:5" x14ac:dyDescent="0.25">
      <c r="A25873" t="s">
        <v>9</v>
      </c>
      <c r="B25873" t="s">
        <v>6836</v>
      </c>
      <c r="C25873" s="1" t="s">
        <v>23490</v>
      </c>
      <c r="D25873" s="1" t="str">
        <f>HYPERLINK("https://rhld.insurance.arkansas.gov/NPILookup?Npi=1639135775","1639135775")</f>
        <v>1639135775</v>
      </c>
      <c r="E25873" t="s">
        <v>21286</v>
      </c>
    </row>
    <row r="25874" spans="1:5" x14ac:dyDescent="0.25">
      <c r="A25874" t="s">
        <v>9</v>
      </c>
      <c r="B25874" t="s">
        <v>6836</v>
      </c>
      <c r="C25874" s="1" t="s">
        <v>23490</v>
      </c>
      <c r="D25874" s="1" t="str">
        <f>HYPERLINK("https://rhld.insurance.arkansas.gov/NPILookup?Npi=1639154693","1639154693")</f>
        <v>1639154693</v>
      </c>
      <c r="E25874" t="s">
        <v>7141</v>
      </c>
    </row>
    <row r="25875" spans="1:5" x14ac:dyDescent="0.25">
      <c r="A25875" t="s">
        <v>9</v>
      </c>
      <c r="B25875" t="s">
        <v>6836</v>
      </c>
      <c r="C25875" s="1" t="s">
        <v>23490</v>
      </c>
      <c r="D25875" s="1" t="str">
        <f>HYPERLINK("https://rhld.insurance.arkansas.gov/NPILookup?Npi=1639157076","1639157076")</f>
        <v>1639157076</v>
      </c>
      <c r="E25875" t="s">
        <v>16525</v>
      </c>
    </row>
    <row r="25876" spans="1:5" x14ac:dyDescent="0.25">
      <c r="A25876" t="s">
        <v>9</v>
      </c>
      <c r="B25876" t="s">
        <v>6836</v>
      </c>
      <c r="C25876" s="1" t="s">
        <v>23490</v>
      </c>
      <c r="D25876" s="1" t="str">
        <f>HYPERLINK("https://rhld.insurance.arkansas.gov/NPILookup?Npi=1639176555","1639176555")</f>
        <v>1639176555</v>
      </c>
      <c r="E25876" t="s">
        <v>7142</v>
      </c>
    </row>
    <row r="25877" spans="1:5" x14ac:dyDescent="0.25">
      <c r="A25877" t="s">
        <v>9</v>
      </c>
      <c r="B25877" t="s">
        <v>6836</v>
      </c>
      <c r="C25877" s="1" t="s">
        <v>23490</v>
      </c>
      <c r="D25877" s="1" t="str">
        <f>HYPERLINK("https://rhld.insurance.arkansas.gov/NPILookup?Npi=1639250459","1639250459")</f>
        <v>1639250459</v>
      </c>
      <c r="E25877" t="s">
        <v>9258</v>
      </c>
    </row>
    <row r="25878" spans="1:5" x14ac:dyDescent="0.25">
      <c r="A25878" t="s">
        <v>9</v>
      </c>
      <c r="B25878" t="s">
        <v>6836</v>
      </c>
      <c r="C25878" s="1" t="s">
        <v>23490</v>
      </c>
      <c r="D25878" s="1" t="str">
        <f>HYPERLINK("https://rhld.insurance.arkansas.gov/NPILookup?Npi=1639340599","1639340599")</f>
        <v>1639340599</v>
      </c>
      <c r="E25878" t="s">
        <v>13266</v>
      </c>
    </row>
    <row r="25879" spans="1:5" x14ac:dyDescent="0.25">
      <c r="A25879" t="s">
        <v>9</v>
      </c>
      <c r="B25879" t="s">
        <v>6836</v>
      </c>
      <c r="C25879" s="1" t="s">
        <v>23490</v>
      </c>
      <c r="D25879" s="1" t="str">
        <f>HYPERLINK("https://rhld.insurance.arkansas.gov/NPILookup?Npi=1639396583","1639396583")</f>
        <v>1639396583</v>
      </c>
      <c r="E25879" t="s">
        <v>12085</v>
      </c>
    </row>
    <row r="25880" spans="1:5" x14ac:dyDescent="0.25">
      <c r="A25880" t="s">
        <v>9</v>
      </c>
      <c r="B25880" t="s">
        <v>6836</v>
      </c>
      <c r="C25880" s="1" t="s">
        <v>23490</v>
      </c>
      <c r="D25880" s="1" t="str">
        <f>HYPERLINK("https://rhld.insurance.arkansas.gov/NPILookup?Npi=1639489917","1639489917")</f>
        <v>1639489917</v>
      </c>
      <c r="E25880" t="s">
        <v>12873</v>
      </c>
    </row>
    <row r="25881" spans="1:5" x14ac:dyDescent="0.25">
      <c r="A25881" t="s">
        <v>9</v>
      </c>
      <c r="B25881" t="s">
        <v>6836</v>
      </c>
      <c r="C25881" s="1" t="s">
        <v>23490</v>
      </c>
      <c r="D25881" s="1" t="str">
        <f>HYPERLINK("https://rhld.insurance.arkansas.gov/NPILookup?Npi=1649221839","1649221839")</f>
        <v>1649221839</v>
      </c>
      <c r="E25881" t="s">
        <v>7143</v>
      </c>
    </row>
    <row r="25882" spans="1:5" x14ac:dyDescent="0.25">
      <c r="A25882" t="s">
        <v>9</v>
      </c>
      <c r="B25882" t="s">
        <v>6836</v>
      </c>
      <c r="C25882" s="1" t="s">
        <v>23490</v>
      </c>
      <c r="D25882" s="1" t="str">
        <f>HYPERLINK("https://rhld.insurance.arkansas.gov/NPILookup?Npi=1649465386","1649465386")</f>
        <v>1649465386</v>
      </c>
      <c r="E25882" t="s">
        <v>7144</v>
      </c>
    </row>
    <row r="25883" spans="1:5" x14ac:dyDescent="0.25">
      <c r="A25883" t="s">
        <v>9</v>
      </c>
      <c r="B25883" t="s">
        <v>6836</v>
      </c>
      <c r="C25883" s="1" t="s">
        <v>23490</v>
      </c>
      <c r="D25883" s="1" t="str">
        <f>HYPERLINK("https://rhld.insurance.arkansas.gov/NPILookup?Npi=1649638776","1649638776")</f>
        <v>1649638776</v>
      </c>
      <c r="E25883" t="s">
        <v>23304</v>
      </c>
    </row>
    <row r="25884" spans="1:5" x14ac:dyDescent="0.25">
      <c r="A25884" t="s">
        <v>9</v>
      </c>
      <c r="B25884" t="s">
        <v>6836</v>
      </c>
      <c r="C25884" s="1" t="s">
        <v>23490</v>
      </c>
      <c r="D25884" s="1" t="str">
        <f>HYPERLINK("https://rhld.insurance.arkansas.gov/NPILookup?Npi=1649662578","1649662578")</f>
        <v>1649662578</v>
      </c>
      <c r="E25884" t="s">
        <v>7145</v>
      </c>
    </row>
    <row r="25885" spans="1:5" x14ac:dyDescent="0.25">
      <c r="A25885" t="s">
        <v>9</v>
      </c>
      <c r="B25885" t="s">
        <v>6836</v>
      </c>
      <c r="C25885" s="1" t="s">
        <v>23490</v>
      </c>
      <c r="D25885" s="1" t="str">
        <f>HYPERLINK("https://rhld.insurance.arkansas.gov/NPILookup?Npi=1649683855","1649683855")</f>
        <v>1649683855</v>
      </c>
      <c r="E25885" t="s">
        <v>7013</v>
      </c>
    </row>
    <row r="25886" spans="1:5" x14ac:dyDescent="0.25">
      <c r="A25886" t="s">
        <v>9</v>
      </c>
      <c r="B25886" t="s">
        <v>6836</v>
      </c>
      <c r="C25886" s="1" t="s">
        <v>23490</v>
      </c>
      <c r="D25886" s="1" t="str">
        <f>HYPERLINK("https://rhld.insurance.arkansas.gov/NPILookup?Npi=1649697905","1649697905")</f>
        <v>1649697905</v>
      </c>
      <c r="E25886" t="s">
        <v>17734</v>
      </c>
    </row>
    <row r="25887" spans="1:5" x14ac:dyDescent="0.25">
      <c r="A25887" t="s">
        <v>9</v>
      </c>
      <c r="B25887" t="s">
        <v>6836</v>
      </c>
      <c r="C25887" s="1" t="s">
        <v>23490</v>
      </c>
      <c r="D25887" s="1" t="str">
        <f>HYPERLINK("https://rhld.insurance.arkansas.gov/NPILookup?Npi=1659302032","1659302032")</f>
        <v>1659302032</v>
      </c>
      <c r="E25887" t="s">
        <v>22898</v>
      </c>
    </row>
    <row r="25888" spans="1:5" x14ac:dyDescent="0.25">
      <c r="A25888" t="s">
        <v>9</v>
      </c>
      <c r="B25888" t="s">
        <v>6836</v>
      </c>
      <c r="C25888" s="1" t="s">
        <v>23490</v>
      </c>
      <c r="D25888" s="1" t="str">
        <f>HYPERLINK("https://rhld.insurance.arkansas.gov/NPILookup?Npi=1659307163","1659307163")</f>
        <v>1659307163</v>
      </c>
      <c r="E25888" t="s">
        <v>7146</v>
      </c>
    </row>
    <row r="25889" spans="1:5" x14ac:dyDescent="0.25">
      <c r="A25889" t="s">
        <v>9</v>
      </c>
      <c r="B25889" t="s">
        <v>6836</v>
      </c>
      <c r="C25889" s="1" t="s">
        <v>23490</v>
      </c>
      <c r="D25889" s="1" t="str">
        <f>HYPERLINK("https://rhld.insurance.arkansas.gov/NPILookup?Npi=1659307296","1659307296")</f>
        <v>1659307296</v>
      </c>
      <c r="E25889" t="s">
        <v>14474</v>
      </c>
    </row>
    <row r="25890" spans="1:5" x14ac:dyDescent="0.25">
      <c r="A25890" t="s">
        <v>9</v>
      </c>
      <c r="B25890" t="s">
        <v>6836</v>
      </c>
      <c r="C25890" s="1" t="s">
        <v>23490</v>
      </c>
      <c r="D25890" s="1" t="str">
        <f>HYPERLINK("https://rhld.insurance.arkansas.gov/NPILookup?Npi=1659337707","1659337707")</f>
        <v>1659337707</v>
      </c>
      <c r="E25890" t="s">
        <v>7147</v>
      </c>
    </row>
    <row r="25891" spans="1:5" x14ac:dyDescent="0.25">
      <c r="A25891" t="s">
        <v>9</v>
      </c>
      <c r="B25891" t="s">
        <v>6836</v>
      </c>
      <c r="C25891" s="1" t="s">
        <v>23490</v>
      </c>
      <c r="D25891" s="1" t="str">
        <f>HYPERLINK("https://rhld.insurance.arkansas.gov/NPILookup?Npi=1659348498","1659348498")</f>
        <v>1659348498</v>
      </c>
      <c r="E25891" t="s">
        <v>7148</v>
      </c>
    </row>
    <row r="25892" spans="1:5" x14ac:dyDescent="0.25">
      <c r="A25892" t="s">
        <v>9</v>
      </c>
      <c r="B25892" t="s">
        <v>6836</v>
      </c>
      <c r="C25892" s="1" t="s">
        <v>23490</v>
      </c>
      <c r="D25892" s="1" t="str">
        <f>HYPERLINK("https://rhld.insurance.arkansas.gov/NPILookup?Npi=1659369965","1659369965")</f>
        <v>1659369965</v>
      </c>
      <c r="E25892" t="s">
        <v>22898</v>
      </c>
    </row>
    <row r="25893" spans="1:5" x14ac:dyDescent="0.25">
      <c r="A25893" t="s">
        <v>9</v>
      </c>
      <c r="B25893" t="s">
        <v>6836</v>
      </c>
      <c r="C25893" s="1" t="s">
        <v>23490</v>
      </c>
      <c r="D25893" s="1" t="str">
        <f>HYPERLINK("https://rhld.insurance.arkansas.gov/NPILookup?Npi=1659369973","1659369973")</f>
        <v>1659369973</v>
      </c>
      <c r="E25893" t="s">
        <v>7149</v>
      </c>
    </row>
    <row r="25894" spans="1:5" x14ac:dyDescent="0.25">
      <c r="A25894" t="s">
        <v>9</v>
      </c>
      <c r="B25894" t="s">
        <v>6836</v>
      </c>
      <c r="C25894" s="1" t="s">
        <v>23490</v>
      </c>
      <c r="D25894" s="1" t="str">
        <f>HYPERLINK("https://rhld.insurance.arkansas.gov/NPILookup?Npi=1659397677","1659397677")</f>
        <v>1659397677</v>
      </c>
      <c r="E25894" t="s">
        <v>14475</v>
      </c>
    </row>
    <row r="25895" spans="1:5" x14ac:dyDescent="0.25">
      <c r="A25895" t="s">
        <v>9</v>
      </c>
      <c r="B25895" t="s">
        <v>6836</v>
      </c>
      <c r="C25895" s="1" t="s">
        <v>23490</v>
      </c>
      <c r="D25895" s="1" t="str">
        <f>HYPERLINK("https://rhld.insurance.arkansas.gov/NPILookup?Npi=1659441996","1659441996")</f>
        <v>1659441996</v>
      </c>
      <c r="E25895" t="s">
        <v>7150</v>
      </c>
    </row>
    <row r="25896" spans="1:5" x14ac:dyDescent="0.25">
      <c r="A25896" t="s">
        <v>9</v>
      </c>
      <c r="B25896" t="s">
        <v>6836</v>
      </c>
      <c r="C25896" s="1" t="s">
        <v>23490</v>
      </c>
      <c r="D25896" s="1" t="str">
        <f>HYPERLINK("https://rhld.insurance.arkansas.gov/NPILookup?Npi=1659573558","1659573558")</f>
        <v>1659573558</v>
      </c>
      <c r="E25896" t="s">
        <v>7151</v>
      </c>
    </row>
    <row r="25897" spans="1:5" x14ac:dyDescent="0.25">
      <c r="A25897" t="s">
        <v>9</v>
      </c>
      <c r="B25897" t="s">
        <v>6836</v>
      </c>
      <c r="C25897" s="1" t="s">
        <v>23490</v>
      </c>
      <c r="D25897" s="1" t="str">
        <f>HYPERLINK("https://rhld.insurance.arkansas.gov/NPILookup?Npi=1659586113","1659586113")</f>
        <v>1659586113</v>
      </c>
      <c r="E25897" t="s">
        <v>7152</v>
      </c>
    </row>
    <row r="25898" spans="1:5" x14ac:dyDescent="0.25">
      <c r="A25898" t="s">
        <v>9</v>
      </c>
      <c r="B25898" t="s">
        <v>6836</v>
      </c>
      <c r="C25898" s="1" t="s">
        <v>23490</v>
      </c>
      <c r="D25898" s="1" t="str">
        <f>HYPERLINK("https://rhld.insurance.arkansas.gov/NPILookup?Npi=1659735991","1659735991")</f>
        <v>1659735991</v>
      </c>
      <c r="E25898" t="s">
        <v>17735</v>
      </c>
    </row>
    <row r="25899" spans="1:5" x14ac:dyDescent="0.25">
      <c r="A25899" t="s">
        <v>9</v>
      </c>
      <c r="B25899" t="s">
        <v>6836</v>
      </c>
      <c r="C25899" s="1" t="s">
        <v>23490</v>
      </c>
      <c r="D25899" s="1" t="str">
        <f>HYPERLINK("https://rhld.insurance.arkansas.gov/NPILookup?Npi=1669414025","1669414025")</f>
        <v>1669414025</v>
      </c>
      <c r="E25899" t="s">
        <v>7153</v>
      </c>
    </row>
    <row r="25900" spans="1:5" x14ac:dyDescent="0.25">
      <c r="A25900" t="s">
        <v>9</v>
      </c>
      <c r="B25900" t="s">
        <v>6836</v>
      </c>
      <c r="C25900" s="1" t="s">
        <v>23490</v>
      </c>
      <c r="D25900" s="1" t="str">
        <f>HYPERLINK("https://rhld.insurance.arkansas.gov/NPILookup?Npi=1669439923","1669439923")</f>
        <v>1669439923</v>
      </c>
      <c r="E25900" t="s">
        <v>22622</v>
      </c>
    </row>
    <row r="25901" spans="1:5" x14ac:dyDescent="0.25">
      <c r="A25901" t="s">
        <v>9</v>
      </c>
      <c r="B25901" t="s">
        <v>6836</v>
      </c>
      <c r="C25901" s="1" t="s">
        <v>23490</v>
      </c>
      <c r="D25901" s="1" t="str">
        <f>HYPERLINK("https://rhld.insurance.arkansas.gov/NPILookup?Npi=1669454179","1669454179")</f>
        <v>1669454179</v>
      </c>
      <c r="E25901" t="s">
        <v>14476</v>
      </c>
    </row>
    <row r="25902" spans="1:5" x14ac:dyDescent="0.25">
      <c r="A25902" t="s">
        <v>9</v>
      </c>
      <c r="B25902" t="s">
        <v>6836</v>
      </c>
      <c r="C25902" s="1" t="s">
        <v>23490</v>
      </c>
      <c r="D25902" s="1" t="str">
        <f>HYPERLINK("https://rhld.insurance.arkansas.gov/NPILookup?Npi=1669469961","1669469961")</f>
        <v>1669469961</v>
      </c>
      <c r="E25902" t="s">
        <v>7154</v>
      </c>
    </row>
    <row r="25903" spans="1:5" x14ac:dyDescent="0.25">
      <c r="A25903" t="s">
        <v>9</v>
      </c>
      <c r="B25903" t="s">
        <v>6836</v>
      </c>
      <c r="C25903" s="1" t="s">
        <v>23490</v>
      </c>
      <c r="D25903" s="1" t="str">
        <f>HYPERLINK("https://rhld.insurance.arkansas.gov/NPILookup?Npi=1669487054","1669487054")</f>
        <v>1669487054</v>
      </c>
      <c r="E25903" t="s">
        <v>16526</v>
      </c>
    </row>
    <row r="25904" spans="1:5" x14ac:dyDescent="0.25">
      <c r="A25904" t="s">
        <v>9</v>
      </c>
      <c r="B25904" t="s">
        <v>6836</v>
      </c>
      <c r="C25904" s="1" t="s">
        <v>23490</v>
      </c>
      <c r="D25904" s="1" t="str">
        <f>HYPERLINK("https://rhld.insurance.arkansas.gov/NPILookup?Npi=1669492716","1669492716")</f>
        <v>1669492716</v>
      </c>
      <c r="E25904" t="s">
        <v>7155</v>
      </c>
    </row>
    <row r="25905" spans="1:5" x14ac:dyDescent="0.25">
      <c r="A25905" t="s">
        <v>9</v>
      </c>
      <c r="B25905" t="s">
        <v>6836</v>
      </c>
      <c r="C25905" s="1" t="s">
        <v>23490</v>
      </c>
      <c r="D25905" s="1" t="str">
        <f>HYPERLINK("https://rhld.insurance.arkansas.gov/NPILookup?Npi=1669575064","1669575064")</f>
        <v>1669575064</v>
      </c>
      <c r="E25905" t="s">
        <v>7156</v>
      </c>
    </row>
    <row r="25906" spans="1:5" x14ac:dyDescent="0.25">
      <c r="A25906" t="s">
        <v>9</v>
      </c>
      <c r="B25906" t="s">
        <v>6836</v>
      </c>
      <c r="C25906" s="1" t="s">
        <v>23490</v>
      </c>
      <c r="D25906" s="1" t="str">
        <f>HYPERLINK("https://rhld.insurance.arkansas.gov/NPILookup?Npi=1669593638","1669593638")</f>
        <v>1669593638</v>
      </c>
      <c r="E25906" t="s">
        <v>6057</v>
      </c>
    </row>
    <row r="25907" spans="1:5" x14ac:dyDescent="0.25">
      <c r="A25907" t="s">
        <v>9</v>
      </c>
      <c r="B25907" t="s">
        <v>6836</v>
      </c>
      <c r="C25907" s="1" t="s">
        <v>23490</v>
      </c>
      <c r="D25907" s="1" t="str">
        <f>HYPERLINK("https://rhld.insurance.arkansas.gov/NPILookup?Npi=1669656229","1669656229")</f>
        <v>1669656229</v>
      </c>
      <c r="E25907" t="s">
        <v>7157</v>
      </c>
    </row>
    <row r="25908" spans="1:5" x14ac:dyDescent="0.25">
      <c r="A25908" t="s">
        <v>9</v>
      </c>
      <c r="B25908" t="s">
        <v>6836</v>
      </c>
      <c r="C25908" s="1" t="s">
        <v>23490</v>
      </c>
      <c r="D25908" s="1" t="str">
        <f>HYPERLINK("https://rhld.insurance.arkansas.gov/NPILookup?Npi=1669679262","1669679262")</f>
        <v>1669679262</v>
      </c>
      <c r="E25908" t="s">
        <v>7158</v>
      </c>
    </row>
    <row r="25909" spans="1:5" x14ac:dyDescent="0.25">
      <c r="A25909" t="s">
        <v>9</v>
      </c>
      <c r="B25909" t="s">
        <v>6836</v>
      </c>
      <c r="C25909" s="1" t="s">
        <v>23490</v>
      </c>
      <c r="D25909" s="1" t="str">
        <f>HYPERLINK("https://rhld.insurance.arkansas.gov/NPILookup?Npi=1669707113","1669707113")</f>
        <v>1669707113</v>
      </c>
      <c r="E25909" t="s">
        <v>13267</v>
      </c>
    </row>
    <row r="25910" spans="1:5" x14ac:dyDescent="0.25">
      <c r="A25910" t="s">
        <v>9</v>
      </c>
      <c r="B25910" t="s">
        <v>6836</v>
      </c>
      <c r="C25910" s="1" t="s">
        <v>23490</v>
      </c>
      <c r="D25910" s="1" t="str">
        <f>HYPERLINK("https://rhld.insurance.arkansas.gov/NPILookup?Npi=1669859997","1669859997")</f>
        <v>1669859997</v>
      </c>
      <c r="E25910" t="s">
        <v>16527</v>
      </c>
    </row>
    <row r="25911" spans="1:5" x14ac:dyDescent="0.25">
      <c r="A25911" t="s">
        <v>9</v>
      </c>
      <c r="B25911" t="s">
        <v>6836</v>
      </c>
      <c r="C25911" s="1" t="s">
        <v>23490</v>
      </c>
      <c r="D25911" s="1" t="str">
        <f>HYPERLINK("https://rhld.insurance.arkansas.gov/NPILookup?Npi=1669908646","1669908646")</f>
        <v>1669908646</v>
      </c>
      <c r="E25911" t="s">
        <v>20736</v>
      </c>
    </row>
    <row r="25912" spans="1:5" x14ac:dyDescent="0.25">
      <c r="A25912" t="s">
        <v>9</v>
      </c>
      <c r="B25912" t="s">
        <v>6836</v>
      </c>
      <c r="C25912" s="1" t="s">
        <v>23490</v>
      </c>
      <c r="D25912" s="1" t="str">
        <f>HYPERLINK("https://rhld.insurance.arkansas.gov/NPILookup?Npi=1669913091","1669913091")</f>
        <v>1669913091</v>
      </c>
      <c r="E25912" t="s">
        <v>19136</v>
      </c>
    </row>
    <row r="25913" spans="1:5" x14ac:dyDescent="0.25">
      <c r="A25913" t="s">
        <v>9</v>
      </c>
      <c r="B25913" t="s">
        <v>6836</v>
      </c>
      <c r="C25913" s="1" t="s">
        <v>23490</v>
      </c>
      <c r="D25913" s="1" t="str">
        <f>HYPERLINK("https://rhld.insurance.arkansas.gov/NPILookup?Npi=1679539746","1679539746")</f>
        <v>1679539746</v>
      </c>
      <c r="E25913" t="s">
        <v>12086</v>
      </c>
    </row>
    <row r="25914" spans="1:5" x14ac:dyDescent="0.25">
      <c r="A25914" t="s">
        <v>9</v>
      </c>
      <c r="B25914" t="s">
        <v>6836</v>
      </c>
      <c r="C25914" s="1" t="s">
        <v>23490</v>
      </c>
      <c r="D25914" s="1" t="str">
        <f>HYPERLINK("https://rhld.insurance.arkansas.gov/NPILookup?Npi=1679576243","1679576243")</f>
        <v>1679576243</v>
      </c>
      <c r="E25914" t="s">
        <v>7159</v>
      </c>
    </row>
    <row r="25915" spans="1:5" x14ac:dyDescent="0.25">
      <c r="A25915" t="s">
        <v>9</v>
      </c>
      <c r="B25915" t="s">
        <v>6836</v>
      </c>
      <c r="C25915" s="1" t="s">
        <v>23490</v>
      </c>
      <c r="D25915" s="1" t="str">
        <f>HYPERLINK("https://rhld.insurance.arkansas.gov/NPILookup?Npi=1679579072","1679579072")</f>
        <v>1679579072</v>
      </c>
      <c r="E25915" t="s">
        <v>7160</v>
      </c>
    </row>
    <row r="25916" spans="1:5" x14ac:dyDescent="0.25">
      <c r="A25916" t="s">
        <v>9</v>
      </c>
      <c r="B25916" t="s">
        <v>6836</v>
      </c>
      <c r="C25916" s="1" t="s">
        <v>23490</v>
      </c>
      <c r="D25916" s="1" t="str">
        <f>HYPERLINK("https://rhld.insurance.arkansas.gov/NPILookup?Npi=1679594683","1679594683")</f>
        <v>1679594683</v>
      </c>
      <c r="E25916" t="s">
        <v>7161</v>
      </c>
    </row>
    <row r="25917" spans="1:5" x14ac:dyDescent="0.25">
      <c r="A25917" t="s">
        <v>9</v>
      </c>
      <c r="B25917" t="s">
        <v>6836</v>
      </c>
      <c r="C25917" s="1" t="s">
        <v>23490</v>
      </c>
      <c r="D25917" s="1" t="str">
        <f>HYPERLINK("https://rhld.insurance.arkansas.gov/NPILookup?Npi=1679663165","1679663165")</f>
        <v>1679663165</v>
      </c>
      <c r="E25917" t="s">
        <v>7162</v>
      </c>
    </row>
    <row r="25918" spans="1:5" x14ac:dyDescent="0.25">
      <c r="A25918" t="s">
        <v>9</v>
      </c>
      <c r="B25918" t="s">
        <v>6836</v>
      </c>
      <c r="C25918" s="1" t="s">
        <v>23490</v>
      </c>
      <c r="D25918" s="1" t="str">
        <f>HYPERLINK("https://rhld.insurance.arkansas.gov/NPILookup?Npi=1679710768","1679710768")</f>
        <v>1679710768</v>
      </c>
      <c r="E25918" t="s">
        <v>20737</v>
      </c>
    </row>
    <row r="25919" spans="1:5" x14ac:dyDescent="0.25">
      <c r="A25919" t="s">
        <v>9</v>
      </c>
      <c r="B25919" t="s">
        <v>6836</v>
      </c>
      <c r="C25919" s="1" t="s">
        <v>23490</v>
      </c>
      <c r="D25919" s="1" t="str">
        <f>HYPERLINK("https://rhld.insurance.arkansas.gov/NPILookup?Npi=1679784607","1679784607")</f>
        <v>1679784607</v>
      </c>
      <c r="E25919" t="s">
        <v>1750</v>
      </c>
    </row>
    <row r="25920" spans="1:5" x14ac:dyDescent="0.25">
      <c r="A25920" t="s">
        <v>9</v>
      </c>
      <c r="B25920" t="s">
        <v>6836</v>
      </c>
      <c r="C25920" s="1" t="s">
        <v>23490</v>
      </c>
      <c r="D25920" s="1" t="str">
        <f>HYPERLINK("https://rhld.insurance.arkansas.gov/NPILookup?Npi=1679966923","1679966923")</f>
        <v>1679966923</v>
      </c>
      <c r="E25920" t="s">
        <v>21287</v>
      </c>
    </row>
    <row r="25921" spans="1:5" x14ac:dyDescent="0.25">
      <c r="A25921" t="s">
        <v>9</v>
      </c>
      <c r="B25921" t="s">
        <v>6836</v>
      </c>
      <c r="C25921" s="1" t="s">
        <v>23490</v>
      </c>
      <c r="D25921" s="1" t="str">
        <f>HYPERLINK("https://rhld.insurance.arkansas.gov/NPILookup?Npi=1689005993","1689005993")</f>
        <v>1689005993</v>
      </c>
      <c r="E25921" t="s">
        <v>7163</v>
      </c>
    </row>
    <row r="25922" spans="1:5" x14ac:dyDescent="0.25">
      <c r="A25922" t="s">
        <v>9</v>
      </c>
      <c r="B25922" t="s">
        <v>6836</v>
      </c>
      <c r="C25922" s="1" t="s">
        <v>23490</v>
      </c>
      <c r="D25922" s="1" t="str">
        <f>HYPERLINK("https://rhld.insurance.arkansas.gov/NPILookup?Npi=1689610339","1689610339")</f>
        <v>1689610339</v>
      </c>
      <c r="E25922" t="s">
        <v>7164</v>
      </c>
    </row>
    <row r="25923" spans="1:5" x14ac:dyDescent="0.25">
      <c r="A25923" t="s">
        <v>9</v>
      </c>
      <c r="B25923" t="s">
        <v>6836</v>
      </c>
      <c r="C25923" s="1" t="s">
        <v>23490</v>
      </c>
      <c r="D25923" s="1" t="str">
        <f>HYPERLINK("https://rhld.insurance.arkansas.gov/NPILookup?Npi=1689622128","1689622128")</f>
        <v>1689622128</v>
      </c>
      <c r="E25923" t="s">
        <v>2393</v>
      </c>
    </row>
    <row r="25924" spans="1:5" x14ac:dyDescent="0.25">
      <c r="A25924" t="s">
        <v>9</v>
      </c>
      <c r="B25924" t="s">
        <v>6836</v>
      </c>
      <c r="C25924" s="1" t="s">
        <v>23490</v>
      </c>
      <c r="D25924" s="1" t="str">
        <f>HYPERLINK("https://rhld.insurance.arkansas.gov/NPILookup?Npi=1689669152","1689669152")</f>
        <v>1689669152</v>
      </c>
      <c r="E25924" t="s">
        <v>7165</v>
      </c>
    </row>
    <row r="25925" spans="1:5" x14ac:dyDescent="0.25">
      <c r="A25925" t="s">
        <v>9</v>
      </c>
      <c r="B25925" t="s">
        <v>6836</v>
      </c>
      <c r="C25925" s="1" t="s">
        <v>23490</v>
      </c>
      <c r="D25925" s="1" t="str">
        <f>HYPERLINK("https://rhld.insurance.arkansas.gov/NPILookup?Npi=1689710402","1689710402")</f>
        <v>1689710402</v>
      </c>
      <c r="E25925" t="s">
        <v>14477</v>
      </c>
    </row>
    <row r="25926" spans="1:5" x14ac:dyDescent="0.25">
      <c r="A25926" t="s">
        <v>9</v>
      </c>
      <c r="B25926" t="s">
        <v>6836</v>
      </c>
      <c r="C25926" s="1" t="s">
        <v>23490</v>
      </c>
      <c r="D25926" s="1" t="str">
        <f>HYPERLINK("https://rhld.insurance.arkansas.gov/NPILookup?Npi=1689749665","1689749665")</f>
        <v>1689749665</v>
      </c>
      <c r="E25926" t="s">
        <v>1724</v>
      </c>
    </row>
    <row r="25927" spans="1:5" x14ac:dyDescent="0.25">
      <c r="A25927" t="s">
        <v>9</v>
      </c>
      <c r="B25927" t="s">
        <v>6836</v>
      </c>
      <c r="C25927" s="1" t="s">
        <v>23490</v>
      </c>
      <c r="D25927" s="1" t="str">
        <f>HYPERLINK("https://rhld.insurance.arkansas.gov/NPILookup?Npi=1689780777","1689780777")</f>
        <v>1689780777</v>
      </c>
      <c r="E25927" t="s">
        <v>13268</v>
      </c>
    </row>
    <row r="25928" spans="1:5" x14ac:dyDescent="0.25">
      <c r="A25928" t="s">
        <v>9</v>
      </c>
      <c r="B25928" t="s">
        <v>6836</v>
      </c>
      <c r="C25928" s="1" t="s">
        <v>23490</v>
      </c>
      <c r="D25928" s="1" t="str">
        <f>HYPERLINK("https://rhld.insurance.arkansas.gov/NPILookup?Npi=1699086314","1699086314")</f>
        <v>1699086314</v>
      </c>
      <c r="E25928" t="s">
        <v>7166</v>
      </c>
    </row>
    <row r="25929" spans="1:5" x14ac:dyDescent="0.25">
      <c r="A25929" t="s">
        <v>9</v>
      </c>
      <c r="B25929" t="s">
        <v>6836</v>
      </c>
      <c r="C25929" s="1" t="s">
        <v>23490</v>
      </c>
      <c r="D25929" s="1" t="str">
        <f>HYPERLINK("https://rhld.insurance.arkansas.gov/NPILookup?Npi=1699161117","1699161117")</f>
        <v>1699161117</v>
      </c>
      <c r="E25929" t="s">
        <v>16528</v>
      </c>
    </row>
    <row r="25930" spans="1:5" x14ac:dyDescent="0.25">
      <c r="A25930" t="s">
        <v>9</v>
      </c>
      <c r="B25930" t="s">
        <v>6836</v>
      </c>
      <c r="C25930" s="1" t="s">
        <v>23490</v>
      </c>
      <c r="D25930" s="1" t="str">
        <f>HYPERLINK("https://rhld.insurance.arkansas.gov/NPILookup?Npi=1699161398","1699161398")</f>
        <v>1699161398</v>
      </c>
      <c r="E25930" t="s">
        <v>16529</v>
      </c>
    </row>
    <row r="25931" spans="1:5" x14ac:dyDescent="0.25">
      <c r="A25931" t="s">
        <v>9</v>
      </c>
      <c r="B25931" t="s">
        <v>6836</v>
      </c>
      <c r="C25931" s="1" t="s">
        <v>23490</v>
      </c>
      <c r="D25931" s="1" t="str">
        <f>HYPERLINK("https://rhld.insurance.arkansas.gov/NPILookup?Npi=1699711697","1699711697")</f>
        <v>1699711697</v>
      </c>
      <c r="E25931" t="s">
        <v>7167</v>
      </c>
    </row>
    <row r="25932" spans="1:5" x14ac:dyDescent="0.25">
      <c r="A25932" t="s">
        <v>9</v>
      </c>
      <c r="B25932" t="s">
        <v>6836</v>
      </c>
      <c r="C25932" s="1" t="s">
        <v>23490</v>
      </c>
      <c r="D25932" s="1" t="str">
        <f>HYPERLINK("https://rhld.insurance.arkansas.gov/NPILookup?Npi=1699742759","1699742759")</f>
        <v>1699742759</v>
      </c>
      <c r="E25932" t="s">
        <v>7168</v>
      </c>
    </row>
    <row r="25933" spans="1:5" x14ac:dyDescent="0.25">
      <c r="A25933" t="s">
        <v>9</v>
      </c>
      <c r="B25933" t="s">
        <v>6836</v>
      </c>
      <c r="C25933" s="1" t="s">
        <v>23490</v>
      </c>
      <c r="D25933" s="1" t="str">
        <f>HYPERLINK("https://rhld.insurance.arkansas.gov/NPILookup?Npi=1699760850","1699760850")</f>
        <v>1699760850</v>
      </c>
      <c r="E25933" t="s">
        <v>7169</v>
      </c>
    </row>
    <row r="25934" spans="1:5" x14ac:dyDescent="0.25">
      <c r="A25934" t="s">
        <v>9</v>
      </c>
      <c r="B25934" t="s">
        <v>6836</v>
      </c>
      <c r="C25934" s="1" t="s">
        <v>23490</v>
      </c>
      <c r="D25934" s="1" t="str">
        <f>HYPERLINK("https://rhld.insurance.arkansas.gov/NPILookup?Npi=1699776344","1699776344")</f>
        <v>1699776344</v>
      </c>
      <c r="E25934" t="s">
        <v>5412</v>
      </c>
    </row>
    <row r="25935" spans="1:5" x14ac:dyDescent="0.25">
      <c r="A25935" t="s">
        <v>9</v>
      </c>
      <c r="B25935" t="s">
        <v>6836</v>
      </c>
      <c r="C25935" s="1" t="s">
        <v>23490</v>
      </c>
      <c r="D25935" s="1" t="str">
        <f>HYPERLINK("https://rhld.insurance.arkansas.gov/NPILookup?Npi=1699963249","1699963249")</f>
        <v>1699963249</v>
      </c>
      <c r="E25935" t="s">
        <v>7170</v>
      </c>
    </row>
    <row r="25936" spans="1:5" x14ac:dyDescent="0.25">
      <c r="A25936" t="s">
        <v>9</v>
      </c>
      <c r="B25936" t="s">
        <v>6836</v>
      </c>
      <c r="C25936" s="1" t="s">
        <v>23490</v>
      </c>
      <c r="D25936" s="1" t="str">
        <f>HYPERLINK("https://rhld.insurance.arkansas.gov/NPILookup?Npi=1699970459","1699970459")</f>
        <v>1699970459</v>
      </c>
      <c r="E25936" t="s">
        <v>16530</v>
      </c>
    </row>
    <row r="25937" spans="1:5" x14ac:dyDescent="0.25">
      <c r="A25937" t="s">
        <v>9</v>
      </c>
      <c r="B25937" t="s">
        <v>6836</v>
      </c>
      <c r="C25937" s="1" t="s">
        <v>23490</v>
      </c>
      <c r="D25937" s="1" t="str">
        <f>HYPERLINK("https://rhld.insurance.arkansas.gov/NPILookup?Npi=1700016961","1700016961")</f>
        <v>1700016961</v>
      </c>
      <c r="E25937" t="s">
        <v>16531</v>
      </c>
    </row>
    <row r="25938" spans="1:5" x14ac:dyDescent="0.25">
      <c r="A25938" t="s">
        <v>9</v>
      </c>
      <c r="B25938" t="s">
        <v>6836</v>
      </c>
      <c r="C25938" s="1" t="s">
        <v>23490</v>
      </c>
      <c r="D25938" s="1" t="str">
        <f>HYPERLINK("https://rhld.insurance.arkansas.gov/NPILookup?Npi=1700107869","1700107869")</f>
        <v>1700107869</v>
      </c>
      <c r="E25938" t="s">
        <v>14478</v>
      </c>
    </row>
    <row r="25939" spans="1:5" x14ac:dyDescent="0.25">
      <c r="A25939" t="s">
        <v>9</v>
      </c>
      <c r="B25939" t="s">
        <v>6836</v>
      </c>
      <c r="C25939" s="1" t="s">
        <v>23490</v>
      </c>
      <c r="D25939" s="1" t="str">
        <f>HYPERLINK("https://rhld.insurance.arkansas.gov/NPILookup?Npi=1700833019","1700833019")</f>
        <v>1700833019</v>
      </c>
      <c r="E25939" t="s">
        <v>7171</v>
      </c>
    </row>
    <row r="25940" spans="1:5" x14ac:dyDescent="0.25">
      <c r="A25940" t="s">
        <v>9</v>
      </c>
      <c r="B25940" t="s">
        <v>6836</v>
      </c>
      <c r="C25940" s="1" t="s">
        <v>23490</v>
      </c>
      <c r="D25940" s="1" t="str">
        <f>HYPERLINK("https://rhld.insurance.arkansas.gov/NPILookup?Npi=1700836574","1700836574")</f>
        <v>1700836574</v>
      </c>
      <c r="E25940" t="s">
        <v>22623</v>
      </c>
    </row>
    <row r="25941" spans="1:5" x14ac:dyDescent="0.25">
      <c r="A25941" t="s">
        <v>9</v>
      </c>
      <c r="B25941" t="s">
        <v>6836</v>
      </c>
      <c r="C25941" s="1" t="s">
        <v>23490</v>
      </c>
      <c r="D25941" s="1" t="str">
        <f>HYPERLINK("https://rhld.insurance.arkansas.gov/NPILookup?Npi=1700888906","1700888906")</f>
        <v>1700888906</v>
      </c>
      <c r="E25941" t="s">
        <v>16532</v>
      </c>
    </row>
    <row r="25942" spans="1:5" x14ac:dyDescent="0.25">
      <c r="A25942" t="s">
        <v>9</v>
      </c>
      <c r="B25942" t="s">
        <v>6836</v>
      </c>
      <c r="C25942" s="1" t="s">
        <v>23490</v>
      </c>
      <c r="D25942" s="1" t="str">
        <f>HYPERLINK("https://rhld.insurance.arkansas.gov/NPILookup?Npi=1700897709","1700897709")</f>
        <v>1700897709</v>
      </c>
      <c r="E25942" t="s">
        <v>7172</v>
      </c>
    </row>
    <row r="25943" spans="1:5" x14ac:dyDescent="0.25">
      <c r="A25943" t="s">
        <v>9</v>
      </c>
      <c r="B25943" t="s">
        <v>6836</v>
      </c>
      <c r="C25943" s="1" t="s">
        <v>23490</v>
      </c>
      <c r="D25943" s="1" t="str">
        <f>HYPERLINK("https://rhld.insurance.arkansas.gov/NPILookup?Npi=1710008784","1710008784")</f>
        <v>1710008784</v>
      </c>
      <c r="E25943" t="s">
        <v>7173</v>
      </c>
    </row>
    <row r="25944" spans="1:5" x14ac:dyDescent="0.25">
      <c r="A25944" t="s">
        <v>9</v>
      </c>
      <c r="B25944" t="s">
        <v>6836</v>
      </c>
      <c r="C25944" s="1" t="s">
        <v>23490</v>
      </c>
      <c r="D25944" s="1" t="str">
        <f>HYPERLINK("https://rhld.insurance.arkansas.gov/NPILookup?Npi=1710077623","1710077623")</f>
        <v>1710077623</v>
      </c>
      <c r="E25944" t="s">
        <v>16533</v>
      </c>
    </row>
    <row r="25945" spans="1:5" x14ac:dyDescent="0.25">
      <c r="A25945" t="s">
        <v>9</v>
      </c>
      <c r="B25945" t="s">
        <v>6836</v>
      </c>
      <c r="C25945" s="1" t="s">
        <v>23490</v>
      </c>
      <c r="D25945" s="1" t="str">
        <f>HYPERLINK("https://rhld.insurance.arkansas.gov/NPILookup?Npi=1710082987","1710082987")</f>
        <v>1710082987</v>
      </c>
      <c r="E25945" t="s">
        <v>7174</v>
      </c>
    </row>
    <row r="25946" spans="1:5" x14ac:dyDescent="0.25">
      <c r="A25946" t="s">
        <v>9</v>
      </c>
      <c r="B25946" t="s">
        <v>6836</v>
      </c>
      <c r="C25946" s="1" t="s">
        <v>23490</v>
      </c>
      <c r="D25946" s="1" t="str">
        <f>HYPERLINK("https://rhld.insurance.arkansas.gov/NPILookup?Npi=1710093000","1710093000")</f>
        <v>1710093000</v>
      </c>
      <c r="E25946" t="s">
        <v>22624</v>
      </c>
    </row>
    <row r="25947" spans="1:5" x14ac:dyDescent="0.25">
      <c r="A25947" t="s">
        <v>9</v>
      </c>
      <c r="B25947" t="s">
        <v>6836</v>
      </c>
      <c r="C25947" s="1" t="s">
        <v>23490</v>
      </c>
      <c r="D25947" s="1" t="str">
        <f>HYPERLINK("https://rhld.insurance.arkansas.gov/NPILookup?Npi=1710098959","1710098959")</f>
        <v>1710098959</v>
      </c>
      <c r="E25947" t="s">
        <v>7175</v>
      </c>
    </row>
    <row r="25948" spans="1:5" x14ac:dyDescent="0.25">
      <c r="A25948" t="s">
        <v>9</v>
      </c>
      <c r="B25948" t="s">
        <v>6836</v>
      </c>
      <c r="C25948" s="1" t="s">
        <v>23490</v>
      </c>
      <c r="D25948" s="1" t="str">
        <f>HYPERLINK("https://rhld.insurance.arkansas.gov/NPILookup?Npi=1710171806","1710171806")</f>
        <v>1710171806</v>
      </c>
      <c r="E25948" t="s">
        <v>7176</v>
      </c>
    </row>
    <row r="25949" spans="1:5" x14ac:dyDescent="0.25">
      <c r="A25949" t="s">
        <v>9</v>
      </c>
      <c r="B25949" t="s">
        <v>6836</v>
      </c>
      <c r="C25949" s="1" t="s">
        <v>23490</v>
      </c>
      <c r="D25949" s="1" t="str">
        <f>HYPERLINK("https://rhld.insurance.arkansas.gov/NPILookup?Npi=1710186473","1710186473")</f>
        <v>1710186473</v>
      </c>
      <c r="E25949" t="s">
        <v>7177</v>
      </c>
    </row>
    <row r="25950" spans="1:5" x14ac:dyDescent="0.25">
      <c r="A25950" t="s">
        <v>9</v>
      </c>
      <c r="B25950" t="s">
        <v>6836</v>
      </c>
      <c r="C25950" s="1" t="s">
        <v>23490</v>
      </c>
      <c r="D25950" s="1" t="str">
        <f>HYPERLINK("https://rhld.insurance.arkansas.gov/NPILookup?Npi=1710956255","1710956255")</f>
        <v>1710956255</v>
      </c>
      <c r="E25950" t="s">
        <v>7178</v>
      </c>
    </row>
    <row r="25951" spans="1:5" x14ac:dyDescent="0.25">
      <c r="A25951" t="s">
        <v>9</v>
      </c>
      <c r="B25951" t="s">
        <v>6836</v>
      </c>
      <c r="C25951" s="1" t="s">
        <v>23490</v>
      </c>
      <c r="D25951" s="1" t="str">
        <f>HYPERLINK("https://rhld.insurance.arkansas.gov/NPILookup?Npi=1710986930","1710986930")</f>
        <v>1710986930</v>
      </c>
      <c r="E25951" t="s">
        <v>7179</v>
      </c>
    </row>
    <row r="25952" spans="1:5" x14ac:dyDescent="0.25">
      <c r="A25952" t="s">
        <v>9</v>
      </c>
      <c r="B25952" t="s">
        <v>6836</v>
      </c>
      <c r="C25952" s="1" t="s">
        <v>23490</v>
      </c>
      <c r="D25952" s="1" t="str">
        <f>HYPERLINK("https://rhld.insurance.arkansas.gov/NPILookup?Npi=1710996772","1710996772")</f>
        <v>1710996772</v>
      </c>
      <c r="E25952" t="s">
        <v>9134</v>
      </c>
    </row>
    <row r="25953" spans="1:5" x14ac:dyDescent="0.25">
      <c r="A25953" t="s">
        <v>9</v>
      </c>
      <c r="B25953" t="s">
        <v>6836</v>
      </c>
      <c r="C25953" s="1" t="s">
        <v>23490</v>
      </c>
      <c r="D25953" s="1" t="str">
        <f>HYPERLINK("https://rhld.insurance.arkansas.gov/NPILookup?Npi=1710996996","1710996996")</f>
        <v>1710996996</v>
      </c>
      <c r="E25953" t="s">
        <v>14479</v>
      </c>
    </row>
    <row r="25954" spans="1:5" x14ac:dyDescent="0.25">
      <c r="A25954" t="s">
        <v>9</v>
      </c>
      <c r="B25954" t="s">
        <v>6836</v>
      </c>
      <c r="C25954" s="1" t="s">
        <v>23490</v>
      </c>
      <c r="D25954" s="1" t="str">
        <f>HYPERLINK("https://rhld.insurance.arkansas.gov/NPILookup?Npi=1710998729","1710998729")</f>
        <v>1710998729</v>
      </c>
      <c r="E25954" t="s">
        <v>7180</v>
      </c>
    </row>
    <row r="25955" spans="1:5" x14ac:dyDescent="0.25">
      <c r="A25955" t="s">
        <v>9</v>
      </c>
      <c r="B25955" t="s">
        <v>6836</v>
      </c>
      <c r="C25955" s="1" t="s">
        <v>23490</v>
      </c>
      <c r="D25955" s="1" t="str">
        <f>HYPERLINK("https://rhld.insurance.arkansas.gov/NPILookup?Npi=1720003155","1720003155")</f>
        <v>1720003155</v>
      </c>
      <c r="E25955" t="s">
        <v>7181</v>
      </c>
    </row>
    <row r="25956" spans="1:5" x14ac:dyDescent="0.25">
      <c r="A25956" t="s">
        <v>9</v>
      </c>
      <c r="B25956" t="s">
        <v>6836</v>
      </c>
      <c r="C25956" s="1" t="s">
        <v>23490</v>
      </c>
      <c r="D25956" s="1" t="str">
        <f>HYPERLINK("https://rhld.insurance.arkansas.gov/NPILookup?Npi=1720015373","1720015373")</f>
        <v>1720015373</v>
      </c>
      <c r="E25956" t="s">
        <v>7182</v>
      </c>
    </row>
    <row r="25957" spans="1:5" x14ac:dyDescent="0.25">
      <c r="A25957" t="s">
        <v>9</v>
      </c>
      <c r="B25957" t="s">
        <v>6836</v>
      </c>
      <c r="C25957" s="1" t="s">
        <v>23490</v>
      </c>
      <c r="D25957" s="1" t="str">
        <f>HYPERLINK("https://rhld.insurance.arkansas.gov/NPILookup?Npi=1720044894","1720044894")</f>
        <v>1720044894</v>
      </c>
      <c r="E25957" t="s">
        <v>13269</v>
      </c>
    </row>
    <row r="25958" spans="1:5" x14ac:dyDescent="0.25">
      <c r="A25958" t="s">
        <v>9</v>
      </c>
      <c r="B25958" t="s">
        <v>6836</v>
      </c>
      <c r="C25958" s="1" t="s">
        <v>23490</v>
      </c>
      <c r="D25958" s="1" t="str">
        <f>HYPERLINK("https://rhld.insurance.arkansas.gov/NPILookup?Npi=1720045230","1720045230")</f>
        <v>1720045230</v>
      </c>
      <c r="E25958" t="s">
        <v>7183</v>
      </c>
    </row>
    <row r="25959" spans="1:5" x14ac:dyDescent="0.25">
      <c r="A25959" t="s">
        <v>9</v>
      </c>
      <c r="B25959" t="s">
        <v>6836</v>
      </c>
      <c r="C25959" s="1" t="s">
        <v>23490</v>
      </c>
      <c r="D25959" s="1" t="str">
        <f>HYPERLINK("https://rhld.insurance.arkansas.gov/NPILookup?Npi=1720053382","1720053382")</f>
        <v>1720053382</v>
      </c>
      <c r="E25959" t="s">
        <v>7184</v>
      </c>
    </row>
    <row r="25960" spans="1:5" x14ac:dyDescent="0.25">
      <c r="A25960" t="s">
        <v>9</v>
      </c>
      <c r="B25960" t="s">
        <v>6836</v>
      </c>
      <c r="C25960" s="1" t="s">
        <v>23490</v>
      </c>
      <c r="D25960" s="1" t="str">
        <f>HYPERLINK("https://rhld.insurance.arkansas.gov/NPILookup?Npi=1720053903","1720053903")</f>
        <v>1720053903</v>
      </c>
      <c r="E25960" t="s">
        <v>7185</v>
      </c>
    </row>
    <row r="25961" spans="1:5" x14ac:dyDescent="0.25">
      <c r="A25961" t="s">
        <v>9</v>
      </c>
      <c r="B25961" t="s">
        <v>6836</v>
      </c>
      <c r="C25961" s="1" t="s">
        <v>23490</v>
      </c>
      <c r="D25961" s="1" t="str">
        <f>HYPERLINK("https://rhld.insurance.arkansas.gov/NPILookup?Npi=1720109796","1720109796")</f>
        <v>1720109796</v>
      </c>
      <c r="E25961" t="s">
        <v>700</v>
      </c>
    </row>
    <row r="25962" spans="1:5" x14ac:dyDescent="0.25">
      <c r="A25962" t="s">
        <v>9</v>
      </c>
      <c r="B25962" t="s">
        <v>6836</v>
      </c>
      <c r="C25962" s="1" t="s">
        <v>23490</v>
      </c>
      <c r="D25962" s="1" t="str">
        <f>HYPERLINK("https://rhld.insurance.arkansas.gov/NPILookup?Npi=1720234107","1720234107")</f>
        <v>1720234107</v>
      </c>
      <c r="E25962" t="s">
        <v>16534</v>
      </c>
    </row>
    <row r="25963" spans="1:5" x14ac:dyDescent="0.25">
      <c r="A25963" t="s">
        <v>9</v>
      </c>
      <c r="B25963" t="s">
        <v>6836</v>
      </c>
      <c r="C25963" s="1" t="s">
        <v>23490</v>
      </c>
      <c r="D25963" s="1" t="str">
        <f>HYPERLINK("https://rhld.insurance.arkansas.gov/NPILookup?Npi=1720262579","1720262579")</f>
        <v>1720262579</v>
      </c>
      <c r="E25963" t="s">
        <v>14480</v>
      </c>
    </row>
    <row r="25964" spans="1:5" x14ac:dyDescent="0.25">
      <c r="A25964" t="s">
        <v>9</v>
      </c>
      <c r="B25964" t="s">
        <v>6836</v>
      </c>
      <c r="C25964" s="1" t="s">
        <v>23490</v>
      </c>
      <c r="D25964" s="1" t="str">
        <f>HYPERLINK("https://rhld.insurance.arkansas.gov/NPILookup?Npi=1720309750","1720309750")</f>
        <v>1720309750</v>
      </c>
      <c r="E25964" t="s">
        <v>7186</v>
      </c>
    </row>
    <row r="25965" spans="1:5" x14ac:dyDescent="0.25">
      <c r="A25965" t="s">
        <v>9</v>
      </c>
      <c r="B25965" t="s">
        <v>6836</v>
      </c>
      <c r="C25965" s="1" t="s">
        <v>23490</v>
      </c>
      <c r="D25965" s="1" t="str">
        <f>HYPERLINK("https://rhld.insurance.arkansas.gov/NPILookup?Npi=1720434574","1720434574")</f>
        <v>1720434574</v>
      </c>
      <c r="E25965" t="s">
        <v>22625</v>
      </c>
    </row>
    <row r="25966" spans="1:5" x14ac:dyDescent="0.25">
      <c r="A25966" t="s">
        <v>9</v>
      </c>
      <c r="B25966" t="s">
        <v>6836</v>
      </c>
      <c r="C25966" s="1" t="s">
        <v>23490</v>
      </c>
      <c r="D25966" s="1" t="str">
        <f>HYPERLINK("https://rhld.insurance.arkansas.gov/NPILookup?Npi=1730104928","1730104928")</f>
        <v>1730104928</v>
      </c>
      <c r="E25966" t="s">
        <v>7187</v>
      </c>
    </row>
    <row r="25967" spans="1:5" x14ac:dyDescent="0.25">
      <c r="A25967" t="s">
        <v>9</v>
      </c>
      <c r="B25967" t="s">
        <v>6836</v>
      </c>
      <c r="C25967" s="1" t="s">
        <v>23490</v>
      </c>
      <c r="D25967" s="1" t="str">
        <f>HYPERLINK("https://rhld.insurance.arkansas.gov/NPILookup?Npi=1730111063","1730111063")</f>
        <v>1730111063</v>
      </c>
      <c r="E25967" t="s">
        <v>7188</v>
      </c>
    </row>
    <row r="25968" spans="1:5" x14ac:dyDescent="0.25">
      <c r="A25968" t="s">
        <v>9</v>
      </c>
      <c r="B25968" t="s">
        <v>6836</v>
      </c>
      <c r="C25968" s="1" t="s">
        <v>23490</v>
      </c>
      <c r="D25968" s="1" t="str">
        <f>HYPERLINK("https://rhld.insurance.arkansas.gov/NPILookup?Npi=1730131509","1730131509")</f>
        <v>1730131509</v>
      </c>
      <c r="E25968" t="s">
        <v>22626</v>
      </c>
    </row>
    <row r="25969" spans="1:5" x14ac:dyDescent="0.25">
      <c r="A25969" t="s">
        <v>9</v>
      </c>
      <c r="B25969" t="s">
        <v>6836</v>
      </c>
      <c r="C25969" s="1" t="s">
        <v>23490</v>
      </c>
      <c r="D25969" s="1" t="str">
        <f>HYPERLINK("https://rhld.insurance.arkansas.gov/NPILookup?Npi=1730184581","1730184581")</f>
        <v>1730184581</v>
      </c>
      <c r="E25969" t="s">
        <v>2494</v>
      </c>
    </row>
    <row r="25970" spans="1:5" x14ac:dyDescent="0.25">
      <c r="A25970" t="s">
        <v>9</v>
      </c>
      <c r="B25970" t="s">
        <v>6836</v>
      </c>
      <c r="C25970" s="1" t="s">
        <v>23490</v>
      </c>
      <c r="D25970" s="1" t="str">
        <f>HYPERLINK("https://rhld.insurance.arkansas.gov/NPILookup?Npi=1730357039","1730357039")</f>
        <v>1730357039</v>
      </c>
      <c r="E25970" t="s">
        <v>22627</v>
      </c>
    </row>
    <row r="25971" spans="1:5" x14ac:dyDescent="0.25">
      <c r="A25971" t="s">
        <v>9</v>
      </c>
      <c r="B25971" t="s">
        <v>6836</v>
      </c>
      <c r="C25971" s="1" t="s">
        <v>23490</v>
      </c>
      <c r="D25971" s="1" t="str">
        <f>HYPERLINK("https://rhld.insurance.arkansas.gov/NPILookup?Npi=1730372830","1730372830")</f>
        <v>1730372830</v>
      </c>
      <c r="E25971" t="s">
        <v>12087</v>
      </c>
    </row>
    <row r="25972" spans="1:5" x14ac:dyDescent="0.25">
      <c r="A25972" t="s">
        <v>9</v>
      </c>
      <c r="B25972" t="s">
        <v>6836</v>
      </c>
      <c r="C25972" s="1" t="s">
        <v>23490</v>
      </c>
      <c r="D25972" s="1" t="str">
        <f>HYPERLINK("https://rhld.insurance.arkansas.gov/NPILookup?Npi=1730508466","1730508466")</f>
        <v>1730508466</v>
      </c>
      <c r="E25972" t="s">
        <v>14481</v>
      </c>
    </row>
    <row r="25973" spans="1:5" x14ac:dyDescent="0.25">
      <c r="A25973" t="s">
        <v>9</v>
      </c>
      <c r="B25973" t="s">
        <v>6836</v>
      </c>
      <c r="C25973" s="1" t="s">
        <v>23490</v>
      </c>
      <c r="D25973" s="1" t="str">
        <f>HYPERLINK("https://rhld.insurance.arkansas.gov/NPILookup?Npi=1730610684","1730610684")</f>
        <v>1730610684</v>
      </c>
      <c r="E25973" t="s">
        <v>19137</v>
      </c>
    </row>
    <row r="25974" spans="1:5" x14ac:dyDescent="0.25">
      <c r="A25974" t="s">
        <v>9</v>
      </c>
      <c r="B25974" t="s">
        <v>6836</v>
      </c>
      <c r="C25974" s="1" t="s">
        <v>23490</v>
      </c>
      <c r="D25974" s="1" t="str">
        <f>HYPERLINK("https://rhld.insurance.arkansas.gov/NPILookup?Npi=1740201524","1740201524")</f>
        <v>1740201524</v>
      </c>
      <c r="E25974" t="s">
        <v>7189</v>
      </c>
    </row>
    <row r="25975" spans="1:5" x14ac:dyDescent="0.25">
      <c r="A25975" t="s">
        <v>9</v>
      </c>
      <c r="B25975" t="s">
        <v>6836</v>
      </c>
      <c r="C25975" s="1" t="s">
        <v>23490</v>
      </c>
      <c r="D25975" s="1" t="str">
        <f>HYPERLINK("https://rhld.insurance.arkansas.gov/NPILookup?Npi=1740224286","1740224286")</f>
        <v>1740224286</v>
      </c>
      <c r="E25975" t="s">
        <v>22628</v>
      </c>
    </row>
    <row r="25976" spans="1:5" x14ac:dyDescent="0.25">
      <c r="A25976" t="s">
        <v>9</v>
      </c>
      <c r="B25976" t="s">
        <v>6836</v>
      </c>
      <c r="C25976" s="1" t="s">
        <v>23490</v>
      </c>
      <c r="D25976" s="1" t="str">
        <f>HYPERLINK("https://rhld.insurance.arkansas.gov/NPILookup?Npi=1740224831","1740224831")</f>
        <v>1740224831</v>
      </c>
      <c r="E25976" t="s">
        <v>7190</v>
      </c>
    </row>
    <row r="25977" spans="1:5" x14ac:dyDescent="0.25">
      <c r="A25977" t="s">
        <v>9</v>
      </c>
      <c r="B25977" t="s">
        <v>6836</v>
      </c>
      <c r="C25977" s="1" t="s">
        <v>23490</v>
      </c>
      <c r="D25977" s="1" t="str">
        <f>HYPERLINK("https://rhld.insurance.arkansas.gov/NPILookup?Npi=1740247410","1740247410")</f>
        <v>1740247410</v>
      </c>
      <c r="E25977" t="s">
        <v>7191</v>
      </c>
    </row>
    <row r="25978" spans="1:5" x14ac:dyDescent="0.25">
      <c r="A25978" t="s">
        <v>9</v>
      </c>
      <c r="B25978" t="s">
        <v>6836</v>
      </c>
      <c r="C25978" s="1" t="s">
        <v>23490</v>
      </c>
      <c r="D25978" s="1" t="str">
        <f>HYPERLINK("https://rhld.insurance.arkansas.gov/NPILookup?Npi=1740255256","1740255256")</f>
        <v>1740255256</v>
      </c>
      <c r="E25978" t="s">
        <v>7192</v>
      </c>
    </row>
    <row r="25979" spans="1:5" x14ac:dyDescent="0.25">
      <c r="A25979" t="s">
        <v>9</v>
      </c>
      <c r="B25979" t="s">
        <v>6836</v>
      </c>
      <c r="C25979" s="1" t="s">
        <v>23490</v>
      </c>
      <c r="D25979" s="1" t="str">
        <f>HYPERLINK("https://rhld.insurance.arkansas.gov/NPILookup?Npi=1740278076","1740278076")</f>
        <v>1740278076</v>
      </c>
      <c r="E25979" t="s">
        <v>14482</v>
      </c>
    </row>
    <row r="25980" spans="1:5" x14ac:dyDescent="0.25">
      <c r="A25980" t="s">
        <v>9</v>
      </c>
      <c r="B25980" t="s">
        <v>6836</v>
      </c>
      <c r="C25980" s="1" t="s">
        <v>23490</v>
      </c>
      <c r="D25980" s="1" t="str">
        <f>HYPERLINK("https://rhld.insurance.arkansas.gov/NPILookup?Npi=1740353804","1740353804")</f>
        <v>1740353804</v>
      </c>
      <c r="E25980" t="s">
        <v>13024</v>
      </c>
    </row>
    <row r="25981" spans="1:5" x14ac:dyDescent="0.25">
      <c r="A25981" t="s">
        <v>9</v>
      </c>
      <c r="B25981" t="s">
        <v>6836</v>
      </c>
      <c r="C25981" s="1" t="s">
        <v>23490</v>
      </c>
      <c r="D25981" s="1" t="str">
        <f>HYPERLINK("https://rhld.insurance.arkansas.gov/NPILookup?Npi=1740482504","1740482504")</f>
        <v>1740482504</v>
      </c>
      <c r="E25981" t="s">
        <v>7193</v>
      </c>
    </row>
    <row r="25982" spans="1:5" x14ac:dyDescent="0.25">
      <c r="A25982" t="s">
        <v>9</v>
      </c>
      <c r="B25982" t="s">
        <v>6836</v>
      </c>
      <c r="C25982" s="1" t="s">
        <v>23490</v>
      </c>
      <c r="D25982" s="1" t="str">
        <f>HYPERLINK("https://rhld.insurance.arkansas.gov/NPILookup?Npi=1740498435","1740498435")</f>
        <v>1740498435</v>
      </c>
      <c r="E25982" t="s">
        <v>7194</v>
      </c>
    </row>
    <row r="25983" spans="1:5" x14ac:dyDescent="0.25">
      <c r="A25983" t="s">
        <v>9</v>
      </c>
      <c r="B25983" t="s">
        <v>6836</v>
      </c>
      <c r="C25983" s="1" t="s">
        <v>23490</v>
      </c>
      <c r="D25983" s="1" t="str">
        <f>HYPERLINK("https://rhld.insurance.arkansas.gov/NPILookup?Npi=1740609486","1740609486")</f>
        <v>1740609486</v>
      </c>
      <c r="E25983" t="s">
        <v>14483</v>
      </c>
    </row>
    <row r="25984" spans="1:5" x14ac:dyDescent="0.25">
      <c r="A25984" t="s">
        <v>9</v>
      </c>
      <c r="B25984" t="s">
        <v>6836</v>
      </c>
      <c r="C25984" s="1" t="s">
        <v>23490</v>
      </c>
      <c r="D25984" s="1" t="str">
        <f>HYPERLINK("https://rhld.insurance.arkansas.gov/NPILookup?Npi=1740673565","1740673565")</f>
        <v>1740673565</v>
      </c>
      <c r="E25984" t="s">
        <v>16535</v>
      </c>
    </row>
    <row r="25985" spans="1:5" x14ac:dyDescent="0.25">
      <c r="A25985" t="s">
        <v>9</v>
      </c>
      <c r="B25985" t="s">
        <v>6836</v>
      </c>
      <c r="C25985" s="1" t="s">
        <v>23490</v>
      </c>
      <c r="D25985" s="1" t="str">
        <f>HYPERLINK("https://rhld.insurance.arkansas.gov/NPILookup?Npi=1740829720","1740829720")</f>
        <v>1740829720</v>
      </c>
      <c r="E25985" t="s">
        <v>17299</v>
      </c>
    </row>
    <row r="25986" spans="1:5" x14ac:dyDescent="0.25">
      <c r="A25986" t="s">
        <v>9</v>
      </c>
      <c r="B25986" t="s">
        <v>6836</v>
      </c>
      <c r="C25986" s="1" t="s">
        <v>23490</v>
      </c>
      <c r="D25986" s="1" t="str">
        <f>HYPERLINK("https://rhld.insurance.arkansas.gov/NPILookup?Npi=1740852110","1740852110")</f>
        <v>1740852110</v>
      </c>
      <c r="E25986" t="s">
        <v>22629</v>
      </c>
    </row>
    <row r="25987" spans="1:5" x14ac:dyDescent="0.25">
      <c r="A25987" t="s">
        <v>9</v>
      </c>
      <c r="B25987" t="s">
        <v>6836</v>
      </c>
      <c r="C25987" s="1" t="s">
        <v>23490</v>
      </c>
      <c r="D25987" s="1" t="str">
        <f>HYPERLINK("https://rhld.insurance.arkansas.gov/NPILookup?Npi=1750306858","1750306858")</f>
        <v>1750306858</v>
      </c>
      <c r="E25987" t="s">
        <v>7195</v>
      </c>
    </row>
    <row r="25988" spans="1:5" x14ac:dyDescent="0.25">
      <c r="A25988" t="s">
        <v>9</v>
      </c>
      <c r="B25988" t="s">
        <v>6836</v>
      </c>
      <c r="C25988" s="1" t="s">
        <v>23490</v>
      </c>
      <c r="D25988" s="1" t="str">
        <f>HYPERLINK("https://rhld.insurance.arkansas.gov/NPILookup?Npi=1750318747","1750318747")</f>
        <v>1750318747</v>
      </c>
      <c r="E25988" t="s">
        <v>16536</v>
      </c>
    </row>
    <row r="25989" spans="1:5" x14ac:dyDescent="0.25">
      <c r="A25989" t="s">
        <v>9</v>
      </c>
      <c r="B25989" t="s">
        <v>6836</v>
      </c>
      <c r="C25989" s="1" t="s">
        <v>23490</v>
      </c>
      <c r="D25989" s="1" t="str">
        <f>HYPERLINK("https://rhld.insurance.arkansas.gov/NPILookup?Npi=1750327466","1750327466")</f>
        <v>1750327466</v>
      </c>
      <c r="E25989" t="s">
        <v>16537</v>
      </c>
    </row>
    <row r="25990" spans="1:5" x14ac:dyDescent="0.25">
      <c r="A25990" t="s">
        <v>9</v>
      </c>
      <c r="B25990" t="s">
        <v>6836</v>
      </c>
      <c r="C25990" s="1" t="s">
        <v>23490</v>
      </c>
      <c r="D25990" s="1" t="str">
        <f>HYPERLINK("https://rhld.insurance.arkansas.gov/NPILookup?Npi=1750349098","1750349098")</f>
        <v>1750349098</v>
      </c>
      <c r="E25990" t="s">
        <v>7196</v>
      </c>
    </row>
    <row r="25991" spans="1:5" x14ac:dyDescent="0.25">
      <c r="A25991" t="s">
        <v>9</v>
      </c>
      <c r="B25991" t="s">
        <v>6836</v>
      </c>
      <c r="C25991" s="1" t="s">
        <v>23490</v>
      </c>
      <c r="D25991" s="1" t="str">
        <f>HYPERLINK("https://rhld.insurance.arkansas.gov/NPILookup?Npi=1750356002","1750356002")</f>
        <v>1750356002</v>
      </c>
      <c r="E25991" t="s">
        <v>7197</v>
      </c>
    </row>
    <row r="25992" spans="1:5" x14ac:dyDescent="0.25">
      <c r="A25992" t="s">
        <v>9</v>
      </c>
      <c r="B25992" t="s">
        <v>6836</v>
      </c>
      <c r="C25992" s="1" t="s">
        <v>23490</v>
      </c>
      <c r="D25992" s="1" t="str">
        <f>HYPERLINK("https://rhld.insurance.arkansas.gov/NPILookup?Npi=1750380069","1750380069")</f>
        <v>1750380069</v>
      </c>
      <c r="E25992" t="s">
        <v>1201</v>
      </c>
    </row>
    <row r="25993" spans="1:5" x14ac:dyDescent="0.25">
      <c r="A25993" t="s">
        <v>9</v>
      </c>
      <c r="B25993" t="s">
        <v>6836</v>
      </c>
      <c r="C25993" s="1" t="s">
        <v>23490</v>
      </c>
      <c r="D25993" s="1" t="str">
        <f>HYPERLINK("https://rhld.insurance.arkansas.gov/NPILookup?Npi=1750381158","1750381158")</f>
        <v>1750381158</v>
      </c>
      <c r="E25993" t="s">
        <v>7198</v>
      </c>
    </row>
    <row r="25994" spans="1:5" x14ac:dyDescent="0.25">
      <c r="A25994" t="s">
        <v>9</v>
      </c>
      <c r="B25994" t="s">
        <v>6836</v>
      </c>
      <c r="C25994" s="1" t="s">
        <v>23490</v>
      </c>
      <c r="D25994" s="1" t="str">
        <f>HYPERLINK("https://rhld.insurance.arkansas.gov/NPILookup?Npi=1750415287","1750415287")</f>
        <v>1750415287</v>
      </c>
      <c r="E25994" t="s">
        <v>7199</v>
      </c>
    </row>
    <row r="25995" spans="1:5" x14ac:dyDescent="0.25">
      <c r="A25995" t="s">
        <v>9</v>
      </c>
      <c r="B25995" t="s">
        <v>6836</v>
      </c>
      <c r="C25995" s="1" t="s">
        <v>23490</v>
      </c>
      <c r="D25995" s="1" t="str">
        <f>HYPERLINK("https://rhld.insurance.arkansas.gov/NPILookup?Npi=1750471249","1750471249")</f>
        <v>1750471249</v>
      </c>
      <c r="E25995" t="s">
        <v>12088</v>
      </c>
    </row>
    <row r="25996" spans="1:5" x14ac:dyDescent="0.25">
      <c r="A25996" t="s">
        <v>9</v>
      </c>
      <c r="B25996" t="s">
        <v>6836</v>
      </c>
      <c r="C25996" s="1" t="s">
        <v>23490</v>
      </c>
      <c r="D25996" s="1" t="str">
        <f>HYPERLINK("https://rhld.insurance.arkansas.gov/NPILookup?Npi=1750489589","1750489589")</f>
        <v>1750489589</v>
      </c>
      <c r="E25996" t="s">
        <v>7200</v>
      </c>
    </row>
    <row r="25997" spans="1:5" x14ac:dyDescent="0.25">
      <c r="A25997" t="s">
        <v>9</v>
      </c>
      <c r="B25997" t="s">
        <v>6836</v>
      </c>
      <c r="C25997" s="1" t="s">
        <v>23490</v>
      </c>
      <c r="D25997" s="1" t="str">
        <f>HYPERLINK("https://rhld.insurance.arkansas.gov/NPILookup?Npi=1750559233","1750559233")</f>
        <v>1750559233</v>
      </c>
      <c r="E25997" t="s">
        <v>14484</v>
      </c>
    </row>
    <row r="25998" spans="1:5" x14ac:dyDescent="0.25">
      <c r="A25998" t="s">
        <v>9</v>
      </c>
      <c r="B25998" t="s">
        <v>6836</v>
      </c>
      <c r="C25998" s="1" t="s">
        <v>23490</v>
      </c>
      <c r="D25998" s="1" t="str">
        <f>HYPERLINK("https://rhld.insurance.arkansas.gov/NPILookup?Npi=1750577581","1750577581")</f>
        <v>1750577581</v>
      </c>
      <c r="E25998" t="s">
        <v>7201</v>
      </c>
    </row>
    <row r="25999" spans="1:5" x14ac:dyDescent="0.25">
      <c r="A25999" t="s">
        <v>9</v>
      </c>
      <c r="B25999" t="s">
        <v>6836</v>
      </c>
      <c r="C25999" s="1" t="s">
        <v>23490</v>
      </c>
      <c r="D25999" s="1" t="str">
        <f>HYPERLINK("https://rhld.insurance.arkansas.gov/NPILookup?Npi=1750588596","1750588596")</f>
        <v>1750588596</v>
      </c>
      <c r="E25999" t="s">
        <v>7202</v>
      </c>
    </row>
    <row r="26000" spans="1:5" x14ac:dyDescent="0.25">
      <c r="A26000" t="s">
        <v>9</v>
      </c>
      <c r="B26000" t="s">
        <v>6836</v>
      </c>
      <c r="C26000" s="1" t="s">
        <v>23490</v>
      </c>
      <c r="D26000" s="1" t="str">
        <f>HYPERLINK("https://rhld.insurance.arkansas.gov/NPILookup?Npi=1750597829","1750597829")</f>
        <v>1750597829</v>
      </c>
      <c r="E26000" t="s">
        <v>7203</v>
      </c>
    </row>
    <row r="26001" spans="1:5" x14ac:dyDescent="0.25">
      <c r="A26001" t="s">
        <v>9</v>
      </c>
      <c r="B26001" t="s">
        <v>6836</v>
      </c>
      <c r="C26001" s="1" t="s">
        <v>23490</v>
      </c>
      <c r="D26001" s="1" t="str">
        <f>HYPERLINK("https://rhld.insurance.arkansas.gov/NPILookup?Npi=1750607487","1750607487")</f>
        <v>1750607487</v>
      </c>
      <c r="E26001" t="s">
        <v>22630</v>
      </c>
    </row>
    <row r="26002" spans="1:5" x14ac:dyDescent="0.25">
      <c r="A26002" t="s">
        <v>9</v>
      </c>
      <c r="B26002" t="s">
        <v>6836</v>
      </c>
      <c r="C26002" s="1" t="s">
        <v>23490</v>
      </c>
      <c r="D26002" s="1" t="str">
        <f>HYPERLINK("https://rhld.insurance.arkansas.gov/NPILookup?Npi=1750673554","1750673554")</f>
        <v>1750673554</v>
      </c>
      <c r="E26002" t="s">
        <v>22631</v>
      </c>
    </row>
    <row r="26003" spans="1:5" x14ac:dyDescent="0.25">
      <c r="A26003" t="s">
        <v>9</v>
      </c>
      <c r="B26003" t="s">
        <v>6836</v>
      </c>
      <c r="C26003" s="1" t="s">
        <v>23490</v>
      </c>
      <c r="D26003" s="1" t="str">
        <f>HYPERLINK("https://rhld.insurance.arkansas.gov/NPILookup?Npi=1750731329","1750731329")</f>
        <v>1750731329</v>
      </c>
      <c r="E26003" t="s">
        <v>22632</v>
      </c>
    </row>
    <row r="26004" spans="1:5" x14ac:dyDescent="0.25">
      <c r="A26004" t="s">
        <v>9</v>
      </c>
      <c r="B26004" t="s">
        <v>6836</v>
      </c>
      <c r="C26004" s="1" t="s">
        <v>23490</v>
      </c>
      <c r="D26004" s="1" t="str">
        <f>HYPERLINK("https://rhld.insurance.arkansas.gov/NPILookup?Npi=1760470439","1760470439")</f>
        <v>1760470439</v>
      </c>
      <c r="E26004" t="s">
        <v>7204</v>
      </c>
    </row>
    <row r="26005" spans="1:5" x14ac:dyDescent="0.25">
      <c r="A26005" t="s">
        <v>9</v>
      </c>
      <c r="B26005" t="s">
        <v>6836</v>
      </c>
      <c r="C26005" s="1" t="s">
        <v>23490</v>
      </c>
      <c r="D26005" s="1" t="str">
        <f>HYPERLINK("https://rhld.insurance.arkansas.gov/NPILookup?Npi=1760534580","1760534580")</f>
        <v>1760534580</v>
      </c>
      <c r="E26005" t="s">
        <v>20738</v>
      </c>
    </row>
    <row r="26006" spans="1:5" x14ac:dyDescent="0.25">
      <c r="A26006" t="s">
        <v>9</v>
      </c>
      <c r="B26006" t="s">
        <v>6836</v>
      </c>
      <c r="C26006" s="1" t="s">
        <v>23490</v>
      </c>
      <c r="D26006" s="1" t="str">
        <f>HYPERLINK("https://rhld.insurance.arkansas.gov/NPILookup?Npi=1760565048","1760565048")</f>
        <v>1760565048</v>
      </c>
      <c r="E26006" t="s">
        <v>16538</v>
      </c>
    </row>
    <row r="26007" spans="1:5" x14ac:dyDescent="0.25">
      <c r="A26007" t="s">
        <v>9</v>
      </c>
      <c r="B26007" t="s">
        <v>6836</v>
      </c>
      <c r="C26007" s="1" t="s">
        <v>23490</v>
      </c>
      <c r="D26007" s="1" t="str">
        <f>HYPERLINK("https://rhld.insurance.arkansas.gov/NPILookup?Npi=1760673875","1760673875")</f>
        <v>1760673875</v>
      </c>
      <c r="E26007" t="s">
        <v>7205</v>
      </c>
    </row>
    <row r="26008" spans="1:5" x14ac:dyDescent="0.25">
      <c r="A26008" t="s">
        <v>9</v>
      </c>
      <c r="B26008" t="s">
        <v>6836</v>
      </c>
      <c r="C26008" s="1" t="s">
        <v>23490</v>
      </c>
      <c r="D26008" s="1" t="str">
        <f>HYPERLINK("https://rhld.insurance.arkansas.gov/NPILookup?Npi=1760917850","1760917850")</f>
        <v>1760917850</v>
      </c>
      <c r="E26008" t="s">
        <v>20739</v>
      </c>
    </row>
    <row r="26009" spans="1:5" x14ac:dyDescent="0.25">
      <c r="A26009" t="s">
        <v>9</v>
      </c>
      <c r="B26009" t="s">
        <v>6836</v>
      </c>
      <c r="C26009" s="1" t="s">
        <v>23490</v>
      </c>
      <c r="D26009" s="1" t="str">
        <f>HYPERLINK("https://rhld.insurance.arkansas.gov/NPILookup?Npi=1760973804","1760973804")</f>
        <v>1760973804</v>
      </c>
      <c r="E26009" t="s">
        <v>21288</v>
      </c>
    </row>
    <row r="26010" spans="1:5" x14ac:dyDescent="0.25">
      <c r="A26010" t="s">
        <v>9</v>
      </c>
      <c r="B26010" t="s">
        <v>6836</v>
      </c>
      <c r="C26010" s="1" t="s">
        <v>8427</v>
      </c>
      <c r="D26010" s="1" t="str">
        <f>HYPERLINK("https://rhld.insurance.arkansas.gov/NPILookup?Npi=1770275935","1770275935")</f>
        <v>1770275935</v>
      </c>
      <c r="E26010" t="s">
        <v>23305</v>
      </c>
    </row>
    <row r="26011" spans="1:5" x14ac:dyDescent="0.25">
      <c r="A26011" t="s">
        <v>9</v>
      </c>
      <c r="B26011" t="s">
        <v>6836</v>
      </c>
      <c r="C26011" s="1" t="s">
        <v>23490</v>
      </c>
      <c r="D26011" s="1" t="str">
        <f>HYPERLINK("https://rhld.insurance.arkansas.gov/NPILookup?Npi=1770512857","1770512857")</f>
        <v>1770512857</v>
      </c>
      <c r="E26011" t="s">
        <v>7206</v>
      </c>
    </row>
    <row r="26012" spans="1:5" x14ac:dyDescent="0.25">
      <c r="A26012" t="s">
        <v>9</v>
      </c>
      <c r="B26012" t="s">
        <v>6836</v>
      </c>
      <c r="C26012" s="1" t="s">
        <v>23490</v>
      </c>
      <c r="D26012" s="1" t="str">
        <f>HYPERLINK("https://rhld.insurance.arkansas.gov/NPILookup?Npi=1770531675","1770531675")</f>
        <v>1770531675</v>
      </c>
      <c r="E26012" t="s">
        <v>7207</v>
      </c>
    </row>
    <row r="26013" spans="1:5" x14ac:dyDescent="0.25">
      <c r="A26013" t="s">
        <v>9</v>
      </c>
      <c r="B26013" t="s">
        <v>6836</v>
      </c>
      <c r="C26013" s="1" t="s">
        <v>23490</v>
      </c>
      <c r="D26013" s="1" t="str">
        <f>HYPERLINK("https://rhld.insurance.arkansas.gov/NPILookup?Npi=1770589137","1770589137")</f>
        <v>1770589137</v>
      </c>
      <c r="E26013" t="s">
        <v>7208</v>
      </c>
    </row>
    <row r="26014" spans="1:5" x14ac:dyDescent="0.25">
      <c r="A26014" t="s">
        <v>9</v>
      </c>
      <c r="B26014" t="s">
        <v>6836</v>
      </c>
      <c r="C26014" s="1" t="s">
        <v>23490</v>
      </c>
      <c r="D26014" s="1" t="str">
        <f>HYPERLINK("https://rhld.insurance.arkansas.gov/NPILookup?Npi=1770657827","1770657827")</f>
        <v>1770657827</v>
      </c>
      <c r="E26014" t="s">
        <v>7209</v>
      </c>
    </row>
    <row r="26015" spans="1:5" x14ac:dyDescent="0.25">
      <c r="A26015" t="s">
        <v>9</v>
      </c>
      <c r="B26015" t="s">
        <v>6836</v>
      </c>
      <c r="C26015" s="1" t="s">
        <v>23490</v>
      </c>
      <c r="D26015" s="1" t="str">
        <f>HYPERLINK("https://rhld.insurance.arkansas.gov/NPILookup?Npi=1770666869","1770666869")</f>
        <v>1770666869</v>
      </c>
      <c r="E26015" t="s">
        <v>7210</v>
      </c>
    </row>
    <row r="26016" spans="1:5" x14ac:dyDescent="0.25">
      <c r="A26016" t="s">
        <v>9</v>
      </c>
      <c r="B26016" t="s">
        <v>6836</v>
      </c>
      <c r="C26016" s="1" t="s">
        <v>23490</v>
      </c>
      <c r="D26016" s="1" t="str">
        <f>HYPERLINK("https://rhld.insurance.arkansas.gov/NPILookup?Npi=1770921207","1770921207")</f>
        <v>1770921207</v>
      </c>
      <c r="E26016" t="s">
        <v>12089</v>
      </c>
    </row>
    <row r="26017" spans="1:5" x14ac:dyDescent="0.25">
      <c r="A26017" t="s">
        <v>9</v>
      </c>
      <c r="B26017" t="s">
        <v>6836</v>
      </c>
      <c r="C26017" s="1" t="s">
        <v>23490</v>
      </c>
      <c r="D26017" s="1" t="str">
        <f>HYPERLINK("https://rhld.insurance.arkansas.gov/NPILookup?Npi=1770998841","1770998841")</f>
        <v>1770998841</v>
      </c>
      <c r="E26017" t="s">
        <v>22633</v>
      </c>
    </row>
    <row r="26018" spans="1:5" x14ac:dyDescent="0.25">
      <c r="A26018" t="s">
        <v>9</v>
      </c>
      <c r="B26018" t="s">
        <v>6836</v>
      </c>
      <c r="C26018" s="1" t="s">
        <v>23490</v>
      </c>
      <c r="D26018" s="1" t="str">
        <f>HYPERLINK("https://rhld.insurance.arkansas.gov/NPILookup?Npi=1780108456","1780108456")</f>
        <v>1780108456</v>
      </c>
      <c r="E26018" t="s">
        <v>20740</v>
      </c>
    </row>
    <row r="26019" spans="1:5" x14ac:dyDescent="0.25">
      <c r="A26019" t="s">
        <v>9</v>
      </c>
      <c r="B26019" t="s">
        <v>6836</v>
      </c>
      <c r="C26019" s="1" t="s">
        <v>23490</v>
      </c>
      <c r="D26019" s="1" t="str">
        <f>HYPERLINK("https://rhld.insurance.arkansas.gov/NPILookup?Npi=1780207662","1780207662")</f>
        <v>1780207662</v>
      </c>
      <c r="E26019" t="s">
        <v>20741</v>
      </c>
    </row>
    <row r="26020" spans="1:5" x14ac:dyDescent="0.25">
      <c r="A26020" t="s">
        <v>9</v>
      </c>
      <c r="B26020" t="s">
        <v>6836</v>
      </c>
      <c r="C26020" s="1" t="s">
        <v>23490</v>
      </c>
      <c r="D26020" s="1" t="str">
        <f>HYPERLINK("https://rhld.insurance.arkansas.gov/NPILookup?Npi=1780626762","1780626762")</f>
        <v>1780626762</v>
      </c>
      <c r="E26020" t="s">
        <v>22634</v>
      </c>
    </row>
    <row r="26021" spans="1:5" x14ac:dyDescent="0.25">
      <c r="A26021" t="s">
        <v>9</v>
      </c>
      <c r="B26021" t="s">
        <v>6836</v>
      </c>
      <c r="C26021" s="1" t="s">
        <v>23490</v>
      </c>
      <c r="D26021" s="1" t="str">
        <f>HYPERLINK("https://rhld.insurance.arkansas.gov/NPILookup?Npi=1780629147","1780629147")</f>
        <v>1780629147</v>
      </c>
      <c r="E26021" t="s">
        <v>17300</v>
      </c>
    </row>
    <row r="26022" spans="1:5" x14ac:dyDescent="0.25">
      <c r="A26022" t="s">
        <v>9</v>
      </c>
      <c r="B26022" t="s">
        <v>6836</v>
      </c>
      <c r="C26022" s="1" t="s">
        <v>23490</v>
      </c>
      <c r="D26022" s="1" t="str">
        <f>HYPERLINK("https://rhld.insurance.arkansas.gov/NPILookup?Npi=1780642447","1780642447")</f>
        <v>1780642447</v>
      </c>
      <c r="E26022" t="s">
        <v>7211</v>
      </c>
    </row>
    <row r="26023" spans="1:5" x14ac:dyDescent="0.25">
      <c r="A26023" t="s">
        <v>9</v>
      </c>
      <c r="B26023" t="s">
        <v>6836</v>
      </c>
      <c r="C26023" s="1" t="s">
        <v>23490</v>
      </c>
      <c r="D26023" s="1" t="str">
        <f>HYPERLINK("https://rhld.insurance.arkansas.gov/NPILookup?Npi=1780651208","1780651208")</f>
        <v>1780651208</v>
      </c>
      <c r="E26023" t="s">
        <v>20742</v>
      </c>
    </row>
    <row r="26024" spans="1:5" x14ac:dyDescent="0.25">
      <c r="A26024" t="s">
        <v>9</v>
      </c>
      <c r="B26024" t="s">
        <v>6836</v>
      </c>
      <c r="C26024" s="1" t="s">
        <v>23490</v>
      </c>
      <c r="D26024" s="1" t="str">
        <f>HYPERLINK("https://rhld.insurance.arkansas.gov/NPILookup?Npi=1780764290","1780764290")</f>
        <v>1780764290</v>
      </c>
      <c r="E26024" t="s">
        <v>16539</v>
      </c>
    </row>
    <row r="26025" spans="1:5" x14ac:dyDescent="0.25">
      <c r="A26025" t="s">
        <v>9</v>
      </c>
      <c r="B26025" t="s">
        <v>6836</v>
      </c>
      <c r="C26025" s="1" t="s">
        <v>23490</v>
      </c>
      <c r="D26025" s="1" t="str">
        <f>HYPERLINK("https://rhld.insurance.arkansas.gov/NPILookup?Npi=1780784496","1780784496")</f>
        <v>1780784496</v>
      </c>
      <c r="E26025" t="s">
        <v>22635</v>
      </c>
    </row>
    <row r="26026" spans="1:5" x14ac:dyDescent="0.25">
      <c r="A26026" t="s">
        <v>9</v>
      </c>
      <c r="B26026" t="s">
        <v>6836</v>
      </c>
      <c r="C26026" s="1" t="s">
        <v>23490</v>
      </c>
      <c r="D26026" s="1" t="str">
        <f>HYPERLINK("https://rhld.insurance.arkansas.gov/NPILookup?Npi=1780810614","1780810614")</f>
        <v>1780810614</v>
      </c>
      <c r="E26026" t="s">
        <v>14485</v>
      </c>
    </row>
    <row r="26027" spans="1:5" x14ac:dyDescent="0.25">
      <c r="A26027" t="s">
        <v>9</v>
      </c>
      <c r="B26027" t="s">
        <v>6836</v>
      </c>
      <c r="C26027" s="1" t="s">
        <v>23490</v>
      </c>
      <c r="D26027" s="1" t="str">
        <f>HYPERLINK("https://rhld.insurance.arkansas.gov/NPILookup?Npi=1780845859","1780845859")</f>
        <v>1780845859</v>
      </c>
      <c r="E26027" t="s">
        <v>7212</v>
      </c>
    </row>
    <row r="26028" spans="1:5" x14ac:dyDescent="0.25">
      <c r="A26028" t="s">
        <v>9</v>
      </c>
      <c r="B26028" t="s">
        <v>6836</v>
      </c>
      <c r="C26028" s="1" t="s">
        <v>23490</v>
      </c>
      <c r="D26028" s="1" t="str">
        <f>HYPERLINK("https://rhld.insurance.arkansas.gov/NPILookup?Npi=1780857284","1780857284")</f>
        <v>1780857284</v>
      </c>
      <c r="E26028" t="s">
        <v>7213</v>
      </c>
    </row>
    <row r="26029" spans="1:5" x14ac:dyDescent="0.25">
      <c r="A26029" t="s">
        <v>9</v>
      </c>
      <c r="B26029" t="s">
        <v>6836</v>
      </c>
      <c r="C26029" s="1" t="s">
        <v>23490</v>
      </c>
      <c r="D26029" s="1" t="str">
        <f>HYPERLINK("https://rhld.insurance.arkansas.gov/NPILookup?Npi=1780889766","1780889766")</f>
        <v>1780889766</v>
      </c>
      <c r="E26029" t="s">
        <v>7214</v>
      </c>
    </row>
    <row r="26030" spans="1:5" x14ac:dyDescent="0.25">
      <c r="A26030" t="s">
        <v>9</v>
      </c>
      <c r="B26030" t="s">
        <v>6836</v>
      </c>
      <c r="C26030" s="1" t="s">
        <v>23490</v>
      </c>
      <c r="D26030" s="1" t="str">
        <f>HYPERLINK("https://rhld.insurance.arkansas.gov/NPILookup?Npi=1780974592","1780974592")</f>
        <v>1780974592</v>
      </c>
      <c r="E26030" t="s">
        <v>7215</v>
      </c>
    </row>
    <row r="26031" spans="1:5" x14ac:dyDescent="0.25">
      <c r="A26031" t="s">
        <v>9</v>
      </c>
      <c r="B26031" t="s">
        <v>6836</v>
      </c>
      <c r="C26031" s="1" t="s">
        <v>23490</v>
      </c>
      <c r="D26031" s="1" t="str">
        <f>HYPERLINK("https://rhld.insurance.arkansas.gov/NPILookup?Npi=1790146454","1790146454")</f>
        <v>1790146454</v>
      </c>
      <c r="E26031" t="s">
        <v>9259</v>
      </c>
    </row>
    <row r="26032" spans="1:5" x14ac:dyDescent="0.25">
      <c r="A26032" t="s">
        <v>9</v>
      </c>
      <c r="B26032" t="s">
        <v>6836</v>
      </c>
      <c r="C26032" s="1" t="s">
        <v>23490</v>
      </c>
      <c r="D26032" s="1" t="str">
        <f>HYPERLINK("https://rhld.insurance.arkansas.gov/NPILookup?Npi=1790712099","1790712099")</f>
        <v>1790712099</v>
      </c>
      <c r="E26032" t="s">
        <v>7216</v>
      </c>
    </row>
    <row r="26033" spans="1:5" x14ac:dyDescent="0.25">
      <c r="A26033" t="s">
        <v>9</v>
      </c>
      <c r="B26033" t="s">
        <v>6836</v>
      </c>
      <c r="C26033" s="1" t="s">
        <v>23490</v>
      </c>
      <c r="D26033" s="1" t="str">
        <f>HYPERLINK("https://rhld.insurance.arkansas.gov/NPILookup?Npi=1790720456","1790720456")</f>
        <v>1790720456</v>
      </c>
      <c r="E26033" t="s">
        <v>21432</v>
      </c>
    </row>
    <row r="26034" spans="1:5" x14ac:dyDescent="0.25">
      <c r="A26034" t="s">
        <v>9</v>
      </c>
      <c r="B26034" t="s">
        <v>6836</v>
      </c>
      <c r="C26034" s="1" t="s">
        <v>23490</v>
      </c>
      <c r="D26034" s="1" t="str">
        <f>HYPERLINK("https://rhld.insurance.arkansas.gov/NPILookup?Npi=1790745685","1790745685")</f>
        <v>1790745685</v>
      </c>
      <c r="E26034" t="s">
        <v>12090</v>
      </c>
    </row>
    <row r="26035" spans="1:5" x14ac:dyDescent="0.25">
      <c r="A26035" t="s">
        <v>9</v>
      </c>
      <c r="B26035" t="s">
        <v>6836</v>
      </c>
      <c r="C26035" s="1" t="s">
        <v>23490</v>
      </c>
      <c r="D26035" s="1" t="str">
        <f>HYPERLINK("https://rhld.insurance.arkansas.gov/NPILookup?Npi=1790751923","1790751923")</f>
        <v>1790751923</v>
      </c>
      <c r="E26035" t="s">
        <v>7217</v>
      </c>
    </row>
    <row r="26036" spans="1:5" x14ac:dyDescent="0.25">
      <c r="A26036" t="s">
        <v>9</v>
      </c>
      <c r="B26036" t="s">
        <v>6836</v>
      </c>
      <c r="C26036" s="1" t="s">
        <v>23490</v>
      </c>
      <c r="D26036" s="1" t="str">
        <f>HYPERLINK("https://rhld.insurance.arkansas.gov/NPILookup?Npi=1790755098","1790755098")</f>
        <v>1790755098</v>
      </c>
      <c r="E26036" t="s">
        <v>7218</v>
      </c>
    </row>
    <row r="26037" spans="1:5" x14ac:dyDescent="0.25">
      <c r="A26037" t="s">
        <v>9</v>
      </c>
      <c r="B26037" t="s">
        <v>6836</v>
      </c>
      <c r="C26037" s="1" t="s">
        <v>23490</v>
      </c>
      <c r="D26037" s="1" t="str">
        <f>HYPERLINK("https://rhld.insurance.arkansas.gov/NPILookup?Npi=1790880896","1790880896")</f>
        <v>1790880896</v>
      </c>
      <c r="E26037" t="s">
        <v>7219</v>
      </c>
    </row>
    <row r="26038" spans="1:5" x14ac:dyDescent="0.25">
      <c r="A26038" t="s">
        <v>9</v>
      </c>
      <c r="B26038" t="s">
        <v>6836</v>
      </c>
      <c r="C26038" s="1" t="s">
        <v>23490</v>
      </c>
      <c r="D26038" s="1" t="str">
        <f>HYPERLINK("https://rhld.insurance.arkansas.gov/NPILookup?Npi=1801020177","1801020177")</f>
        <v>1801020177</v>
      </c>
      <c r="E26038" t="s">
        <v>7220</v>
      </c>
    </row>
    <row r="26039" spans="1:5" x14ac:dyDescent="0.25">
      <c r="A26039" t="s">
        <v>9</v>
      </c>
      <c r="B26039" t="s">
        <v>6836</v>
      </c>
      <c r="C26039" s="1" t="s">
        <v>23490</v>
      </c>
      <c r="D26039" s="1" t="str">
        <f>HYPERLINK("https://rhld.insurance.arkansas.gov/NPILookup?Npi=1801026620","1801026620")</f>
        <v>1801026620</v>
      </c>
      <c r="E26039" t="s">
        <v>7221</v>
      </c>
    </row>
    <row r="26040" spans="1:5" x14ac:dyDescent="0.25">
      <c r="A26040" t="s">
        <v>9</v>
      </c>
      <c r="B26040" t="s">
        <v>6836</v>
      </c>
      <c r="C26040" s="1" t="s">
        <v>23490</v>
      </c>
      <c r="D26040" s="1" t="str">
        <f>HYPERLINK("https://rhld.insurance.arkansas.gov/NPILookup?Npi=1801188792","1801188792")</f>
        <v>1801188792</v>
      </c>
      <c r="E26040" t="s">
        <v>7222</v>
      </c>
    </row>
    <row r="26041" spans="1:5" x14ac:dyDescent="0.25">
      <c r="A26041" t="s">
        <v>9</v>
      </c>
      <c r="B26041" t="s">
        <v>6836</v>
      </c>
      <c r="C26041" s="1" t="s">
        <v>23490</v>
      </c>
      <c r="D26041" s="1" t="str">
        <f>HYPERLINK("https://rhld.insurance.arkansas.gov/NPILookup?Npi=1801193297","1801193297")</f>
        <v>1801193297</v>
      </c>
      <c r="E26041" t="s">
        <v>16540</v>
      </c>
    </row>
    <row r="26042" spans="1:5" x14ac:dyDescent="0.25">
      <c r="A26042" t="s">
        <v>9</v>
      </c>
      <c r="B26042" t="s">
        <v>6836</v>
      </c>
      <c r="C26042" s="1" t="s">
        <v>23490</v>
      </c>
      <c r="D26042" s="1" t="str">
        <f>HYPERLINK("https://rhld.insurance.arkansas.gov/NPILookup?Npi=1801436886","1801436886")</f>
        <v>1801436886</v>
      </c>
      <c r="E26042" t="s">
        <v>20743</v>
      </c>
    </row>
    <row r="26043" spans="1:5" x14ac:dyDescent="0.25">
      <c r="A26043" t="s">
        <v>9</v>
      </c>
      <c r="B26043" t="s">
        <v>6836</v>
      </c>
      <c r="C26043" s="1" t="s">
        <v>23490</v>
      </c>
      <c r="D26043" s="1" t="str">
        <f>HYPERLINK("https://rhld.insurance.arkansas.gov/NPILookup?Npi=1801811237","1801811237")</f>
        <v>1801811237</v>
      </c>
      <c r="E26043" t="s">
        <v>7223</v>
      </c>
    </row>
    <row r="26044" spans="1:5" x14ac:dyDescent="0.25">
      <c r="A26044" t="s">
        <v>9</v>
      </c>
      <c r="B26044" t="s">
        <v>6836</v>
      </c>
      <c r="C26044" s="1" t="s">
        <v>23490</v>
      </c>
      <c r="D26044" s="1" t="str">
        <f>HYPERLINK("https://rhld.insurance.arkansas.gov/NPILookup?Npi=1801847736","1801847736")</f>
        <v>1801847736</v>
      </c>
      <c r="E26044" t="s">
        <v>22636</v>
      </c>
    </row>
    <row r="26045" spans="1:5" x14ac:dyDescent="0.25">
      <c r="A26045" t="s">
        <v>9</v>
      </c>
      <c r="B26045" t="s">
        <v>6836</v>
      </c>
      <c r="C26045" s="1" t="s">
        <v>23490</v>
      </c>
      <c r="D26045" s="1" t="str">
        <f>HYPERLINK("https://rhld.insurance.arkansas.gov/NPILookup?Npi=1801854062","1801854062")</f>
        <v>1801854062</v>
      </c>
      <c r="E26045" t="s">
        <v>14486</v>
      </c>
    </row>
    <row r="26046" spans="1:5" x14ac:dyDescent="0.25">
      <c r="A26046" t="s">
        <v>9</v>
      </c>
      <c r="B26046" t="s">
        <v>6836</v>
      </c>
      <c r="C26046" s="1" t="s">
        <v>23490</v>
      </c>
      <c r="D26046" s="1" t="str">
        <f>HYPERLINK("https://rhld.insurance.arkansas.gov/NPILookup?Npi=1801866900","1801866900")</f>
        <v>1801866900</v>
      </c>
      <c r="E26046" t="s">
        <v>7224</v>
      </c>
    </row>
    <row r="26047" spans="1:5" x14ac:dyDescent="0.25">
      <c r="A26047" t="s">
        <v>9</v>
      </c>
      <c r="B26047" t="s">
        <v>6836</v>
      </c>
      <c r="C26047" s="1" t="s">
        <v>23490</v>
      </c>
      <c r="D26047" s="1" t="str">
        <f>HYPERLINK("https://rhld.insurance.arkansas.gov/NPILookup?Npi=1801881438","1801881438")</f>
        <v>1801881438</v>
      </c>
      <c r="E26047" t="s">
        <v>22637</v>
      </c>
    </row>
    <row r="26048" spans="1:5" x14ac:dyDescent="0.25">
      <c r="A26048" t="s">
        <v>9</v>
      </c>
      <c r="B26048" t="s">
        <v>6836</v>
      </c>
      <c r="C26048" s="1" t="s">
        <v>23490</v>
      </c>
      <c r="D26048" s="1" t="str">
        <f>HYPERLINK("https://rhld.insurance.arkansas.gov/NPILookup?Npi=1801893169","1801893169")</f>
        <v>1801893169</v>
      </c>
      <c r="E26048" t="s">
        <v>7225</v>
      </c>
    </row>
    <row r="26049" spans="1:5" x14ac:dyDescent="0.25">
      <c r="A26049" t="s">
        <v>9</v>
      </c>
      <c r="B26049" t="s">
        <v>6836</v>
      </c>
      <c r="C26049" s="1" t="s">
        <v>23490</v>
      </c>
      <c r="D26049" s="1" t="str">
        <f>HYPERLINK("https://rhld.insurance.arkansas.gov/NPILookup?Npi=1801973094","1801973094")</f>
        <v>1801973094</v>
      </c>
      <c r="E26049" t="s">
        <v>7226</v>
      </c>
    </row>
    <row r="26050" spans="1:5" x14ac:dyDescent="0.25">
      <c r="A26050" t="s">
        <v>9</v>
      </c>
      <c r="B26050" t="s">
        <v>6836</v>
      </c>
      <c r="C26050" s="1" t="s">
        <v>23490</v>
      </c>
      <c r="D26050" s="1" t="str">
        <f>HYPERLINK("https://rhld.insurance.arkansas.gov/NPILookup?Npi=1811018880","1811018880")</f>
        <v>1811018880</v>
      </c>
      <c r="E26050" t="s">
        <v>7227</v>
      </c>
    </row>
    <row r="26051" spans="1:5" x14ac:dyDescent="0.25">
      <c r="A26051" t="s">
        <v>9</v>
      </c>
      <c r="B26051" t="s">
        <v>6836</v>
      </c>
      <c r="C26051" s="1" t="s">
        <v>23490</v>
      </c>
      <c r="D26051" s="1" t="str">
        <f>HYPERLINK("https://rhld.insurance.arkansas.gov/NPILookup?Npi=1811160690","1811160690")</f>
        <v>1811160690</v>
      </c>
      <c r="E26051" t="s">
        <v>7228</v>
      </c>
    </row>
    <row r="26052" spans="1:5" x14ac:dyDescent="0.25">
      <c r="A26052" t="s">
        <v>9</v>
      </c>
      <c r="B26052" t="s">
        <v>6836</v>
      </c>
      <c r="C26052" s="1" t="s">
        <v>23490</v>
      </c>
      <c r="D26052" s="1" t="str">
        <f>HYPERLINK("https://rhld.insurance.arkansas.gov/NPILookup?Npi=1811314842","1811314842")</f>
        <v>1811314842</v>
      </c>
      <c r="E26052" t="s">
        <v>8869</v>
      </c>
    </row>
    <row r="26053" spans="1:5" x14ac:dyDescent="0.25">
      <c r="A26053" t="s">
        <v>9</v>
      </c>
      <c r="B26053" t="s">
        <v>6836</v>
      </c>
      <c r="C26053" s="1" t="s">
        <v>23490</v>
      </c>
      <c r="D26053" s="1" t="str">
        <f>HYPERLINK("https://rhld.insurance.arkansas.gov/NPILookup?Npi=1811487945","1811487945")</f>
        <v>1811487945</v>
      </c>
      <c r="E26053" t="s">
        <v>17034</v>
      </c>
    </row>
    <row r="26054" spans="1:5" x14ac:dyDescent="0.25">
      <c r="A26054" t="s">
        <v>9</v>
      </c>
      <c r="B26054" t="s">
        <v>6836</v>
      </c>
      <c r="C26054" s="1" t="s">
        <v>23490</v>
      </c>
      <c r="D26054" s="1" t="str">
        <f>HYPERLINK("https://rhld.insurance.arkansas.gov/NPILookup?Npi=1811493646","1811493646")</f>
        <v>1811493646</v>
      </c>
      <c r="E26054" t="s">
        <v>21289</v>
      </c>
    </row>
    <row r="26055" spans="1:5" x14ac:dyDescent="0.25">
      <c r="A26055" t="s">
        <v>9</v>
      </c>
      <c r="B26055" t="s">
        <v>6836</v>
      </c>
      <c r="C26055" s="1" t="s">
        <v>23490</v>
      </c>
      <c r="D26055" s="1" t="str">
        <f>HYPERLINK("https://rhld.insurance.arkansas.gov/NPILookup?Npi=1811931553","1811931553")</f>
        <v>1811931553</v>
      </c>
      <c r="E26055" t="s">
        <v>11294</v>
      </c>
    </row>
    <row r="26056" spans="1:5" x14ac:dyDescent="0.25">
      <c r="A26056" t="s">
        <v>9</v>
      </c>
      <c r="B26056" t="s">
        <v>6836</v>
      </c>
      <c r="C26056" s="1" t="s">
        <v>23490</v>
      </c>
      <c r="D26056" s="1" t="str">
        <f>HYPERLINK("https://rhld.insurance.arkansas.gov/NPILookup?Npi=1811935927","1811935927")</f>
        <v>1811935927</v>
      </c>
      <c r="E26056" t="s">
        <v>7229</v>
      </c>
    </row>
    <row r="26057" spans="1:5" x14ac:dyDescent="0.25">
      <c r="A26057" t="s">
        <v>9</v>
      </c>
      <c r="B26057" t="s">
        <v>6836</v>
      </c>
      <c r="C26057" s="1" t="s">
        <v>23490</v>
      </c>
      <c r="D26057" s="1" t="str">
        <f>HYPERLINK("https://rhld.insurance.arkansas.gov/NPILookup?Npi=1811973431","1811973431")</f>
        <v>1811973431</v>
      </c>
      <c r="E26057" t="s">
        <v>7230</v>
      </c>
    </row>
    <row r="26058" spans="1:5" x14ac:dyDescent="0.25">
      <c r="A26058" t="s">
        <v>9</v>
      </c>
      <c r="B26058" t="s">
        <v>6836</v>
      </c>
      <c r="C26058" s="1" t="s">
        <v>23490</v>
      </c>
      <c r="D26058" s="1" t="str">
        <f>HYPERLINK("https://rhld.insurance.arkansas.gov/NPILookup?Npi=1811999386","1811999386")</f>
        <v>1811999386</v>
      </c>
      <c r="E26058" t="s">
        <v>16541</v>
      </c>
    </row>
    <row r="26059" spans="1:5" x14ac:dyDescent="0.25">
      <c r="A26059" t="s">
        <v>9</v>
      </c>
      <c r="B26059" t="s">
        <v>6836</v>
      </c>
      <c r="C26059" s="1" t="s">
        <v>23490</v>
      </c>
      <c r="D26059" s="1" t="str">
        <f>HYPERLINK("https://rhld.insurance.arkansas.gov/NPILookup?Npi=1821037417","1821037417")</f>
        <v>1821037417</v>
      </c>
      <c r="E26059" t="s">
        <v>7231</v>
      </c>
    </row>
    <row r="26060" spans="1:5" x14ac:dyDescent="0.25">
      <c r="A26060" t="s">
        <v>9</v>
      </c>
      <c r="B26060" t="s">
        <v>6836</v>
      </c>
      <c r="C26060" s="1" t="s">
        <v>23490</v>
      </c>
      <c r="D26060" s="1" t="str">
        <f>HYPERLINK("https://rhld.insurance.arkansas.gov/NPILookup?Npi=1821068123","1821068123")</f>
        <v>1821068123</v>
      </c>
      <c r="E26060" t="s">
        <v>7233</v>
      </c>
    </row>
    <row r="26061" spans="1:5" x14ac:dyDescent="0.25">
      <c r="A26061" t="s">
        <v>9</v>
      </c>
      <c r="B26061" t="s">
        <v>6836</v>
      </c>
      <c r="C26061" s="1" t="s">
        <v>23490</v>
      </c>
      <c r="D26061" s="1" t="str">
        <f>HYPERLINK("https://rhld.insurance.arkansas.gov/NPILookup?Npi=1821086356","1821086356")</f>
        <v>1821086356</v>
      </c>
      <c r="E26061" t="s">
        <v>7234</v>
      </c>
    </row>
    <row r="26062" spans="1:5" x14ac:dyDescent="0.25">
      <c r="A26062" t="s">
        <v>9</v>
      </c>
      <c r="B26062" t="s">
        <v>6836</v>
      </c>
      <c r="C26062" s="1" t="s">
        <v>23490</v>
      </c>
      <c r="D26062" s="1" t="str">
        <f>HYPERLINK("https://rhld.insurance.arkansas.gov/NPILookup?Npi=1821086760","1821086760")</f>
        <v>1821086760</v>
      </c>
      <c r="E26062" t="s">
        <v>16542</v>
      </c>
    </row>
    <row r="26063" spans="1:5" x14ac:dyDescent="0.25">
      <c r="A26063" t="s">
        <v>9</v>
      </c>
      <c r="B26063" t="s">
        <v>6836</v>
      </c>
      <c r="C26063" s="1" t="s">
        <v>23490</v>
      </c>
      <c r="D26063" s="1" t="str">
        <f>HYPERLINK("https://rhld.insurance.arkansas.gov/NPILookup?Npi=1821096603","1821096603")</f>
        <v>1821096603</v>
      </c>
      <c r="E26063" t="s">
        <v>7235</v>
      </c>
    </row>
    <row r="26064" spans="1:5" x14ac:dyDescent="0.25">
      <c r="A26064" t="s">
        <v>9</v>
      </c>
      <c r="B26064" t="s">
        <v>6836</v>
      </c>
      <c r="C26064" s="1" t="s">
        <v>23490</v>
      </c>
      <c r="D26064" s="1" t="str">
        <f>HYPERLINK("https://rhld.insurance.arkansas.gov/NPILookup?Npi=1821099326","1821099326")</f>
        <v>1821099326</v>
      </c>
      <c r="E26064" t="s">
        <v>7236</v>
      </c>
    </row>
    <row r="26065" spans="1:5" x14ac:dyDescent="0.25">
      <c r="A26065" t="s">
        <v>9</v>
      </c>
      <c r="B26065" t="s">
        <v>6836</v>
      </c>
      <c r="C26065" s="1" t="s">
        <v>23490</v>
      </c>
      <c r="D26065" s="1" t="str">
        <f>HYPERLINK("https://rhld.insurance.arkansas.gov/NPILookup?Npi=1821170481","1821170481")</f>
        <v>1821170481</v>
      </c>
      <c r="E26065" t="s">
        <v>7237</v>
      </c>
    </row>
    <row r="26066" spans="1:5" x14ac:dyDescent="0.25">
      <c r="A26066" t="s">
        <v>9</v>
      </c>
      <c r="B26066" t="s">
        <v>6836</v>
      </c>
      <c r="C26066" s="1" t="s">
        <v>23490</v>
      </c>
      <c r="D26066" s="1" t="str">
        <f>HYPERLINK("https://rhld.insurance.arkansas.gov/NPILookup?Npi=1821186222","1821186222")</f>
        <v>1821186222</v>
      </c>
      <c r="E26066" t="s">
        <v>16543</v>
      </c>
    </row>
    <row r="26067" spans="1:5" x14ac:dyDescent="0.25">
      <c r="A26067" t="s">
        <v>9</v>
      </c>
      <c r="B26067" t="s">
        <v>6836</v>
      </c>
      <c r="C26067" s="1" t="s">
        <v>23490</v>
      </c>
      <c r="D26067" s="1" t="str">
        <f>HYPERLINK("https://rhld.insurance.arkansas.gov/NPILookup?Npi=1821334327","1821334327")</f>
        <v>1821334327</v>
      </c>
      <c r="E26067" t="s">
        <v>7238</v>
      </c>
    </row>
    <row r="26068" spans="1:5" x14ac:dyDescent="0.25">
      <c r="A26068" t="s">
        <v>9</v>
      </c>
      <c r="B26068" t="s">
        <v>6836</v>
      </c>
      <c r="C26068" s="1" t="s">
        <v>23490</v>
      </c>
      <c r="D26068" s="1" t="str">
        <f>HYPERLINK("https://rhld.insurance.arkansas.gov/NPILookup?Npi=1821417890","1821417890")</f>
        <v>1821417890</v>
      </c>
      <c r="E26068" t="s">
        <v>14487</v>
      </c>
    </row>
    <row r="26069" spans="1:5" x14ac:dyDescent="0.25">
      <c r="A26069" t="s">
        <v>9</v>
      </c>
      <c r="B26069" t="s">
        <v>6836</v>
      </c>
      <c r="C26069" s="1" t="s">
        <v>23490</v>
      </c>
      <c r="D26069" s="1" t="str">
        <f>HYPERLINK("https://rhld.insurance.arkansas.gov/NPILookup?Npi=1831135698","1831135698")</f>
        <v>1831135698</v>
      </c>
      <c r="E26069" t="s">
        <v>7239</v>
      </c>
    </row>
    <row r="26070" spans="1:5" x14ac:dyDescent="0.25">
      <c r="A26070" t="s">
        <v>9</v>
      </c>
      <c r="B26070" t="s">
        <v>6836</v>
      </c>
      <c r="C26070" s="1" t="s">
        <v>23490</v>
      </c>
      <c r="D26070" s="1" t="str">
        <f>HYPERLINK("https://rhld.insurance.arkansas.gov/NPILookup?Npi=1831166966","1831166966")</f>
        <v>1831166966</v>
      </c>
      <c r="E26070" t="s">
        <v>14488</v>
      </c>
    </row>
    <row r="26071" spans="1:5" x14ac:dyDescent="0.25">
      <c r="A26071" t="s">
        <v>9</v>
      </c>
      <c r="B26071" t="s">
        <v>6836</v>
      </c>
      <c r="C26071" s="1" t="s">
        <v>23490</v>
      </c>
      <c r="D26071" s="1" t="str">
        <f>HYPERLINK("https://rhld.insurance.arkansas.gov/NPILookup?Npi=1831184332","1831184332")</f>
        <v>1831184332</v>
      </c>
      <c r="E26071" t="s">
        <v>16544</v>
      </c>
    </row>
    <row r="26072" spans="1:5" x14ac:dyDescent="0.25">
      <c r="A26072" t="s">
        <v>9</v>
      </c>
      <c r="B26072" t="s">
        <v>6836</v>
      </c>
      <c r="C26072" s="1" t="s">
        <v>23490</v>
      </c>
      <c r="D26072" s="1" t="str">
        <f>HYPERLINK("https://rhld.insurance.arkansas.gov/NPILookup?Npi=1831190610","1831190610")</f>
        <v>1831190610</v>
      </c>
      <c r="E26072" t="s">
        <v>7240</v>
      </c>
    </row>
    <row r="26073" spans="1:5" x14ac:dyDescent="0.25">
      <c r="A26073" t="s">
        <v>9</v>
      </c>
      <c r="B26073" t="s">
        <v>6836</v>
      </c>
      <c r="C26073" s="1" t="s">
        <v>23490</v>
      </c>
      <c r="D26073" s="1" t="str">
        <f>HYPERLINK("https://rhld.insurance.arkansas.gov/NPILookup?Npi=1831255744","1831255744")</f>
        <v>1831255744</v>
      </c>
      <c r="E26073" t="s">
        <v>13270</v>
      </c>
    </row>
    <row r="26074" spans="1:5" x14ac:dyDescent="0.25">
      <c r="A26074" t="s">
        <v>9</v>
      </c>
      <c r="B26074" t="s">
        <v>6836</v>
      </c>
      <c r="C26074" s="1" t="s">
        <v>23490</v>
      </c>
      <c r="D26074" s="1" t="str">
        <f>HYPERLINK("https://rhld.insurance.arkansas.gov/NPILookup?Npi=1831274992","1831274992")</f>
        <v>1831274992</v>
      </c>
      <c r="E26074" t="s">
        <v>16545</v>
      </c>
    </row>
    <row r="26075" spans="1:5" x14ac:dyDescent="0.25">
      <c r="A26075" t="s">
        <v>9</v>
      </c>
      <c r="B26075" t="s">
        <v>6836</v>
      </c>
      <c r="C26075" s="1" t="s">
        <v>23490</v>
      </c>
      <c r="D26075" s="1" t="str">
        <f>HYPERLINK("https://rhld.insurance.arkansas.gov/NPILookup?Npi=1831295807","1831295807")</f>
        <v>1831295807</v>
      </c>
      <c r="E26075" t="s">
        <v>7241</v>
      </c>
    </row>
    <row r="26076" spans="1:5" x14ac:dyDescent="0.25">
      <c r="A26076" t="s">
        <v>9</v>
      </c>
      <c r="B26076" t="s">
        <v>6836</v>
      </c>
      <c r="C26076" s="1" t="s">
        <v>23490</v>
      </c>
      <c r="D26076" s="1" t="str">
        <f>HYPERLINK("https://rhld.insurance.arkansas.gov/NPILookup?Npi=1831350016","1831350016")</f>
        <v>1831350016</v>
      </c>
      <c r="E26076" t="s">
        <v>7242</v>
      </c>
    </row>
    <row r="26077" spans="1:5" x14ac:dyDescent="0.25">
      <c r="A26077" t="s">
        <v>9</v>
      </c>
      <c r="B26077" t="s">
        <v>6836</v>
      </c>
      <c r="C26077" s="1" t="s">
        <v>23490</v>
      </c>
      <c r="D26077" s="1" t="str">
        <f>HYPERLINK("https://rhld.insurance.arkansas.gov/NPILookup?Npi=1831640911","1831640911")</f>
        <v>1831640911</v>
      </c>
      <c r="E26077" t="s">
        <v>16546</v>
      </c>
    </row>
    <row r="26078" spans="1:5" x14ac:dyDescent="0.25">
      <c r="A26078" t="s">
        <v>9</v>
      </c>
      <c r="B26078" t="s">
        <v>6836</v>
      </c>
      <c r="C26078" s="1" t="s">
        <v>23490</v>
      </c>
      <c r="D26078" s="1" t="str">
        <f>HYPERLINK("https://rhld.insurance.arkansas.gov/NPILookup?Npi=1841262300","1841262300")</f>
        <v>1841262300</v>
      </c>
      <c r="E26078" t="s">
        <v>7243</v>
      </c>
    </row>
    <row r="26079" spans="1:5" x14ac:dyDescent="0.25">
      <c r="A26079" t="s">
        <v>9</v>
      </c>
      <c r="B26079" t="s">
        <v>6836</v>
      </c>
      <c r="C26079" s="1" t="s">
        <v>23490</v>
      </c>
      <c r="D26079" s="1" t="str">
        <f>HYPERLINK("https://rhld.insurance.arkansas.gov/NPILookup?Npi=1841341153","1841341153")</f>
        <v>1841341153</v>
      </c>
      <c r="E26079" t="s">
        <v>12091</v>
      </c>
    </row>
    <row r="26080" spans="1:5" x14ac:dyDescent="0.25">
      <c r="A26080" t="s">
        <v>9</v>
      </c>
      <c r="B26080" t="s">
        <v>6836</v>
      </c>
      <c r="C26080" s="1" t="s">
        <v>23490</v>
      </c>
      <c r="D26080" s="1" t="str">
        <f>HYPERLINK("https://rhld.insurance.arkansas.gov/NPILookup?Npi=1841380334","1841380334")</f>
        <v>1841380334</v>
      </c>
      <c r="E26080" t="s">
        <v>7244</v>
      </c>
    </row>
    <row r="26081" spans="1:5" x14ac:dyDescent="0.25">
      <c r="A26081" t="s">
        <v>9</v>
      </c>
      <c r="B26081" t="s">
        <v>6836</v>
      </c>
      <c r="C26081" s="1" t="s">
        <v>23490</v>
      </c>
      <c r="D26081" s="1" t="str">
        <f>HYPERLINK("https://rhld.insurance.arkansas.gov/NPILookup?Npi=1841400744","1841400744")</f>
        <v>1841400744</v>
      </c>
      <c r="E26081" t="s">
        <v>17301</v>
      </c>
    </row>
    <row r="26082" spans="1:5" x14ac:dyDescent="0.25">
      <c r="A26082" t="s">
        <v>9</v>
      </c>
      <c r="B26082" t="s">
        <v>6836</v>
      </c>
      <c r="C26082" s="1" t="s">
        <v>23490</v>
      </c>
      <c r="D26082" s="1" t="str">
        <f>HYPERLINK("https://rhld.insurance.arkansas.gov/NPILookup?Npi=1841447968","1841447968")</f>
        <v>1841447968</v>
      </c>
      <c r="E26082" t="s">
        <v>14489</v>
      </c>
    </row>
    <row r="26083" spans="1:5" x14ac:dyDescent="0.25">
      <c r="A26083" t="s">
        <v>9</v>
      </c>
      <c r="B26083" t="s">
        <v>6836</v>
      </c>
      <c r="C26083" s="1" t="s">
        <v>23490</v>
      </c>
      <c r="D26083" s="1" t="str">
        <f>HYPERLINK("https://rhld.insurance.arkansas.gov/NPILookup?Npi=1841498532","1841498532")</f>
        <v>1841498532</v>
      </c>
      <c r="E26083" t="s">
        <v>7245</v>
      </c>
    </row>
    <row r="26084" spans="1:5" x14ac:dyDescent="0.25">
      <c r="A26084" t="s">
        <v>9</v>
      </c>
      <c r="B26084" t="s">
        <v>6836</v>
      </c>
      <c r="C26084" s="1" t="s">
        <v>23490</v>
      </c>
      <c r="D26084" s="1" t="str">
        <f>HYPERLINK("https://rhld.insurance.arkansas.gov/NPILookup?Npi=1841584174","1841584174")</f>
        <v>1841584174</v>
      </c>
      <c r="E26084" t="s">
        <v>12092</v>
      </c>
    </row>
    <row r="26085" spans="1:5" x14ac:dyDescent="0.25">
      <c r="A26085" t="s">
        <v>9</v>
      </c>
      <c r="B26085" t="s">
        <v>6836</v>
      </c>
      <c r="C26085" s="1" t="s">
        <v>23490</v>
      </c>
      <c r="D26085" s="1" t="str">
        <f>HYPERLINK("https://rhld.insurance.arkansas.gov/NPILookup?Npi=1841636263","1841636263")</f>
        <v>1841636263</v>
      </c>
      <c r="E26085" t="s">
        <v>13271</v>
      </c>
    </row>
    <row r="26086" spans="1:5" x14ac:dyDescent="0.25">
      <c r="A26086" t="s">
        <v>9</v>
      </c>
      <c r="B26086" t="s">
        <v>6836</v>
      </c>
      <c r="C26086" s="1" t="s">
        <v>23490</v>
      </c>
      <c r="D26086" s="1" t="str">
        <f>HYPERLINK("https://rhld.insurance.arkansas.gov/NPILookup?Npi=1851308258","1851308258")</f>
        <v>1851308258</v>
      </c>
      <c r="E26086" t="s">
        <v>7246</v>
      </c>
    </row>
    <row r="26087" spans="1:5" x14ac:dyDescent="0.25">
      <c r="A26087" t="s">
        <v>9</v>
      </c>
      <c r="B26087" t="s">
        <v>6836</v>
      </c>
      <c r="C26087" s="1" t="s">
        <v>23490</v>
      </c>
      <c r="D26087" s="1" t="str">
        <f>HYPERLINK("https://rhld.insurance.arkansas.gov/NPILookup?Npi=1851396683","1851396683")</f>
        <v>1851396683</v>
      </c>
      <c r="E26087" t="s">
        <v>7247</v>
      </c>
    </row>
    <row r="26088" spans="1:5" x14ac:dyDescent="0.25">
      <c r="A26088" t="s">
        <v>9</v>
      </c>
      <c r="B26088" t="s">
        <v>6836</v>
      </c>
      <c r="C26088" s="1" t="s">
        <v>23490</v>
      </c>
      <c r="D26088" s="1" t="str">
        <f>HYPERLINK("https://rhld.insurance.arkansas.gov/NPILookup?Npi=1861455180","1861455180")</f>
        <v>1861455180</v>
      </c>
      <c r="E26088" t="s">
        <v>17302</v>
      </c>
    </row>
    <row r="26089" spans="1:5" x14ac:dyDescent="0.25">
      <c r="A26089" t="s">
        <v>9</v>
      </c>
      <c r="B26089" t="s">
        <v>6836</v>
      </c>
      <c r="C26089" s="1" t="s">
        <v>23490</v>
      </c>
      <c r="D26089" s="1" t="str">
        <f>HYPERLINK("https://rhld.insurance.arkansas.gov/NPILookup?Npi=1861457590","1861457590")</f>
        <v>1861457590</v>
      </c>
      <c r="E26089" t="s">
        <v>7248</v>
      </c>
    </row>
    <row r="26090" spans="1:5" x14ac:dyDescent="0.25">
      <c r="A26090" t="s">
        <v>9</v>
      </c>
      <c r="B26090" t="s">
        <v>6836</v>
      </c>
      <c r="C26090" s="1" t="s">
        <v>23490</v>
      </c>
      <c r="D26090" s="1" t="str">
        <f>HYPERLINK("https://rhld.insurance.arkansas.gov/NPILookup?Npi=1861470627","1861470627")</f>
        <v>1861470627</v>
      </c>
      <c r="E26090" t="s">
        <v>16547</v>
      </c>
    </row>
    <row r="26091" spans="1:5" x14ac:dyDescent="0.25">
      <c r="A26091" t="s">
        <v>9</v>
      </c>
      <c r="B26091" t="s">
        <v>6836</v>
      </c>
      <c r="C26091" s="1" t="s">
        <v>23490</v>
      </c>
      <c r="D26091" s="1" t="str">
        <f>HYPERLINK("https://rhld.insurance.arkansas.gov/NPILookup?Npi=1861473969","1861473969")</f>
        <v>1861473969</v>
      </c>
      <c r="E26091" t="s">
        <v>7249</v>
      </c>
    </row>
    <row r="26092" spans="1:5" x14ac:dyDescent="0.25">
      <c r="A26092" t="s">
        <v>9</v>
      </c>
      <c r="B26092" t="s">
        <v>6836</v>
      </c>
      <c r="C26092" s="1" t="s">
        <v>23490</v>
      </c>
      <c r="D26092" s="1" t="str">
        <f>HYPERLINK("https://rhld.insurance.arkansas.gov/NPILookup?Npi=1861488215","1861488215")</f>
        <v>1861488215</v>
      </c>
      <c r="E26092" t="s">
        <v>7250</v>
      </c>
    </row>
    <row r="26093" spans="1:5" x14ac:dyDescent="0.25">
      <c r="A26093" t="s">
        <v>9</v>
      </c>
      <c r="B26093" t="s">
        <v>6836</v>
      </c>
      <c r="C26093" s="1" t="s">
        <v>23490</v>
      </c>
      <c r="D26093" s="1" t="str">
        <f>HYPERLINK("https://rhld.insurance.arkansas.gov/NPILookup?Npi=1861498024","1861498024")</f>
        <v>1861498024</v>
      </c>
      <c r="E26093" t="s">
        <v>15005</v>
      </c>
    </row>
    <row r="26094" spans="1:5" x14ac:dyDescent="0.25">
      <c r="A26094" t="s">
        <v>9</v>
      </c>
      <c r="B26094" t="s">
        <v>6836</v>
      </c>
      <c r="C26094" s="1" t="s">
        <v>23490</v>
      </c>
      <c r="D26094" s="1" t="str">
        <f>HYPERLINK("https://rhld.insurance.arkansas.gov/NPILookup?Npi=1861503062","1861503062")</f>
        <v>1861503062</v>
      </c>
      <c r="E26094" t="s">
        <v>5370</v>
      </c>
    </row>
    <row r="26095" spans="1:5" x14ac:dyDescent="0.25">
      <c r="A26095" t="s">
        <v>9</v>
      </c>
      <c r="B26095" t="s">
        <v>6836</v>
      </c>
      <c r="C26095" s="1" t="s">
        <v>23490</v>
      </c>
      <c r="D26095" s="1" t="str">
        <f>HYPERLINK("https://rhld.insurance.arkansas.gov/NPILookup?Npi=1861615627","1861615627")</f>
        <v>1861615627</v>
      </c>
      <c r="E26095" t="s">
        <v>22638</v>
      </c>
    </row>
    <row r="26096" spans="1:5" x14ac:dyDescent="0.25">
      <c r="A26096" t="s">
        <v>9</v>
      </c>
      <c r="B26096" t="s">
        <v>6836</v>
      </c>
      <c r="C26096" s="1" t="s">
        <v>23490</v>
      </c>
      <c r="D26096" s="1" t="str">
        <f>HYPERLINK("https://rhld.insurance.arkansas.gov/NPILookup?Npi=1871065136","1871065136")</f>
        <v>1871065136</v>
      </c>
      <c r="E26096" t="s">
        <v>16548</v>
      </c>
    </row>
    <row r="26097" spans="1:5" x14ac:dyDescent="0.25">
      <c r="A26097" t="s">
        <v>9</v>
      </c>
      <c r="B26097" t="s">
        <v>6836</v>
      </c>
      <c r="C26097" s="1" t="s">
        <v>23490</v>
      </c>
      <c r="D26097" s="1" t="str">
        <f>HYPERLINK("https://rhld.insurance.arkansas.gov/NPILookup?Npi=1871505438","1871505438")</f>
        <v>1871505438</v>
      </c>
      <c r="E26097" t="s">
        <v>7251</v>
      </c>
    </row>
    <row r="26098" spans="1:5" x14ac:dyDescent="0.25">
      <c r="A26098" t="s">
        <v>9</v>
      </c>
      <c r="B26098" t="s">
        <v>6836</v>
      </c>
      <c r="C26098" s="1" t="s">
        <v>23490</v>
      </c>
      <c r="D26098" s="1" t="str">
        <f>HYPERLINK("https://rhld.insurance.arkansas.gov/NPILookup?Npi=1871545632","1871545632")</f>
        <v>1871545632</v>
      </c>
      <c r="E26098" t="s">
        <v>12093</v>
      </c>
    </row>
    <row r="26099" spans="1:5" x14ac:dyDescent="0.25">
      <c r="A26099" t="s">
        <v>9</v>
      </c>
      <c r="B26099" t="s">
        <v>6836</v>
      </c>
      <c r="C26099" s="1" t="s">
        <v>23490</v>
      </c>
      <c r="D26099" s="1" t="str">
        <f>HYPERLINK("https://rhld.insurance.arkansas.gov/NPILookup?Npi=1871559955","1871559955")</f>
        <v>1871559955</v>
      </c>
      <c r="E26099" t="s">
        <v>7252</v>
      </c>
    </row>
    <row r="26100" spans="1:5" x14ac:dyDescent="0.25">
      <c r="A26100" t="s">
        <v>9</v>
      </c>
      <c r="B26100" t="s">
        <v>6836</v>
      </c>
      <c r="C26100" s="1" t="s">
        <v>23490</v>
      </c>
      <c r="D26100" s="1" t="str">
        <f>HYPERLINK("https://rhld.insurance.arkansas.gov/NPILookup?Npi=1871571349","1871571349")</f>
        <v>1871571349</v>
      </c>
      <c r="E26100" t="s">
        <v>7253</v>
      </c>
    </row>
    <row r="26101" spans="1:5" x14ac:dyDescent="0.25">
      <c r="A26101" t="s">
        <v>9</v>
      </c>
      <c r="B26101" t="s">
        <v>6836</v>
      </c>
      <c r="C26101" s="1" t="s">
        <v>23490</v>
      </c>
      <c r="D26101" s="1" t="str">
        <f>HYPERLINK("https://rhld.insurance.arkansas.gov/NPILookup?Npi=1871599316","1871599316")</f>
        <v>1871599316</v>
      </c>
      <c r="E26101" t="s">
        <v>7254</v>
      </c>
    </row>
    <row r="26102" spans="1:5" x14ac:dyDescent="0.25">
      <c r="A26102" t="s">
        <v>9</v>
      </c>
      <c r="B26102" t="s">
        <v>6836</v>
      </c>
      <c r="C26102" s="1" t="s">
        <v>23490</v>
      </c>
      <c r="D26102" s="1" t="str">
        <f>HYPERLINK("https://rhld.insurance.arkansas.gov/NPILookup?Npi=1871632364","1871632364")</f>
        <v>1871632364</v>
      </c>
      <c r="E26102" t="s">
        <v>22639</v>
      </c>
    </row>
    <row r="26103" spans="1:5" x14ac:dyDescent="0.25">
      <c r="A26103" t="s">
        <v>9</v>
      </c>
      <c r="B26103" t="s">
        <v>6836</v>
      </c>
      <c r="C26103" s="1" t="s">
        <v>23490</v>
      </c>
      <c r="D26103" s="1" t="str">
        <f>HYPERLINK("https://rhld.insurance.arkansas.gov/NPILookup?Npi=1871702464","1871702464")</f>
        <v>1871702464</v>
      </c>
      <c r="E26103" t="s">
        <v>16549</v>
      </c>
    </row>
    <row r="26104" spans="1:5" x14ac:dyDescent="0.25">
      <c r="A26104" t="s">
        <v>9</v>
      </c>
      <c r="B26104" t="s">
        <v>6836</v>
      </c>
      <c r="C26104" s="1" t="s">
        <v>23490</v>
      </c>
      <c r="D26104" s="1" t="str">
        <f>HYPERLINK("https://rhld.insurance.arkansas.gov/NPILookup?Npi=1871735100","1871735100")</f>
        <v>1871735100</v>
      </c>
      <c r="E26104" t="s">
        <v>7255</v>
      </c>
    </row>
    <row r="26105" spans="1:5" x14ac:dyDescent="0.25">
      <c r="A26105" t="s">
        <v>9</v>
      </c>
      <c r="B26105" t="s">
        <v>6836</v>
      </c>
      <c r="C26105" s="1" t="s">
        <v>23490</v>
      </c>
      <c r="D26105" s="1" t="str">
        <f>HYPERLINK("https://rhld.insurance.arkansas.gov/NPILookup?Npi=1871880278","1871880278")</f>
        <v>1871880278</v>
      </c>
      <c r="E26105" t="s">
        <v>7256</v>
      </c>
    </row>
    <row r="26106" spans="1:5" x14ac:dyDescent="0.25">
      <c r="A26106" t="s">
        <v>9</v>
      </c>
      <c r="B26106" t="s">
        <v>6836</v>
      </c>
      <c r="C26106" s="1" t="s">
        <v>23490</v>
      </c>
      <c r="D26106" s="1" t="str">
        <f>HYPERLINK("https://rhld.insurance.arkansas.gov/NPILookup?Npi=1871932814","1871932814")</f>
        <v>1871932814</v>
      </c>
      <c r="E26106" t="s">
        <v>16550</v>
      </c>
    </row>
    <row r="26107" spans="1:5" x14ac:dyDescent="0.25">
      <c r="A26107" t="s">
        <v>9</v>
      </c>
      <c r="B26107" t="s">
        <v>6836</v>
      </c>
      <c r="C26107" s="1" t="s">
        <v>23490</v>
      </c>
      <c r="D26107" s="1" t="str">
        <f>HYPERLINK("https://rhld.insurance.arkansas.gov/NPILookup?Npi=1881039063","1881039063")</f>
        <v>1881039063</v>
      </c>
      <c r="E26107" t="s">
        <v>22640</v>
      </c>
    </row>
    <row r="26108" spans="1:5" x14ac:dyDescent="0.25">
      <c r="A26108" t="s">
        <v>9</v>
      </c>
      <c r="B26108" t="s">
        <v>6836</v>
      </c>
      <c r="C26108" s="1" t="s">
        <v>23490</v>
      </c>
      <c r="D26108" s="1" t="str">
        <f>HYPERLINK("https://rhld.insurance.arkansas.gov/NPILookup?Npi=1881616258","1881616258")</f>
        <v>1881616258</v>
      </c>
      <c r="E26108" t="s">
        <v>7257</v>
      </c>
    </row>
    <row r="26109" spans="1:5" x14ac:dyDescent="0.25">
      <c r="A26109" t="s">
        <v>9</v>
      </c>
      <c r="B26109" t="s">
        <v>6836</v>
      </c>
      <c r="C26109" s="1" t="s">
        <v>23490</v>
      </c>
      <c r="D26109" s="1" t="str">
        <f>HYPERLINK("https://rhld.insurance.arkansas.gov/NPILookup?Npi=1881619989","1881619989")</f>
        <v>1881619989</v>
      </c>
      <c r="E26109" t="s">
        <v>7258</v>
      </c>
    </row>
    <row r="26110" spans="1:5" x14ac:dyDescent="0.25">
      <c r="A26110" t="s">
        <v>9</v>
      </c>
      <c r="B26110" t="s">
        <v>6836</v>
      </c>
      <c r="C26110" s="1" t="s">
        <v>23490</v>
      </c>
      <c r="D26110" s="1" t="str">
        <f>HYPERLINK("https://rhld.insurance.arkansas.gov/NPILookup?Npi=1881629863","1881629863")</f>
        <v>1881629863</v>
      </c>
      <c r="E26110" t="s">
        <v>16551</v>
      </c>
    </row>
    <row r="26111" spans="1:5" x14ac:dyDescent="0.25">
      <c r="A26111" t="s">
        <v>9</v>
      </c>
      <c r="B26111" t="s">
        <v>6836</v>
      </c>
      <c r="C26111" s="1" t="s">
        <v>23490</v>
      </c>
      <c r="D26111" s="1" t="str">
        <f>HYPERLINK("https://rhld.insurance.arkansas.gov/NPILookup?Npi=1881638013","1881638013")</f>
        <v>1881638013</v>
      </c>
      <c r="E26111" t="s">
        <v>16552</v>
      </c>
    </row>
    <row r="26112" spans="1:5" x14ac:dyDescent="0.25">
      <c r="A26112" t="s">
        <v>9</v>
      </c>
      <c r="B26112" t="s">
        <v>6836</v>
      </c>
      <c r="C26112" s="1" t="s">
        <v>23490</v>
      </c>
      <c r="D26112" s="1" t="str">
        <f>HYPERLINK("https://rhld.insurance.arkansas.gov/NPILookup?Npi=1881647824","1881647824")</f>
        <v>1881647824</v>
      </c>
      <c r="E26112" t="s">
        <v>7259</v>
      </c>
    </row>
    <row r="26113" spans="1:5" x14ac:dyDescent="0.25">
      <c r="A26113" t="s">
        <v>9</v>
      </c>
      <c r="B26113" t="s">
        <v>6836</v>
      </c>
      <c r="C26113" s="1" t="s">
        <v>23490</v>
      </c>
      <c r="D26113" s="1" t="str">
        <f>HYPERLINK("https://rhld.insurance.arkansas.gov/NPILookup?Npi=1881651685","1881651685")</f>
        <v>1881651685</v>
      </c>
      <c r="E26113" t="s">
        <v>7260</v>
      </c>
    </row>
    <row r="26114" spans="1:5" x14ac:dyDescent="0.25">
      <c r="A26114" t="s">
        <v>9</v>
      </c>
      <c r="B26114" t="s">
        <v>6836</v>
      </c>
      <c r="C26114" s="1" t="s">
        <v>23490</v>
      </c>
      <c r="D26114" s="1" t="str">
        <f>HYPERLINK("https://rhld.insurance.arkansas.gov/NPILookup?Npi=1881654978","1881654978")</f>
        <v>1881654978</v>
      </c>
      <c r="E26114" t="s">
        <v>14490</v>
      </c>
    </row>
    <row r="26115" spans="1:5" x14ac:dyDescent="0.25">
      <c r="A26115" t="s">
        <v>9</v>
      </c>
      <c r="B26115" t="s">
        <v>6836</v>
      </c>
      <c r="C26115" s="1" t="s">
        <v>23490</v>
      </c>
      <c r="D26115" s="1" t="str">
        <f>HYPERLINK("https://rhld.insurance.arkansas.gov/NPILookup?Npi=1881667608","1881667608")</f>
        <v>1881667608</v>
      </c>
      <c r="E26115" t="s">
        <v>21433</v>
      </c>
    </row>
    <row r="26116" spans="1:5" x14ac:dyDescent="0.25">
      <c r="A26116" t="s">
        <v>9</v>
      </c>
      <c r="B26116" t="s">
        <v>6836</v>
      </c>
      <c r="C26116" s="1" t="s">
        <v>23490</v>
      </c>
      <c r="D26116" s="1" t="str">
        <f>HYPERLINK("https://rhld.insurance.arkansas.gov/NPILookup?Npi=1881688828","1881688828")</f>
        <v>1881688828</v>
      </c>
      <c r="E26116" t="s">
        <v>16553</v>
      </c>
    </row>
    <row r="26117" spans="1:5" x14ac:dyDescent="0.25">
      <c r="A26117" t="s">
        <v>9</v>
      </c>
      <c r="B26117" t="s">
        <v>6836</v>
      </c>
      <c r="C26117" s="1" t="s">
        <v>23490</v>
      </c>
      <c r="D26117" s="1" t="str">
        <f>HYPERLINK("https://rhld.insurance.arkansas.gov/NPILookup?Npi=1881823417","1881823417")</f>
        <v>1881823417</v>
      </c>
      <c r="E26117" t="s">
        <v>16554</v>
      </c>
    </row>
    <row r="26118" spans="1:5" x14ac:dyDescent="0.25">
      <c r="A26118" t="s">
        <v>9</v>
      </c>
      <c r="B26118" t="s">
        <v>6836</v>
      </c>
      <c r="C26118" s="1" t="s">
        <v>23490</v>
      </c>
      <c r="D26118" s="1" t="str">
        <f>HYPERLINK("https://rhld.insurance.arkansas.gov/NPILookup?Npi=1891008074","1891008074")</f>
        <v>1891008074</v>
      </c>
      <c r="E26118" t="s">
        <v>23306</v>
      </c>
    </row>
    <row r="26119" spans="1:5" x14ac:dyDescent="0.25">
      <c r="A26119" t="s">
        <v>9</v>
      </c>
      <c r="B26119" t="s">
        <v>6836</v>
      </c>
      <c r="C26119" s="1" t="s">
        <v>23490</v>
      </c>
      <c r="D26119" s="1" t="str">
        <f>HYPERLINK("https://rhld.insurance.arkansas.gov/NPILookup?Npi=1891251922","1891251922")</f>
        <v>1891251922</v>
      </c>
      <c r="E26119" t="s">
        <v>16555</v>
      </c>
    </row>
    <row r="26120" spans="1:5" x14ac:dyDescent="0.25">
      <c r="A26120" t="s">
        <v>9</v>
      </c>
      <c r="B26120" t="s">
        <v>6836</v>
      </c>
      <c r="C26120" s="1" t="s">
        <v>8427</v>
      </c>
      <c r="D26120" s="1" t="str">
        <f>HYPERLINK("https://rhld.insurance.arkansas.gov/NPILookup?Npi=1891254751","1891254751")</f>
        <v>1891254751</v>
      </c>
      <c r="E26120" t="s">
        <v>23307</v>
      </c>
    </row>
    <row r="26121" spans="1:5" x14ac:dyDescent="0.25">
      <c r="A26121" t="s">
        <v>9</v>
      </c>
      <c r="B26121" t="s">
        <v>6836</v>
      </c>
      <c r="C26121" s="1" t="s">
        <v>23490</v>
      </c>
      <c r="D26121" s="1" t="str">
        <f>HYPERLINK("https://rhld.insurance.arkansas.gov/NPILookup?Npi=1891712899","1891712899")</f>
        <v>1891712899</v>
      </c>
      <c r="E26121" t="s">
        <v>7261</v>
      </c>
    </row>
    <row r="26122" spans="1:5" x14ac:dyDescent="0.25">
      <c r="A26122" t="s">
        <v>9</v>
      </c>
      <c r="B26122" t="s">
        <v>6836</v>
      </c>
      <c r="C26122" s="1" t="s">
        <v>23490</v>
      </c>
      <c r="D26122" s="1" t="str">
        <f>HYPERLINK("https://rhld.insurance.arkansas.gov/NPILookup?Npi=1891722559","1891722559")</f>
        <v>1891722559</v>
      </c>
      <c r="E26122" t="s">
        <v>7262</v>
      </c>
    </row>
    <row r="26123" spans="1:5" x14ac:dyDescent="0.25">
      <c r="A26123" t="s">
        <v>9</v>
      </c>
      <c r="B26123" t="s">
        <v>6836</v>
      </c>
      <c r="C26123" s="1" t="s">
        <v>23490</v>
      </c>
      <c r="D26123" s="1" t="str">
        <f>HYPERLINK("https://rhld.insurance.arkansas.gov/NPILookup?Npi=1891738373","1891738373")</f>
        <v>1891738373</v>
      </c>
      <c r="E26123" t="s">
        <v>7263</v>
      </c>
    </row>
    <row r="26124" spans="1:5" x14ac:dyDescent="0.25">
      <c r="A26124" t="s">
        <v>9</v>
      </c>
      <c r="B26124" t="s">
        <v>6836</v>
      </c>
      <c r="C26124" s="1" t="s">
        <v>23490</v>
      </c>
      <c r="D26124" s="1" t="str">
        <f>HYPERLINK("https://rhld.insurance.arkansas.gov/NPILookup?Npi=1891747531","1891747531")</f>
        <v>1891747531</v>
      </c>
      <c r="E26124" t="s">
        <v>7264</v>
      </c>
    </row>
    <row r="26125" spans="1:5" x14ac:dyDescent="0.25">
      <c r="A26125" t="s">
        <v>9</v>
      </c>
      <c r="B26125" t="s">
        <v>6836</v>
      </c>
      <c r="C26125" s="1" t="s">
        <v>23490</v>
      </c>
      <c r="D26125" s="1" t="str">
        <f>HYPERLINK("https://rhld.insurance.arkansas.gov/NPILookup?Npi=1891788428","1891788428")</f>
        <v>1891788428</v>
      </c>
      <c r="E26125" t="s">
        <v>18547</v>
      </c>
    </row>
    <row r="26126" spans="1:5" x14ac:dyDescent="0.25">
      <c r="A26126" t="s">
        <v>9</v>
      </c>
      <c r="B26126" t="s">
        <v>6836</v>
      </c>
      <c r="C26126" s="1" t="s">
        <v>23490</v>
      </c>
      <c r="D26126" s="1" t="str">
        <f>HYPERLINK("https://rhld.insurance.arkansas.gov/NPILookup?Npi=1891789848","1891789848")</f>
        <v>1891789848</v>
      </c>
      <c r="E26126" t="s">
        <v>16556</v>
      </c>
    </row>
    <row r="26127" spans="1:5" x14ac:dyDescent="0.25">
      <c r="A26127" t="s">
        <v>9</v>
      </c>
      <c r="B26127" t="s">
        <v>6836</v>
      </c>
      <c r="C26127" s="1" t="s">
        <v>23490</v>
      </c>
      <c r="D26127" s="1" t="str">
        <f>HYPERLINK("https://rhld.insurance.arkansas.gov/NPILookup?Npi=1891799607","1891799607")</f>
        <v>1891799607</v>
      </c>
      <c r="E26127" t="s">
        <v>7265</v>
      </c>
    </row>
    <row r="26128" spans="1:5" x14ac:dyDescent="0.25">
      <c r="A26128" t="s">
        <v>9</v>
      </c>
      <c r="B26128" t="s">
        <v>6836</v>
      </c>
      <c r="C26128" s="1" t="s">
        <v>23490</v>
      </c>
      <c r="D26128" s="1" t="str">
        <f>HYPERLINK("https://rhld.insurance.arkansas.gov/NPILookup?Npi=1891834461","1891834461")</f>
        <v>1891834461</v>
      </c>
      <c r="E26128" t="s">
        <v>7266</v>
      </c>
    </row>
    <row r="26129" spans="1:5" x14ac:dyDescent="0.25">
      <c r="A26129" t="s">
        <v>9</v>
      </c>
      <c r="B26129" t="s">
        <v>6836</v>
      </c>
      <c r="C26129" s="1" t="s">
        <v>23490</v>
      </c>
      <c r="D26129" s="1" t="str">
        <f>HYPERLINK("https://rhld.insurance.arkansas.gov/NPILookup?Npi=1891890786","1891890786")</f>
        <v>1891890786</v>
      </c>
      <c r="E26129" t="s">
        <v>7267</v>
      </c>
    </row>
    <row r="26130" spans="1:5" x14ac:dyDescent="0.25">
      <c r="A26130" t="s">
        <v>9</v>
      </c>
      <c r="B26130" t="s">
        <v>6836</v>
      </c>
      <c r="C26130" s="1" t="s">
        <v>23490</v>
      </c>
      <c r="D26130" s="1" t="str">
        <f>HYPERLINK("https://rhld.insurance.arkansas.gov/NPILookup?Npi=1891904827","1891904827")</f>
        <v>1891904827</v>
      </c>
      <c r="E26130" t="s">
        <v>16557</v>
      </c>
    </row>
    <row r="26131" spans="1:5" x14ac:dyDescent="0.25">
      <c r="A26131" t="s">
        <v>9</v>
      </c>
      <c r="B26131" t="s">
        <v>6836</v>
      </c>
      <c r="C26131" s="1" t="s">
        <v>23490</v>
      </c>
      <c r="D26131" s="1" t="str">
        <f>HYPERLINK("https://rhld.insurance.arkansas.gov/NPILookup?Npi=1891929188","1891929188")</f>
        <v>1891929188</v>
      </c>
      <c r="E26131" t="s">
        <v>7268</v>
      </c>
    </row>
    <row r="26132" spans="1:5" x14ac:dyDescent="0.25">
      <c r="A26132" t="s">
        <v>9</v>
      </c>
      <c r="B26132" t="s">
        <v>6836</v>
      </c>
      <c r="C26132" s="1" t="s">
        <v>23490</v>
      </c>
      <c r="D26132" s="1" t="str">
        <f>HYPERLINK("https://rhld.insurance.arkansas.gov/NPILookup?Npi=1891996823","1891996823")</f>
        <v>1891996823</v>
      </c>
      <c r="E26132" t="s">
        <v>7269</v>
      </c>
    </row>
    <row r="26133" spans="1:5" x14ac:dyDescent="0.25">
      <c r="A26133" t="s">
        <v>9</v>
      </c>
      <c r="B26133" t="s">
        <v>6836</v>
      </c>
      <c r="C26133" s="1" t="s">
        <v>23490</v>
      </c>
      <c r="D26133" s="1" t="str">
        <f>HYPERLINK("https://rhld.insurance.arkansas.gov/NPILookup?Npi=1902048150","1902048150")</f>
        <v>1902048150</v>
      </c>
      <c r="E26133" t="s">
        <v>7270</v>
      </c>
    </row>
    <row r="26134" spans="1:5" x14ac:dyDescent="0.25">
      <c r="A26134" t="s">
        <v>9</v>
      </c>
      <c r="B26134" t="s">
        <v>6836</v>
      </c>
      <c r="C26134" s="1" t="s">
        <v>23490</v>
      </c>
      <c r="D26134" s="1" t="str">
        <f>HYPERLINK("https://rhld.insurance.arkansas.gov/NPILookup?Npi=1902192172","1902192172")</f>
        <v>1902192172</v>
      </c>
      <c r="E26134" t="s">
        <v>7271</v>
      </c>
    </row>
    <row r="26135" spans="1:5" x14ac:dyDescent="0.25">
      <c r="A26135" t="s">
        <v>9</v>
      </c>
      <c r="B26135" t="s">
        <v>6836</v>
      </c>
      <c r="C26135" s="1" t="s">
        <v>8427</v>
      </c>
      <c r="D26135" s="1" t="str">
        <f>HYPERLINK("https://rhld.insurance.arkansas.gov/NPILookup?Npi=1902251580","1902251580")</f>
        <v>1902251580</v>
      </c>
      <c r="E26135" t="s">
        <v>23308</v>
      </c>
    </row>
    <row r="26136" spans="1:5" x14ac:dyDescent="0.25">
      <c r="A26136" t="s">
        <v>9</v>
      </c>
      <c r="B26136" t="s">
        <v>6836</v>
      </c>
      <c r="C26136" s="1" t="s">
        <v>23490</v>
      </c>
      <c r="D26136" s="1" t="str">
        <f>HYPERLINK("https://rhld.insurance.arkansas.gov/NPILookup?Npi=1902807878","1902807878")</f>
        <v>1902807878</v>
      </c>
      <c r="E26136" t="s">
        <v>12094</v>
      </c>
    </row>
    <row r="26137" spans="1:5" x14ac:dyDescent="0.25">
      <c r="A26137" t="s">
        <v>9</v>
      </c>
      <c r="B26137" t="s">
        <v>6836</v>
      </c>
      <c r="C26137" s="1" t="s">
        <v>23490</v>
      </c>
      <c r="D26137" s="1" t="str">
        <f>HYPERLINK("https://rhld.insurance.arkansas.gov/NPILookup?Npi=1902813371","1902813371")</f>
        <v>1902813371</v>
      </c>
      <c r="E26137" t="s">
        <v>12095</v>
      </c>
    </row>
    <row r="26138" spans="1:5" x14ac:dyDescent="0.25">
      <c r="A26138" t="s">
        <v>9</v>
      </c>
      <c r="B26138" t="s">
        <v>6836</v>
      </c>
      <c r="C26138" s="1" t="s">
        <v>23490</v>
      </c>
      <c r="D26138" s="1" t="str">
        <f>HYPERLINK("https://rhld.insurance.arkansas.gov/NPILookup?Npi=1902832629","1902832629")</f>
        <v>1902832629</v>
      </c>
      <c r="E26138" t="s">
        <v>7272</v>
      </c>
    </row>
    <row r="26139" spans="1:5" x14ac:dyDescent="0.25">
      <c r="A26139" t="s">
        <v>9</v>
      </c>
      <c r="B26139" t="s">
        <v>6836</v>
      </c>
      <c r="C26139" s="1" t="s">
        <v>23490</v>
      </c>
      <c r="D26139" s="1" t="str">
        <f>HYPERLINK("https://rhld.insurance.arkansas.gov/NPILookup?Npi=1902862600","1902862600")</f>
        <v>1902862600</v>
      </c>
      <c r="E26139" t="s">
        <v>9260</v>
      </c>
    </row>
    <row r="26140" spans="1:5" x14ac:dyDescent="0.25">
      <c r="A26140" t="s">
        <v>9</v>
      </c>
      <c r="B26140" t="s">
        <v>6836</v>
      </c>
      <c r="C26140" s="1" t="s">
        <v>23490</v>
      </c>
      <c r="D26140" s="1" t="str">
        <f>HYPERLINK("https://rhld.insurance.arkansas.gov/NPILookup?Npi=1902874340","1902874340")</f>
        <v>1902874340</v>
      </c>
      <c r="E26140" t="s">
        <v>12096</v>
      </c>
    </row>
    <row r="26141" spans="1:5" x14ac:dyDescent="0.25">
      <c r="A26141" t="s">
        <v>9</v>
      </c>
      <c r="B26141" t="s">
        <v>6836</v>
      </c>
      <c r="C26141" s="1" t="s">
        <v>23490</v>
      </c>
      <c r="D26141" s="1" t="str">
        <f>HYPERLINK("https://rhld.insurance.arkansas.gov/NPILookup?Npi=1902891179","1902891179")</f>
        <v>1902891179</v>
      </c>
      <c r="E26141" t="s">
        <v>7273</v>
      </c>
    </row>
    <row r="26142" spans="1:5" x14ac:dyDescent="0.25">
      <c r="A26142" t="s">
        <v>9</v>
      </c>
      <c r="B26142" t="s">
        <v>6836</v>
      </c>
      <c r="C26142" s="1" t="s">
        <v>23490</v>
      </c>
      <c r="D26142" s="1" t="str">
        <f>HYPERLINK("https://rhld.insurance.arkansas.gov/NPILookup?Npi=1912092248","1912092248")</f>
        <v>1912092248</v>
      </c>
      <c r="E26142" t="s">
        <v>7274</v>
      </c>
    </row>
    <row r="26143" spans="1:5" x14ac:dyDescent="0.25">
      <c r="A26143" t="s">
        <v>9</v>
      </c>
      <c r="B26143" t="s">
        <v>6836</v>
      </c>
      <c r="C26143" s="1" t="s">
        <v>23490</v>
      </c>
      <c r="D26143" s="1" t="str">
        <f>HYPERLINK("https://rhld.insurance.arkansas.gov/NPILookup?Npi=1912118944","1912118944")</f>
        <v>1912118944</v>
      </c>
      <c r="E26143" t="s">
        <v>3413</v>
      </c>
    </row>
    <row r="26144" spans="1:5" x14ac:dyDescent="0.25">
      <c r="A26144" t="s">
        <v>9</v>
      </c>
      <c r="B26144" t="s">
        <v>6836</v>
      </c>
      <c r="C26144" s="1" t="s">
        <v>23490</v>
      </c>
      <c r="D26144" s="1" t="str">
        <f>HYPERLINK("https://rhld.insurance.arkansas.gov/NPILookup?Npi=1912906942","1912906942")</f>
        <v>1912906942</v>
      </c>
      <c r="E26144" t="s">
        <v>7275</v>
      </c>
    </row>
    <row r="26145" spans="1:5" x14ac:dyDescent="0.25">
      <c r="A26145" t="s">
        <v>9</v>
      </c>
      <c r="B26145" t="s">
        <v>6836</v>
      </c>
      <c r="C26145" s="1" t="s">
        <v>23490</v>
      </c>
      <c r="D26145" s="1" t="str">
        <f>HYPERLINK("https://rhld.insurance.arkansas.gov/NPILookup?Npi=1912910050","1912910050")</f>
        <v>1912910050</v>
      </c>
      <c r="E26145" t="s">
        <v>7276</v>
      </c>
    </row>
    <row r="26146" spans="1:5" x14ac:dyDescent="0.25">
      <c r="A26146" t="s">
        <v>9</v>
      </c>
      <c r="B26146" t="s">
        <v>6836</v>
      </c>
      <c r="C26146" s="1" t="s">
        <v>23490</v>
      </c>
      <c r="D26146" s="1" t="str">
        <f>HYPERLINK("https://rhld.insurance.arkansas.gov/NPILookup?Npi=1912910191","1912910191")</f>
        <v>1912910191</v>
      </c>
      <c r="E26146" t="s">
        <v>13272</v>
      </c>
    </row>
    <row r="26147" spans="1:5" x14ac:dyDescent="0.25">
      <c r="A26147" t="s">
        <v>9</v>
      </c>
      <c r="B26147" t="s">
        <v>6836</v>
      </c>
      <c r="C26147" s="1" t="s">
        <v>23490</v>
      </c>
      <c r="D26147" s="1" t="str">
        <f>HYPERLINK("https://rhld.insurance.arkansas.gov/NPILookup?Npi=1912919986","1912919986")</f>
        <v>1912919986</v>
      </c>
      <c r="E26147" t="s">
        <v>7277</v>
      </c>
    </row>
    <row r="26148" spans="1:5" x14ac:dyDescent="0.25">
      <c r="A26148" t="s">
        <v>9</v>
      </c>
      <c r="B26148" t="s">
        <v>6836</v>
      </c>
      <c r="C26148" s="1" t="s">
        <v>23490</v>
      </c>
      <c r="D26148" s="1" t="str">
        <f>HYPERLINK("https://rhld.insurance.arkansas.gov/NPILookup?Npi=1912922345","1912922345")</f>
        <v>1912922345</v>
      </c>
      <c r="E26148" t="s">
        <v>7278</v>
      </c>
    </row>
    <row r="26149" spans="1:5" x14ac:dyDescent="0.25">
      <c r="A26149" t="s">
        <v>9</v>
      </c>
      <c r="B26149" t="s">
        <v>6836</v>
      </c>
      <c r="C26149" s="1" t="s">
        <v>23490</v>
      </c>
      <c r="D26149" s="1" t="str">
        <f>HYPERLINK("https://rhld.insurance.arkansas.gov/NPILookup?Npi=1912927914","1912927914")</f>
        <v>1912927914</v>
      </c>
      <c r="E26149" t="s">
        <v>7279</v>
      </c>
    </row>
    <row r="26150" spans="1:5" x14ac:dyDescent="0.25">
      <c r="A26150" t="s">
        <v>9</v>
      </c>
      <c r="B26150" t="s">
        <v>6836</v>
      </c>
      <c r="C26150" s="1" t="s">
        <v>23490</v>
      </c>
      <c r="D26150" s="1" t="str">
        <f>HYPERLINK("https://rhld.insurance.arkansas.gov/NPILookup?Npi=1912933268","1912933268")</f>
        <v>1912933268</v>
      </c>
      <c r="E26150" t="s">
        <v>16558</v>
      </c>
    </row>
    <row r="26151" spans="1:5" x14ac:dyDescent="0.25">
      <c r="A26151" t="s">
        <v>9</v>
      </c>
      <c r="B26151" t="s">
        <v>6836</v>
      </c>
      <c r="C26151" s="1" t="s">
        <v>23490</v>
      </c>
      <c r="D26151" s="1" t="str">
        <f>HYPERLINK("https://rhld.insurance.arkansas.gov/NPILookup?Npi=1912935412","1912935412")</f>
        <v>1912935412</v>
      </c>
      <c r="E26151" t="s">
        <v>7280</v>
      </c>
    </row>
    <row r="26152" spans="1:5" x14ac:dyDescent="0.25">
      <c r="A26152" t="s">
        <v>9</v>
      </c>
      <c r="B26152" t="s">
        <v>6836</v>
      </c>
      <c r="C26152" s="1" t="s">
        <v>23490</v>
      </c>
      <c r="D26152" s="1" t="str">
        <f>HYPERLINK("https://rhld.insurance.arkansas.gov/NPILookup?Npi=1912948902","1912948902")</f>
        <v>1912948902</v>
      </c>
      <c r="E26152" t="s">
        <v>7281</v>
      </c>
    </row>
    <row r="26153" spans="1:5" x14ac:dyDescent="0.25">
      <c r="A26153" t="s">
        <v>9</v>
      </c>
      <c r="B26153" t="s">
        <v>6836</v>
      </c>
      <c r="C26153" s="1" t="s">
        <v>23490</v>
      </c>
      <c r="D26153" s="1" t="str">
        <f>HYPERLINK("https://rhld.insurance.arkansas.gov/NPILookup?Npi=1912978255","1912978255")</f>
        <v>1912978255</v>
      </c>
      <c r="E26153" t="s">
        <v>7282</v>
      </c>
    </row>
    <row r="26154" spans="1:5" x14ac:dyDescent="0.25">
      <c r="A26154" t="s">
        <v>9</v>
      </c>
      <c r="B26154" t="s">
        <v>6836</v>
      </c>
      <c r="C26154" s="1" t="s">
        <v>23490</v>
      </c>
      <c r="D26154" s="1" t="str">
        <f>HYPERLINK("https://rhld.insurance.arkansas.gov/NPILookup?Npi=1912998402","1912998402")</f>
        <v>1912998402</v>
      </c>
      <c r="E26154" t="s">
        <v>22641</v>
      </c>
    </row>
    <row r="26155" spans="1:5" x14ac:dyDescent="0.25">
      <c r="A26155" t="s">
        <v>9</v>
      </c>
      <c r="B26155" t="s">
        <v>6836</v>
      </c>
      <c r="C26155" s="1" t="s">
        <v>23490</v>
      </c>
      <c r="D26155" s="1" t="str">
        <f>HYPERLINK("https://rhld.insurance.arkansas.gov/NPILookup?Npi=1922025931","1922025931")</f>
        <v>1922025931</v>
      </c>
      <c r="E26155" t="s">
        <v>7283</v>
      </c>
    </row>
    <row r="26156" spans="1:5" x14ac:dyDescent="0.25">
      <c r="A26156" t="s">
        <v>9</v>
      </c>
      <c r="B26156" t="s">
        <v>6836</v>
      </c>
      <c r="C26156" s="1" t="s">
        <v>23490</v>
      </c>
      <c r="D26156" s="1" t="str">
        <f>HYPERLINK("https://rhld.insurance.arkansas.gov/NPILookup?Npi=1922034271","1922034271")</f>
        <v>1922034271</v>
      </c>
      <c r="E26156" t="s">
        <v>7284</v>
      </c>
    </row>
    <row r="26157" spans="1:5" x14ac:dyDescent="0.25">
      <c r="A26157" t="s">
        <v>9</v>
      </c>
      <c r="B26157" t="s">
        <v>6836</v>
      </c>
      <c r="C26157" s="1" t="s">
        <v>23490</v>
      </c>
      <c r="D26157" s="1" t="str">
        <f>HYPERLINK("https://rhld.insurance.arkansas.gov/NPILookup?Npi=1922050855","1922050855")</f>
        <v>1922050855</v>
      </c>
      <c r="E26157" t="s">
        <v>22642</v>
      </c>
    </row>
    <row r="26158" spans="1:5" x14ac:dyDescent="0.25">
      <c r="A26158" t="s">
        <v>9</v>
      </c>
      <c r="B26158" t="s">
        <v>6836</v>
      </c>
      <c r="C26158" s="1" t="s">
        <v>23490</v>
      </c>
      <c r="D26158" s="1" t="str">
        <f>HYPERLINK("https://rhld.insurance.arkansas.gov/NPILookup?Npi=1922050889","1922050889")</f>
        <v>1922050889</v>
      </c>
      <c r="E26158" t="s">
        <v>7285</v>
      </c>
    </row>
    <row r="26159" spans="1:5" x14ac:dyDescent="0.25">
      <c r="A26159" t="s">
        <v>9</v>
      </c>
      <c r="B26159" t="s">
        <v>6836</v>
      </c>
      <c r="C26159" s="1" t="s">
        <v>23490</v>
      </c>
      <c r="D26159" s="1" t="str">
        <f>HYPERLINK("https://rhld.insurance.arkansas.gov/NPILookup?Npi=1922056613","1922056613")</f>
        <v>1922056613</v>
      </c>
      <c r="E26159" t="s">
        <v>7286</v>
      </c>
    </row>
    <row r="26160" spans="1:5" x14ac:dyDescent="0.25">
      <c r="A26160" t="s">
        <v>9</v>
      </c>
      <c r="B26160" t="s">
        <v>6836</v>
      </c>
      <c r="C26160" s="1" t="s">
        <v>23490</v>
      </c>
      <c r="D26160" s="1" t="str">
        <f>HYPERLINK("https://rhld.insurance.arkansas.gov/NPILookup?Npi=1922067107","1922067107")</f>
        <v>1922067107</v>
      </c>
      <c r="E26160" t="s">
        <v>13273</v>
      </c>
    </row>
    <row r="26161" spans="1:5" x14ac:dyDescent="0.25">
      <c r="A26161" t="s">
        <v>9</v>
      </c>
      <c r="B26161" t="s">
        <v>6836</v>
      </c>
      <c r="C26161" s="1" t="s">
        <v>23490</v>
      </c>
      <c r="D26161" s="1" t="str">
        <f>HYPERLINK("https://rhld.insurance.arkansas.gov/NPILookup?Npi=1922075746","1922075746")</f>
        <v>1922075746</v>
      </c>
      <c r="E26161" t="s">
        <v>7287</v>
      </c>
    </row>
    <row r="26162" spans="1:5" x14ac:dyDescent="0.25">
      <c r="A26162" t="s">
        <v>9</v>
      </c>
      <c r="B26162" t="s">
        <v>6836</v>
      </c>
      <c r="C26162" s="1" t="s">
        <v>23490</v>
      </c>
      <c r="D26162" s="1" t="str">
        <f>HYPERLINK("https://rhld.insurance.arkansas.gov/NPILookup?Npi=1922088137","1922088137")</f>
        <v>1922088137</v>
      </c>
      <c r="E26162" t="s">
        <v>16559</v>
      </c>
    </row>
    <row r="26163" spans="1:5" x14ac:dyDescent="0.25">
      <c r="A26163" t="s">
        <v>9</v>
      </c>
      <c r="B26163" t="s">
        <v>6836</v>
      </c>
      <c r="C26163" s="1" t="s">
        <v>23490</v>
      </c>
      <c r="D26163" s="1" t="str">
        <f>HYPERLINK("https://rhld.insurance.arkansas.gov/NPILookup?Npi=1922116433","1922116433")</f>
        <v>1922116433</v>
      </c>
      <c r="E26163" t="s">
        <v>7288</v>
      </c>
    </row>
    <row r="26164" spans="1:5" x14ac:dyDescent="0.25">
      <c r="A26164" t="s">
        <v>9</v>
      </c>
      <c r="B26164" t="s">
        <v>6836</v>
      </c>
      <c r="C26164" s="1" t="s">
        <v>23490</v>
      </c>
      <c r="D26164" s="1" t="str">
        <f>HYPERLINK("https://rhld.insurance.arkansas.gov/NPILookup?Npi=1922149525","1922149525")</f>
        <v>1922149525</v>
      </c>
      <c r="E26164" t="s">
        <v>16560</v>
      </c>
    </row>
    <row r="26165" spans="1:5" x14ac:dyDescent="0.25">
      <c r="A26165" t="s">
        <v>9</v>
      </c>
      <c r="B26165" t="s">
        <v>6836</v>
      </c>
      <c r="C26165" s="1" t="s">
        <v>23490</v>
      </c>
      <c r="D26165" s="1" t="str">
        <f>HYPERLINK("https://rhld.insurance.arkansas.gov/NPILookup?Npi=1922184258","1922184258")</f>
        <v>1922184258</v>
      </c>
      <c r="E26165" t="s">
        <v>14491</v>
      </c>
    </row>
    <row r="26166" spans="1:5" x14ac:dyDescent="0.25">
      <c r="A26166" t="s">
        <v>9</v>
      </c>
      <c r="B26166" t="s">
        <v>6836</v>
      </c>
      <c r="C26166" s="1" t="s">
        <v>23490</v>
      </c>
      <c r="D26166" s="1" t="str">
        <f>HYPERLINK("https://rhld.insurance.arkansas.gov/NPILookup?Npi=1922201839","1922201839")</f>
        <v>1922201839</v>
      </c>
      <c r="E26166" t="s">
        <v>7289</v>
      </c>
    </row>
    <row r="26167" spans="1:5" x14ac:dyDescent="0.25">
      <c r="A26167" t="s">
        <v>9</v>
      </c>
      <c r="B26167" t="s">
        <v>6836</v>
      </c>
      <c r="C26167" s="1" t="s">
        <v>23490</v>
      </c>
      <c r="D26167" s="1" t="str">
        <f>HYPERLINK("https://rhld.insurance.arkansas.gov/NPILookup?Npi=1922214824","1922214824")</f>
        <v>1922214824</v>
      </c>
      <c r="E26167" t="s">
        <v>16561</v>
      </c>
    </row>
    <row r="26168" spans="1:5" x14ac:dyDescent="0.25">
      <c r="A26168" t="s">
        <v>9</v>
      </c>
      <c r="B26168" t="s">
        <v>6836</v>
      </c>
      <c r="C26168" s="1" t="s">
        <v>23490</v>
      </c>
      <c r="D26168" s="1" t="str">
        <f>HYPERLINK("https://rhld.insurance.arkansas.gov/NPILookup?Npi=1922366004","1922366004")</f>
        <v>1922366004</v>
      </c>
      <c r="E26168" t="s">
        <v>9261</v>
      </c>
    </row>
    <row r="26169" spans="1:5" x14ac:dyDescent="0.25">
      <c r="A26169" t="s">
        <v>9</v>
      </c>
      <c r="B26169" t="s">
        <v>6836</v>
      </c>
      <c r="C26169" s="1" t="s">
        <v>23490</v>
      </c>
      <c r="D26169" s="1" t="str">
        <f>HYPERLINK("https://rhld.insurance.arkansas.gov/NPILookup?Npi=1922366863","1922366863")</f>
        <v>1922366863</v>
      </c>
      <c r="E26169" t="s">
        <v>12097</v>
      </c>
    </row>
    <row r="26170" spans="1:5" x14ac:dyDescent="0.25">
      <c r="A26170" t="s">
        <v>9</v>
      </c>
      <c r="B26170" t="s">
        <v>6836</v>
      </c>
      <c r="C26170" s="1" t="s">
        <v>23490</v>
      </c>
      <c r="D26170" s="1" t="str">
        <f>HYPERLINK("https://rhld.insurance.arkansas.gov/NPILookup?Npi=1922503747","1922503747")</f>
        <v>1922503747</v>
      </c>
      <c r="E26170" t="s">
        <v>21290</v>
      </c>
    </row>
    <row r="26171" spans="1:5" x14ac:dyDescent="0.25">
      <c r="A26171" t="s">
        <v>9</v>
      </c>
      <c r="B26171" t="s">
        <v>6836</v>
      </c>
      <c r="C26171" s="1" t="s">
        <v>8427</v>
      </c>
      <c r="D26171" s="1" t="str">
        <f>HYPERLINK("https://rhld.insurance.arkansas.gov/NPILookup?Npi=1932114402","1932114402")</f>
        <v>1932114402</v>
      </c>
      <c r="E26171" t="s">
        <v>23309</v>
      </c>
    </row>
    <row r="26172" spans="1:5" x14ac:dyDescent="0.25">
      <c r="A26172" t="s">
        <v>9</v>
      </c>
      <c r="B26172" t="s">
        <v>6836</v>
      </c>
      <c r="C26172" s="1" t="s">
        <v>8427</v>
      </c>
      <c r="D26172" s="1" t="str">
        <f>HYPERLINK("https://rhld.insurance.arkansas.gov/NPILookup?Npi=1932185451","1932185451")</f>
        <v>1932185451</v>
      </c>
      <c r="E26172" t="s">
        <v>23310</v>
      </c>
    </row>
    <row r="26173" spans="1:5" x14ac:dyDescent="0.25">
      <c r="A26173" t="s">
        <v>9</v>
      </c>
      <c r="B26173" t="s">
        <v>6836</v>
      </c>
      <c r="C26173" s="1" t="s">
        <v>23490</v>
      </c>
      <c r="D26173" s="1" t="str">
        <f>HYPERLINK("https://rhld.insurance.arkansas.gov/NPILookup?Npi=1932189719","1932189719")</f>
        <v>1932189719</v>
      </c>
      <c r="E26173" t="s">
        <v>12098</v>
      </c>
    </row>
    <row r="26174" spans="1:5" x14ac:dyDescent="0.25">
      <c r="A26174" t="s">
        <v>9</v>
      </c>
      <c r="B26174" t="s">
        <v>6836</v>
      </c>
      <c r="C26174" s="1" t="s">
        <v>23490</v>
      </c>
      <c r="D26174" s="1" t="str">
        <f>HYPERLINK("https://rhld.insurance.arkansas.gov/NPILookup?Npi=1932262995","1932262995")</f>
        <v>1932262995</v>
      </c>
      <c r="E26174" t="s">
        <v>7290</v>
      </c>
    </row>
    <row r="26175" spans="1:5" x14ac:dyDescent="0.25">
      <c r="A26175" t="s">
        <v>9</v>
      </c>
      <c r="B26175" t="s">
        <v>6836</v>
      </c>
      <c r="C26175" s="1" t="s">
        <v>23490</v>
      </c>
      <c r="D26175" s="1" t="str">
        <f>HYPERLINK("https://rhld.insurance.arkansas.gov/NPILookup?Npi=1932299427","1932299427")</f>
        <v>1932299427</v>
      </c>
      <c r="E26175" t="s">
        <v>7291</v>
      </c>
    </row>
    <row r="26176" spans="1:5" x14ac:dyDescent="0.25">
      <c r="A26176" t="s">
        <v>9</v>
      </c>
      <c r="B26176" t="s">
        <v>6836</v>
      </c>
      <c r="C26176" s="1" t="s">
        <v>23490</v>
      </c>
      <c r="D26176" s="1" t="str">
        <f>HYPERLINK("https://rhld.insurance.arkansas.gov/NPILookup?Npi=1932567997","1932567997")</f>
        <v>1932567997</v>
      </c>
      <c r="E26176" t="s">
        <v>9262</v>
      </c>
    </row>
    <row r="26177" spans="1:5" x14ac:dyDescent="0.25">
      <c r="A26177" t="s">
        <v>9</v>
      </c>
      <c r="B26177" t="s">
        <v>6836</v>
      </c>
      <c r="C26177" s="1" t="s">
        <v>23490</v>
      </c>
      <c r="D26177" s="1" t="str">
        <f>HYPERLINK("https://rhld.insurance.arkansas.gov/NPILookup?Npi=1942264999","1942264999")</f>
        <v>1942264999</v>
      </c>
      <c r="E26177" t="s">
        <v>7292</v>
      </c>
    </row>
    <row r="26178" spans="1:5" x14ac:dyDescent="0.25">
      <c r="A26178" t="s">
        <v>9</v>
      </c>
      <c r="B26178" t="s">
        <v>6836</v>
      </c>
      <c r="C26178" s="1" t="s">
        <v>23490</v>
      </c>
      <c r="D26178" s="1" t="str">
        <f>HYPERLINK("https://rhld.insurance.arkansas.gov/NPILookup?Npi=1942342654","1942342654")</f>
        <v>1942342654</v>
      </c>
      <c r="E26178" t="s">
        <v>16562</v>
      </c>
    </row>
    <row r="26179" spans="1:5" x14ac:dyDescent="0.25">
      <c r="A26179" t="s">
        <v>9</v>
      </c>
      <c r="B26179" t="s">
        <v>6836</v>
      </c>
      <c r="C26179" s="1" t="s">
        <v>23490</v>
      </c>
      <c r="D26179" s="1" t="str">
        <f>HYPERLINK("https://rhld.insurance.arkansas.gov/NPILookup?Npi=1942384615","1942384615")</f>
        <v>1942384615</v>
      </c>
      <c r="E26179" t="s">
        <v>7293</v>
      </c>
    </row>
    <row r="26180" spans="1:5" x14ac:dyDescent="0.25">
      <c r="A26180" t="s">
        <v>9</v>
      </c>
      <c r="B26180" t="s">
        <v>6836</v>
      </c>
      <c r="C26180" s="1" t="s">
        <v>23490</v>
      </c>
      <c r="D26180" s="1" t="str">
        <f>HYPERLINK("https://rhld.insurance.arkansas.gov/NPILookup?Npi=1942430103","1942430103")</f>
        <v>1942430103</v>
      </c>
      <c r="E26180" t="s">
        <v>7294</v>
      </c>
    </row>
    <row r="26181" spans="1:5" x14ac:dyDescent="0.25">
      <c r="A26181" t="s">
        <v>9</v>
      </c>
      <c r="B26181" t="s">
        <v>6836</v>
      </c>
      <c r="C26181" s="1" t="s">
        <v>23490</v>
      </c>
      <c r="D26181" s="1" t="str">
        <f>HYPERLINK("https://rhld.insurance.arkansas.gov/NPILookup?Npi=1942438338","1942438338")</f>
        <v>1942438338</v>
      </c>
      <c r="E26181" t="s">
        <v>16563</v>
      </c>
    </row>
    <row r="26182" spans="1:5" x14ac:dyDescent="0.25">
      <c r="A26182" t="s">
        <v>9</v>
      </c>
      <c r="B26182" t="s">
        <v>6836</v>
      </c>
      <c r="C26182" s="1" t="s">
        <v>23490</v>
      </c>
      <c r="D26182" s="1" t="str">
        <f>HYPERLINK("https://rhld.insurance.arkansas.gov/NPILookup?Npi=1942439377","1942439377")</f>
        <v>1942439377</v>
      </c>
      <c r="E26182" t="s">
        <v>7295</v>
      </c>
    </row>
    <row r="26183" spans="1:5" x14ac:dyDescent="0.25">
      <c r="A26183" t="s">
        <v>9</v>
      </c>
      <c r="B26183" t="s">
        <v>6836</v>
      </c>
      <c r="C26183" s="1" t="s">
        <v>23490</v>
      </c>
      <c r="D26183" s="1" t="str">
        <f>HYPERLINK("https://rhld.insurance.arkansas.gov/NPILookup?Npi=1942474465","1942474465")</f>
        <v>1942474465</v>
      </c>
      <c r="E26183" t="s">
        <v>9263</v>
      </c>
    </row>
    <row r="26184" spans="1:5" x14ac:dyDescent="0.25">
      <c r="A26184" t="s">
        <v>9</v>
      </c>
      <c r="B26184" t="s">
        <v>6836</v>
      </c>
      <c r="C26184" s="1" t="s">
        <v>23490</v>
      </c>
      <c r="D26184" s="1" t="str">
        <f>HYPERLINK("https://rhld.insurance.arkansas.gov/NPILookup?Npi=1942475728","1942475728")</f>
        <v>1942475728</v>
      </c>
      <c r="E26184" t="s">
        <v>7296</v>
      </c>
    </row>
    <row r="26185" spans="1:5" x14ac:dyDescent="0.25">
      <c r="A26185" t="s">
        <v>9</v>
      </c>
      <c r="B26185" t="s">
        <v>6836</v>
      </c>
      <c r="C26185" s="1" t="s">
        <v>23490</v>
      </c>
      <c r="D26185" s="1" t="str">
        <f>HYPERLINK("https://rhld.insurance.arkansas.gov/NPILookup?Npi=1942591896","1942591896")</f>
        <v>1942591896</v>
      </c>
      <c r="E26185" t="s">
        <v>7297</v>
      </c>
    </row>
    <row r="26186" spans="1:5" x14ac:dyDescent="0.25">
      <c r="A26186" t="s">
        <v>9</v>
      </c>
      <c r="B26186" t="s">
        <v>6836</v>
      </c>
      <c r="C26186" s="1" t="s">
        <v>23490</v>
      </c>
      <c r="D26186" s="1" t="str">
        <f>HYPERLINK("https://rhld.insurance.arkansas.gov/NPILookup?Npi=1942592225","1942592225")</f>
        <v>1942592225</v>
      </c>
      <c r="E26186" t="s">
        <v>22643</v>
      </c>
    </row>
    <row r="26187" spans="1:5" x14ac:dyDescent="0.25">
      <c r="A26187" t="s">
        <v>9</v>
      </c>
      <c r="B26187" t="s">
        <v>6836</v>
      </c>
      <c r="C26187" s="1" t="s">
        <v>23490</v>
      </c>
      <c r="D26187" s="1" t="str">
        <f>HYPERLINK("https://rhld.insurance.arkansas.gov/NPILookup?Npi=1942694260","1942694260")</f>
        <v>1942694260</v>
      </c>
      <c r="E26187" t="s">
        <v>16564</v>
      </c>
    </row>
    <row r="26188" spans="1:5" x14ac:dyDescent="0.25">
      <c r="A26188" t="s">
        <v>9</v>
      </c>
      <c r="B26188" t="s">
        <v>6836</v>
      </c>
      <c r="C26188" s="1" t="s">
        <v>23490</v>
      </c>
      <c r="D26188" s="1" t="str">
        <f>HYPERLINK("https://rhld.insurance.arkansas.gov/NPILookup?Npi=1952306177","1952306177")</f>
        <v>1952306177</v>
      </c>
      <c r="E26188" t="s">
        <v>7298</v>
      </c>
    </row>
    <row r="26189" spans="1:5" x14ac:dyDescent="0.25">
      <c r="A26189" t="s">
        <v>9</v>
      </c>
      <c r="B26189" t="s">
        <v>6836</v>
      </c>
      <c r="C26189" s="1" t="s">
        <v>23490</v>
      </c>
      <c r="D26189" s="1" t="str">
        <f>HYPERLINK("https://rhld.insurance.arkansas.gov/NPILookup?Npi=1952308389","1952308389")</f>
        <v>1952308389</v>
      </c>
      <c r="E26189" t="s">
        <v>7299</v>
      </c>
    </row>
    <row r="26190" spans="1:5" x14ac:dyDescent="0.25">
      <c r="A26190" t="s">
        <v>9</v>
      </c>
      <c r="B26190" t="s">
        <v>6836</v>
      </c>
      <c r="C26190" s="1" t="s">
        <v>23490</v>
      </c>
      <c r="D26190" s="1" t="str">
        <f>HYPERLINK("https://rhld.insurance.arkansas.gov/NPILookup?Npi=1952318982","1952318982")</f>
        <v>1952318982</v>
      </c>
      <c r="E26190" t="s">
        <v>16565</v>
      </c>
    </row>
    <row r="26191" spans="1:5" x14ac:dyDescent="0.25">
      <c r="A26191" t="s">
        <v>9</v>
      </c>
      <c r="B26191" t="s">
        <v>6836</v>
      </c>
      <c r="C26191" s="1" t="s">
        <v>23490</v>
      </c>
      <c r="D26191" s="1" t="str">
        <f>HYPERLINK("https://rhld.insurance.arkansas.gov/NPILookup?Npi=1952330201","1952330201")</f>
        <v>1952330201</v>
      </c>
      <c r="E26191" t="s">
        <v>7300</v>
      </c>
    </row>
    <row r="26192" spans="1:5" x14ac:dyDescent="0.25">
      <c r="A26192" t="s">
        <v>9</v>
      </c>
      <c r="B26192" t="s">
        <v>6836</v>
      </c>
      <c r="C26192" s="1" t="s">
        <v>23490</v>
      </c>
      <c r="D26192" s="1" t="str">
        <f>HYPERLINK("https://rhld.insurance.arkansas.gov/NPILookup?Npi=1952336711","1952336711")</f>
        <v>1952336711</v>
      </c>
      <c r="E26192" t="s">
        <v>7301</v>
      </c>
    </row>
    <row r="26193" spans="1:5" x14ac:dyDescent="0.25">
      <c r="A26193" t="s">
        <v>9</v>
      </c>
      <c r="B26193" t="s">
        <v>6836</v>
      </c>
      <c r="C26193" s="1" t="s">
        <v>23490</v>
      </c>
      <c r="D26193" s="1" t="str">
        <f>HYPERLINK("https://rhld.insurance.arkansas.gov/NPILookup?Npi=1952338428","1952338428")</f>
        <v>1952338428</v>
      </c>
      <c r="E26193" t="s">
        <v>22644</v>
      </c>
    </row>
    <row r="26194" spans="1:5" x14ac:dyDescent="0.25">
      <c r="A26194" t="s">
        <v>9</v>
      </c>
      <c r="B26194" t="s">
        <v>6836</v>
      </c>
      <c r="C26194" s="1" t="s">
        <v>23490</v>
      </c>
      <c r="D26194" s="1" t="str">
        <f>HYPERLINK("https://rhld.insurance.arkansas.gov/NPILookup?Npi=1952371056","1952371056")</f>
        <v>1952371056</v>
      </c>
      <c r="E26194" t="s">
        <v>7302</v>
      </c>
    </row>
    <row r="26195" spans="1:5" x14ac:dyDescent="0.25">
      <c r="A26195" t="s">
        <v>9</v>
      </c>
      <c r="B26195" t="s">
        <v>6836</v>
      </c>
      <c r="C26195" s="1" t="s">
        <v>23490</v>
      </c>
      <c r="D26195" s="1" t="str">
        <f>HYPERLINK("https://rhld.insurance.arkansas.gov/NPILookup?Npi=1952422925","1952422925")</f>
        <v>1952422925</v>
      </c>
      <c r="E26195" t="s">
        <v>14492</v>
      </c>
    </row>
    <row r="26196" spans="1:5" x14ac:dyDescent="0.25">
      <c r="A26196" t="s">
        <v>9</v>
      </c>
      <c r="B26196" t="s">
        <v>6836</v>
      </c>
      <c r="C26196" s="1" t="s">
        <v>23490</v>
      </c>
      <c r="D26196" s="1" t="str">
        <f>HYPERLINK("https://rhld.insurance.arkansas.gov/NPILookup?Npi=1952452310","1952452310")</f>
        <v>1952452310</v>
      </c>
      <c r="E26196" t="s">
        <v>9264</v>
      </c>
    </row>
    <row r="26197" spans="1:5" x14ac:dyDescent="0.25">
      <c r="A26197" t="s">
        <v>9</v>
      </c>
      <c r="B26197" t="s">
        <v>6836</v>
      </c>
      <c r="C26197" s="1" t="s">
        <v>23490</v>
      </c>
      <c r="D26197" s="1" t="str">
        <f>HYPERLINK("https://rhld.insurance.arkansas.gov/NPILookup?Npi=1952528770","1952528770")</f>
        <v>1952528770</v>
      </c>
      <c r="E26197" t="s">
        <v>7303</v>
      </c>
    </row>
    <row r="26198" spans="1:5" x14ac:dyDescent="0.25">
      <c r="A26198" t="s">
        <v>9</v>
      </c>
      <c r="B26198" t="s">
        <v>6836</v>
      </c>
      <c r="C26198" s="1" t="s">
        <v>23490</v>
      </c>
      <c r="D26198" s="1" t="str">
        <f>HYPERLINK("https://rhld.insurance.arkansas.gov/NPILookup?Npi=1952536336","1952536336")</f>
        <v>1952536336</v>
      </c>
      <c r="E26198" t="s">
        <v>12099</v>
      </c>
    </row>
    <row r="26199" spans="1:5" x14ac:dyDescent="0.25">
      <c r="A26199" t="s">
        <v>9</v>
      </c>
      <c r="B26199" t="s">
        <v>6836</v>
      </c>
      <c r="C26199" s="1" t="s">
        <v>23490</v>
      </c>
      <c r="D26199" s="1" t="str">
        <f>HYPERLINK("https://rhld.insurance.arkansas.gov/NPILookup?Npi=1952895443","1952895443")</f>
        <v>1952895443</v>
      </c>
      <c r="E26199" t="s">
        <v>22645</v>
      </c>
    </row>
    <row r="26200" spans="1:5" x14ac:dyDescent="0.25">
      <c r="A26200" t="s">
        <v>9</v>
      </c>
      <c r="B26200" t="s">
        <v>6836</v>
      </c>
      <c r="C26200" s="1" t="s">
        <v>23490</v>
      </c>
      <c r="D26200" s="1" t="str">
        <f>HYPERLINK("https://rhld.insurance.arkansas.gov/NPILookup?Npi=1962431460","1962431460")</f>
        <v>1962431460</v>
      </c>
      <c r="E26200" t="s">
        <v>7304</v>
      </c>
    </row>
    <row r="26201" spans="1:5" x14ac:dyDescent="0.25">
      <c r="A26201" t="s">
        <v>9</v>
      </c>
      <c r="B26201" t="s">
        <v>6836</v>
      </c>
      <c r="C26201" s="1" t="s">
        <v>23490</v>
      </c>
      <c r="D26201" s="1" t="str">
        <f>HYPERLINK("https://rhld.insurance.arkansas.gov/NPILookup?Npi=1962491233","1962491233")</f>
        <v>1962491233</v>
      </c>
      <c r="E26201" t="s">
        <v>7305</v>
      </c>
    </row>
    <row r="26202" spans="1:5" x14ac:dyDescent="0.25">
      <c r="A26202" t="s">
        <v>9</v>
      </c>
      <c r="B26202" t="s">
        <v>6836</v>
      </c>
      <c r="C26202" s="1" t="s">
        <v>23490</v>
      </c>
      <c r="D26202" s="1" t="str">
        <f>HYPERLINK("https://rhld.insurance.arkansas.gov/NPILookup?Npi=1962502526","1962502526")</f>
        <v>1962502526</v>
      </c>
      <c r="E26202" t="s">
        <v>7306</v>
      </c>
    </row>
    <row r="26203" spans="1:5" x14ac:dyDescent="0.25">
      <c r="A26203" t="s">
        <v>9</v>
      </c>
      <c r="B26203" t="s">
        <v>6836</v>
      </c>
      <c r="C26203" s="1" t="s">
        <v>23490</v>
      </c>
      <c r="D26203" s="1" t="str">
        <f>HYPERLINK("https://rhld.insurance.arkansas.gov/NPILookup?Npi=1962543819","1962543819")</f>
        <v>1962543819</v>
      </c>
      <c r="E26203" t="s">
        <v>7307</v>
      </c>
    </row>
    <row r="26204" spans="1:5" x14ac:dyDescent="0.25">
      <c r="A26204" t="s">
        <v>9</v>
      </c>
      <c r="B26204" t="s">
        <v>6836</v>
      </c>
      <c r="C26204" s="1" t="s">
        <v>8427</v>
      </c>
      <c r="D26204" s="1" t="str">
        <f>HYPERLINK("https://rhld.insurance.arkansas.gov/NPILookup?Npi=1962632216","1962632216")</f>
        <v>1962632216</v>
      </c>
      <c r="E26204" t="s">
        <v>23311</v>
      </c>
    </row>
    <row r="26205" spans="1:5" x14ac:dyDescent="0.25">
      <c r="A26205" t="s">
        <v>9</v>
      </c>
      <c r="B26205" t="s">
        <v>6836</v>
      </c>
      <c r="C26205" s="1" t="s">
        <v>23490</v>
      </c>
      <c r="D26205" s="1" t="str">
        <f>HYPERLINK("https://rhld.insurance.arkansas.gov/NPILookup?Npi=1962972844","1962972844")</f>
        <v>1962972844</v>
      </c>
      <c r="E26205" t="s">
        <v>13806</v>
      </c>
    </row>
    <row r="26206" spans="1:5" x14ac:dyDescent="0.25">
      <c r="A26206" t="s">
        <v>9</v>
      </c>
      <c r="B26206" t="s">
        <v>6836</v>
      </c>
      <c r="C26206" s="1" t="s">
        <v>23490</v>
      </c>
      <c r="D26206" s="1" t="str">
        <f>HYPERLINK("https://rhld.insurance.arkansas.gov/NPILookup?Npi=1972514578","1972514578")</f>
        <v>1972514578</v>
      </c>
      <c r="E26206" t="s">
        <v>7308</v>
      </c>
    </row>
    <row r="26207" spans="1:5" x14ac:dyDescent="0.25">
      <c r="A26207" t="s">
        <v>9</v>
      </c>
      <c r="B26207" t="s">
        <v>6836</v>
      </c>
      <c r="C26207" s="1" t="s">
        <v>23490</v>
      </c>
      <c r="D26207" s="1" t="str">
        <f>HYPERLINK("https://rhld.insurance.arkansas.gov/NPILookup?Npi=1972539773","1972539773")</f>
        <v>1972539773</v>
      </c>
      <c r="E26207" t="s">
        <v>7309</v>
      </c>
    </row>
    <row r="26208" spans="1:5" x14ac:dyDescent="0.25">
      <c r="A26208" t="s">
        <v>9</v>
      </c>
      <c r="B26208" t="s">
        <v>6836</v>
      </c>
      <c r="C26208" s="1" t="s">
        <v>23490</v>
      </c>
      <c r="D26208" s="1" t="str">
        <f>HYPERLINK("https://rhld.insurance.arkansas.gov/NPILookup?Npi=1972685576","1972685576")</f>
        <v>1972685576</v>
      </c>
      <c r="E26208" t="s">
        <v>7310</v>
      </c>
    </row>
    <row r="26209" spans="1:5" x14ac:dyDescent="0.25">
      <c r="A26209" t="s">
        <v>9</v>
      </c>
      <c r="B26209" t="s">
        <v>6836</v>
      </c>
      <c r="C26209" s="1" t="s">
        <v>23490</v>
      </c>
      <c r="D26209" s="1" t="str">
        <f>HYPERLINK("https://rhld.insurance.arkansas.gov/NPILookup?Npi=1972709814","1972709814")</f>
        <v>1972709814</v>
      </c>
      <c r="E26209" t="s">
        <v>16566</v>
      </c>
    </row>
    <row r="26210" spans="1:5" x14ac:dyDescent="0.25">
      <c r="A26210" t="s">
        <v>9</v>
      </c>
      <c r="B26210" t="s">
        <v>6836</v>
      </c>
      <c r="C26210" s="1" t="s">
        <v>23490</v>
      </c>
      <c r="D26210" s="1" t="str">
        <f>HYPERLINK("https://rhld.insurance.arkansas.gov/NPILookup?Npi=1972863165","1972863165")</f>
        <v>1972863165</v>
      </c>
      <c r="E26210" t="s">
        <v>16567</v>
      </c>
    </row>
    <row r="26211" spans="1:5" x14ac:dyDescent="0.25">
      <c r="A26211" t="s">
        <v>9</v>
      </c>
      <c r="B26211" t="s">
        <v>6836</v>
      </c>
      <c r="C26211" s="1" t="s">
        <v>23490</v>
      </c>
      <c r="D26211" s="1" t="str">
        <f>HYPERLINK("https://rhld.insurance.arkansas.gov/NPILookup?Npi=1972914018","1972914018")</f>
        <v>1972914018</v>
      </c>
      <c r="E26211" t="s">
        <v>14493</v>
      </c>
    </row>
    <row r="26212" spans="1:5" x14ac:dyDescent="0.25">
      <c r="A26212" t="s">
        <v>9</v>
      </c>
      <c r="B26212" t="s">
        <v>6836</v>
      </c>
      <c r="C26212" s="1" t="s">
        <v>23490</v>
      </c>
      <c r="D26212" s="1" t="str">
        <f>HYPERLINK("https://rhld.insurance.arkansas.gov/NPILookup?Npi=1982672143","1982672143")</f>
        <v>1982672143</v>
      </c>
      <c r="E26212" t="s">
        <v>4818</v>
      </c>
    </row>
    <row r="26213" spans="1:5" x14ac:dyDescent="0.25">
      <c r="A26213" t="s">
        <v>9</v>
      </c>
      <c r="B26213" t="s">
        <v>6836</v>
      </c>
      <c r="C26213" s="1" t="s">
        <v>23490</v>
      </c>
      <c r="D26213" s="1" t="str">
        <f>HYPERLINK("https://rhld.insurance.arkansas.gov/NPILookup?Npi=1982690061","1982690061")</f>
        <v>1982690061</v>
      </c>
      <c r="E26213" t="s">
        <v>9265</v>
      </c>
    </row>
    <row r="26214" spans="1:5" x14ac:dyDescent="0.25">
      <c r="A26214" t="s">
        <v>9</v>
      </c>
      <c r="B26214" t="s">
        <v>6836</v>
      </c>
      <c r="C26214" s="1" t="s">
        <v>23490</v>
      </c>
      <c r="D26214" s="1" t="str">
        <f>HYPERLINK("https://rhld.insurance.arkansas.gov/NPILookup?Npi=1982847224","1982847224")</f>
        <v>1982847224</v>
      </c>
      <c r="E26214" t="s">
        <v>7311</v>
      </c>
    </row>
    <row r="26215" spans="1:5" x14ac:dyDescent="0.25">
      <c r="A26215" t="s">
        <v>9</v>
      </c>
      <c r="B26215" t="s">
        <v>6836</v>
      </c>
      <c r="C26215" s="1" t="s">
        <v>23490</v>
      </c>
      <c r="D26215" s="1" t="str">
        <f>HYPERLINK("https://rhld.insurance.arkansas.gov/NPILookup?Npi=1982950648","1982950648")</f>
        <v>1982950648</v>
      </c>
      <c r="E26215" t="s">
        <v>9266</v>
      </c>
    </row>
    <row r="26216" spans="1:5" x14ac:dyDescent="0.25">
      <c r="A26216" t="s">
        <v>9</v>
      </c>
      <c r="B26216" t="s">
        <v>6836</v>
      </c>
      <c r="C26216" s="1" t="s">
        <v>23490</v>
      </c>
      <c r="D26216" s="1" t="str">
        <f>HYPERLINK("https://rhld.insurance.arkansas.gov/NPILookup?Npi=1982950911","1982950911")</f>
        <v>1982950911</v>
      </c>
      <c r="E26216" t="s">
        <v>16568</v>
      </c>
    </row>
    <row r="26217" spans="1:5" x14ac:dyDescent="0.25">
      <c r="A26217" t="s">
        <v>9</v>
      </c>
      <c r="B26217" t="s">
        <v>6836</v>
      </c>
      <c r="C26217" s="1" t="s">
        <v>23490</v>
      </c>
      <c r="D26217" s="1" t="str">
        <f>HYPERLINK("https://rhld.insurance.arkansas.gov/NPILookup?Npi=1982995544","1982995544")</f>
        <v>1982995544</v>
      </c>
      <c r="E26217" t="s">
        <v>22646</v>
      </c>
    </row>
    <row r="26218" spans="1:5" x14ac:dyDescent="0.25">
      <c r="A26218" t="s">
        <v>9</v>
      </c>
      <c r="B26218" t="s">
        <v>6836</v>
      </c>
      <c r="C26218" s="1" t="s">
        <v>23490</v>
      </c>
      <c r="D26218" s="1" t="str">
        <f>HYPERLINK("https://rhld.insurance.arkansas.gov/NPILookup?Npi=1992024491","1992024491")</f>
        <v>1992024491</v>
      </c>
      <c r="E26218" t="s">
        <v>21703</v>
      </c>
    </row>
    <row r="26219" spans="1:5" x14ac:dyDescent="0.25">
      <c r="A26219" t="s">
        <v>9</v>
      </c>
      <c r="B26219" t="s">
        <v>6836</v>
      </c>
      <c r="C26219" s="1" t="s">
        <v>23490</v>
      </c>
      <c r="D26219" s="1" t="str">
        <f>HYPERLINK("https://rhld.insurance.arkansas.gov/NPILookup?Npi=1992191274","1992191274")</f>
        <v>1992191274</v>
      </c>
      <c r="E26219" t="s">
        <v>17736</v>
      </c>
    </row>
    <row r="26220" spans="1:5" x14ac:dyDescent="0.25">
      <c r="A26220" t="s">
        <v>9</v>
      </c>
      <c r="B26220" t="s">
        <v>6836</v>
      </c>
      <c r="C26220" s="1" t="s">
        <v>8427</v>
      </c>
      <c r="D26220" s="1" t="str">
        <f>HYPERLINK("https://rhld.insurance.arkansas.gov/NPILookup?Npi=1992265797","1992265797")</f>
        <v>1992265797</v>
      </c>
      <c r="E26220" t="s">
        <v>23312</v>
      </c>
    </row>
    <row r="26221" spans="1:5" x14ac:dyDescent="0.25">
      <c r="A26221" t="s">
        <v>9</v>
      </c>
      <c r="B26221" t="s">
        <v>6836</v>
      </c>
      <c r="C26221" s="1" t="s">
        <v>23490</v>
      </c>
      <c r="D26221" s="1" t="str">
        <f>HYPERLINK("https://rhld.insurance.arkansas.gov/NPILookup?Npi=1992284434","1992284434")</f>
        <v>1992284434</v>
      </c>
      <c r="E26221" t="s">
        <v>16569</v>
      </c>
    </row>
    <row r="26222" spans="1:5" x14ac:dyDescent="0.25">
      <c r="A26222" t="s">
        <v>9</v>
      </c>
      <c r="B26222" t="s">
        <v>6836</v>
      </c>
      <c r="C26222" s="1" t="s">
        <v>23490</v>
      </c>
      <c r="D26222" s="1" t="str">
        <f>HYPERLINK("https://rhld.insurance.arkansas.gov/NPILookup?Npi=1992745012","1992745012")</f>
        <v>1992745012</v>
      </c>
      <c r="E26222" t="s">
        <v>7312</v>
      </c>
    </row>
    <row r="26223" spans="1:5" x14ac:dyDescent="0.25">
      <c r="A26223" t="s">
        <v>9</v>
      </c>
      <c r="B26223" t="s">
        <v>6836</v>
      </c>
      <c r="C26223" s="1" t="s">
        <v>23490</v>
      </c>
      <c r="D26223" s="1" t="str">
        <f>HYPERLINK("https://rhld.insurance.arkansas.gov/NPILookup?Npi=1992748339","1992748339")</f>
        <v>1992748339</v>
      </c>
      <c r="E26223" t="s">
        <v>22647</v>
      </c>
    </row>
    <row r="26224" spans="1:5" x14ac:dyDescent="0.25">
      <c r="A26224" t="s">
        <v>9</v>
      </c>
      <c r="B26224" t="s">
        <v>6836</v>
      </c>
      <c r="C26224" s="1" t="s">
        <v>23490</v>
      </c>
      <c r="D26224" s="1" t="str">
        <f>HYPERLINK("https://rhld.insurance.arkansas.gov/NPILookup?Npi=1992777957","1992777957")</f>
        <v>1992777957</v>
      </c>
      <c r="E26224" t="s">
        <v>7313</v>
      </c>
    </row>
    <row r="26225" spans="1:5" x14ac:dyDescent="0.25">
      <c r="A26225" t="s">
        <v>9</v>
      </c>
      <c r="B26225" t="s">
        <v>6836</v>
      </c>
      <c r="C26225" s="1" t="s">
        <v>23490</v>
      </c>
      <c r="D26225" s="1" t="str">
        <f>HYPERLINK("https://rhld.insurance.arkansas.gov/NPILookup?Npi=1992894539","1992894539")</f>
        <v>1992894539</v>
      </c>
      <c r="E26225" t="s">
        <v>22648</v>
      </c>
    </row>
    <row r="26226" spans="1:5" x14ac:dyDescent="0.25">
      <c r="A26226" t="s">
        <v>9</v>
      </c>
      <c r="B26226" t="s">
        <v>6836</v>
      </c>
      <c r="C26226" s="1" t="s">
        <v>23490</v>
      </c>
      <c r="D26226" s="1" t="str">
        <f>HYPERLINK("https://rhld.insurance.arkansas.gov/NPILookup?Npi=1992901730","1992901730")</f>
        <v>1992901730</v>
      </c>
      <c r="E26226" t="s">
        <v>7314</v>
      </c>
    </row>
    <row r="26227" spans="1:5" x14ac:dyDescent="0.25">
      <c r="A26227" t="s">
        <v>9</v>
      </c>
      <c r="B26227" t="s">
        <v>6836</v>
      </c>
      <c r="C26227" s="1" t="s">
        <v>23490</v>
      </c>
      <c r="D26227" s="1" t="str">
        <f>HYPERLINK("https://rhld.insurance.arkansas.gov/NPILookup?Npi=1992999791","1992999791")</f>
        <v>1992999791</v>
      </c>
      <c r="E26227" t="s">
        <v>14494</v>
      </c>
    </row>
    <row r="26228" spans="1:5" x14ac:dyDescent="0.25">
      <c r="A26228" t="s">
        <v>10</v>
      </c>
      <c r="B26228" t="s">
        <v>7315</v>
      </c>
      <c r="C26228" s="1" t="s">
        <v>23490</v>
      </c>
      <c r="D26228" s="1" t="str">
        <f>HYPERLINK("https://rhld.insurance.arkansas.gov/NPILookup?Npi=1003043043","1003043043")</f>
        <v>1003043043</v>
      </c>
      <c r="E26228" t="s">
        <v>12100</v>
      </c>
    </row>
    <row r="26229" spans="1:5" x14ac:dyDescent="0.25">
      <c r="A26229" t="s">
        <v>10</v>
      </c>
      <c r="B26229" t="s">
        <v>7315</v>
      </c>
      <c r="C26229" s="1" t="s">
        <v>23490</v>
      </c>
      <c r="D26229" s="1" t="str">
        <f>HYPERLINK("https://rhld.insurance.arkansas.gov/NPILookup?Npi=1003256835","1003256835")</f>
        <v>1003256835</v>
      </c>
      <c r="E26229" t="s">
        <v>19138</v>
      </c>
    </row>
    <row r="26230" spans="1:5" x14ac:dyDescent="0.25">
      <c r="A26230" t="s">
        <v>10</v>
      </c>
      <c r="B26230" t="s">
        <v>7315</v>
      </c>
      <c r="C26230" s="1" t="s">
        <v>23490</v>
      </c>
      <c r="D26230" s="1" t="str">
        <f>HYPERLINK("https://rhld.insurance.arkansas.gov/NPILookup?Npi=1003851072","1003851072")</f>
        <v>1003851072</v>
      </c>
      <c r="E26230" t="s">
        <v>7316</v>
      </c>
    </row>
    <row r="26231" spans="1:5" x14ac:dyDescent="0.25">
      <c r="A26231" t="s">
        <v>10</v>
      </c>
      <c r="B26231" t="s">
        <v>7315</v>
      </c>
      <c r="C26231" s="1" t="s">
        <v>23490</v>
      </c>
      <c r="D26231" s="1" t="str">
        <f>HYPERLINK("https://rhld.insurance.arkansas.gov/NPILookup?Npi=1003861808","1003861808")</f>
        <v>1003861808</v>
      </c>
      <c r="E26231" t="s">
        <v>7317</v>
      </c>
    </row>
    <row r="26232" spans="1:5" x14ac:dyDescent="0.25">
      <c r="A26232" t="s">
        <v>10</v>
      </c>
      <c r="B26232" t="s">
        <v>7315</v>
      </c>
      <c r="C26232" s="1" t="s">
        <v>23490</v>
      </c>
      <c r="D26232" s="1" t="str">
        <f>HYPERLINK("https://rhld.insurance.arkansas.gov/NPILookup?Npi=1013007681","1013007681")</f>
        <v>1013007681</v>
      </c>
      <c r="E26232" t="s">
        <v>18635</v>
      </c>
    </row>
    <row r="26233" spans="1:5" x14ac:dyDescent="0.25">
      <c r="A26233" t="s">
        <v>10</v>
      </c>
      <c r="B26233" t="s">
        <v>7315</v>
      </c>
      <c r="C26233" s="1" t="s">
        <v>23490</v>
      </c>
      <c r="D26233" s="1" t="str">
        <f>HYPERLINK("https://rhld.insurance.arkansas.gov/NPILookup?Npi=1013176718","1013176718")</f>
        <v>1013176718</v>
      </c>
      <c r="E26233" t="s">
        <v>17737</v>
      </c>
    </row>
    <row r="26234" spans="1:5" x14ac:dyDescent="0.25">
      <c r="A26234" t="s">
        <v>10</v>
      </c>
      <c r="B26234" t="s">
        <v>7315</v>
      </c>
      <c r="C26234" s="1" t="s">
        <v>23490</v>
      </c>
      <c r="D26234" s="1" t="str">
        <f>HYPERLINK("https://rhld.insurance.arkansas.gov/NPILookup?Npi=1023232287","1023232287")</f>
        <v>1023232287</v>
      </c>
      <c r="E26234" t="s">
        <v>7318</v>
      </c>
    </row>
    <row r="26235" spans="1:5" x14ac:dyDescent="0.25">
      <c r="A26235" t="s">
        <v>10</v>
      </c>
      <c r="B26235" t="s">
        <v>7315</v>
      </c>
      <c r="C26235" s="1" t="s">
        <v>23490</v>
      </c>
      <c r="D26235" s="1" t="str">
        <f>HYPERLINK("https://rhld.insurance.arkansas.gov/NPILookup?Npi=1023247558","1023247558")</f>
        <v>1023247558</v>
      </c>
      <c r="E26235" t="s">
        <v>107</v>
      </c>
    </row>
    <row r="26236" spans="1:5" x14ac:dyDescent="0.25">
      <c r="A26236" t="s">
        <v>10</v>
      </c>
      <c r="B26236" t="s">
        <v>7315</v>
      </c>
      <c r="C26236" s="1" t="s">
        <v>23490</v>
      </c>
      <c r="D26236" s="1" t="str">
        <f>HYPERLINK("https://rhld.insurance.arkansas.gov/NPILookup?Npi=1023376878","1023376878")</f>
        <v>1023376878</v>
      </c>
      <c r="E26236" t="s">
        <v>611</v>
      </c>
    </row>
    <row r="26237" spans="1:5" x14ac:dyDescent="0.25">
      <c r="A26237" t="s">
        <v>10</v>
      </c>
      <c r="B26237" t="s">
        <v>7315</v>
      </c>
      <c r="C26237" s="1" t="s">
        <v>23490</v>
      </c>
      <c r="D26237" s="1" t="str">
        <f>HYPERLINK("https://rhld.insurance.arkansas.gov/NPILookup?Npi=1023435609","1023435609")</f>
        <v>1023435609</v>
      </c>
      <c r="E26237" t="s">
        <v>16570</v>
      </c>
    </row>
    <row r="26238" spans="1:5" x14ac:dyDescent="0.25">
      <c r="A26238" t="s">
        <v>10</v>
      </c>
      <c r="B26238" t="s">
        <v>7315</v>
      </c>
      <c r="C26238" s="1" t="s">
        <v>23490</v>
      </c>
      <c r="D26238" s="1" t="str">
        <f>HYPERLINK("https://rhld.insurance.arkansas.gov/NPILookup?Npi=1033111539","1033111539")</f>
        <v>1033111539</v>
      </c>
      <c r="E26238" t="s">
        <v>19139</v>
      </c>
    </row>
    <row r="26239" spans="1:5" x14ac:dyDescent="0.25">
      <c r="A26239" t="s">
        <v>10</v>
      </c>
      <c r="B26239" t="s">
        <v>7315</v>
      </c>
      <c r="C26239" s="1" t="s">
        <v>23490</v>
      </c>
      <c r="D26239" s="1" t="str">
        <f>HYPERLINK("https://rhld.insurance.arkansas.gov/NPILookup?Npi=1033160544","1033160544")</f>
        <v>1033160544</v>
      </c>
      <c r="E26239" t="s">
        <v>7319</v>
      </c>
    </row>
    <row r="26240" spans="1:5" x14ac:dyDescent="0.25">
      <c r="A26240" t="s">
        <v>10</v>
      </c>
      <c r="B26240" t="s">
        <v>7315</v>
      </c>
      <c r="C26240" s="1" t="s">
        <v>23490</v>
      </c>
      <c r="D26240" s="1" t="str">
        <f>HYPERLINK("https://rhld.insurance.arkansas.gov/NPILookup?Npi=1033498472","1033498472")</f>
        <v>1033498472</v>
      </c>
      <c r="E26240" t="s">
        <v>13274</v>
      </c>
    </row>
    <row r="26241" spans="1:5" x14ac:dyDescent="0.25">
      <c r="A26241" t="s">
        <v>10</v>
      </c>
      <c r="B26241" t="s">
        <v>7315</v>
      </c>
      <c r="C26241" s="1" t="s">
        <v>23490</v>
      </c>
      <c r="D26241" s="1" t="str">
        <f>HYPERLINK("https://rhld.insurance.arkansas.gov/NPILookup?Npi=1043202849","1043202849")</f>
        <v>1043202849</v>
      </c>
      <c r="E26241" t="s">
        <v>16571</v>
      </c>
    </row>
    <row r="26242" spans="1:5" x14ac:dyDescent="0.25">
      <c r="A26242" t="s">
        <v>10</v>
      </c>
      <c r="B26242" t="s">
        <v>7315</v>
      </c>
      <c r="C26242" s="1" t="s">
        <v>23490</v>
      </c>
      <c r="D26242" s="1" t="str">
        <f>HYPERLINK("https://rhld.insurance.arkansas.gov/NPILookup?Npi=1043418692","1043418692")</f>
        <v>1043418692</v>
      </c>
      <c r="E26242" t="s">
        <v>16572</v>
      </c>
    </row>
    <row r="26243" spans="1:5" x14ac:dyDescent="0.25">
      <c r="A26243" t="s">
        <v>10</v>
      </c>
      <c r="B26243" t="s">
        <v>7315</v>
      </c>
      <c r="C26243" s="1" t="s">
        <v>23490</v>
      </c>
      <c r="D26243" s="1" t="str">
        <f>HYPERLINK("https://rhld.insurance.arkansas.gov/NPILookup?Npi=1053364281","1053364281")</f>
        <v>1053364281</v>
      </c>
      <c r="E26243" t="s">
        <v>16573</v>
      </c>
    </row>
    <row r="26244" spans="1:5" x14ac:dyDescent="0.25">
      <c r="A26244" t="s">
        <v>10</v>
      </c>
      <c r="B26244" t="s">
        <v>7315</v>
      </c>
      <c r="C26244" s="1" t="s">
        <v>23490</v>
      </c>
      <c r="D26244" s="1" t="str">
        <f>HYPERLINK("https://rhld.insurance.arkansas.gov/NPILookup?Npi=1053414326","1053414326")</f>
        <v>1053414326</v>
      </c>
      <c r="E26244" t="s">
        <v>12101</v>
      </c>
    </row>
    <row r="26245" spans="1:5" x14ac:dyDescent="0.25">
      <c r="A26245" t="s">
        <v>10</v>
      </c>
      <c r="B26245" t="s">
        <v>7315</v>
      </c>
      <c r="C26245" s="1" t="s">
        <v>23490</v>
      </c>
      <c r="D26245" s="1" t="str">
        <f>HYPERLINK("https://rhld.insurance.arkansas.gov/NPILookup?Npi=1053738336","1053738336")</f>
        <v>1053738336</v>
      </c>
      <c r="E26245" t="s">
        <v>2364</v>
      </c>
    </row>
    <row r="26246" spans="1:5" x14ac:dyDescent="0.25">
      <c r="A26246" t="s">
        <v>10</v>
      </c>
      <c r="B26246" t="s">
        <v>7315</v>
      </c>
      <c r="C26246" s="1" t="s">
        <v>23490</v>
      </c>
      <c r="D26246" s="1" t="str">
        <f>HYPERLINK("https://rhld.insurance.arkansas.gov/NPILookup?Npi=1063154219","1063154219")</f>
        <v>1063154219</v>
      </c>
      <c r="E26246" t="s">
        <v>21456</v>
      </c>
    </row>
    <row r="26247" spans="1:5" x14ac:dyDescent="0.25">
      <c r="A26247" t="s">
        <v>10</v>
      </c>
      <c r="B26247" t="s">
        <v>7315</v>
      </c>
      <c r="C26247" s="1" t="s">
        <v>23490</v>
      </c>
      <c r="D26247" s="1" t="str">
        <f>HYPERLINK("https://rhld.insurance.arkansas.gov/NPILookup?Npi=1063491280","1063491280")</f>
        <v>1063491280</v>
      </c>
      <c r="E26247" t="s">
        <v>7320</v>
      </c>
    </row>
    <row r="26248" spans="1:5" x14ac:dyDescent="0.25">
      <c r="A26248" t="s">
        <v>10</v>
      </c>
      <c r="B26248" t="s">
        <v>7315</v>
      </c>
      <c r="C26248" s="1" t="s">
        <v>23490</v>
      </c>
      <c r="D26248" s="1" t="str">
        <f>HYPERLINK("https://rhld.insurance.arkansas.gov/NPILookup?Npi=1063497634","1063497634")</f>
        <v>1063497634</v>
      </c>
      <c r="E26248" t="s">
        <v>7321</v>
      </c>
    </row>
    <row r="26249" spans="1:5" x14ac:dyDescent="0.25">
      <c r="A26249" t="s">
        <v>10</v>
      </c>
      <c r="B26249" t="s">
        <v>7315</v>
      </c>
      <c r="C26249" s="1" t="s">
        <v>23490</v>
      </c>
      <c r="D26249" s="1" t="str">
        <f>HYPERLINK("https://rhld.insurance.arkansas.gov/NPILookup?Npi=1063525566","1063525566")</f>
        <v>1063525566</v>
      </c>
      <c r="E26249" t="s">
        <v>16574</v>
      </c>
    </row>
    <row r="26250" spans="1:5" x14ac:dyDescent="0.25">
      <c r="A26250" t="s">
        <v>10</v>
      </c>
      <c r="B26250" t="s">
        <v>7315</v>
      </c>
      <c r="C26250" s="1" t="s">
        <v>23490</v>
      </c>
      <c r="D26250" s="1" t="str">
        <f>HYPERLINK("https://rhld.insurance.arkansas.gov/NPILookup?Npi=1063614659","1063614659")</f>
        <v>1063614659</v>
      </c>
      <c r="E26250" t="s">
        <v>7322</v>
      </c>
    </row>
    <row r="26251" spans="1:5" x14ac:dyDescent="0.25">
      <c r="A26251" t="s">
        <v>10</v>
      </c>
      <c r="B26251" t="s">
        <v>7315</v>
      </c>
      <c r="C26251" s="1" t="s">
        <v>23490</v>
      </c>
      <c r="D26251" s="1" t="str">
        <f>HYPERLINK("https://rhld.insurance.arkansas.gov/NPILookup?Npi=1073535423","1073535423")</f>
        <v>1073535423</v>
      </c>
      <c r="E26251" t="s">
        <v>7323</v>
      </c>
    </row>
    <row r="26252" spans="1:5" x14ac:dyDescent="0.25">
      <c r="A26252" t="s">
        <v>10</v>
      </c>
      <c r="B26252" t="s">
        <v>7315</v>
      </c>
      <c r="C26252" s="1" t="s">
        <v>23490</v>
      </c>
      <c r="D26252" s="1" t="str">
        <f>HYPERLINK("https://rhld.insurance.arkansas.gov/NPILookup?Npi=1083848956","1083848956")</f>
        <v>1083848956</v>
      </c>
      <c r="E26252" t="s">
        <v>5702</v>
      </c>
    </row>
    <row r="26253" spans="1:5" x14ac:dyDescent="0.25">
      <c r="A26253" t="s">
        <v>10</v>
      </c>
      <c r="B26253" t="s">
        <v>7315</v>
      </c>
      <c r="C26253" s="1" t="s">
        <v>23490</v>
      </c>
      <c r="D26253" s="1" t="str">
        <f>HYPERLINK("https://rhld.insurance.arkansas.gov/NPILookup?Npi=1093009078","1093009078")</f>
        <v>1093009078</v>
      </c>
      <c r="E26253" t="s">
        <v>8475</v>
      </c>
    </row>
    <row r="26254" spans="1:5" x14ac:dyDescent="0.25">
      <c r="A26254" t="s">
        <v>10</v>
      </c>
      <c r="B26254" t="s">
        <v>7315</v>
      </c>
      <c r="C26254" s="1" t="s">
        <v>23490</v>
      </c>
      <c r="D26254" s="1" t="str">
        <f>HYPERLINK("https://rhld.insurance.arkansas.gov/NPILookup?Npi=1093160343","1093160343")</f>
        <v>1093160343</v>
      </c>
      <c r="E26254" t="s">
        <v>22649</v>
      </c>
    </row>
    <row r="26255" spans="1:5" x14ac:dyDescent="0.25">
      <c r="A26255" t="s">
        <v>10</v>
      </c>
      <c r="B26255" t="s">
        <v>7315</v>
      </c>
      <c r="C26255" s="1" t="s">
        <v>23490</v>
      </c>
      <c r="D26255" s="1" t="str">
        <f>HYPERLINK("https://rhld.insurance.arkansas.gov/NPILookup?Npi=1093790032","1093790032")</f>
        <v>1093790032</v>
      </c>
      <c r="E26255" t="s">
        <v>353</v>
      </c>
    </row>
    <row r="26256" spans="1:5" x14ac:dyDescent="0.25">
      <c r="A26256" t="s">
        <v>10</v>
      </c>
      <c r="B26256" t="s">
        <v>7315</v>
      </c>
      <c r="C26256" s="1" t="s">
        <v>23490</v>
      </c>
      <c r="D26256" s="1" t="str">
        <f>HYPERLINK("https://rhld.insurance.arkansas.gov/NPILookup?Npi=1104052661","1104052661")</f>
        <v>1104052661</v>
      </c>
      <c r="E26256" t="s">
        <v>20744</v>
      </c>
    </row>
    <row r="26257" spans="1:5" x14ac:dyDescent="0.25">
      <c r="A26257" t="s">
        <v>10</v>
      </c>
      <c r="B26257" t="s">
        <v>7315</v>
      </c>
      <c r="C26257" s="1" t="s">
        <v>23490</v>
      </c>
      <c r="D26257" s="1" t="str">
        <f>HYPERLINK("https://rhld.insurance.arkansas.gov/NPILookup?Npi=1104104330","1104104330")</f>
        <v>1104104330</v>
      </c>
      <c r="E26257" t="s">
        <v>20745</v>
      </c>
    </row>
    <row r="26258" spans="1:5" x14ac:dyDescent="0.25">
      <c r="A26258" t="s">
        <v>10</v>
      </c>
      <c r="B26258" t="s">
        <v>7315</v>
      </c>
      <c r="C26258" s="1" t="s">
        <v>23490</v>
      </c>
      <c r="D26258" s="1" t="str">
        <f>HYPERLINK("https://rhld.insurance.arkansas.gov/NPILookup?Npi=1104916774","1104916774")</f>
        <v>1104916774</v>
      </c>
      <c r="E26258" t="s">
        <v>7324</v>
      </c>
    </row>
    <row r="26259" spans="1:5" x14ac:dyDescent="0.25">
      <c r="A26259" t="s">
        <v>10</v>
      </c>
      <c r="B26259" t="s">
        <v>7315</v>
      </c>
      <c r="C26259" s="1" t="s">
        <v>23490</v>
      </c>
      <c r="D26259" s="1" t="str">
        <f>HYPERLINK("https://rhld.insurance.arkansas.gov/NPILookup?Npi=1104945773","1104945773")</f>
        <v>1104945773</v>
      </c>
      <c r="E26259" t="s">
        <v>16575</v>
      </c>
    </row>
    <row r="26260" spans="1:5" x14ac:dyDescent="0.25">
      <c r="A26260" t="s">
        <v>10</v>
      </c>
      <c r="B26260" t="s">
        <v>7315</v>
      </c>
      <c r="C26260" s="1" t="s">
        <v>23490</v>
      </c>
      <c r="D26260" s="1" t="str">
        <f>HYPERLINK("https://rhld.insurance.arkansas.gov/NPILookup?Npi=1114302650","1114302650")</f>
        <v>1114302650</v>
      </c>
      <c r="E26260" t="s">
        <v>20746</v>
      </c>
    </row>
    <row r="26261" spans="1:5" x14ac:dyDescent="0.25">
      <c r="A26261" t="s">
        <v>10</v>
      </c>
      <c r="B26261" t="s">
        <v>7315</v>
      </c>
      <c r="C26261" s="1" t="s">
        <v>23490</v>
      </c>
      <c r="D26261" s="1" t="str">
        <f>HYPERLINK("https://rhld.insurance.arkansas.gov/NPILookup?Npi=1114947900","1114947900")</f>
        <v>1114947900</v>
      </c>
      <c r="E26261" t="s">
        <v>7325</v>
      </c>
    </row>
    <row r="26262" spans="1:5" x14ac:dyDescent="0.25">
      <c r="A26262" t="s">
        <v>10</v>
      </c>
      <c r="B26262" t="s">
        <v>7315</v>
      </c>
      <c r="C26262" s="1" t="s">
        <v>23490</v>
      </c>
      <c r="D26262" s="1" t="str">
        <f>HYPERLINK("https://rhld.insurance.arkansas.gov/NPILookup?Npi=1124097951","1124097951")</f>
        <v>1124097951</v>
      </c>
      <c r="E26262" t="s">
        <v>16576</v>
      </c>
    </row>
    <row r="26263" spans="1:5" x14ac:dyDescent="0.25">
      <c r="A26263" t="s">
        <v>10</v>
      </c>
      <c r="B26263" t="s">
        <v>7315</v>
      </c>
      <c r="C26263" s="1" t="s">
        <v>23490</v>
      </c>
      <c r="D26263" s="1" t="str">
        <f>HYPERLINK("https://rhld.insurance.arkansas.gov/NPILookup?Npi=1124334859","1124334859")</f>
        <v>1124334859</v>
      </c>
      <c r="E26263" t="s">
        <v>454</v>
      </c>
    </row>
    <row r="26264" spans="1:5" x14ac:dyDescent="0.25">
      <c r="A26264" t="s">
        <v>10</v>
      </c>
      <c r="B26264" t="s">
        <v>7315</v>
      </c>
      <c r="C26264" s="1" t="s">
        <v>23490</v>
      </c>
      <c r="D26264" s="1" t="str">
        <f>HYPERLINK("https://rhld.insurance.arkansas.gov/NPILookup?Npi=1134217441","1134217441")</f>
        <v>1134217441</v>
      </c>
      <c r="E26264" t="s">
        <v>7326</v>
      </c>
    </row>
    <row r="26265" spans="1:5" x14ac:dyDescent="0.25">
      <c r="A26265" t="s">
        <v>10</v>
      </c>
      <c r="B26265" t="s">
        <v>7315</v>
      </c>
      <c r="C26265" s="1" t="s">
        <v>23490</v>
      </c>
      <c r="D26265" s="1" t="str">
        <f>HYPERLINK("https://rhld.insurance.arkansas.gov/NPILookup?Npi=1134393473","1134393473")</f>
        <v>1134393473</v>
      </c>
      <c r="E26265" t="s">
        <v>7327</v>
      </c>
    </row>
    <row r="26266" spans="1:5" x14ac:dyDescent="0.25">
      <c r="A26266" t="s">
        <v>10</v>
      </c>
      <c r="B26266" t="s">
        <v>7315</v>
      </c>
      <c r="C26266" s="1" t="s">
        <v>23490</v>
      </c>
      <c r="D26266" s="1" t="str">
        <f>HYPERLINK("https://rhld.insurance.arkansas.gov/NPILookup?Npi=1144200999","1144200999")</f>
        <v>1144200999</v>
      </c>
      <c r="E26266" t="s">
        <v>7328</v>
      </c>
    </row>
    <row r="26267" spans="1:5" x14ac:dyDescent="0.25">
      <c r="A26267" t="s">
        <v>10</v>
      </c>
      <c r="B26267" t="s">
        <v>7315</v>
      </c>
      <c r="C26267" s="1" t="s">
        <v>23490</v>
      </c>
      <c r="D26267" s="1" t="str">
        <f>HYPERLINK("https://rhld.insurance.arkansas.gov/NPILookup?Npi=1144211368","1144211368")</f>
        <v>1144211368</v>
      </c>
      <c r="E26267" t="s">
        <v>16577</v>
      </c>
    </row>
    <row r="26268" spans="1:5" x14ac:dyDescent="0.25">
      <c r="A26268" t="s">
        <v>10</v>
      </c>
      <c r="B26268" t="s">
        <v>7315</v>
      </c>
      <c r="C26268" s="1" t="s">
        <v>23490</v>
      </c>
      <c r="D26268" s="1" t="str">
        <f>HYPERLINK("https://rhld.insurance.arkansas.gov/NPILookup?Npi=1144536319","1144536319")</f>
        <v>1144536319</v>
      </c>
      <c r="E26268" t="s">
        <v>10681</v>
      </c>
    </row>
    <row r="26269" spans="1:5" x14ac:dyDescent="0.25">
      <c r="A26269" t="s">
        <v>10</v>
      </c>
      <c r="B26269" t="s">
        <v>7315</v>
      </c>
      <c r="C26269" s="1" t="s">
        <v>23490</v>
      </c>
      <c r="D26269" s="1" t="str">
        <f>HYPERLINK("https://rhld.insurance.arkansas.gov/NPILookup?Npi=1144548876","1144548876")</f>
        <v>1144548876</v>
      </c>
      <c r="E26269" t="s">
        <v>16578</v>
      </c>
    </row>
    <row r="26270" spans="1:5" x14ac:dyDescent="0.25">
      <c r="A26270" t="s">
        <v>10</v>
      </c>
      <c r="B26270" t="s">
        <v>7315</v>
      </c>
      <c r="C26270" s="1" t="s">
        <v>23490</v>
      </c>
      <c r="D26270" s="1" t="str">
        <f>HYPERLINK("https://rhld.insurance.arkansas.gov/NPILookup?Npi=1154539807","1154539807")</f>
        <v>1154539807</v>
      </c>
      <c r="E26270" t="s">
        <v>14495</v>
      </c>
    </row>
    <row r="26271" spans="1:5" x14ac:dyDescent="0.25">
      <c r="A26271" t="s">
        <v>10</v>
      </c>
      <c r="B26271" t="s">
        <v>7315</v>
      </c>
      <c r="C26271" s="1" t="s">
        <v>23490</v>
      </c>
      <c r="D26271" s="1" t="str">
        <f>HYPERLINK("https://rhld.insurance.arkansas.gov/NPILookup?Npi=1154543999","1154543999")</f>
        <v>1154543999</v>
      </c>
      <c r="E26271" t="s">
        <v>16579</v>
      </c>
    </row>
    <row r="26272" spans="1:5" x14ac:dyDescent="0.25">
      <c r="A26272" t="s">
        <v>10</v>
      </c>
      <c r="B26272" t="s">
        <v>7315</v>
      </c>
      <c r="C26272" s="1" t="s">
        <v>23490</v>
      </c>
      <c r="D26272" s="1" t="str">
        <f>HYPERLINK("https://rhld.insurance.arkansas.gov/NPILookup?Npi=1164480802","1164480802")</f>
        <v>1164480802</v>
      </c>
      <c r="E26272" t="s">
        <v>16580</v>
      </c>
    </row>
    <row r="26273" spans="1:5" x14ac:dyDescent="0.25">
      <c r="A26273" t="s">
        <v>10</v>
      </c>
      <c r="B26273" t="s">
        <v>7315</v>
      </c>
      <c r="C26273" s="1" t="s">
        <v>23490</v>
      </c>
      <c r="D26273" s="1" t="str">
        <f>HYPERLINK("https://rhld.insurance.arkansas.gov/NPILookup?Npi=1164634838","1164634838")</f>
        <v>1164634838</v>
      </c>
      <c r="E26273" t="s">
        <v>2327</v>
      </c>
    </row>
    <row r="26274" spans="1:5" x14ac:dyDescent="0.25">
      <c r="A26274" t="s">
        <v>10</v>
      </c>
      <c r="B26274" t="s">
        <v>7315</v>
      </c>
      <c r="C26274" s="1" t="s">
        <v>23490</v>
      </c>
      <c r="D26274" s="1" t="str">
        <f>HYPERLINK("https://rhld.insurance.arkansas.gov/NPILookup?Npi=1164818233","1164818233")</f>
        <v>1164818233</v>
      </c>
      <c r="E26274" t="s">
        <v>21291</v>
      </c>
    </row>
    <row r="26275" spans="1:5" x14ac:dyDescent="0.25">
      <c r="A26275" t="s">
        <v>10</v>
      </c>
      <c r="B26275" t="s">
        <v>7315</v>
      </c>
      <c r="C26275" s="1" t="s">
        <v>23490</v>
      </c>
      <c r="D26275" s="1" t="str">
        <f>HYPERLINK("https://rhld.insurance.arkansas.gov/NPILookup?Npi=1174506448","1174506448")</f>
        <v>1174506448</v>
      </c>
      <c r="E26275" t="s">
        <v>7329</v>
      </c>
    </row>
    <row r="26276" spans="1:5" x14ac:dyDescent="0.25">
      <c r="A26276" t="s">
        <v>10</v>
      </c>
      <c r="B26276" t="s">
        <v>7315</v>
      </c>
      <c r="C26276" s="1" t="s">
        <v>23490</v>
      </c>
      <c r="D26276" s="1" t="str">
        <f>HYPERLINK("https://rhld.insurance.arkansas.gov/NPILookup?Npi=1174525174","1174525174")</f>
        <v>1174525174</v>
      </c>
      <c r="E26276" t="s">
        <v>7330</v>
      </c>
    </row>
    <row r="26277" spans="1:5" x14ac:dyDescent="0.25">
      <c r="A26277" t="s">
        <v>10</v>
      </c>
      <c r="B26277" t="s">
        <v>7315</v>
      </c>
      <c r="C26277" s="1" t="s">
        <v>23490</v>
      </c>
      <c r="D26277" s="1" t="str">
        <f>HYPERLINK("https://rhld.insurance.arkansas.gov/NPILookup?Npi=1174530471","1174530471")</f>
        <v>1174530471</v>
      </c>
      <c r="E26277" t="s">
        <v>7331</v>
      </c>
    </row>
    <row r="26278" spans="1:5" x14ac:dyDescent="0.25">
      <c r="A26278" t="s">
        <v>10</v>
      </c>
      <c r="B26278" t="s">
        <v>7315</v>
      </c>
      <c r="C26278" s="1" t="s">
        <v>23490</v>
      </c>
      <c r="D26278" s="1" t="str">
        <f>HYPERLINK("https://rhld.insurance.arkansas.gov/NPILookup?Npi=1184714669","1184714669")</f>
        <v>1184714669</v>
      </c>
      <c r="E26278" t="s">
        <v>758</v>
      </c>
    </row>
    <row r="26279" spans="1:5" x14ac:dyDescent="0.25">
      <c r="A26279" t="s">
        <v>10</v>
      </c>
      <c r="B26279" t="s">
        <v>7315</v>
      </c>
      <c r="C26279" s="1" t="s">
        <v>23490</v>
      </c>
      <c r="D26279" s="1" t="str">
        <f>HYPERLINK("https://rhld.insurance.arkansas.gov/NPILookup?Npi=1184836355","1184836355")</f>
        <v>1184836355</v>
      </c>
      <c r="E26279" t="s">
        <v>22651</v>
      </c>
    </row>
    <row r="26280" spans="1:5" x14ac:dyDescent="0.25">
      <c r="A26280" t="s">
        <v>10</v>
      </c>
      <c r="B26280" t="s">
        <v>7315</v>
      </c>
      <c r="C26280" s="1" t="s">
        <v>23490</v>
      </c>
      <c r="D26280" s="1" t="str">
        <f>HYPERLINK("https://rhld.insurance.arkansas.gov/NPILookup?Npi=1184838369","1184838369")</f>
        <v>1184838369</v>
      </c>
      <c r="E26280" t="s">
        <v>9267</v>
      </c>
    </row>
    <row r="26281" spans="1:5" x14ac:dyDescent="0.25">
      <c r="A26281" t="s">
        <v>10</v>
      </c>
      <c r="B26281" t="s">
        <v>7315</v>
      </c>
      <c r="C26281" s="1" t="s">
        <v>23490</v>
      </c>
      <c r="D26281" s="1" t="str">
        <f>HYPERLINK("https://rhld.insurance.arkansas.gov/NPILookup?Npi=1184860926","1184860926")</f>
        <v>1184860926</v>
      </c>
      <c r="E26281" t="s">
        <v>22652</v>
      </c>
    </row>
    <row r="26282" spans="1:5" x14ac:dyDescent="0.25">
      <c r="A26282" t="s">
        <v>10</v>
      </c>
      <c r="B26282" t="s">
        <v>7315</v>
      </c>
      <c r="C26282" s="1" t="s">
        <v>23490</v>
      </c>
      <c r="D26282" s="1" t="str">
        <f>HYPERLINK("https://rhld.insurance.arkansas.gov/NPILookup?Npi=1184939308","1184939308")</f>
        <v>1184939308</v>
      </c>
      <c r="E26282" t="s">
        <v>21292</v>
      </c>
    </row>
    <row r="26283" spans="1:5" x14ac:dyDescent="0.25">
      <c r="A26283" t="s">
        <v>10</v>
      </c>
      <c r="B26283" t="s">
        <v>7315</v>
      </c>
      <c r="C26283" s="1" t="s">
        <v>23490</v>
      </c>
      <c r="D26283" s="1" t="str">
        <f>HYPERLINK("https://rhld.insurance.arkansas.gov/NPILookup?Npi=1194087965","1194087965")</f>
        <v>1194087965</v>
      </c>
      <c r="E26283" t="s">
        <v>14496</v>
      </c>
    </row>
    <row r="26284" spans="1:5" x14ac:dyDescent="0.25">
      <c r="A26284" t="s">
        <v>10</v>
      </c>
      <c r="B26284" t="s">
        <v>7315</v>
      </c>
      <c r="C26284" s="1" t="s">
        <v>23490</v>
      </c>
      <c r="D26284" s="1" t="str">
        <f>HYPERLINK("https://rhld.insurance.arkansas.gov/NPILookup?Npi=1194161869","1194161869")</f>
        <v>1194161869</v>
      </c>
      <c r="E26284" t="s">
        <v>16581</v>
      </c>
    </row>
    <row r="26285" spans="1:5" x14ac:dyDescent="0.25">
      <c r="A26285" t="s">
        <v>10</v>
      </c>
      <c r="B26285" t="s">
        <v>7315</v>
      </c>
      <c r="C26285" s="1" t="s">
        <v>23490</v>
      </c>
      <c r="D26285" s="1" t="str">
        <f>HYPERLINK("https://rhld.insurance.arkansas.gov/NPILookup?Npi=1194956474","1194956474")</f>
        <v>1194956474</v>
      </c>
      <c r="E26285" t="s">
        <v>7332</v>
      </c>
    </row>
    <row r="26286" spans="1:5" x14ac:dyDescent="0.25">
      <c r="A26286" t="s">
        <v>10</v>
      </c>
      <c r="B26286" t="s">
        <v>7315</v>
      </c>
      <c r="C26286" s="1" t="s">
        <v>23490</v>
      </c>
      <c r="D26286" s="1" t="str">
        <f>HYPERLINK("https://rhld.insurance.arkansas.gov/NPILookup?Npi=1205884319","1205884319")</f>
        <v>1205884319</v>
      </c>
      <c r="E26286" t="s">
        <v>7333</v>
      </c>
    </row>
    <row r="26287" spans="1:5" x14ac:dyDescent="0.25">
      <c r="A26287" t="s">
        <v>10</v>
      </c>
      <c r="B26287" t="s">
        <v>7315</v>
      </c>
      <c r="C26287" s="1" t="s">
        <v>23490</v>
      </c>
      <c r="D26287" s="1" t="str">
        <f>HYPERLINK("https://rhld.insurance.arkansas.gov/NPILookup?Npi=1215196233","1215196233")</f>
        <v>1215196233</v>
      </c>
      <c r="E26287" t="s">
        <v>7334</v>
      </c>
    </row>
    <row r="26288" spans="1:5" x14ac:dyDescent="0.25">
      <c r="A26288" t="s">
        <v>10</v>
      </c>
      <c r="B26288" t="s">
        <v>7315</v>
      </c>
      <c r="C26288" s="1" t="s">
        <v>23490</v>
      </c>
      <c r="D26288" s="1" t="str">
        <f>HYPERLINK("https://rhld.insurance.arkansas.gov/NPILookup?Npi=1215371570","1215371570")</f>
        <v>1215371570</v>
      </c>
      <c r="E26288" t="s">
        <v>22653</v>
      </c>
    </row>
    <row r="26289" spans="1:5" x14ac:dyDescent="0.25">
      <c r="A26289" t="s">
        <v>10</v>
      </c>
      <c r="B26289" t="s">
        <v>7315</v>
      </c>
      <c r="C26289" s="1" t="s">
        <v>23490</v>
      </c>
      <c r="D26289" s="1" t="str">
        <f>HYPERLINK("https://rhld.insurance.arkansas.gov/NPILookup?Npi=1225317126","1225317126")</f>
        <v>1225317126</v>
      </c>
      <c r="E26289" t="s">
        <v>12102</v>
      </c>
    </row>
    <row r="26290" spans="1:5" x14ac:dyDescent="0.25">
      <c r="A26290" t="s">
        <v>10</v>
      </c>
      <c r="B26290" t="s">
        <v>7315</v>
      </c>
      <c r="C26290" s="1" t="s">
        <v>23490</v>
      </c>
      <c r="D26290" s="1" t="str">
        <f>HYPERLINK("https://rhld.insurance.arkansas.gov/NPILookup?Npi=1235108697","1235108697")</f>
        <v>1235108697</v>
      </c>
      <c r="E26290" t="s">
        <v>7335</v>
      </c>
    </row>
    <row r="26291" spans="1:5" x14ac:dyDescent="0.25">
      <c r="A26291" t="s">
        <v>10</v>
      </c>
      <c r="B26291" t="s">
        <v>7315</v>
      </c>
      <c r="C26291" s="1" t="s">
        <v>23490</v>
      </c>
      <c r="D26291" s="1" t="str">
        <f>HYPERLINK("https://rhld.insurance.arkansas.gov/NPILookup?Npi=1235110313","1235110313")</f>
        <v>1235110313</v>
      </c>
      <c r="E26291" t="s">
        <v>7336</v>
      </c>
    </row>
    <row r="26292" spans="1:5" x14ac:dyDescent="0.25">
      <c r="A26292" t="s">
        <v>10</v>
      </c>
      <c r="B26292" t="s">
        <v>7315</v>
      </c>
      <c r="C26292" s="1" t="s">
        <v>23490</v>
      </c>
      <c r="D26292" s="1" t="str">
        <f>HYPERLINK("https://rhld.insurance.arkansas.gov/NPILookup?Npi=1235159112","1235159112")</f>
        <v>1235159112</v>
      </c>
      <c r="E26292" t="s">
        <v>7337</v>
      </c>
    </row>
    <row r="26293" spans="1:5" x14ac:dyDescent="0.25">
      <c r="A26293" t="s">
        <v>10</v>
      </c>
      <c r="B26293" t="s">
        <v>7315</v>
      </c>
      <c r="C26293" s="1" t="s">
        <v>23490</v>
      </c>
      <c r="D26293" s="1" t="str">
        <f>HYPERLINK("https://rhld.insurance.arkansas.gov/NPILookup?Npi=1235179177","1235179177")</f>
        <v>1235179177</v>
      </c>
      <c r="E26293" t="s">
        <v>7338</v>
      </c>
    </row>
    <row r="26294" spans="1:5" x14ac:dyDescent="0.25">
      <c r="A26294" t="s">
        <v>10</v>
      </c>
      <c r="B26294" t="s">
        <v>7315</v>
      </c>
      <c r="C26294" s="1" t="s">
        <v>23490</v>
      </c>
      <c r="D26294" s="1" t="str">
        <f>HYPERLINK("https://rhld.insurance.arkansas.gov/NPILookup?Npi=1235234808","1235234808")</f>
        <v>1235234808</v>
      </c>
      <c r="E26294" t="s">
        <v>7339</v>
      </c>
    </row>
    <row r="26295" spans="1:5" x14ac:dyDescent="0.25">
      <c r="A26295" t="s">
        <v>10</v>
      </c>
      <c r="B26295" t="s">
        <v>7315</v>
      </c>
      <c r="C26295" s="1" t="s">
        <v>23490</v>
      </c>
      <c r="D26295" s="1" t="str">
        <f>HYPERLINK("https://rhld.insurance.arkansas.gov/NPILookup?Npi=1235388752","1235388752")</f>
        <v>1235388752</v>
      </c>
      <c r="E26295" t="s">
        <v>7340</v>
      </c>
    </row>
    <row r="26296" spans="1:5" x14ac:dyDescent="0.25">
      <c r="A26296" t="s">
        <v>10</v>
      </c>
      <c r="B26296" t="s">
        <v>7315</v>
      </c>
      <c r="C26296" s="1" t="s">
        <v>23490</v>
      </c>
      <c r="D26296" s="1" t="str">
        <f>HYPERLINK("https://rhld.insurance.arkansas.gov/NPILookup?Npi=1235472507","1235472507")</f>
        <v>1235472507</v>
      </c>
      <c r="E26296" t="s">
        <v>19140</v>
      </c>
    </row>
    <row r="26297" spans="1:5" x14ac:dyDescent="0.25">
      <c r="A26297" t="s">
        <v>10</v>
      </c>
      <c r="B26297" t="s">
        <v>7315</v>
      </c>
      <c r="C26297" s="1" t="s">
        <v>23490</v>
      </c>
      <c r="D26297" s="1" t="str">
        <f>HYPERLINK("https://rhld.insurance.arkansas.gov/NPILookup?Npi=1235493453","1235493453")</f>
        <v>1235493453</v>
      </c>
      <c r="E26297" t="s">
        <v>14497</v>
      </c>
    </row>
    <row r="26298" spans="1:5" x14ac:dyDescent="0.25">
      <c r="A26298" t="s">
        <v>10</v>
      </c>
      <c r="B26298" t="s">
        <v>7315</v>
      </c>
      <c r="C26298" s="1" t="s">
        <v>23490</v>
      </c>
      <c r="D26298" s="1" t="str">
        <f>HYPERLINK("https://rhld.insurance.arkansas.gov/NPILookup?Npi=1245273150","1245273150")</f>
        <v>1245273150</v>
      </c>
      <c r="E26298" t="s">
        <v>16582</v>
      </c>
    </row>
    <row r="26299" spans="1:5" x14ac:dyDescent="0.25">
      <c r="A26299" t="s">
        <v>10</v>
      </c>
      <c r="B26299" t="s">
        <v>7315</v>
      </c>
      <c r="C26299" s="1" t="s">
        <v>23490</v>
      </c>
      <c r="D26299" s="1" t="str">
        <f>HYPERLINK("https://rhld.insurance.arkansas.gov/NPILookup?Npi=1245359231","1245359231")</f>
        <v>1245359231</v>
      </c>
      <c r="E26299" t="s">
        <v>16583</v>
      </c>
    </row>
    <row r="26300" spans="1:5" x14ac:dyDescent="0.25">
      <c r="A26300" t="s">
        <v>10</v>
      </c>
      <c r="B26300" t="s">
        <v>7315</v>
      </c>
      <c r="C26300" s="1" t="s">
        <v>23490</v>
      </c>
      <c r="D26300" s="1" t="str">
        <f>HYPERLINK("https://rhld.insurance.arkansas.gov/NPILookup?Npi=1245642081","1245642081")</f>
        <v>1245642081</v>
      </c>
      <c r="E26300" t="s">
        <v>16584</v>
      </c>
    </row>
    <row r="26301" spans="1:5" x14ac:dyDescent="0.25">
      <c r="A26301" t="s">
        <v>10</v>
      </c>
      <c r="B26301" t="s">
        <v>7315</v>
      </c>
      <c r="C26301" s="1" t="s">
        <v>23490</v>
      </c>
      <c r="D26301" s="1" t="str">
        <f>HYPERLINK("https://rhld.insurance.arkansas.gov/NPILookup?Npi=1255312336","1255312336")</f>
        <v>1255312336</v>
      </c>
      <c r="E26301" t="s">
        <v>7341</v>
      </c>
    </row>
    <row r="26302" spans="1:5" x14ac:dyDescent="0.25">
      <c r="A26302" t="s">
        <v>10</v>
      </c>
      <c r="B26302" t="s">
        <v>7315</v>
      </c>
      <c r="C26302" s="1" t="s">
        <v>23490</v>
      </c>
      <c r="D26302" s="1" t="str">
        <f>HYPERLINK("https://rhld.insurance.arkansas.gov/NPILookup?Npi=1255535613","1255535613")</f>
        <v>1255535613</v>
      </c>
      <c r="E26302" t="s">
        <v>7342</v>
      </c>
    </row>
    <row r="26303" spans="1:5" x14ac:dyDescent="0.25">
      <c r="A26303" t="s">
        <v>10</v>
      </c>
      <c r="B26303" t="s">
        <v>7315</v>
      </c>
      <c r="C26303" s="1" t="s">
        <v>23490</v>
      </c>
      <c r="D26303" s="1" t="str">
        <f>HYPERLINK("https://rhld.insurance.arkansas.gov/NPILookup?Npi=1265404222","1265404222")</f>
        <v>1265404222</v>
      </c>
      <c r="E26303" t="s">
        <v>16585</v>
      </c>
    </row>
    <row r="26304" spans="1:5" x14ac:dyDescent="0.25">
      <c r="A26304" t="s">
        <v>10</v>
      </c>
      <c r="B26304" t="s">
        <v>7315</v>
      </c>
      <c r="C26304" s="1" t="s">
        <v>23490</v>
      </c>
      <c r="D26304" s="1" t="str">
        <f>HYPERLINK("https://rhld.insurance.arkansas.gov/NPILookup?Npi=1265642912","1265642912")</f>
        <v>1265642912</v>
      </c>
      <c r="E26304" t="s">
        <v>18548</v>
      </c>
    </row>
    <row r="26305" spans="1:5" x14ac:dyDescent="0.25">
      <c r="A26305" t="s">
        <v>10</v>
      </c>
      <c r="B26305" t="s">
        <v>7315</v>
      </c>
      <c r="C26305" s="1" t="s">
        <v>23490</v>
      </c>
      <c r="D26305" s="1" t="str">
        <f>HYPERLINK("https://rhld.insurance.arkansas.gov/NPILookup?Npi=1265658629","1265658629")</f>
        <v>1265658629</v>
      </c>
      <c r="E26305" t="s">
        <v>7343</v>
      </c>
    </row>
    <row r="26306" spans="1:5" x14ac:dyDescent="0.25">
      <c r="A26306" t="s">
        <v>10</v>
      </c>
      <c r="B26306" t="s">
        <v>7315</v>
      </c>
      <c r="C26306" s="1" t="s">
        <v>23490</v>
      </c>
      <c r="D26306" s="1" t="str">
        <f>HYPERLINK("https://rhld.insurance.arkansas.gov/NPILookup?Npi=1275536617","1275536617")</f>
        <v>1275536617</v>
      </c>
      <c r="E26306" t="s">
        <v>16586</v>
      </c>
    </row>
    <row r="26307" spans="1:5" x14ac:dyDescent="0.25">
      <c r="A26307" t="s">
        <v>10</v>
      </c>
      <c r="B26307" t="s">
        <v>7315</v>
      </c>
      <c r="C26307" s="1" t="s">
        <v>23490</v>
      </c>
      <c r="D26307" s="1" t="str">
        <f>HYPERLINK("https://rhld.insurance.arkansas.gov/NPILookup?Npi=1275556599","1275556599")</f>
        <v>1275556599</v>
      </c>
      <c r="E26307" t="s">
        <v>22654</v>
      </c>
    </row>
    <row r="26308" spans="1:5" x14ac:dyDescent="0.25">
      <c r="A26308" t="s">
        <v>10</v>
      </c>
      <c r="B26308" t="s">
        <v>7315</v>
      </c>
      <c r="C26308" s="1" t="s">
        <v>23490</v>
      </c>
      <c r="D26308" s="1" t="str">
        <f>HYPERLINK("https://rhld.insurance.arkansas.gov/NPILookup?Npi=1275738486","1275738486")</f>
        <v>1275738486</v>
      </c>
      <c r="E26308" t="s">
        <v>18549</v>
      </c>
    </row>
    <row r="26309" spans="1:5" x14ac:dyDescent="0.25">
      <c r="A26309" t="s">
        <v>10</v>
      </c>
      <c r="B26309" t="s">
        <v>7315</v>
      </c>
      <c r="C26309" s="1" t="s">
        <v>23490</v>
      </c>
      <c r="D26309" s="1" t="str">
        <f>HYPERLINK("https://rhld.insurance.arkansas.gov/NPILookup?Npi=1275889826","1275889826")</f>
        <v>1275889826</v>
      </c>
      <c r="E26309" t="s">
        <v>9268</v>
      </c>
    </row>
    <row r="26310" spans="1:5" x14ac:dyDescent="0.25">
      <c r="A26310" t="s">
        <v>10</v>
      </c>
      <c r="B26310" t="s">
        <v>7315</v>
      </c>
      <c r="C26310" s="1" t="s">
        <v>23490</v>
      </c>
      <c r="D26310" s="1" t="str">
        <f>HYPERLINK("https://rhld.insurance.arkansas.gov/NPILookup?Npi=1285602128","1285602128")</f>
        <v>1285602128</v>
      </c>
      <c r="E26310" t="s">
        <v>22655</v>
      </c>
    </row>
    <row r="26311" spans="1:5" x14ac:dyDescent="0.25">
      <c r="A26311" t="s">
        <v>10</v>
      </c>
      <c r="B26311" t="s">
        <v>7315</v>
      </c>
      <c r="C26311" s="1" t="s">
        <v>23490</v>
      </c>
      <c r="D26311" s="1" t="str">
        <f>HYPERLINK("https://rhld.insurance.arkansas.gov/NPILookup?Npi=1285869503","1285869503")</f>
        <v>1285869503</v>
      </c>
      <c r="E26311" t="s">
        <v>12103</v>
      </c>
    </row>
    <row r="26312" spans="1:5" x14ac:dyDescent="0.25">
      <c r="A26312" t="s">
        <v>10</v>
      </c>
      <c r="B26312" t="s">
        <v>7315</v>
      </c>
      <c r="C26312" s="1" t="s">
        <v>23490</v>
      </c>
      <c r="D26312" s="1" t="str">
        <f>HYPERLINK("https://rhld.insurance.arkansas.gov/NPILookup?Npi=1285984005","1285984005")</f>
        <v>1285984005</v>
      </c>
      <c r="E26312" t="s">
        <v>16587</v>
      </c>
    </row>
    <row r="26313" spans="1:5" x14ac:dyDescent="0.25">
      <c r="A26313" t="s">
        <v>10</v>
      </c>
      <c r="B26313" t="s">
        <v>7315</v>
      </c>
      <c r="C26313" s="1" t="s">
        <v>23490</v>
      </c>
      <c r="D26313" s="1" t="str">
        <f>HYPERLINK("https://rhld.insurance.arkansas.gov/NPILookup?Npi=1295835684","1295835684")</f>
        <v>1295835684</v>
      </c>
      <c r="E26313" t="s">
        <v>1055</v>
      </c>
    </row>
    <row r="26314" spans="1:5" x14ac:dyDescent="0.25">
      <c r="A26314" t="s">
        <v>10</v>
      </c>
      <c r="B26314" t="s">
        <v>7315</v>
      </c>
      <c r="C26314" s="1" t="s">
        <v>23490</v>
      </c>
      <c r="D26314" s="1" t="str">
        <f>HYPERLINK("https://rhld.insurance.arkansas.gov/NPILookup?Npi=1295926533","1295926533")</f>
        <v>1295926533</v>
      </c>
      <c r="E26314" t="s">
        <v>7344</v>
      </c>
    </row>
    <row r="26315" spans="1:5" x14ac:dyDescent="0.25">
      <c r="A26315" t="s">
        <v>10</v>
      </c>
      <c r="B26315" t="s">
        <v>7315</v>
      </c>
      <c r="C26315" s="1" t="s">
        <v>23490</v>
      </c>
      <c r="D26315" s="1" t="str">
        <f>HYPERLINK("https://rhld.insurance.arkansas.gov/NPILookup?Npi=1295962348","1295962348")</f>
        <v>1295962348</v>
      </c>
      <c r="E26315" t="s">
        <v>9269</v>
      </c>
    </row>
    <row r="26316" spans="1:5" x14ac:dyDescent="0.25">
      <c r="A26316" t="s">
        <v>10</v>
      </c>
      <c r="B26316" t="s">
        <v>7315</v>
      </c>
      <c r="C26316" s="1" t="s">
        <v>23490</v>
      </c>
      <c r="D26316" s="1" t="str">
        <f>HYPERLINK("https://rhld.insurance.arkansas.gov/NPILookup?Npi=1306188479","1306188479")</f>
        <v>1306188479</v>
      </c>
      <c r="E26316" t="s">
        <v>14498</v>
      </c>
    </row>
    <row r="26317" spans="1:5" x14ac:dyDescent="0.25">
      <c r="A26317" t="s">
        <v>10</v>
      </c>
      <c r="B26317" t="s">
        <v>7315</v>
      </c>
      <c r="C26317" s="1" t="s">
        <v>23490</v>
      </c>
      <c r="D26317" s="1" t="str">
        <f>HYPERLINK("https://rhld.insurance.arkansas.gov/NPILookup?Npi=1316367071","1316367071")</f>
        <v>1316367071</v>
      </c>
      <c r="E26317" t="s">
        <v>19141</v>
      </c>
    </row>
    <row r="26318" spans="1:5" x14ac:dyDescent="0.25">
      <c r="A26318" t="s">
        <v>10</v>
      </c>
      <c r="B26318" t="s">
        <v>7315</v>
      </c>
      <c r="C26318" s="1" t="s">
        <v>23490</v>
      </c>
      <c r="D26318" s="1" t="str">
        <f>HYPERLINK("https://rhld.insurance.arkansas.gov/NPILookup?Npi=1326111790","1326111790")</f>
        <v>1326111790</v>
      </c>
      <c r="E26318" t="s">
        <v>613</v>
      </c>
    </row>
    <row r="26319" spans="1:5" x14ac:dyDescent="0.25">
      <c r="A26319" t="s">
        <v>10</v>
      </c>
      <c r="B26319" t="s">
        <v>7315</v>
      </c>
      <c r="C26319" s="1" t="s">
        <v>23490</v>
      </c>
      <c r="D26319" s="1" t="str">
        <f>HYPERLINK("https://rhld.insurance.arkansas.gov/NPILookup?Npi=1326219213","1326219213")</f>
        <v>1326219213</v>
      </c>
      <c r="E26319" t="s">
        <v>7345</v>
      </c>
    </row>
    <row r="26320" spans="1:5" x14ac:dyDescent="0.25">
      <c r="A26320" t="s">
        <v>10</v>
      </c>
      <c r="B26320" t="s">
        <v>7315</v>
      </c>
      <c r="C26320" s="1" t="s">
        <v>23490</v>
      </c>
      <c r="D26320" s="1" t="str">
        <f>HYPERLINK("https://rhld.insurance.arkansas.gov/NPILookup?Npi=1326393885","1326393885")</f>
        <v>1326393885</v>
      </c>
      <c r="E26320" t="s">
        <v>16588</v>
      </c>
    </row>
    <row r="26321" spans="1:5" x14ac:dyDescent="0.25">
      <c r="A26321" t="s">
        <v>10</v>
      </c>
      <c r="B26321" t="s">
        <v>7315</v>
      </c>
      <c r="C26321" s="1" t="s">
        <v>23490</v>
      </c>
      <c r="D26321" s="1" t="str">
        <f>HYPERLINK("https://rhld.insurance.arkansas.gov/NPILookup?Npi=1326493099","1326493099")</f>
        <v>1326493099</v>
      </c>
      <c r="E26321" t="s">
        <v>21293</v>
      </c>
    </row>
    <row r="26322" spans="1:5" x14ac:dyDescent="0.25">
      <c r="A26322" t="s">
        <v>10</v>
      </c>
      <c r="B26322" t="s">
        <v>7315</v>
      </c>
      <c r="C26322" s="1" t="s">
        <v>23490</v>
      </c>
      <c r="D26322" s="1" t="str">
        <f>HYPERLINK("https://rhld.insurance.arkansas.gov/NPILookup?Npi=1336118314","1336118314")</f>
        <v>1336118314</v>
      </c>
      <c r="E26322" t="s">
        <v>7346</v>
      </c>
    </row>
    <row r="26323" spans="1:5" x14ac:dyDescent="0.25">
      <c r="A26323" t="s">
        <v>10</v>
      </c>
      <c r="B26323" t="s">
        <v>7315</v>
      </c>
      <c r="C26323" s="1" t="s">
        <v>23490</v>
      </c>
      <c r="D26323" s="1" t="str">
        <f>HYPERLINK("https://rhld.insurance.arkansas.gov/NPILookup?Npi=1336145317","1336145317")</f>
        <v>1336145317</v>
      </c>
      <c r="E26323" t="s">
        <v>7347</v>
      </c>
    </row>
    <row r="26324" spans="1:5" x14ac:dyDescent="0.25">
      <c r="A26324" t="s">
        <v>10</v>
      </c>
      <c r="B26324" t="s">
        <v>7315</v>
      </c>
      <c r="C26324" s="1" t="s">
        <v>23490</v>
      </c>
      <c r="D26324" s="1" t="str">
        <f>HYPERLINK("https://rhld.insurance.arkansas.gov/NPILookup?Npi=1346502010","1346502010")</f>
        <v>1346502010</v>
      </c>
      <c r="E26324" t="s">
        <v>17738</v>
      </c>
    </row>
    <row r="26325" spans="1:5" x14ac:dyDescent="0.25">
      <c r="A26325" t="s">
        <v>10</v>
      </c>
      <c r="B26325" t="s">
        <v>7315</v>
      </c>
      <c r="C26325" s="1" t="s">
        <v>23490</v>
      </c>
      <c r="D26325" s="1" t="str">
        <f>HYPERLINK("https://rhld.insurance.arkansas.gov/NPILookup?Npi=1346598554","1346598554")</f>
        <v>1346598554</v>
      </c>
      <c r="E26325" t="s">
        <v>20747</v>
      </c>
    </row>
    <row r="26326" spans="1:5" x14ac:dyDescent="0.25">
      <c r="A26326" t="s">
        <v>10</v>
      </c>
      <c r="B26326" t="s">
        <v>7315</v>
      </c>
      <c r="C26326" s="1" t="s">
        <v>23490</v>
      </c>
      <c r="D26326" s="1" t="str">
        <f>HYPERLINK("https://rhld.insurance.arkansas.gov/NPILookup?Npi=1356370910","1356370910")</f>
        <v>1356370910</v>
      </c>
      <c r="E26326" t="s">
        <v>7348</v>
      </c>
    </row>
    <row r="26327" spans="1:5" x14ac:dyDescent="0.25">
      <c r="A26327" t="s">
        <v>10</v>
      </c>
      <c r="B26327" t="s">
        <v>7315</v>
      </c>
      <c r="C26327" s="1" t="s">
        <v>23490</v>
      </c>
      <c r="D26327" s="1" t="str">
        <f>HYPERLINK("https://rhld.insurance.arkansas.gov/NPILookup?Npi=1356388250","1356388250")</f>
        <v>1356388250</v>
      </c>
      <c r="E26327" t="s">
        <v>7349</v>
      </c>
    </row>
    <row r="26328" spans="1:5" x14ac:dyDescent="0.25">
      <c r="A26328" t="s">
        <v>10</v>
      </c>
      <c r="B26328" t="s">
        <v>7315</v>
      </c>
      <c r="C26328" s="1" t="s">
        <v>23490</v>
      </c>
      <c r="D26328" s="1" t="str">
        <f>HYPERLINK("https://rhld.insurance.arkansas.gov/NPILookup?Npi=1366430993","1366430993")</f>
        <v>1366430993</v>
      </c>
      <c r="E26328" t="s">
        <v>16589</v>
      </c>
    </row>
    <row r="26329" spans="1:5" x14ac:dyDescent="0.25">
      <c r="A26329" t="s">
        <v>10</v>
      </c>
      <c r="B26329" t="s">
        <v>7315</v>
      </c>
      <c r="C26329" s="1" t="s">
        <v>23490</v>
      </c>
      <c r="D26329" s="1" t="str">
        <f>HYPERLINK("https://rhld.insurance.arkansas.gov/NPILookup?Npi=1366470270","1366470270")</f>
        <v>1366470270</v>
      </c>
      <c r="E26329" t="s">
        <v>7350</v>
      </c>
    </row>
    <row r="26330" spans="1:5" x14ac:dyDescent="0.25">
      <c r="A26330" t="s">
        <v>10</v>
      </c>
      <c r="B26330" t="s">
        <v>7315</v>
      </c>
      <c r="C26330" s="1" t="s">
        <v>23490</v>
      </c>
      <c r="D26330" s="1" t="str">
        <f>HYPERLINK("https://rhld.insurance.arkansas.gov/NPILookup?Npi=1366604902","1366604902")</f>
        <v>1366604902</v>
      </c>
      <c r="E26330" t="s">
        <v>7351</v>
      </c>
    </row>
    <row r="26331" spans="1:5" x14ac:dyDescent="0.25">
      <c r="A26331" t="s">
        <v>10</v>
      </c>
      <c r="B26331" t="s">
        <v>7315</v>
      </c>
      <c r="C26331" s="1" t="s">
        <v>23490</v>
      </c>
      <c r="D26331" s="1" t="str">
        <f>HYPERLINK("https://rhld.insurance.arkansas.gov/NPILookup?Npi=1366671117","1366671117")</f>
        <v>1366671117</v>
      </c>
      <c r="E26331" t="s">
        <v>10867</v>
      </c>
    </row>
    <row r="26332" spans="1:5" x14ac:dyDescent="0.25">
      <c r="A26332" t="s">
        <v>10</v>
      </c>
      <c r="B26332" t="s">
        <v>7315</v>
      </c>
      <c r="C26332" s="1" t="s">
        <v>23490</v>
      </c>
      <c r="D26332" s="1" t="str">
        <f>HYPERLINK("https://rhld.insurance.arkansas.gov/NPILookup?Npi=1366857187","1366857187")</f>
        <v>1366857187</v>
      </c>
      <c r="E26332" t="s">
        <v>17739</v>
      </c>
    </row>
    <row r="26333" spans="1:5" x14ac:dyDescent="0.25">
      <c r="A26333" t="s">
        <v>10</v>
      </c>
      <c r="B26333" t="s">
        <v>7315</v>
      </c>
      <c r="C26333" s="1" t="s">
        <v>23490</v>
      </c>
      <c r="D26333" s="1" t="str">
        <f>HYPERLINK("https://rhld.insurance.arkansas.gov/NPILookup?Npi=1376577387","1376577387")</f>
        <v>1376577387</v>
      </c>
      <c r="E26333" t="s">
        <v>7352</v>
      </c>
    </row>
    <row r="26334" spans="1:5" x14ac:dyDescent="0.25">
      <c r="A26334" t="s">
        <v>10</v>
      </c>
      <c r="B26334" t="s">
        <v>7315</v>
      </c>
      <c r="C26334" s="1" t="s">
        <v>23490</v>
      </c>
      <c r="D26334" s="1" t="str">
        <f>HYPERLINK("https://rhld.insurance.arkansas.gov/NPILookup?Npi=1386689644","1386689644")</f>
        <v>1386689644</v>
      </c>
      <c r="E26334" t="s">
        <v>7353</v>
      </c>
    </row>
    <row r="26335" spans="1:5" x14ac:dyDescent="0.25">
      <c r="A26335" t="s">
        <v>10</v>
      </c>
      <c r="B26335" t="s">
        <v>7315</v>
      </c>
      <c r="C26335" s="1" t="s">
        <v>23490</v>
      </c>
      <c r="D26335" s="1" t="str">
        <f>HYPERLINK("https://rhld.insurance.arkansas.gov/NPILookup?Npi=1386703619","1386703619")</f>
        <v>1386703619</v>
      </c>
      <c r="E26335" t="s">
        <v>7354</v>
      </c>
    </row>
    <row r="26336" spans="1:5" x14ac:dyDescent="0.25">
      <c r="A26336" t="s">
        <v>10</v>
      </c>
      <c r="B26336" t="s">
        <v>7315</v>
      </c>
      <c r="C26336" s="1" t="s">
        <v>23490</v>
      </c>
      <c r="D26336" s="1" t="str">
        <f>HYPERLINK("https://rhld.insurance.arkansas.gov/NPILookup?Npi=1396097788","1396097788")</f>
        <v>1396097788</v>
      </c>
      <c r="E26336" t="s">
        <v>16590</v>
      </c>
    </row>
    <row r="26337" spans="1:5" x14ac:dyDescent="0.25">
      <c r="A26337" t="s">
        <v>10</v>
      </c>
      <c r="B26337" t="s">
        <v>7315</v>
      </c>
      <c r="C26337" s="1" t="s">
        <v>23490</v>
      </c>
      <c r="D26337" s="1" t="str">
        <f>HYPERLINK("https://rhld.insurance.arkansas.gov/NPILookup?Npi=1407925472","1407925472")</f>
        <v>1407925472</v>
      </c>
      <c r="E26337" t="s">
        <v>7355</v>
      </c>
    </row>
    <row r="26338" spans="1:5" x14ac:dyDescent="0.25">
      <c r="A26338" t="s">
        <v>10</v>
      </c>
      <c r="B26338" t="s">
        <v>7315</v>
      </c>
      <c r="C26338" s="1" t="s">
        <v>23490</v>
      </c>
      <c r="D26338" s="1" t="str">
        <f>HYPERLINK("https://rhld.insurance.arkansas.gov/NPILookup?Npi=1407967235","1407967235")</f>
        <v>1407967235</v>
      </c>
      <c r="E26338" t="s">
        <v>7356</v>
      </c>
    </row>
    <row r="26339" spans="1:5" x14ac:dyDescent="0.25">
      <c r="A26339" t="s">
        <v>10</v>
      </c>
      <c r="B26339" t="s">
        <v>7315</v>
      </c>
      <c r="C26339" s="1" t="s">
        <v>23490</v>
      </c>
      <c r="D26339" s="1" t="str">
        <f>HYPERLINK("https://rhld.insurance.arkansas.gov/NPILookup?Npi=1417144916","1417144916")</f>
        <v>1417144916</v>
      </c>
      <c r="E26339" t="s">
        <v>7357</v>
      </c>
    </row>
    <row r="26340" spans="1:5" x14ac:dyDescent="0.25">
      <c r="A26340" t="s">
        <v>10</v>
      </c>
      <c r="B26340" t="s">
        <v>7315</v>
      </c>
      <c r="C26340" s="1" t="s">
        <v>23490</v>
      </c>
      <c r="D26340" s="1" t="str">
        <f>HYPERLINK("https://rhld.insurance.arkansas.gov/NPILookup?Npi=1417245069","1417245069")</f>
        <v>1417245069</v>
      </c>
      <c r="E26340" t="s">
        <v>11454</v>
      </c>
    </row>
    <row r="26341" spans="1:5" x14ac:dyDescent="0.25">
      <c r="A26341" t="s">
        <v>10</v>
      </c>
      <c r="B26341" t="s">
        <v>7315</v>
      </c>
      <c r="C26341" s="1" t="s">
        <v>23490</v>
      </c>
      <c r="D26341" s="1" t="str">
        <f>HYPERLINK("https://rhld.insurance.arkansas.gov/NPILookup?Npi=1427094390","1427094390")</f>
        <v>1427094390</v>
      </c>
      <c r="E26341" t="s">
        <v>7358</v>
      </c>
    </row>
    <row r="26342" spans="1:5" x14ac:dyDescent="0.25">
      <c r="A26342" t="s">
        <v>10</v>
      </c>
      <c r="B26342" t="s">
        <v>7315</v>
      </c>
      <c r="C26342" s="1" t="s">
        <v>23490</v>
      </c>
      <c r="D26342" s="1" t="str">
        <f>HYPERLINK("https://rhld.insurance.arkansas.gov/NPILookup?Npi=1427154558","1427154558")</f>
        <v>1427154558</v>
      </c>
      <c r="E26342" t="s">
        <v>16591</v>
      </c>
    </row>
    <row r="26343" spans="1:5" x14ac:dyDescent="0.25">
      <c r="A26343" t="s">
        <v>10</v>
      </c>
      <c r="B26343" t="s">
        <v>7315</v>
      </c>
      <c r="C26343" s="1" t="s">
        <v>23490</v>
      </c>
      <c r="D26343" s="1" t="str">
        <f>HYPERLINK("https://rhld.insurance.arkansas.gov/NPILookup?Npi=1427374263","1427374263")</f>
        <v>1427374263</v>
      </c>
      <c r="E26343" t="s">
        <v>10911</v>
      </c>
    </row>
    <row r="26344" spans="1:5" x14ac:dyDescent="0.25">
      <c r="A26344" t="s">
        <v>10</v>
      </c>
      <c r="B26344" t="s">
        <v>7315</v>
      </c>
      <c r="C26344" s="1" t="s">
        <v>23490</v>
      </c>
      <c r="D26344" s="1" t="str">
        <f>HYPERLINK("https://rhld.insurance.arkansas.gov/NPILookup?Npi=1447203120","1447203120")</f>
        <v>1447203120</v>
      </c>
      <c r="E26344" t="s">
        <v>7359</v>
      </c>
    </row>
    <row r="26345" spans="1:5" x14ac:dyDescent="0.25">
      <c r="A26345" t="s">
        <v>10</v>
      </c>
      <c r="B26345" t="s">
        <v>7315</v>
      </c>
      <c r="C26345" s="1" t="s">
        <v>23490</v>
      </c>
      <c r="D26345" s="1" t="str">
        <f>HYPERLINK("https://rhld.insurance.arkansas.gov/NPILookup?Npi=1447217401","1447217401")</f>
        <v>1447217401</v>
      </c>
      <c r="E26345" t="s">
        <v>7360</v>
      </c>
    </row>
    <row r="26346" spans="1:5" x14ac:dyDescent="0.25">
      <c r="A26346" t="s">
        <v>10</v>
      </c>
      <c r="B26346" t="s">
        <v>7315</v>
      </c>
      <c r="C26346" s="1" t="s">
        <v>23490</v>
      </c>
      <c r="D26346" s="1" t="str">
        <f>HYPERLINK("https://rhld.insurance.arkansas.gov/NPILookup?Npi=1447353339","1447353339")</f>
        <v>1447353339</v>
      </c>
      <c r="E26346" t="s">
        <v>18550</v>
      </c>
    </row>
    <row r="26347" spans="1:5" x14ac:dyDescent="0.25">
      <c r="A26347" t="s">
        <v>10</v>
      </c>
      <c r="B26347" t="s">
        <v>7315</v>
      </c>
      <c r="C26347" s="1" t="s">
        <v>23490</v>
      </c>
      <c r="D26347" s="1" t="str">
        <f>HYPERLINK("https://rhld.insurance.arkansas.gov/NPILookup?Npi=1447439328","1447439328")</f>
        <v>1447439328</v>
      </c>
      <c r="E26347" t="s">
        <v>20748</v>
      </c>
    </row>
    <row r="26348" spans="1:5" x14ac:dyDescent="0.25">
      <c r="A26348" t="s">
        <v>10</v>
      </c>
      <c r="B26348" t="s">
        <v>7315</v>
      </c>
      <c r="C26348" s="1" t="s">
        <v>23490</v>
      </c>
      <c r="D26348" s="1" t="str">
        <f>HYPERLINK("https://rhld.insurance.arkansas.gov/NPILookup?Npi=1447563812","1447563812")</f>
        <v>1447563812</v>
      </c>
      <c r="E26348" t="s">
        <v>16592</v>
      </c>
    </row>
    <row r="26349" spans="1:5" x14ac:dyDescent="0.25">
      <c r="A26349" t="s">
        <v>10</v>
      </c>
      <c r="B26349" t="s">
        <v>7315</v>
      </c>
      <c r="C26349" s="1" t="s">
        <v>23490</v>
      </c>
      <c r="D26349" s="1" t="str">
        <f>HYPERLINK("https://rhld.insurance.arkansas.gov/NPILookup?Npi=1447690706","1447690706")</f>
        <v>1447690706</v>
      </c>
      <c r="E26349" t="s">
        <v>20749</v>
      </c>
    </row>
    <row r="26350" spans="1:5" x14ac:dyDescent="0.25">
      <c r="A26350" t="s">
        <v>10</v>
      </c>
      <c r="B26350" t="s">
        <v>7315</v>
      </c>
      <c r="C26350" s="1" t="s">
        <v>23490</v>
      </c>
      <c r="D26350" s="1" t="str">
        <f>HYPERLINK("https://rhld.insurance.arkansas.gov/NPILookup?Npi=1457347429","1457347429")</f>
        <v>1457347429</v>
      </c>
      <c r="E26350" t="s">
        <v>7361</v>
      </c>
    </row>
    <row r="26351" spans="1:5" x14ac:dyDescent="0.25">
      <c r="A26351" t="s">
        <v>10</v>
      </c>
      <c r="B26351" t="s">
        <v>7315</v>
      </c>
      <c r="C26351" s="1" t="s">
        <v>23490</v>
      </c>
      <c r="D26351" s="1" t="str">
        <f>HYPERLINK("https://rhld.insurance.arkansas.gov/NPILookup?Npi=1457672313","1457672313")</f>
        <v>1457672313</v>
      </c>
      <c r="E26351" t="s">
        <v>12104</v>
      </c>
    </row>
    <row r="26352" spans="1:5" x14ac:dyDescent="0.25">
      <c r="A26352" t="s">
        <v>10</v>
      </c>
      <c r="B26352" t="s">
        <v>7315</v>
      </c>
      <c r="C26352" s="1" t="s">
        <v>23490</v>
      </c>
      <c r="D26352" s="1" t="str">
        <f>HYPERLINK("https://rhld.insurance.arkansas.gov/NPILookup?Npi=1467432203","1467432203")</f>
        <v>1467432203</v>
      </c>
      <c r="E26352" t="s">
        <v>7362</v>
      </c>
    </row>
    <row r="26353" spans="1:5" x14ac:dyDescent="0.25">
      <c r="A26353" t="s">
        <v>10</v>
      </c>
      <c r="B26353" t="s">
        <v>7315</v>
      </c>
      <c r="C26353" s="1" t="s">
        <v>23490</v>
      </c>
      <c r="D26353" s="1" t="str">
        <f>HYPERLINK("https://rhld.insurance.arkansas.gov/NPILookup?Npi=1477512309","1477512309")</f>
        <v>1477512309</v>
      </c>
      <c r="E26353" t="s">
        <v>7363</v>
      </c>
    </row>
    <row r="26354" spans="1:5" x14ac:dyDescent="0.25">
      <c r="A26354" t="s">
        <v>10</v>
      </c>
      <c r="B26354" t="s">
        <v>7315</v>
      </c>
      <c r="C26354" s="1" t="s">
        <v>23490</v>
      </c>
      <c r="D26354" s="1" t="str">
        <f>HYPERLINK("https://rhld.insurance.arkansas.gov/NPILookup?Npi=1477599389","1477599389")</f>
        <v>1477599389</v>
      </c>
      <c r="E26354" t="s">
        <v>7364</v>
      </c>
    </row>
    <row r="26355" spans="1:5" x14ac:dyDescent="0.25">
      <c r="A26355" t="s">
        <v>10</v>
      </c>
      <c r="B26355" t="s">
        <v>7315</v>
      </c>
      <c r="C26355" s="1" t="s">
        <v>23490</v>
      </c>
      <c r="D26355" s="1" t="str">
        <f>HYPERLINK("https://rhld.insurance.arkansas.gov/NPILookup?Npi=1487038659","1487038659")</f>
        <v>1487038659</v>
      </c>
      <c r="E26355" t="s">
        <v>21294</v>
      </c>
    </row>
    <row r="26356" spans="1:5" x14ac:dyDescent="0.25">
      <c r="A26356" t="s">
        <v>10</v>
      </c>
      <c r="B26356" t="s">
        <v>7315</v>
      </c>
      <c r="C26356" s="1" t="s">
        <v>23490</v>
      </c>
      <c r="D26356" s="1" t="str">
        <f>HYPERLINK("https://rhld.insurance.arkansas.gov/NPILookup?Npi=1487874145","1487874145")</f>
        <v>1487874145</v>
      </c>
      <c r="E26356" t="s">
        <v>1723</v>
      </c>
    </row>
    <row r="26357" spans="1:5" x14ac:dyDescent="0.25">
      <c r="A26357" t="s">
        <v>10</v>
      </c>
      <c r="B26357" t="s">
        <v>7315</v>
      </c>
      <c r="C26357" s="1" t="s">
        <v>23490</v>
      </c>
      <c r="D26357" s="1" t="str">
        <f>HYPERLINK("https://rhld.insurance.arkansas.gov/NPILookup?Npi=1508111212","1508111212")</f>
        <v>1508111212</v>
      </c>
      <c r="E26357" t="s">
        <v>14499</v>
      </c>
    </row>
    <row r="26358" spans="1:5" x14ac:dyDescent="0.25">
      <c r="A26358" t="s">
        <v>10</v>
      </c>
      <c r="B26358" t="s">
        <v>7315</v>
      </c>
      <c r="C26358" s="1" t="s">
        <v>23490</v>
      </c>
      <c r="D26358" s="1" t="str">
        <f>HYPERLINK("https://rhld.insurance.arkansas.gov/NPILookup?Npi=1508822446","1508822446")</f>
        <v>1508822446</v>
      </c>
      <c r="E26358" t="s">
        <v>7365</v>
      </c>
    </row>
    <row r="26359" spans="1:5" x14ac:dyDescent="0.25">
      <c r="A26359" t="s">
        <v>10</v>
      </c>
      <c r="B26359" t="s">
        <v>7315</v>
      </c>
      <c r="C26359" s="1" t="s">
        <v>23490</v>
      </c>
      <c r="D26359" s="1" t="str">
        <f>HYPERLINK("https://rhld.insurance.arkansas.gov/NPILookup?Npi=1518924596","1518924596")</f>
        <v>1518924596</v>
      </c>
      <c r="E26359" t="s">
        <v>7366</v>
      </c>
    </row>
    <row r="26360" spans="1:5" x14ac:dyDescent="0.25">
      <c r="A26360" t="s">
        <v>10</v>
      </c>
      <c r="B26360" t="s">
        <v>7315</v>
      </c>
      <c r="C26360" s="1" t="s">
        <v>23490</v>
      </c>
      <c r="D26360" s="1" t="str">
        <f>HYPERLINK("https://rhld.insurance.arkansas.gov/NPILookup?Npi=1518924851","1518924851")</f>
        <v>1518924851</v>
      </c>
      <c r="E26360" t="s">
        <v>7367</v>
      </c>
    </row>
    <row r="26361" spans="1:5" x14ac:dyDescent="0.25">
      <c r="A26361" t="s">
        <v>10</v>
      </c>
      <c r="B26361" t="s">
        <v>7315</v>
      </c>
      <c r="C26361" s="1" t="s">
        <v>23490</v>
      </c>
      <c r="D26361" s="1" t="str">
        <f>HYPERLINK("https://rhld.insurance.arkansas.gov/NPILookup?Npi=1518933308","1518933308")</f>
        <v>1518933308</v>
      </c>
      <c r="E26361" t="s">
        <v>16594</v>
      </c>
    </row>
    <row r="26362" spans="1:5" x14ac:dyDescent="0.25">
      <c r="A26362" t="s">
        <v>10</v>
      </c>
      <c r="B26362" t="s">
        <v>7315</v>
      </c>
      <c r="C26362" s="1" t="s">
        <v>23490</v>
      </c>
      <c r="D26362" s="1" t="str">
        <f>HYPERLINK("https://rhld.insurance.arkansas.gov/NPILookup?Npi=1538155791","1538155791")</f>
        <v>1538155791</v>
      </c>
      <c r="E26362" t="s">
        <v>7368</v>
      </c>
    </row>
    <row r="26363" spans="1:5" x14ac:dyDescent="0.25">
      <c r="A26363" t="s">
        <v>10</v>
      </c>
      <c r="B26363" t="s">
        <v>7315</v>
      </c>
      <c r="C26363" s="1" t="s">
        <v>23490</v>
      </c>
      <c r="D26363" s="1" t="str">
        <f>HYPERLINK("https://rhld.insurance.arkansas.gov/NPILookup?Npi=1538460951","1538460951")</f>
        <v>1538460951</v>
      </c>
      <c r="E26363" t="s">
        <v>17740</v>
      </c>
    </row>
    <row r="26364" spans="1:5" x14ac:dyDescent="0.25">
      <c r="A26364" t="s">
        <v>10</v>
      </c>
      <c r="B26364" t="s">
        <v>7315</v>
      </c>
      <c r="C26364" s="1" t="s">
        <v>23490</v>
      </c>
      <c r="D26364" s="1" t="str">
        <f>HYPERLINK("https://rhld.insurance.arkansas.gov/NPILookup?Npi=1538543632","1538543632")</f>
        <v>1538543632</v>
      </c>
      <c r="E26364" t="s">
        <v>21403</v>
      </c>
    </row>
    <row r="26365" spans="1:5" x14ac:dyDescent="0.25">
      <c r="A26365" t="s">
        <v>10</v>
      </c>
      <c r="B26365" t="s">
        <v>7315</v>
      </c>
      <c r="C26365" s="1" t="s">
        <v>23490</v>
      </c>
      <c r="D26365" s="1" t="str">
        <f>HYPERLINK("https://rhld.insurance.arkansas.gov/NPILookup?Npi=1548223464","1548223464")</f>
        <v>1548223464</v>
      </c>
      <c r="E26365" t="s">
        <v>16595</v>
      </c>
    </row>
    <row r="26366" spans="1:5" x14ac:dyDescent="0.25">
      <c r="A26366" t="s">
        <v>10</v>
      </c>
      <c r="B26366" t="s">
        <v>7315</v>
      </c>
      <c r="C26366" s="1" t="s">
        <v>23490</v>
      </c>
      <c r="D26366" s="1" t="str">
        <f>HYPERLINK("https://rhld.insurance.arkansas.gov/NPILookup?Npi=1548298466","1548298466")</f>
        <v>1548298466</v>
      </c>
      <c r="E26366" t="s">
        <v>7370</v>
      </c>
    </row>
    <row r="26367" spans="1:5" x14ac:dyDescent="0.25">
      <c r="A26367" t="s">
        <v>10</v>
      </c>
      <c r="B26367" t="s">
        <v>7315</v>
      </c>
      <c r="C26367" s="1" t="s">
        <v>23490</v>
      </c>
      <c r="D26367" s="1" t="str">
        <f>HYPERLINK("https://rhld.insurance.arkansas.gov/NPILookup?Npi=1558781492","1558781492")</f>
        <v>1558781492</v>
      </c>
      <c r="E26367" t="s">
        <v>22657</v>
      </c>
    </row>
    <row r="26368" spans="1:5" x14ac:dyDescent="0.25">
      <c r="A26368" t="s">
        <v>10</v>
      </c>
      <c r="B26368" t="s">
        <v>7315</v>
      </c>
      <c r="C26368" s="1" t="s">
        <v>23490</v>
      </c>
      <c r="D26368" s="1" t="str">
        <f>HYPERLINK("https://rhld.insurance.arkansas.gov/NPILookup?Npi=1568803054","1568803054")</f>
        <v>1568803054</v>
      </c>
      <c r="E26368" t="s">
        <v>16596</v>
      </c>
    </row>
    <row r="26369" spans="1:5" x14ac:dyDescent="0.25">
      <c r="A26369" t="s">
        <v>10</v>
      </c>
      <c r="B26369" t="s">
        <v>7315</v>
      </c>
      <c r="C26369" s="1" t="s">
        <v>23490</v>
      </c>
      <c r="D26369" s="1" t="str">
        <f>HYPERLINK("https://rhld.insurance.arkansas.gov/NPILookup?Npi=1578569034","1578569034")</f>
        <v>1578569034</v>
      </c>
      <c r="E26369" t="s">
        <v>7371</v>
      </c>
    </row>
    <row r="26370" spans="1:5" x14ac:dyDescent="0.25">
      <c r="A26370" t="s">
        <v>10</v>
      </c>
      <c r="B26370" t="s">
        <v>7315</v>
      </c>
      <c r="C26370" s="1" t="s">
        <v>23490</v>
      </c>
      <c r="D26370" s="1" t="str">
        <f>HYPERLINK("https://rhld.insurance.arkansas.gov/NPILookup?Npi=1578569687","1578569687")</f>
        <v>1578569687</v>
      </c>
      <c r="E26370" t="s">
        <v>442</v>
      </c>
    </row>
    <row r="26371" spans="1:5" x14ac:dyDescent="0.25">
      <c r="A26371" t="s">
        <v>10</v>
      </c>
      <c r="B26371" t="s">
        <v>7315</v>
      </c>
      <c r="C26371" s="1" t="s">
        <v>23490</v>
      </c>
      <c r="D26371" s="1" t="str">
        <f>HYPERLINK("https://rhld.insurance.arkansas.gov/NPILookup?Npi=1578569935","1578569935")</f>
        <v>1578569935</v>
      </c>
      <c r="E26371" t="s">
        <v>7372</v>
      </c>
    </row>
    <row r="26372" spans="1:5" x14ac:dyDescent="0.25">
      <c r="A26372" t="s">
        <v>10</v>
      </c>
      <c r="B26372" t="s">
        <v>7315</v>
      </c>
      <c r="C26372" s="1" t="s">
        <v>23490</v>
      </c>
      <c r="D26372" s="1" t="str">
        <f>HYPERLINK("https://rhld.insurance.arkansas.gov/NPILookup?Npi=1578581617","1578581617")</f>
        <v>1578581617</v>
      </c>
      <c r="E26372" t="s">
        <v>2681</v>
      </c>
    </row>
    <row r="26373" spans="1:5" x14ac:dyDescent="0.25">
      <c r="A26373" t="s">
        <v>10</v>
      </c>
      <c r="B26373" t="s">
        <v>7315</v>
      </c>
      <c r="C26373" s="1" t="s">
        <v>23490</v>
      </c>
      <c r="D26373" s="1" t="str">
        <f>HYPERLINK("https://rhld.insurance.arkansas.gov/NPILookup?Npi=1578772224","1578772224")</f>
        <v>1578772224</v>
      </c>
      <c r="E26373" t="s">
        <v>17741</v>
      </c>
    </row>
    <row r="26374" spans="1:5" x14ac:dyDescent="0.25">
      <c r="A26374" t="s">
        <v>10</v>
      </c>
      <c r="B26374" t="s">
        <v>7315</v>
      </c>
      <c r="C26374" s="1" t="s">
        <v>23490</v>
      </c>
      <c r="D26374" s="1" t="str">
        <f>HYPERLINK("https://rhld.insurance.arkansas.gov/NPILookup?Npi=1578790317","1578790317")</f>
        <v>1578790317</v>
      </c>
      <c r="E26374" t="s">
        <v>11065</v>
      </c>
    </row>
    <row r="26375" spans="1:5" x14ac:dyDescent="0.25">
      <c r="A26375" t="s">
        <v>10</v>
      </c>
      <c r="B26375" t="s">
        <v>7315</v>
      </c>
      <c r="C26375" s="1" t="s">
        <v>23490</v>
      </c>
      <c r="D26375" s="1" t="str">
        <f>HYPERLINK("https://rhld.insurance.arkansas.gov/NPILookup?Npi=1588623532","1588623532")</f>
        <v>1588623532</v>
      </c>
      <c r="E26375" t="s">
        <v>9270</v>
      </c>
    </row>
    <row r="26376" spans="1:5" x14ac:dyDescent="0.25">
      <c r="A26376" t="s">
        <v>10</v>
      </c>
      <c r="B26376" t="s">
        <v>7315</v>
      </c>
      <c r="C26376" s="1" t="s">
        <v>23490</v>
      </c>
      <c r="D26376" s="1" t="str">
        <f>HYPERLINK("https://rhld.insurance.arkansas.gov/NPILookup?Npi=1588751382","1588751382")</f>
        <v>1588751382</v>
      </c>
      <c r="E26376" t="s">
        <v>16597</v>
      </c>
    </row>
    <row r="26377" spans="1:5" x14ac:dyDescent="0.25">
      <c r="A26377" t="s">
        <v>10</v>
      </c>
      <c r="B26377" t="s">
        <v>7315</v>
      </c>
      <c r="C26377" s="1" t="s">
        <v>23490</v>
      </c>
      <c r="D26377" s="1" t="str">
        <f>HYPERLINK("https://rhld.insurance.arkansas.gov/NPILookup?Npi=1598108730","1598108730")</f>
        <v>1598108730</v>
      </c>
      <c r="E26377" t="s">
        <v>22658</v>
      </c>
    </row>
    <row r="26378" spans="1:5" x14ac:dyDescent="0.25">
      <c r="A26378" t="s">
        <v>10</v>
      </c>
      <c r="B26378" t="s">
        <v>7315</v>
      </c>
      <c r="C26378" s="1" t="s">
        <v>23490</v>
      </c>
      <c r="D26378" s="1" t="str">
        <f>HYPERLINK("https://rhld.insurance.arkansas.gov/NPILookup?Npi=1598783870","1598783870")</f>
        <v>1598783870</v>
      </c>
      <c r="E26378" t="s">
        <v>6159</v>
      </c>
    </row>
    <row r="26379" spans="1:5" x14ac:dyDescent="0.25">
      <c r="A26379" t="s">
        <v>10</v>
      </c>
      <c r="B26379" t="s">
        <v>7315</v>
      </c>
      <c r="C26379" s="1" t="s">
        <v>23490</v>
      </c>
      <c r="D26379" s="1" t="str">
        <f>HYPERLINK("https://rhld.insurance.arkansas.gov/NPILookup?Npi=1598793754","1598793754")</f>
        <v>1598793754</v>
      </c>
      <c r="E26379" t="s">
        <v>14500</v>
      </c>
    </row>
    <row r="26380" spans="1:5" x14ac:dyDescent="0.25">
      <c r="A26380" t="s">
        <v>10</v>
      </c>
      <c r="B26380" t="s">
        <v>7315</v>
      </c>
      <c r="C26380" s="1" t="s">
        <v>23490</v>
      </c>
      <c r="D26380" s="1" t="str">
        <f>HYPERLINK("https://rhld.insurance.arkansas.gov/NPILookup?Npi=1598843559","1598843559")</f>
        <v>1598843559</v>
      </c>
      <c r="E26380" t="s">
        <v>7373</v>
      </c>
    </row>
    <row r="26381" spans="1:5" x14ac:dyDescent="0.25">
      <c r="A26381" t="s">
        <v>10</v>
      </c>
      <c r="B26381" t="s">
        <v>7315</v>
      </c>
      <c r="C26381" s="1" t="s">
        <v>23490</v>
      </c>
      <c r="D26381" s="1" t="str">
        <f>HYPERLINK("https://rhld.insurance.arkansas.gov/NPILookup?Npi=1598960270","1598960270")</f>
        <v>1598960270</v>
      </c>
      <c r="E26381" t="s">
        <v>7374</v>
      </c>
    </row>
    <row r="26382" spans="1:5" x14ac:dyDescent="0.25">
      <c r="A26382" t="s">
        <v>10</v>
      </c>
      <c r="B26382" t="s">
        <v>7315</v>
      </c>
      <c r="C26382" s="1" t="s">
        <v>23490</v>
      </c>
      <c r="D26382" s="1" t="str">
        <f>HYPERLINK("https://rhld.insurance.arkansas.gov/NPILookup?Npi=1598960528","1598960528")</f>
        <v>1598960528</v>
      </c>
      <c r="E26382" t="s">
        <v>7375</v>
      </c>
    </row>
    <row r="26383" spans="1:5" x14ac:dyDescent="0.25">
      <c r="A26383" t="s">
        <v>10</v>
      </c>
      <c r="B26383" t="s">
        <v>7315</v>
      </c>
      <c r="C26383" s="1" t="s">
        <v>23490</v>
      </c>
      <c r="D26383" s="1" t="str">
        <f>HYPERLINK("https://rhld.insurance.arkansas.gov/NPILookup?Npi=1609096577","1609096577")</f>
        <v>1609096577</v>
      </c>
      <c r="E26383" t="s">
        <v>7376</v>
      </c>
    </row>
    <row r="26384" spans="1:5" x14ac:dyDescent="0.25">
      <c r="A26384" t="s">
        <v>10</v>
      </c>
      <c r="B26384" t="s">
        <v>7315</v>
      </c>
      <c r="C26384" s="1" t="s">
        <v>23490</v>
      </c>
      <c r="D26384" s="1" t="str">
        <f>HYPERLINK("https://rhld.insurance.arkansas.gov/NPILookup?Npi=1609193093","1609193093")</f>
        <v>1609193093</v>
      </c>
      <c r="E26384" t="s">
        <v>12105</v>
      </c>
    </row>
    <row r="26385" spans="1:5" x14ac:dyDescent="0.25">
      <c r="A26385" t="s">
        <v>10</v>
      </c>
      <c r="B26385" t="s">
        <v>7315</v>
      </c>
      <c r="C26385" s="1" t="s">
        <v>23490</v>
      </c>
      <c r="D26385" s="1" t="str">
        <f>HYPERLINK("https://rhld.insurance.arkansas.gov/NPILookup?Npi=1609286335","1609286335")</f>
        <v>1609286335</v>
      </c>
      <c r="E26385" t="s">
        <v>19142</v>
      </c>
    </row>
    <row r="26386" spans="1:5" x14ac:dyDescent="0.25">
      <c r="A26386" t="s">
        <v>10</v>
      </c>
      <c r="B26386" t="s">
        <v>7315</v>
      </c>
      <c r="C26386" s="1" t="s">
        <v>23490</v>
      </c>
      <c r="D26386" s="1" t="str">
        <f>HYPERLINK("https://rhld.insurance.arkansas.gov/NPILookup?Npi=1609875046","1609875046")</f>
        <v>1609875046</v>
      </c>
      <c r="E26386" t="s">
        <v>19143</v>
      </c>
    </row>
    <row r="26387" spans="1:5" x14ac:dyDescent="0.25">
      <c r="A26387" t="s">
        <v>10</v>
      </c>
      <c r="B26387" t="s">
        <v>7315</v>
      </c>
      <c r="C26387" s="1" t="s">
        <v>23490</v>
      </c>
      <c r="D26387" s="1" t="str">
        <f>HYPERLINK("https://rhld.insurance.arkansas.gov/NPILookup?Npi=1619139672","1619139672")</f>
        <v>1619139672</v>
      </c>
      <c r="E26387" t="s">
        <v>7377</v>
      </c>
    </row>
    <row r="26388" spans="1:5" x14ac:dyDescent="0.25">
      <c r="A26388" t="s">
        <v>10</v>
      </c>
      <c r="B26388" t="s">
        <v>7315</v>
      </c>
      <c r="C26388" s="1" t="s">
        <v>23490</v>
      </c>
      <c r="D26388" s="1" t="str">
        <f>HYPERLINK("https://rhld.insurance.arkansas.gov/NPILookup?Npi=1619222437","1619222437")</f>
        <v>1619222437</v>
      </c>
      <c r="E26388" t="s">
        <v>12106</v>
      </c>
    </row>
    <row r="26389" spans="1:5" x14ac:dyDescent="0.25">
      <c r="A26389" t="s">
        <v>10</v>
      </c>
      <c r="B26389" t="s">
        <v>7315</v>
      </c>
      <c r="C26389" s="1" t="s">
        <v>23490</v>
      </c>
      <c r="D26389" s="1" t="str">
        <f>HYPERLINK("https://rhld.insurance.arkansas.gov/NPILookup?Npi=1619320868","1619320868")</f>
        <v>1619320868</v>
      </c>
      <c r="E26389" t="s">
        <v>21295</v>
      </c>
    </row>
    <row r="26390" spans="1:5" x14ac:dyDescent="0.25">
      <c r="A26390" t="s">
        <v>10</v>
      </c>
      <c r="B26390" t="s">
        <v>7315</v>
      </c>
      <c r="C26390" s="1" t="s">
        <v>23490</v>
      </c>
      <c r="D26390" s="1" t="str">
        <f>HYPERLINK("https://rhld.insurance.arkansas.gov/NPILookup?Npi=1619919305","1619919305")</f>
        <v>1619919305</v>
      </c>
      <c r="E26390" t="s">
        <v>7378</v>
      </c>
    </row>
    <row r="26391" spans="1:5" x14ac:dyDescent="0.25">
      <c r="A26391" t="s">
        <v>10</v>
      </c>
      <c r="B26391" t="s">
        <v>7315</v>
      </c>
      <c r="C26391" s="1" t="s">
        <v>23490</v>
      </c>
      <c r="D26391" s="1" t="str">
        <f>HYPERLINK("https://rhld.insurance.arkansas.gov/NPILookup?Npi=1619971140","1619971140")</f>
        <v>1619971140</v>
      </c>
      <c r="E26391" t="s">
        <v>7379</v>
      </c>
    </row>
    <row r="26392" spans="1:5" x14ac:dyDescent="0.25">
      <c r="A26392" t="s">
        <v>10</v>
      </c>
      <c r="B26392" t="s">
        <v>7315</v>
      </c>
      <c r="C26392" s="1" t="s">
        <v>23490</v>
      </c>
      <c r="D26392" s="1" t="str">
        <f>HYPERLINK("https://rhld.insurance.arkansas.gov/NPILookup?Npi=1619974599","1619974599")</f>
        <v>1619974599</v>
      </c>
      <c r="E26392" t="s">
        <v>7380</v>
      </c>
    </row>
    <row r="26393" spans="1:5" x14ac:dyDescent="0.25">
      <c r="A26393" t="s">
        <v>10</v>
      </c>
      <c r="B26393" t="s">
        <v>7315</v>
      </c>
      <c r="C26393" s="1" t="s">
        <v>23490</v>
      </c>
      <c r="D26393" s="1" t="str">
        <f>HYPERLINK("https://rhld.insurance.arkansas.gov/NPILookup?Npi=1629059712","1629059712")</f>
        <v>1629059712</v>
      </c>
      <c r="E26393" t="s">
        <v>7381</v>
      </c>
    </row>
    <row r="26394" spans="1:5" x14ac:dyDescent="0.25">
      <c r="A26394" t="s">
        <v>10</v>
      </c>
      <c r="B26394" t="s">
        <v>7315</v>
      </c>
      <c r="C26394" s="1" t="s">
        <v>23490</v>
      </c>
      <c r="D26394" s="1" t="str">
        <f>HYPERLINK("https://rhld.insurance.arkansas.gov/NPILookup?Npi=1629078266","1629078266")</f>
        <v>1629078266</v>
      </c>
      <c r="E26394" t="s">
        <v>7382</v>
      </c>
    </row>
    <row r="26395" spans="1:5" x14ac:dyDescent="0.25">
      <c r="A26395" t="s">
        <v>10</v>
      </c>
      <c r="B26395" t="s">
        <v>7315</v>
      </c>
      <c r="C26395" s="1" t="s">
        <v>23490</v>
      </c>
      <c r="D26395" s="1" t="str">
        <f>HYPERLINK("https://rhld.insurance.arkansas.gov/NPILookup?Npi=1629268289","1629268289")</f>
        <v>1629268289</v>
      </c>
      <c r="E26395" t="s">
        <v>7383</v>
      </c>
    </row>
    <row r="26396" spans="1:5" x14ac:dyDescent="0.25">
      <c r="A26396" t="s">
        <v>10</v>
      </c>
      <c r="B26396" t="s">
        <v>7315</v>
      </c>
      <c r="C26396" s="1" t="s">
        <v>23490</v>
      </c>
      <c r="D26396" s="1" t="str">
        <f>HYPERLINK("https://rhld.insurance.arkansas.gov/NPILookup?Npi=1639166556","1639166556")</f>
        <v>1639166556</v>
      </c>
      <c r="E26396" t="s">
        <v>7384</v>
      </c>
    </row>
    <row r="26397" spans="1:5" x14ac:dyDescent="0.25">
      <c r="A26397" t="s">
        <v>10</v>
      </c>
      <c r="B26397" t="s">
        <v>7315</v>
      </c>
      <c r="C26397" s="1" t="s">
        <v>23490</v>
      </c>
      <c r="D26397" s="1" t="str">
        <f>HYPERLINK("https://rhld.insurance.arkansas.gov/NPILookup?Npi=1639443823","1639443823")</f>
        <v>1639443823</v>
      </c>
      <c r="E26397" t="s">
        <v>18551</v>
      </c>
    </row>
    <row r="26398" spans="1:5" x14ac:dyDescent="0.25">
      <c r="A26398" t="s">
        <v>10</v>
      </c>
      <c r="B26398" t="s">
        <v>7315</v>
      </c>
      <c r="C26398" s="1" t="s">
        <v>23490</v>
      </c>
      <c r="D26398" s="1" t="str">
        <f>HYPERLINK("https://rhld.insurance.arkansas.gov/NPILookup?Npi=1649270539","1649270539")</f>
        <v>1649270539</v>
      </c>
      <c r="E26398" t="s">
        <v>9271</v>
      </c>
    </row>
    <row r="26399" spans="1:5" x14ac:dyDescent="0.25">
      <c r="A26399" t="s">
        <v>10</v>
      </c>
      <c r="B26399" t="s">
        <v>7315</v>
      </c>
      <c r="C26399" s="1" t="s">
        <v>23490</v>
      </c>
      <c r="D26399" s="1" t="str">
        <f>HYPERLINK("https://rhld.insurance.arkansas.gov/NPILookup?Npi=1649275322","1649275322")</f>
        <v>1649275322</v>
      </c>
      <c r="E26399" t="s">
        <v>7385</v>
      </c>
    </row>
    <row r="26400" spans="1:5" x14ac:dyDescent="0.25">
      <c r="A26400" t="s">
        <v>10</v>
      </c>
      <c r="B26400" t="s">
        <v>7315</v>
      </c>
      <c r="C26400" s="1" t="s">
        <v>23490</v>
      </c>
      <c r="D26400" s="1" t="str">
        <f>HYPERLINK("https://rhld.insurance.arkansas.gov/NPILookup?Npi=1649275876","1649275876")</f>
        <v>1649275876</v>
      </c>
      <c r="E26400" t="s">
        <v>16598</v>
      </c>
    </row>
    <row r="26401" spans="1:5" x14ac:dyDescent="0.25">
      <c r="A26401" t="s">
        <v>10</v>
      </c>
      <c r="B26401" t="s">
        <v>7315</v>
      </c>
      <c r="C26401" s="1" t="s">
        <v>23490</v>
      </c>
      <c r="D26401" s="1" t="str">
        <f>HYPERLINK("https://rhld.insurance.arkansas.gov/NPILookup?Npi=1649406752","1649406752")</f>
        <v>1649406752</v>
      </c>
      <c r="E26401" t="s">
        <v>2270</v>
      </c>
    </row>
    <row r="26402" spans="1:5" x14ac:dyDescent="0.25">
      <c r="A26402" t="s">
        <v>10</v>
      </c>
      <c r="B26402" t="s">
        <v>7315</v>
      </c>
      <c r="C26402" s="1" t="s">
        <v>23490</v>
      </c>
      <c r="D26402" s="1" t="str">
        <f>HYPERLINK("https://rhld.insurance.arkansas.gov/NPILookup?Npi=1649513847","1649513847")</f>
        <v>1649513847</v>
      </c>
      <c r="E26402" t="s">
        <v>18552</v>
      </c>
    </row>
    <row r="26403" spans="1:5" x14ac:dyDescent="0.25">
      <c r="A26403" t="s">
        <v>10</v>
      </c>
      <c r="B26403" t="s">
        <v>7315</v>
      </c>
      <c r="C26403" s="1" t="s">
        <v>23490</v>
      </c>
      <c r="D26403" s="1" t="str">
        <f>HYPERLINK("https://rhld.insurance.arkansas.gov/NPILookup?Npi=1649531013","1649531013")</f>
        <v>1649531013</v>
      </c>
      <c r="E26403" t="s">
        <v>17742</v>
      </c>
    </row>
    <row r="26404" spans="1:5" x14ac:dyDescent="0.25">
      <c r="A26404" t="s">
        <v>10</v>
      </c>
      <c r="B26404" t="s">
        <v>7315</v>
      </c>
      <c r="C26404" s="1" t="s">
        <v>23490</v>
      </c>
      <c r="D26404" s="1" t="str">
        <f>HYPERLINK("https://rhld.insurance.arkansas.gov/NPILookup?Npi=1659342038","1659342038")</f>
        <v>1659342038</v>
      </c>
      <c r="E26404" t="s">
        <v>2026</v>
      </c>
    </row>
    <row r="26405" spans="1:5" x14ac:dyDescent="0.25">
      <c r="A26405" t="s">
        <v>10</v>
      </c>
      <c r="B26405" t="s">
        <v>7315</v>
      </c>
      <c r="C26405" s="1" t="s">
        <v>23490</v>
      </c>
      <c r="D26405" s="1" t="str">
        <f>HYPERLINK("https://rhld.insurance.arkansas.gov/NPILookup?Npi=1659344315","1659344315")</f>
        <v>1659344315</v>
      </c>
      <c r="E26405" t="s">
        <v>14501</v>
      </c>
    </row>
    <row r="26406" spans="1:5" x14ac:dyDescent="0.25">
      <c r="A26406" t="s">
        <v>10</v>
      </c>
      <c r="B26406" t="s">
        <v>7315</v>
      </c>
      <c r="C26406" s="1" t="s">
        <v>23490</v>
      </c>
      <c r="D26406" s="1" t="str">
        <f>HYPERLINK("https://rhld.insurance.arkansas.gov/NPILookup?Npi=1659362960","1659362960")</f>
        <v>1659362960</v>
      </c>
      <c r="E26406" t="s">
        <v>7386</v>
      </c>
    </row>
    <row r="26407" spans="1:5" x14ac:dyDescent="0.25">
      <c r="A26407" t="s">
        <v>10</v>
      </c>
      <c r="B26407" t="s">
        <v>7315</v>
      </c>
      <c r="C26407" s="1" t="s">
        <v>23490</v>
      </c>
      <c r="D26407" s="1" t="str">
        <f>HYPERLINK("https://rhld.insurance.arkansas.gov/NPILookup?Npi=1659367175","1659367175")</f>
        <v>1659367175</v>
      </c>
      <c r="E26407" t="s">
        <v>7387</v>
      </c>
    </row>
    <row r="26408" spans="1:5" x14ac:dyDescent="0.25">
      <c r="A26408" t="s">
        <v>10</v>
      </c>
      <c r="B26408" t="s">
        <v>7315</v>
      </c>
      <c r="C26408" s="1" t="s">
        <v>23490</v>
      </c>
      <c r="D26408" s="1" t="str">
        <f>HYPERLINK("https://rhld.insurance.arkansas.gov/NPILookup?Npi=1659480713","1659480713")</f>
        <v>1659480713</v>
      </c>
      <c r="E26408" t="s">
        <v>9272</v>
      </c>
    </row>
    <row r="26409" spans="1:5" x14ac:dyDescent="0.25">
      <c r="A26409" t="s">
        <v>10</v>
      </c>
      <c r="B26409" t="s">
        <v>7315</v>
      </c>
      <c r="C26409" s="1" t="s">
        <v>23490</v>
      </c>
      <c r="D26409" s="1" t="str">
        <f>HYPERLINK("https://rhld.insurance.arkansas.gov/NPILookup?Npi=1669478103","1669478103")</f>
        <v>1669478103</v>
      </c>
      <c r="E26409" t="s">
        <v>7388</v>
      </c>
    </row>
    <row r="26410" spans="1:5" x14ac:dyDescent="0.25">
      <c r="A26410" t="s">
        <v>10</v>
      </c>
      <c r="B26410" t="s">
        <v>7315</v>
      </c>
      <c r="C26410" s="1" t="s">
        <v>23490</v>
      </c>
      <c r="D26410" s="1" t="str">
        <f>HYPERLINK("https://rhld.insurance.arkansas.gov/NPILookup?Npi=1669602603","1669602603")</f>
        <v>1669602603</v>
      </c>
      <c r="E26410" t="s">
        <v>7389</v>
      </c>
    </row>
    <row r="26411" spans="1:5" x14ac:dyDescent="0.25">
      <c r="A26411" t="s">
        <v>10</v>
      </c>
      <c r="B26411" t="s">
        <v>7315</v>
      </c>
      <c r="C26411" s="1" t="s">
        <v>23490</v>
      </c>
      <c r="D26411" s="1" t="str">
        <f>HYPERLINK("https://rhld.insurance.arkansas.gov/NPILookup?Npi=1669787784","1669787784")</f>
        <v>1669787784</v>
      </c>
      <c r="E26411" t="s">
        <v>7390</v>
      </c>
    </row>
    <row r="26412" spans="1:5" x14ac:dyDescent="0.25">
      <c r="A26412" t="s">
        <v>10</v>
      </c>
      <c r="B26412" t="s">
        <v>7315</v>
      </c>
      <c r="C26412" s="1" t="s">
        <v>23490</v>
      </c>
      <c r="D26412" s="1" t="str">
        <f>HYPERLINK("https://rhld.insurance.arkansas.gov/NPILookup?Npi=1679558779","1679558779")</f>
        <v>1679558779</v>
      </c>
      <c r="E26412" t="s">
        <v>9273</v>
      </c>
    </row>
    <row r="26413" spans="1:5" x14ac:dyDescent="0.25">
      <c r="A26413" t="s">
        <v>10</v>
      </c>
      <c r="B26413" t="s">
        <v>7315</v>
      </c>
      <c r="C26413" s="1" t="s">
        <v>23490</v>
      </c>
      <c r="D26413" s="1" t="str">
        <f>HYPERLINK("https://rhld.insurance.arkansas.gov/NPILookup?Npi=1679668925","1679668925")</f>
        <v>1679668925</v>
      </c>
      <c r="E26413" t="s">
        <v>7391</v>
      </c>
    </row>
    <row r="26414" spans="1:5" x14ac:dyDescent="0.25">
      <c r="A26414" t="s">
        <v>10</v>
      </c>
      <c r="B26414" t="s">
        <v>7315</v>
      </c>
      <c r="C26414" s="1" t="s">
        <v>23490</v>
      </c>
      <c r="D26414" s="1" t="str">
        <f>HYPERLINK("https://rhld.insurance.arkansas.gov/NPILookup?Npi=1679732549","1679732549")</f>
        <v>1679732549</v>
      </c>
      <c r="E26414" t="s">
        <v>17743</v>
      </c>
    </row>
    <row r="26415" spans="1:5" x14ac:dyDescent="0.25">
      <c r="A26415" t="s">
        <v>10</v>
      </c>
      <c r="B26415" t="s">
        <v>7315</v>
      </c>
      <c r="C26415" s="1" t="s">
        <v>23490</v>
      </c>
      <c r="D26415" s="1" t="str">
        <f>HYPERLINK("https://rhld.insurance.arkansas.gov/NPILookup?Npi=1679983605","1679983605")</f>
        <v>1679983605</v>
      </c>
      <c r="E26415" t="s">
        <v>7392</v>
      </c>
    </row>
    <row r="26416" spans="1:5" x14ac:dyDescent="0.25">
      <c r="A26416" t="s">
        <v>10</v>
      </c>
      <c r="B26416" t="s">
        <v>7315</v>
      </c>
      <c r="C26416" s="1" t="s">
        <v>23490</v>
      </c>
      <c r="D26416" s="1" t="str">
        <f>HYPERLINK("https://rhld.insurance.arkansas.gov/NPILookup?Npi=1689665903","1689665903")</f>
        <v>1689665903</v>
      </c>
      <c r="E26416" t="s">
        <v>7393</v>
      </c>
    </row>
    <row r="26417" spans="1:5" x14ac:dyDescent="0.25">
      <c r="A26417" t="s">
        <v>10</v>
      </c>
      <c r="B26417" t="s">
        <v>7315</v>
      </c>
      <c r="C26417" s="1" t="s">
        <v>23490</v>
      </c>
      <c r="D26417" s="1" t="str">
        <f>HYPERLINK("https://rhld.insurance.arkansas.gov/NPILookup?Npi=1699034900","1699034900")</f>
        <v>1699034900</v>
      </c>
      <c r="E26417" t="s">
        <v>16599</v>
      </c>
    </row>
    <row r="26418" spans="1:5" x14ac:dyDescent="0.25">
      <c r="A26418" t="s">
        <v>10</v>
      </c>
      <c r="B26418" t="s">
        <v>7315</v>
      </c>
      <c r="C26418" s="1" t="s">
        <v>23490</v>
      </c>
      <c r="D26418" s="1" t="str">
        <f>HYPERLINK("https://rhld.insurance.arkansas.gov/NPILookup?Npi=1699703496","1699703496")</f>
        <v>1699703496</v>
      </c>
      <c r="E26418" t="s">
        <v>7394</v>
      </c>
    </row>
    <row r="26419" spans="1:5" x14ac:dyDescent="0.25">
      <c r="A26419" t="s">
        <v>10</v>
      </c>
      <c r="B26419" t="s">
        <v>7315</v>
      </c>
      <c r="C26419" s="1" t="s">
        <v>23490</v>
      </c>
      <c r="D26419" s="1" t="str">
        <f>HYPERLINK("https://rhld.insurance.arkansas.gov/NPILookup?Npi=1699731430","1699731430")</f>
        <v>1699731430</v>
      </c>
      <c r="E26419" t="s">
        <v>7395</v>
      </c>
    </row>
    <row r="26420" spans="1:5" x14ac:dyDescent="0.25">
      <c r="A26420" t="s">
        <v>10</v>
      </c>
      <c r="B26420" t="s">
        <v>7315</v>
      </c>
      <c r="C26420" s="1" t="s">
        <v>23490</v>
      </c>
      <c r="D26420" s="1" t="str">
        <f>HYPERLINK("https://rhld.insurance.arkansas.gov/NPILookup?Npi=1699839217","1699839217")</f>
        <v>1699839217</v>
      </c>
      <c r="E26420" t="s">
        <v>7396</v>
      </c>
    </row>
    <row r="26421" spans="1:5" x14ac:dyDescent="0.25">
      <c r="A26421" t="s">
        <v>10</v>
      </c>
      <c r="B26421" t="s">
        <v>7315</v>
      </c>
      <c r="C26421" s="1" t="s">
        <v>23490</v>
      </c>
      <c r="D26421" s="1" t="str">
        <f>HYPERLINK("https://rhld.insurance.arkansas.gov/NPILookup?Npi=1699863746","1699863746")</f>
        <v>1699863746</v>
      </c>
      <c r="E26421" t="s">
        <v>7397</v>
      </c>
    </row>
    <row r="26422" spans="1:5" x14ac:dyDescent="0.25">
      <c r="A26422" t="s">
        <v>10</v>
      </c>
      <c r="B26422" t="s">
        <v>7315</v>
      </c>
      <c r="C26422" s="1" t="s">
        <v>23490</v>
      </c>
      <c r="D26422" s="1" t="str">
        <f>HYPERLINK("https://rhld.insurance.arkansas.gov/NPILookup?Npi=1699888206","1699888206")</f>
        <v>1699888206</v>
      </c>
      <c r="E26422" t="s">
        <v>17008</v>
      </c>
    </row>
    <row r="26423" spans="1:5" x14ac:dyDescent="0.25">
      <c r="A26423" t="s">
        <v>10</v>
      </c>
      <c r="B26423" t="s">
        <v>7315</v>
      </c>
      <c r="C26423" s="1" t="s">
        <v>23490</v>
      </c>
      <c r="D26423" s="1" t="str">
        <f>HYPERLINK("https://rhld.insurance.arkansas.gov/NPILookup?Npi=1700142486","1700142486")</f>
        <v>1700142486</v>
      </c>
      <c r="E26423" t="s">
        <v>13867</v>
      </c>
    </row>
    <row r="26424" spans="1:5" x14ac:dyDescent="0.25">
      <c r="A26424" t="s">
        <v>10</v>
      </c>
      <c r="B26424" t="s">
        <v>7315</v>
      </c>
      <c r="C26424" s="1" t="s">
        <v>8427</v>
      </c>
      <c r="D26424" s="1" t="str">
        <f>HYPERLINK("https://rhld.insurance.arkansas.gov/NPILookup?Npi=1700327103","1700327103")</f>
        <v>1700327103</v>
      </c>
      <c r="E26424" t="s">
        <v>23313</v>
      </c>
    </row>
    <row r="26425" spans="1:5" x14ac:dyDescent="0.25">
      <c r="A26425" t="s">
        <v>10</v>
      </c>
      <c r="B26425" t="s">
        <v>7315</v>
      </c>
      <c r="C26425" s="1" t="s">
        <v>23490</v>
      </c>
      <c r="D26425" s="1" t="str">
        <f>HYPERLINK("https://rhld.insurance.arkansas.gov/NPILookup?Npi=1710163050","1710163050")</f>
        <v>1710163050</v>
      </c>
      <c r="E26425" t="s">
        <v>7398</v>
      </c>
    </row>
    <row r="26426" spans="1:5" x14ac:dyDescent="0.25">
      <c r="A26426" t="s">
        <v>10</v>
      </c>
      <c r="B26426" t="s">
        <v>7315</v>
      </c>
      <c r="C26426" s="1" t="s">
        <v>23490</v>
      </c>
      <c r="D26426" s="1" t="str">
        <f>HYPERLINK("https://rhld.insurance.arkansas.gov/NPILookup?Npi=1710938097","1710938097")</f>
        <v>1710938097</v>
      </c>
      <c r="E26426" t="s">
        <v>7399</v>
      </c>
    </row>
    <row r="26427" spans="1:5" x14ac:dyDescent="0.25">
      <c r="A26427" t="s">
        <v>10</v>
      </c>
      <c r="B26427" t="s">
        <v>7315</v>
      </c>
      <c r="C26427" s="1" t="s">
        <v>23490</v>
      </c>
      <c r="D26427" s="1" t="str">
        <f>HYPERLINK("https://rhld.insurance.arkansas.gov/NPILookup?Npi=1710973979","1710973979")</f>
        <v>1710973979</v>
      </c>
      <c r="E26427" t="s">
        <v>5653</v>
      </c>
    </row>
    <row r="26428" spans="1:5" x14ac:dyDescent="0.25">
      <c r="A26428" t="s">
        <v>10</v>
      </c>
      <c r="B26428" t="s">
        <v>7315</v>
      </c>
      <c r="C26428" s="1" t="s">
        <v>23490</v>
      </c>
      <c r="D26428" s="1" t="str">
        <f>HYPERLINK("https://rhld.insurance.arkansas.gov/NPILookup?Npi=1710976592","1710976592")</f>
        <v>1710976592</v>
      </c>
      <c r="E26428" t="s">
        <v>2519</v>
      </c>
    </row>
    <row r="26429" spans="1:5" x14ac:dyDescent="0.25">
      <c r="A26429" t="s">
        <v>10</v>
      </c>
      <c r="B26429" t="s">
        <v>7315</v>
      </c>
      <c r="C26429" s="1" t="s">
        <v>23490</v>
      </c>
      <c r="D26429" s="1" t="str">
        <f>HYPERLINK("https://rhld.insurance.arkansas.gov/NPILookup?Npi=1710983259","1710983259")</f>
        <v>1710983259</v>
      </c>
      <c r="E26429" t="s">
        <v>7400</v>
      </c>
    </row>
    <row r="26430" spans="1:5" x14ac:dyDescent="0.25">
      <c r="A26430" t="s">
        <v>10</v>
      </c>
      <c r="B26430" t="s">
        <v>7315</v>
      </c>
      <c r="C26430" s="1" t="s">
        <v>23490</v>
      </c>
      <c r="D26430" s="1" t="str">
        <f>HYPERLINK("https://rhld.insurance.arkansas.gov/NPILookup?Npi=1710988316","1710988316")</f>
        <v>1710988316</v>
      </c>
      <c r="E26430" t="s">
        <v>7401</v>
      </c>
    </row>
    <row r="26431" spans="1:5" x14ac:dyDescent="0.25">
      <c r="A26431" t="s">
        <v>10</v>
      </c>
      <c r="B26431" t="s">
        <v>7315</v>
      </c>
      <c r="C26431" s="1" t="s">
        <v>23490</v>
      </c>
      <c r="D26431" s="1" t="str">
        <f>HYPERLINK("https://rhld.insurance.arkansas.gov/NPILookup?Npi=1720040470","1720040470")</f>
        <v>1720040470</v>
      </c>
      <c r="E26431" t="s">
        <v>7402</v>
      </c>
    </row>
    <row r="26432" spans="1:5" x14ac:dyDescent="0.25">
      <c r="A26432" t="s">
        <v>10</v>
      </c>
      <c r="B26432" t="s">
        <v>7315</v>
      </c>
      <c r="C26432" s="1" t="s">
        <v>23490</v>
      </c>
      <c r="D26432" s="1" t="str">
        <f>HYPERLINK("https://rhld.insurance.arkansas.gov/NPILookup?Npi=1720174246","1720174246")</f>
        <v>1720174246</v>
      </c>
      <c r="E26432" t="s">
        <v>12107</v>
      </c>
    </row>
    <row r="26433" spans="1:5" x14ac:dyDescent="0.25">
      <c r="A26433" t="s">
        <v>10</v>
      </c>
      <c r="B26433" t="s">
        <v>7315</v>
      </c>
      <c r="C26433" s="1" t="s">
        <v>23490</v>
      </c>
      <c r="D26433" s="1" t="str">
        <f>HYPERLINK("https://rhld.insurance.arkansas.gov/NPILookup?Npi=1720219397","1720219397")</f>
        <v>1720219397</v>
      </c>
      <c r="E26433" t="s">
        <v>7403</v>
      </c>
    </row>
    <row r="26434" spans="1:5" x14ac:dyDescent="0.25">
      <c r="A26434" t="s">
        <v>10</v>
      </c>
      <c r="B26434" t="s">
        <v>7315</v>
      </c>
      <c r="C26434" s="1" t="s">
        <v>23490</v>
      </c>
      <c r="D26434" s="1" t="str">
        <f>HYPERLINK("https://rhld.insurance.arkansas.gov/NPILookup?Npi=1740441005","1740441005")</f>
        <v>1740441005</v>
      </c>
      <c r="E26434" t="s">
        <v>7404</v>
      </c>
    </row>
    <row r="26435" spans="1:5" x14ac:dyDescent="0.25">
      <c r="A26435" t="s">
        <v>10</v>
      </c>
      <c r="B26435" t="s">
        <v>7315</v>
      </c>
      <c r="C26435" s="1" t="s">
        <v>23490</v>
      </c>
      <c r="D26435" s="1" t="str">
        <f>HYPERLINK("https://rhld.insurance.arkansas.gov/NPILookup?Npi=1750410999","1750410999")</f>
        <v>1750410999</v>
      </c>
      <c r="E26435" t="s">
        <v>7405</v>
      </c>
    </row>
    <row r="26436" spans="1:5" x14ac:dyDescent="0.25">
      <c r="A26436" t="s">
        <v>10</v>
      </c>
      <c r="B26436" t="s">
        <v>7315</v>
      </c>
      <c r="C26436" s="1" t="s">
        <v>23490</v>
      </c>
      <c r="D26436" s="1" t="str">
        <f>HYPERLINK("https://rhld.insurance.arkansas.gov/NPILookup?Npi=1750661286","1750661286")</f>
        <v>1750661286</v>
      </c>
      <c r="E26436" t="s">
        <v>16600</v>
      </c>
    </row>
    <row r="26437" spans="1:5" x14ac:dyDescent="0.25">
      <c r="A26437" t="s">
        <v>10</v>
      </c>
      <c r="B26437" t="s">
        <v>7315</v>
      </c>
      <c r="C26437" s="1" t="s">
        <v>23490</v>
      </c>
      <c r="D26437" s="1" t="str">
        <f>HYPERLINK("https://rhld.insurance.arkansas.gov/NPILookup?Npi=1760453120","1760453120")</f>
        <v>1760453120</v>
      </c>
      <c r="E26437" t="s">
        <v>7406</v>
      </c>
    </row>
    <row r="26438" spans="1:5" x14ac:dyDescent="0.25">
      <c r="A26438" t="s">
        <v>10</v>
      </c>
      <c r="B26438" t="s">
        <v>7315</v>
      </c>
      <c r="C26438" s="1" t="s">
        <v>23490</v>
      </c>
      <c r="D26438" s="1" t="str">
        <f>HYPERLINK("https://rhld.insurance.arkansas.gov/NPILookup?Npi=1760790976","1760790976")</f>
        <v>1760790976</v>
      </c>
      <c r="E26438" t="s">
        <v>13275</v>
      </c>
    </row>
    <row r="26439" spans="1:5" x14ac:dyDescent="0.25">
      <c r="A26439" t="s">
        <v>10</v>
      </c>
      <c r="B26439" t="s">
        <v>7315</v>
      </c>
      <c r="C26439" s="1" t="s">
        <v>23490</v>
      </c>
      <c r="D26439" s="1" t="str">
        <f>HYPERLINK("https://rhld.insurance.arkansas.gov/NPILookup?Npi=1760873293","1760873293")</f>
        <v>1760873293</v>
      </c>
      <c r="E26439" t="s">
        <v>17303</v>
      </c>
    </row>
    <row r="26440" spans="1:5" x14ac:dyDescent="0.25">
      <c r="A26440" t="s">
        <v>10</v>
      </c>
      <c r="B26440" t="s">
        <v>7315</v>
      </c>
      <c r="C26440" s="1" t="s">
        <v>23490</v>
      </c>
      <c r="D26440" s="1" t="str">
        <f>HYPERLINK("https://rhld.insurance.arkansas.gov/NPILookup?Npi=1770835548","1770835548")</f>
        <v>1770835548</v>
      </c>
      <c r="E26440" t="s">
        <v>7407</v>
      </c>
    </row>
    <row r="26441" spans="1:5" x14ac:dyDescent="0.25">
      <c r="A26441" t="s">
        <v>10</v>
      </c>
      <c r="B26441" t="s">
        <v>7315</v>
      </c>
      <c r="C26441" s="1" t="s">
        <v>23490</v>
      </c>
      <c r="D26441" s="1" t="str">
        <f>HYPERLINK("https://rhld.insurance.arkansas.gov/NPILookup?Npi=1780035030","1780035030")</f>
        <v>1780035030</v>
      </c>
      <c r="E26441" t="s">
        <v>21296</v>
      </c>
    </row>
    <row r="26442" spans="1:5" x14ac:dyDescent="0.25">
      <c r="A26442" t="s">
        <v>10</v>
      </c>
      <c r="B26442" t="s">
        <v>7315</v>
      </c>
      <c r="C26442" s="1" t="s">
        <v>23490</v>
      </c>
      <c r="D26442" s="1" t="str">
        <f>HYPERLINK("https://rhld.insurance.arkansas.gov/NPILookup?Npi=1780655167","1780655167")</f>
        <v>1780655167</v>
      </c>
      <c r="E26442" t="s">
        <v>7408</v>
      </c>
    </row>
    <row r="26443" spans="1:5" x14ac:dyDescent="0.25">
      <c r="A26443" t="s">
        <v>10</v>
      </c>
      <c r="B26443" t="s">
        <v>7315</v>
      </c>
      <c r="C26443" s="1" t="s">
        <v>23490</v>
      </c>
      <c r="D26443" s="1" t="str">
        <f>HYPERLINK("https://rhld.insurance.arkansas.gov/NPILookup?Npi=1780689224","1780689224")</f>
        <v>1780689224</v>
      </c>
      <c r="E26443" t="s">
        <v>7409</v>
      </c>
    </row>
    <row r="26444" spans="1:5" x14ac:dyDescent="0.25">
      <c r="A26444" t="s">
        <v>10</v>
      </c>
      <c r="B26444" t="s">
        <v>7315</v>
      </c>
      <c r="C26444" s="1" t="s">
        <v>23490</v>
      </c>
      <c r="D26444" s="1" t="str">
        <f>HYPERLINK("https://rhld.insurance.arkansas.gov/NPILookup?Npi=1780774281","1780774281")</f>
        <v>1780774281</v>
      </c>
      <c r="E26444" t="s">
        <v>7410</v>
      </c>
    </row>
    <row r="26445" spans="1:5" x14ac:dyDescent="0.25">
      <c r="A26445" t="s">
        <v>10</v>
      </c>
      <c r="B26445" t="s">
        <v>7315</v>
      </c>
      <c r="C26445" s="1" t="s">
        <v>23490</v>
      </c>
      <c r="D26445" s="1" t="str">
        <f>HYPERLINK("https://rhld.insurance.arkansas.gov/NPILookup?Npi=1780966937","1780966937")</f>
        <v>1780966937</v>
      </c>
      <c r="E26445" t="s">
        <v>7411</v>
      </c>
    </row>
    <row r="26446" spans="1:5" x14ac:dyDescent="0.25">
      <c r="A26446" t="s">
        <v>10</v>
      </c>
      <c r="B26446" t="s">
        <v>7315</v>
      </c>
      <c r="C26446" s="1" t="s">
        <v>23490</v>
      </c>
      <c r="D26446" s="1" t="str">
        <f>HYPERLINK("https://rhld.insurance.arkansas.gov/NPILookup?Npi=1780971192","1780971192")</f>
        <v>1780971192</v>
      </c>
      <c r="E26446" t="s">
        <v>20750</v>
      </c>
    </row>
    <row r="26447" spans="1:5" x14ac:dyDescent="0.25">
      <c r="A26447" t="s">
        <v>10</v>
      </c>
      <c r="B26447" t="s">
        <v>7315</v>
      </c>
      <c r="C26447" s="1" t="s">
        <v>23490</v>
      </c>
      <c r="D26447" s="1" t="str">
        <f>HYPERLINK("https://rhld.insurance.arkansas.gov/NPILookup?Npi=1790190296","1790190296")</f>
        <v>1790190296</v>
      </c>
      <c r="E26447" t="s">
        <v>19144</v>
      </c>
    </row>
    <row r="26448" spans="1:5" x14ac:dyDescent="0.25">
      <c r="A26448" t="s">
        <v>10</v>
      </c>
      <c r="B26448" t="s">
        <v>7315</v>
      </c>
      <c r="C26448" s="1" t="s">
        <v>23490</v>
      </c>
      <c r="D26448" s="1" t="str">
        <f>HYPERLINK("https://rhld.insurance.arkansas.gov/NPILookup?Npi=1790707131","1790707131")</f>
        <v>1790707131</v>
      </c>
      <c r="E26448" t="s">
        <v>7412</v>
      </c>
    </row>
    <row r="26449" spans="1:5" x14ac:dyDescent="0.25">
      <c r="A26449" t="s">
        <v>10</v>
      </c>
      <c r="B26449" t="s">
        <v>7315</v>
      </c>
      <c r="C26449" s="1" t="s">
        <v>23490</v>
      </c>
      <c r="D26449" s="1" t="str">
        <f>HYPERLINK("https://rhld.insurance.arkansas.gov/NPILookup?Npi=1790713352","1790713352")</f>
        <v>1790713352</v>
      </c>
      <c r="E26449" t="s">
        <v>7413</v>
      </c>
    </row>
    <row r="26450" spans="1:5" x14ac:dyDescent="0.25">
      <c r="A26450" t="s">
        <v>10</v>
      </c>
      <c r="B26450" t="s">
        <v>7315</v>
      </c>
      <c r="C26450" s="1" t="s">
        <v>23490</v>
      </c>
      <c r="D26450" s="1" t="str">
        <f>HYPERLINK("https://rhld.insurance.arkansas.gov/NPILookup?Npi=1790781144","1790781144")</f>
        <v>1790781144</v>
      </c>
      <c r="E26450" t="s">
        <v>7414</v>
      </c>
    </row>
    <row r="26451" spans="1:5" x14ac:dyDescent="0.25">
      <c r="A26451" t="s">
        <v>10</v>
      </c>
      <c r="B26451" t="s">
        <v>7315</v>
      </c>
      <c r="C26451" s="1" t="s">
        <v>23490</v>
      </c>
      <c r="D26451" s="1" t="str">
        <f>HYPERLINK("https://rhld.insurance.arkansas.gov/NPILookup?Npi=1790781870","1790781870")</f>
        <v>1790781870</v>
      </c>
      <c r="E26451" t="s">
        <v>7415</v>
      </c>
    </row>
    <row r="26452" spans="1:5" x14ac:dyDescent="0.25">
      <c r="A26452" t="s">
        <v>10</v>
      </c>
      <c r="B26452" t="s">
        <v>7315</v>
      </c>
      <c r="C26452" s="1" t="s">
        <v>23490</v>
      </c>
      <c r="D26452" s="1" t="str">
        <f>HYPERLINK("https://rhld.insurance.arkansas.gov/NPILookup?Npi=1790796084","1790796084")</f>
        <v>1790796084</v>
      </c>
      <c r="E26452" t="s">
        <v>14502</v>
      </c>
    </row>
    <row r="26453" spans="1:5" x14ac:dyDescent="0.25">
      <c r="A26453" t="s">
        <v>10</v>
      </c>
      <c r="B26453" t="s">
        <v>7315</v>
      </c>
      <c r="C26453" s="1" t="s">
        <v>23490</v>
      </c>
      <c r="D26453" s="1" t="str">
        <f>HYPERLINK("https://rhld.insurance.arkansas.gov/NPILookup?Npi=1790909943","1790909943")</f>
        <v>1790909943</v>
      </c>
      <c r="E26453" t="s">
        <v>7416</v>
      </c>
    </row>
    <row r="26454" spans="1:5" x14ac:dyDescent="0.25">
      <c r="A26454" t="s">
        <v>10</v>
      </c>
      <c r="B26454" t="s">
        <v>7315</v>
      </c>
      <c r="C26454" s="1" t="s">
        <v>23490</v>
      </c>
      <c r="D26454" s="1" t="str">
        <f>HYPERLINK("https://rhld.insurance.arkansas.gov/NPILookup?Npi=1790909950","1790909950")</f>
        <v>1790909950</v>
      </c>
      <c r="E26454" t="s">
        <v>7417</v>
      </c>
    </row>
    <row r="26455" spans="1:5" x14ac:dyDescent="0.25">
      <c r="A26455" t="s">
        <v>10</v>
      </c>
      <c r="B26455" t="s">
        <v>7315</v>
      </c>
      <c r="C26455" s="1" t="s">
        <v>23490</v>
      </c>
      <c r="D26455" s="1" t="str">
        <f>HYPERLINK("https://rhld.insurance.arkansas.gov/NPILookup?Npi=1801028824","1801028824")</f>
        <v>1801028824</v>
      </c>
      <c r="E26455" t="s">
        <v>14503</v>
      </c>
    </row>
    <row r="26456" spans="1:5" x14ac:dyDescent="0.25">
      <c r="A26456" t="s">
        <v>10</v>
      </c>
      <c r="B26456" t="s">
        <v>7315</v>
      </c>
      <c r="C26456" s="1" t="s">
        <v>23490</v>
      </c>
      <c r="D26456" s="1" t="str">
        <f>HYPERLINK("https://rhld.insurance.arkansas.gov/NPILookup?Npi=1801207857","1801207857")</f>
        <v>1801207857</v>
      </c>
      <c r="E26456" t="s">
        <v>17744</v>
      </c>
    </row>
    <row r="26457" spans="1:5" x14ac:dyDescent="0.25">
      <c r="A26457" t="s">
        <v>10</v>
      </c>
      <c r="B26457" t="s">
        <v>7315</v>
      </c>
      <c r="C26457" s="1" t="s">
        <v>23490</v>
      </c>
      <c r="D26457" s="1" t="str">
        <f>HYPERLINK("https://rhld.insurance.arkansas.gov/NPILookup?Npi=1801235304","1801235304")</f>
        <v>1801235304</v>
      </c>
      <c r="E26457" t="s">
        <v>16601</v>
      </c>
    </row>
    <row r="26458" spans="1:5" x14ac:dyDescent="0.25">
      <c r="A26458" t="s">
        <v>10</v>
      </c>
      <c r="B26458" t="s">
        <v>7315</v>
      </c>
      <c r="C26458" s="1" t="s">
        <v>23490</v>
      </c>
      <c r="D26458" s="1" t="str">
        <f>HYPERLINK("https://rhld.insurance.arkansas.gov/NPILookup?Npi=1801830849","1801830849")</f>
        <v>1801830849</v>
      </c>
      <c r="E26458" t="s">
        <v>7418</v>
      </c>
    </row>
    <row r="26459" spans="1:5" x14ac:dyDescent="0.25">
      <c r="A26459" t="s">
        <v>10</v>
      </c>
      <c r="B26459" t="s">
        <v>7315</v>
      </c>
      <c r="C26459" s="1" t="s">
        <v>23490</v>
      </c>
      <c r="D26459" s="1" t="str">
        <f>HYPERLINK("https://rhld.insurance.arkansas.gov/NPILookup?Npi=1801857305","1801857305")</f>
        <v>1801857305</v>
      </c>
      <c r="E26459" t="s">
        <v>7419</v>
      </c>
    </row>
    <row r="26460" spans="1:5" x14ac:dyDescent="0.25">
      <c r="A26460" t="s">
        <v>10</v>
      </c>
      <c r="B26460" t="s">
        <v>7315</v>
      </c>
      <c r="C26460" s="1" t="s">
        <v>23490</v>
      </c>
      <c r="D26460" s="1" t="str">
        <f>HYPERLINK("https://rhld.insurance.arkansas.gov/NPILookup?Npi=1801963301","1801963301")</f>
        <v>1801963301</v>
      </c>
      <c r="E26460" t="s">
        <v>22660</v>
      </c>
    </row>
    <row r="26461" spans="1:5" x14ac:dyDescent="0.25">
      <c r="A26461" t="s">
        <v>10</v>
      </c>
      <c r="B26461" t="s">
        <v>7315</v>
      </c>
      <c r="C26461" s="1" t="s">
        <v>23490</v>
      </c>
      <c r="D26461" s="1" t="str">
        <f>HYPERLINK("https://rhld.insurance.arkansas.gov/NPILookup?Npi=1811126931","1811126931")</f>
        <v>1811126931</v>
      </c>
      <c r="E26461" t="s">
        <v>16602</v>
      </c>
    </row>
    <row r="26462" spans="1:5" x14ac:dyDescent="0.25">
      <c r="A26462" t="s">
        <v>10</v>
      </c>
      <c r="B26462" t="s">
        <v>7315</v>
      </c>
      <c r="C26462" s="1" t="s">
        <v>23490</v>
      </c>
      <c r="D26462" s="1" t="str">
        <f>HYPERLINK("https://rhld.insurance.arkansas.gov/NPILookup?Npi=1811159155","1811159155")</f>
        <v>1811159155</v>
      </c>
      <c r="E26462" t="s">
        <v>13276</v>
      </c>
    </row>
    <row r="26463" spans="1:5" x14ac:dyDescent="0.25">
      <c r="A26463" t="s">
        <v>10</v>
      </c>
      <c r="B26463" t="s">
        <v>7315</v>
      </c>
      <c r="C26463" s="1" t="s">
        <v>23490</v>
      </c>
      <c r="D26463" s="1" t="str">
        <f>HYPERLINK("https://rhld.insurance.arkansas.gov/NPILookup?Npi=1811331192","1811331192")</f>
        <v>1811331192</v>
      </c>
      <c r="E26463" t="s">
        <v>16603</v>
      </c>
    </row>
    <row r="26464" spans="1:5" x14ac:dyDescent="0.25">
      <c r="A26464" t="s">
        <v>10</v>
      </c>
      <c r="B26464" t="s">
        <v>7315</v>
      </c>
      <c r="C26464" s="1" t="s">
        <v>23490</v>
      </c>
      <c r="D26464" s="1" t="str">
        <f>HYPERLINK("https://rhld.insurance.arkansas.gov/NPILookup?Npi=1821198052","1821198052")</f>
        <v>1821198052</v>
      </c>
      <c r="E26464" t="s">
        <v>1131</v>
      </c>
    </row>
    <row r="26465" spans="1:5" x14ac:dyDescent="0.25">
      <c r="A26465" t="s">
        <v>10</v>
      </c>
      <c r="B26465" t="s">
        <v>7315</v>
      </c>
      <c r="C26465" s="1" t="s">
        <v>23490</v>
      </c>
      <c r="D26465" s="1" t="str">
        <f>HYPERLINK("https://rhld.insurance.arkansas.gov/NPILookup?Npi=1831156801","1831156801")</f>
        <v>1831156801</v>
      </c>
      <c r="E26465" t="s">
        <v>9274</v>
      </c>
    </row>
    <row r="26466" spans="1:5" x14ac:dyDescent="0.25">
      <c r="A26466" t="s">
        <v>10</v>
      </c>
      <c r="B26466" t="s">
        <v>7315</v>
      </c>
      <c r="C26466" s="1" t="s">
        <v>23490</v>
      </c>
      <c r="D26466" s="1" t="str">
        <f>HYPERLINK("https://rhld.insurance.arkansas.gov/NPILookup?Npi=1831385780","1831385780")</f>
        <v>1831385780</v>
      </c>
      <c r="E26466" t="s">
        <v>14504</v>
      </c>
    </row>
    <row r="26467" spans="1:5" x14ac:dyDescent="0.25">
      <c r="A26467" t="s">
        <v>10</v>
      </c>
      <c r="B26467" t="s">
        <v>7315</v>
      </c>
      <c r="C26467" s="1" t="s">
        <v>23490</v>
      </c>
      <c r="D26467" s="1" t="str">
        <f>HYPERLINK("https://rhld.insurance.arkansas.gov/NPILookup?Npi=1831445261","1831445261")</f>
        <v>1831445261</v>
      </c>
      <c r="E26467" t="s">
        <v>13739</v>
      </c>
    </row>
    <row r="26468" spans="1:5" x14ac:dyDescent="0.25">
      <c r="A26468" t="s">
        <v>10</v>
      </c>
      <c r="B26468" t="s">
        <v>7315</v>
      </c>
      <c r="C26468" s="1" t="s">
        <v>23490</v>
      </c>
      <c r="D26468" s="1" t="str">
        <f>HYPERLINK("https://rhld.insurance.arkansas.gov/NPILookup?Npi=1831542737","1831542737")</f>
        <v>1831542737</v>
      </c>
      <c r="E26468" t="s">
        <v>21297</v>
      </c>
    </row>
    <row r="26469" spans="1:5" x14ac:dyDescent="0.25">
      <c r="A26469" t="s">
        <v>10</v>
      </c>
      <c r="B26469" t="s">
        <v>7315</v>
      </c>
      <c r="C26469" s="1" t="s">
        <v>23490</v>
      </c>
      <c r="D26469" s="1" t="str">
        <f>HYPERLINK("https://rhld.insurance.arkansas.gov/NPILookup?Npi=1841217783","1841217783")</f>
        <v>1841217783</v>
      </c>
      <c r="E26469" t="s">
        <v>17745</v>
      </c>
    </row>
    <row r="26470" spans="1:5" x14ac:dyDescent="0.25">
      <c r="A26470" t="s">
        <v>10</v>
      </c>
      <c r="B26470" t="s">
        <v>7315</v>
      </c>
      <c r="C26470" s="1" t="s">
        <v>23490</v>
      </c>
      <c r="D26470" s="1" t="str">
        <f>HYPERLINK("https://rhld.insurance.arkansas.gov/NPILookup?Npi=1841266319","1841266319")</f>
        <v>1841266319</v>
      </c>
      <c r="E26470" t="s">
        <v>16604</v>
      </c>
    </row>
    <row r="26471" spans="1:5" x14ac:dyDescent="0.25">
      <c r="A26471" t="s">
        <v>10</v>
      </c>
      <c r="B26471" t="s">
        <v>7315</v>
      </c>
      <c r="C26471" s="1" t="s">
        <v>23490</v>
      </c>
      <c r="D26471" s="1" t="str">
        <f>HYPERLINK("https://rhld.insurance.arkansas.gov/NPILookup?Npi=1841488392","1841488392")</f>
        <v>1841488392</v>
      </c>
      <c r="E26471" t="s">
        <v>7420</v>
      </c>
    </row>
    <row r="26472" spans="1:5" x14ac:dyDescent="0.25">
      <c r="A26472" t="s">
        <v>10</v>
      </c>
      <c r="B26472" t="s">
        <v>7315</v>
      </c>
      <c r="C26472" s="1" t="s">
        <v>23490</v>
      </c>
      <c r="D26472" s="1" t="str">
        <f>HYPERLINK("https://rhld.insurance.arkansas.gov/NPILookup?Npi=1841557089","1841557089")</f>
        <v>1841557089</v>
      </c>
      <c r="E26472" t="s">
        <v>22661</v>
      </c>
    </row>
    <row r="26473" spans="1:5" x14ac:dyDescent="0.25">
      <c r="A26473" t="s">
        <v>10</v>
      </c>
      <c r="B26473" t="s">
        <v>7315</v>
      </c>
      <c r="C26473" s="1" t="s">
        <v>23490</v>
      </c>
      <c r="D26473" s="1" t="str">
        <f>HYPERLINK("https://rhld.insurance.arkansas.gov/NPILookup?Npi=1841610037","1841610037")</f>
        <v>1841610037</v>
      </c>
      <c r="E26473" t="s">
        <v>17746</v>
      </c>
    </row>
    <row r="26474" spans="1:5" x14ac:dyDescent="0.25">
      <c r="A26474" t="s">
        <v>10</v>
      </c>
      <c r="B26474" t="s">
        <v>7315</v>
      </c>
      <c r="C26474" s="1" t="s">
        <v>23490</v>
      </c>
      <c r="D26474" s="1" t="str">
        <f>HYPERLINK("https://rhld.insurance.arkansas.gov/NPILookup?Npi=1851497275","1851497275")</f>
        <v>1851497275</v>
      </c>
      <c r="E26474" t="s">
        <v>7421</v>
      </c>
    </row>
    <row r="26475" spans="1:5" x14ac:dyDescent="0.25">
      <c r="A26475" t="s">
        <v>10</v>
      </c>
      <c r="B26475" t="s">
        <v>7315</v>
      </c>
      <c r="C26475" s="1" t="s">
        <v>23490</v>
      </c>
      <c r="D26475" s="1" t="str">
        <f>HYPERLINK("https://rhld.insurance.arkansas.gov/NPILookup?Npi=1851594121","1851594121")</f>
        <v>1851594121</v>
      </c>
      <c r="E26475" t="s">
        <v>7422</v>
      </c>
    </row>
    <row r="26476" spans="1:5" x14ac:dyDescent="0.25">
      <c r="A26476" t="s">
        <v>10</v>
      </c>
      <c r="B26476" t="s">
        <v>7315</v>
      </c>
      <c r="C26476" s="1" t="s">
        <v>23490</v>
      </c>
      <c r="D26476" s="1" t="str">
        <f>HYPERLINK("https://rhld.insurance.arkansas.gov/NPILookup?Npi=1861498313","1861498313")</f>
        <v>1861498313</v>
      </c>
      <c r="E26476" t="s">
        <v>7423</v>
      </c>
    </row>
    <row r="26477" spans="1:5" x14ac:dyDescent="0.25">
      <c r="A26477" t="s">
        <v>10</v>
      </c>
      <c r="B26477" t="s">
        <v>7315</v>
      </c>
      <c r="C26477" s="1" t="s">
        <v>23490</v>
      </c>
      <c r="D26477" s="1" t="str">
        <f>HYPERLINK("https://rhld.insurance.arkansas.gov/NPILookup?Npi=1861616021","1861616021")</f>
        <v>1861616021</v>
      </c>
      <c r="E26477" t="s">
        <v>7424</v>
      </c>
    </row>
    <row r="26478" spans="1:5" x14ac:dyDescent="0.25">
      <c r="A26478" t="s">
        <v>10</v>
      </c>
      <c r="B26478" t="s">
        <v>7315</v>
      </c>
      <c r="C26478" s="1" t="s">
        <v>23490</v>
      </c>
      <c r="D26478" s="1" t="str">
        <f>HYPERLINK("https://rhld.insurance.arkansas.gov/NPILookup?Npi=1871532283","1871532283")</f>
        <v>1871532283</v>
      </c>
      <c r="E26478" t="s">
        <v>20751</v>
      </c>
    </row>
    <row r="26479" spans="1:5" x14ac:dyDescent="0.25">
      <c r="A26479" t="s">
        <v>10</v>
      </c>
      <c r="B26479" t="s">
        <v>7315</v>
      </c>
      <c r="C26479" s="1" t="s">
        <v>23490</v>
      </c>
      <c r="D26479" s="1" t="str">
        <f>HYPERLINK("https://rhld.insurance.arkansas.gov/NPILookup?Npi=1871580704","1871580704")</f>
        <v>1871580704</v>
      </c>
      <c r="E26479" t="s">
        <v>7425</v>
      </c>
    </row>
    <row r="26480" spans="1:5" x14ac:dyDescent="0.25">
      <c r="A26480" t="s">
        <v>10</v>
      </c>
      <c r="B26480" t="s">
        <v>7315</v>
      </c>
      <c r="C26480" s="1" t="s">
        <v>23490</v>
      </c>
      <c r="D26480" s="1" t="str">
        <f>HYPERLINK("https://rhld.insurance.arkansas.gov/NPILookup?Npi=1871594663","1871594663")</f>
        <v>1871594663</v>
      </c>
      <c r="E26480" t="s">
        <v>7426</v>
      </c>
    </row>
    <row r="26481" spans="1:5" x14ac:dyDescent="0.25">
      <c r="A26481" t="s">
        <v>10</v>
      </c>
      <c r="B26481" t="s">
        <v>7315</v>
      </c>
      <c r="C26481" s="1" t="s">
        <v>23490</v>
      </c>
      <c r="D26481" s="1" t="str">
        <f>HYPERLINK("https://rhld.insurance.arkansas.gov/NPILookup?Npi=1871807883","1871807883")</f>
        <v>1871807883</v>
      </c>
      <c r="E26481" t="s">
        <v>9275</v>
      </c>
    </row>
    <row r="26482" spans="1:5" x14ac:dyDescent="0.25">
      <c r="A26482" t="s">
        <v>10</v>
      </c>
      <c r="B26482" t="s">
        <v>7315</v>
      </c>
      <c r="C26482" s="1" t="s">
        <v>23490</v>
      </c>
      <c r="D26482" s="1" t="str">
        <f>HYPERLINK("https://rhld.insurance.arkansas.gov/NPILookup?Npi=1881615995","1881615995")</f>
        <v>1881615995</v>
      </c>
      <c r="E26482" t="s">
        <v>16605</v>
      </c>
    </row>
    <row r="26483" spans="1:5" x14ac:dyDescent="0.25">
      <c r="A26483" t="s">
        <v>10</v>
      </c>
      <c r="B26483" t="s">
        <v>7315</v>
      </c>
      <c r="C26483" s="1" t="s">
        <v>23490</v>
      </c>
      <c r="D26483" s="1" t="str">
        <f>HYPERLINK("https://rhld.insurance.arkansas.gov/NPILookup?Npi=1881616092","1881616092")</f>
        <v>1881616092</v>
      </c>
      <c r="E26483" t="s">
        <v>3231</v>
      </c>
    </row>
    <row r="26484" spans="1:5" x14ac:dyDescent="0.25">
      <c r="A26484" t="s">
        <v>10</v>
      </c>
      <c r="B26484" t="s">
        <v>7315</v>
      </c>
      <c r="C26484" s="1" t="s">
        <v>23490</v>
      </c>
      <c r="D26484" s="1" t="str">
        <f>HYPERLINK("https://rhld.insurance.arkansas.gov/NPILookup?Npi=1881664159","1881664159")</f>
        <v>1881664159</v>
      </c>
      <c r="E26484" t="s">
        <v>22662</v>
      </c>
    </row>
    <row r="26485" spans="1:5" x14ac:dyDescent="0.25">
      <c r="A26485" t="s">
        <v>10</v>
      </c>
      <c r="B26485" t="s">
        <v>7315</v>
      </c>
      <c r="C26485" s="1" t="s">
        <v>23490</v>
      </c>
      <c r="D26485" s="1" t="str">
        <f>HYPERLINK("https://rhld.insurance.arkansas.gov/NPILookup?Npi=1881945376","1881945376")</f>
        <v>1881945376</v>
      </c>
      <c r="E26485" t="s">
        <v>16606</v>
      </c>
    </row>
    <row r="26486" spans="1:5" x14ac:dyDescent="0.25">
      <c r="A26486" t="s">
        <v>10</v>
      </c>
      <c r="B26486" t="s">
        <v>7315</v>
      </c>
      <c r="C26486" s="1" t="s">
        <v>23490</v>
      </c>
      <c r="D26486" s="1" t="str">
        <f>HYPERLINK("https://rhld.insurance.arkansas.gov/NPILookup?Npi=1891704227","1891704227")</f>
        <v>1891704227</v>
      </c>
      <c r="E26486" t="s">
        <v>7427</v>
      </c>
    </row>
    <row r="26487" spans="1:5" x14ac:dyDescent="0.25">
      <c r="A26487" t="s">
        <v>10</v>
      </c>
      <c r="B26487" t="s">
        <v>7315</v>
      </c>
      <c r="C26487" s="1" t="s">
        <v>23490</v>
      </c>
      <c r="D26487" s="1" t="str">
        <f>HYPERLINK("https://rhld.insurance.arkansas.gov/NPILookup?Npi=1891791349","1891791349")</f>
        <v>1891791349</v>
      </c>
      <c r="E26487" t="s">
        <v>7428</v>
      </c>
    </row>
    <row r="26488" spans="1:5" x14ac:dyDescent="0.25">
      <c r="A26488" t="s">
        <v>10</v>
      </c>
      <c r="B26488" t="s">
        <v>7315</v>
      </c>
      <c r="C26488" s="1" t="s">
        <v>23490</v>
      </c>
      <c r="D26488" s="1" t="str">
        <f>HYPERLINK("https://rhld.insurance.arkansas.gov/NPILookup?Npi=1902228810","1902228810")</f>
        <v>1902228810</v>
      </c>
      <c r="E26488" t="s">
        <v>17747</v>
      </c>
    </row>
    <row r="26489" spans="1:5" x14ac:dyDescent="0.25">
      <c r="A26489" t="s">
        <v>10</v>
      </c>
      <c r="B26489" t="s">
        <v>7315</v>
      </c>
      <c r="C26489" s="1" t="s">
        <v>23490</v>
      </c>
      <c r="D26489" s="1" t="str">
        <f>HYPERLINK("https://rhld.insurance.arkansas.gov/NPILookup?Npi=1902820004","1902820004")</f>
        <v>1902820004</v>
      </c>
      <c r="E26489" t="s">
        <v>14505</v>
      </c>
    </row>
    <row r="26490" spans="1:5" x14ac:dyDescent="0.25">
      <c r="A26490" t="s">
        <v>10</v>
      </c>
      <c r="B26490" t="s">
        <v>7315</v>
      </c>
      <c r="C26490" s="1" t="s">
        <v>23490</v>
      </c>
      <c r="D26490" s="1" t="str">
        <f>HYPERLINK("https://rhld.insurance.arkansas.gov/NPILookup?Npi=1912163809","1912163809")</f>
        <v>1912163809</v>
      </c>
      <c r="E26490" t="s">
        <v>19145</v>
      </c>
    </row>
    <row r="26491" spans="1:5" x14ac:dyDescent="0.25">
      <c r="A26491" t="s">
        <v>10</v>
      </c>
      <c r="B26491" t="s">
        <v>7315</v>
      </c>
      <c r="C26491" s="1" t="s">
        <v>23490</v>
      </c>
      <c r="D26491" s="1" t="str">
        <f>HYPERLINK("https://rhld.insurance.arkansas.gov/NPILookup?Npi=1912210444","1912210444")</f>
        <v>1912210444</v>
      </c>
      <c r="E26491" t="s">
        <v>8920</v>
      </c>
    </row>
    <row r="26492" spans="1:5" x14ac:dyDescent="0.25">
      <c r="A26492" t="s">
        <v>10</v>
      </c>
      <c r="B26492" t="s">
        <v>7315</v>
      </c>
      <c r="C26492" s="1" t="s">
        <v>23490</v>
      </c>
      <c r="D26492" s="1" t="str">
        <f>HYPERLINK("https://rhld.insurance.arkansas.gov/NPILookup?Npi=1912948928","1912948928")</f>
        <v>1912948928</v>
      </c>
      <c r="E26492" t="s">
        <v>7429</v>
      </c>
    </row>
    <row r="26493" spans="1:5" x14ac:dyDescent="0.25">
      <c r="A26493" t="s">
        <v>10</v>
      </c>
      <c r="B26493" t="s">
        <v>7315</v>
      </c>
      <c r="C26493" s="1" t="s">
        <v>23490</v>
      </c>
      <c r="D26493" s="1" t="str">
        <f>HYPERLINK("https://rhld.insurance.arkansas.gov/NPILookup?Npi=1922019702","1922019702")</f>
        <v>1922019702</v>
      </c>
      <c r="E26493" t="s">
        <v>9276</v>
      </c>
    </row>
    <row r="26494" spans="1:5" x14ac:dyDescent="0.25">
      <c r="A26494" t="s">
        <v>10</v>
      </c>
      <c r="B26494" t="s">
        <v>7315</v>
      </c>
      <c r="C26494" s="1" t="s">
        <v>23490</v>
      </c>
      <c r="D26494" s="1" t="str">
        <f>HYPERLINK("https://rhld.insurance.arkansas.gov/NPILookup?Npi=1922041839","1922041839")</f>
        <v>1922041839</v>
      </c>
      <c r="E26494" t="s">
        <v>7430</v>
      </c>
    </row>
    <row r="26495" spans="1:5" x14ac:dyDescent="0.25">
      <c r="A26495" t="s">
        <v>10</v>
      </c>
      <c r="B26495" t="s">
        <v>7315</v>
      </c>
      <c r="C26495" s="1" t="s">
        <v>23490</v>
      </c>
      <c r="D26495" s="1" t="str">
        <f>HYPERLINK("https://rhld.insurance.arkansas.gov/NPILookup?Npi=1922198597","1922198597")</f>
        <v>1922198597</v>
      </c>
      <c r="E26495" t="s">
        <v>22663</v>
      </c>
    </row>
    <row r="26496" spans="1:5" x14ac:dyDescent="0.25">
      <c r="A26496" t="s">
        <v>10</v>
      </c>
      <c r="B26496" t="s">
        <v>7315</v>
      </c>
      <c r="C26496" s="1" t="s">
        <v>23490</v>
      </c>
      <c r="D26496" s="1" t="str">
        <f>HYPERLINK("https://rhld.insurance.arkansas.gov/NPILookup?Npi=1922269604","1922269604")</f>
        <v>1922269604</v>
      </c>
      <c r="E26496" t="s">
        <v>7431</v>
      </c>
    </row>
    <row r="26497" spans="1:5" x14ac:dyDescent="0.25">
      <c r="A26497" t="s">
        <v>10</v>
      </c>
      <c r="B26497" t="s">
        <v>7315</v>
      </c>
      <c r="C26497" s="1" t="s">
        <v>23490</v>
      </c>
      <c r="D26497" s="1" t="str">
        <f>HYPERLINK("https://rhld.insurance.arkansas.gov/NPILookup?Npi=1932105004","1932105004")</f>
        <v>1932105004</v>
      </c>
      <c r="E26497" t="s">
        <v>6129</v>
      </c>
    </row>
    <row r="26498" spans="1:5" x14ac:dyDescent="0.25">
      <c r="A26498" t="s">
        <v>10</v>
      </c>
      <c r="B26498" t="s">
        <v>7315</v>
      </c>
      <c r="C26498" s="1" t="s">
        <v>23490</v>
      </c>
      <c r="D26498" s="1" t="str">
        <f>HYPERLINK("https://rhld.insurance.arkansas.gov/NPILookup?Npi=1932307691","1932307691")</f>
        <v>1932307691</v>
      </c>
      <c r="E26498" t="s">
        <v>9277</v>
      </c>
    </row>
    <row r="26499" spans="1:5" x14ac:dyDescent="0.25">
      <c r="A26499" t="s">
        <v>10</v>
      </c>
      <c r="B26499" t="s">
        <v>7315</v>
      </c>
      <c r="C26499" s="1" t="s">
        <v>23490</v>
      </c>
      <c r="D26499" s="1" t="str">
        <f>HYPERLINK("https://rhld.insurance.arkansas.gov/NPILookup?Npi=1942267505","1942267505")</f>
        <v>1942267505</v>
      </c>
      <c r="E26499" t="s">
        <v>7432</v>
      </c>
    </row>
    <row r="26500" spans="1:5" x14ac:dyDescent="0.25">
      <c r="A26500" t="s">
        <v>10</v>
      </c>
      <c r="B26500" t="s">
        <v>7315</v>
      </c>
      <c r="C26500" s="1" t="s">
        <v>23490</v>
      </c>
      <c r="D26500" s="1" t="str">
        <f>HYPERLINK("https://rhld.insurance.arkansas.gov/NPILookup?Npi=1952491458","1952491458")</f>
        <v>1952491458</v>
      </c>
      <c r="E26500" t="s">
        <v>7433</v>
      </c>
    </row>
    <row r="26501" spans="1:5" x14ac:dyDescent="0.25">
      <c r="A26501" t="s">
        <v>10</v>
      </c>
      <c r="B26501" t="s">
        <v>7315</v>
      </c>
      <c r="C26501" s="1" t="s">
        <v>23490</v>
      </c>
      <c r="D26501" s="1" t="str">
        <f>HYPERLINK("https://rhld.insurance.arkansas.gov/NPILookup?Npi=1952549602","1952549602")</f>
        <v>1952549602</v>
      </c>
      <c r="E26501" t="s">
        <v>7434</v>
      </c>
    </row>
    <row r="26502" spans="1:5" x14ac:dyDescent="0.25">
      <c r="A26502" t="s">
        <v>10</v>
      </c>
      <c r="B26502" t="s">
        <v>7315</v>
      </c>
      <c r="C26502" s="1" t="s">
        <v>23490</v>
      </c>
      <c r="D26502" s="1" t="str">
        <f>HYPERLINK("https://rhld.insurance.arkansas.gov/NPILookup?Npi=1952620544","1952620544")</f>
        <v>1952620544</v>
      </c>
      <c r="E26502" t="s">
        <v>20752</v>
      </c>
    </row>
    <row r="26503" spans="1:5" x14ac:dyDescent="0.25">
      <c r="A26503" t="s">
        <v>10</v>
      </c>
      <c r="B26503" t="s">
        <v>7315</v>
      </c>
      <c r="C26503" s="1" t="s">
        <v>23490</v>
      </c>
      <c r="D26503" s="1" t="str">
        <f>HYPERLINK("https://rhld.insurance.arkansas.gov/NPILookup?Npi=1952667503","1952667503")</f>
        <v>1952667503</v>
      </c>
      <c r="E26503" t="s">
        <v>16607</v>
      </c>
    </row>
    <row r="26504" spans="1:5" x14ac:dyDescent="0.25">
      <c r="A26504" t="s">
        <v>10</v>
      </c>
      <c r="B26504" t="s">
        <v>7315</v>
      </c>
      <c r="C26504" s="1" t="s">
        <v>23490</v>
      </c>
      <c r="D26504" s="1" t="str">
        <f>HYPERLINK("https://rhld.insurance.arkansas.gov/NPILookup?Npi=1952784266","1952784266")</f>
        <v>1952784266</v>
      </c>
      <c r="E26504" t="s">
        <v>19146</v>
      </c>
    </row>
    <row r="26505" spans="1:5" x14ac:dyDescent="0.25">
      <c r="A26505" t="s">
        <v>10</v>
      </c>
      <c r="B26505" t="s">
        <v>7315</v>
      </c>
      <c r="C26505" s="1" t="s">
        <v>23490</v>
      </c>
      <c r="D26505" s="1" t="str">
        <f>HYPERLINK("https://rhld.insurance.arkansas.gov/NPILookup?Npi=1952786634","1952786634")</f>
        <v>1952786634</v>
      </c>
      <c r="E26505" t="s">
        <v>19147</v>
      </c>
    </row>
    <row r="26506" spans="1:5" x14ac:dyDescent="0.25">
      <c r="A26506" t="s">
        <v>10</v>
      </c>
      <c r="B26506" t="s">
        <v>7315</v>
      </c>
      <c r="C26506" s="1" t="s">
        <v>23490</v>
      </c>
      <c r="D26506" s="1" t="str">
        <f>HYPERLINK("https://rhld.insurance.arkansas.gov/NPILookup?Npi=1962451245","1962451245")</f>
        <v>1962451245</v>
      </c>
      <c r="E26506" t="s">
        <v>7435</v>
      </c>
    </row>
    <row r="26507" spans="1:5" x14ac:dyDescent="0.25">
      <c r="A26507" t="s">
        <v>10</v>
      </c>
      <c r="B26507" t="s">
        <v>7315</v>
      </c>
      <c r="C26507" s="1" t="s">
        <v>23490</v>
      </c>
      <c r="D26507" s="1" t="str">
        <f>HYPERLINK("https://rhld.insurance.arkansas.gov/NPILookup?Npi=1972537090","1972537090")</f>
        <v>1972537090</v>
      </c>
      <c r="E26507" t="s">
        <v>7436</v>
      </c>
    </row>
    <row r="26508" spans="1:5" x14ac:dyDescent="0.25">
      <c r="A26508" t="s">
        <v>10</v>
      </c>
      <c r="B26508" t="s">
        <v>7315</v>
      </c>
      <c r="C26508" s="1" t="s">
        <v>23490</v>
      </c>
      <c r="D26508" s="1" t="str">
        <f>HYPERLINK("https://rhld.insurance.arkansas.gov/NPILookup?Npi=1972594208","1972594208")</f>
        <v>1972594208</v>
      </c>
      <c r="E26508" t="s">
        <v>7437</v>
      </c>
    </row>
    <row r="26509" spans="1:5" x14ac:dyDescent="0.25">
      <c r="A26509" t="s">
        <v>10</v>
      </c>
      <c r="B26509" t="s">
        <v>7315</v>
      </c>
      <c r="C26509" s="1" t="s">
        <v>23490</v>
      </c>
      <c r="D26509" s="1" t="str">
        <f>HYPERLINK("https://rhld.insurance.arkansas.gov/NPILookup?Npi=1972948081","1972948081")</f>
        <v>1972948081</v>
      </c>
      <c r="E26509" t="s">
        <v>16608</v>
      </c>
    </row>
    <row r="26510" spans="1:5" x14ac:dyDescent="0.25">
      <c r="A26510" t="s">
        <v>10</v>
      </c>
      <c r="B26510" t="s">
        <v>7315</v>
      </c>
      <c r="C26510" s="1" t="s">
        <v>23490</v>
      </c>
      <c r="D26510" s="1" t="str">
        <f>HYPERLINK("https://rhld.insurance.arkansas.gov/NPILookup?Npi=1982691804","1982691804")</f>
        <v>1982691804</v>
      </c>
      <c r="E26510" t="s">
        <v>7438</v>
      </c>
    </row>
    <row r="26511" spans="1:5" x14ac:dyDescent="0.25">
      <c r="A26511" t="s">
        <v>10</v>
      </c>
      <c r="B26511" t="s">
        <v>7315</v>
      </c>
      <c r="C26511" s="1" t="s">
        <v>23490</v>
      </c>
      <c r="D26511" s="1" t="str">
        <f>HYPERLINK("https://rhld.insurance.arkansas.gov/NPILookup?Npi=1982803631","1982803631")</f>
        <v>1982803631</v>
      </c>
      <c r="E26511" t="s">
        <v>22664</v>
      </c>
    </row>
    <row r="26512" spans="1:5" x14ac:dyDescent="0.25">
      <c r="A26512" t="s">
        <v>10</v>
      </c>
      <c r="B26512" t="s">
        <v>7315</v>
      </c>
      <c r="C26512" s="1" t="s">
        <v>23490</v>
      </c>
      <c r="D26512" s="1" t="str">
        <f>HYPERLINK("https://rhld.insurance.arkansas.gov/NPILookup?Npi=1982933909","1982933909")</f>
        <v>1982933909</v>
      </c>
      <c r="E26512" t="s">
        <v>14506</v>
      </c>
    </row>
    <row r="26513" spans="1:5" x14ac:dyDescent="0.25">
      <c r="A26513" t="s">
        <v>10</v>
      </c>
      <c r="B26513" t="s">
        <v>7315</v>
      </c>
      <c r="C26513" s="1" t="s">
        <v>23490</v>
      </c>
      <c r="D26513" s="1" t="str">
        <f>HYPERLINK("https://rhld.insurance.arkansas.gov/NPILookup?Npi=1992146955","1992146955")</f>
        <v>1992146955</v>
      </c>
      <c r="E26513" t="s">
        <v>22665</v>
      </c>
    </row>
    <row r="26514" spans="1:5" x14ac:dyDescent="0.25">
      <c r="A26514" t="s">
        <v>11</v>
      </c>
      <c r="B26514" t="s">
        <v>7439</v>
      </c>
      <c r="C26514" s="1" t="s">
        <v>23490</v>
      </c>
      <c r="D26514" s="1" t="str">
        <f>HYPERLINK("https://rhld.insurance.arkansas.gov/NPILookup?Npi=1003133224","1003133224")</f>
        <v>1003133224</v>
      </c>
      <c r="E26514" t="s">
        <v>7440</v>
      </c>
    </row>
    <row r="26515" spans="1:5" x14ac:dyDescent="0.25">
      <c r="A26515" t="s">
        <v>11</v>
      </c>
      <c r="B26515" t="s">
        <v>7439</v>
      </c>
      <c r="C26515" s="1" t="s">
        <v>23490</v>
      </c>
      <c r="D26515" s="1" t="str">
        <f>HYPERLINK("https://rhld.insurance.arkansas.gov/NPILookup?Npi=1003874801","1003874801")</f>
        <v>1003874801</v>
      </c>
      <c r="E26515" t="s">
        <v>7441</v>
      </c>
    </row>
    <row r="26516" spans="1:5" x14ac:dyDescent="0.25">
      <c r="A26516" t="s">
        <v>11</v>
      </c>
      <c r="B26516" t="s">
        <v>7439</v>
      </c>
      <c r="C26516" s="1" t="s">
        <v>23490</v>
      </c>
      <c r="D26516" s="1" t="str">
        <f>HYPERLINK("https://rhld.insurance.arkansas.gov/NPILookup?Npi=1013283456","1013283456")</f>
        <v>1013283456</v>
      </c>
      <c r="E26516" t="s">
        <v>11429</v>
      </c>
    </row>
    <row r="26517" spans="1:5" x14ac:dyDescent="0.25">
      <c r="A26517" t="s">
        <v>11</v>
      </c>
      <c r="B26517" t="s">
        <v>7439</v>
      </c>
      <c r="C26517" s="1" t="s">
        <v>23490</v>
      </c>
      <c r="D26517" s="1" t="str">
        <f>HYPERLINK("https://rhld.insurance.arkansas.gov/NPILookup?Npi=1013975978","1013975978")</f>
        <v>1013975978</v>
      </c>
      <c r="E26517" t="s">
        <v>4765</v>
      </c>
    </row>
    <row r="26518" spans="1:5" x14ac:dyDescent="0.25">
      <c r="A26518" t="s">
        <v>11</v>
      </c>
      <c r="B26518" t="s">
        <v>7439</v>
      </c>
      <c r="C26518" s="1" t="s">
        <v>23490</v>
      </c>
      <c r="D26518" s="1" t="str">
        <f>HYPERLINK("https://rhld.insurance.arkansas.gov/NPILookup?Npi=1043290836","1043290836")</f>
        <v>1043290836</v>
      </c>
      <c r="E26518" t="s">
        <v>10602</v>
      </c>
    </row>
    <row r="26519" spans="1:5" x14ac:dyDescent="0.25">
      <c r="A26519" t="s">
        <v>11</v>
      </c>
      <c r="B26519" t="s">
        <v>7439</v>
      </c>
      <c r="C26519" s="1" t="s">
        <v>23490</v>
      </c>
      <c r="D26519" s="1" t="str">
        <f>HYPERLINK("https://rhld.insurance.arkansas.gov/NPILookup?Npi=1043482276","1043482276")</f>
        <v>1043482276</v>
      </c>
      <c r="E26519" t="s">
        <v>7442</v>
      </c>
    </row>
    <row r="26520" spans="1:5" x14ac:dyDescent="0.25">
      <c r="A26520" t="s">
        <v>11</v>
      </c>
      <c r="B26520" t="s">
        <v>7439</v>
      </c>
      <c r="C26520" s="1" t="s">
        <v>8427</v>
      </c>
      <c r="D26520" s="1" t="str">
        <f>HYPERLINK("https://rhld.insurance.arkansas.gov/NPILookup?Npi=1043740368","1043740368")</f>
        <v>1043740368</v>
      </c>
      <c r="E26520" t="s">
        <v>23314</v>
      </c>
    </row>
    <row r="26521" spans="1:5" x14ac:dyDescent="0.25">
      <c r="A26521" t="s">
        <v>11</v>
      </c>
      <c r="B26521" t="s">
        <v>7439</v>
      </c>
      <c r="C26521" s="1" t="s">
        <v>23490</v>
      </c>
      <c r="D26521" s="1" t="str">
        <f>HYPERLINK("https://rhld.insurance.arkansas.gov/NPILookup?Npi=1053504662","1053504662")</f>
        <v>1053504662</v>
      </c>
      <c r="E26521" t="s">
        <v>7443</v>
      </c>
    </row>
    <row r="26522" spans="1:5" x14ac:dyDescent="0.25">
      <c r="A26522" t="s">
        <v>11</v>
      </c>
      <c r="B26522" t="s">
        <v>7439</v>
      </c>
      <c r="C26522" s="1" t="s">
        <v>23490</v>
      </c>
      <c r="D26522" s="1" t="str">
        <f>HYPERLINK("https://rhld.insurance.arkansas.gov/NPILookup?Npi=1053597674","1053597674")</f>
        <v>1053597674</v>
      </c>
      <c r="E26522" t="s">
        <v>7444</v>
      </c>
    </row>
    <row r="26523" spans="1:5" x14ac:dyDescent="0.25">
      <c r="A26523" t="s">
        <v>11</v>
      </c>
      <c r="B26523" t="s">
        <v>7439</v>
      </c>
      <c r="C26523" s="1" t="s">
        <v>23490</v>
      </c>
      <c r="D26523" s="1" t="str">
        <f>HYPERLINK("https://rhld.insurance.arkansas.gov/NPILookup?Npi=1063431328","1063431328")</f>
        <v>1063431328</v>
      </c>
      <c r="E26523" t="s">
        <v>18553</v>
      </c>
    </row>
    <row r="26524" spans="1:5" x14ac:dyDescent="0.25">
      <c r="A26524" t="s">
        <v>11</v>
      </c>
      <c r="B26524" t="s">
        <v>7439</v>
      </c>
      <c r="C26524" s="1" t="s">
        <v>23490</v>
      </c>
      <c r="D26524" s="1" t="str">
        <f>HYPERLINK("https://rhld.insurance.arkansas.gov/NPILookup?Npi=1073967048","1073967048")</f>
        <v>1073967048</v>
      </c>
      <c r="E26524" t="s">
        <v>19148</v>
      </c>
    </row>
    <row r="26525" spans="1:5" x14ac:dyDescent="0.25">
      <c r="A26525" t="s">
        <v>11</v>
      </c>
      <c r="B26525" t="s">
        <v>7439</v>
      </c>
      <c r="C26525" s="1" t="s">
        <v>23490</v>
      </c>
      <c r="D26525" s="1" t="str">
        <f>HYPERLINK("https://rhld.insurance.arkansas.gov/NPILookup?Npi=1083872832","1083872832")</f>
        <v>1083872832</v>
      </c>
      <c r="E26525" t="s">
        <v>7445</v>
      </c>
    </row>
    <row r="26526" spans="1:5" x14ac:dyDescent="0.25">
      <c r="A26526" t="s">
        <v>11</v>
      </c>
      <c r="B26526" t="s">
        <v>7439</v>
      </c>
      <c r="C26526" s="1" t="s">
        <v>23490</v>
      </c>
      <c r="D26526" s="1" t="str">
        <f>HYPERLINK("https://rhld.insurance.arkansas.gov/NPILookup?Npi=1093807638","1093807638")</f>
        <v>1093807638</v>
      </c>
      <c r="E26526" t="s">
        <v>356</v>
      </c>
    </row>
    <row r="26527" spans="1:5" x14ac:dyDescent="0.25">
      <c r="A26527" t="s">
        <v>11</v>
      </c>
      <c r="B26527" t="s">
        <v>7439</v>
      </c>
      <c r="C26527" s="1" t="s">
        <v>23490</v>
      </c>
      <c r="D26527" s="1" t="str">
        <f>HYPERLINK("https://rhld.insurance.arkansas.gov/NPILookup?Npi=1093912479","1093912479")</f>
        <v>1093912479</v>
      </c>
      <c r="E26527" t="s">
        <v>16609</v>
      </c>
    </row>
    <row r="26528" spans="1:5" x14ac:dyDescent="0.25">
      <c r="A26528" t="s">
        <v>11</v>
      </c>
      <c r="B26528" t="s">
        <v>7439</v>
      </c>
      <c r="C26528" s="1" t="s">
        <v>23490</v>
      </c>
      <c r="D26528" s="1" t="str">
        <f>HYPERLINK("https://rhld.insurance.arkansas.gov/NPILookup?Npi=1104833326","1104833326")</f>
        <v>1104833326</v>
      </c>
      <c r="E26528" t="s">
        <v>12109</v>
      </c>
    </row>
    <row r="26529" spans="1:5" x14ac:dyDescent="0.25">
      <c r="A26529" t="s">
        <v>11</v>
      </c>
      <c r="B26529" t="s">
        <v>7439</v>
      </c>
      <c r="C26529" s="1" t="s">
        <v>23490</v>
      </c>
      <c r="D26529" s="1" t="str">
        <f>HYPERLINK("https://rhld.insurance.arkansas.gov/NPILookup?Npi=1114911369","1114911369")</f>
        <v>1114911369</v>
      </c>
      <c r="E26529" t="s">
        <v>7446</v>
      </c>
    </row>
    <row r="26530" spans="1:5" x14ac:dyDescent="0.25">
      <c r="A26530" t="s">
        <v>11</v>
      </c>
      <c r="B26530" t="s">
        <v>7439</v>
      </c>
      <c r="C26530" s="1" t="s">
        <v>23490</v>
      </c>
      <c r="D26530" s="1" t="str">
        <f>HYPERLINK("https://rhld.insurance.arkansas.gov/NPILookup?Npi=1124049895","1124049895")</f>
        <v>1124049895</v>
      </c>
      <c r="E26530" t="s">
        <v>7447</v>
      </c>
    </row>
    <row r="26531" spans="1:5" x14ac:dyDescent="0.25">
      <c r="A26531" t="s">
        <v>11</v>
      </c>
      <c r="B26531" t="s">
        <v>7439</v>
      </c>
      <c r="C26531" s="1" t="s">
        <v>23490</v>
      </c>
      <c r="D26531" s="1" t="str">
        <f>HYPERLINK("https://rhld.insurance.arkansas.gov/NPILookup?Npi=1124414883","1124414883")</f>
        <v>1124414883</v>
      </c>
      <c r="E26531" t="s">
        <v>19149</v>
      </c>
    </row>
    <row r="26532" spans="1:5" x14ac:dyDescent="0.25">
      <c r="A26532" t="s">
        <v>11</v>
      </c>
      <c r="B26532" t="s">
        <v>7439</v>
      </c>
      <c r="C26532" s="1" t="s">
        <v>8427</v>
      </c>
      <c r="D26532" s="1" t="str">
        <f>HYPERLINK("https://rhld.insurance.arkansas.gov/NPILookup?Npi=1124569306","1124569306")</f>
        <v>1124569306</v>
      </c>
      <c r="E26532" t="s">
        <v>23315</v>
      </c>
    </row>
    <row r="26533" spans="1:5" x14ac:dyDescent="0.25">
      <c r="A26533" t="s">
        <v>11</v>
      </c>
      <c r="B26533" t="s">
        <v>7439</v>
      </c>
      <c r="C26533" s="1" t="s">
        <v>23490</v>
      </c>
      <c r="D26533" s="1" t="str">
        <f>HYPERLINK("https://rhld.insurance.arkansas.gov/NPILookup?Npi=1134181910","1134181910")</f>
        <v>1134181910</v>
      </c>
      <c r="E26533" t="s">
        <v>7448</v>
      </c>
    </row>
    <row r="26534" spans="1:5" x14ac:dyDescent="0.25">
      <c r="A26534" t="s">
        <v>11</v>
      </c>
      <c r="B26534" t="s">
        <v>7439</v>
      </c>
      <c r="C26534" s="1" t="s">
        <v>23490</v>
      </c>
      <c r="D26534" s="1" t="str">
        <f>HYPERLINK("https://rhld.insurance.arkansas.gov/NPILookup?Npi=1134214893","1134214893")</f>
        <v>1134214893</v>
      </c>
      <c r="E26534" t="s">
        <v>472</v>
      </c>
    </row>
    <row r="26535" spans="1:5" x14ac:dyDescent="0.25">
      <c r="A26535" t="s">
        <v>11</v>
      </c>
      <c r="B26535" t="s">
        <v>7439</v>
      </c>
      <c r="C26535" s="1" t="s">
        <v>23490</v>
      </c>
      <c r="D26535" s="1" t="str">
        <f>HYPERLINK("https://rhld.insurance.arkansas.gov/NPILookup?Npi=1134448467","1134448467")</f>
        <v>1134448467</v>
      </c>
      <c r="E26535" t="s">
        <v>20753</v>
      </c>
    </row>
    <row r="26536" spans="1:5" x14ac:dyDescent="0.25">
      <c r="A26536" t="s">
        <v>11</v>
      </c>
      <c r="B26536" t="s">
        <v>7439</v>
      </c>
      <c r="C26536" s="1" t="s">
        <v>23490</v>
      </c>
      <c r="D26536" s="1" t="str">
        <f>HYPERLINK("https://rhld.insurance.arkansas.gov/NPILookup?Npi=1144575960","1144575960")</f>
        <v>1144575960</v>
      </c>
      <c r="E26536" t="s">
        <v>20754</v>
      </c>
    </row>
    <row r="26537" spans="1:5" x14ac:dyDescent="0.25">
      <c r="A26537" t="s">
        <v>11</v>
      </c>
      <c r="B26537" t="s">
        <v>7439</v>
      </c>
      <c r="C26537" s="1" t="s">
        <v>23490</v>
      </c>
      <c r="D26537" s="1" t="str">
        <f>HYPERLINK("https://rhld.insurance.arkansas.gov/NPILookup?Npi=1154359099","1154359099")</f>
        <v>1154359099</v>
      </c>
      <c r="E26537" t="s">
        <v>7450</v>
      </c>
    </row>
    <row r="26538" spans="1:5" x14ac:dyDescent="0.25">
      <c r="A26538" t="s">
        <v>11</v>
      </c>
      <c r="B26538" t="s">
        <v>7439</v>
      </c>
      <c r="C26538" s="1" t="s">
        <v>23490</v>
      </c>
      <c r="D26538" s="1" t="str">
        <f>HYPERLINK("https://rhld.insurance.arkansas.gov/NPILookup?Npi=1164626248","1164626248")</f>
        <v>1164626248</v>
      </c>
      <c r="E26538" t="s">
        <v>9278</v>
      </c>
    </row>
    <row r="26539" spans="1:5" x14ac:dyDescent="0.25">
      <c r="A26539" t="s">
        <v>11</v>
      </c>
      <c r="B26539" t="s">
        <v>7439</v>
      </c>
      <c r="C26539" s="1" t="s">
        <v>23490</v>
      </c>
      <c r="D26539" s="1" t="str">
        <f>HYPERLINK("https://rhld.insurance.arkansas.gov/NPILookup?Npi=1184875387","1184875387")</f>
        <v>1184875387</v>
      </c>
      <c r="E26539" t="s">
        <v>19150</v>
      </c>
    </row>
    <row r="26540" spans="1:5" x14ac:dyDescent="0.25">
      <c r="A26540" t="s">
        <v>11</v>
      </c>
      <c r="B26540" t="s">
        <v>7439</v>
      </c>
      <c r="C26540" s="1" t="s">
        <v>23490</v>
      </c>
      <c r="D26540" s="1" t="str">
        <f>HYPERLINK("https://rhld.insurance.arkansas.gov/NPILookup?Npi=1194782235","1194782235")</f>
        <v>1194782235</v>
      </c>
      <c r="E26540" t="s">
        <v>7451</v>
      </c>
    </row>
    <row r="26541" spans="1:5" x14ac:dyDescent="0.25">
      <c r="A26541" t="s">
        <v>11</v>
      </c>
      <c r="B26541" t="s">
        <v>7439</v>
      </c>
      <c r="C26541" s="1" t="s">
        <v>23490</v>
      </c>
      <c r="D26541" s="1" t="str">
        <f>HYPERLINK("https://rhld.insurance.arkansas.gov/NPILookup?Npi=1205219334","1205219334")</f>
        <v>1205219334</v>
      </c>
      <c r="E26541" t="s">
        <v>19151</v>
      </c>
    </row>
    <row r="26542" spans="1:5" x14ac:dyDescent="0.25">
      <c r="A26542" t="s">
        <v>11</v>
      </c>
      <c r="B26542" t="s">
        <v>7439</v>
      </c>
      <c r="C26542" s="1" t="s">
        <v>23490</v>
      </c>
      <c r="D26542" s="1" t="str">
        <f>HYPERLINK("https://rhld.insurance.arkansas.gov/NPILookup?Npi=1205830056","1205830056")</f>
        <v>1205830056</v>
      </c>
      <c r="E26542" t="s">
        <v>7452</v>
      </c>
    </row>
    <row r="26543" spans="1:5" x14ac:dyDescent="0.25">
      <c r="A26543" t="s">
        <v>11</v>
      </c>
      <c r="B26543" t="s">
        <v>7439</v>
      </c>
      <c r="C26543" s="1" t="s">
        <v>23490</v>
      </c>
      <c r="D26543" s="1" t="str">
        <f>HYPERLINK("https://rhld.insurance.arkansas.gov/NPILookup?Npi=1205903663","1205903663")</f>
        <v>1205903663</v>
      </c>
      <c r="E26543" t="s">
        <v>16610</v>
      </c>
    </row>
    <row r="26544" spans="1:5" x14ac:dyDescent="0.25">
      <c r="A26544" t="s">
        <v>11</v>
      </c>
      <c r="B26544" t="s">
        <v>7439</v>
      </c>
      <c r="C26544" s="1" t="s">
        <v>23490</v>
      </c>
      <c r="D26544" s="1" t="str">
        <f>HYPERLINK("https://rhld.insurance.arkansas.gov/NPILookup?Npi=1225253248","1225253248")</f>
        <v>1225253248</v>
      </c>
      <c r="E26544" t="s">
        <v>7453</v>
      </c>
    </row>
    <row r="26545" spans="1:5" x14ac:dyDescent="0.25">
      <c r="A26545" t="s">
        <v>11</v>
      </c>
      <c r="B26545" t="s">
        <v>7439</v>
      </c>
      <c r="C26545" s="1" t="s">
        <v>23490</v>
      </c>
      <c r="D26545" s="1" t="str">
        <f>HYPERLINK("https://rhld.insurance.arkansas.gov/NPILookup?Npi=1235410739","1235410739")</f>
        <v>1235410739</v>
      </c>
      <c r="E26545" t="s">
        <v>17304</v>
      </c>
    </row>
    <row r="26546" spans="1:5" x14ac:dyDescent="0.25">
      <c r="A26546" t="s">
        <v>11</v>
      </c>
      <c r="B26546" t="s">
        <v>7439</v>
      </c>
      <c r="C26546" s="1" t="s">
        <v>23490</v>
      </c>
      <c r="D26546" s="1" t="str">
        <f>HYPERLINK("https://rhld.insurance.arkansas.gov/NPILookup?Npi=1245203371","1245203371")</f>
        <v>1245203371</v>
      </c>
      <c r="E26546" t="s">
        <v>7454</v>
      </c>
    </row>
    <row r="26547" spans="1:5" x14ac:dyDescent="0.25">
      <c r="A26547" t="s">
        <v>11</v>
      </c>
      <c r="B26547" t="s">
        <v>7439</v>
      </c>
      <c r="C26547" s="1" t="s">
        <v>23490</v>
      </c>
      <c r="D26547" s="1" t="str">
        <f>HYPERLINK("https://rhld.insurance.arkansas.gov/NPILookup?Npi=1255379970","1255379970")</f>
        <v>1255379970</v>
      </c>
      <c r="E26547" t="s">
        <v>16611</v>
      </c>
    </row>
    <row r="26548" spans="1:5" x14ac:dyDescent="0.25">
      <c r="A26548" t="s">
        <v>11</v>
      </c>
      <c r="B26548" t="s">
        <v>7439</v>
      </c>
      <c r="C26548" s="1" t="s">
        <v>23490</v>
      </c>
      <c r="D26548" s="1" t="str">
        <f>HYPERLINK("https://rhld.insurance.arkansas.gov/NPILookup?Npi=1275742884","1275742884")</f>
        <v>1275742884</v>
      </c>
      <c r="E26548" t="s">
        <v>7455</v>
      </c>
    </row>
    <row r="26549" spans="1:5" x14ac:dyDescent="0.25">
      <c r="A26549" t="s">
        <v>11</v>
      </c>
      <c r="B26549" t="s">
        <v>7439</v>
      </c>
      <c r="C26549" s="1" t="s">
        <v>23490</v>
      </c>
      <c r="D26549" s="1" t="str">
        <f>HYPERLINK("https://rhld.insurance.arkansas.gov/NPILookup?Npi=1275744112","1275744112")</f>
        <v>1275744112</v>
      </c>
      <c r="E26549" t="s">
        <v>7456</v>
      </c>
    </row>
    <row r="26550" spans="1:5" x14ac:dyDescent="0.25">
      <c r="A26550" t="s">
        <v>11</v>
      </c>
      <c r="B26550" t="s">
        <v>7439</v>
      </c>
      <c r="C26550" s="1" t="s">
        <v>23490</v>
      </c>
      <c r="D26550" s="1" t="str">
        <f>HYPERLINK("https://rhld.insurance.arkansas.gov/NPILookup?Npi=1285908509","1285908509")</f>
        <v>1285908509</v>
      </c>
      <c r="E26550" t="s">
        <v>21434</v>
      </c>
    </row>
    <row r="26551" spans="1:5" x14ac:dyDescent="0.25">
      <c r="A26551" t="s">
        <v>11</v>
      </c>
      <c r="B26551" t="s">
        <v>7439</v>
      </c>
      <c r="C26551" s="1" t="s">
        <v>23490</v>
      </c>
      <c r="D26551" s="1" t="str">
        <f>HYPERLINK("https://rhld.insurance.arkansas.gov/NPILookup?Npi=1295925840","1295925840")</f>
        <v>1295925840</v>
      </c>
      <c r="E26551" t="s">
        <v>7457</v>
      </c>
    </row>
    <row r="26552" spans="1:5" x14ac:dyDescent="0.25">
      <c r="A26552" t="s">
        <v>11</v>
      </c>
      <c r="B26552" t="s">
        <v>7439</v>
      </c>
      <c r="C26552" s="1" t="s">
        <v>23490</v>
      </c>
      <c r="D26552" s="1" t="str">
        <f>HYPERLINK("https://rhld.insurance.arkansas.gov/NPILookup?Npi=1306936877","1306936877")</f>
        <v>1306936877</v>
      </c>
      <c r="E26552" t="s">
        <v>130</v>
      </c>
    </row>
    <row r="26553" spans="1:5" x14ac:dyDescent="0.25">
      <c r="A26553" t="s">
        <v>11</v>
      </c>
      <c r="B26553" t="s">
        <v>7439</v>
      </c>
      <c r="C26553" s="1" t="s">
        <v>23490</v>
      </c>
      <c r="D26553" s="1" t="str">
        <f>HYPERLINK("https://rhld.insurance.arkansas.gov/NPILookup?Npi=1316100654","1316100654")</f>
        <v>1316100654</v>
      </c>
      <c r="E26553" t="s">
        <v>7458</v>
      </c>
    </row>
    <row r="26554" spans="1:5" x14ac:dyDescent="0.25">
      <c r="A26554" t="s">
        <v>11</v>
      </c>
      <c r="B26554" t="s">
        <v>7439</v>
      </c>
      <c r="C26554" s="1" t="s">
        <v>23490</v>
      </c>
      <c r="D26554" s="1" t="str">
        <f>HYPERLINK("https://rhld.insurance.arkansas.gov/NPILookup?Npi=1326087941","1326087941")</f>
        <v>1326087941</v>
      </c>
      <c r="E26554" t="s">
        <v>3662</v>
      </c>
    </row>
    <row r="26555" spans="1:5" x14ac:dyDescent="0.25">
      <c r="A26555" t="s">
        <v>11</v>
      </c>
      <c r="B26555" t="s">
        <v>7439</v>
      </c>
      <c r="C26555" s="1" t="s">
        <v>23490</v>
      </c>
      <c r="D26555" s="1" t="str">
        <f>HYPERLINK("https://rhld.insurance.arkansas.gov/NPILookup?Npi=1336437078","1336437078")</f>
        <v>1336437078</v>
      </c>
      <c r="E26555" t="s">
        <v>16612</v>
      </c>
    </row>
    <row r="26556" spans="1:5" x14ac:dyDescent="0.25">
      <c r="A26556" t="s">
        <v>11</v>
      </c>
      <c r="B26556" t="s">
        <v>7439</v>
      </c>
      <c r="C26556" s="1" t="s">
        <v>23490</v>
      </c>
      <c r="D26556" s="1" t="str">
        <f>HYPERLINK("https://rhld.insurance.arkansas.gov/NPILookup?Npi=1336581735","1336581735")</f>
        <v>1336581735</v>
      </c>
      <c r="E26556" t="s">
        <v>15022</v>
      </c>
    </row>
    <row r="26557" spans="1:5" x14ac:dyDescent="0.25">
      <c r="A26557" t="s">
        <v>11</v>
      </c>
      <c r="B26557" t="s">
        <v>7439</v>
      </c>
      <c r="C26557" s="1" t="s">
        <v>23490</v>
      </c>
      <c r="D26557" s="1" t="str">
        <f>HYPERLINK("https://rhld.insurance.arkansas.gov/NPILookup?Npi=1346201639","1346201639")</f>
        <v>1346201639</v>
      </c>
      <c r="E26557" t="s">
        <v>11450</v>
      </c>
    </row>
    <row r="26558" spans="1:5" x14ac:dyDescent="0.25">
      <c r="A26558" t="s">
        <v>11</v>
      </c>
      <c r="B26558" t="s">
        <v>7439</v>
      </c>
      <c r="C26558" s="1" t="s">
        <v>23490</v>
      </c>
      <c r="D26558" s="1" t="str">
        <f>HYPERLINK("https://rhld.insurance.arkansas.gov/NPILookup?Npi=1356554281","1356554281")</f>
        <v>1356554281</v>
      </c>
      <c r="E26558" t="s">
        <v>10859</v>
      </c>
    </row>
    <row r="26559" spans="1:5" x14ac:dyDescent="0.25">
      <c r="A26559" t="s">
        <v>11</v>
      </c>
      <c r="B26559" t="s">
        <v>7439</v>
      </c>
      <c r="C26559" s="1" t="s">
        <v>23490</v>
      </c>
      <c r="D26559" s="1" t="str">
        <f>HYPERLINK("https://rhld.insurance.arkansas.gov/NPILookup?Npi=1356792212","1356792212")</f>
        <v>1356792212</v>
      </c>
      <c r="E26559" t="s">
        <v>21298</v>
      </c>
    </row>
    <row r="26560" spans="1:5" x14ac:dyDescent="0.25">
      <c r="A26560" t="s">
        <v>11</v>
      </c>
      <c r="B26560" t="s">
        <v>7439</v>
      </c>
      <c r="C26560" s="1" t="s">
        <v>23490</v>
      </c>
      <c r="D26560" s="1" t="str">
        <f>HYPERLINK("https://rhld.insurance.arkansas.gov/NPILookup?Npi=1366635807","1366635807")</f>
        <v>1366635807</v>
      </c>
      <c r="E26560" t="s">
        <v>16613</v>
      </c>
    </row>
    <row r="26561" spans="1:5" x14ac:dyDescent="0.25">
      <c r="A26561" t="s">
        <v>11</v>
      </c>
      <c r="B26561" t="s">
        <v>7439</v>
      </c>
      <c r="C26561" s="1" t="s">
        <v>23490</v>
      </c>
      <c r="D26561" s="1" t="str">
        <f>HYPERLINK("https://rhld.insurance.arkansas.gov/NPILookup?Npi=1376564047","1376564047")</f>
        <v>1376564047</v>
      </c>
      <c r="E26561" t="s">
        <v>7459</v>
      </c>
    </row>
    <row r="26562" spans="1:5" x14ac:dyDescent="0.25">
      <c r="A26562" t="s">
        <v>11</v>
      </c>
      <c r="B26562" t="s">
        <v>7439</v>
      </c>
      <c r="C26562" s="1" t="s">
        <v>23490</v>
      </c>
      <c r="D26562" s="1" t="str">
        <f>HYPERLINK("https://rhld.insurance.arkansas.gov/NPILookup?Npi=1386876043","1386876043")</f>
        <v>1386876043</v>
      </c>
      <c r="E26562" t="s">
        <v>11452</v>
      </c>
    </row>
    <row r="26563" spans="1:5" x14ac:dyDescent="0.25">
      <c r="A26563" t="s">
        <v>11</v>
      </c>
      <c r="B26563" t="s">
        <v>7439</v>
      </c>
      <c r="C26563" s="1" t="s">
        <v>23490</v>
      </c>
      <c r="D26563" s="1" t="str">
        <f>HYPERLINK("https://rhld.insurance.arkansas.gov/NPILookup?Npi=1396835872","1396835872")</f>
        <v>1396835872</v>
      </c>
      <c r="E26563" t="s">
        <v>7460</v>
      </c>
    </row>
    <row r="26564" spans="1:5" x14ac:dyDescent="0.25">
      <c r="A26564" t="s">
        <v>11</v>
      </c>
      <c r="B26564" t="s">
        <v>7439</v>
      </c>
      <c r="C26564" s="1" t="s">
        <v>23490</v>
      </c>
      <c r="D26564" s="1" t="str">
        <f>HYPERLINK("https://rhld.insurance.arkansas.gov/NPILookup?Npi=1396854352","1396854352")</f>
        <v>1396854352</v>
      </c>
      <c r="E26564" t="s">
        <v>7461</v>
      </c>
    </row>
    <row r="26565" spans="1:5" x14ac:dyDescent="0.25">
      <c r="A26565" t="s">
        <v>11</v>
      </c>
      <c r="B26565" t="s">
        <v>7439</v>
      </c>
      <c r="C26565" s="1" t="s">
        <v>23490</v>
      </c>
      <c r="D26565" s="1" t="str">
        <f>HYPERLINK("https://rhld.insurance.arkansas.gov/NPILookup?Npi=1427148998","1427148998")</f>
        <v>1427148998</v>
      </c>
      <c r="E26565" t="s">
        <v>7462</v>
      </c>
    </row>
    <row r="26566" spans="1:5" x14ac:dyDescent="0.25">
      <c r="A26566" t="s">
        <v>11</v>
      </c>
      <c r="B26566" t="s">
        <v>7439</v>
      </c>
      <c r="C26566" s="1" t="s">
        <v>23490</v>
      </c>
      <c r="D26566" s="1" t="str">
        <f>HYPERLINK("https://rhld.insurance.arkansas.gov/NPILookup?Npi=1437367901","1437367901")</f>
        <v>1437367901</v>
      </c>
      <c r="E26566" t="s">
        <v>7463</v>
      </c>
    </row>
    <row r="26567" spans="1:5" x14ac:dyDescent="0.25">
      <c r="A26567" t="s">
        <v>11</v>
      </c>
      <c r="B26567" t="s">
        <v>7439</v>
      </c>
      <c r="C26567" s="1" t="s">
        <v>23490</v>
      </c>
      <c r="D26567" s="1" t="str">
        <f>HYPERLINK("https://rhld.insurance.arkansas.gov/NPILookup?Npi=1447699806","1447699806")</f>
        <v>1447699806</v>
      </c>
      <c r="E26567" t="s">
        <v>16614</v>
      </c>
    </row>
    <row r="26568" spans="1:5" x14ac:dyDescent="0.25">
      <c r="A26568" t="s">
        <v>11</v>
      </c>
      <c r="B26568" t="s">
        <v>7439</v>
      </c>
      <c r="C26568" s="1" t="s">
        <v>23490</v>
      </c>
      <c r="D26568" s="1" t="str">
        <f>HYPERLINK("https://rhld.insurance.arkansas.gov/NPILookup?Npi=1457517385","1457517385")</f>
        <v>1457517385</v>
      </c>
      <c r="E26568" t="s">
        <v>22666</v>
      </c>
    </row>
    <row r="26569" spans="1:5" x14ac:dyDescent="0.25">
      <c r="A26569" t="s">
        <v>11</v>
      </c>
      <c r="B26569" t="s">
        <v>7439</v>
      </c>
      <c r="C26569" s="1" t="s">
        <v>23490</v>
      </c>
      <c r="D26569" s="1" t="str">
        <f>HYPERLINK("https://rhld.insurance.arkansas.gov/NPILookup?Npi=1457698904","1457698904")</f>
        <v>1457698904</v>
      </c>
      <c r="E26569" t="s">
        <v>7464</v>
      </c>
    </row>
    <row r="26570" spans="1:5" x14ac:dyDescent="0.25">
      <c r="A26570" t="s">
        <v>11</v>
      </c>
      <c r="B26570" t="s">
        <v>7439</v>
      </c>
      <c r="C26570" s="1" t="s">
        <v>23490</v>
      </c>
      <c r="D26570" s="1" t="str">
        <f>HYPERLINK("https://rhld.insurance.arkansas.gov/NPILookup?Npi=1467413674","1467413674")</f>
        <v>1467413674</v>
      </c>
      <c r="E26570" t="s">
        <v>7465</v>
      </c>
    </row>
    <row r="26571" spans="1:5" x14ac:dyDescent="0.25">
      <c r="A26571" t="s">
        <v>11</v>
      </c>
      <c r="B26571" t="s">
        <v>7439</v>
      </c>
      <c r="C26571" s="1" t="s">
        <v>23490</v>
      </c>
      <c r="D26571" s="1" t="str">
        <f>HYPERLINK("https://rhld.insurance.arkansas.gov/NPILookup?Npi=1467417246","1467417246")</f>
        <v>1467417246</v>
      </c>
      <c r="E26571" t="s">
        <v>7466</v>
      </c>
    </row>
    <row r="26572" spans="1:5" x14ac:dyDescent="0.25">
      <c r="A26572" t="s">
        <v>11</v>
      </c>
      <c r="B26572" t="s">
        <v>7439</v>
      </c>
      <c r="C26572" s="1" t="s">
        <v>23490</v>
      </c>
      <c r="D26572" s="1" t="str">
        <f>HYPERLINK("https://rhld.insurance.arkansas.gov/NPILookup?Npi=1467838441","1467838441")</f>
        <v>1467838441</v>
      </c>
      <c r="E26572" t="s">
        <v>18554</v>
      </c>
    </row>
    <row r="26573" spans="1:5" x14ac:dyDescent="0.25">
      <c r="A26573" t="s">
        <v>11</v>
      </c>
      <c r="B26573" t="s">
        <v>7439</v>
      </c>
      <c r="C26573" s="1" t="s">
        <v>23490</v>
      </c>
      <c r="D26573" s="1" t="str">
        <f>HYPERLINK("https://rhld.insurance.arkansas.gov/NPILookup?Npi=1477905495","1477905495")</f>
        <v>1477905495</v>
      </c>
      <c r="E26573" t="s">
        <v>19152</v>
      </c>
    </row>
    <row r="26574" spans="1:5" x14ac:dyDescent="0.25">
      <c r="A26574" t="s">
        <v>11</v>
      </c>
      <c r="B26574" t="s">
        <v>7439</v>
      </c>
      <c r="C26574" s="1" t="s">
        <v>23490</v>
      </c>
      <c r="D26574" s="1" t="str">
        <f>HYPERLINK("https://rhld.insurance.arkansas.gov/NPILookup?Npi=1487801056","1487801056")</f>
        <v>1487801056</v>
      </c>
      <c r="E26574" t="s">
        <v>7467</v>
      </c>
    </row>
    <row r="26575" spans="1:5" x14ac:dyDescent="0.25">
      <c r="A26575" t="s">
        <v>11</v>
      </c>
      <c r="B26575" t="s">
        <v>7439</v>
      </c>
      <c r="C26575" s="1" t="s">
        <v>23490</v>
      </c>
      <c r="D26575" s="1" t="str">
        <f>HYPERLINK("https://rhld.insurance.arkansas.gov/NPILookup?Npi=1497772453","1497772453")</f>
        <v>1497772453</v>
      </c>
      <c r="E26575" t="s">
        <v>7469</v>
      </c>
    </row>
    <row r="26576" spans="1:5" x14ac:dyDescent="0.25">
      <c r="A26576" t="s">
        <v>11</v>
      </c>
      <c r="B26576" t="s">
        <v>7439</v>
      </c>
      <c r="C26576" s="1" t="s">
        <v>23490</v>
      </c>
      <c r="D26576" s="1" t="str">
        <f>HYPERLINK("https://rhld.insurance.arkansas.gov/NPILookup?Npi=1508096405","1508096405")</f>
        <v>1508096405</v>
      </c>
      <c r="E26576" t="s">
        <v>7470</v>
      </c>
    </row>
    <row r="26577" spans="1:5" x14ac:dyDescent="0.25">
      <c r="A26577" t="s">
        <v>11</v>
      </c>
      <c r="B26577" t="s">
        <v>7439</v>
      </c>
      <c r="C26577" s="1" t="s">
        <v>23490</v>
      </c>
      <c r="D26577" s="1" t="str">
        <f>HYPERLINK("https://rhld.insurance.arkansas.gov/NPILookup?Npi=1528004314","1528004314")</f>
        <v>1528004314</v>
      </c>
      <c r="E26577" t="s">
        <v>7471</v>
      </c>
    </row>
    <row r="26578" spans="1:5" x14ac:dyDescent="0.25">
      <c r="A26578" t="s">
        <v>11</v>
      </c>
      <c r="B26578" t="s">
        <v>7439</v>
      </c>
      <c r="C26578" s="1" t="s">
        <v>23490</v>
      </c>
      <c r="D26578" s="1" t="str">
        <f>HYPERLINK("https://rhld.insurance.arkansas.gov/NPILookup?Npi=1528158185","1528158185")</f>
        <v>1528158185</v>
      </c>
      <c r="E26578" t="s">
        <v>7472</v>
      </c>
    </row>
    <row r="26579" spans="1:5" x14ac:dyDescent="0.25">
      <c r="A26579" t="s">
        <v>11</v>
      </c>
      <c r="B26579" t="s">
        <v>7439</v>
      </c>
      <c r="C26579" s="1" t="s">
        <v>23490</v>
      </c>
      <c r="D26579" s="1" t="str">
        <f>HYPERLINK("https://rhld.insurance.arkansas.gov/NPILookup?Npi=1538197256","1538197256")</f>
        <v>1538197256</v>
      </c>
      <c r="E26579" t="s">
        <v>7473</v>
      </c>
    </row>
    <row r="26580" spans="1:5" x14ac:dyDescent="0.25">
      <c r="A26580" t="s">
        <v>11</v>
      </c>
      <c r="B26580" t="s">
        <v>7439</v>
      </c>
      <c r="C26580" s="1" t="s">
        <v>23490</v>
      </c>
      <c r="D26580" s="1" t="str">
        <f>HYPERLINK("https://rhld.insurance.arkansas.gov/NPILookup?Npi=1538430244","1538430244")</f>
        <v>1538430244</v>
      </c>
      <c r="E26580" t="s">
        <v>16615</v>
      </c>
    </row>
    <row r="26581" spans="1:5" x14ac:dyDescent="0.25">
      <c r="A26581" t="s">
        <v>11</v>
      </c>
      <c r="B26581" t="s">
        <v>7439</v>
      </c>
      <c r="C26581" s="1" t="s">
        <v>8427</v>
      </c>
      <c r="D26581" s="1" t="str">
        <f>HYPERLINK("https://rhld.insurance.arkansas.gov/NPILookup?Npi=1548783202","1548783202")</f>
        <v>1548783202</v>
      </c>
      <c r="E26581" t="s">
        <v>23316</v>
      </c>
    </row>
    <row r="26582" spans="1:5" x14ac:dyDescent="0.25">
      <c r="A26582" t="s">
        <v>11</v>
      </c>
      <c r="B26582" t="s">
        <v>7439</v>
      </c>
      <c r="C26582" s="1" t="s">
        <v>23490</v>
      </c>
      <c r="D26582" s="1" t="str">
        <f>HYPERLINK("https://rhld.insurance.arkansas.gov/NPILookup?Npi=1558882217","1558882217")</f>
        <v>1558882217</v>
      </c>
      <c r="E26582" t="s">
        <v>22667</v>
      </c>
    </row>
    <row r="26583" spans="1:5" x14ac:dyDescent="0.25">
      <c r="A26583" t="s">
        <v>11</v>
      </c>
      <c r="B26583" t="s">
        <v>7439</v>
      </c>
      <c r="C26583" s="1" t="s">
        <v>23490</v>
      </c>
      <c r="D26583" s="1" t="str">
        <f>HYPERLINK("https://rhld.insurance.arkansas.gov/NPILookup?Npi=1568517456","1568517456")</f>
        <v>1568517456</v>
      </c>
      <c r="E26583" t="s">
        <v>7474</v>
      </c>
    </row>
    <row r="26584" spans="1:5" x14ac:dyDescent="0.25">
      <c r="A26584" t="s">
        <v>11</v>
      </c>
      <c r="B26584" t="s">
        <v>7439</v>
      </c>
      <c r="C26584" s="1" t="s">
        <v>23490</v>
      </c>
      <c r="D26584" s="1" t="str">
        <f>HYPERLINK("https://rhld.insurance.arkansas.gov/NPILookup?Npi=1568825289","1568825289")</f>
        <v>1568825289</v>
      </c>
      <c r="E26584" t="s">
        <v>21299</v>
      </c>
    </row>
    <row r="26585" spans="1:5" x14ac:dyDescent="0.25">
      <c r="A26585" t="s">
        <v>11</v>
      </c>
      <c r="B26585" t="s">
        <v>7439</v>
      </c>
      <c r="C26585" s="1" t="s">
        <v>23490</v>
      </c>
      <c r="D26585" s="1" t="str">
        <f>HYPERLINK("https://rhld.insurance.arkansas.gov/NPILookup?Npi=1578538070","1578538070")</f>
        <v>1578538070</v>
      </c>
      <c r="E26585" t="s">
        <v>7476</v>
      </c>
    </row>
    <row r="26586" spans="1:5" x14ac:dyDescent="0.25">
      <c r="A26586" t="s">
        <v>11</v>
      </c>
      <c r="B26586" t="s">
        <v>7439</v>
      </c>
      <c r="C26586" s="1" t="s">
        <v>23490</v>
      </c>
      <c r="D26586" s="1" t="str">
        <f>HYPERLINK("https://rhld.insurance.arkansas.gov/NPILookup?Npi=1609131234","1609131234")</f>
        <v>1609131234</v>
      </c>
      <c r="E26586" t="s">
        <v>11099</v>
      </c>
    </row>
    <row r="26587" spans="1:5" x14ac:dyDescent="0.25">
      <c r="A26587" t="s">
        <v>11</v>
      </c>
      <c r="B26587" t="s">
        <v>7439</v>
      </c>
      <c r="C26587" s="1" t="s">
        <v>23490</v>
      </c>
      <c r="D26587" s="1" t="str">
        <f>HYPERLINK("https://rhld.insurance.arkansas.gov/NPILookup?Npi=1619133519","1619133519")</f>
        <v>1619133519</v>
      </c>
      <c r="E26587" t="s">
        <v>7477</v>
      </c>
    </row>
    <row r="26588" spans="1:5" x14ac:dyDescent="0.25">
      <c r="A26588" t="s">
        <v>11</v>
      </c>
      <c r="B26588" t="s">
        <v>7439</v>
      </c>
      <c r="C26588" s="1" t="s">
        <v>23490</v>
      </c>
      <c r="D26588" s="1" t="str">
        <f>HYPERLINK("https://rhld.insurance.arkansas.gov/NPILookup?Npi=1619191863","1619191863")</f>
        <v>1619191863</v>
      </c>
      <c r="E26588" t="s">
        <v>7478</v>
      </c>
    </row>
    <row r="26589" spans="1:5" x14ac:dyDescent="0.25">
      <c r="A26589" t="s">
        <v>11</v>
      </c>
      <c r="B26589" t="s">
        <v>7439</v>
      </c>
      <c r="C26589" s="1" t="s">
        <v>23490</v>
      </c>
      <c r="D26589" s="1" t="str">
        <f>HYPERLINK("https://rhld.insurance.arkansas.gov/NPILookup?Npi=1619383171","1619383171")</f>
        <v>1619383171</v>
      </c>
      <c r="E26589" t="s">
        <v>16616</v>
      </c>
    </row>
    <row r="26590" spans="1:5" x14ac:dyDescent="0.25">
      <c r="A26590" t="s">
        <v>11</v>
      </c>
      <c r="B26590" t="s">
        <v>7439</v>
      </c>
      <c r="C26590" s="1" t="s">
        <v>23490</v>
      </c>
      <c r="D26590" s="1" t="str">
        <f>HYPERLINK("https://rhld.insurance.arkansas.gov/NPILookup?Npi=1629268933","1629268933")</f>
        <v>1629268933</v>
      </c>
      <c r="E26590" t="s">
        <v>7479</v>
      </c>
    </row>
    <row r="26591" spans="1:5" x14ac:dyDescent="0.25">
      <c r="A26591" t="s">
        <v>11</v>
      </c>
      <c r="B26591" t="s">
        <v>7439</v>
      </c>
      <c r="C26591" s="1" t="s">
        <v>23490</v>
      </c>
      <c r="D26591" s="1" t="str">
        <f>HYPERLINK("https://rhld.insurance.arkansas.gov/NPILookup?Npi=1629331079","1629331079")</f>
        <v>1629331079</v>
      </c>
      <c r="E26591" t="s">
        <v>12110</v>
      </c>
    </row>
    <row r="26592" spans="1:5" x14ac:dyDescent="0.25">
      <c r="A26592" t="s">
        <v>11</v>
      </c>
      <c r="B26592" t="s">
        <v>7439</v>
      </c>
      <c r="C26592" s="1" t="s">
        <v>23490</v>
      </c>
      <c r="D26592" s="1" t="str">
        <f>HYPERLINK("https://rhld.insurance.arkansas.gov/NPILookup?Npi=1649277401","1649277401")</f>
        <v>1649277401</v>
      </c>
      <c r="E26592" t="s">
        <v>12111</v>
      </c>
    </row>
    <row r="26593" spans="1:5" x14ac:dyDescent="0.25">
      <c r="A26593" t="s">
        <v>11</v>
      </c>
      <c r="B26593" t="s">
        <v>7439</v>
      </c>
      <c r="C26593" s="1" t="s">
        <v>23490</v>
      </c>
      <c r="D26593" s="1" t="str">
        <f>HYPERLINK("https://rhld.insurance.arkansas.gov/NPILookup?Npi=1649407354","1649407354")</f>
        <v>1649407354</v>
      </c>
      <c r="E26593" t="s">
        <v>7480</v>
      </c>
    </row>
    <row r="26594" spans="1:5" x14ac:dyDescent="0.25">
      <c r="A26594" t="s">
        <v>11</v>
      </c>
      <c r="B26594" t="s">
        <v>7439</v>
      </c>
      <c r="C26594" s="1" t="s">
        <v>23490</v>
      </c>
      <c r="D26594" s="1" t="str">
        <f>HYPERLINK("https://rhld.insurance.arkansas.gov/NPILookup?Npi=1659338085","1659338085")</f>
        <v>1659338085</v>
      </c>
      <c r="E26594" t="s">
        <v>22668</v>
      </c>
    </row>
    <row r="26595" spans="1:5" x14ac:dyDescent="0.25">
      <c r="A26595" t="s">
        <v>11</v>
      </c>
      <c r="B26595" t="s">
        <v>7439</v>
      </c>
      <c r="C26595" s="1" t="s">
        <v>23490</v>
      </c>
      <c r="D26595" s="1" t="str">
        <f>HYPERLINK("https://rhld.insurance.arkansas.gov/NPILookup?Npi=1679500623","1679500623")</f>
        <v>1679500623</v>
      </c>
      <c r="E26595" t="s">
        <v>7481</v>
      </c>
    </row>
    <row r="26596" spans="1:5" x14ac:dyDescent="0.25">
      <c r="A26596" t="s">
        <v>11</v>
      </c>
      <c r="B26596" t="s">
        <v>7439</v>
      </c>
      <c r="C26596" s="1" t="s">
        <v>23490</v>
      </c>
      <c r="D26596" s="1" t="str">
        <f>HYPERLINK("https://rhld.insurance.arkansas.gov/NPILookup?Npi=1679718357","1679718357")</f>
        <v>1679718357</v>
      </c>
      <c r="E26596" t="s">
        <v>12112</v>
      </c>
    </row>
    <row r="26597" spans="1:5" x14ac:dyDescent="0.25">
      <c r="A26597" t="s">
        <v>11</v>
      </c>
      <c r="B26597" t="s">
        <v>7439</v>
      </c>
      <c r="C26597" s="1" t="s">
        <v>23490</v>
      </c>
      <c r="D26597" s="1" t="str">
        <f>HYPERLINK("https://rhld.insurance.arkansas.gov/NPILookup?Npi=1679886618","1679886618")</f>
        <v>1679886618</v>
      </c>
      <c r="E26597" t="s">
        <v>20755</v>
      </c>
    </row>
    <row r="26598" spans="1:5" x14ac:dyDescent="0.25">
      <c r="A26598" t="s">
        <v>11</v>
      </c>
      <c r="B26598" t="s">
        <v>7439</v>
      </c>
      <c r="C26598" s="1" t="s">
        <v>23490</v>
      </c>
      <c r="D26598" s="1" t="str">
        <f>HYPERLINK("https://rhld.insurance.arkansas.gov/NPILookup?Npi=1689621336","1689621336")</f>
        <v>1689621336</v>
      </c>
      <c r="E26598" t="s">
        <v>16617</v>
      </c>
    </row>
    <row r="26599" spans="1:5" x14ac:dyDescent="0.25">
      <c r="A26599" t="s">
        <v>11</v>
      </c>
      <c r="B26599" t="s">
        <v>7439</v>
      </c>
      <c r="C26599" s="1" t="s">
        <v>23490</v>
      </c>
      <c r="D26599" s="1" t="str">
        <f>HYPERLINK("https://rhld.insurance.arkansas.gov/NPILookup?Npi=1689677296","1689677296")</f>
        <v>1689677296</v>
      </c>
      <c r="E26599" t="s">
        <v>2404</v>
      </c>
    </row>
    <row r="26600" spans="1:5" x14ac:dyDescent="0.25">
      <c r="A26600" t="s">
        <v>11</v>
      </c>
      <c r="B26600" t="s">
        <v>7439</v>
      </c>
      <c r="C26600" s="1" t="s">
        <v>23490</v>
      </c>
      <c r="D26600" s="1" t="str">
        <f>HYPERLINK("https://rhld.insurance.arkansas.gov/NPILookup?Npi=1699043687","1699043687")</f>
        <v>1699043687</v>
      </c>
      <c r="E26600" t="s">
        <v>2429</v>
      </c>
    </row>
    <row r="26601" spans="1:5" x14ac:dyDescent="0.25">
      <c r="A26601" t="s">
        <v>11</v>
      </c>
      <c r="B26601" t="s">
        <v>7439</v>
      </c>
      <c r="C26601" s="1" t="s">
        <v>23490</v>
      </c>
      <c r="D26601" s="1" t="str">
        <f>HYPERLINK("https://rhld.insurance.arkansas.gov/NPILookup?Npi=1699730762","1699730762")</f>
        <v>1699730762</v>
      </c>
      <c r="E26601" t="s">
        <v>7483</v>
      </c>
    </row>
    <row r="26602" spans="1:5" x14ac:dyDescent="0.25">
      <c r="A26602" t="s">
        <v>11</v>
      </c>
      <c r="B26602" t="s">
        <v>7439</v>
      </c>
      <c r="C26602" s="1" t="s">
        <v>23490</v>
      </c>
      <c r="D26602" s="1" t="str">
        <f>HYPERLINK("https://rhld.insurance.arkansas.gov/NPILookup?Npi=1699932319","1699932319")</f>
        <v>1699932319</v>
      </c>
      <c r="E26602" t="s">
        <v>7484</v>
      </c>
    </row>
    <row r="26603" spans="1:5" x14ac:dyDescent="0.25">
      <c r="A26603" t="s">
        <v>11</v>
      </c>
      <c r="B26603" t="s">
        <v>7439</v>
      </c>
      <c r="C26603" s="1" t="s">
        <v>23490</v>
      </c>
      <c r="D26603" s="1" t="str">
        <f>HYPERLINK("https://rhld.insurance.arkansas.gov/NPILookup?Npi=1700843844","1700843844")</f>
        <v>1700843844</v>
      </c>
      <c r="E26603" t="s">
        <v>22669</v>
      </c>
    </row>
    <row r="26604" spans="1:5" x14ac:dyDescent="0.25">
      <c r="A26604" t="s">
        <v>11</v>
      </c>
      <c r="B26604" t="s">
        <v>7439</v>
      </c>
      <c r="C26604" s="1" t="s">
        <v>23490</v>
      </c>
      <c r="D26604" s="1" t="str">
        <f>HYPERLINK("https://rhld.insurance.arkansas.gov/NPILookup?Npi=1710915954","1710915954")</f>
        <v>1710915954</v>
      </c>
      <c r="E26604" t="s">
        <v>7485</v>
      </c>
    </row>
    <row r="26605" spans="1:5" x14ac:dyDescent="0.25">
      <c r="A26605" t="s">
        <v>11</v>
      </c>
      <c r="B26605" t="s">
        <v>7439</v>
      </c>
      <c r="C26605" s="1" t="s">
        <v>23490</v>
      </c>
      <c r="D26605" s="1" t="str">
        <f>HYPERLINK("https://rhld.insurance.arkansas.gov/NPILookup?Npi=1730386608","1730386608")</f>
        <v>1730386608</v>
      </c>
      <c r="E26605" t="s">
        <v>16618</v>
      </c>
    </row>
    <row r="26606" spans="1:5" x14ac:dyDescent="0.25">
      <c r="A26606" t="s">
        <v>11</v>
      </c>
      <c r="B26606" t="s">
        <v>7439</v>
      </c>
      <c r="C26606" s="1" t="s">
        <v>23490</v>
      </c>
      <c r="D26606" s="1" t="str">
        <f>HYPERLINK("https://rhld.insurance.arkansas.gov/NPILookup?Npi=1730387440","1730387440")</f>
        <v>1730387440</v>
      </c>
      <c r="E26606" t="s">
        <v>7486</v>
      </c>
    </row>
    <row r="26607" spans="1:5" x14ac:dyDescent="0.25">
      <c r="A26607" t="s">
        <v>11</v>
      </c>
      <c r="B26607" t="s">
        <v>7439</v>
      </c>
      <c r="C26607" s="1" t="s">
        <v>8427</v>
      </c>
      <c r="D26607" s="1" t="str">
        <f>HYPERLINK("https://rhld.insurance.arkansas.gov/NPILookup?Npi=1730611005","1730611005")</f>
        <v>1730611005</v>
      </c>
      <c r="E26607" t="s">
        <v>23317</v>
      </c>
    </row>
    <row r="26608" spans="1:5" x14ac:dyDescent="0.25">
      <c r="A26608" t="s">
        <v>11</v>
      </c>
      <c r="B26608" t="s">
        <v>7439</v>
      </c>
      <c r="C26608" s="1" t="s">
        <v>23490</v>
      </c>
      <c r="D26608" s="1" t="str">
        <f>HYPERLINK("https://rhld.insurance.arkansas.gov/NPILookup?Npi=1740268333","1740268333")</f>
        <v>1740268333</v>
      </c>
      <c r="E26608" t="s">
        <v>3909</v>
      </c>
    </row>
    <row r="26609" spans="1:5" x14ac:dyDescent="0.25">
      <c r="A26609" t="s">
        <v>11</v>
      </c>
      <c r="B26609" t="s">
        <v>7439</v>
      </c>
      <c r="C26609" s="1" t="s">
        <v>23490</v>
      </c>
      <c r="D26609" s="1" t="str">
        <f>HYPERLINK("https://rhld.insurance.arkansas.gov/NPILookup?Npi=1740329556","1740329556")</f>
        <v>1740329556</v>
      </c>
      <c r="E26609" t="s">
        <v>16619</v>
      </c>
    </row>
    <row r="26610" spans="1:5" x14ac:dyDescent="0.25">
      <c r="A26610" t="s">
        <v>11</v>
      </c>
      <c r="B26610" t="s">
        <v>7439</v>
      </c>
      <c r="C26610" s="1" t="s">
        <v>23490</v>
      </c>
      <c r="D26610" s="1" t="str">
        <f>HYPERLINK("https://rhld.insurance.arkansas.gov/NPILookup?Npi=1740506302","1740506302")</f>
        <v>1740506302</v>
      </c>
      <c r="E26610" t="s">
        <v>9279</v>
      </c>
    </row>
    <row r="26611" spans="1:5" x14ac:dyDescent="0.25">
      <c r="A26611" t="s">
        <v>11</v>
      </c>
      <c r="B26611" t="s">
        <v>7439</v>
      </c>
      <c r="C26611" s="1" t="s">
        <v>23490</v>
      </c>
      <c r="D26611" s="1" t="str">
        <f>HYPERLINK("https://rhld.insurance.arkansas.gov/NPILookup?Npi=1760499867","1760499867")</f>
        <v>1760499867</v>
      </c>
      <c r="E26611" t="s">
        <v>16620</v>
      </c>
    </row>
    <row r="26612" spans="1:5" x14ac:dyDescent="0.25">
      <c r="A26612" t="s">
        <v>11</v>
      </c>
      <c r="B26612" t="s">
        <v>7439</v>
      </c>
      <c r="C26612" s="1" t="s">
        <v>23490</v>
      </c>
      <c r="D26612" s="1" t="str">
        <f>HYPERLINK("https://rhld.insurance.arkansas.gov/NPILookup?Npi=1760572242","1760572242")</f>
        <v>1760572242</v>
      </c>
      <c r="E26612" t="s">
        <v>7487</v>
      </c>
    </row>
    <row r="26613" spans="1:5" x14ac:dyDescent="0.25">
      <c r="A26613" t="s">
        <v>11</v>
      </c>
      <c r="B26613" t="s">
        <v>7439</v>
      </c>
      <c r="C26613" s="1" t="s">
        <v>23490</v>
      </c>
      <c r="D26613" s="1" t="str">
        <f>HYPERLINK("https://rhld.insurance.arkansas.gov/NPILookup?Npi=1760663579","1760663579")</f>
        <v>1760663579</v>
      </c>
      <c r="E26613" t="s">
        <v>7488</v>
      </c>
    </row>
    <row r="26614" spans="1:5" x14ac:dyDescent="0.25">
      <c r="A26614" t="s">
        <v>11</v>
      </c>
      <c r="B26614" t="s">
        <v>7439</v>
      </c>
      <c r="C26614" s="1" t="s">
        <v>23490</v>
      </c>
      <c r="D26614" s="1" t="str">
        <f>HYPERLINK("https://rhld.insurance.arkansas.gov/NPILookup?Npi=1760902605","1760902605")</f>
        <v>1760902605</v>
      </c>
      <c r="E26614" t="s">
        <v>21032</v>
      </c>
    </row>
    <row r="26615" spans="1:5" x14ac:dyDescent="0.25">
      <c r="A26615" t="s">
        <v>11</v>
      </c>
      <c r="B26615" t="s">
        <v>7439</v>
      </c>
      <c r="C26615" s="1" t="s">
        <v>23490</v>
      </c>
      <c r="D26615" s="1" t="str">
        <f>HYPERLINK("https://rhld.insurance.arkansas.gov/NPILookup?Npi=1770556268","1770556268")</f>
        <v>1770556268</v>
      </c>
      <c r="E26615" t="s">
        <v>7489</v>
      </c>
    </row>
    <row r="26616" spans="1:5" x14ac:dyDescent="0.25">
      <c r="A26616" t="s">
        <v>11</v>
      </c>
      <c r="B26616" t="s">
        <v>7439</v>
      </c>
      <c r="C26616" s="1" t="s">
        <v>23490</v>
      </c>
      <c r="D26616" s="1" t="str">
        <f>HYPERLINK("https://rhld.insurance.arkansas.gov/NPILookup?Npi=1780814244","1780814244")</f>
        <v>1780814244</v>
      </c>
      <c r="E26616" t="s">
        <v>20756</v>
      </c>
    </row>
    <row r="26617" spans="1:5" x14ac:dyDescent="0.25">
      <c r="A26617" t="s">
        <v>11</v>
      </c>
      <c r="B26617" t="s">
        <v>7439</v>
      </c>
      <c r="C26617" s="1" t="s">
        <v>23490</v>
      </c>
      <c r="D26617" s="1" t="str">
        <f>HYPERLINK("https://rhld.insurance.arkansas.gov/NPILookup?Npi=1780975102","1780975102")</f>
        <v>1780975102</v>
      </c>
      <c r="E26617" t="s">
        <v>14507</v>
      </c>
    </row>
    <row r="26618" spans="1:5" x14ac:dyDescent="0.25">
      <c r="A26618" t="s">
        <v>11</v>
      </c>
      <c r="B26618" t="s">
        <v>7439</v>
      </c>
      <c r="C26618" s="1" t="s">
        <v>23490</v>
      </c>
      <c r="D26618" s="1" t="str">
        <f>HYPERLINK("https://rhld.insurance.arkansas.gov/NPILookup?Npi=1801030192","1801030192")</f>
        <v>1801030192</v>
      </c>
      <c r="E26618" t="s">
        <v>7490</v>
      </c>
    </row>
    <row r="26619" spans="1:5" x14ac:dyDescent="0.25">
      <c r="A26619" t="s">
        <v>11</v>
      </c>
      <c r="B26619" t="s">
        <v>7439</v>
      </c>
      <c r="C26619" s="1" t="s">
        <v>23490</v>
      </c>
      <c r="D26619" s="1" t="str">
        <f>HYPERLINK("https://rhld.insurance.arkansas.gov/NPILookup?Npi=1801853239","1801853239")</f>
        <v>1801853239</v>
      </c>
      <c r="E26619" t="s">
        <v>7491</v>
      </c>
    </row>
    <row r="26620" spans="1:5" x14ac:dyDescent="0.25">
      <c r="A26620" t="s">
        <v>11</v>
      </c>
      <c r="B26620" t="s">
        <v>7439</v>
      </c>
      <c r="C26620" s="1" t="s">
        <v>23490</v>
      </c>
      <c r="D26620" s="1" t="str">
        <f>HYPERLINK("https://rhld.insurance.arkansas.gov/NPILookup?Npi=1801901509","1801901509")</f>
        <v>1801901509</v>
      </c>
      <c r="E26620" t="s">
        <v>7492</v>
      </c>
    </row>
    <row r="26621" spans="1:5" x14ac:dyDescent="0.25">
      <c r="A26621" t="s">
        <v>11</v>
      </c>
      <c r="B26621" t="s">
        <v>7439</v>
      </c>
      <c r="C26621" s="1" t="s">
        <v>23490</v>
      </c>
      <c r="D26621" s="1" t="str">
        <f>HYPERLINK("https://rhld.insurance.arkansas.gov/NPILookup?Npi=1811143944","1811143944")</f>
        <v>1811143944</v>
      </c>
      <c r="E26621" t="s">
        <v>16621</v>
      </c>
    </row>
    <row r="26622" spans="1:5" x14ac:dyDescent="0.25">
      <c r="A26622" t="s">
        <v>11</v>
      </c>
      <c r="B26622" t="s">
        <v>7439</v>
      </c>
      <c r="C26622" s="1" t="s">
        <v>23490</v>
      </c>
      <c r="D26622" s="1" t="str">
        <f>HYPERLINK("https://rhld.insurance.arkansas.gov/NPILookup?Npi=1811190069","1811190069")</f>
        <v>1811190069</v>
      </c>
      <c r="E26622" t="s">
        <v>7493</v>
      </c>
    </row>
    <row r="26623" spans="1:5" x14ac:dyDescent="0.25">
      <c r="A26623" t="s">
        <v>11</v>
      </c>
      <c r="B26623" t="s">
        <v>7439</v>
      </c>
      <c r="C26623" s="1" t="s">
        <v>23490</v>
      </c>
      <c r="D26623" s="1" t="str">
        <f>HYPERLINK("https://rhld.insurance.arkansas.gov/NPILookup?Npi=1811252786","1811252786")</f>
        <v>1811252786</v>
      </c>
      <c r="E26623" t="s">
        <v>19153</v>
      </c>
    </row>
    <row r="26624" spans="1:5" x14ac:dyDescent="0.25">
      <c r="A26624" t="s">
        <v>11</v>
      </c>
      <c r="B26624" t="s">
        <v>7439</v>
      </c>
      <c r="C26624" s="1" t="s">
        <v>23490</v>
      </c>
      <c r="D26624" s="1" t="str">
        <f>HYPERLINK("https://rhld.insurance.arkansas.gov/NPILookup?Npi=1821101767","1821101767")</f>
        <v>1821101767</v>
      </c>
      <c r="E26624" t="s">
        <v>22670</v>
      </c>
    </row>
    <row r="26625" spans="1:5" x14ac:dyDescent="0.25">
      <c r="A26625" t="s">
        <v>11</v>
      </c>
      <c r="B26625" t="s">
        <v>7439</v>
      </c>
      <c r="C26625" s="1" t="s">
        <v>23490</v>
      </c>
      <c r="D26625" s="1" t="str">
        <f>HYPERLINK("https://rhld.insurance.arkansas.gov/NPILookup?Npi=1831103340","1831103340")</f>
        <v>1831103340</v>
      </c>
      <c r="E26625" t="s">
        <v>7494</v>
      </c>
    </row>
    <row r="26626" spans="1:5" x14ac:dyDescent="0.25">
      <c r="A26626" t="s">
        <v>11</v>
      </c>
      <c r="B26626" t="s">
        <v>7439</v>
      </c>
      <c r="C26626" s="1" t="s">
        <v>23490</v>
      </c>
      <c r="D26626" s="1" t="str">
        <f>HYPERLINK("https://rhld.insurance.arkansas.gov/NPILookup?Npi=1831385095","1831385095")</f>
        <v>1831385095</v>
      </c>
      <c r="E26626" t="s">
        <v>2934</v>
      </c>
    </row>
    <row r="26627" spans="1:5" x14ac:dyDescent="0.25">
      <c r="A26627" t="s">
        <v>11</v>
      </c>
      <c r="B26627" t="s">
        <v>7439</v>
      </c>
      <c r="C26627" s="1" t="s">
        <v>23490</v>
      </c>
      <c r="D26627" s="1" t="str">
        <f>HYPERLINK("https://rhld.insurance.arkansas.gov/NPILookup?Npi=1831415058","1831415058")</f>
        <v>1831415058</v>
      </c>
      <c r="E26627" t="s">
        <v>7495</v>
      </c>
    </row>
    <row r="26628" spans="1:5" x14ac:dyDescent="0.25">
      <c r="A26628" t="s">
        <v>11</v>
      </c>
      <c r="B26628" t="s">
        <v>7439</v>
      </c>
      <c r="C26628" s="1" t="s">
        <v>23490</v>
      </c>
      <c r="D26628" s="1" t="str">
        <f>HYPERLINK("https://rhld.insurance.arkansas.gov/NPILookup?Npi=1831422542","1831422542")</f>
        <v>1831422542</v>
      </c>
      <c r="E26628" t="s">
        <v>11482</v>
      </c>
    </row>
    <row r="26629" spans="1:5" x14ac:dyDescent="0.25">
      <c r="A26629" t="s">
        <v>11</v>
      </c>
      <c r="B26629" t="s">
        <v>7439</v>
      </c>
      <c r="C26629" s="1" t="s">
        <v>23490</v>
      </c>
      <c r="D26629" s="1" t="str">
        <f>HYPERLINK("https://rhld.insurance.arkansas.gov/NPILookup?Npi=1831485788","1831485788")</f>
        <v>1831485788</v>
      </c>
      <c r="E26629" t="s">
        <v>2939</v>
      </c>
    </row>
    <row r="26630" spans="1:5" x14ac:dyDescent="0.25">
      <c r="A26630" t="s">
        <v>11</v>
      </c>
      <c r="B26630" t="s">
        <v>7439</v>
      </c>
      <c r="C26630" s="1" t="s">
        <v>23490</v>
      </c>
      <c r="D26630" s="1" t="str">
        <f>HYPERLINK("https://rhld.insurance.arkansas.gov/NPILookup?Npi=1841250875","1841250875")</f>
        <v>1841250875</v>
      </c>
      <c r="E26630" t="s">
        <v>7496</v>
      </c>
    </row>
    <row r="26631" spans="1:5" x14ac:dyDescent="0.25">
      <c r="A26631" t="s">
        <v>11</v>
      </c>
      <c r="B26631" t="s">
        <v>7439</v>
      </c>
      <c r="C26631" s="1" t="s">
        <v>8427</v>
      </c>
      <c r="D26631" s="1" t="str">
        <f>HYPERLINK("https://rhld.insurance.arkansas.gov/NPILookup?Npi=1841383221","1841383221")</f>
        <v>1841383221</v>
      </c>
      <c r="E26631" t="s">
        <v>23318</v>
      </c>
    </row>
    <row r="26632" spans="1:5" x14ac:dyDescent="0.25">
      <c r="A26632" t="s">
        <v>11</v>
      </c>
      <c r="B26632" t="s">
        <v>7439</v>
      </c>
      <c r="C26632" s="1" t="s">
        <v>23490</v>
      </c>
      <c r="D26632" s="1" t="str">
        <f>HYPERLINK("https://rhld.insurance.arkansas.gov/NPILookup?Npi=1851366355","1851366355")</f>
        <v>1851366355</v>
      </c>
      <c r="E26632" t="s">
        <v>22671</v>
      </c>
    </row>
    <row r="26633" spans="1:5" x14ac:dyDescent="0.25">
      <c r="A26633" t="s">
        <v>11</v>
      </c>
      <c r="B26633" t="s">
        <v>7439</v>
      </c>
      <c r="C26633" s="1" t="s">
        <v>23490</v>
      </c>
      <c r="D26633" s="1" t="str">
        <f>HYPERLINK("https://rhld.insurance.arkansas.gov/NPILookup?Npi=1861437543","1861437543")</f>
        <v>1861437543</v>
      </c>
      <c r="E26633" t="s">
        <v>7497</v>
      </c>
    </row>
    <row r="26634" spans="1:5" x14ac:dyDescent="0.25">
      <c r="A26634" t="s">
        <v>11</v>
      </c>
      <c r="B26634" t="s">
        <v>7439</v>
      </c>
      <c r="C26634" s="1" t="s">
        <v>23490</v>
      </c>
      <c r="D26634" s="1" t="str">
        <f>HYPERLINK("https://rhld.insurance.arkansas.gov/NPILookup?Npi=1861681801","1861681801")</f>
        <v>1861681801</v>
      </c>
      <c r="E26634" t="s">
        <v>7498</v>
      </c>
    </row>
    <row r="26635" spans="1:5" x14ac:dyDescent="0.25">
      <c r="A26635" t="s">
        <v>11</v>
      </c>
      <c r="B26635" t="s">
        <v>7439</v>
      </c>
      <c r="C26635" s="1" t="s">
        <v>23490</v>
      </c>
      <c r="D26635" s="1" t="str">
        <f>HYPERLINK("https://rhld.insurance.arkansas.gov/NPILookup?Npi=1871521005","1871521005")</f>
        <v>1871521005</v>
      </c>
      <c r="E26635" t="s">
        <v>7499</v>
      </c>
    </row>
    <row r="26636" spans="1:5" x14ac:dyDescent="0.25">
      <c r="A26636" t="s">
        <v>11</v>
      </c>
      <c r="B26636" t="s">
        <v>7439</v>
      </c>
      <c r="C26636" s="1" t="s">
        <v>23490</v>
      </c>
      <c r="D26636" s="1" t="str">
        <f>HYPERLINK("https://rhld.insurance.arkansas.gov/NPILookup?Npi=1881646180","1881646180")</f>
        <v>1881646180</v>
      </c>
      <c r="E26636" t="s">
        <v>3849</v>
      </c>
    </row>
    <row r="26637" spans="1:5" x14ac:dyDescent="0.25">
      <c r="A26637" t="s">
        <v>11</v>
      </c>
      <c r="B26637" t="s">
        <v>7439</v>
      </c>
      <c r="C26637" s="1" t="s">
        <v>23490</v>
      </c>
      <c r="D26637" s="1" t="str">
        <f>HYPERLINK("https://rhld.insurance.arkansas.gov/NPILookup?Npi=1881667921","1881667921")</f>
        <v>1881667921</v>
      </c>
      <c r="E26637" t="s">
        <v>3092</v>
      </c>
    </row>
    <row r="26638" spans="1:5" x14ac:dyDescent="0.25">
      <c r="A26638" t="s">
        <v>11</v>
      </c>
      <c r="B26638" t="s">
        <v>7439</v>
      </c>
      <c r="C26638" s="1" t="s">
        <v>23490</v>
      </c>
      <c r="D26638" s="1" t="str">
        <f>HYPERLINK("https://rhld.insurance.arkansas.gov/NPILookup?Npi=1891040762","1891040762")</f>
        <v>1891040762</v>
      </c>
      <c r="E26638" t="s">
        <v>19154</v>
      </c>
    </row>
    <row r="26639" spans="1:5" x14ac:dyDescent="0.25">
      <c r="A26639" t="s">
        <v>11</v>
      </c>
      <c r="B26639" t="s">
        <v>7439</v>
      </c>
      <c r="C26639" s="1" t="s">
        <v>23490</v>
      </c>
      <c r="D26639" s="1" t="str">
        <f>HYPERLINK("https://rhld.insurance.arkansas.gov/NPILookup?Npi=1891101739","1891101739")</f>
        <v>1891101739</v>
      </c>
      <c r="E26639" t="s">
        <v>20757</v>
      </c>
    </row>
    <row r="26640" spans="1:5" x14ac:dyDescent="0.25">
      <c r="A26640" t="s">
        <v>11</v>
      </c>
      <c r="B26640" t="s">
        <v>7439</v>
      </c>
      <c r="C26640" s="1" t="s">
        <v>23490</v>
      </c>
      <c r="D26640" s="1" t="str">
        <f>HYPERLINK("https://rhld.insurance.arkansas.gov/NPILookup?Npi=1902913692","1902913692")</f>
        <v>1902913692</v>
      </c>
      <c r="E26640" t="s">
        <v>7500</v>
      </c>
    </row>
    <row r="26641" spans="1:5" x14ac:dyDescent="0.25">
      <c r="A26641" t="s">
        <v>11</v>
      </c>
      <c r="B26641" t="s">
        <v>7439</v>
      </c>
      <c r="C26641" s="1" t="s">
        <v>23490</v>
      </c>
      <c r="D26641" s="1" t="str">
        <f>HYPERLINK("https://rhld.insurance.arkansas.gov/NPILookup?Npi=1922231331","1922231331")</f>
        <v>1922231331</v>
      </c>
      <c r="E26641" t="s">
        <v>16622</v>
      </c>
    </row>
    <row r="26642" spans="1:5" x14ac:dyDescent="0.25">
      <c r="A26642" t="s">
        <v>11</v>
      </c>
      <c r="B26642" t="s">
        <v>7439</v>
      </c>
      <c r="C26642" s="1" t="s">
        <v>23490</v>
      </c>
      <c r="D26642" s="1" t="str">
        <f>HYPERLINK("https://rhld.insurance.arkansas.gov/NPILookup?Npi=1932166725","1932166725")</f>
        <v>1932166725</v>
      </c>
      <c r="E26642" t="s">
        <v>7501</v>
      </c>
    </row>
    <row r="26643" spans="1:5" x14ac:dyDescent="0.25">
      <c r="A26643" t="s">
        <v>11</v>
      </c>
      <c r="B26643" t="s">
        <v>7439</v>
      </c>
      <c r="C26643" s="1" t="s">
        <v>23490</v>
      </c>
      <c r="D26643" s="1" t="str">
        <f>HYPERLINK("https://rhld.insurance.arkansas.gov/NPILookup?Npi=1932361979","1932361979")</f>
        <v>1932361979</v>
      </c>
      <c r="E26643" t="s">
        <v>7502</v>
      </c>
    </row>
    <row r="26644" spans="1:5" x14ac:dyDescent="0.25">
      <c r="A26644" t="s">
        <v>11</v>
      </c>
      <c r="B26644" t="s">
        <v>7439</v>
      </c>
      <c r="C26644" s="1" t="s">
        <v>23490</v>
      </c>
      <c r="D26644" s="1" t="str">
        <f>HYPERLINK("https://rhld.insurance.arkansas.gov/NPILookup?Npi=1932488095","1932488095")</f>
        <v>1932488095</v>
      </c>
      <c r="E26644" t="s">
        <v>7503</v>
      </c>
    </row>
    <row r="26645" spans="1:5" x14ac:dyDescent="0.25">
      <c r="A26645" t="s">
        <v>11</v>
      </c>
      <c r="B26645" t="s">
        <v>7439</v>
      </c>
      <c r="C26645" s="1" t="s">
        <v>23490</v>
      </c>
      <c r="D26645" s="1" t="str">
        <f>HYPERLINK("https://rhld.insurance.arkansas.gov/NPILookup?Npi=1942599832","1942599832")</f>
        <v>1942599832</v>
      </c>
      <c r="E26645" t="s">
        <v>16623</v>
      </c>
    </row>
    <row r="26646" spans="1:5" x14ac:dyDescent="0.25">
      <c r="A26646" t="s">
        <v>11</v>
      </c>
      <c r="B26646" t="s">
        <v>7439</v>
      </c>
      <c r="C26646" s="1" t="s">
        <v>23490</v>
      </c>
      <c r="D26646" s="1" t="str">
        <f>HYPERLINK("https://rhld.insurance.arkansas.gov/NPILookup?Npi=1952512394","1952512394")</f>
        <v>1952512394</v>
      </c>
      <c r="E26646" t="s">
        <v>3308</v>
      </c>
    </row>
    <row r="26647" spans="1:5" x14ac:dyDescent="0.25">
      <c r="A26647" t="s">
        <v>11</v>
      </c>
      <c r="B26647" t="s">
        <v>7439</v>
      </c>
      <c r="C26647" s="1" t="s">
        <v>23490</v>
      </c>
      <c r="D26647" s="1" t="str">
        <f>HYPERLINK("https://rhld.insurance.arkansas.gov/NPILookup?Npi=1952561599","1952561599")</f>
        <v>1952561599</v>
      </c>
      <c r="E26647" t="s">
        <v>12113</v>
      </c>
    </row>
    <row r="26648" spans="1:5" x14ac:dyDescent="0.25">
      <c r="A26648" t="s">
        <v>11</v>
      </c>
      <c r="B26648" t="s">
        <v>7439</v>
      </c>
      <c r="C26648" s="1" t="s">
        <v>23490</v>
      </c>
      <c r="D26648" s="1" t="str">
        <f>HYPERLINK("https://rhld.insurance.arkansas.gov/NPILookup?Npi=1952781064","1952781064")</f>
        <v>1952781064</v>
      </c>
      <c r="E26648" t="s">
        <v>19155</v>
      </c>
    </row>
    <row r="26649" spans="1:5" x14ac:dyDescent="0.25">
      <c r="A26649" t="s">
        <v>11</v>
      </c>
      <c r="B26649" t="s">
        <v>7439</v>
      </c>
      <c r="C26649" s="1" t="s">
        <v>23490</v>
      </c>
      <c r="D26649" s="1" t="str">
        <f>HYPERLINK("https://rhld.insurance.arkansas.gov/NPILookup?Npi=1972721413","1972721413")</f>
        <v>1972721413</v>
      </c>
      <c r="E26649" t="s">
        <v>7504</v>
      </c>
    </row>
    <row r="26650" spans="1:5" x14ac:dyDescent="0.25">
      <c r="A26650" t="s">
        <v>11</v>
      </c>
      <c r="B26650" t="s">
        <v>7439</v>
      </c>
      <c r="C26650" s="1" t="s">
        <v>23490</v>
      </c>
      <c r="D26650" s="1" t="str">
        <f>HYPERLINK("https://rhld.insurance.arkansas.gov/NPILookup?Npi=1992733281","1992733281")</f>
        <v>1992733281</v>
      </c>
      <c r="E26650" t="s">
        <v>16624</v>
      </c>
    </row>
    <row r="26651" spans="1:5" x14ac:dyDescent="0.25">
      <c r="A26651" t="s">
        <v>11</v>
      </c>
      <c r="B26651" t="s">
        <v>7439</v>
      </c>
      <c r="C26651" s="1" t="s">
        <v>23490</v>
      </c>
      <c r="D26651" s="1" t="str">
        <f>HYPERLINK("https://rhld.insurance.arkansas.gov/NPILookup?Npi=1992768204","1992768204")</f>
        <v>1992768204</v>
      </c>
      <c r="E26651" t="s">
        <v>7505</v>
      </c>
    </row>
    <row r="26652" spans="1:5" x14ac:dyDescent="0.25">
      <c r="A26652" t="s">
        <v>13277</v>
      </c>
      <c r="B26652" t="s">
        <v>13278</v>
      </c>
      <c r="C26652" s="1" t="s">
        <v>8427</v>
      </c>
      <c r="D26652" s="1" t="str">
        <f>HYPERLINK("https://rhld.insurance.arkansas.gov/NPILookup?Npi=1205551884","1205551884")</f>
        <v>1205551884</v>
      </c>
      <c r="E26652" t="s">
        <v>23319</v>
      </c>
    </row>
    <row r="26653" spans="1:5" x14ac:dyDescent="0.25">
      <c r="A26653" t="s">
        <v>13277</v>
      </c>
      <c r="B26653" t="s">
        <v>13278</v>
      </c>
      <c r="C26653" s="1" t="s">
        <v>8427</v>
      </c>
      <c r="D26653" s="1" t="str">
        <f>HYPERLINK("https://rhld.insurance.arkansas.gov/NPILookup?Npi=1316639149","1316639149")</f>
        <v>1316639149</v>
      </c>
      <c r="E26653" t="s">
        <v>12114</v>
      </c>
    </row>
    <row r="26654" spans="1:5" x14ac:dyDescent="0.25">
      <c r="A26654" t="s">
        <v>13277</v>
      </c>
      <c r="B26654" t="s">
        <v>13278</v>
      </c>
      <c r="C26654" s="1" t="s">
        <v>8427</v>
      </c>
      <c r="D26654" s="1" t="str">
        <f>HYPERLINK("https://rhld.insurance.arkansas.gov/NPILookup?Npi=1346869419","1346869419")</f>
        <v>1346869419</v>
      </c>
      <c r="E26654" t="s">
        <v>23320</v>
      </c>
    </row>
    <row r="26655" spans="1:5" x14ac:dyDescent="0.25">
      <c r="A26655" t="s">
        <v>12</v>
      </c>
      <c r="B26655" t="s">
        <v>7506</v>
      </c>
      <c r="C26655" s="1" t="s">
        <v>23490</v>
      </c>
      <c r="D26655" s="1" t="str">
        <f>HYPERLINK("https://rhld.insurance.arkansas.gov/NPILookup?Npi=1003898313","1003898313")</f>
        <v>1003898313</v>
      </c>
      <c r="E26655" t="s">
        <v>7507</v>
      </c>
    </row>
    <row r="26656" spans="1:5" x14ac:dyDescent="0.25">
      <c r="A26656" t="s">
        <v>12</v>
      </c>
      <c r="B26656" t="s">
        <v>7506</v>
      </c>
      <c r="C26656" s="1" t="s">
        <v>23490</v>
      </c>
      <c r="D26656" s="1" t="str">
        <f>HYPERLINK("https://rhld.insurance.arkansas.gov/NPILookup?Npi=1013088848","1013088848")</f>
        <v>1013088848</v>
      </c>
      <c r="E26656" t="s">
        <v>7508</v>
      </c>
    </row>
    <row r="26657" spans="1:5" x14ac:dyDescent="0.25">
      <c r="A26657" t="s">
        <v>12</v>
      </c>
      <c r="B26657" t="s">
        <v>7506</v>
      </c>
      <c r="C26657" s="1" t="s">
        <v>23490</v>
      </c>
      <c r="D26657" s="1" t="str">
        <f>HYPERLINK("https://rhld.insurance.arkansas.gov/NPILookup?Npi=1013119635","1013119635")</f>
        <v>1013119635</v>
      </c>
      <c r="E26657" t="s">
        <v>7509</v>
      </c>
    </row>
    <row r="26658" spans="1:5" x14ac:dyDescent="0.25">
      <c r="A26658" t="s">
        <v>12</v>
      </c>
      <c r="B26658" t="s">
        <v>7506</v>
      </c>
      <c r="C26658" s="1" t="s">
        <v>23490</v>
      </c>
      <c r="D26658" s="1" t="str">
        <f>HYPERLINK("https://rhld.insurance.arkansas.gov/NPILookup?Npi=1013941806","1013941806")</f>
        <v>1013941806</v>
      </c>
      <c r="E26658" t="s">
        <v>9280</v>
      </c>
    </row>
    <row r="26659" spans="1:5" x14ac:dyDescent="0.25">
      <c r="A26659" t="s">
        <v>12</v>
      </c>
      <c r="B26659" t="s">
        <v>7506</v>
      </c>
      <c r="C26659" s="1" t="s">
        <v>23490</v>
      </c>
      <c r="D26659" s="1" t="str">
        <f>HYPERLINK("https://rhld.insurance.arkansas.gov/NPILookup?Npi=1023018835","1023018835")</f>
        <v>1023018835</v>
      </c>
      <c r="E26659" t="s">
        <v>12115</v>
      </c>
    </row>
    <row r="26660" spans="1:5" x14ac:dyDescent="0.25">
      <c r="A26660" t="s">
        <v>12</v>
      </c>
      <c r="B26660" t="s">
        <v>7506</v>
      </c>
      <c r="C26660" s="1" t="s">
        <v>23490</v>
      </c>
      <c r="D26660" s="1" t="str">
        <f>HYPERLINK("https://rhld.insurance.arkansas.gov/NPILookup?Npi=1023053477","1023053477")</f>
        <v>1023053477</v>
      </c>
      <c r="E26660" t="s">
        <v>7510</v>
      </c>
    </row>
    <row r="26661" spans="1:5" x14ac:dyDescent="0.25">
      <c r="A26661" t="s">
        <v>12</v>
      </c>
      <c r="B26661" t="s">
        <v>7506</v>
      </c>
      <c r="C26661" s="1" t="s">
        <v>23490</v>
      </c>
      <c r="D26661" s="1" t="str">
        <f>HYPERLINK("https://rhld.insurance.arkansas.gov/NPILookup?Npi=1023160314","1023160314")</f>
        <v>1023160314</v>
      </c>
      <c r="E26661" t="s">
        <v>9208</v>
      </c>
    </row>
    <row r="26662" spans="1:5" x14ac:dyDescent="0.25">
      <c r="A26662" t="s">
        <v>12</v>
      </c>
      <c r="B26662" t="s">
        <v>7506</v>
      </c>
      <c r="C26662" s="1" t="s">
        <v>23490</v>
      </c>
      <c r="D26662" s="1" t="str">
        <f>HYPERLINK("https://rhld.insurance.arkansas.gov/NPILookup?Npi=1023363348","1023363348")</f>
        <v>1023363348</v>
      </c>
      <c r="E26662" t="s">
        <v>7512</v>
      </c>
    </row>
    <row r="26663" spans="1:5" x14ac:dyDescent="0.25">
      <c r="A26663" t="s">
        <v>12</v>
      </c>
      <c r="B26663" t="s">
        <v>7506</v>
      </c>
      <c r="C26663" s="1" t="s">
        <v>23490</v>
      </c>
      <c r="D26663" s="1" t="str">
        <f>HYPERLINK("https://rhld.insurance.arkansas.gov/NPILookup?Npi=1033112230","1033112230")</f>
        <v>1033112230</v>
      </c>
      <c r="E26663" t="s">
        <v>7513</v>
      </c>
    </row>
    <row r="26664" spans="1:5" x14ac:dyDescent="0.25">
      <c r="A26664" t="s">
        <v>12</v>
      </c>
      <c r="B26664" t="s">
        <v>7506</v>
      </c>
      <c r="C26664" s="1" t="s">
        <v>23490</v>
      </c>
      <c r="D26664" s="1" t="str">
        <f>HYPERLINK("https://rhld.insurance.arkansas.gov/NPILookup?Npi=1033124839","1033124839")</f>
        <v>1033124839</v>
      </c>
      <c r="E26664" t="s">
        <v>7514</v>
      </c>
    </row>
    <row r="26665" spans="1:5" x14ac:dyDescent="0.25">
      <c r="A26665" t="s">
        <v>12</v>
      </c>
      <c r="B26665" t="s">
        <v>7506</v>
      </c>
      <c r="C26665" s="1" t="s">
        <v>23490</v>
      </c>
      <c r="D26665" s="1" t="str">
        <f>HYPERLINK("https://rhld.insurance.arkansas.gov/NPILookup?Npi=1033147921","1033147921")</f>
        <v>1033147921</v>
      </c>
      <c r="E26665" t="s">
        <v>9281</v>
      </c>
    </row>
    <row r="26666" spans="1:5" x14ac:dyDescent="0.25">
      <c r="A26666" t="s">
        <v>12</v>
      </c>
      <c r="B26666" t="s">
        <v>7506</v>
      </c>
      <c r="C26666" s="1" t="s">
        <v>23490</v>
      </c>
      <c r="D26666" s="1" t="str">
        <f>HYPERLINK("https://rhld.insurance.arkansas.gov/NPILookup?Npi=1033160049","1033160049")</f>
        <v>1033160049</v>
      </c>
      <c r="E26666" t="s">
        <v>6424</v>
      </c>
    </row>
    <row r="26667" spans="1:5" x14ac:dyDescent="0.25">
      <c r="A26667" t="s">
        <v>12</v>
      </c>
      <c r="B26667" t="s">
        <v>7506</v>
      </c>
      <c r="C26667" s="1" t="s">
        <v>23490</v>
      </c>
      <c r="D26667" s="1" t="str">
        <f>HYPERLINK("https://rhld.insurance.arkansas.gov/NPILookup?Npi=1033207675","1033207675")</f>
        <v>1033207675</v>
      </c>
      <c r="E26667" t="s">
        <v>9286</v>
      </c>
    </row>
    <row r="26668" spans="1:5" x14ac:dyDescent="0.25">
      <c r="A26668" t="s">
        <v>12</v>
      </c>
      <c r="B26668" t="s">
        <v>7506</v>
      </c>
      <c r="C26668" s="1" t="s">
        <v>23490</v>
      </c>
      <c r="D26668" s="1" t="str">
        <f>HYPERLINK("https://rhld.insurance.arkansas.gov/NPILookup?Npi=1043240682","1043240682")</f>
        <v>1043240682</v>
      </c>
      <c r="E26668" t="s">
        <v>4080</v>
      </c>
    </row>
    <row r="26669" spans="1:5" x14ac:dyDescent="0.25">
      <c r="A26669" t="s">
        <v>12</v>
      </c>
      <c r="B26669" t="s">
        <v>7506</v>
      </c>
      <c r="C26669" s="1" t="s">
        <v>23490</v>
      </c>
      <c r="D26669" s="1" t="str">
        <f>HYPERLINK("https://rhld.insurance.arkansas.gov/NPILookup?Npi=1043282338","1043282338")</f>
        <v>1043282338</v>
      </c>
      <c r="E26669" t="s">
        <v>14383</v>
      </c>
    </row>
    <row r="26670" spans="1:5" x14ac:dyDescent="0.25">
      <c r="A26670" t="s">
        <v>12</v>
      </c>
      <c r="B26670" t="s">
        <v>7506</v>
      </c>
      <c r="C26670" s="1" t="s">
        <v>23490</v>
      </c>
      <c r="D26670" s="1" t="str">
        <f>HYPERLINK("https://rhld.insurance.arkansas.gov/NPILookup?Npi=1043336522","1043336522")</f>
        <v>1043336522</v>
      </c>
      <c r="E26670" t="s">
        <v>12116</v>
      </c>
    </row>
    <row r="26671" spans="1:5" x14ac:dyDescent="0.25">
      <c r="A26671" t="s">
        <v>12</v>
      </c>
      <c r="B26671" t="s">
        <v>7506</v>
      </c>
      <c r="C26671" s="1" t="s">
        <v>23490</v>
      </c>
      <c r="D26671" s="1" t="str">
        <f>HYPERLINK("https://rhld.insurance.arkansas.gov/NPILookup?Npi=1053393231","1053393231")</f>
        <v>1053393231</v>
      </c>
      <c r="E26671" t="s">
        <v>10194</v>
      </c>
    </row>
    <row r="26672" spans="1:5" x14ac:dyDescent="0.25">
      <c r="A26672" t="s">
        <v>12</v>
      </c>
      <c r="B26672" t="s">
        <v>7506</v>
      </c>
      <c r="C26672" s="1" t="s">
        <v>23490</v>
      </c>
      <c r="D26672" s="1" t="str">
        <f>HYPERLINK("https://rhld.insurance.arkansas.gov/NPILookup?Npi=1063415800","1063415800")</f>
        <v>1063415800</v>
      </c>
      <c r="E26672" t="s">
        <v>4067</v>
      </c>
    </row>
    <row r="26673" spans="1:5" x14ac:dyDescent="0.25">
      <c r="A26673" t="s">
        <v>12</v>
      </c>
      <c r="B26673" t="s">
        <v>7506</v>
      </c>
      <c r="C26673" s="1" t="s">
        <v>23490</v>
      </c>
      <c r="D26673" s="1" t="str">
        <f>HYPERLINK("https://rhld.insurance.arkansas.gov/NPILookup?Npi=1063482735","1063482735")</f>
        <v>1063482735</v>
      </c>
      <c r="E26673" t="s">
        <v>4069</v>
      </c>
    </row>
    <row r="26674" spans="1:5" x14ac:dyDescent="0.25">
      <c r="A26674" t="s">
        <v>12</v>
      </c>
      <c r="B26674" t="s">
        <v>7506</v>
      </c>
      <c r="C26674" s="1" t="s">
        <v>23490</v>
      </c>
      <c r="D26674" s="1" t="str">
        <f>HYPERLINK("https://rhld.insurance.arkansas.gov/NPILookup?Npi=1063571107","1063571107")</f>
        <v>1063571107</v>
      </c>
      <c r="E26674" t="s">
        <v>7567</v>
      </c>
    </row>
    <row r="26675" spans="1:5" x14ac:dyDescent="0.25">
      <c r="A26675" t="s">
        <v>12</v>
      </c>
      <c r="B26675" t="s">
        <v>7506</v>
      </c>
      <c r="C26675" s="1" t="s">
        <v>23490</v>
      </c>
      <c r="D26675" s="1" t="str">
        <f>HYPERLINK("https://rhld.insurance.arkansas.gov/NPILookup?Npi=1063695120","1063695120")</f>
        <v>1063695120</v>
      </c>
      <c r="E26675" t="s">
        <v>4108</v>
      </c>
    </row>
    <row r="26676" spans="1:5" x14ac:dyDescent="0.25">
      <c r="A26676" t="s">
        <v>12</v>
      </c>
      <c r="B26676" t="s">
        <v>7506</v>
      </c>
      <c r="C26676" s="1" t="s">
        <v>23490</v>
      </c>
      <c r="D26676" s="1" t="str">
        <f>HYPERLINK("https://rhld.insurance.arkansas.gov/NPILookup?Npi=1073516019","1073516019")</f>
        <v>1073516019</v>
      </c>
      <c r="E26676" t="s">
        <v>7515</v>
      </c>
    </row>
    <row r="26677" spans="1:5" x14ac:dyDescent="0.25">
      <c r="A26677" t="s">
        <v>12</v>
      </c>
      <c r="B26677" t="s">
        <v>7506</v>
      </c>
      <c r="C26677" s="1" t="s">
        <v>23490</v>
      </c>
      <c r="D26677" s="1" t="str">
        <f>HYPERLINK("https://rhld.insurance.arkansas.gov/NPILookup?Npi=1073518593","1073518593")</f>
        <v>1073518593</v>
      </c>
      <c r="E26677" t="s">
        <v>4071</v>
      </c>
    </row>
    <row r="26678" spans="1:5" x14ac:dyDescent="0.25">
      <c r="A26678" t="s">
        <v>12</v>
      </c>
      <c r="B26678" t="s">
        <v>7506</v>
      </c>
      <c r="C26678" s="1" t="s">
        <v>23490</v>
      </c>
      <c r="D26678" s="1" t="str">
        <f>HYPERLINK("https://rhld.insurance.arkansas.gov/NPILookup?Npi=1073600136","1073600136")</f>
        <v>1073600136</v>
      </c>
      <c r="E26678" t="s">
        <v>9211</v>
      </c>
    </row>
    <row r="26679" spans="1:5" x14ac:dyDescent="0.25">
      <c r="A26679" t="s">
        <v>12</v>
      </c>
      <c r="B26679" t="s">
        <v>7506</v>
      </c>
      <c r="C26679" s="1" t="s">
        <v>23490</v>
      </c>
      <c r="D26679" s="1" t="str">
        <f>HYPERLINK("https://rhld.insurance.arkansas.gov/NPILookup?Npi=1083609150","1083609150")</f>
        <v>1083609150</v>
      </c>
      <c r="E26679" t="s">
        <v>7517</v>
      </c>
    </row>
    <row r="26680" spans="1:5" x14ac:dyDescent="0.25">
      <c r="A26680" t="s">
        <v>12</v>
      </c>
      <c r="B26680" t="s">
        <v>7506</v>
      </c>
      <c r="C26680" s="1" t="s">
        <v>23490</v>
      </c>
      <c r="D26680" s="1" t="str">
        <f>HYPERLINK("https://rhld.insurance.arkansas.gov/NPILookup?Npi=1083687651","1083687651")</f>
        <v>1083687651</v>
      </c>
      <c r="E26680" t="s">
        <v>4073</v>
      </c>
    </row>
    <row r="26681" spans="1:5" x14ac:dyDescent="0.25">
      <c r="A26681" t="s">
        <v>12</v>
      </c>
      <c r="B26681" t="s">
        <v>7506</v>
      </c>
      <c r="C26681" s="1" t="s">
        <v>23490</v>
      </c>
      <c r="D26681" s="1" t="str">
        <f>HYPERLINK("https://rhld.insurance.arkansas.gov/NPILookup?Npi=1093785859","1093785859")</f>
        <v>1093785859</v>
      </c>
      <c r="E26681" t="s">
        <v>4075</v>
      </c>
    </row>
    <row r="26682" spans="1:5" x14ac:dyDescent="0.25">
      <c r="A26682" t="s">
        <v>12</v>
      </c>
      <c r="B26682" t="s">
        <v>7506</v>
      </c>
      <c r="C26682" s="1" t="s">
        <v>23490</v>
      </c>
      <c r="D26682" s="1" t="str">
        <f>HYPERLINK("https://rhld.insurance.arkansas.gov/NPILookup?Npi=1104178250","1104178250")</f>
        <v>1104178250</v>
      </c>
      <c r="E26682" t="s">
        <v>9282</v>
      </c>
    </row>
    <row r="26683" spans="1:5" x14ac:dyDescent="0.25">
      <c r="A26683" t="s">
        <v>12</v>
      </c>
      <c r="B26683" t="s">
        <v>7506</v>
      </c>
      <c r="C26683" s="1" t="s">
        <v>23490</v>
      </c>
      <c r="D26683" s="1" t="str">
        <f>HYPERLINK("https://rhld.insurance.arkansas.gov/NPILookup?Npi=1104884006","1104884006")</f>
        <v>1104884006</v>
      </c>
      <c r="E26683" t="s">
        <v>4076</v>
      </c>
    </row>
    <row r="26684" spans="1:5" x14ac:dyDescent="0.25">
      <c r="A26684" t="s">
        <v>12</v>
      </c>
      <c r="B26684" t="s">
        <v>7506</v>
      </c>
      <c r="C26684" s="1" t="s">
        <v>23490</v>
      </c>
      <c r="D26684" s="1" t="str">
        <f>HYPERLINK("https://rhld.insurance.arkansas.gov/NPILookup?Npi=1114903523","1114903523")</f>
        <v>1114903523</v>
      </c>
      <c r="E26684" t="s">
        <v>7518</v>
      </c>
    </row>
    <row r="26685" spans="1:5" x14ac:dyDescent="0.25">
      <c r="A26685" t="s">
        <v>12</v>
      </c>
      <c r="B26685" t="s">
        <v>7506</v>
      </c>
      <c r="C26685" s="1" t="s">
        <v>23490</v>
      </c>
      <c r="D26685" s="1" t="str">
        <f>HYPERLINK("https://rhld.insurance.arkansas.gov/NPILookup?Npi=1114937174","1114937174")</f>
        <v>1114937174</v>
      </c>
      <c r="E26685" t="s">
        <v>13256</v>
      </c>
    </row>
    <row r="26686" spans="1:5" x14ac:dyDescent="0.25">
      <c r="A26686" t="s">
        <v>12</v>
      </c>
      <c r="B26686" t="s">
        <v>7506</v>
      </c>
      <c r="C26686" s="1" t="s">
        <v>23490</v>
      </c>
      <c r="D26686" s="1" t="str">
        <f>HYPERLINK("https://rhld.insurance.arkansas.gov/NPILookup?Npi=1124021811","1124021811")</f>
        <v>1124021811</v>
      </c>
      <c r="E26686" t="s">
        <v>7519</v>
      </c>
    </row>
    <row r="26687" spans="1:5" x14ac:dyDescent="0.25">
      <c r="A26687" t="s">
        <v>12</v>
      </c>
      <c r="B26687" t="s">
        <v>7506</v>
      </c>
      <c r="C26687" s="1" t="s">
        <v>23490</v>
      </c>
      <c r="D26687" s="1" t="str">
        <f>HYPERLINK("https://rhld.insurance.arkansas.gov/NPILookup?Npi=1124170691","1124170691")</f>
        <v>1124170691</v>
      </c>
      <c r="E26687" t="s">
        <v>4105</v>
      </c>
    </row>
    <row r="26688" spans="1:5" x14ac:dyDescent="0.25">
      <c r="A26688" t="s">
        <v>12</v>
      </c>
      <c r="B26688" t="s">
        <v>7506</v>
      </c>
      <c r="C26688" s="1" t="s">
        <v>23490</v>
      </c>
      <c r="D26688" s="1" t="str">
        <f>HYPERLINK("https://rhld.insurance.arkansas.gov/NPILookup?Npi=1134116049","1134116049")</f>
        <v>1134116049</v>
      </c>
      <c r="E26688" t="s">
        <v>4081</v>
      </c>
    </row>
    <row r="26689" spans="1:5" x14ac:dyDescent="0.25">
      <c r="A26689" t="s">
        <v>12</v>
      </c>
      <c r="B26689" t="s">
        <v>7506</v>
      </c>
      <c r="C26689" s="1" t="s">
        <v>23490</v>
      </c>
      <c r="D26689" s="1" t="str">
        <f>HYPERLINK("https://rhld.insurance.arkansas.gov/NPILookup?Npi=1144213117","1144213117")</f>
        <v>1144213117</v>
      </c>
      <c r="E26689" t="s">
        <v>10194</v>
      </c>
    </row>
    <row r="26690" spans="1:5" x14ac:dyDescent="0.25">
      <c r="A26690" t="s">
        <v>12</v>
      </c>
      <c r="B26690" t="s">
        <v>7506</v>
      </c>
      <c r="C26690" s="1" t="s">
        <v>23490</v>
      </c>
      <c r="D26690" s="1" t="str">
        <f>HYPERLINK("https://rhld.insurance.arkansas.gov/NPILookup?Npi=1144590522","1144590522")</f>
        <v>1144590522</v>
      </c>
      <c r="E26690" t="s">
        <v>7520</v>
      </c>
    </row>
    <row r="26691" spans="1:5" x14ac:dyDescent="0.25">
      <c r="A26691" t="s">
        <v>12</v>
      </c>
      <c r="B26691" t="s">
        <v>7506</v>
      </c>
      <c r="C26691" s="1" t="s">
        <v>23490</v>
      </c>
      <c r="D26691" s="1" t="str">
        <f>HYPERLINK("https://rhld.insurance.arkansas.gov/NPILookup?Npi=1154392090","1154392090")</f>
        <v>1154392090</v>
      </c>
      <c r="E26691" t="s">
        <v>14395</v>
      </c>
    </row>
    <row r="26692" spans="1:5" x14ac:dyDescent="0.25">
      <c r="A26692" t="s">
        <v>12</v>
      </c>
      <c r="B26692" t="s">
        <v>7506</v>
      </c>
      <c r="C26692" s="1" t="s">
        <v>23490</v>
      </c>
      <c r="D26692" s="1" t="str">
        <f>HYPERLINK("https://rhld.insurance.arkansas.gov/NPILookup?Npi=1154807584","1154807584")</f>
        <v>1154807584</v>
      </c>
      <c r="E26692" t="s">
        <v>13887</v>
      </c>
    </row>
    <row r="26693" spans="1:5" x14ac:dyDescent="0.25">
      <c r="A26693" t="s">
        <v>12</v>
      </c>
      <c r="B26693" t="s">
        <v>7506</v>
      </c>
      <c r="C26693" s="1" t="s">
        <v>23490</v>
      </c>
      <c r="D26693" s="1" t="str">
        <f>HYPERLINK("https://rhld.insurance.arkansas.gov/NPILookup?Npi=1174523948","1174523948")</f>
        <v>1174523948</v>
      </c>
      <c r="E26693" t="s">
        <v>7521</v>
      </c>
    </row>
    <row r="26694" spans="1:5" x14ac:dyDescent="0.25">
      <c r="A26694" t="s">
        <v>12</v>
      </c>
      <c r="B26694" t="s">
        <v>7506</v>
      </c>
      <c r="C26694" s="1" t="s">
        <v>23490</v>
      </c>
      <c r="D26694" s="1" t="str">
        <f>HYPERLINK("https://rhld.insurance.arkansas.gov/NPILookup?Npi=1174553796","1174553796")</f>
        <v>1174553796</v>
      </c>
      <c r="E26694" t="s">
        <v>4080</v>
      </c>
    </row>
    <row r="26695" spans="1:5" x14ac:dyDescent="0.25">
      <c r="A26695" t="s">
        <v>12</v>
      </c>
      <c r="B26695" t="s">
        <v>7506</v>
      </c>
      <c r="C26695" s="1" t="s">
        <v>23490</v>
      </c>
      <c r="D26695" s="1" t="str">
        <f>HYPERLINK("https://rhld.insurance.arkansas.gov/NPILookup?Npi=1184629594","1184629594")</f>
        <v>1184629594</v>
      </c>
      <c r="E26695" t="s">
        <v>20285</v>
      </c>
    </row>
    <row r="26696" spans="1:5" x14ac:dyDescent="0.25">
      <c r="A26696" t="s">
        <v>12</v>
      </c>
      <c r="B26696" t="s">
        <v>7506</v>
      </c>
      <c r="C26696" s="1" t="s">
        <v>23490</v>
      </c>
      <c r="D26696" s="1" t="str">
        <f>HYPERLINK("https://rhld.insurance.arkansas.gov/NPILookup?Npi=1194358523","1194358523")</f>
        <v>1194358523</v>
      </c>
      <c r="E26696" t="s">
        <v>16626</v>
      </c>
    </row>
    <row r="26697" spans="1:5" x14ac:dyDescent="0.25">
      <c r="A26697" t="s">
        <v>12</v>
      </c>
      <c r="B26697" t="s">
        <v>7506</v>
      </c>
      <c r="C26697" s="1" t="s">
        <v>23490</v>
      </c>
      <c r="D26697" s="1" t="str">
        <f>HYPERLINK("https://rhld.insurance.arkansas.gov/NPILookup?Npi=1194482034","1194482034")</f>
        <v>1194482034</v>
      </c>
      <c r="E26697" t="s">
        <v>21766</v>
      </c>
    </row>
    <row r="26698" spans="1:5" x14ac:dyDescent="0.25">
      <c r="A26698" t="s">
        <v>12</v>
      </c>
      <c r="B26698" t="s">
        <v>7506</v>
      </c>
      <c r="C26698" s="1" t="s">
        <v>23490</v>
      </c>
      <c r="D26698" s="1" t="str">
        <f>HYPERLINK("https://rhld.insurance.arkansas.gov/NPILookup?Npi=1194724658","1194724658")</f>
        <v>1194724658</v>
      </c>
      <c r="E26698" t="s">
        <v>14372</v>
      </c>
    </row>
    <row r="26699" spans="1:5" x14ac:dyDescent="0.25">
      <c r="A26699" t="s">
        <v>12</v>
      </c>
      <c r="B26699" t="s">
        <v>7506</v>
      </c>
      <c r="C26699" s="1" t="s">
        <v>23490</v>
      </c>
      <c r="D26699" s="1" t="str">
        <f>HYPERLINK("https://rhld.insurance.arkansas.gov/NPILookup?Npi=1194741611","1194741611")</f>
        <v>1194741611</v>
      </c>
      <c r="E26699" t="s">
        <v>4079</v>
      </c>
    </row>
    <row r="26700" spans="1:5" x14ac:dyDescent="0.25">
      <c r="A26700" t="s">
        <v>12</v>
      </c>
      <c r="B26700" t="s">
        <v>7506</v>
      </c>
      <c r="C26700" s="1" t="s">
        <v>23490</v>
      </c>
      <c r="D26700" s="1" t="str">
        <f>HYPERLINK("https://rhld.insurance.arkansas.gov/NPILookup?Npi=1194757500","1194757500")</f>
        <v>1194757500</v>
      </c>
      <c r="E26700" t="s">
        <v>7523</v>
      </c>
    </row>
    <row r="26701" spans="1:5" x14ac:dyDescent="0.25">
      <c r="A26701" t="s">
        <v>12</v>
      </c>
      <c r="B26701" t="s">
        <v>7506</v>
      </c>
      <c r="C26701" s="1" t="s">
        <v>23490</v>
      </c>
      <c r="D26701" s="1" t="str">
        <f>HYPERLINK("https://rhld.insurance.arkansas.gov/NPILookup?Npi=1194776757","1194776757")</f>
        <v>1194776757</v>
      </c>
      <c r="E26701" t="s">
        <v>3820</v>
      </c>
    </row>
    <row r="26702" spans="1:5" x14ac:dyDescent="0.25">
      <c r="A26702" t="s">
        <v>12</v>
      </c>
      <c r="B26702" t="s">
        <v>7506</v>
      </c>
      <c r="C26702" s="1" t="s">
        <v>23490</v>
      </c>
      <c r="D26702" s="1" t="str">
        <f>HYPERLINK("https://rhld.insurance.arkansas.gov/NPILookup?Npi=1194779520","1194779520")</f>
        <v>1194779520</v>
      </c>
      <c r="E26702" t="s">
        <v>12117</v>
      </c>
    </row>
    <row r="26703" spans="1:5" x14ac:dyDescent="0.25">
      <c r="A26703" t="s">
        <v>12</v>
      </c>
      <c r="B26703" t="s">
        <v>7506</v>
      </c>
      <c r="C26703" s="1" t="s">
        <v>23490</v>
      </c>
      <c r="D26703" s="1" t="str">
        <f>HYPERLINK("https://rhld.insurance.arkansas.gov/NPILookup?Npi=1194789818","1194789818")</f>
        <v>1194789818</v>
      </c>
      <c r="E26703" t="s">
        <v>7524</v>
      </c>
    </row>
    <row r="26704" spans="1:5" x14ac:dyDescent="0.25">
      <c r="A26704" t="s">
        <v>12</v>
      </c>
      <c r="B26704" t="s">
        <v>7506</v>
      </c>
      <c r="C26704" s="1" t="s">
        <v>23490</v>
      </c>
      <c r="D26704" s="1" t="str">
        <f>HYPERLINK("https://rhld.insurance.arkansas.gov/NPILookup?Npi=1205834900","1205834900")</f>
        <v>1205834900</v>
      </c>
      <c r="E26704" t="s">
        <v>7525</v>
      </c>
    </row>
    <row r="26705" spans="1:5" x14ac:dyDescent="0.25">
      <c r="A26705" t="s">
        <v>12</v>
      </c>
      <c r="B26705" t="s">
        <v>7506</v>
      </c>
      <c r="C26705" s="1" t="s">
        <v>23490</v>
      </c>
      <c r="D26705" s="1" t="str">
        <f>HYPERLINK("https://rhld.insurance.arkansas.gov/NPILookup?Npi=1205883980","1205883980")</f>
        <v>1205883980</v>
      </c>
      <c r="E26705" t="s">
        <v>4072</v>
      </c>
    </row>
    <row r="26706" spans="1:5" x14ac:dyDescent="0.25">
      <c r="A26706" t="s">
        <v>12</v>
      </c>
      <c r="B26706" t="s">
        <v>7506</v>
      </c>
      <c r="C26706" s="1" t="s">
        <v>23490</v>
      </c>
      <c r="D26706" s="1" t="str">
        <f>HYPERLINK("https://rhld.insurance.arkansas.gov/NPILookup?Npi=1205940236","1205940236")</f>
        <v>1205940236</v>
      </c>
      <c r="E26706" t="s">
        <v>20285</v>
      </c>
    </row>
    <row r="26707" spans="1:5" x14ac:dyDescent="0.25">
      <c r="A26707" t="s">
        <v>12</v>
      </c>
      <c r="B26707" t="s">
        <v>7506</v>
      </c>
      <c r="C26707" s="1" t="s">
        <v>23490</v>
      </c>
      <c r="D26707" s="1" t="str">
        <f>HYPERLINK("https://rhld.insurance.arkansas.gov/NPILookup?Npi=1215967831","1215967831")</f>
        <v>1215967831</v>
      </c>
      <c r="E26707" t="s">
        <v>4080</v>
      </c>
    </row>
    <row r="26708" spans="1:5" x14ac:dyDescent="0.25">
      <c r="A26708" t="s">
        <v>12</v>
      </c>
      <c r="B26708" t="s">
        <v>7506</v>
      </c>
      <c r="C26708" s="1" t="s">
        <v>23490</v>
      </c>
      <c r="D26708" s="1" t="str">
        <f>HYPERLINK("https://rhld.insurance.arkansas.gov/NPILookup?Npi=1215971700","1215971700")</f>
        <v>1215971700</v>
      </c>
      <c r="E26708" t="s">
        <v>7526</v>
      </c>
    </row>
    <row r="26709" spans="1:5" x14ac:dyDescent="0.25">
      <c r="A26709" t="s">
        <v>12</v>
      </c>
      <c r="B26709" t="s">
        <v>7506</v>
      </c>
      <c r="C26709" s="1" t="s">
        <v>23490</v>
      </c>
      <c r="D26709" s="1" t="str">
        <f>HYPERLINK("https://rhld.insurance.arkansas.gov/NPILookup?Npi=1225025646","1225025646")</f>
        <v>1225025646</v>
      </c>
      <c r="E26709" t="s">
        <v>7527</v>
      </c>
    </row>
    <row r="26710" spans="1:5" x14ac:dyDescent="0.25">
      <c r="A26710" t="s">
        <v>12</v>
      </c>
      <c r="B26710" t="s">
        <v>7506</v>
      </c>
      <c r="C26710" s="1" t="s">
        <v>23490</v>
      </c>
      <c r="D26710" s="1" t="str">
        <f>HYPERLINK("https://rhld.insurance.arkansas.gov/NPILookup?Npi=1225139637","1225139637")</f>
        <v>1225139637</v>
      </c>
      <c r="E26710" t="s">
        <v>9284</v>
      </c>
    </row>
    <row r="26711" spans="1:5" x14ac:dyDescent="0.25">
      <c r="A26711" t="s">
        <v>12</v>
      </c>
      <c r="B26711" t="s">
        <v>7506</v>
      </c>
      <c r="C26711" s="1" t="s">
        <v>23490</v>
      </c>
      <c r="D26711" s="1" t="str">
        <f>HYPERLINK("https://rhld.insurance.arkansas.gov/NPILookup?Npi=1225439821","1225439821")</f>
        <v>1225439821</v>
      </c>
      <c r="E26711" t="s">
        <v>7528</v>
      </c>
    </row>
    <row r="26712" spans="1:5" x14ac:dyDescent="0.25">
      <c r="A26712" t="s">
        <v>12</v>
      </c>
      <c r="B26712" t="s">
        <v>7506</v>
      </c>
      <c r="C26712" s="1" t="s">
        <v>23490</v>
      </c>
      <c r="D26712" s="1" t="str">
        <f>HYPERLINK("https://rhld.insurance.arkansas.gov/NPILookup?Npi=1235111071","1235111071")</f>
        <v>1235111071</v>
      </c>
      <c r="E26712" t="s">
        <v>11500</v>
      </c>
    </row>
    <row r="26713" spans="1:5" x14ac:dyDescent="0.25">
      <c r="A26713" t="s">
        <v>12</v>
      </c>
      <c r="B26713" t="s">
        <v>7506</v>
      </c>
      <c r="C26713" s="1" t="s">
        <v>23490</v>
      </c>
      <c r="D26713" s="1" t="str">
        <f>HYPERLINK("https://rhld.insurance.arkansas.gov/NPILookup?Npi=1235357534","1235357534")</f>
        <v>1235357534</v>
      </c>
      <c r="E26713" t="s">
        <v>6399</v>
      </c>
    </row>
    <row r="26714" spans="1:5" x14ac:dyDescent="0.25">
      <c r="A26714" t="s">
        <v>12</v>
      </c>
      <c r="B26714" t="s">
        <v>7506</v>
      </c>
      <c r="C26714" s="1" t="s">
        <v>23490</v>
      </c>
      <c r="D26714" s="1" t="str">
        <f>HYPERLINK("https://rhld.insurance.arkansas.gov/NPILookup?Npi=1235453192","1235453192")</f>
        <v>1235453192</v>
      </c>
      <c r="E26714" t="s">
        <v>6484</v>
      </c>
    </row>
    <row r="26715" spans="1:5" x14ac:dyDescent="0.25">
      <c r="A26715" t="s">
        <v>12</v>
      </c>
      <c r="B26715" t="s">
        <v>7506</v>
      </c>
      <c r="C26715" s="1" t="s">
        <v>23490</v>
      </c>
      <c r="D26715" s="1" t="str">
        <f>HYPERLINK("https://rhld.insurance.arkansas.gov/NPILookup?Npi=1235553066","1235553066")</f>
        <v>1235553066</v>
      </c>
      <c r="E26715" t="s">
        <v>7529</v>
      </c>
    </row>
    <row r="26716" spans="1:5" x14ac:dyDescent="0.25">
      <c r="A26716" t="s">
        <v>12</v>
      </c>
      <c r="B26716" t="s">
        <v>7506</v>
      </c>
      <c r="C26716" s="1" t="s">
        <v>23490</v>
      </c>
      <c r="D26716" s="1" t="str">
        <f>HYPERLINK("https://rhld.insurance.arkansas.gov/NPILookup?Npi=1245284769","1245284769")</f>
        <v>1245284769</v>
      </c>
      <c r="E26716" t="s">
        <v>4094</v>
      </c>
    </row>
    <row r="26717" spans="1:5" x14ac:dyDescent="0.25">
      <c r="A26717" t="s">
        <v>12</v>
      </c>
      <c r="B26717" t="s">
        <v>7506</v>
      </c>
      <c r="C26717" s="1" t="s">
        <v>23490</v>
      </c>
      <c r="D26717" s="1" t="str">
        <f>HYPERLINK("https://rhld.insurance.arkansas.gov/NPILookup?Npi=1245342591","1245342591")</f>
        <v>1245342591</v>
      </c>
      <c r="E26717" t="s">
        <v>7530</v>
      </c>
    </row>
    <row r="26718" spans="1:5" x14ac:dyDescent="0.25">
      <c r="A26718" t="s">
        <v>12</v>
      </c>
      <c r="B26718" t="s">
        <v>7506</v>
      </c>
      <c r="C26718" s="1" t="s">
        <v>23490</v>
      </c>
      <c r="D26718" s="1" t="str">
        <f>HYPERLINK("https://rhld.insurance.arkansas.gov/NPILookup?Npi=1255444139","1255444139")</f>
        <v>1255444139</v>
      </c>
      <c r="E26718" t="s">
        <v>7531</v>
      </c>
    </row>
    <row r="26719" spans="1:5" x14ac:dyDescent="0.25">
      <c r="A26719" t="s">
        <v>12</v>
      </c>
      <c r="B26719" t="s">
        <v>7506</v>
      </c>
      <c r="C26719" s="1" t="s">
        <v>23490</v>
      </c>
      <c r="D26719" s="1" t="str">
        <f>HYPERLINK("https://rhld.insurance.arkansas.gov/NPILookup?Npi=1255533444","1255533444")</f>
        <v>1255533444</v>
      </c>
      <c r="E26719" t="s">
        <v>22898</v>
      </c>
    </row>
    <row r="26720" spans="1:5" x14ac:dyDescent="0.25">
      <c r="A26720" t="s">
        <v>12</v>
      </c>
      <c r="B26720" t="s">
        <v>7506</v>
      </c>
      <c r="C26720" s="1" t="s">
        <v>23490</v>
      </c>
      <c r="D26720" s="1" t="str">
        <f>HYPERLINK("https://rhld.insurance.arkansas.gov/NPILookup?Npi=1255542700","1255542700")</f>
        <v>1255542700</v>
      </c>
      <c r="E26720" t="s">
        <v>7533</v>
      </c>
    </row>
    <row r="26721" spans="1:5" x14ac:dyDescent="0.25">
      <c r="A26721" t="s">
        <v>12</v>
      </c>
      <c r="B26721" t="s">
        <v>7506</v>
      </c>
      <c r="C26721" s="1" t="s">
        <v>23490</v>
      </c>
      <c r="D26721" s="1" t="str">
        <f>HYPERLINK("https://rhld.insurance.arkansas.gov/NPILookup?Npi=1255875746","1255875746")</f>
        <v>1255875746</v>
      </c>
      <c r="E26721" t="s">
        <v>13281</v>
      </c>
    </row>
    <row r="26722" spans="1:5" x14ac:dyDescent="0.25">
      <c r="A26722" t="s">
        <v>12</v>
      </c>
      <c r="B26722" t="s">
        <v>7506</v>
      </c>
      <c r="C26722" s="1" t="s">
        <v>23490</v>
      </c>
      <c r="D26722" s="1" t="str">
        <f>HYPERLINK("https://rhld.insurance.arkansas.gov/NPILookup?Npi=1265406102","1265406102")</f>
        <v>1265406102</v>
      </c>
      <c r="E26722" t="s">
        <v>7534</v>
      </c>
    </row>
    <row r="26723" spans="1:5" x14ac:dyDescent="0.25">
      <c r="A26723" t="s">
        <v>12</v>
      </c>
      <c r="B26723" t="s">
        <v>7506</v>
      </c>
      <c r="C26723" s="1" t="s">
        <v>23490</v>
      </c>
      <c r="D26723" s="1" t="str">
        <f>HYPERLINK("https://rhld.insurance.arkansas.gov/NPILookup?Npi=1265407001","1265407001")</f>
        <v>1265407001</v>
      </c>
      <c r="E26723" t="s">
        <v>6487</v>
      </c>
    </row>
    <row r="26724" spans="1:5" x14ac:dyDescent="0.25">
      <c r="A26724" t="s">
        <v>12</v>
      </c>
      <c r="B26724" t="s">
        <v>7506</v>
      </c>
      <c r="C26724" s="1" t="s">
        <v>23490</v>
      </c>
      <c r="D26724" s="1" t="str">
        <f>HYPERLINK("https://rhld.insurance.arkansas.gov/NPILookup?Npi=1265430508","1265430508")</f>
        <v>1265430508</v>
      </c>
      <c r="E26724" t="s">
        <v>7535</v>
      </c>
    </row>
    <row r="26725" spans="1:5" x14ac:dyDescent="0.25">
      <c r="A26725" t="s">
        <v>12</v>
      </c>
      <c r="B26725" t="s">
        <v>7506</v>
      </c>
      <c r="C26725" s="1" t="s">
        <v>23490</v>
      </c>
      <c r="D26725" s="1" t="str">
        <f>HYPERLINK("https://rhld.insurance.arkansas.gov/NPILookup?Npi=1275504128","1275504128")</f>
        <v>1275504128</v>
      </c>
      <c r="E26725" t="s">
        <v>6461</v>
      </c>
    </row>
    <row r="26726" spans="1:5" x14ac:dyDescent="0.25">
      <c r="A26726" t="s">
        <v>12</v>
      </c>
      <c r="B26726" t="s">
        <v>7506</v>
      </c>
      <c r="C26726" s="1" t="s">
        <v>23490</v>
      </c>
      <c r="D26726" s="1" t="str">
        <f>HYPERLINK("https://rhld.insurance.arkansas.gov/NPILookup?Npi=1275506115","1275506115")</f>
        <v>1275506115</v>
      </c>
      <c r="E26726" t="s">
        <v>7536</v>
      </c>
    </row>
    <row r="26727" spans="1:5" x14ac:dyDescent="0.25">
      <c r="A26727" t="s">
        <v>12</v>
      </c>
      <c r="B26727" t="s">
        <v>7506</v>
      </c>
      <c r="C26727" s="1" t="s">
        <v>23490</v>
      </c>
      <c r="D26727" s="1" t="str">
        <f>HYPERLINK("https://rhld.insurance.arkansas.gov/NPILookup?Npi=1275523912","1275523912")</f>
        <v>1275523912</v>
      </c>
      <c r="E26727" t="s">
        <v>7537</v>
      </c>
    </row>
    <row r="26728" spans="1:5" x14ac:dyDescent="0.25">
      <c r="A26728" t="s">
        <v>12</v>
      </c>
      <c r="B26728" t="s">
        <v>7506</v>
      </c>
      <c r="C26728" s="1" t="s">
        <v>23490</v>
      </c>
      <c r="D26728" s="1" t="str">
        <f>HYPERLINK("https://rhld.insurance.arkansas.gov/NPILookup?Npi=1275685539","1275685539")</f>
        <v>1275685539</v>
      </c>
      <c r="E26728" t="s">
        <v>4105</v>
      </c>
    </row>
    <row r="26729" spans="1:5" x14ac:dyDescent="0.25">
      <c r="A26729" t="s">
        <v>12</v>
      </c>
      <c r="B26729" t="s">
        <v>7506</v>
      </c>
      <c r="C26729" s="1" t="s">
        <v>23490</v>
      </c>
      <c r="D26729" s="1" t="str">
        <f>HYPERLINK("https://rhld.insurance.arkansas.gov/NPILookup?Npi=1285005140","1285005140")</f>
        <v>1285005140</v>
      </c>
      <c r="E26729" t="s">
        <v>9285</v>
      </c>
    </row>
    <row r="26730" spans="1:5" x14ac:dyDescent="0.25">
      <c r="A26730" t="s">
        <v>12</v>
      </c>
      <c r="B26730" t="s">
        <v>7506</v>
      </c>
      <c r="C26730" s="1" t="s">
        <v>23490</v>
      </c>
      <c r="D26730" s="1" t="str">
        <f>HYPERLINK("https://rhld.insurance.arkansas.gov/NPILookup?Npi=1285273219","1285273219")</f>
        <v>1285273219</v>
      </c>
      <c r="E26730" t="s">
        <v>21767</v>
      </c>
    </row>
    <row r="26731" spans="1:5" x14ac:dyDescent="0.25">
      <c r="A26731" t="s">
        <v>12</v>
      </c>
      <c r="B26731" t="s">
        <v>7506</v>
      </c>
      <c r="C26731" s="1" t="s">
        <v>23490</v>
      </c>
      <c r="D26731" s="1" t="str">
        <f>HYPERLINK("https://rhld.insurance.arkansas.gov/NPILookup?Npi=1285676932","1285676932")</f>
        <v>1285676932</v>
      </c>
      <c r="E26731" t="s">
        <v>7538</v>
      </c>
    </row>
    <row r="26732" spans="1:5" x14ac:dyDescent="0.25">
      <c r="A26732" t="s">
        <v>12</v>
      </c>
      <c r="B26732" t="s">
        <v>7506</v>
      </c>
      <c r="C26732" s="1" t="s">
        <v>23490</v>
      </c>
      <c r="D26732" s="1" t="str">
        <f>HYPERLINK("https://rhld.insurance.arkansas.gov/NPILookup?Npi=1285722835","1285722835")</f>
        <v>1285722835</v>
      </c>
      <c r="E26732" t="s">
        <v>9286</v>
      </c>
    </row>
    <row r="26733" spans="1:5" x14ac:dyDescent="0.25">
      <c r="A26733" t="s">
        <v>12</v>
      </c>
      <c r="B26733" t="s">
        <v>7506</v>
      </c>
      <c r="C26733" s="1" t="s">
        <v>23490</v>
      </c>
      <c r="D26733" s="1" t="str">
        <f>HYPERLINK("https://rhld.insurance.arkansas.gov/NPILookup?Npi=1285739581","1285739581")</f>
        <v>1285739581</v>
      </c>
      <c r="E26733" t="s">
        <v>7594</v>
      </c>
    </row>
    <row r="26734" spans="1:5" x14ac:dyDescent="0.25">
      <c r="A26734" t="s">
        <v>12</v>
      </c>
      <c r="B26734" t="s">
        <v>7506</v>
      </c>
      <c r="C26734" s="1" t="s">
        <v>23490</v>
      </c>
      <c r="D26734" s="1" t="str">
        <f>HYPERLINK("https://rhld.insurance.arkansas.gov/NPILookup?Npi=1295726156","1295726156")</f>
        <v>1295726156</v>
      </c>
      <c r="E26734" t="s">
        <v>4082</v>
      </c>
    </row>
    <row r="26735" spans="1:5" x14ac:dyDescent="0.25">
      <c r="A26735" t="s">
        <v>12</v>
      </c>
      <c r="B26735" t="s">
        <v>7506</v>
      </c>
      <c r="C26735" s="1" t="s">
        <v>23490</v>
      </c>
      <c r="D26735" s="1" t="str">
        <f>HYPERLINK("https://rhld.insurance.arkansas.gov/NPILookup?Npi=1295736734","1295736734")</f>
        <v>1295736734</v>
      </c>
      <c r="E26735" t="s">
        <v>7539</v>
      </c>
    </row>
    <row r="26736" spans="1:5" x14ac:dyDescent="0.25">
      <c r="A26736" t="s">
        <v>12</v>
      </c>
      <c r="B26736" t="s">
        <v>7506</v>
      </c>
      <c r="C26736" s="1" t="s">
        <v>23490</v>
      </c>
      <c r="D26736" s="1" t="str">
        <f>HYPERLINK("https://rhld.insurance.arkansas.gov/NPILookup?Npi=1295767689","1295767689")</f>
        <v>1295767689</v>
      </c>
      <c r="E26736" t="s">
        <v>7540</v>
      </c>
    </row>
    <row r="26737" spans="1:5" x14ac:dyDescent="0.25">
      <c r="A26737" t="s">
        <v>12</v>
      </c>
      <c r="B26737" t="s">
        <v>7506</v>
      </c>
      <c r="C26737" s="1" t="s">
        <v>23490</v>
      </c>
      <c r="D26737" s="1" t="str">
        <f>HYPERLINK("https://rhld.insurance.arkansas.gov/NPILookup?Npi=1295821775","1295821775")</f>
        <v>1295821775</v>
      </c>
      <c r="E26737" t="s">
        <v>7541</v>
      </c>
    </row>
    <row r="26738" spans="1:5" x14ac:dyDescent="0.25">
      <c r="A26738" t="s">
        <v>12</v>
      </c>
      <c r="B26738" t="s">
        <v>7506</v>
      </c>
      <c r="C26738" s="1" t="s">
        <v>23490</v>
      </c>
      <c r="D26738" s="1" t="str">
        <f>HYPERLINK("https://rhld.insurance.arkansas.gov/NPILookup?Npi=1295862647","1295862647")</f>
        <v>1295862647</v>
      </c>
      <c r="E26738" t="s">
        <v>7542</v>
      </c>
    </row>
    <row r="26739" spans="1:5" x14ac:dyDescent="0.25">
      <c r="A26739" t="s">
        <v>12</v>
      </c>
      <c r="B26739" t="s">
        <v>7506</v>
      </c>
      <c r="C26739" s="1" t="s">
        <v>23490</v>
      </c>
      <c r="D26739" s="1" t="str">
        <f>HYPERLINK("https://rhld.insurance.arkansas.gov/NPILookup?Npi=1295893220","1295893220")</f>
        <v>1295893220</v>
      </c>
      <c r="E26739" t="s">
        <v>7543</v>
      </c>
    </row>
    <row r="26740" spans="1:5" x14ac:dyDescent="0.25">
      <c r="A26740" t="s">
        <v>12</v>
      </c>
      <c r="B26740" t="s">
        <v>7506</v>
      </c>
      <c r="C26740" s="1" t="s">
        <v>23490</v>
      </c>
      <c r="D26740" s="1" t="str">
        <f>HYPERLINK("https://rhld.insurance.arkansas.gov/NPILookup?Npi=1306819016","1306819016")</f>
        <v>1306819016</v>
      </c>
      <c r="E26740" t="s">
        <v>14508</v>
      </c>
    </row>
    <row r="26741" spans="1:5" x14ac:dyDescent="0.25">
      <c r="A26741" t="s">
        <v>12</v>
      </c>
      <c r="B26741" t="s">
        <v>7506</v>
      </c>
      <c r="C26741" s="1" t="s">
        <v>23490</v>
      </c>
      <c r="D26741" s="1" t="str">
        <f>HYPERLINK("https://rhld.insurance.arkansas.gov/NPILookup?Npi=1306826029","1306826029")</f>
        <v>1306826029</v>
      </c>
      <c r="E26741" t="s">
        <v>7544</v>
      </c>
    </row>
    <row r="26742" spans="1:5" x14ac:dyDescent="0.25">
      <c r="A26742" t="s">
        <v>12</v>
      </c>
      <c r="B26742" t="s">
        <v>7506</v>
      </c>
      <c r="C26742" s="1" t="s">
        <v>23490</v>
      </c>
      <c r="D26742" s="1" t="str">
        <f>HYPERLINK("https://rhld.insurance.arkansas.gov/NPILookup?Npi=1306921887","1306921887")</f>
        <v>1306921887</v>
      </c>
      <c r="E26742" t="s">
        <v>18555</v>
      </c>
    </row>
    <row r="26743" spans="1:5" x14ac:dyDescent="0.25">
      <c r="A26743" t="s">
        <v>12</v>
      </c>
      <c r="B26743" t="s">
        <v>7506</v>
      </c>
      <c r="C26743" s="1" t="s">
        <v>23490</v>
      </c>
      <c r="D26743" s="1" t="str">
        <f>HYPERLINK("https://rhld.insurance.arkansas.gov/NPILookup?Npi=1316144546","1316144546")</f>
        <v>1316144546</v>
      </c>
      <c r="E26743" t="s">
        <v>4096</v>
      </c>
    </row>
    <row r="26744" spans="1:5" x14ac:dyDescent="0.25">
      <c r="A26744" t="s">
        <v>12</v>
      </c>
      <c r="B26744" t="s">
        <v>7506</v>
      </c>
      <c r="C26744" s="1" t="s">
        <v>23490</v>
      </c>
      <c r="D26744" s="1" t="str">
        <f>HYPERLINK("https://rhld.insurance.arkansas.gov/NPILookup?Npi=1316180748","1316180748")</f>
        <v>1316180748</v>
      </c>
      <c r="E26744" t="s">
        <v>7545</v>
      </c>
    </row>
    <row r="26745" spans="1:5" x14ac:dyDescent="0.25">
      <c r="A26745" t="s">
        <v>12</v>
      </c>
      <c r="B26745" t="s">
        <v>7506</v>
      </c>
      <c r="C26745" s="1" t="s">
        <v>23490</v>
      </c>
      <c r="D26745" s="1" t="str">
        <f>HYPERLINK("https://rhld.insurance.arkansas.gov/NPILookup?Npi=1316901937","1316901937")</f>
        <v>1316901937</v>
      </c>
      <c r="E26745" t="s">
        <v>7546</v>
      </c>
    </row>
    <row r="26746" spans="1:5" x14ac:dyDescent="0.25">
      <c r="A26746" t="s">
        <v>12</v>
      </c>
      <c r="B26746" t="s">
        <v>7506</v>
      </c>
      <c r="C26746" s="1" t="s">
        <v>23490</v>
      </c>
      <c r="D26746" s="1" t="str">
        <f>HYPERLINK("https://rhld.insurance.arkansas.gov/NPILookup?Npi=1316902414","1316902414")</f>
        <v>1316902414</v>
      </c>
      <c r="E26746" t="s">
        <v>7547</v>
      </c>
    </row>
    <row r="26747" spans="1:5" x14ac:dyDescent="0.25">
      <c r="A26747" t="s">
        <v>12</v>
      </c>
      <c r="B26747" t="s">
        <v>7506</v>
      </c>
      <c r="C26747" s="1" t="s">
        <v>23490</v>
      </c>
      <c r="D26747" s="1" t="str">
        <f>HYPERLINK("https://rhld.insurance.arkansas.gov/NPILookup?Npi=1326016684","1326016684")</f>
        <v>1326016684</v>
      </c>
      <c r="E26747" t="s">
        <v>7548</v>
      </c>
    </row>
    <row r="26748" spans="1:5" x14ac:dyDescent="0.25">
      <c r="A26748" t="s">
        <v>12</v>
      </c>
      <c r="B26748" t="s">
        <v>7506</v>
      </c>
      <c r="C26748" s="1" t="s">
        <v>23490</v>
      </c>
      <c r="D26748" s="1" t="str">
        <f>HYPERLINK("https://rhld.insurance.arkansas.gov/NPILookup?Npi=1326040007","1326040007")</f>
        <v>1326040007</v>
      </c>
      <c r="E26748" t="s">
        <v>12006</v>
      </c>
    </row>
    <row r="26749" spans="1:5" x14ac:dyDescent="0.25">
      <c r="A26749" t="s">
        <v>12</v>
      </c>
      <c r="B26749" t="s">
        <v>7506</v>
      </c>
      <c r="C26749" s="1" t="s">
        <v>23490</v>
      </c>
      <c r="D26749" s="1" t="str">
        <f>HYPERLINK("https://rhld.insurance.arkansas.gov/NPILookup?Npi=1326713215","1326713215")</f>
        <v>1326713215</v>
      </c>
      <c r="E26749" t="s">
        <v>21768</v>
      </c>
    </row>
    <row r="26750" spans="1:5" x14ac:dyDescent="0.25">
      <c r="A26750" t="s">
        <v>12</v>
      </c>
      <c r="B26750" t="s">
        <v>7506</v>
      </c>
      <c r="C26750" s="1" t="s">
        <v>23490</v>
      </c>
      <c r="D26750" s="1" t="str">
        <f>HYPERLINK("https://rhld.insurance.arkansas.gov/NPILookup?Npi=1336150374","1336150374")</f>
        <v>1336150374</v>
      </c>
      <c r="E26750" t="s">
        <v>7549</v>
      </c>
    </row>
    <row r="26751" spans="1:5" x14ac:dyDescent="0.25">
      <c r="A26751" t="s">
        <v>12</v>
      </c>
      <c r="B26751" t="s">
        <v>7506</v>
      </c>
      <c r="C26751" s="1" t="s">
        <v>23490</v>
      </c>
      <c r="D26751" s="1" t="str">
        <f>HYPERLINK("https://rhld.insurance.arkansas.gov/NPILookup?Npi=1346248317","1346248317")</f>
        <v>1346248317</v>
      </c>
      <c r="E26751" t="s">
        <v>6354</v>
      </c>
    </row>
    <row r="26752" spans="1:5" x14ac:dyDescent="0.25">
      <c r="A26752" t="s">
        <v>12</v>
      </c>
      <c r="B26752" t="s">
        <v>7506</v>
      </c>
      <c r="C26752" s="1" t="s">
        <v>23490</v>
      </c>
      <c r="D26752" s="1" t="str">
        <f>HYPERLINK("https://rhld.insurance.arkansas.gov/NPILookup?Npi=1346249372","1346249372")</f>
        <v>1346249372</v>
      </c>
      <c r="E26752" t="s">
        <v>7550</v>
      </c>
    </row>
    <row r="26753" spans="1:5" x14ac:dyDescent="0.25">
      <c r="A26753" t="s">
        <v>12</v>
      </c>
      <c r="B26753" t="s">
        <v>7506</v>
      </c>
      <c r="C26753" s="1" t="s">
        <v>23490</v>
      </c>
      <c r="D26753" s="1" t="str">
        <f>HYPERLINK("https://rhld.insurance.arkansas.gov/NPILookup?Npi=1346301306","1346301306")</f>
        <v>1346301306</v>
      </c>
      <c r="E26753" t="s">
        <v>7551</v>
      </c>
    </row>
    <row r="26754" spans="1:5" x14ac:dyDescent="0.25">
      <c r="A26754" t="s">
        <v>12</v>
      </c>
      <c r="B26754" t="s">
        <v>7506</v>
      </c>
      <c r="C26754" s="1" t="s">
        <v>23490</v>
      </c>
      <c r="D26754" s="1" t="str">
        <f>HYPERLINK("https://rhld.insurance.arkansas.gov/NPILookup?Npi=1346623352","1346623352")</f>
        <v>1346623352</v>
      </c>
      <c r="E26754" t="s">
        <v>12118</v>
      </c>
    </row>
    <row r="26755" spans="1:5" x14ac:dyDescent="0.25">
      <c r="A26755" t="s">
        <v>12</v>
      </c>
      <c r="B26755" t="s">
        <v>7506</v>
      </c>
      <c r="C26755" s="1" t="s">
        <v>23490</v>
      </c>
      <c r="D26755" s="1" t="str">
        <f>HYPERLINK("https://rhld.insurance.arkansas.gov/NPILookup?Npi=1346630589","1346630589")</f>
        <v>1346630589</v>
      </c>
      <c r="E26755" t="s">
        <v>7553</v>
      </c>
    </row>
    <row r="26756" spans="1:5" x14ac:dyDescent="0.25">
      <c r="A26756" t="s">
        <v>12</v>
      </c>
      <c r="B26756" t="s">
        <v>7506</v>
      </c>
      <c r="C26756" s="1" t="s">
        <v>23490</v>
      </c>
      <c r="D26756" s="1" t="str">
        <f>HYPERLINK("https://rhld.insurance.arkansas.gov/NPILookup?Npi=1356552806","1356552806")</f>
        <v>1356552806</v>
      </c>
      <c r="E26756" t="s">
        <v>4085</v>
      </c>
    </row>
    <row r="26757" spans="1:5" x14ac:dyDescent="0.25">
      <c r="A26757" t="s">
        <v>12</v>
      </c>
      <c r="B26757" t="s">
        <v>7506</v>
      </c>
      <c r="C26757" s="1" t="s">
        <v>23490</v>
      </c>
      <c r="D26757" s="1" t="str">
        <f>HYPERLINK("https://rhld.insurance.arkansas.gov/NPILookup?Npi=1356773493","1356773493")</f>
        <v>1356773493</v>
      </c>
      <c r="E26757" t="s">
        <v>14509</v>
      </c>
    </row>
    <row r="26758" spans="1:5" x14ac:dyDescent="0.25">
      <c r="A26758" t="s">
        <v>12</v>
      </c>
      <c r="B26758" t="s">
        <v>7506</v>
      </c>
      <c r="C26758" s="1" t="s">
        <v>23490</v>
      </c>
      <c r="D26758" s="1" t="str">
        <f>HYPERLINK("https://rhld.insurance.arkansas.gov/NPILookup?Npi=1366685992","1366685992")</f>
        <v>1366685992</v>
      </c>
      <c r="E26758" t="s">
        <v>7554</v>
      </c>
    </row>
    <row r="26759" spans="1:5" x14ac:dyDescent="0.25">
      <c r="A26759" t="s">
        <v>12</v>
      </c>
      <c r="B26759" t="s">
        <v>7506</v>
      </c>
      <c r="C26759" s="1" t="s">
        <v>23490</v>
      </c>
      <c r="D26759" s="1" t="str">
        <f>HYPERLINK("https://rhld.insurance.arkansas.gov/NPILookup?Npi=1376511493","1376511493")</f>
        <v>1376511493</v>
      </c>
      <c r="E26759" t="s">
        <v>7555</v>
      </c>
    </row>
    <row r="26760" spans="1:5" x14ac:dyDescent="0.25">
      <c r="A26760" t="s">
        <v>12</v>
      </c>
      <c r="B26760" t="s">
        <v>7506</v>
      </c>
      <c r="C26760" s="1" t="s">
        <v>23490</v>
      </c>
      <c r="D26760" s="1" t="str">
        <f>HYPERLINK("https://rhld.insurance.arkansas.gov/NPILookup?Npi=1376584110","1376584110")</f>
        <v>1376584110</v>
      </c>
      <c r="E26760" t="s">
        <v>7556</v>
      </c>
    </row>
    <row r="26761" spans="1:5" x14ac:dyDescent="0.25">
      <c r="A26761" t="s">
        <v>12</v>
      </c>
      <c r="B26761" t="s">
        <v>7506</v>
      </c>
      <c r="C26761" s="1" t="s">
        <v>23490</v>
      </c>
      <c r="D26761" s="1" t="str">
        <f>HYPERLINK("https://rhld.insurance.arkansas.gov/NPILookup?Npi=1376596569","1376596569")</f>
        <v>1376596569</v>
      </c>
      <c r="E26761" t="s">
        <v>7557</v>
      </c>
    </row>
    <row r="26762" spans="1:5" x14ac:dyDescent="0.25">
      <c r="A26762" t="s">
        <v>12</v>
      </c>
      <c r="B26762" t="s">
        <v>7506</v>
      </c>
      <c r="C26762" s="1" t="s">
        <v>8427</v>
      </c>
      <c r="D26762" s="1" t="str">
        <f>HYPERLINK("https://rhld.insurance.arkansas.gov/NPILookup?Npi=1386367506","1386367506")</f>
        <v>1386367506</v>
      </c>
      <c r="E26762" t="s">
        <v>23321</v>
      </c>
    </row>
    <row r="26763" spans="1:5" x14ac:dyDescent="0.25">
      <c r="A26763" t="s">
        <v>12</v>
      </c>
      <c r="B26763" t="s">
        <v>7506</v>
      </c>
      <c r="C26763" s="1" t="s">
        <v>23490</v>
      </c>
      <c r="D26763" s="1" t="str">
        <f>HYPERLINK("https://rhld.insurance.arkansas.gov/NPILookup?Npi=1386687036","1386687036")</f>
        <v>1386687036</v>
      </c>
      <c r="E26763" t="s">
        <v>7558</v>
      </c>
    </row>
    <row r="26764" spans="1:5" x14ac:dyDescent="0.25">
      <c r="A26764" t="s">
        <v>12</v>
      </c>
      <c r="B26764" t="s">
        <v>7506</v>
      </c>
      <c r="C26764" s="1" t="s">
        <v>23490</v>
      </c>
      <c r="D26764" s="1" t="str">
        <f>HYPERLINK("https://rhld.insurance.arkansas.gov/NPILookup?Npi=1386699353","1386699353")</f>
        <v>1386699353</v>
      </c>
      <c r="E26764" t="s">
        <v>7559</v>
      </c>
    </row>
    <row r="26765" spans="1:5" x14ac:dyDescent="0.25">
      <c r="A26765" t="s">
        <v>12</v>
      </c>
      <c r="B26765" t="s">
        <v>7506</v>
      </c>
      <c r="C26765" s="1" t="s">
        <v>23490</v>
      </c>
      <c r="D26765" s="1" t="str">
        <f>HYPERLINK("https://rhld.insurance.arkansas.gov/NPILookup?Npi=1386709871","1386709871")</f>
        <v>1386709871</v>
      </c>
      <c r="E26765" t="s">
        <v>7560</v>
      </c>
    </row>
    <row r="26766" spans="1:5" x14ac:dyDescent="0.25">
      <c r="A26766" t="s">
        <v>12</v>
      </c>
      <c r="B26766" t="s">
        <v>7506</v>
      </c>
      <c r="C26766" s="1" t="s">
        <v>23490</v>
      </c>
      <c r="D26766" s="1" t="str">
        <f>HYPERLINK("https://rhld.insurance.arkansas.gov/NPILookup?Npi=1386796670","1386796670")</f>
        <v>1386796670</v>
      </c>
      <c r="E26766" t="s">
        <v>9208</v>
      </c>
    </row>
    <row r="26767" spans="1:5" x14ac:dyDescent="0.25">
      <c r="A26767" t="s">
        <v>12</v>
      </c>
      <c r="B26767" t="s">
        <v>7506</v>
      </c>
      <c r="C26767" s="1" t="s">
        <v>23490</v>
      </c>
      <c r="D26767" s="1" t="str">
        <f>HYPERLINK("https://rhld.insurance.arkansas.gov/NPILookup?Npi=1396053096","1396053096")</f>
        <v>1396053096</v>
      </c>
      <c r="E26767" t="s">
        <v>7561</v>
      </c>
    </row>
    <row r="26768" spans="1:5" x14ac:dyDescent="0.25">
      <c r="A26768" t="s">
        <v>12</v>
      </c>
      <c r="B26768" t="s">
        <v>7506</v>
      </c>
      <c r="C26768" s="1" t="s">
        <v>23490</v>
      </c>
      <c r="D26768" s="1" t="str">
        <f>HYPERLINK("https://rhld.insurance.arkansas.gov/NPILookup?Npi=1396767158","1396767158")</f>
        <v>1396767158</v>
      </c>
      <c r="E26768" t="s">
        <v>4078</v>
      </c>
    </row>
    <row r="26769" spans="1:5" x14ac:dyDescent="0.25">
      <c r="A26769" t="s">
        <v>12</v>
      </c>
      <c r="B26769" t="s">
        <v>7506</v>
      </c>
      <c r="C26769" s="1" t="s">
        <v>23490</v>
      </c>
      <c r="D26769" s="1" t="str">
        <f>HYPERLINK("https://rhld.insurance.arkansas.gov/NPILookup?Npi=1407199490","1407199490")</f>
        <v>1407199490</v>
      </c>
      <c r="E26769" t="s">
        <v>9287</v>
      </c>
    </row>
    <row r="26770" spans="1:5" x14ac:dyDescent="0.25">
      <c r="A26770" t="s">
        <v>12</v>
      </c>
      <c r="B26770" t="s">
        <v>7506</v>
      </c>
      <c r="C26770" s="1" t="s">
        <v>23490</v>
      </c>
      <c r="D26770" s="1" t="str">
        <f>HYPERLINK("https://rhld.insurance.arkansas.gov/NPILookup?Npi=1407215916","1407215916")</f>
        <v>1407215916</v>
      </c>
      <c r="E26770" t="s">
        <v>9288</v>
      </c>
    </row>
    <row r="26771" spans="1:5" x14ac:dyDescent="0.25">
      <c r="A26771" t="s">
        <v>12</v>
      </c>
      <c r="B26771" t="s">
        <v>7506</v>
      </c>
      <c r="C26771" s="1" t="s">
        <v>23490</v>
      </c>
      <c r="D26771" s="1" t="str">
        <f>HYPERLINK("https://rhld.insurance.arkansas.gov/NPILookup?Npi=1417024662","1417024662")</f>
        <v>1417024662</v>
      </c>
      <c r="E26771" t="s">
        <v>4088</v>
      </c>
    </row>
    <row r="26772" spans="1:5" x14ac:dyDescent="0.25">
      <c r="A26772" t="s">
        <v>12</v>
      </c>
      <c r="B26772" t="s">
        <v>7506</v>
      </c>
      <c r="C26772" s="1" t="s">
        <v>23490</v>
      </c>
      <c r="D26772" s="1" t="str">
        <f>HYPERLINK("https://rhld.insurance.arkansas.gov/NPILookup?Npi=1417199225","1417199225")</f>
        <v>1417199225</v>
      </c>
      <c r="E26772" t="s">
        <v>4089</v>
      </c>
    </row>
    <row r="26773" spans="1:5" x14ac:dyDescent="0.25">
      <c r="A26773" t="s">
        <v>12</v>
      </c>
      <c r="B26773" t="s">
        <v>7506</v>
      </c>
      <c r="C26773" s="1" t="s">
        <v>23490</v>
      </c>
      <c r="D26773" s="1" t="str">
        <f>HYPERLINK("https://rhld.insurance.arkansas.gov/NPILookup?Npi=1417292608","1417292608")</f>
        <v>1417292608</v>
      </c>
      <c r="E26773" t="s">
        <v>14510</v>
      </c>
    </row>
    <row r="26774" spans="1:5" x14ac:dyDescent="0.25">
      <c r="A26774" t="s">
        <v>12</v>
      </c>
      <c r="B26774" t="s">
        <v>7506</v>
      </c>
      <c r="C26774" s="1" t="s">
        <v>23490</v>
      </c>
      <c r="D26774" s="1" t="str">
        <f>HYPERLINK("https://rhld.insurance.arkansas.gov/NPILookup?Npi=1417913419","1417913419")</f>
        <v>1417913419</v>
      </c>
      <c r="E26774" t="s">
        <v>6399</v>
      </c>
    </row>
    <row r="26775" spans="1:5" x14ac:dyDescent="0.25">
      <c r="A26775" t="s">
        <v>12</v>
      </c>
      <c r="B26775" t="s">
        <v>7506</v>
      </c>
      <c r="C26775" s="1" t="s">
        <v>23490</v>
      </c>
      <c r="D26775" s="1" t="str">
        <f>HYPERLINK("https://rhld.insurance.arkansas.gov/NPILookup?Npi=1417950106","1417950106")</f>
        <v>1417950106</v>
      </c>
      <c r="E26775" t="s">
        <v>7562</v>
      </c>
    </row>
    <row r="26776" spans="1:5" x14ac:dyDescent="0.25">
      <c r="A26776" t="s">
        <v>12</v>
      </c>
      <c r="B26776" t="s">
        <v>7506</v>
      </c>
      <c r="C26776" s="1" t="s">
        <v>23490</v>
      </c>
      <c r="D26776" s="1" t="str">
        <f>HYPERLINK("https://rhld.insurance.arkansas.gov/NPILookup?Npi=1417957200","1417957200")</f>
        <v>1417957200</v>
      </c>
      <c r="E26776" t="s">
        <v>7563</v>
      </c>
    </row>
    <row r="26777" spans="1:5" x14ac:dyDescent="0.25">
      <c r="A26777" t="s">
        <v>12</v>
      </c>
      <c r="B26777" t="s">
        <v>7506</v>
      </c>
      <c r="C26777" s="1" t="s">
        <v>23490</v>
      </c>
      <c r="D26777" s="1" t="str">
        <f>HYPERLINK("https://rhld.insurance.arkansas.gov/NPILookup?Npi=1417979204","1417979204")</f>
        <v>1417979204</v>
      </c>
      <c r="E26777" t="s">
        <v>4090</v>
      </c>
    </row>
    <row r="26778" spans="1:5" x14ac:dyDescent="0.25">
      <c r="A26778" t="s">
        <v>12</v>
      </c>
      <c r="B26778" t="s">
        <v>7506</v>
      </c>
      <c r="C26778" s="1" t="s">
        <v>23490</v>
      </c>
      <c r="D26778" s="1" t="str">
        <f>HYPERLINK("https://rhld.insurance.arkansas.gov/NPILookup?Npi=1427107754","1427107754")</f>
        <v>1427107754</v>
      </c>
      <c r="E26778" t="s">
        <v>7564</v>
      </c>
    </row>
    <row r="26779" spans="1:5" x14ac:dyDescent="0.25">
      <c r="A26779" t="s">
        <v>12</v>
      </c>
      <c r="B26779" t="s">
        <v>7506</v>
      </c>
      <c r="C26779" s="1" t="s">
        <v>23490</v>
      </c>
      <c r="D26779" s="1" t="str">
        <f>HYPERLINK("https://rhld.insurance.arkansas.gov/NPILookup?Npi=1427149814","1427149814")</f>
        <v>1427149814</v>
      </c>
      <c r="E26779" t="s">
        <v>6399</v>
      </c>
    </row>
    <row r="26780" spans="1:5" x14ac:dyDescent="0.25">
      <c r="A26780" t="s">
        <v>12</v>
      </c>
      <c r="B26780" t="s">
        <v>7506</v>
      </c>
      <c r="C26780" s="1" t="s">
        <v>23490</v>
      </c>
      <c r="D26780" s="1" t="str">
        <f>HYPERLINK("https://rhld.insurance.arkansas.gov/NPILookup?Npi=1437179710","1437179710")</f>
        <v>1437179710</v>
      </c>
      <c r="E26780" t="s">
        <v>4091</v>
      </c>
    </row>
    <row r="26781" spans="1:5" x14ac:dyDescent="0.25">
      <c r="A26781" t="s">
        <v>12</v>
      </c>
      <c r="B26781" t="s">
        <v>7506</v>
      </c>
      <c r="C26781" s="1" t="s">
        <v>23490</v>
      </c>
      <c r="D26781" s="1" t="str">
        <f>HYPERLINK("https://rhld.insurance.arkansas.gov/NPILookup?Npi=1437188216","1437188216")</f>
        <v>1437188216</v>
      </c>
      <c r="E26781" t="s">
        <v>17305</v>
      </c>
    </row>
    <row r="26782" spans="1:5" x14ac:dyDescent="0.25">
      <c r="A26782" t="s">
        <v>12</v>
      </c>
      <c r="B26782" t="s">
        <v>7506</v>
      </c>
      <c r="C26782" s="1" t="s">
        <v>23490</v>
      </c>
      <c r="D26782" s="1" t="str">
        <f>HYPERLINK("https://rhld.insurance.arkansas.gov/NPILookup?Npi=1437222312","1437222312")</f>
        <v>1437222312</v>
      </c>
      <c r="E26782" t="s">
        <v>19256</v>
      </c>
    </row>
    <row r="26783" spans="1:5" x14ac:dyDescent="0.25">
      <c r="A26783" t="s">
        <v>12</v>
      </c>
      <c r="B26783" t="s">
        <v>7506</v>
      </c>
      <c r="C26783" s="1" t="s">
        <v>23490</v>
      </c>
      <c r="D26783" s="1" t="str">
        <f>HYPERLINK("https://rhld.insurance.arkansas.gov/NPILookup?Npi=1437634524","1437634524")</f>
        <v>1437634524</v>
      </c>
      <c r="E26783" t="s">
        <v>14511</v>
      </c>
    </row>
    <row r="26784" spans="1:5" x14ac:dyDescent="0.25">
      <c r="A26784" t="s">
        <v>12</v>
      </c>
      <c r="B26784" t="s">
        <v>7506</v>
      </c>
      <c r="C26784" s="1" t="s">
        <v>23490</v>
      </c>
      <c r="D26784" s="1" t="str">
        <f>HYPERLINK("https://rhld.insurance.arkansas.gov/NPILookup?Npi=1447439708","1447439708")</f>
        <v>1447439708</v>
      </c>
      <c r="E26784" t="s">
        <v>12119</v>
      </c>
    </row>
    <row r="26785" spans="1:5" x14ac:dyDescent="0.25">
      <c r="A26785" t="s">
        <v>12</v>
      </c>
      <c r="B26785" t="s">
        <v>7506</v>
      </c>
      <c r="C26785" s="1" t="s">
        <v>23490</v>
      </c>
      <c r="D26785" s="1" t="str">
        <f>HYPERLINK("https://rhld.insurance.arkansas.gov/NPILookup?Npi=1457306326","1457306326")</f>
        <v>1457306326</v>
      </c>
      <c r="E26785" t="s">
        <v>6408</v>
      </c>
    </row>
    <row r="26786" spans="1:5" x14ac:dyDescent="0.25">
      <c r="A26786" t="s">
        <v>12</v>
      </c>
      <c r="B26786" t="s">
        <v>7506</v>
      </c>
      <c r="C26786" s="1" t="s">
        <v>23490</v>
      </c>
      <c r="D26786" s="1" t="str">
        <f>HYPERLINK("https://rhld.insurance.arkansas.gov/NPILookup?Npi=1457321036","1457321036")</f>
        <v>1457321036</v>
      </c>
      <c r="E26786" t="s">
        <v>20758</v>
      </c>
    </row>
    <row r="26787" spans="1:5" x14ac:dyDescent="0.25">
      <c r="A26787" t="s">
        <v>12</v>
      </c>
      <c r="B26787" t="s">
        <v>7506</v>
      </c>
      <c r="C26787" s="1" t="s">
        <v>23490</v>
      </c>
      <c r="D26787" s="1" t="str">
        <f>HYPERLINK("https://rhld.insurance.arkansas.gov/NPILookup?Npi=1457567380","1457567380")</f>
        <v>1457567380</v>
      </c>
      <c r="E26787" t="s">
        <v>4101</v>
      </c>
    </row>
    <row r="26788" spans="1:5" x14ac:dyDescent="0.25">
      <c r="A26788" t="s">
        <v>12</v>
      </c>
      <c r="B26788" t="s">
        <v>7506</v>
      </c>
      <c r="C26788" s="1" t="s">
        <v>23490</v>
      </c>
      <c r="D26788" s="1" t="str">
        <f>HYPERLINK("https://rhld.insurance.arkansas.gov/NPILookup?Npi=1467453902","1467453902")</f>
        <v>1467453902</v>
      </c>
      <c r="E26788" t="s">
        <v>7539</v>
      </c>
    </row>
    <row r="26789" spans="1:5" x14ac:dyDescent="0.25">
      <c r="A26789" t="s">
        <v>12</v>
      </c>
      <c r="B26789" t="s">
        <v>7506</v>
      </c>
      <c r="C26789" s="1" t="s">
        <v>23490</v>
      </c>
      <c r="D26789" s="1" t="str">
        <f>HYPERLINK("https://rhld.insurance.arkansas.gov/NPILookup?Npi=1467473579","1467473579")</f>
        <v>1467473579</v>
      </c>
      <c r="E26789" t="s">
        <v>7565</v>
      </c>
    </row>
    <row r="26790" spans="1:5" x14ac:dyDescent="0.25">
      <c r="A26790" t="s">
        <v>12</v>
      </c>
      <c r="B26790" t="s">
        <v>7506</v>
      </c>
      <c r="C26790" s="1" t="s">
        <v>23490</v>
      </c>
      <c r="D26790" s="1" t="str">
        <f>HYPERLINK("https://rhld.insurance.arkansas.gov/NPILookup?Npi=1467658278","1467658278")</f>
        <v>1467658278</v>
      </c>
      <c r="E26790" t="s">
        <v>7517</v>
      </c>
    </row>
    <row r="26791" spans="1:5" x14ac:dyDescent="0.25">
      <c r="A26791" t="s">
        <v>12</v>
      </c>
      <c r="B26791" t="s">
        <v>7506</v>
      </c>
      <c r="C26791" s="1" t="s">
        <v>23490</v>
      </c>
      <c r="D26791" s="1" t="str">
        <f>HYPERLINK("https://rhld.insurance.arkansas.gov/NPILookup?Npi=1477039782","1477039782")</f>
        <v>1477039782</v>
      </c>
      <c r="E26791" t="s">
        <v>13887</v>
      </c>
    </row>
    <row r="26792" spans="1:5" x14ac:dyDescent="0.25">
      <c r="A26792" t="s">
        <v>12</v>
      </c>
      <c r="B26792" t="s">
        <v>7506</v>
      </c>
      <c r="C26792" s="1" t="s">
        <v>23490</v>
      </c>
      <c r="D26792" s="1" t="str">
        <f>HYPERLINK("https://rhld.insurance.arkansas.gov/NPILookup?Npi=1477549756","1477549756")</f>
        <v>1477549756</v>
      </c>
      <c r="E26792" t="s">
        <v>6270</v>
      </c>
    </row>
    <row r="26793" spans="1:5" x14ac:dyDescent="0.25">
      <c r="A26793" t="s">
        <v>12</v>
      </c>
      <c r="B26793" t="s">
        <v>7506</v>
      </c>
      <c r="C26793" s="1" t="s">
        <v>23490</v>
      </c>
      <c r="D26793" s="1" t="str">
        <f>HYPERLINK("https://rhld.insurance.arkansas.gov/NPILookup?Npi=1487207346","1487207346")</f>
        <v>1487207346</v>
      </c>
      <c r="E26793" t="s">
        <v>22672</v>
      </c>
    </row>
    <row r="26794" spans="1:5" x14ac:dyDescent="0.25">
      <c r="A26794" t="s">
        <v>12</v>
      </c>
      <c r="B26794" t="s">
        <v>7506</v>
      </c>
      <c r="C26794" s="1" t="s">
        <v>23490</v>
      </c>
      <c r="D26794" s="1" t="str">
        <f>HYPERLINK("https://rhld.insurance.arkansas.gov/NPILookup?Npi=1487628145","1487628145")</f>
        <v>1487628145</v>
      </c>
      <c r="E26794" t="s">
        <v>14508</v>
      </c>
    </row>
    <row r="26795" spans="1:5" x14ac:dyDescent="0.25">
      <c r="A26795" t="s">
        <v>12</v>
      </c>
      <c r="B26795" t="s">
        <v>7506</v>
      </c>
      <c r="C26795" s="1" t="s">
        <v>23490</v>
      </c>
      <c r="D26795" s="1" t="str">
        <f>HYPERLINK("https://rhld.insurance.arkansas.gov/NPILookup?Npi=1487863619","1487863619")</f>
        <v>1487863619</v>
      </c>
      <c r="E26795" t="s">
        <v>7566</v>
      </c>
    </row>
    <row r="26796" spans="1:5" x14ac:dyDescent="0.25">
      <c r="A26796" t="s">
        <v>12</v>
      </c>
      <c r="B26796" t="s">
        <v>7506</v>
      </c>
      <c r="C26796" s="1" t="s">
        <v>23490</v>
      </c>
      <c r="D26796" s="1" t="str">
        <f>HYPERLINK("https://rhld.insurance.arkansas.gov/NPILookup?Npi=1487909701","1487909701")</f>
        <v>1487909701</v>
      </c>
      <c r="E26796" t="s">
        <v>9282</v>
      </c>
    </row>
    <row r="26797" spans="1:5" x14ac:dyDescent="0.25">
      <c r="A26797" t="s">
        <v>12</v>
      </c>
      <c r="B26797" t="s">
        <v>7506</v>
      </c>
      <c r="C26797" s="1" t="s">
        <v>23490</v>
      </c>
      <c r="D26797" s="1" t="str">
        <f>HYPERLINK("https://rhld.insurance.arkansas.gov/NPILookup?Npi=1497701973","1497701973")</f>
        <v>1497701973</v>
      </c>
      <c r="E26797" t="s">
        <v>7567</v>
      </c>
    </row>
    <row r="26798" spans="1:5" x14ac:dyDescent="0.25">
      <c r="A26798" t="s">
        <v>12</v>
      </c>
      <c r="B26798" t="s">
        <v>7506</v>
      </c>
      <c r="C26798" s="1" t="s">
        <v>23490</v>
      </c>
      <c r="D26798" s="1" t="str">
        <f>HYPERLINK("https://rhld.insurance.arkansas.gov/NPILookup?Npi=1497770424","1497770424")</f>
        <v>1497770424</v>
      </c>
      <c r="E26798" t="s">
        <v>4088</v>
      </c>
    </row>
    <row r="26799" spans="1:5" x14ac:dyDescent="0.25">
      <c r="A26799" t="s">
        <v>12</v>
      </c>
      <c r="B26799" t="s">
        <v>7506</v>
      </c>
      <c r="C26799" s="1" t="s">
        <v>23490</v>
      </c>
      <c r="D26799" s="1" t="str">
        <f>HYPERLINK("https://rhld.insurance.arkansas.gov/NPILookup?Npi=1497790042","1497790042")</f>
        <v>1497790042</v>
      </c>
      <c r="E26799" t="s">
        <v>4080</v>
      </c>
    </row>
    <row r="26800" spans="1:5" x14ac:dyDescent="0.25">
      <c r="A26800" t="s">
        <v>12</v>
      </c>
      <c r="B26800" t="s">
        <v>7506</v>
      </c>
      <c r="C26800" s="1" t="s">
        <v>23490</v>
      </c>
      <c r="D26800" s="1" t="str">
        <f>HYPERLINK("https://rhld.insurance.arkansas.gov/NPILookup?Npi=1497830806","1497830806")</f>
        <v>1497830806</v>
      </c>
      <c r="E26800" t="s">
        <v>18555</v>
      </c>
    </row>
    <row r="26801" spans="1:5" x14ac:dyDescent="0.25">
      <c r="A26801" t="s">
        <v>12</v>
      </c>
      <c r="B26801" t="s">
        <v>7506</v>
      </c>
      <c r="C26801" s="1" t="s">
        <v>23490</v>
      </c>
      <c r="D26801" s="1" t="str">
        <f>HYPERLINK("https://rhld.insurance.arkansas.gov/NPILookup?Npi=1508450339","1508450339")</f>
        <v>1508450339</v>
      </c>
      <c r="E26801" t="s">
        <v>21300</v>
      </c>
    </row>
    <row r="26802" spans="1:5" x14ac:dyDescent="0.25">
      <c r="A26802" t="s">
        <v>12</v>
      </c>
      <c r="B26802" t="s">
        <v>7506</v>
      </c>
      <c r="C26802" s="1" t="s">
        <v>23490</v>
      </c>
      <c r="D26802" s="1" t="str">
        <f>HYPERLINK("https://rhld.insurance.arkansas.gov/NPILookup?Npi=1508493628","1508493628")</f>
        <v>1508493628</v>
      </c>
      <c r="E26802" t="s">
        <v>18529</v>
      </c>
    </row>
    <row r="26803" spans="1:5" x14ac:dyDescent="0.25">
      <c r="A26803" t="s">
        <v>12</v>
      </c>
      <c r="B26803" t="s">
        <v>7506</v>
      </c>
      <c r="C26803" s="1" t="s">
        <v>23490</v>
      </c>
      <c r="D26803" s="1" t="str">
        <f>HYPERLINK("https://rhld.insurance.arkansas.gov/NPILookup?Npi=1518296037","1518296037")</f>
        <v>1518296037</v>
      </c>
      <c r="E26803" t="s">
        <v>7568</v>
      </c>
    </row>
    <row r="26804" spans="1:5" x14ac:dyDescent="0.25">
      <c r="A26804" t="s">
        <v>12</v>
      </c>
      <c r="B26804" t="s">
        <v>7506</v>
      </c>
      <c r="C26804" s="1" t="s">
        <v>23490</v>
      </c>
      <c r="D26804" s="1" t="str">
        <f>HYPERLINK("https://rhld.insurance.arkansas.gov/NPILookup?Npi=1528360989","1528360989")</f>
        <v>1528360989</v>
      </c>
      <c r="E26804" t="s">
        <v>7569</v>
      </c>
    </row>
    <row r="26805" spans="1:5" x14ac:dyDescent="0.25">
      <c r="A26805" t="s">
        <v>12</v>
      </c>
      <c r="B26805" t="s">
        <v>7506</v>
      </c>
      <c r="C26805" s="1" t="s">
        <v>23490</v>
      </c>
      <c r="D26805" s="1" t="str">
        <f>HYPERLINK("https://rhld.insurance.arkansas.gov/NPILookup?Npi=1538133475","1538133475")</f>
        <v>1538133475</v>
      </c>
      <c r="E26805" t="s">
        <v>12118</v>
      </c>
    </row>
    <row r="26806" spans="1:5" x14ac:dyDescent="0.25">
      <c r="A26806" t="s">
        <v>12</v>
      </c>
      <c r="B26806" t="s">
        <v>7506</v>
      </c>
      <c r="C26806" s="1" t="s">
        <v>23490</v>
      </c>
      <c r="D26806" s="1" t="str">
        <f>HYPERLINK("https://rhld.insurance.arkansas.gov/NPILookup?Npi=1548546138","1548546138")</f>
        <v>1548546138</v>
      </c>
      <c r="E26806" t="s">
        <v>7570</v>
      </c>
    </row>
    <row r="26807" spans="1:5" x14ac:dyDescent="0.25">
      <c r="A26807" t="s">
        <v>12</v>
      </c>
      <c r="B26807" t="s">
        <v>7506</v>
      </c>
      <c r="C26807" s="1" t="s">
        <v>23490</v>
      </c>
      <c r="D26807" s="1" t="str">
        <f>HYPERLINK("https://rhld.insurance.arkansas.gov/NPILookup?Npi=1558015800","1558015800")</f>
        <v>1558015800</v>
      </c>
      <c r="E26807" t="s">
        <v>20287</v>
      </c>
    </row>
    <row r="26808" spans="1:5" x14ac:dyDescent="0.25">
      <c r="A26808" t="s">
        <v>12</v>
      </c>
      <c r="B26808" t="s">
        <v>7506</v>
      </c>
      <c r="C26808" s="1" t="s">
        <v>23490</v>
      </c>
      <c r="D26808" s="1" t="str">
        <f>HYPERLINK("https://rhld.insurance.arkansas.gov/NPILookup?Npi=1558365890","1558365890")</f>
        <v>1558365890</v>
      </c>
      <c r="E26808" t="s">
        <v>7560</v>
      </c>
    </row>
    <row r="26809" spans="1:5" x14ac:dyDescent="0.25">
      <c r="A26809" t="s">
        <v>12</v>
      </c>
      <c r="B26809" t="s">
        <v>7506</v>
      </c>
      <c r="C26809" s="1" t="s">
        <v>23490</v>
      </c>
      <c r="D26809" s="1" t="str">
        <f>HYPERLINK("https://rhld.insurance.arkansas.gov/NPILookup?Npi=1558653212","1558653212")</f>
        <v>1558653212</v>
      </c>
      <c r="E26809" t="s">
        <v>7571</v>
      </c>
    </row>
    <row r="26810" spans="1:5" x14ac:dyDescent="0.25">
      <c r="A26810" t="s">
        <v>12</v>
      </c>
      <c r="B26810" t="s">
        <v>7506</v>
      </c>
      <c r="C26810" s="1" t="s">
        <v>23490</v>
      </c>
      <c r="D26810" s="1" t="str">
        <f>HYPERLINK("https://rhld.insurance.arkansas.gov/NPILookup?Npi=1568406536","1568406536")</f>
        <v>1568406536</v>
      </c>
      <c r="E26810" t="s">
        <v>4074</v>
      </c>
    </row>
    <row r="26811" spans="1:5" x14ac:dyDescent="0.25">
      <c r="A26811" t="s">
        <v>12</v>
      </c>
      <c r="B26811" t="s">
        <v>7506</v>
      </c>
      <c r="C26811" s="1" t="s">
        <v>23490</v>
      </c>
      <c r="D26811" s="1" t="str">
        <f>HYPERLINK("https://rhld.insurance.arkansas.gov/NPILookup?Npi=1568433480","1568433480")</f>
        <v>1568433480</v>
      </c>
      <c r="E26811" t="s">
        <v>7572</v>
      </c>
    </row>
    <row r="26812" spans="1:5" x14ac:dyDescent="0.25">
      <c r="A26812" t="s">
        <v>12</v>
      </c>
      <c r="B26812" t="s">
        <v>7506</v>
      </c>
      <c r="C26812" s="1" t="s">
        <v>23490</v>
      </c>
      <c r="D26812" s="1" t="str">
        <f>HYPERLINK("https://rhld.insurance.arkansas.gov/NPILookup?Npi=1568548253","1568548253")</f>
        <v>1568548253</v>
      </c>
      <c r="E26812" t="s">
        <v>7519</v>
      </c>
    </row>
    <row r="26813" spans="1:5" x14ac:dyDescent="0.25">
      <c r="A26813" t="s">
        <v>12</v>
      </c>
      <c r="B26813" t="s">
        <v>7506</v>
      </c>
      <c r="C26813" s="1" t="s">
        <v>23490</v>
      </c>
      <c r="D26813" s="1" t="str">
        <f>HYPERLINK("https://rhld.insurance.arkansas.gov/NPILookup?Npi=1568643005","1568643005")</f>
        <v>1568643005</v>
      </c>
      <c r="E26813" t="s">
        <v>6473</v>
      </c>
    </row>
    <row r="26814" spans="1:5" x14ac:dyDescent="0.25">
      <c r="A26814" t="s">
        <v>12</v>
      </c>
      <c r="B26814" t="s">
        <v>7506</v>
      </c>
      <c r="C26814" s="1" t="s">
        <v>23490</v>
      </c>
      <c r="D26814" s="1" t="str">
        <f>HYPERLINK("https://rhld.insurance.arkansas.gov/NPILookup?Npi=1568715910","1568715910")</f>
        <v>1568715910</v>
      </c>
      <c r="E26814" t="s">
        <v>7573</v>
      </c>
    </row>
    <row r="26815" spans="1:5" x14ac:dyDescent="0.25">
      <c r="A26815" t="s">
        <v>12</v>
      </c>
      <c r="B26815" t="s">
        <v>7506</v>
      </c>
      <c r="C26815" s="1" t="s">
        <v>23490</v>
      </c>
      <c r="D26815" s="1" t="str">
        <f>HYPERLINK("https://rhld.insurance.arkansas.gov/NPILookup?Npi=1578527172","1578527172")</f>
        <v>1578527172</v>
      </c>
      <c r="E26815" t="s">
        <v>6411</v>
      </c>
    </row>
    <row r="26816" spans="1:5" x14ac:dyDescent="0.25">
      <c r="A26816" t="s">
        <v>12</v>
      </c>
      <c r="B26816" t="s">
        <v>7506</v>
      </c>
      <c r="C26816" s="1" t="s">
        <v>23490</v>
      </c>
      <c r="D26816" s="1" t="str">
        <f>HYPERLINK("https://rhld.insurance.arkansas.gov/NPILookup?Npi=1578574471","1578574471")</f>
        <v>1578574471</v>
      </c>
      <c r="E26816" t="s">
        <v>13056</v>
      </c>
    </row>
    <row r="26817" spans="1:5" x14ac:dyDescent="0.25">
      <c r="A26817" t="s">
        <v>12</v>
      </c>
      <c r="B26817" t="s">
        <v>7506</v>
      </c>
      <c r="C26817" s="1" t="s">
        <v>23490</v>
      </c>
      <c r="D26817" s="1" t="str">
        <f>HYPERLINK("https://rhld.insurance.arkansas.gov/NPILookup?Npi=1588849665","1588849665")</f>
        <v>1588849665</v>
      </c>
      <c r="E26817" t="s">
        <v>4102</v>
      </c>
    </row>
    <row r="26818" spans="1:5" x14ac:dyDescent="0.25">
      <c r="A26818" t="s">
        <v>12</v>
      </c>
      <c r="B26818" t="s">
        <v>7506</v>
      </c>
      <c r="C26818" s="1" t="s">
        <v>23490</v>
      </c>
      <c r="D26818" s="1" t="str">
        <f>HYPERLINK("https://rhld.insurance.arkansas.gov/NPILookup?Npi=1598738668","1598738668")</f>
        <v>1598738668</v>
      </c>
      <c r="E26818" t="s">
        <v>6370</v>
      </c>
    </row>
    <row r="26819" spans="1:5" x14ac:dyDescent="0.25">
      <c r="A26819" t="s">
        <v>12</v>
      </c>
      <c r="B26819" t="s">
        <v>7506</v>
      </c>
      <c r="C26819" s="1" t="s">
        <v>23490</v>
      </c>
      <c r="D26819" s="1" t="str">
        <f>HYPERLINK("https://rhld.insurance.arkansas.gov/NPILookup?Npi=1609061035","1609061035")</f>
        <v>1609061035</v>
      </c>
      <c r="E26819" t="s">
        <v>18556</v>
      </c>
    </row>
    <row r="26820" spans="1:5" x14ac:dyDescent="0.25">
      <c r="A26820" t="s">
        <v>12</v>
      </c>
      <c r="B26820" t="s">
        <v>7506</v>
      </c>
      <c r="C26820" s="1" t="s">
        <v>23490</v>
      </c>
      <c r="D26820" s="1" t="str">
        <f>HYPERLINK("https://rhld.insurance.arkansas.gov/NPILookup?Npi=1609123017","1609123017")</f>
        <v>1609123017</v>
      </c>
      <c r="E26820" t="s">
        <v>4088</v>
      </c>
    </row>
    <row r="26821" spans="1:5" x14ac:dyDescent="0.25">
      <c r="A26821" t="s">
        <v>12</v>
      </c>
      <c r="B26821" t="s">
        <v>7506</v>
      </c>
      <c r="C26821" s="1" t="s">
        <v>23490</v>
      </c>
      <c r="D26821" s="1" t="str">
        <f>HYPERLINK("https://rhld.insurance.arkansas.gov/NPILookup?Npi=1609403690","1609403690")</f>
        <v>1609403690</v>
      </c>
      <c r="E26821" t="s">
        <v>18529</v>
      </c>
    </row>
    <row r="26822" spans="1:5" x14ac:dyDescent="0.25">
      <c r="A26822" t="s">
        <v>12</v>
      </c>
      <c r="B26822" t="s">
        <v>7506</v>
      </c>
      <c r="C26822" s="1" t="s">
        <v>23490</v>
      </c>
      <c r="D26822" s="1" t="str">
        <f>HYPERLINK("https://rhld.insurance.arkansas.gov/NPILookup?Npi=1609804822","1609804822")</f>
        <v>1609804822</v>
      </c>
      <c r="E26822" t="s">
        <v>4080</v>
      </c>
    </row>
    <row r="26823" spans="1:5" x14ac:dyDescent="0.25">
      <c r="A26823" t="s">
        <v>12</v>
      </c>
      <c r="B26823" t="s">
        <v>7506</v>
      </c>
      <c r="C26823" s="1" t="s">
        <v>23490</v>
      </c>
      <c r="D26823" s="1" t="str">
        <f>HYPERLINK("https://rhld.insurance.arkansas.gov/NPILookup?Npi=1619365079","1619365079")</f>
        <v>1619365079</v>
      </c>
      <c r="E26823" t="s">
        <v>4074</v>
      </c>
    </row>
    <row r="26824" spans="1:5" x14ac:dyDescent="0.25">
      <c r="A26824" t="s">
        <v>12</v>
      </c>
      <c r="B26824" t="s">
        <v>7506</v>
      </c>
      <c r="C26824" s="1" t="s">
        <v>23490</v>
      </c>
      <c r="D26824" s="1" t="str">
        <f>HYPERLINK("https://rhld.insurance.arkansas.gov/NPILookup?Npi=1629011002","1629011002")</f>
        <v>1629011002</v>
      </c>
      <c r="E26824" t="s">
        <v>7520</v>
      </c>
    </row>
    <row r="26825" spans="1:5" x14ac:dyDescent="0.25">
      <c r="A26825" t="s">
        <v>12</v>
      </c>
      <c r="B26825" t="s">
        <v>7506</v>
      </c>
      <c r="C26825" s="1" t="s">
        <v>23490</v>
      </c>
      <c r="D26825" s="1" t="str">
        <f>HYPERLINK("https://rhld.insurance.arkansas.gov/NPILookup?Npi=1639137565","1639137565")</f>
        <v>1639137565</v>
      </c>
      <c r="E26825" t="s">
        <v>4077</v>
      </c>
    </row>
    <row r="26826" spans="1:5" x14ac:dyDescent="0.25">
      <c r="A26826" t="s">
        <v>12</v>
      </c>
      <c r="B26826" t="s">
        <v>7506</v>
      </c>
      <c r="C26826" s="1" t="s">
        <v>23490</v>
      </c>
      <c r="D26826" s="1" t="str">
        <f>HYPERLINK("https://rhld.insurance.arkansas.gov/NPILookup?Npi=1639142342","1639142342")</f>
        <v>1639142342</v>
      </c>
      <c r="E26826" t="s">
        <v>14512</v>
      </c>
    </row>
    <row r="26827" spans="1:5" x14ac:dyDescent="0.25">
      <c r="A26827" t="s">
        <v>12</v>
      </c>
      <c r="B26827" t="s">
        <v>7506</v>
      </c>
      <c r="C26827" s="1" t="s">
        <v>23490</v>
      </c>
      <c r="D26827" s="1" t="str">
        <f>HYPERLINK("https://rhld.insurance.arkansas.gov/NPILookup?Npi=1639290331","1639290331")</f>
        <v>1639290331</v>
      </c>
      <c r="E26827" t="s">
        <v>7574</v>
      </c>
    </row>
    <row r="26828" spans="1:5" x14ac:dyDescent="0.25">
      <c r="A26828" t="s">
        <v>12</v>
      </c>
      <c r="B26828" t="s">
        <v>7506</v>
      </c>
      <c r="C26828" s="1" t="s">
        <v>23490</v>
      </c>
      <c r="D26828" s="1" t="str">
        <f>HYPERLINK("https://rhld.insurance.arkansas.gov/NPILookup?Npi=1639345697","1639345697")</f>
        <v>1639345697</v>
      </c>
      <c r="E26828" t="s">
        <v>4075</v>
      </c>
    </row>
    <row r="26829" spans="1:5" x14ac:dyDescent="0.25">
      <c r="A26829" t="s">
        <v>12</v>
      </c>
      <c r="B26829" t="s">
        <v>7506</v>
      </c>
      <c r="C26829" s="1" t="s">
        <v>23490</v>
      </c>
      <c r="D26829" s="1" t="str">
        <f>HYPERLINK("https://rhld.insurance.arkansas.gov/NPILookup?Npi=1639366461","1639366461")</f>
        <v>1639366461</v>
      </c>
      <c r="E26829" t="s">
        <v>17306</v>
      </c>
    </row>
    <row r="26830" spans="1:5" x14ac:dyDescent="0.25">
      <c r="A26830" t="s">
        <v>12</v>
      </c>
      <c r="B26830" t="s">
        <v>7506</v>
      </c>
      <c r="C26830" s="1" t="s">
        <v>23490</v>
      </c>
      <c r="D26830" s="1" t="str">
        <f>HYPERLINK("https://rhld.insurance.arkansas.gov/NPILookup?Npi=1649243353","1649243353")</f>
        <v>1649243353</v>
      </c>
      <c r="E26830" t="s">
        <v>17307</v>
      </c>
    </row>
    <row r="26831" spans="1:5" x14ac:dyDescent="0.25">
      <c r="A26831" t="s">
        <v>12</v>
      </c>
      <c r="B26831" t="s">
        <v>7506</v>
      </c>
      <c r="C26831" s="1" t="s">
        <v>23490</v>
      </c>
      <c r="D26831" s="1" t="str">
        <f>HYPERLINK("https://rhld.insurance.arkansas.gov/NPILookup?Npi=1649524315","1649524315")</f>
        <v>1649524315</v>
      </c>
      <c r="E26831" t="s">
        <v>7576</v>
      </c>
    </row>
    <row r="26832" spans="1:5" x14ac:dyDescent="0.25">
      <c r="A26832" t="s">
        <v>12</v>
      </c>
      <c r="B26832" t="s">
        <v>7506</v>
      </c>
      <c r="C26832" s="1" t="s">
        <v>23490</v>
      </c>
      <c r="D26832" s="1" t="str">
        <f>HYPERLINK("https://rhld.insurance.arkansas.gov/NPILookup?Npi=1659319556","1659319556")</f>
        <v>1659319556</v>
      </c>
      <c r="E26832" t="s">
        <v>7577</v>
      </c>
    </row>
    <row r="26833" spans="1:5" x14ac:dyDescent="0.25">
      <c r="A26833" t="s">
        <v>12</v>
      </c>
      <c r="B26833" t="s">
        <v>7506</v>
      </c>
      <c r="C26833" s="1" t="s">
        <v>23490</v>
      </c>
      <c r="D26833" s="1" t="str">
        <f>HYPERLINK("https://rhld.insurance.arkansas.gov/NPILookup?Npi=1679617849","1679617849")</f>
        <v>1679617849</v>
      </c>
      <c r="E26833" t="s">
        <v>22673</v>
      </c>
    </row>
    <row r="26834" spans="1:5" x14ac:dyDescent="0.25">
      <c r="A26834" t="s">
        <v>12</v>
      </c>
      <c r="B26834" t="s">
        <v>7506</v>
      </c>
      <c r="C26834" s="1" t="s">
        <v>23490</v>
      </c>
      <c r="D26834" s="1" t="str">
        <f>HYPERLINK("https://rhld.insurance.arkansas.gov/NPILookup?Npi=1689130338","1689130338")</f>
        <v>1689130338</v>
      </c>
      <c r="E26834" t="s">
        <v>17521</v>
      </c>
    </row>
    <row r="26835" spans="1:5" x14ac:dyDescent="0.25">
      <c r="A26835" t="s">
        <v>12</v>
      </c>
      <c r="B26835" t="s">
        <v>7506</v>
      </c>
      <c r="C26835" s="1" t="s">
        <v>23490</v>
      </c>
      <c r="D26835" s="1" t="str">
        <f>HYPERLINK("https://rhld.insurance.arkansas.gov/NPILookup?Npi=1689625568","1689625568")</f>
        <v>1689625568</v>
      </c>
      <c r="E26835" t="s">
        <v>7579</v>
      </c>
    </row>
    <row r="26836" spans="1:5" x14ac:dyDescent="0.25">
      <c r="A26836" t="s">
        <v>12</v>
      </c>
      <c r="B26836" t="s">
        <v>7506</v>
      </c>
      <c r="C26836" s="1" t="s">
        <v>23490</v>
      </c>
      <c r="D26836" s="1" t="str">
        <f>HYPERLINK("https://rhld.insurance.arkansas.gov/NPILookup?Npi=1689628232","1689628232")</f>
        <v>1689628232</v>
      </c>
      <c r="E26836" t="s">
        <v>4096</v>
      </c>
    </row>
    <row r="26837" spans="1:5" x14ac:dyDescent="0.25">
      <c r="A26837" t="s">
        <v>12</v>
      </c>
      <c r="B26837" t="s">
        <v>7506</v>
      </c>
      <c r="C26837" s="1" t="s">
        <v>23490</v>
      </c>
      <c r="D26837" s="1" t="str">
        <f>HYPERLINK("https://rhld.insurance.arkansas.gov/NPILookup?Npi=1689676272","1689676272")</f>
        <v>1689676272</v>
      </c>
      <c r="E26837" t="s">
        <v>7580</v>
      </c>
    </row>
    <row r="26838" spans="1:5" x14ac:dyDescent="0.25">
      <c r="A26838" t="s">
        <v>12</v>
      </c>
      <c r="B26838" t="s">
        <v>7506</v>
      </c>
      <c r="C26838" s="1" t="s">
        <v>23490</v>
      </c>
      <c r="D26838" s="1" t="str">
        <f>HYPERLINK("https://rhld.insurance.arkansas.gov/NPILookup?Npi=1689898140","1689898140")</f>
        <v>1689898140</v>
      </c>
      <c r="E26838" t="s">
        <v>9283</v>
      </c>
    </row>
    <row r="26839" spans="1:5" x14ac:dyDescent="0.25">
      <c r="A26839" t="s">
        <v>12</v>
      </c>
      <c r="B26839" t="s">
        <v>7506</v>
      </c>
      <c r="C26839" s="1" t="s">
        <v>23490</v>
      </c>
      <c r="D26839" s="1" t="str">
        <f>HYPERLINK("https://rhld.insurance.arkansas.gov/NPILookup?Npi=1699322164","1699322164")</f>
        <v>1699322164</v>
      </c>
      <c r="E26839" t="s">
        <v>19264</v>
      </c>
    </row>
    <row r="26840" spans="1:5" x14ac:dyDescent="0.25">
      <c r="A26840" t="s">
        <v>12</v>
      </c>
      <c r="B26840" t="s">
        <v>7506</v>
      </c>
      <c r="C26840" s="1" t="s">
        <v>23490</v>
      </c>
      <c r="D26840" s="1" t="str">
        <f>HYPERLINK("https://rhld.insurance.arkansas.gov/NPILookup?Npi=1699365254","1699365254")</f>
        <v>1699365254</v>
      </c>
      <c r="E26840" t="s">
        <v>19265</v>
      </c>
    </row>
    <row r="26841" spans="1:5" x14ac:dyDescent="0.25">
      <c r="A26841" t="s">
        <v>12</v>
      </c>
      <c r="B26841" t="s">
        <v>7506</v>
      </c>
      <c r="C26841" s="1" t="s">
        <v>23490</v>
      </c>
      <c r="D26841" s="1" t="str">
        <f>HYPERLINK("https://rhld.insurance.arkansas.gov/NPILookup?Npi=1699707539","1699707539")</f>
        <v>1699707539</v>
      </c>
      <c r="E26841" t="s">
        <v>7581</v>
      </c>
    </row>
    <row r="26842" spans="1:5" x14ac:dyDescent="0.25">
      <c r="A26842" t="s">
        <v>12</v>
      </c>
      <c r="B26842" t="s">
        <v>7506</v>
      </c>
      <c r="C26842" s="1" t="s">
        <v>23490</v>
      </c>
      <c r="D26842" s="1" t="str">
        <f>HYPERLINK("https://rhld.insurance.arkansas.gov/NPILookup?Npi=1699726695","1699726695")</f>
        <v>1699726695</v>
      </c>
      <c r="E26842" t="s">
        <v>7582</v>
      </c>
    </row>
    <row r="26843" spans="1:5" x14ac:dyDescent="0.25">
      <c r="A26843" t="s">
        <v>12</v>
      </c>
      <c r="B26843" t="s">
        <v>7506</v>
      </c>
      <c r="C26843" s="1" t="s">
        <v>23490</v>
      </c>
      <c r="D26843" s="1" t="str">
        <f>HYPERLINK("https://rhld.insurance.arkansas.gov/NPILookup?Npi=1700407541","1700407541")</f>
        <v>1700407541</v>
      </c>
      <c r="E26843" t="s">
        <v>18523</v>
      </c>
    </row>
    <row r="26844" spans="1:5" x14ac:dyDescent="0.25">
      <c r="A26844" t="s">
        <v>12</v>
      </c>
      <c r="B26844" t="s">
        <v>7506</v>
      </c>
      <c r="C26844" s="1" t="s">
        <v>23490</v>
      </c>
      <c r="D26844" s="1" t="str">
        <f>HYPERLINK("https://rhld.insurance.arkansas.gov/NPILookup?Npi=1700831724","1700831724")</f>
        <v>1700831724</v>
      </c>
      <c r="E26844" t="s">
        <v>4097</v>
      </c>
    </row>
    <row r="26845" spans="1:5" x14ac:dyDescent="0.25">
      <c r="A26845" t="s">
        <v>12</v>
      </c>
      <c r="B26845" t="s">
        <v>7506</v>
      </c>
      <c r="C26845" s="1" t="s">
        <v>23490</v>
      </c>
      <c r="D26845" s="1" t="str">
        <f>HYPERLINK("https://rhld.insurance.arkansas.gov/NPILookup?Npi=1700959905","1700959905")</f>
        <v>1700959905</v>
      </c>
      <c r="E26845" t="s">
        <v>16626</v>
      </c>
    </row>
    <row r="26846" spans="1:5" x14ac:dyDescent="0.25">
      <c r="A26846" t="s">
        <v>12</v>
      </c>
      <c r="B26846" t="s">
        <v>7506</v>
      </c>
      <c r="C26846" s="1" t="s">
        <v>23490</v>
      </c>
      <c r="D26846" s="1" t="str">
        <f>HYPERLINK("https://rhld.insurance.arkansas.gov/NPILookup?Npi=1710463146","1710463146")</f>
        <v>1710463146</v>
      </c>
      <c r="E26846" t="s">
        <v>13887</v>
      </c>
    </row>
    <row r="26847" spans="1:5" x14ac:dyDescent="0.25">
      <c r="A26847" t="s">
        <v>12</v>
      </c>
      <c r="B26847" t="s">
        <v>7506</v>
      </c>
      <c r="C26847" s="1" t="s">
        <v>23490</v>
      </c>
      <c r="D26847" s="1" t="str">
        <f>HYPERLINK("https://rhld.insurance.arkansas.gov/NPILookup?Npi=1710931985","1710931985")</f>
        <v>1710931985</v>
      </c>
      <c r="E26847" t="s">
        <v>6459</v>
      </c>
    </row>
    <row r="26848" spans="1:5" x14ac:dyDescent="0.25">
      <c r="A26848" t="s">
        <v>12</v>
      </c>
      <c r="B26848" t="s">
        <v>7506</v>
      </c>
      <c r="C26848" s="1" t="s">
        <v>23490</v>
      </c>
      <c r="D26848" s="1" t="str">
        <f>HYPERLINK("https://rhld.insurance.arkansas.gov/NPILookup?Npi=1710943881","1710943881")</f>
        <v>1710943881</v>
      </c>
      <c r="E26848" t="s">
        <v>6399</v>
      </c>
    </row>
    <row r="26849" spans="1:5" x14ac:dyDescent="0.25">
      <c r="A26849" t="s">
        <v>12</v>
      </c>
      <c r="B26849" t="s">
        <v>7506</v>
      </c>
      <c r="C26849" s="1" t="s">
        <v>23490</v>
      </c>
      <c r="D26849" s="1" t="str">
        <f>HYPERLINK("https://rhld.insurance.arkansas.gov/NPILookup?Npi=1720003643","1720003643")</f>
        <v>1720003643</v>
      </c>
      <c r="E26849" t="s">
        <v>7583</v>
      </c>
    </row>
    <row r="26850" spans="1:5" x14ac:dyDescent="0.25">
      <c r="A26850" t="s">
        <v>12</v>
      </c>
      <c r="B26850" t="s">
        <v>7506</v>
      </c>
      <c r="C26850" s="1" t="s">
        <v>23490</v>
      </c>
      <c r="D26850" s="1" t="str">
        <f>HYPERLINK("https://rhld.insurance.arkansas.gov/NPILookup?Npi=1730737131","1730737131")</f>
        <v>1730737131</v>
      </c>
      <c r="E26850" t="s">
        <v>20285</v>
      </c>
    </row>
    <row r="26851" spans="1:5" x14ac:dyDescent="0.25">
      <c r="A26851" t="s">
        <v>12</v>
      </c>
      <c r="B26851" t="s">
        <v>7506</v>
      </c>
      <c r="C26851" s="1" t="s">
        <v>23490</v>
      </c>
      <c r="D26851" s="1" t="str">
        <f>HYPERLINK("https://rhld.insurance.arkansas.gov/NPILookup?Npi=1750335741","1750335741")</f>
        <v>1750335741</v>
      </c>
      <c r="E26851" t="s">
        <v>4098</v>
      </c>
    </row>
    <row r="26852" spans="1:5" x14ac:dyDescent="0.25">
      <c r="A26852" t="s">
        <v>12</v>
      </c>
      <c r="B26852" t="s">
        <v>7506</v>
      </c>
      <c r="C26852" s="1" t="s">
        <v>23490</v>
      </c>
      <c r="D26852" s="1" t="str">
        <f>HYPERLINK("https://rhld.insurance.arkansas.gov/NPILookup?Npi=1760443980","1760443980")</f>
        <v>1760443980</v>
      </c>
      <c r="E26852" t="s">
        <v>7584</v>
      </c>
    </row>
    <row r="26853" spans="1:5" x14ac:dyDescent="0.25">
      <c r="A26853" t="s">
        <v>12</v>
      </c>
      <c r="B26853" t="s">
        <v>7506</v>
      </c>
      <c r="C26853" s="1" t="s">
        <v>23490</v>
      </c>
      <c r="D26853" s="1" t="str">
        <f>HYPERLINK("https://rhld.insurance.arkansas.gov/NPILookup?Npi=1760453633","1760453633")</f>
        <v>1760453633</v>
      </c>
      <c r="E26853" t="s">
        <v>6425</v>
      </c>
    </row>
    <row r="26854" spans="1:5" x14ac:dyDescent="0.25">
      <c r="A26854" t="s">
        <v>12</v>
      </c>
      <c r="B26854" t="s">
        <v>7506</v>
      </c>
      <c r="C26854" s="1" t="s">
        <v>23490</v>
      </c>
      <c r="D26854" s="1" t="str">
        <f>HYPERLINK("https://rhld.insurance.arkansas.gov/NPILookup?Npi=1760567168","1760567168")</f>
        <v>1760567168</v>
      </c>
      <c r="E26854" t="s">
        <v>18555</v>
      </c>
    </row>
    <row r="26855" spans="1:5" x14ac:dyDescent="0.25">
      <c r="A26855" t="s">
        <v>12</v>
      </c>
      <c r="B26855" t="s">
        <v>7506</v>
      </c>
      <c r="C26855" s="1" t="s">
        <v>23490</v>
      </c>
      <c r="D26855" s="1" t="str">
        <f>HYPERLINK("https://rhld.insurance.arkansas.gov/NPILookup?Npi=1770802217","1770802217")</f>
        <v>1770802217</v>
      </c>
      <c r="E26855" t="s">
        <v>6492</v>
      </c>
    </row>
    <row r="26856" spans="1:5" x14ac:dyDescent="0.25">
      <c r="A26856" t="s">
        <v>12</v>
      </c>
      <c r="B26856" t="s">
        <v>7506</v>
      </c>
      <c r="C26856" s="1" t="s">
        <v>8427</v>
      </c>
      <c r="D26856" s="1" t="str">
        <f>HYPERLINK("https://rhld.insurance.arkansas.gov/NPILookup?Npi=1780375592","1780375592")</f>
        <v>1780375592</v>
      </c>
      <c r="E26856" t="s">
        <v>23322</v>
      </c>
    </row>
    <row r="26857" spans="1:5" x14ac:dyDescent="0.25">
      <c r="A26857" t="s">
        <v>12</v>
      </c>
      <c r="B26857" t="s">
        <v>7506</v>
      </c>
      <c r="C26857" s="1" t="s">
        <v>23490</v>
      </c>
      <c r="D26857" s="1" t="str">
        <f>HYPERLINK("https://rhld.insurance.arkansas.gov/NPILookup?Npi=1780684431","1780684431")</f>
        <v>1780684431</v>
      </c>
      <c r="E26857" t="s">
        <v>7585</v>
      </c>
    </row>
    <row r="26858" spans="1:5" x14ac:dyDescent="0.25">
      <c r="A26858" t="s">
        <v>12</v>
      </c>
      <c r="B26858" t="s">
        <v>7506</v>
      </c>
      <c r="C26858" s="1" t="s">
        <v>23490</v>
      </c>
      <c r="D26858" s="1" t="str">
        <f>HYPERLINK("https://rhld.insurance.arkansas.gov/NPILookup?Npi=1780712448","1780712448")</f>
        <v>1780712448</v>
      </c>
      <c r="E26858" t="s">
        <v>4082</v>
      </c>
    </row>
    <row r="26859" spans="1:5" x14ac:dyDescent="0.25">
      <c r="A26859" t="s">
        <v>12</v>
      </c>
      <c r="B26859" t="s">
        <v>7506</v>
      </c>
      <c r="C26859" s="1" t="s">
        <v>23490</v>
      </c>
      <c r="D26859" s="1" t="str">
        <f>HYPERLINK("https://rhld.insurance.arkansas.gov/NPILookup?Npi=1790147106","1790147106")</f>
        <v>1790147106</v>
      </c>
      <c r="E26859" t="s">
        <v>9285</v>
      </c>
    </row>
    <row r="26860" spans="1:5" x14ac:dyDescent="0.25">
      <c r="A26860" t="s">
        <v>12</v>
      </c>
      <c r="B26860" t="s">
        <v>7506</v>
      </c>
      <c r="C26860" s="1" t="s">
        <v>23490</v>
      </c>
      <c r="D26860" s="1" t="str">
        <f>HYPERLINK("https://rhld.insurance.arkansas.gov/NPILookup?Npi=1790197945","1790197945")</f>
        <v>1790197945</v>
      </c>
      <c r="E26860" t="s">
        <v>16627</v>
      </c>
    </row>
    <row r="26861" spans="1:5" x14ac:dyDescent="0.25">
      <c r="A26861" t="s">
        <v>12</v>
      </c>
      <c r="B26861" t="s">
        <v>7506</v>
      </c>
      <c r="C26861" s="1" t="s">
        <v>23490</v>
      </c>
      <c r="D26861" s="1" t="str">
        <f>HYPERLINK("https://rhld.insurance.arkansas.gov/NPILookup?Npi=1790206910","1790206910")</f>
        <v>1790206910</v>
      </c>
      <c r="E26861" t="s">
        <v>14513</v>
      </c>
    </row>
    <row r="26862" spans="1:5" x14ac:dyDescent="0.25">
      <c r="A26862" t="s">
        <v>12</v>
      </c>
      <c r="B26862" t="s">
        <v>7506</v>
      </c>
      <c r="C26862" s="1" t="s">
        <v>23490</v>
      </c>
      <c r="D26862" s="1" t="str">
        <f>HYPERLINK("https://rhld.insurance.arkansas.gov/NPILookup?Npi=1790773158","1790773158")</f>
        <v>1790773158</v>
      </c>
      <c r="E26862" t="s">
        <v>7586</v>
      </c>
    </row>
    <row r="26863" spans="1:5" x14ac:dyDescent="0.25">
      <c r="A26863" t="s">
        <v>12</v>
      </c>
      <c r="B26863" t="s">
        <v>7506</v>
      </c>
      <c r="C26863" s="1" t="s">
        <v>23490</v>
      </c>
      <c r="D26863" s="1" t="str">
        <f>HYPERLINK("https://rhld.insurance.arkansas.gov/NPILookup?Npi=1790775229","1790775229")</f>
        <v>1790775229</v>
      </c>
      <c r="E26863" t="s">
        <v>7571</v>
      </c>
    </row>
    <row r="26864" spans="1:5" x14ac:dyDescent="0.25">
      <c r="A26864" t="s">
        <v>12</v>
      </c>
      <c r="B26864" t="s">
        <v>7506</v>
      </c>
      <c r="C26864" s="1" t="s">
        <v>23490</v>
      </c>
      <c r="D26864" s="1" t="str">
        <f>HYPERLINK("https://rhld.insurance.arkansas.gov/NPILookup?Npi=1790925972","1790925972")</f>
        <v>1790925972</v>
      </c>
      <c r="E26864" t="s">
        <v>4100</v>
      </c>
    </row>
    <row r="26865" spans="1:5" x14ac:dyDescent="0.25">
      <c r="A26865" t="s">
        <v>12</v>
      </c>
      <c r="B26865" t="s">
        <v>7506</v>
      </c>
      <c r="C26865" s="1" t="s">
        <v>23490</v>
      </c>
      <c r="D26865" s="1" t="str">
        <f>HYPERLINK("https://rhld.insurance.arkansas.gov/NPILookup?Npi=1801805502","1801805502")</f>
        <v>1801805502</v>
      </c>
      <c r="E26865" t="s">
        <v>12117</v>
      </c>
    </row>
    <row r="26866" spans="1:5" x14ac:dyDescent="0.25">
      <c r="A26866" t="s">
        <v>12</v>
      </c>
      <c r="B26866" t="s">
        <v>7506</v>
      </c>
      <c r="C26866" s="1" t="s">
        <v>23490</v>
      </c>
      <c r="D26866" s="1" t="str">
        <f>HYPERLINK("https://rhld.insurance.arkansas.gov/NPILookup?Npi=1811068646","1811068646")</f>
        <v>1811068646</v>
      </c>
      <c r="E26866" t="s">
        <v>7587</v>
      </c>
    </row>
    <row r="26867" spans="1:5" x14ac:dyDescent="0.25">
      <c r="A26867" t="s">
        <v>12</v>
      </c>
      <c r="B26867" t="s">
        <v>7506</v>
      </c>
      <c r="C26867" s="1" t="s">
        <v>23490</v>
      </c>
      <c r="D26867" s="1" t="str">
        <f>HYPERLINK("https://rhld.insurance.arkansas.gov/NPILookup?Npi=1811912009","1811912009")</f>
        <v>1811912009</v>
      </c>
      <c r="E26867" t="s">
        <v>7588</v>
      </c>
    </row>
    <row r="26868" spans="1:5" x14ac:dyDescent="0.25">
      <c r="A26868" t="s">
        <v>12</v>
      </c>
      <c r="B26868" t="s">
        <v>7506</v>
      </c>
      <c r="C26868" s="1" t="s">
        <v>23490</v>
      </c>
      <c r="D26868" s="1" t="str">
        <f>HYPERLINK("https://rhld.insurance.arkansas.gov/NPILookup?Npi=1811929151","1811929151")</f>
        <v>1811929151</v>
      </c>
      <c r="E26868" t="s">
        <v>7589</v>
      </c>
    </row>
    <row r="26869" spans="1:5" x14ac:dyDescent="0.25">
      <c r="A26869" t="s">
        <v>12</v>
      </c>
      <c r="B26869" t="s">
        <v>7506</v>
      </c>
      <c r="C26869" s="1" t="s">
        <v>23490</v>
      </c>
      <c r="D26869" s="1" t="str">
        <f>HYPERLINK("https://rhld.insurance.arkansas.gov/NPILookup?Npi=1821249533","1821249533")</f>
        <v>1821249533</v>
      </c>
      <c r="E26869" t="s">
        <v>7590</v>
      </c>
    </row>
    <row r="26870" spans="1:5" x14ac:dyDescent="0.25">
      <c r="A26870" t="s">
        <v>12</v>
      </c>
      <c r="B26870" t="s">
        <v>7506</v>
      </c>
      <c r="C26870" s="1" t="s">
        <v>23490</v>
      </c>
      <c r="D26870" s="1" t="str">
        <f>HYPERLINK("https://rhld.insurance.arkansas.gov/NPILookup?Npi=1831115641","1831115641")</f>
        <v>1831115641</v>
      </c>
      <c r="E26870" t="s">
        <v>7591</v>
      </c>
    </row>
    <row r="26871" spans="1:5" x14ac:dyDescent="0.25">
      <c r="A26871" t="s">
        <v>12</v>
      </c>
      <c r="B26871" t="s">
        <v>7506</v>
      </c>
      <c r="C26871" s="1" t="s">
        <v>23490</v>
      </c>
      <c r="D26871" s="1" t="str">
        <f>HYPERLINK("https://rhld.insurance.arkansas.gov/NPILookup?Npi=1831183748","1831183748")</f>
        <v>1831183748</v>
      </c>
      <c r="E26871" t="s">
        <v>7592</v>
      </c>
    </row>
    <row r="26872" spans="1:5" x14ac:dyDescent="0.25">
      <c r="A26872" t="s">
        <v>12</v>
      </c>
      <c r="B26872" t="s">
        <v>7506</v>
      </c>
      <c r="C26872" s="1" t="s">
        <v>23490</v>
      </c>
      <c r="D26872" s="1" t="str">
        <f>HYPERLINK("https://rhld.insurance.arkansas.gov/NPILookup?Npi=1831506989","1831506989")</f>
        <v>1831506989</v>
      </c>
      <c r="E26872" t="s">
        <v>7511</v>
      </c>
    </row>
    <row r="26873" spans="1:5" x14ac:dyDescent="0.25">
      <c r="A26873" t="s">
        <v>12</v>
      </c>
      <c r="B26873" t="s">
        <v>7506</v>
      </c>
      <c r="C26873" s="1" t="s">
        <v>23490</v>
      </c>
      <c r="D26873" s="1" t="str">
        <f>HYPERLINK("https://rhld.insurance.arkansas.gov/NPILookup?Npi=1841241833","1841241833")</f>
        <v>1841241833</v>
      </c>
      <c r="E26873" t="s">
        <v>6444</v>
      </c>
    </row>
    <row r="26874" spans="1:5" x14ac:dyDescent="0.25">
      <c r="A26874" t="s">
        <v>12</v>
      </c>
      <c r="B26874" t="s">
        <v>7506</v>
      </c>
      <c r="C26874" s="1" t="s">
        <v>23490</v>
      </c>
      <c r="D26874" s="1" t="str">
        <f>HYPERLINK("https://rhld.insurance.arkansas.gov/NPILookup?Npi=1841379161","1841379161")</f>
        <v>1841379161</v>
      </c>
      <c r="E26874" t="s">
        <v>18227</v>
      </c>
    </row>
    <row r="26875" spans="1:5" x14ac:dyDescent="0.25">
      <c r="A26875" t="s">
        <v>12</v>
      </c>
      <c r="B26875" t="s">
        <v>7506</v>
      </c>
      <c r="C26875" s="1" t="s">
        <v>23490</v>
      </c>
      <c r="D26875" s="1" t="str">
        <f>HYPERLINK("https://rhld.insurance.arkansas.gov/NPILookup?Npi=1841898293","1841898293")</f>
        <v>1841898293</v>
      </c>
      <c r="E26875" t="s">
        <v>18557</v>
      </c>
    </row>
    <row r="26876" spans="1:5" x14ac:dyDescent="0.25">
      <c r="A26876" t="s">
        <v>12</v>
      </c>
      <c r="B26876" t="s">
        <v>7506</v>
      </c>
      <c r="C26876" s="1" t="s">
        <v>23490</v>
      </c>
      <c r="D26876" s="1" t="str">
        <f>HYPERLINK("https://rhld.insurance.arkansas.gov/NPILookup?Npi=1851484695","1851484695")</f>
        <v>1851484695</v>
      </c>
      <c r="E26876" t="s">
        <v>7593</v>
      </c>
    </row>
    <row r="26877" spans="1:5" x14ac:dyDescent="0.25">
      <c r="A26877" t="s">
        <v>12</v>
      </c>
      <c r="B26877" t="s">
        <v>7506</v>
      </c>
      <c r="C26877" s="1" t="s">
        <v>23490</v>
      </c>
      <c r="D26877" s="1" t="str">
        <f>HYPERLINK("https://rhld.insurance.arkansas.gov/NPILookup?Npi=1851812176","1851812176")</f>
        <v>1851812176</v>
      </c>
      <c r="E26877" t="s">
        <v>13282</v>
      </c>
    </row>
    <row r="26878" spans="1:5" x14ac:dyDescent="0.25">
      <c r="A26878" t="s">
        <v>12</v>
      </c>
      <c r="B26878" t="s">
        <v>7506</v>
      </c>
      <c r="C26878" s="1" t="s">
        <v>23490</v>
      </c>
      <c r="D26878" s="1" t="str">
        <f>HYPERLINK("https://rhld.insurance.arkansas.gov/NPILookup?Npi=1861449639","1861449639")</f>
        <v>1861449639</v>
      </c>
      <c r="E26878" t="s">
        <v>7594</v>
      </c>
    </row>
    <row r="26879" spans="1:5" x14ac:dyDescent="0.25">
      <c r="A26879" t="s">
        <v>12</v>
      </c>
      <c r="B26879" t="s">
        <v>7506</v>
      </c>
      <c r="C26879" s="1" t="s">
        <v>23490</v>
      </c>
      <c r="D26879" s="1" t="str">
        <f>HYPERLINK("https://rhld.insurance.arkansas.gov/NPILookup?Npi=1861451114","1861451114")</f>
        <v>1861451114</v>
      </c>
      <c r="E26879" t="s">
        <v>7566</v>
      </c>
    </row>
    <row r="26880" spans="1:5" x14ac:dyDescent="0.25">
      <c r="A26880" t="s">
        <v>12</v>
      </c>
      <c r="B26880" t="s">
        <v>7506</v>
      </c>
      <c r="C26880" s="1" t="s">
        <v>23490</v>
      </c>
      <c r="D26880" s="1" t="str">
        <f>HYPERLINK("https://rhld.insurance.arkansas.gov/NPILookup?Npi=1861576779","1861576779")</f>
        <v>1861576779</v>
      </c>
      <c r="E26880" t="s">
        <v>4108</v>
      </c>
    </row>
    <row r="26881" spans="1:5" x14ac:dyDescent="0.25">
      <c r="A26881" t="s">
        <v>12</v>
      </c>
      <c r="B26881" t="s">
        <v>7506</v>
      </c>
      <c r="C26881" s="1" t="s">
        <v>23490</v>
      </c>
      <c r="D26881" s="1" t="str">
        <f>HYPERLINK("https://rhld.insurance.arkansas.gov/NPILookup?Npi=1871555185","1871555185")</f>
        <v>1871555185</v>
      </c>
      <c r="E26881" t="s">
        <v>7595</v>
      </c>
    </row>
    <row r="26882" spans="1:5" x14ac:dyDescent="0.25">
      <c r="A26882" t="s">
        <v>12</v>
      </c>
      <c r="B26882" t="s">
        <v>7506</v>
      </c>
      <c r="C26882" s="1" t="s">
        <v>23490</v>
      </c>
      <c r="D26882" s="1" t="str">
        <f>HYPERLINK("https://rhld.insurance.arkansas.gov/NPILookup?Npi=1881635993","1881635993")</f>
        <v>1881635993</v>
      </c>
      <c r="E26882" t="s">
        <v>12020</v>
      </c>
    </row>
    <row r="26883" spans="1:5" x14ac:dyDescent="0.25">
      <c r="A26883" t="s">
        <v>12</v>
      </c>
      <c r="B26883" t="s">
        <v>7506</v>
      </c>
      <c r="C26883" s="1" t="s">
        <v>23490</v>
      </c>
      <c r="D26883" s="1" t="str">
        <f>HYPERLINK("https://rhld.insurance.arkansas.gov/NPILookup?Npi=1881638880","1881638880")</f>
        <v>1881638880</v>
      </c>
      <c r="E26883" t="s">
        <v>4104</v>
      </c>
    </row>
    <row r="26884" spans="1:5" x14ac:dyDescent="0.25">
      <c r="A26884" t="s">
        <v>12</v>
      </c>
      <c r="B26884" t="s">
        <v>7506</v>
      </c>
      <c r="C26884" s="1" t="s">
        <v>23490</v>
      </c>
      <c r="D26884" s="1" t="str">
        <f>HYPERLINK("https://rhld.insurance.arkansas.gov/NPILookup?Npi=1881678704","1881678704")</f>
        <v>1881678704</v>
      </c>
      <c r="E26884" t="s">
        <v>7596</v>
      </c>
    </row>
    <row r="26885" spans="1:5" x14ac:dyDescent="0.25">
      <c r="A26885" t="s">
        <v>12</v>
      </c>
      <c r="B26885" t="s">
        <v>7506</v>
      </c>
      <c r="C26885" s="1" t="s">
        <v>23490</v>
      </c>
      <c r="D26885" s="1" t="str">
        <f>HYPERLINK("https://rhld.insurance.arkansas.gov/NPILookup?Npi=1881788933","1881788933")</f>
        <v>1881788933</v>
      </c>
      <c r="E26885" t="s">
        <v>4087</v>
      </c>
    </row>
    <row r="26886" spans="1:5" x14ac:dyDescent="0.25">
      <c r="A26886" t="s">
        <v>12</v>
      </c>
      <c r="B26886" t="s">
        <v>7506</v>
      </c>
      <c r="C26886" s="1" t="s">
        <v>23490</v>
      </c>
      <c r="D26886" s="1" t="str">
        <f>HYPERLINK("https://rhld.insurance.arkansas.gov/NPILookup?Npi=1891778049","1891778049")</f>
        <v>1891778049</v>
      </c>
      <c r="E26886" t="s">
        <v>7598</v>
      </c>
    </row>
    <row r="26887" spans="1:5" x14ac:dyDescent="0.25">
      <c r="A26887" t="s">
        <v>12</v>
      </c>
      <c r="B26887" t="s">
        <v>7506</v>
      </c>
      <c r="C26887" s="1" t="s">
        <v>23490</v>
      </c>
      <c r="D26887" s="1" t="str">
        <f>HYPERLINK("https://rhld.insurance.arkansas.gov/NPILookup?Npi=1891781837","1891781837")</f>
        <v>1891781837</v>
      </c>
      <c r="E26887" t="s">
        <v>7595</v>
      </c>
    </row>
    <row r="26888" spans="1:5" x14ac:dyDescent="0.25">
      <c r="A26888" t="s">
        <v>12</v>
      </c>
      <c r="B26888" t="s">
        <v>7506</v>
      </c>
      <c r="C26888" s="1" t="s">
        <v>23490</v>
      </c>
      <c r="D26888" s="1" t="str">
        <f>HYPERLINK("https://rhld.insurance.arkansas.gov/NPILookup?Npi=1891873337","1891873337")</f>
        <v>1891873337</v>
      </c>
      <c r="E26888" t="s">
        <v>13889</v>
      </c>
    </row>
    <row r="26889" spans="1:5" x14ac:dyDescent="0.25">
      <c r="A26889" t="s">
        <v>12</v>
      </c>
      <c r="B26889" t="s">
        <v>7506</v>
      </c>
      <c r="C26889" s="1" t="s">
        <v>23490</v>
      </c>
      <c r="D26889" s="1" t="str">
        <f>HYPERLINK("https://rhld.insurance.arkansas.gov/NPILookup?Npi=1902051816","1902051816")</f>
        <v>1902051816</v>
      </c>
      <c r="E26889" t="s">
        <v>7599</v>
      </c>
    </row>
    <row r="26890" spans="1:5" x14ac:dyDescent="0.25">
      <c r="A26890" t="s">
        <v>12</v>
      </c>
      <c r="B26890" t="s">
        <v>7506</v>
      </c>
      <c r="C26890" s="1" t="s">
        <v>23490</v>
      </c>
      <c r="D26890" s="1" t="str">
        <f>HYPERLINK("https://rhld.insurance.arkansas.gov/NPILookup?Npi=1902842255","1902842255")</f>
        <v>1902842255</v>
      </c>
      <c r="E26890" t="s">
        <v>7552</v>
      </c>
    </row>
    <row r="26891" spans="1:5" x14ac:dyDescent="0.25">
      <c r="A26891" t="s">
        <v>12</v>
      </c>
      <c r="B26891" t="s">
        <v>7506</v>
      </c>
      <c r="C26891" s="1" t="s">
        <v>23490</v>
      </c>
      <c r="D26891" s="1" t="str">
        <f>HYPERLINK("https://rhld.insurance.arkansas.gov/NPILookup?Npi=1902868391","1902868391")</f>
        <v>1902868391</v>
      </c>
      <c r="E26891" t="s">
        <v>4080</v>
      </c>
    </row>
    <row r="26892" spans="1:5" x14ac:dyDescent="0.25">
      <c r="A26892" t="s">
        <v>12</v>
      </c>
      <c r="B26892" t="s">
        <v>7506</v>
      </c>
      <c r="C26892" s="1" t="s">
        <v>23490</v>
      </c>
      <c r="D26892" s="1" t="str">
        <f>HYPERLINK("https://rhld.insurance.arkansas.gov/NPILookup?Npi=1912118134","1912118134")</f>
        <v>1912118134</v>
      </c>
      <c r="E26892" t="s">
        <v>7600</v>
      </c>
    </row>
    <row r="26893" spans="1:5" x14ac:dyDescent="0.25">
      <c r="A26893" t="s">
        <v>12</v>
      </c>
      <c r="B26893" t="s">
        <v>7506</v>
      </c>
      <c r="C26893" s="1" t="s">
        <v>23490</v>
      </c>
      <c r="D26893" s="1" t="str">
        <f>HYPERLINK("https://rhld.insurance.arkansas.gov/NPILookup?Npi=1912314063","1912314063")</f>
        <v>1912314063</v>
      </c>
      <c r="E26893" t="s">
        <v>7511</v>
      </c>
    </row>
    <row r="26894" spans="1:5" x14ac:dyDescent="0.25">
      <c r="A26894" t="s">
        <v>12</v>
      </c>
      <c r="B26894" t="s">
        <v>7506</v>
      </c>
      <c r="C26894" s="1" t="s">
        <v>23490</v>
      </c>
      <c r="D26894" s="1" t="str">
        <f>HYPERLINK("https://rhld.insurance.arkansas.gov/NPILookup?Npi=1912909912","1912909912")</f>
        <v>1912909912</v>
      </c>
      <c r="E26894" t="s">
        <v>7601</v>
      </c>
    </row>
    <row r="26895" spans="1:5" x14ac:dyDescent="0.25">
      <c r="A26895" t="s">
        <v>12</v>
      </c>
      <c r="B26895" t="s">
        <v>7506</v>
      </c>
      <c r="C26895" s="1" t="s">
        <v>23490</v>
      </c>
      <c r="D26895" s="1" t="str">
        <f>HYPERLINK("https://rhld.insurance.arkansas.gov/NPILookup?Npi=1912962341","1912962341")</f>
        <v>1912962341</v>
      </c>
      <c r="E26895" t="s">
        <v>13058</v>
      </c>
    </row>
    <row r="26896" spans="1:5" x14ac:dyDescent="0.25">
      <c r="A26896" t="s">
        <v>12</v>
      </c>
      <c r="B26896" t="s">
        <v>7506</v>
      </c>
      <c r="C26896" s="1" t="s">
        <v>23490</v>
      </c>
      <c r="D26896" s="1" t="str">
        <f>HYPERLINK("https://rhld.insurance.arkansas.gov/NPILookup?Npi=1912964081","1912964081")</f>
        <v>1912964081</v>
      </c>
      <c r="E26896" t="s">
        <v>7585</v>
      </c>
    </row>
    <row r="26897" spans="1:5" x14ac:dyDescent="0.25">
      <c r="A26897" t="s">
        <v>12</v>
      </c>
      <c r="B26897" t="s">
        <v>7506</v>
      </c>
      <c r="C26897" s="1" t="s">
        <v>23490</v>
      </c>
      <c r="D26897" s="1" t="str">
        <f>HYPERLINK("https://rhld.insurance.arkansas.gov/NPILookup?Npi=1912978875","1912978875")</f>
        <v>1912978875</v>
      </c>
      <c r="E26897" t="s">
        <v>6507</v>
      </c>
    </row>
    <row r="26898" spans="1:5" x14ac:dyDescent="0.25">
      <c r="A26898" t="s">
        <v>12</v>
      </c>
      <c r="B26898" t="s">
        <v>7506</v>
      </c>
      <c r="C26898" s="1" t="s">
        <v>23490</v>
      </c>
      <c r="D26898" s="1" t="str">
        <f>HYPERLINK("https://rhld.insurance.arkansas.gov/NPILookup?Npi=1922043686","1922043686")</f>
        <v>1922043686</v>
      </c>
      <c r="E26898" t="s">
        <v>7549</v>
      </c>
    </row>
    <row r="26899" spans="1:5" x14ac:dyDescent="0.25">
      <c r="A26899" t="s">
        <v>12</v>
      </c>
      <c r="B26899" t="s">
        <v>7506</v>
      </c>
      <c r="C26899" s="1" t="s">
        <v>23490</v>
      </c>
      <c r="D26899" s="1" t="str">
        <f>HYPERLINK("https://rhld.insurance.arkansas.gov/NPILookup?Npi=1922096585","1922096585")</f>
        <v>1922096585</v>
      </c>
      <c r="E26899" t="s">
        <v>7602</v>
      </c>
    </row>
    <row r="26900" spans="1:5" x14ac:dyDescent="0.25">
      <c r="A26900" t="s">
        <v>12</v>
      </c>
      <c r="B26900" t="s">
        <v>7506</v>
      </c>
      <c r="C26900" s="1" t="s">
        <v>23490</v>
      </c>
      <c r="D26900" s="1" t="str">
        <f>HYPERLINK("https://rhld.insurance.arkansas.gov/NPILookup?Npi=1922353754","1922353754")</f>
        <v>1922353754</v>
      </c>
      <c r="E26900" t="s">
        <v>7603</v>
      </c>
    </row>
    <row r="26901" spans="1:5" x14ac:dyDescent="0.25">
      <c r="A26901" t="s">
        <v>12</v>
      </c>
      <c r="B26901" t="s">
        <v>7506</v>
      </c>
      <c r="C26901" s="1" t="s">
        <v>23490</v>
      </c>
      <c r="D26901" s="1" t="str">
        <f>HYPERLINK("https://rhld.insurance.arkansas.gov/NPILookup?Npi=1932204344","1932204344")</f>
        <v>1932204344</v>
      </c>
      <c r="E26901" t="s">
        <v>7549</v>
      </c>
    </row>
    <row r="26902" spans="1:5" x14ac:dyDescent="0.25">
      <c r="A26902" t="s">
        <v>12</v>
      </c>
      <c r="B26902" t="s">
        <v>7506</v>
      </c>
      <c r="C26902" s="1" t="s">
        <v>23490</v>
      </c>
      <c r="D26902" s="1" t="str">
        <f>HYPERLINK("https://rhld.insurance.arkansas.gov/NPILookup?Npi=1932314879","1932314879")</f>
        <v>1932314879</v>
      </c>
      <c r="E26902" t="s">
        <v>7604</v>
      </c>
    </row>
    <row r="26903" spans="1:5" x14ac:dyDescent="0.25">
      <c r="A26903" t="s">
        <v>12</v>
      </c>
      <c r="B26903" t="s">
        <v>7506</v>
      </c>
      <c r="C26903" s="1" t="s">
        <v>23490</v>
      </c>
      <c r="D26903" s="1" t="str">
        <f>HYPERLINK("https://rhld.insurance.arkansas.gov/NPILookup?Npi=1932391307","1932391307")</f>
        <v>1932391307</v>
      </c>
      <c r="E26903" t="s">
        <v>4084</v>
      </c>
    </row>
    <row r="26904" spans="1:5" x14ac:dyDescent="0.25">
      <c r="A26904" t="s">
        <v>12</v>
      </c>
      <c r="B26904" t="s">
        <v>7506</v>
      </c>
      <c r="C26904" s="1" t="s">
        <v>23490</v>
      </c>
      <c r="D26904" s="1" t="str">
        <f>HYPERLINK("https://rhld.insurance.arkansas.gov/NPILookup?Npi=1932421401","1932421401")</f>
        <v>1932421401</v>
      </c>
      <c r="E26904" t="s">
        <v>7605</v>
      </c>
    </row>
    <row r="26905" spans="1:5" x14ac:dyDescent="0.25">
      <c r="A26905" t="s">
        <v>12</v>
      </c>
      <c r="B26905" t="s">
        <v>7506</v>
      </c>
      <c r="C26905" s="1" t="s">
        <v>23490</v>
      </c>
      <c r="D26905" s="1" t="str">
        <f>HYPERLINK("https://rhld.insurance.arkansas.gov/NPILookup?Npi=1942260609","1942260609")</f>
        <v>1942260609</v>
      </c>
      <c r="E26905" t="s">
        <v>7606</v>
      </c>
    </row>
    <row r="26906" spans="1:5" x14ac:dyDescent="0.25">
      <c r="A26906" t="s">
        <v>12</v>
      </c>
      <c r="B26906" t="s">
        <v>7506</v>
      </c>
      <c r="C26906" s="1" t="s">
        <v>23490</v>
      </c>
      <c r="D26906" s="1" t="str">
        <f>HYPERLINK("https://rhld.insurance.arkansas.gov/NPILookup?Npi=1942601547","1942601547")</f>
        <v>1942601547</v>
      </c>
      <c r="E26906" t="s">
        <v>7528</v>
      </c>
    </row>
    <row r="26907" spans="1:5" x14ac:dyDescent="0.25">
      <c r="A26907" t="s">
        <v>12</v>
      </c>
      <c r="B26907" t="s">
        <v>7506</v>
      </c>
      <c r="C26907" s="1" t="s">
        <v>23490</v>
      </c>
      <c r="D26907" s="1" t="str">
        <f>HYPERLINK("https://rhld.insurance.arkansas.gov/NPILookup?Npi=1952308215","1952308215")</f>
        <v>1952308215</v>
      </c>
      <c r="E26907" t="s">
        <v>4106</v>
      </c>
    </row>
    <row r="26908" spans="1:5" x14ac:dyDescent="0.25">
      <c r="A26908" t="s">
        <v>12</v>
      </c>
      <c r="B26908" t="s">
        <v>7506</v>
      </c>
      <c r="C26908" s="1" t="s">
        <v>23490</v>
      </c>
      <c r="D26908" s="1" t="str">
        <f>HYPERLINK("https://rhld.insurance.arkansas.gov/NPILookup?Npi=1952326977","1952326977")</f>
        <v>1952326977</v>
      </c>
      <c r="E26908" t="s">
        <v>4092</v>
      </c>
    </row>
    <row r="26909" spans="1:5" x14ac:dyDescent="0.25">
      <c r="A26909" t="s">
        <v>12</v>
      </c>
      <c r="B26909" t="s">
        <v>7506</v>
      </c>
      <c r="C26909" s="1" t="s">
        <v>23490</v>
      </c>
      <c r="D26909" s="1" t="str">
        <f>HYPERLINK("https://rhld.insurance.arkansas.gov/NPILookup?Npi=1962410183","1962410183")</f>
        <v>1962410183</v>
      </c>
      <c r="E26909" t="s">
        <v>13256</v>
      </c>
    </row>
    <row r="26910" spans="1:5" x14ac:dyDescent="0.25">
      <c r="A26910" t="s">
        <v>12</v>
      </c>
      <c r="B26910" t="s">
        <v>7506</v>
      </c>
      <c r="C26910" s="1" t="s">
        <v>23490</v>
      </c>
      <c r="D26910" s="1" t="str">
        <f>HYPERLINK("https://rhld.insurance.arkansas.gov/NPILookup?Npi=1962446054","1962446054")</f>
        <v>1962446054</v>
      </c>
      <c r="E26910" t="s">
        <v>4097</v>
      </c>
    </row>
    <row r="26911" spans="1:5" x14ac:dyDescent="0.25">
      <c r="A26911" t="s">
        <v>12</v>
      </c>
      <c r="B26911" t="s">
        <v>7506</v>
      </c>
      <c r="C26911" s="1" t="s">
        <v>23490</v>
      </c>
      <c r="D26911" s="1" t="str">
        <f>HYPERLINK("https://rhld.insurance.arkansas.gov/NPILookup?Npi=1962473306","1962473306")</f>
        <v>1962473306</v>
      </c>
      <c r="E26911" t="s">
        <v>4109</v>
      </c>
    </row>
    <row r="26912" spans="1:5" x14ac:dyDescent="0.25">
      <c r="A26912" t="s">
        <v>12</v>
      </c>
      <c r="B26912" t="s">
        <v>7506</v>
      </c>
      <c r="C26912" s="1" t="s">
        <v>23490</v>
      </c>
      <c r="D26912" s="1" t="str">
        <f>HYPERLINK("https://rhld.insurance.arkansas.gov/NPILookup?Npi=1962626770","1962626770")</f>
        <v>1962626770</v>
      </c>
      <c r="E26912" t="s">
        <v>14372</v>
      </c>
    </row>
    <row r="26913" spans="1:5" x14ac:dyDescent="0.25">
      <c r="A26913" t="s">
        <v>12</v>
      </c>
      <c r="B26913" t="s">
        <v>7506</v>
      </c>
      <c r="C26913" s="1" t="s">
        <v>23490</v>
      </c>
      <c r="D26913" s="1" t="str">
        <f>HYPERLINK("https://rhld.insurance.arkansas.gov/NPILookup?Npi=1962727271","1962727271")</f>
        <v>1962727271</v>
      </c>
      <c r="E26913" t="s">
        <v>4074</v>
      </c>
    </row>
    <row r="26914" spans="1:5" x14ac:dyDescent="0.25">
      <c r="A26914" t="s">
        <v>12</v>
      </c>
      <c r="B26914" t="s">
        <v>7506</v>
      </c>
      <c r="C26914" s="1" t="s">
        <v>23490</v>
      </c>
      <c r="D26914" s="1" t="str">
        <f>HYPERLINK("https://rhld.insurance.arkansas.gov/NPILookup?Npi=1972539567","1972539567")</f>
        <v>1972539567</v>
      </c>
      <c r="E26914" t="s">
        <v>12000</v>
      </c>
    </row>
    <row r="26915" spans="1:5" x14ac:dyDescent="0.25">
      <c r="A26915" t="s">
        <v>12</v>
      </c>
      <c r="B26915" t="s">
        <v>7506</v>
      </c>
      <c r="C26915" s="1" t="s">
        <v>23490</v>
      </c>
      <c r="D26915" s="1" t="str">
        <f>HYPERLINK("https://rhld.insurance.arkansas.gov/NPILookup?Npi=1972586238","1972586238")</f>
        <v>1972586238</v>
      </c>
      <c r="E26915" t="s">
        <v>7607</v>
      </c>
    </row>
    <row r="26916" spans="1:5" x14ac:dyDescent="0.25">
      <c r="A26916" t="s">
        <v>12</v>
      </c>
      <c r="B26916" t="s">
        <v>7506</v>
      </c>
      <c r="C26916" s="1" t="s">
        <v>23490</v>
      </c>
      <c r="D26916" s="1" t="str">
        <f>HYPERLINK("https://rhld.insurance.arkansas.gov/NPILookup?Npi=1972620649","1972620649")</f>
        <v>1972620649</v>
      </c>
      <c r="E26916" t="s">
        <v>4079</v>
      </c>
    </row>
    <row r="26917" spans="1:5" x14ac:dyDescent="0.25">
      <c r="A26917" t="s">
        <v>12</v>
      </c>
      <c r="B26917" t="s">
        <v>7506</v>
      </c>
      <c r="C26917" s="1" t="s">
        <v>23490</v>
      </c>
      <c r="D26917" s="1" t="str">
        <f>HYPERLINK("https://rhld.insurance.arkansas.gov/NPILookup?Npi=1982615589","1982615589")</f>
        <v>1982615589</v>
      </c>
      <c r="E26917" t="s">
        <v>13256</v>
      </c>
    </row>
    <row r="26918" spans="1:5" x14ac:dyDescent="0.25">
      <c r="A26918" t="s">
        <v>12</v>
      </c>
      <c r="B26918" t="s">
        <v>7506</v>
      </c>
      <c r="C26918" s="1" t="s">
        <v>23490</v>
      </c>
      <c r="D26918" s="1" t="str">
        <f>HYPERLINK("https://rhld.insurance.arkansas.gov/NPILookup?Npi=1982695441","1982695441")</f>
        <v>1982695441</v>
      </c>
      <c r="E26918" t="s">
        <v>7608</v>
      </c>
    </row>
    <row r="26919" spans="1:5" x14ac:dyDescent="0.25">
      <c r="A26919" t="s">
        <v>12</v>
      </c>
      <c r="B26919" t="s">
        <v>7506</v>
      </c>
      <c r="C26919" s="1" t="s">
        <v>23490</v>
      </c>
      <c r="D26919" s="1" t="str">
        <f>HYPERLINK("https://rhld.insurance.arkansas.gov/NPILookup?Npi=1982961439","1982961439")</f>
        <v>1982961439</v>
      </c>
      <c r="E26919" t="s">
        <v>4110</v>
      </c>
    </row>
    <row r="26920" spans="1:5" x14ac:dyDescent="0.25">
      <c r="A26920" t="s">
        <v>12</v>
      </c>
      <c r="B26920" t="s">
        <v>7506</v>
      </c>
      <c r="C26920" s="1" t="s">
        <v>23490</v>
      </c>
      <c r="D26920" s="1" t="str">
        <f>HYPERLINK("https://rhld.insurance.arkansas.gov/NPILookup?Npi=1992133714","1992133714")</f>
        <v>1992133714</v>
      </c>
      <c r="E26920" t="s">
        <v>6356</v>
      </c>
    </row>
    <row r="26921" spans="1:5" x14ac:dyDescent="0.25">
      <c r="A26921" t="s">
        <v>12</v>
      </c>
      <c r="B26921" t="s">
        <v>7506</v>
      </c>
      <c r="C26921" s="1" t="s">
        <v>23490</v>
      </c>
      <c r="D26921" s="1" t="str">
        <f>HYPERLINK("https://rhld.insurance.arkansas.gov/NPILookup?Npi=1992742209","1992742209")</f>
        <v>1992742209</v>
      </c>
      <c r="E26921" t="s">
        <v>12117</v>
      </c>
    </row>
    <row r="26922" spans="1:5" x14ac:dyDescent="0.25">
      <c r="A26922" t="s">
        <v>12</v>
      </c>
      <c r="B26922" t="s">
        <v>7506</v>
      </c>
      <c r="C26922" s="1" t="s">
        <v>23490</v>
      </c>
      <c r="D26922" s="1" t="str">
        <f>HYPERLINK("https://rhld.insurance.arkansas.gov/NPILookup?Npi=1992760342","1992760342")</f>
        <v>1992760342</v>
      </c>
      <c r="E26922" t="s">
        <v>6522</v>
      </c>
    </row>
    <row r="26923" spans="1:5" x14ac:dyDescent="0.25">
      <c r="A26923" t="s">
        <v>13</v>
      </c>
      <c r="B26923" t="s">
        <v>7609</v>
      </c>
      <c r="C26923" s="1" t="s">
        <v>23490</v>
      </c>
      <c r="D26923" s="1" t="str">
        <f>HYPERLINK("https://rhld.insurance.arkansas.gov/NPILookup?Npi=1003898313","1003898313")</f>
        <v>1003898313</v>
      </c>
      <c r="E26923" t="s">
        <v>7507</v>
      </c>
    </row>
    <row r="26924" spans="1:5" x14ac:dyDescent="0.25">
      <c r="A26924" t="s">
        <v>13</v>
      </c>
      <c r="B26924" t="s">
        <v>7609</v>
      </c>
      <c r="C26924" s="1" t="s">
        <v>23490</v>
      </c>
      <c r="D26924" s="1" t="str">
        <f>HYPERLINK("https://rhld.insurance.arkansas.gov/NPILookup?Npi=1013088848","1013088848")</f>
        <v>1013088848</v>
      </c>
      <c r="E26924" t="s">
        <v>7508</v>
      </c>
    </row>
    <row r="26925" spans="1:5" x14ac:dyDescent="0.25">
      <c r="A26925" t="s">
        <v>13</v>
      </c>
      <c r="B26925" t="s">
        <v>7609</v>
      </c>
      <c r="C26925" s="1" t="s">
        <v>23490</v>
      </c>
      <c r="D26925" s="1" t="str">
        <f>HYPERLINK("https://rhld.insurance.arkansas.gov/NPILookup?Npi=1013119635","1013119635")</f>
        <v>1013119635</v>
      </c>
      <c r="E26925" t="s">
        <v>7509</v>
      </c>
    </row>
    <row r="26926" spans="1:5" x14ac:dyDescent="0.25">
      <c r="A26926" t="s">
        <v>13</v>
      </c>
      <c r="B26926" t="s">
        <v>7609</v>
      </c>
      <c r="C26926" s="1" t="s">
        <v>23490</v>
      </c>
      <c r="D26926" s="1" t="str">
        <f>HYPERLINK("https://rhld.insurance.arkansas.gov/NPILookup?Npi=1013941806","1013941806")</f>
        <v>1013941806</v>
      </c>
      <c r="E26926" t="s">
        <v>9280</v>
      </c>
    </row>
    <row r="26927" spans="1:5" x14ac:dyDescent="0.25">
      <c r="A26927" t="s">
        <v>13</v>
      </c>
      <c r="B26927" t="s">
        <v>7609</v>
      </c>
      <c r="C26927" s="1" t="s">
        <v>23490</v>
      </c>
      <c r="D26927" s="1" t="str">
        <f>HYPERLINK("https://rhld.insurance.arkansas.gov/NPILookup?Npi=1023018835","1023018835")</f>
        <v>1023018835</v>
      </c>
      <c r="E26927" t="s">
        <v>12115</v>
      </c>
    </row>
    <row r="26928" spans="1:5" x14ac:dyDescent="0.25">
      <c r="A26928" t="s">
        <v>13</v>
      </c>
      <c r="B26928" t="s">
        <v>7609</v>
      </c>
      <c r="C26928" s="1" t="s">
        <v>23490</v>
      </c>
      <c r="D26928" s="1" t="str">
        <f>HYPERLINK("https://rhld.insurance.arkansas.gov/NPILookup?Npi=1023053477","1023053477")</f>
        <v>1023053477</v>
      </c>
      <c r="E26928" t="s">
        <v>7510</v>
      </c>
    </row>
    <row r="26929" spans="1:5" x14ac:dyDescent="0.25">
      <c r="A26929" t="s">
        <v>13</v>
      </c>
      <c r="B26929" t="s">
        <v>7609</v>
      </c>
      <c r="C26929" s="1" t="s">
        <v>23490</v>
      </c>
      <c r="D26929" s="1" t="str">
        <f>HYPERLINK("https://rhld.insurance.arkansas.gov/NPILookup?Npi=1023160314","1023160314")</f>
        <v>1023160314</v>
      </c>
      <c r="E26929" t="s">
        <v>9208</v>
      </c>
    </row>
    <row r="26930" spans="1:5" x14ac:dyDescent="0.25">
      <c r="A26930" t="s">
        <v>13</v>
      </c>
      <c r="B26930" t="s">
        <v>7609</v>
      </c>
      <c r="C26930" s="1" t="s">
        <v>23490</v>
      </c>
      <c r="D26930" s="1" t="str">
        <f>HYPERLINK("https://rhld.insurance.arkansas.gov/NPILookup?Npi=1023363348","1023363348")</f>
        <v>1023363348</v>
      </c>
      <c r="E26930" t="s">
        <v>7512</v>
      </c>
    </row>
    <row r="26931" spans="1:5" x14ac:dyDescent="0.25">
      <c r="A26931" t="s">
        <v>13</v>
      </c>
      <c r="B26931" t="s">
        <v>7609</v>
      </c>
      <c r="C26931" s="1" t="s">
        <v>23490</v>
      </c>
      <c r="D26931" s="1" t="str">
        <f>HYPERLINK("https://rhld.insurance.arkansas.gov/NPILookup?Npi=1033112230","1033112230")</f>
        <v>1033112230</v>
      </c>
      <c r="E26931" t="s">
        <v>7513</v>
      </c>
    </row>
    <row r="26932" spans="1:5" x14ac:dyDescent="0.25">
      <c r="A26932" t="s">
        <v>13</v>
      </c>
      <c r="B26932" t="s">
        <v>7609</v>
      </c>
      <c r="C26932" s="1" t="s">
        <v>23490</v>
      </c>
      <c r="D26932" s="1" t="str">
        <f>HYPERLINK("https://rhld.insurance.arkansas.gov/NPILookup?Npi=1033124839","1033124839")</f>
        <v>1033124839</v>
      </c>
      <c r="E26932" t="s">
        <v>7514</v>
      </c>
    </row>
    <row r="26933" spans="1:5" x14ac:dyDescent="0.25">
      <c r="A26933" t="s">
        <v>13</v>
      </c>
      <c r="B26933" t="s">
        <v>7609</v>
      </c>
      <c r="C26933" s="1" t="s">
        <v>23490</v>
      </c>
      <c r="D26933" s="1" t="str">
        <f>HYPERLINK("https://rhld.insurance.arkansas.gov/NPILookup?Npi=1033147921","1033147921")</f>
        <v>1033147921</v>
      </c>
      <c r="E26933" t="s">
        <v>9281</v>
      </c>
    </row>
    <row r="26934" spans="1:5" x14ac:dyDescent="0.25">
      <c r="A26934" t="s">
        <v>13</v>
      </c>
      <c r="B26934" t="s">
        <v>7609</v>
      </c>
      <c r="C26934" s="1" t="s">
        <v>23490</v>
      </c>
      <c r="D26934" s="1" t="str">
        <f>HYPERLINK("https://rhld.insurance.arkansas.gov/NPILookup?Npi=1033160049","1033160049")</f>
        <v>1033160049</v>
      </c>
      <c r="E26934" t="s">
        <v>6424</v>
      </c>
    </row>
    <row r="26935" spans="1:5" x14ac:dyDescent="0.25">
      <c r="A26935" t="s">
        <v>13</v>
      </c>
      <c r="B26935" t="s">
        <v>7609</v>
      </c>
      <c r="C26935" s="1" t="s">
        <v>23490</v>
      </c>
      <c r="D26935" s="1" t="str">
        <f>HYPERLINK("https://rhld.insurance.arkansas.gov/NPILookup?Npi=1033207675","1033207675")</f>
        <v>1033207675</v>
      </c>
      <c r="E26935" t="s">
        <v>9286</v>
      </c>
    </row>
    <row r="26936" spans="1:5" x14ac:dyDescent="0.25">
      <c r="A26936" t="s">
        <v>13</v>
      </c>
      <c r="B26936" t="s">
        <v>7609</v>
      </c>
      <c r="C26936" s="1" t="s">
        <v>23490</v>
      </c>
      <c r="D26936" s="1" t="str">
        <f>HYPERLINK("https://rhld.insurance.arkansas.gov/NPILookup?Npi=1043240682","1043240682")</f>
        <v>1043240682</v>
      </c>
      <c r="E26936" t="s">
        <v>4080</v>
      </c>
    </row>
    <row r="26937" spans="1:5" x14ac:dyDescent="0.25">
      <c r="A26937" t="s">
        <v>13</v>
      </c>
      <c r="B26937" t="s">
        <v>7609</v>
      </c>
      <c r="C26937" s="1" t="s">
        <v>23490</v>
      </c>
      <c r="D26937" s="1" t="str">
        <f>HYPERLINK("https://rhld.insurance.arkansas.gov/NPILookup?Npi=1043282338","1043282338")</f>
        <v>1043282338</v>
      </c>
      <c r="E26937" t="s">
        <v>14383</v>
      </c>
    </row>
    <row r="26938" spans="1:5" x14ac:dyDescent="0.25">
      <c r="A26938" t="s">
        <v>13</v>
      </c>
      <c r="B26938" t="s">
        <v>7609</v>
      </c>
      <c r="C26938" s="1" t="s">
        <v>23490</v>
      </c>
      <c r="D26938" s="1" t="str">
        <f>HYPERLINK("https://rhld.insurance.arkansas.gov/NPILookup?Npi=1043336522","1043336522")</f>
        <v>1043336522</v>
      </c>
      <c r="E26938" t="s">
        <v>12116</v>
      </c>
    </row>
    <row r="26939" spans="1:5" x14ac:dyDescent="0.25">
      <c r="A26939" t="s">
        <v>13</v>
      </c>
      <c r="B26939" t="s">
        <v>7609</v>
      </c>
      <c r="C26939" s="1" t="s">
        <v>23490</v>
      </c>
      <c r="D26939" s="1" t="str">
        <f>HYPERLINK("https://rhld.insurance.arkansas.gov/NPILookup?Npi=1063571107","1063571107")</f>
        <v>1063571107</v>
      </c>
      <c r="E26939" t="s">
        <v>7567</v>
      </c>
    </row>
    <row r="26940" spans="1:5" x14ac:dyDescent="0.25">
      <c r="A26940" t="s">
        <v>13</v>
      </c>
      <c r="B26940" t="s">
        <v>7609</v>
      </c>
      <c r="C26940" s="1" t="s">
        <v>23490</v>
      </c>
      <c r="D26940" s="1" t="str">
        <f>HYPERLINK("https://rhld.insurance.arkansas.gov/NPILookup?Npi=1063695120","1063695120")</f>
        <v>1063695120</v>
      </c>
      <c r="E26940" t="s">
        <v>4108</v>
      </c>
    </row>
    <row r="26941" spans="1:5" x14ac:dyDescent="0.25">
      <c r="A26941" t="s">
        <v>13</v>
      </c>
      <c r="B26941" t="s">
        <v>7609</v>
      </c>
      <c r="C26941" s="1" t="s">
        <v>23490</v>
      </c>
      <c r="D26941" s="1" t="str">
        <f>HYPERLINK("https://rhld.insurance.arkansas.gov/NPILookup?Npi=1073516019","1073516019")</f>
        <v>1073516019</v>
      </c>
      <c r="E26941" t="s">
        <v>7515</v>
      </c>
    </row>
    <row r="26942" spans="1:5" x14ac:dyDescent="0.25">
      <c r="A26942" t="s">
        <v>13</v>
      </c>
      <c r="B26942" t="s">
        <v>7609</v>
      </c>
      <c r="C26942" s="1" t="s">
        <v>23490</v>
      </c>
      <c r="D26942" s="1" t="str">
        <f>HYPERLINK("https://rhld.insurance.arkansas.gov/NPILookup?Npi=1073518593","1073518593")</f>
        <v>1073518593</v>
      </c>
      <c r="E26942" t="s">
        <v>4071</v>
      </c>
    </row>
    <row r="26943" spans="1:5" x14ac:dyDescent="0.25">
      <c r="A26943" t="s">
        <v>13</v>
      </c>
      <c r="B26943" t="s">
        <v>7609</v>
      </c>
      <c r="C26943" s="1" t="s">
        <v>23490</v>
      </c>
      <c r="D26943" s="1" t="str">
        <f>HYPERLINK("https://rhld.insurance.arkansas.gov/NPILookup?Npi=1073600136","1073600136")</f>
        <v>1073600136</v>
      </c>
      <c r="E26943" t="s">
        <v>9211</v>
      </c>
    </row>
    <row r="26944" spans="1:5" x14ac:dyDescent="0.25">
      <c r="A26944" t="s">
        <v>13</v>
      </c>
      <c r="B26944" t="s">
        <v>7609</v>
      </c>
      <c r="C26944" s="1" t="s">
        <v>23490</v>
      </c>
      <c r="D26944" s="1" t="str">
        <f>HYPERLINK("https://rhld.insurance.arkansas.gov/NPILookup?Npi=1083609150","1083609150")</f>
        <v>1083609150</v>
      </c>
      <c r="E26944" t="s">
        <v>7517</v>
      </c>
    </row>
    <row r="26945" spans="1:5" x14ac:dyDescent="0.25">
      <c r="A26945" t="s">
        <v>13</v>
      </c>
      <c r="B26945" t="s">
        <v>7609</v>
      </c>
      <c r="C26945" s="1" t="s">
        <v>23490</v>
      </c>
      <c r="D26945" s="1" t="str">
        <f>HYPERLINK("https://rhld.insurance.arkansas.gov/NPILookup?Npi=1104178250","1104178250")</f>
        <v>1104178250</v>
      </c>
      <c r="E26945" t="s">
        <v>9282</v>
      </c>
    </row>
    <row r="26946" spans="1:5" x14ac:dyDescent="0.25">
      <c r="A26946" t="s">
        <v>13</v>
      </c>
      <c r="B26946" t="s">
        <v>7609</v>
      </c>
      <c r="C26946" s="1" t="s">
        <v>23490</v>
      </c>
      <c r="D26946" s="1" t="str">
        <f>HYPERLINK("https://rhld.insurance.arkansas.gov/NPILookup?Npi=1114903523","1114903523")</f>
        <v>1114903523</v>
      </c>
      <c r="E26946" t="s">
        <v>7518</v>
      </c>
    </row>
    <row r="26947" spans="1:5" x14ac:dyDescent="0.25">
      <c r="A26947" t="s">
        <v>13</v>
      </c>
      <c r="B26947" t="s">
        <v>7609</v>
      </c>
      <c r="C26947" s="1" t="s">
        <v>23490</v>
      </c>
      <c r="D26947" s="1" t="str">
        <f>HYPERLINK("https://rhld.insurance.arkansas.gov/NPILookup?Npi=1114937174","1114937174")</f>
        <v>1114937174</v>
      </c>
      <c r="E26947" t="s">
        <v>13256</v>
      </c>
    </row>
    <row r="26948" spans="1:5" x14ac:dyDescent="0.25">
      <c r="A26948" t="s">
        <v>13</v>
      </c>
      <c r="B26948" t="s">
        <v>7609</v>
      </c>
      <c r="C26948" s="1" t="s">
        <v>23490</v>
      </c>
      <c r="D26948" s="1" t="str">
        <f>HYPERLINK("https://rhld.insurance.arkansas.gov/NPILookup?Npi=1124021811","1124021811")</f>
        <v>1124021811</v>
      </c>
      <c r="E26948" t="s">
        <v>7519</v>
      </c>
    </row>
    <row r="26949" spans="1:5" x14ac:dyDescent="0.25">
      <c r="A26949" t="s">
        <v>13</v>
      </c>
      <c r="B26949" t="s">
        <v>7609</v>
      </c>
      <c r="C26949" s="1" t="s">
        <v>23490</v>
      </c>
      <c r="D26949" s="1" t="str">
        <f>HYPERLINK("https://rhld.insurance.arkansas.gov/NPILookup?Npi=1124170691","1124170691")</f>
        <v>1124170691</v>
      </c>
      <c r="E26949" t="s">
        <v>4105</v>
      </c>
    </row>
    <row r="26950" spans="1:5" x14ac:dyDescent="0.25">
      <c r="A26950" t="s">
        <v>13</v>
      </c>
      <c r="B26950" t="s">
        <v>7609</v>
      </c>
      <c r="C26950" s="1" t="s">
        <v>23490</v>
      </c>
      <c r="D26950" s="1" t="str">
        <f>HYPERLINK("https://rhld.insurance.arkansas.gov/NPILookup?Npi=1134116049","1134116049")</f>
        <v>1134116049</v>
      </c>
      <c r="E26950" t="s">
        <v>4081</v>
      </c>
    </row>
    <row r="26951" spans="1:5" x14ac:dyDescent="0.25">
      <c r="A26951" t="s">
        <v>13</v>
      </c>
      <c r="B26951" t="s">
        <v>7609</v>
      </c>
      <c r="C26951" s="1" t="s">
        <v>23490</v>
      </c>
      <c r="D26951" s="1" t="str">
        <f>HYPERLINK("https://rhld.insurance.arkansas.gov/NPILookup?Npi=1144213117","1144213117")</f>
        <v>1144213117</v>
      </c>
      <c r="E26951" t="s">
        <v>10194</v>
      </c>
    </row>
    <row r="26952" spans="1:5" x14ac:dyDescent="0.25">
      <c r="A26952" t="s">
        <v>13</v>
      </c>
      <c r="B26952" t="s">
        <v>7609</v>
      </c>
      <c r="C26952" s="1" t="s">
        <v>23490</v>
      </c>
      <c r="D26952" s="1" t="str">
        <f>HYPERLINK("https://rhld.insurance.arkansas.gov/NPILookup?Npi=1144590522","1144590522")</f>
        <v>1144590522</v>
      </c>
      <c r="E26952" t="s">
        <v>7520</v>
      </c>
    </row>
    <row r="26953" spans="1:5" x14ac:dyDescent="0.25">
      <c r="A26953" t="s">
        <v>13</v>
      </c>
      <c r="B26953" t="s">
        <v>7609</v>
      </c>
      <c r="C26953" s="1" t="s">
        <v>23490</v>
      </c>
      <c r="D26953" s="1" t="str">
        <f>HYPERLINK("https://rhld.insurance.arkansas.gov/NPILookup?Npi=1154392090","1154392090")</f>
        <v>1154392090</v>
      </c>
      <c r="E26953" t="s">
        <v>14395</v>
      </c>
    </row>
    <row r="26954" spans="1:5" x14ac:dyDescent="0.25">
      <c r="A26954" t="s">
        <v>13</v>
      </c>
      <c r="B26954" t="s">
        <v>7609</v>
      </c>
      <c r="C26954" s="1" t="s">
        <v>23490</v>
      </c>
      <c r="D26954" s="1" t="str">
        <f>HYPERLINK("https://rhld.insurance.arkansas.gov/NPILookup?Npi=1154807584","1154807584")</f>
        <v>1154807584</v>
      </c>
      <c r="E26954" t="s">
        <v>13887</v>
      </c>
    </row>
    <row r="26955" spans="1:5" x14ac:dyDescent="0.25">
      <c r="A26955" t="s">
        <v>13</v>
      </c>
      <c r="B26955" t="s">
        <v>7609</v>
      </c>
      <c r="C26955" s="1" t="s">
        <v>23490</v>
      </c>
      <c r="D26955" s="1" t="str">
        <f>HYPERLINK("https://rhld.insurance.arkansas.gov/NPILookup?Npi=1174523948","1174523948")</f>
        <v>1174523948</v>
      </c>
      <c r="E26955" t="s">
        <v>7521</v>
      </c>
    </row>
    <row r="26956" spans="1:5" x14ac:dyDescent="0.25">
      <c r="A26956" t="s">
        <v>13</v>
      </c>
      <c r="B26956" t="s">
        <v>7609</v>
      </c>
      <c r="C26956" s="1" t="s">
        <v>23490</v>
      </c>
      <c r="D26956" s="1" t="str">
        <f>HYPERLINK("https://rhld.insurance.arkansas.gov/NPILookup?Npi=1174553796","1174553796")</f>
        <v>1174553796</v>
      </c>
      <c r="E26956" t="s">
        <v>4080</v>
      </c>
    </row>
    <row r="26957" spans="1:5" x14ac:dyDescent="0.25">
      <c r="A26957" t="s">
        <v>13</v>
      </c>
      <c r="B26957" t="s">
        <v>7609</v>
      </c>
      <c r="C26957" s="1" t="s">
        <v>23490</v>
      </c>
      <c r="D26957" s="1" t="str">
        <f>HYPERLINK("https://rhld.insurance.arkansas.gov/NPILookup?Npi=1184629594","1184629594")</f>
        <v>1184629594</v>
      </c>
      <c r="E26957" t="s">
        <v>20285</v>
      </c>
    </row>
    <row r="26958" spans="1:5" x14ac:dyDescent="0.25">
      <c r="A26958" t="s">
        <v>13</v>
      </c>
      <c r="B26958" t="s">
        <v>7609</v>
      </c>
      <c r="C26958" s="1" t="s">
        <v>23490</v>
      </c>
      <c r="D26958" s="1" t="str">
        <f>HYPERLINK("https://rhld.insurance.arkansas.gov/NPILookup?Npi=1194724658","1194724658")</f>
        <v>1194724658</v>
      </c>
      <c r="E26958" t="s">
        <v>14372</v>
      </c>
    </row>
    <row r="26959" spans="1:5" x14ac:dyDescent="0.25">
      <c r="A26959" t="s">
        <v>13</v>
      </c>
      <c r="B26959" t="s">
        <v>7609</v>
      </c>
      <c r="C26959" s="1" t="s">
        <v>23490</v>
      </c>
      <c r="D26959" s="1" t="str">
        <f>HYPERLINK("https://rhld.insurance.arkansas.gov/NPILookup?Npi=1194741611","1194741611")</f>
        <v>1194741611</v>
      </c>
      <c r="E26959" t="s">
        <v>4079</v>
      </c>
    </row>
    <row r="26960" spans="1:5" x14ac:dyDescent="0.25">
      <c r="A26960" t="s">
        <v>13</v>
      </c>
      <c r="B26960" t="s">
        <v>7609</v>
      </c>
      <c r="C26960" s="1" t="s">
        <v>23490</v>
      </c>
      <c r="D26960" s="1" t="str">
        <f>HYPERLINK("https://rhld.insurance.arkansas.gov/NPILookup?Npi=1194757500","1194757500")</f>
        <v>1194757500</v>
      </c>
      <c r="E26960" t="s">
        <v>7523</v>
      </c>
    </row>
    <row r="26961" spans="1:5" x14ac:dyDescent="0.25">
      <c r="A26961" t="s">
        <v>13</v>
      </c>
      <c r="B26961" t="s">
        <v>7609</v>
      </c>
      <c r="C26961" s="1" t="s">
        <v>23490</v>
      </c>
      <c r="D26961" s="1" t="str">
        <f>HYPERLINK("https://rhld.insurance.arkansas.gov/NPILookup?Npi=1194776757","1194776757")</f>
        <v>1194776757</v>
      </c>
      <c r="E26961" t="s">
        <v>3820</v>
      </c>
    </row>
    <row r="26962" spans="1:5" x14ac:dyDescent="0.25">
      <c r="A26962" t="s">
        <v>13</v>
      </c>
      <c r="B26962" t="s">
        <v>7609</v>
      </c>
      <c r="C26962" s="1" t="s">
        <v>23490</v>
      </c>
      <c r="D26962" s="1" t="str">
        <f>HYPERLINK("https://rhld.insurance.arkansas.gov/NPILookup?Npi=1194779520","1194779520")</f>
        <v>1194779520</v>
      </c>
      <c r="E26962" t="s">
        <v>12117</v>
      </c>
    </row>
    <row r="26963" spans="1:5" x14ac:dyDescent="0.25">
      <c r="A26963" t="s">
        <v>13</v>
      </c>
      <c r="B26963" t="s">
        <v>7609</v>
      </c>
      <c r="C26963" s="1" t="s">
        <v>23490</v>
      </c>
      <c r="D26963" s="1" t="str">
        <f>HYPERLINK("https://rhld.insurance.arkansas.gov/NPILookup?Npi=1194789818","1194789818")</f>
        <v>1194789818</v>
      </c>
      <c r="E26963" t="s">
        <v>7524</v>
      </c>
    </row>
    <row r="26964" spans="1:5" x14ac:dyDescent="0.25">
      <c r="A26964" t="s">
        <v>13</v>
      </c>
      <c r="B26964" t="s">
        <v>7609</v>
      </c>
      <c r="C26964" s="1" t="s">
        <v>23490</v>
      </c>
      <c r="D26964" s="1" t="str">
        <f>HYPERLINK("https://rhld.insurance.arkansas.gov/NPILookup?Npi=1205834900","1205834900")</f>
        <v>1205834900</v>
      </c>
      <c r="E26964" t="s">
        <v>7525</v>
      </c>
    </row>
    <row r="26965" spans="1:5" x14ac:dyDescent="0.25">
      <c r="A26965" t="s">
        <v>13</v>
      </c>
      <c r="B26965" t="s">
        <v>7609</v>
      </c>
      <c r="C26965" s="1" t="s">
        <v>23490</v>
      </c>
      <c r="D26965" s="1" t="str">
        <f>HYPERLINK("https://rhld.insurance.arkansas.gov/NPILookup?Npi=1205883980","1205883980")</f>
        <v>1205883980</v>
      </c>
      <c r="E26965" t="s">
        <v>4072</v>
      </c>
    </row>
    <row r="26966" spans="1:5" x14ac:dyDescent="0.25">
      <c r="A26966" t="s">
        <v>13</v>
      </c>
      <c r="B26966" t="s">
        <v>7609</v>
      </c>
      <c r="C26966" s="1" t="s">
        <v>23490</v>
      </c>
      <c r="D26966" s="1" t="str">
        <f>HYPERLINK("https://rhld.insurance.arkansas.gov/NPILookup?Npi=1225025646","1225025646")</f>
        <v>1225025646</v>
      </c>
      <c r="E26966" t="s">
        <v>7527</v>
      </c>
    </row>
    <row r="26967" spans="1:5" x14ac:dyDescent="0.25">
      <c r="A26967" t="s">
        <v>13</v>
      </c>
      <c r="B26967" t="s">
        <v>7609</v>
      </c>
      <c r="C26967" s="1" t="s">
        <v>23490</v>
      </c>
      <c r="D26967" s="1" t="str">
        <f>HYPERLINK("https://rhld.insurance.arkansas.gov/NPILookup?Npi=1225139637","1225139637")</f>
        <v>1225139637</v>
      </c>
      <c r="E26967" t="s">
        <v>9284</v>
      </c>
    </row>
    <row r="26968" spans="1:5" x14ac:dyDescent="0.25">
      <c r="A26968" t="s">
        <v>13</v>
      </c>
      <c r="B26968" t="s">
        <v>7609</v>
      </c>
      <c r="C26968" s="1" t="s">
        <v>23490</v>
      </c>
      <c r="D26968" s="1" t="str">
        <f>HYPERLINK("https://rhld.insurance.arkansas.gov/NPILookup?Npi=1225439821","1225439821")</f>
        <v>1225439821</v>
      </c>
      <c r="E26968" t="s">
        <v>7528</v>
      </c>
    </row>
    <row r="26969" spans="1:5" x14ac:dyDescent="0.25">
      <c r="A26969" t="s">
        <v>13</v>
      </c>
      <c r="B26969" t="s">
        <v>7609</v>
      </c>
      <c r="C26969" s="1" t="s">
        <v>23490</v>
      </c>
      <c r="D26969" s="1" t="str">
        <f>HYPERLINK("https://rhld.insurance.arkansas.gov/NPILookup?Npi=1235111071","1235111071")</f>
        <v>1235111071</v>
      </c>
      <c r="E26969" t="s">
        <v>11500</v>
      </c>
    </row>
    <row r="26970" spans="1:5" x14ac:dyDescent="0.25">
      <c r="A26970" t="s">
        <v>13</v>
      </c>
      <c r="B26970" t="s">
        <v>7609</v>
      </c>
      <c r="C26970" s="1" t="s">
        <v>23490</v>
      </c>
      <c r="D26970" s="1" t="str">
        <f>HYPERLINK("https://rhld.insurance.arkansas.gov/NPILookup?Npi=1235344409","1235344409")</f>
        <v>1235344409</v>
      </c>
      <c r="E26970" t="s">
        <v>4101</v>
      </c>
    </row>
    <row r="26971" spans="1:5" x14ac:dyDescent="0.25">
      <c r="A26971" t="s">
        <v>13</v>
      </c>
      <c r="B26971" t="s">
        <v>7609</v>
      </c>
      <c r="C26971" s="1" t="s">
        <v>23490</v>
      </c>
      <c r="D26971" s="1" t="str">
        <f>HYPERLINK("https://rhld.insurance.arkansas.gov/NPILookup?Npi=1235357534","1235357534")</f>
        <v>1235357534</v>
      </c>
      <c r="E26971" t="s">
        <v>6399</v>
      </c>
    </row>
    <row r="26972" spans="1:5" x14ac:dyDescent="0.25">
      <c r="A26972" t="s">
        <v>13</v>
      </c>
      <c r="B26972" t="s">
        <v>7609</v>
      </c>
      <c r="C26972" s="1" t="s">
        <v>23490</v>
      </c>
      <c r="D26972" s="1" t="str">
        <f>HYPERLINK("https://rhld.insurance.arkansas.gov/NPILookup?Npi=1235453192","1235453192")</f>
        <v>1235453192</v>
      </c>
      <c r="E26972" t="s">
        <v>6484</v>
      </c>
    </row>
    <row r="26973" spans="1:5" x14ac:dyDescent="0.25">
      <c r="A26973" t="s">
        <v>13</v>
      </c>
      <c r="B26973" t="s">
        <v>7609</v>
      </c>
      <c r="C26973" s="1" t="s">
        <v>23490</v>
      </c>
      <c r="D26973" s="1" t="str">
        <f>HYPERLINK("https://rhld.insurance.arkansas.gov/NPILookup?Npi=1245284769","1245284769")</f>
        <v>1245284769</v>
      </c>
      <c r="E26973" t="s">
        <v>4094</v>
      </c>
    </row>
    <row r="26974" spans="1:5" x14ac:dyDescent="0.25">
      <c r="A26974" t="s">
        <v>13</v>
      </c>
      <c r="B26974" t="s">
        <v>7609</v>
      </c>
      <c r="C26974" s="1" t="s">
        <v>23490</v>
      </c>
      <c r="D26974" s="1" t="str">
        <f>HYPERLINK("https://rhld.insurance.arkansas.gov/NPILookup?Npi=1255444139","1255444139")</f>
        <v>1255444139</v>
      </c>
      <c r="E26974" t="s">
        <v>7531</v>
      </c>
    </row>
    <row r="26975" spans="1:5" x14ac:dyDescent="0.25">
      <c r="A26975" t="s">
        <v>13</v>
      </c>
      <c r="B26975" t="s">
        <v>7609</v>
      </c>
      <c r="C26975" s="1" t="s">
        <v>23490</v>
      </c>
      <c r="D26975" s="1" t="str">
        <f>HYPERLINK("https://rhld.insurance.arkansas.gov/NPILookup?Npi=1255533444","1255533444")</f>
        <v>1255533444</v>
      </c>
      <c r="E26975" t="s">
        <v>22898</v>
      </c>
    </row>
    <row r="26976" spans="1:5" x14ac:dyDescent="0.25">
      <c r="A26976" t="s">
        <v>13</v>
      </c>
      <c r="B26976" t="s">
        <v>7609</v>
      </c>
      <c r="C26976" s="1" t="s">
        <v>23490</v>
      </c>
      <c r="D26976" s="1" t="str">
        <f>HYPERLINK("https://rhld.insurance.arkansas.gov/NPILookup?Npi=1255542700","1255542700")</f>
        <v>1255542700</v>
      </c>
      <c r="E26976" t="s">
        <v>7533</v>
      </c>
    </row>
    <row r="26977" spans="1:5" x14ac:dyDescent="0.25">
      <c r="A26977" t="s">
        <v>13</v>
      </c>
      <c r="B26977" t="s">
        <v>7609</v>
      </c>
      <c r="C26977" s="1" t="s">
        <v>23490</v>
      </c>
      <c r="D26977" s="1" t="str">
        <f>HYPERLINK("https://rhld.insurance.arkansas.gov/NPILookup?Npi=1255875746","1255875746")</f>
        <v>1255875746</v>
      </c>
      <c r="E26977" t="s">
        <v>13281</v>
      </c>
    </row>
    <row r="26978" spans="1:5" x14ac:dyDescent="0.25">
      <c r="A26978" t="s">
        <v>13</v>
      </c>
      <c r="B26978" t="s">
        <v>7609</v>
      </c>
      <c r="C26978" s="1" t="s">
        <v>23490</v>
      </c>
      <c r="D26978" s="1" t="str">
        <f>HYPERLINK("https://rhld.insurance.arkansas.gov/NPILookup?Npi=1265407001","1265407001")</f>
        <v>1265407001</v>
      </c>
      <c r="E26978" t="s">
        <v>6487</v>
      </c>
    </row>
    <row r="26979" spans="1:5" x14ac:dyDescent="0.25">
      <c r="A26979" t="s">
        <v>13</v>
      </c>
      <c r="B26979" t="s">
        <v>7609</v>
      </c>
      <c r="C26979" s="1" t="s">
        <v>23490</v>
      </c>
      <c r="D26979" s="1" t="str">
        <f>HYPERLINK("https://rhld.insurance.arkansas.gov/NPILookup?Npi=1265430508","1265430508")</f>
        <v>1265430508</v>
      </c>
      <c r="E26979" t="s">
        <v>7535</v>
      </c>
    </row>
    <row r="26980" spans="1:5" x14ac:dyDescent="0.25">
      <c r="A26980" t="s">
        <v>13</v>
      </c>
      <c r="B26980" t="s">
        <v>7609</v>
      </c>
      <c r="C26980" s="1" t="s">
        <v>23490</v>
      </c>
      <c r="D26980" s="1" t="str">
        <f>HYPERLINK("https://rhld.insurance.arkansas.gov/NPILookup?Npi=1275504128","1275504128")</f>
        <v>1275504128</v>
      </c>
      <c r="E26980" t="s">
        <v>6461</v>
      </c>
    </row>
    <row r="26981" spans="1:5" x14ac:dyDescent="0.25">
      <c r="A26981" t="s">
        <v>13</v>
      </c>
      <c r="B26981" t="s">
        <v>7609</v>
      </c>
      <c r="C26981" s="1" t="s">
        <v>23490</v>
      </c>
      <c r="D26981" s="1" t="str">
        <f>HYPERLINK("https://rhld.insurance.arkansas.gov/NPILookup?Npi=1275506115","1275506115")</f>
        <v>1275506115</v>
      </c>
      <c r="E26981" t="s">
        <v>7536</v>
      </c>
    </row>
    <row r="26982" spans="1:5" x14ac:dyDescent="0.25">
      <c r="A26982" t="s">
        <v>13</v>
      </c>
      <c r="B26982" t="s">
        <v>7609</v>
      </c>
      <c r="C26982" s="1" t="s">
        <v>23490</v>
      </c>
      <c r="D26982" s="1" t="str">
        <f>HYPERLINK("https://rhld.insurance.arkansas.gov/NPILookup?Npi=1275523912","1275523912")</f>
        <v>1275523912</v>
      </c>
      <c r="E26982" t="s">
        <v>7537</v>
      </c>
    </row>
    <row r="26983" spans="1:5" x14ac:dyDescent="0.25">
      <c r="A26983" t="s">
        <v>13</v>
      </c>
      <c r="B26983" t="s">
        <v>7609</v>
      </c>
      <c r="C26983" s="1" t="s">
        <v>23490</v>
      </c>
      <c r="D26983" s="1" t="str">
        <f>HYPERLINK("https://rhld.insurance.arkansas.gov/NPILookup?Npi=1275685539","1275685539")</f>
        <v>1275685539</v>
      </c>
      <c r="E26983" t="s">
        <v>4105</v>
      </c>
    </row>
    <row r="26984" spans="1:5" x14ac:dyDescent="0.25">
      <c r="A26984" t="s">
        <v>13</v>
      </c>
      <c r="B26984" t="s">
        <v>7609</v>
      </c>
      <c r="C26984" s="1" t="s">
        <v>23490</v>
      </c>
      <c r="D26984" s="1" t="str">
        <f>HYPERLINK("https://rhld.insurance.arkansas.gov/NPILookup?Npi=1285005140","1285005140")</f>
        <v>1285005140</v>
      </c>
      <c r="E26984" t="s">
        <v>9285</v>
      </c>
    </row>
    <row r="26985" spans="1:5" x14ac:dyDescent="0.25">
      <c r="A26985" t="s">
        <v>13</v>
      </c>
      <c r="B26985" t="s">
        <v>7609</v>
      </c>
      <c r="C26985" s="1" t="s">
        <v>23490</v>
      </c>
      <c r="D26985" s="1" t="str">
        <f>HYPERLINK("https://rhld.insurance.arkansas.gov/NPILookup?Npi=1285676932","1285676932")</f>
        <v>1285676932</v>
      </c>
      <c r="E26985" t="s">
        <v>7538</v>
      </c>
    </row>
    <row r="26986" spans="1:5" x14ac:dyDescent="0.25">
      <c r="A26986" t="s">
        <v>13</v>
      </c>
      <c r="B26986" t="s">
        <v>7609</v>
      </c>
      <c r="C26986" s="1" t="s">
        <v>23490</v>
      </c>
      <c r="D26986" s="1" t="str">
        <f>HYPERLINK("https://rhld.insurance.arkansas.gov/NPILookup?Npi=1285722835","1285722835")</f>
        <v>1285722835</v>
      </c>
      <c r="E26986" t="s">
        <v>9286</v>
      </c>
    </row>
    <row r="26987" spans="1:5" x14ac:dyDescent="0.25">
      <c r="A26987" t="s">
        <v>13</v>
      </c>
      <c r="B26987" t="s">
        <v>7609</v>
      </c>
      <c r="C26987" s="1" t="s">
        <v>23490</v>
      </c>
      <c r="D26987" s="1" t="str">
        <f>HYPERLINK("https://rhld.insurance.arkansas.gov/NPILookup?Npi=1285739581","1285739581")</f>
        <v>1285739581</v>
      </c>
      <c r="E26987" t="s">
        <v>7594</v>
      </c>
    </row>
    <row r="26988" spans="1:5" x14ac:dyDescent="0.25">
      <c r="A26988" t="s">
        <v>13</v>
      </c>
      <c r="B26988" t="s">
        <v>7609</v>
      </c>
      <c r="C26988" s="1" t="s">
        <v>23490</v>
      </c>
      <c r="D26988" s="1" t="str">
        <f>HYPERLINK("https://rhld.insurance.arkansas.gov/NPILookup?Npi=1295736734","1295736734")</f>
        <v>1295736734</v>
      </c>
      <c r="E26988" t="s">
        <v>7539</v>
      </c>
    </row>
    <row r="26989" spans="1:5" x14ac:dyDescent="0.25">
      <c r="A26989" t="s">
        <v>13</v>
      </c>
      <c r="B26989" t="s">
        <v>7609</v>
      </c>
      <c r="C26989" s="1" t="s">
        <v>23490</v>
      </c>
      <c r="D26989" s="1" t="str">
        <f>HYPERLINK("https://rhld.insurance.arkansas.gov/NPILookup?Npi=1295767689","1295767689")</f>
        <v>1295767689</v>
      </c>
      <c r="E26989" t="s">
        <v>7540</v>
      </c>
    </row>
    <row r="26990" spans="1:5" x14ac:dyDescent="0.25">
      <c r="A26990" t="s">
        <v>13</v>
      </c>
      <c r="B26990" t="s">
        <v>7609</v>
      </c>
      <c r="C26990" s="1" t="s">
        <v>23490</v>
      </c>
      <c r="D26990" s="1" t="str">
        <f>HYPERLINK("https://rhld.insurance.arkansas.gov/NPILookup?Npi=1295821775","1295821775")</f>
        <v>1295821775</v>
      </c>
      <c r="E26990" t="s">
        <v>7541</v>
      </c>
    </row>
    <row r="26991" spans="1:5" x14ac:dyDescent="0.25">
      <c r="A26991" t="s">
        <v>13</v>
      </c>
      <c r="B26991" t="s">
        <v>7609</v>
      </c>
      <c r="C26991" s="1" t="s">
        <v>23490</v>
      </c>
      <c r="D26991" s="1" t="str">
        <f>HYPERLINK("https://rhld.insurance.arkansas.gov/NPILookup?Npi=1295862647","1295862647")</f>
        <v>1295862647</v>
      </c>
      <c r="E26991" t="s">
        <v>7542</v>
      </c>
    </row>
    <row r="26992" spans="1:5" x14ac:dyDescent="0.25">
      <c r="A26992" t="s">
        <v>13</v>
      </c>
      <c r="B26992" t="s">
        <v>7609</v>
      </c>
      <c r="C26992" s="1" t="s">
        <v>23490</v>
      </c>
      <c r="D26992" s="1" t="str">
        <f>HYPERLINK("https://rhld.insurance.arkansas.gov/NPILookup?Npi=1295893220","1295893220")</f>
        <v>1295893220</v>
      </c>
      <c r="E26992" t="s">
        <v>7543</v>
      </c>
    </row>
    <row r="26993" spans="1:5" x14ac:dyDescent="0.25">
      <c r="A26993" t="s">
        <v>13</v>
      </c>
      <c r="B26993" t="s">
        <v>7609</v>
      </c>
      <c r="C26993" s="1" t="s">
        <v>23490</v>
      </c>
      <c r="D26993" s="1" t="str">
        <f>HYPERLINK("https://rhld.insurance.arkansas.gov/NPILookup?Npi=1306826029","1306826029")</f>
        <v>1306826029</v>
      </c>
      <c r="E26993" t="s">
        <v>7544</v>
      </c>
    </row>
    <row r="26994" spans="1:5" x14ac:dyDescent="0.25">
      <c r="A26994" t="s">
        <v>13</v>
      </c>
      <c r="B26994" t="s">
        <v>7609</v>
      </c>
      <c r="C26994" s="1" t="s">
        <v>23490</v>
      </c>
      <c r="D26994" s="1" t="str">
        <f>HYPERLINK("https://rhld.insurance.arkansas.gov/NPILookup?Npi=1306921887","1306921887")</f>
        <v>1306921887</v>
      </c>
      <c r="E26994" t="s">
        <v>18555</v>
      </c>
    </row>
    <row r="26995" spans="1:5" x14ac:dyDescent="0.25">
      <c r="A26995" t="s">
        <v>13</v>
      </c>
      <c r="B26995" t="s">
        <v>7609</v>
      </c>
      <c r="C26995" s="1" t="s">
        <v>23490</v>
      </c>
      <c r="D26995" s="1" t="str">
        <f>HYPERLINK("https://rhld.insurance.arkansas.gov/NPILookup?Npi=1316144546","1316144546")</f>
        <v>1316144546</v>
      </c>
      <c r="E26995" t="s">
        <v>4096</v>
      </c>
    </row>
    <row r="26996" spans="1:5" x14ac:dyDescent="0.25">
      <c r="A26996" t="s">
        <v>13</v>
      </c>
      <c r="B26996" t="s">
        <v>7609</v>
      </c>
      <c r="C26996" s="1" t="s">
        <v>23490</v>
      </c>
      <c r="D26996" s="1" t="str">
        <f>HYPERLINK("https://rhld.insurance.arkansas.gov/NPILookup?Npi=1316180748","1316180748")</f>
        <v>1316180748</v>
      </c>
      <c r="E26996" t="s">
        <v>7545</v>
      </c>
    </row>
    <row r="26997" spans="1:5" x14ac:dyDescent="0.25">
      <c r="A26997" t="s">
        <v>13</v>
      </c>
      <c r="B26997" t="s">
        <v>7609</v>
      </c>
      <c r="C26997" s="1" t="s">
        <v>23490</v>
      </c>
      <c r="D26997" s="1" t="str">
        <f>HYPERLINK("https://rhld.insurance.arkansas.gov/NPILookup?Npi=1316901937","1316901937")</f>
        <v>1316901937</v>
      </c>
      <c r="E26997" t="s">
        <v>7546</v>
      </c>
    </row>
    <row r="26998" spans="1:5" x14ac:dyDescent="0.25">
      <c r="A26998" t="s">
        <v>13</v>
      </c>
      <c r="B26998" t="s">
        <v>7609</v>
      </c>
      <c r="C26998" s="1" t="s">
        <v>23490</v>
      </c>
      <c r="D26998" s="1" t="str">
        <f>HYPERLINK("https://rhld.insurance.arkansas.gov/NPILookup?Npi=1316902414","1316902414")</f>
        <v>1316902414</v>
      </c>
      <c r="E26998" t="s">
        <v>7547</v>
      </c>
    </row>
    <row r="26999" spans="1:5" x14ac:dyDescent="0.25">
      <c r="A26999" t="s">
        <v>13</v>
      </c>
      <c r="B26999" t="s">
        <v>7609</v>
      </c>
      <c r="C26999" s="1" t="s">
        <v>23490</v>
      </c>
      <c r="D26999" s="1" t="str">
        <f>HYPERLINK("https://rhld.insurance.arkansas.gov/NPILookup?Npi=1326016684","1326016684")</f>
        <v>1326016684</v>
      </c>
      <c r="E26999" t="s">
        <v>7548</v>
      </c>
    </row>
    <row r="27000" spans="1:5" x14ac:dyDescent="0.25">
      <c r="A27000" t="s">
        <v>13</v>
      </c>
      <c r="B27000" t="s">
        <v>7609</v>
      </c>
      <c r="C27000" s="1" t="s">
        <v>23490</v>
      </c>
      <c r="D27000" s="1" t="str">
        <f>HYPERLINK("https://rhld.insurance.arkansas.gov/NPILookup?Npi=1326040007","1326040007")</f>
        <v>1326040007</v>
      </c>
      <c r="E27000" t="s">
        <v>12006</v>
      </c>
    </row>
    <row r="27001" spans="1:5" x14ac:dyDescent="0.25">
      <c r="A27001" t="s">
        <v>13</v>
      </c>
      <c r="B27001" t="s">
        <v>7609</v>
      </c>
      <c r="C27001" s="1" t="s">
        <v>23490</v>
      </c>
      <c r="D27001" s="1" t="str">
        <f>HYPERLINK("https://rhld.insurance.arkansas.gov/NPILookup?Npi=1336150374","1336150374")</f>
        <v>1336150374</v>
      </c>
      <c r="E27001" t="s">
        <v>7549</v>
      </c>
    </row>
    <row r="27002" spans="1:5" x14ac:dyDescent="0.25">
      <c r="A27002" t="s">
        <v>13</v>
      </c>
      <c r="B27002" t="s">
        <v>7609</v>
      </c>
      <c r="C27002" s="1" t="s">
        <v>23490</v>
      </c>
      <c r="D27002" s="1" t="str">
        <f>HYPERLINK("https://rhld.insurance.arkansas.gov/NPILookup?Npi=1346248317","1346248317")</f>
        <v>1346248317</v>
      </c>
      <c r="E27002" t="s">
        <v>6354</v>
      </c>
    </row>
    <row r="27003" spans="1:5" x14ac:dyDescent="0.25">
      <c r="A27003" t="s">
        <v>13</v>
      </c>
      <c r="B27003" t="s">
        <v>7609</v>
      </c>
      <c r="C27003" s="1" t="s">
        <v>23490</v>
      </c>
      <c r="D27003" s="1" t="str">
        <f>HYPERLINK("https://rhld.insurance.arkansas.gov/NPILookup?Npi=1346249372","1346249372")</f>
        <v>1346249372</v>
      </c>
      <c r="E27003" t="s">
        <v>7550</v>
      </c>
    </row>
    <row r="27004" spans="1:5" x14ac:dyDescent="0.25">
      <c r="A27004" t="s">
        <v>13</v>
      </c>
      <c r="B27004" t="s">
        <v>7609</v>
      </c>
      <c r="C27004" s="1" t="s">
        <v>23490</v>
      </c>
      <c r="D27004" s="1" t="str">
        <f>HYPERLINK("https://rhld.insurance.arkansas.gov/NPILookup?Npi=1346301306","1346301306")</f>
        <v>1346301306</v>
      </c>
      <c r="E27004" t="s">
        <v>7551</v>
      </c>
    </row>
    <row r="27005" spans="1:5" x14ac:dyDescent="0.25">
      <c r="A27005" t="s">
        <v>13</v>
      </c>
      <c r="B27005" t="s">
        <v>7609</v>
      </c>
      <c r="C27005" s="1" t="s">
        <v>23490</v>
      </c>
      <c r="D27005" s="1" t="str">
        <f>HYPERLINK("https://rhld.insurance.arkansas.gov/NPILookup?Npi=1346431384","1346431384")</f>
        <v>1346431384</v>
      </c>
      <c r="E27005" t="s">
        <v>7552</v>
      </c>
    </row>
    <row r="27006" spans="1:5" x14ac:dyDescent="0.25">
      <c r="A27006" t="s">
        <v>13</v>
      </c>
      <c r="B27006" t="s">
        <v>7609</v>
      </c>
      <c r="C27006" s="1" t="s">
        <v>23490</v>
      </c>
      <c r="D27006" s="1" t="str">
        <f>HYPERLINK("https://rhld.insurance.arkansas.gov/NPILookup?Npi=1346630589","1346630589")</f>
        <v>1346630589</v>
      </c>
      <c r="E27006" t="s">
        <v>7553</v>
      </c>
    </row>
    <row r="27007" spans="1:5" x14ac:dyDescent="0.25">
      <c r="A27007" t="s">
        <v>13</v>
      </c>
      <c r="B27007" t="s">
        <v>7609</v>
      </c>
      <c r="C27007" s="1" t="s">
        <v>23490</v>
      </c>
      <c r="D27007" s="1" t="str">
        <f>HYPERLINK("https://rhld.insurance.arkansas.gov/NPILookup?Npi=1356773493","1356773493")</f>
        <v>1356773493</v>
      </c>
      <c r="E27007" t="s">
        <v>14509</v>
      </c>
    </row>
    <row r="27008" spans="1:5" x14ac:dyDescent="0.25">
      <c r="A27008" t="s">
        <v>13</v>
      </c>
      <c r="B27008" t="s">
        <v>7609</v>
      </c>
      <c r="C27008" s="1" t="s">
        <v>23490</v>
      </c>
      <c r="D27008" s="1" t="str">
        <f>HYPERLINK("https://rhld.insurance.arkansas.gov/NPILookup?Npi=1366685992","1366685992")</f>
        <v>1366685992</v>
      </c>
      <c r="E27008" t="s">
        <v>7554</v>
      </c>
    </row>
    <row r="27009" spans="1:5" x14ac:dyDescent="0.25">
      <c r="A27009" t="s">
        <v>13</v>
      </c>
      <c r="B27009" t="s">
        <v>7609</v>
      </c>
      <c r="C27009" s="1" t="s">
        <v>23490</v>
      </c>
      <c r="D27009" s="1" t="str">
        <f>HYPERLINK("https://rhld.insurance.arkansas.gov/NPILookup?Npi=1376511493","1376511493")</f>
        <v>1376511493</v>
      </c>
      <c r="E27009" t="s">
        <v>7555</v>
      </c>
    </row>
    <row r="27010" spans="1:5" x14ac:dyDescent="0.25">
      <c r="A27010" t="s">
        <v>13</v>
      </c>
      <c r="B27010" t="s">
        <v>7609</v>
      </c>
      <c r="C27010" s="1" t="s">
        <v>23490</v>
      </c>
      <c r="D27010" s="1" t="str">
        <f>HYPERLINK("https://rhld.insurance.arkansas.gov/NPILookup?Npi=1376584110","1376584110")</f>
        <v>1376584110</v>
      </c>
      <c r="E27010" t="s">
        <v>7556</v>
      </c>
    </row>
    <row r="27011" spans="1:5" x14ac:dyDescent="0.25">
      <c r="A27011" t="s">
        <v>13</v>
      </c>
      <c r="B27011" t="s">
        <v>7609</v>
      </c>
      <c r="C27011" s="1" t="s">
        <v>23490</v>
      </c>
      <c r="D27011" s="1" t="str">
        <f>HYPERLINK("https://rhld.insurance.arkansas.gov/NPILookup?Npi=1376596569","1376596569")</f>
        <v>1376596569</v>
      </c>
      <c r="E27011" t="s">
        <v>7557</v>
      </c>
    </row>
    <row r="27012" spans="1:5" x14ac:dyDescent="0.25">
      <c r="A27012" t="s">
        <v>13</v>
      </c>
      <c r="B27012" t="s">
        <v>7609</v>
      </c>
      <c r="C27012" s="1" t="s">
        <v>8427</v>
      </c>
      <c r="D27012" s="1" t="str">
        <f>HYPERLINK("https://rhld.insurance.arkansas.gov/NPILookup?Npi=1386367506","1386367506")</f>
        <v>1386367506</v>
      </c>
      <c r="E27012" t="s">
        <v>23321</v>
      </c>
    </row>
    <row r="27013" spans="1:5" x14ac:dyDescent="0.25">
      <c r="A27013" t="s">
        <v>13</v>
      </c>
      <c r="B27013" t="s">
        <v>7609</v>
      </c>
      <c r="C27013" s="1" t="s">
        <v>23490</v>
      </c>
      <c r="D27013" s="1" t="str">
        <f>HYPERLINK("https://rhld.insurance.arkansas.gov/NPILookup?Npi=1386687036","1386687036")</f>
        <v>1386687036</v>
      </c>
      <c r="E27013" t="s">
        <v>7558</v>
      </c>
    </row>
    <row r="27014" spans="1:5" x14ac:dyDescent="0.25">
      <c r="A27014" t="s">
        <v>13</v>
      </c>
      <c r="B27014" t="s">
        <v>7609</v>
      </c>
      <c r="C27014" s="1" t="s">
        <v>23490</v>
      </c>
      <c r="D27014" s="1" t="str">
        <f>HYPERLINK("https://rhld.insurance.arkansas.gov/NPILookup?Npi=1386699353","1386699353")</f>
        <v>1386699353</v>
      </c>
      <c r="E27014" t="s">
        <v>7559</v>
      </c>
    </row>
    <row r="27015" spans="1:5" x14ac:dyDescent="0.25">
      <c r="A27015" t="s">
        <v>13</v>
      </c>
      <c r="B27015" t="s">
        <v>7609</v>
      </c>
      <c r="C27015" s="1" t="s">
        <v>23490</v>
      </c>
      <c r="D27015" s="1" t="str">
        <f>HYPERLINK("https://rhld.insurance.arkansas.gov/NPILookup?Npi=1386709871","1386709871")</f>
        <v>1386709871</v>
      </c>
      <c r="E27015" t="s">
        <v>7560</v>
      </c>
    </row>
    <row r="27016" spans="1:5" x14ac:dyDescent="0.25">
      <c r="A27016" t="s">
        <v>13</v>
      </c>
      <c r="B27016" t="s">
        <v>7609</v>
      </c>
      <c r="C27016" s="1" t="s">
        <v>23490</v>
      </c>
      <c r="D27016" s="1" t="str">
        <f>HYPERLINK("https://rhld.insurance.arkansas.gov/NPILookup?Npi=1386796670","1386796670")</f>
        <v>1386796670</v>
      </c>
      <c r="E27016" t="s">
        <v>9208</v>
      </c>
    </row>
    <row r="27017" spans="1:5" x14ac:dyDescent="0.25">
      <c r="A27017" t="s">
        <v>13</v>
      </c>
      <c r="B27017" t="s">
        <v>7609</v>
      </c>
      <c r="C27017" s="1" t="s">
        <v>23490</v>
      </c>
      <c r="D27017" s="1" t="str">
        <f>HYPERLINK("https://rhld.insurance.arkansas.gov/NPILookup?Npi=1396053096","1396053096")</f>
        <v>1396053096</v>
      </c>
      <c r="E27017" t="s">
        <v>7561</v>
      </c>
    </row>
    <row r="27018" spans="1:5" x14ac:dyDescent="0.25">
      <c r="A27018" t="s">
        <v>13</v>
      </c>
      <c r="B27018" t="s">
        <v>7609</v>
      </c>
      <c r="C27018" s="1" t="s">
        <v>23490</v>
      </c>
      <c r="D27018" s="1" t="str">
        <f>HYPERLINK("https://rhld.insurance.arkansas.gov/NPILookup?Npi=1396767158","1396767158")</f>
        <v>1396767158</v>
      </c>
      <c r="E27018" t="s">
        <v>4078</v>
      </c>
    </row>
    <row r="27019" spans="1:5" x14ac:dyDescent="0.25">
      <c r="A27019" t="s">
        <v>13</v>
      </c>
      <c r="B27019" t="s">
        <v>7609</v>
      </c>
      <c r="C27019" s="1" t="s">
        <v>23490</v>
      </c>
      <c r="D27019" s="1" t="str">
        <f>HYPERLINK("https://rhld.insurance.arkansas.gov/NPILookup?Npi=1407215916","1407215916")</f>
        <v>1407215916</v>
      </c>
      <c r="E27019" t="s">
        <v>9288</v>
      </c>
    </row>
    <row r="27020" spans="1:5" x14ac:dyDescent="0.25">
      <c r="A27020" t="s">
        <v>13</v>
      </c>
      <c r="B27020" t="s">
        <v>7609</v>
      </c>
      <c r="C27020" s="1" t="s">
        <v>23490</v>
      </c>
      <c r="D27020" s="1" t="str">
        <f>HYPERLINK("https://rhld.insurance.arkansas.gov/NPILookup?Npi=1417024662","1417024662")</f>
        <v>1417024662</v>
      </c>
      <c r="E27020" t="s">
        <v>4088</v>
      </c>
    </row>
    <row r="27021" spans="1:5" x14ac:dyDescent="0.25">
      <c r="A27021" t="s">
        <v>13</v>
      </c>
      <c r="B27021" t="s">
        <v>7609</v>
      </c>
      <c r="C27021" s="1" t="s">
        <v>23490</v>
      </c>
      <c r="D27021" s="1" t="str">
        <f>HYPERLINK("https://rhld.insurance.arkansas.gov/NPILookup?Npi=1417913419","1417913419")</f>
        <v>1417913419</v>
      </c>
      <c r="E27021" t="s">
        <v>6399</v>
      </c>
    </row>
    <row r="27022" spans="1:5" x14ac:dyDescent="0.25">
      <c r="A27022" t="s">
        <v>13</v>
      </c>
      <c r="B27022" t="s">
        <v>7609</v>
      </c>
      <c r="C27022" s="1" t="s">
        <v>23490</v>
      </c>
      <c r="D27022" s="1" t="str">
        <f>HYPERLINK("https://rhld.insurance.arkansas.gov/NPILookup?Npi=1417950106","1417950106")</f>
        <v>1417950106</v>
      </c>
      <c r="E27022" t="s">
        <v>7562</v>
      </c>
    </row>
    <row r="27023" spans="1:5" x14ac:dyDescent="0.25">
      <c r="A27023" t="s">
        <v>13</v>
      </c>
      <c r="B27023" t="s">
        <v>7609</v>
      </c>
      <c r="C27023" s="1" t="s">
        <v>23490</v>
      </c>
      <c r="D27023" s="1" t="str">
        <f>HYPERLINK("https://rhld.insurance.arkansas.gov/NPILookup?Npi=1417957200","1417957200")</f>
        <v>1417957200</v>
      </c>
      <c r="E27023" t="s">
        <v>7563</v>
      </c>
    </row>
    <row r="27024" spans="1:5" x14ac:dyDescent="0.25">
      <c r="A27024" t="s">
        <v>13</v>
      </c>
      <c r="B27024" t="s">
        <v>7609</v>
      </c>
      <c r="C27024" s="1" t="s">
        <v>23490</v>
      </c>
      <c r="D27024" s="1" t="str">
        <f>HYPERLINK("https://rhld.insurance.arkansas.gov/NPILookup?Npi=1427107754","1427107754")</f>
        <v>1427107754</v>
      </c>
      <c r="E27024" t="s">
        <v>7564</v>
      </c>
    </row>
    <row r="27025" spans="1:5" x14ac:dyDescent="0.25">
      <c r="A27025" t="s">
        <v>13</v>
      </c>
      <c r="B27025" t="s">
        <v>7609</v>
      </c>
      <c r="C27025" s="1" t="s">
        <v>23490</v>
      </c>
      <c r="D27025" s="1" t="str">
        <f>HYPERLINK("https://rhld.insurance.arkansas.gov/NPILookup?Npi=1427149814","1427149814")</f>
        <v>1427149814</v>
      </c>
      <c r="E27025" t="s">
        <v>6399</v>
      </c>
    </row>
    <row r="27026" spans="1:5" x14ac:dyDescent="0.25">
      <c r="A27026" t="s">
        <v>13</v>
      </c>
      <c r="B27026" t="s">
        <v>7609</v>
      </c>
      <c r="C27026" s="1" t="s">
        <v>23490</v>
      </c>
      <c r="D27026" s="1" t="str">
        <f>HYPERLINK("https://rhld.insurance.arkansas.gov/NPILookup?Npi=1437179710","1437179710")</f>
        <v>1437179710</v>
      </c>
      <c r="E27026" t="s">
        <v>4091</v>
      </c>
    </row>
    <row r="27027" spans="1:5" x14ac:dyDescent="0.25">
      <c r="A27027" t="s">
        <v>13</v>
      </c>
      <c r="B27027" t="s">
        <v>7609</v>
      </c>
      <c r="C27027" s="1" t="s">
        <v>23490</v>
      </c>
      <c r="D27027" s="1" t="str">
        <f>HYPERLINK("https://rhld.insurance.arkansas.gov/NPILookup?Npi=1437188216","1437188216")</f>
        <v>1437188216</v>
      </c>
      <c r="E27027" t="s">
        <v>17305</v>
      </c>
    </row>
    <row r="27028" spans="1:5" x14ac:dyDescent="0.25">
      <c r="A27028" t="s">
        <v>13</v>
      </c>
      <c r="B27028" t="s">
        <v>7609</v>
      </c>
      <c r="C27028" s="1" t="s">
        <v>23490</v>
      </c>
      <c r="D27028" s="1" t="str">
        <f>HYPERLINK("https://rhld.insurance.arkansas.gov/NPILookup?Npi=1437222312","1437222312")</f>
        <v>1437222312</v>
      </c>
      <c r="E27028" t="s">
        <v>19256</v>
      </c>
    </row>
    <row r="27029" spans="1:5" x14ac:dyDescent="0.25">
      <c r="A27029" t="s">
        <v>13</v>
      </c>
      <c r="B27029" t="s">
        <v>7609</v>
      </c>
      <c r="C27029" s="1" t="s">
        <v>23490</v>
      </c>
      <c r="D27029" s="1" t="str">
        <f>HYPERLINK("https://rhld.insurance.arkansas.gov/NPILookup?Npi=1437634524","1437634524")</f>
        <v>1437634524</v>
      </c>
      <c r="E27029" t="s">
        <v>14511</v>
      </c>
    </row>
    <row r="27030" spans="1:5" x14ac:dyDescent="0.25">
      <c r="A27030" t="s">
        <v>13</v>
      </c>
      <c r="B27030" t="s">
        <v>7609</v>
      </c>
      <c r="C27030" s="1" t="s">
        <v>23490</v>
      </c>
      <c r="D27030" s="1" t="str">
        <f>HYPERLINK("https://rhld.insurance.arkansas.gov/NPILookup?Npi=1447439708","1447439708")</f>
        <v>1447439708</v>
      </c>
      <c r="E27030" t="s">
        <v>12119</v>
      </c>
    </row>
    <row r="27031" spans="1:5" x14ac:dyDescent="0.25">
      <c r="A27031" t="s">
        <v>13</v>
      </c>
      <c r="B27031" t="s">
        <v>7609</v>
      </c>
      <c r="C27031" s="1" t="s">
        <v>23490</v>
      </c>
      <c r="D27031" s="1" t="str">
        <f>HYPERLINK("https://rhld.insurance.arkansas.gov/NPILookup?Npi=1457306326","1457306326")</f>
        <v>1457306326</v>
      </c>
      <c r="E27031" t="s">
        <v>6408</v>
      </c>
    </row>
    <row r="27032" spans="1:5" x14ac:dyDescent="0.25">
      <c r="A27032" t="s">
        <v>13</v>
      </c>
      <c r="B27032" t="s">
        <v>7609</v>
      </c>
      <c r="C27032" s="1" t="s">
        <v>23490</v>
      </c>
      <c r="D27032" s="1" t="str">
        <f>HYPERLINK("https://rhld.insurance.arkansas.gov/NPILookup?Npi=1457321036","1457321036")</f>
        <v>1457321036</v>
      </c>
      <c r="E27032" t="s">
        <v>20758</v>
      </c>
    </row>
    <row r="27033" spans="1:5" x14ac:dyDescent="0.25">
      <c r="A27033" t="s">
        <v>13</v>
      </c>
      <c r="B27033" t="s">
        <v>7609</v>
      </c>
      <c r="C27033" s="1" t="s">
        <v>23490</v>
      </c>
      <c r="D27033" s="1" t="str">
        <f>HYPERLINK("https://rhld.insurance.arkansas.gov/NPILookup?Npi=1457567380","1457567380")</f>
        <v>1457567380</v>
      </c>
      <c r="E27033" t="s">
        <v>4101</v>
      </c>
    </row>
    <row r="27034" spans="1:5" x14ac:dyDescent="0.25">
      <c r="A27034" t="s">
        <v>13</v>
      </c>
      <c r="B27034" t="s">
        <v>7609</v>
      </c>
      <c r="C27034" s="1" t="s">
        <v>23490</v>
      </c>
      <c r="D27034" s="1" t="str">
        <f>HYPERLINK("https://rhld.insurance.arkansas.gov/NPILookup?Npi=1467473579","1467473579")</f>
        <v>1467473579</v>
      </c>
      <c r="E27034" t="s">
        <v>7565</v>
      </c>
    </row>
    <row r="27035" spans="1:5" x14ac:dyDescent="0.25">
      <c r="A27035" t="s">
        <v>13</v>
      </c>
      <c r="B27035" t="s">
        <v>7609</v>
      </c>
      <c r="C27035" s="1" t="s">
        <v>23490</v>
      </c>
      <c r="D27035" s="1" t="str">
        <f>HYPERLINK("https://rhld.insurance.arkansas.gov/NPILookup?Npi=1467658278","1467658278")</f>
        <v>1467658278</v>
      </c>
      <c r="E27035" t="s">
        <v>7517</v>
      </c>
    </row>
    <row r="27036" spans="1:5" x14ac:dyDescent="0.25">
      <c r="A27036" t="s">
        <v>13</v>
      </c>
      <c r="B27036" t="s">
        <v>7609</v>
      </c>
      <c r="C27036" s="1" t="s">
        <v>23490</v>
      </c>
      <c r="D27036" s="1" t="str">
        <f>HYPERLINK("https://rhld.insurance.arkansas.gov/NPILookup?Npi=1477039782","1477039782")</f>
        <v>1477039782</v>
      </c>
      <c r="E27036" t="s">
        <v>13887</v>
      </c>
    </row>
    <row r="27037" spans="1:5" x14ac:dyDescent="0.25">
      <c r="A27037" t="s">
        <v>13</v>
      </c>
      <c r="B27037" t="s">
        <v>7609</v>
      </c>
      <c r="C27037" s="1" t="s">
        <v>23490</v>
      </c>
      <c r="D27037" s="1" t="str">
        <f>HYPERLINK("https://rhld.insurance.arkansas.gov/NPILookup?Npi=1477549756","1477549756")</f>
        <v>1477549756</v>
      </c>
      <c r="E27037" t="s">
        <v>6270</v>
      </c>
    </row>
    <row r="27038" spans="1:5" x14ac:dyDescent="0.25">
      <c r="A27038" t="s">
        <v>13</v>
      </c>
      <c r="B27038" t="s">
        <v>7609</v>
      </c>
      <c r="C27038" s="1" t="s">
        <v>23490</v>
      </c>
      <c r="D27038" s="1" t="str">
        <f>HYPERLINK("https://rhld.insurance.arkansas.gov/NPILookup?Npi=1487863619","1487863619")</f>
        <v>1487863619</v>
      </c>
      <c r="E27038" t="s">
        <v>7566</v>
      </c>
    </row>
    <row r="27039" spans="1:5" x14ac:dyDescent="0.25">
      <c r="A27039" t="s">
        <v>13</v>
      </c>
      <c r="B27039" t="s">
        <v>7609</v>
      </c>
      <c r="C27039" s="1" t="s">
        <v>23490</v>
      </c>
      <c r="D27039" s="1" t="str">
        <f>HYPERLINK("https://rhld.insurance.arkansas.gov/NPILookup?Npi=1487909701","1487909701")</f>
        <v>1487909701</v>
      </c>
      <c r="E27039" t="s">
        <v>9282</v>
      </c>
    </row>
    <row r="27040" spans="1:5" x14ac:dyDescent="0.25">
      <c r="A27040" t="s">
        <v>13</v>
      </c>
      <c r="B27040" t="s">
        <v>7609</v>
      </c>
      <c r="C27040" s="1" t="s">
        <v>23490</v>
      </c>
      <c r="D27040" s="1" t="str">
        <f>HYPERLINK("https://rhld.insurance.arkansas.gov/NPILookup?Npi=1497701973","1497701973")</f>
        <v>1497701973</v>
      </c>
      <c r="E27040" t="s">
        <v>7567</v>
      </c>
    </row>
    <row r="27041" spans="1:5" x14ac:dyDescent="0.25">
      <c r="A27041" t="s">
        <v>13</v>
      </c>
      <c r="B27041" t="s">
        <v>7609</v>
      </c>
      <c r="C27041" s="1" t="s">
        <v>23490</v>
      </c>
      <c r="D27041" s="1" t="str">
        <f>HYPERLINK("https://rhld.insurance.arkansas.gov/NPILookup?Npi=1497770424","1497770424")</f>
        <v>1497770424</v>
      </c>
      <c r="E27041" t="s">
        <v>4088</v>
      </c>
    </row>
    <row r="27042" spans="1:5" x14ac:dyDescent="0.25">
      <c r="A27042" t="s">
        <v>13</v>
      </c>
      <c r="B27042" t="s">
        <v>7609</v>
      </c>
      <c r="C27042" s="1" t="s">
        <v>23490</v>
      </c>
      <c r="D27042" s="1" t="str">
        <f>HYPERLINK("https://rhld.insurance.arkansas.gov/NPILookup?Npi=1497790042","1497790042")</f>
        <v>1497790042</v>
      </c>
      <c r="E27042" t="s">
        <v>4080</v>
      </c>
    </row>
    <row r="27043" spans="1:5" x14ac:dyDescent="0.25">
      <c r="A27043" t="s">
        <v>13</v>
      </c>
      <c r="B27043" t="s">
        <v>7609</v>
      </c>
      <c r="C27043" s="1" t="s">
        <v>23490</v>
      </c>
      <c r="D27043" s="1" t="str">
        <f>HYPERLINK("https://rhld.insurance.arkansas.gov/NPILookup?Npi=1497830806","1497830806")</f>
        <v>1497830806</v>
      </c>
      <c r="E27043" t="s">
        <v>18555</v>
      </c>
    </row>
    <row r="27044" spans="1:5" x14ac:dyDescent="0.25">
      <c r="A27044" t="s">
        <v>13</v>
      </c>
      <c r="B27044" t="s">
        <v>7609</v>
      </c>
      <c r="C27044" s="1" t="s">
        <v>23490</v>
      </c>
      <c r="D27044" s="1" t="str">
        <f>HYPERLINK("https://rhld.insurance.arkansas.gov/NPILookup?Npi=1508450339","1508450339")</f>
        <v>1508450339</v>
      </c>
      <c r="E27044" t="s">
        <v>21300</v>
      </c>
    </row>
    <row r="27045" spans="1:5" x14ac:dyDescent="0.25">
      <c r="A27045" t="s">
        <v>13</v>
      </c>
      <c r="B27045" t="s">
        <v>7609</v>
      </c>
      <c r="C27045" s="1" t="s">
        <v>23490</v>
      </c>
      <c r="D27045" s="1" t="str">
        <f>HYPERLINK("https://rhld.insurance.arkansas.gov/NPILookup?Npi=1508493628","1508493628")</f>
        <v>1508493628</v>
      </c>
      <c r="E27045" t="s">
        <v>18529</v>
      </c>
    </row>
    <row r="27046" spans="1:5" x14ac:dyDescent="0.25">
      <c r="A27046" t="s">
        <v>13</v>
      </c>
      <c r="B27046" t="s">
        <v>7609</v>
      </c>
      <c r="C27046" s="1" t="s">
        <v>23490</v>
      </c>
      <c r="D27046" s="1" t="str">
        <f>HYPERLINK("https://rhld.insurance.arkansas.gov/NPILookup?Npi=1518296037","1518296037")</f>
        <v>1518296037</v>
      </c>
      <c r="E27046" t="s">
        <v>7568</v>
      </c>
    </row>
    <row r="27047" spans="1:5" x14ac:dyDescent="0.25">
      <c r="A27047" t="s">
        <v>13</v>
      </c>
      <c r="B27047" t="s">
        <v>7609</v>
      </c>
      <c r="C27047" s="1" t="s">
        <v>23490</v>
      </c>
      <c r="D27047" s="1" t="str">
        <f>HYPERLINK("https://rhld.insurance.arkansas.gov/NPILookup?Npi=1528360989","1528360989")</f>
        <v>1528360989</v>
      </c>
      <c r="E27047" t="s">
        <v>7569</v>
      </c>
    </row>
    <row r="27048" spans="1:5" x14ac:dyDescent="0.25">
      <c r="A27048" t="s">
        <v>13</v>
      </c>
      <c r="B27048" t="s">
        <v>7609</v>
      </c>
      <c r="C27048" s="1" t="s">
        <v>23490</v>
      </c>
      <c r="D27048" s="1" t="str">
        <f>HYPERLINK("https://rhld.insurance.arkansas.gov/NPILookup?Npi=1548546138","1548546138")</f>
        <v>1548546138</v>
      </c>
      <c r="E27048" t="s">
        <v>7570</v>
      </c>
    </row>
    <row r="27049" spans="1:5" x14ac:dyDescent="0.25">
      <c r="A27049" t="s">
        <v>13</v>
      </c>
      <c r="B27049" t="s">
        <v>7609</v>
      </c>
      <c r="C27049" s="1" t="s">
        <v>23490</v>
      </c>
      <c r="D27049" s="1" t="str">
        <f>HYPERLINK("https://rhld.insurance.arkansas.gov/NPILookup?Npi=1558365890","1558365890")</f>
        <v>1558365890</v>
      </c>
      <c r="E27049" t="s">
        <v>7560</v>
      </c>
    </row>
    <row r="27050" spans="1:5" x14ac:dyDescent="0.25">
      <c r="A27050" t="s">
        <v>13</v>
      </c>
      <c r="B27050" t="s">
        <v>7609</v>
      </c>
      <c r="C27050" s="1" t="s">
        <v>23490</v>
      </c>
      <c r="D27050" s="1" t="str">
        <f>HYPERLINK("https://rhld.insurance.arkansas.gov/NPILookup?Npi=1558653212","1558653212")</f>
        <v>1558653212</v>
      </c>
      <c r="E27050" t="s">
        <v>7571</v>
      </c>
    </row>
    <row r="27051" spans="1:5" x14ac:dyDescent="0.25">
      <c r="A27051" t="s">
        <v>13</v>
      </c>
      <c r="B27051" t="s">
        <v>7609</v>
      </c>
      <c r="C27051" s="1" t="s">
        <v>23490</v>
      </c>
      <c r="D27051" s="1" t="str">
        <f>HYPERLINK("https://rhld.insurance.arkansas.gov/NPILookup?Npi=1568406536","1568406536")</f>
        <v>1568406536</v>
      </c>
      <c r="E27051" t="s">
        <v>4074</v>
      </c>
    </row>
    <row r="27052" spans="1:5" x14ac:dyDescent="0.25">
      <c r="A27052" t="s">
        <v>13</v>
      </c>
      <c r="B27052" t="s">
        <v>7609</v>
      </c>
      <c r="C27052" s="1" t="s">
        <v>23490</v>
      </c>
      <c r="D27052" s="1" t="str">
        <f>HYPERLINK("https://rhld.insurance.arkansas.gov/NPILookup?Npi=1568433480","1568433480")</f>
        <v>1568433480</v>
      </c>
      <c r="E27052" t="s">
        <v>7572</v>
      </c>
    </row>
    <row r="27053" spans="1:5" x14ac:dyDescent="0.25">
      <c r="A27053" t="s">
        <v>13</v>
      </c>
      <c r="B27053" t="s">
        <v>7609</v>
      </c>
      <c r="C27053" s="1" t="s">
        <v>23490</v>
      </c>
      <c r="D27053" s="1" t="str">
        <f>HYPERLINK("https://rhld.insurance.arkansas.gov/NPILookup?Npi=1568548253","1568548253")</f>
        <v>1568548253</v>
      </c>
      <c r="E27053" t="s">
        <v>7519</v>
      </c>
    </row>
    <row r="27054" spans="1:5" x14ac:dyDescent="0.25">
      <c r="A27054" t="s">
        <v>13</v>
      </c>
      <c r="B27054" t="s">
        <v>7609</v>
      </c>
      <c r="C27054" s="1" t="s">
        <v>23490</v>
      </c>
      <c r="D27054" s="1" t="str">
        <f>HYPERLINK("https://rhld.insurance.arkansas.gov/NPILookup?Npi=1568643005","1568643005")</f>
        <v>1568643005</v>
      </c>
      <c r="E27054" t="s">
        <v>6473</v>
      </c>
    </row>
    <row r="27055" spans="1:5" x14ac:dyDescent="0.25">
      <c r="A27055" t="s">
        <v>13</v>
      </c>
      <c r="B27055" t="s">
        <v>7609</v>
      </c>
      <c r="C27055" s="1" t="s">
        <v>23490</v>
      </c>
      <c r="D27055" s="1" t="str">
        <f>HYPERLINK("https://rhld.insurance.arkansas.gov/NPILookup?Npi=1568715910","1568715910")</f>
        <v>1568715910</v>
      </c>
      <c r="E27055" t="s">
        <v>7573</v>
      </c>
    </row>
    <row r="27056" spans="1:5" x14ac:dyDescent="0.25">
      <c r="A27056" t="s">
        <v>13</v>
      </c>
      <c r="B27056" t="s">
        <v>7609</v>
      </c>
      <c r="C27056" s="1" t="s">
        <v>23490</v>
      </c>
      <c r="D27056" s="1" t="str">
        <f>HYPERLINK("https://rhld.insurance.arkansas.gov/NPILookup?Npi=1578527172","1578527172")</f>
        <v>1578527172</v>
      </c>
      <c r="E27056" t="s">
        <v>6411</v>
      </c>
    </row>
    <row r="27057" spans="1:5" x14ac:dyDescent="0.25">
      <c r="A27057" t="s">
        <v>13</v>
      </c>
      <c r="B27057" t="s">
        <v>7609</v>
      </c>
      <c r="C27057" s="1" t="s">
        <v>23490</v>
      </c>
      <c r="D27057" s="1" t="str">
        <f>HYPERLINK("https://rhld.insurance.arkansas.gov/NPILookup?Npi=1578555736","1578555736")</f>
        <v>1578555736</v>
      </c>
      <c r="E27057" t="s">
        <v>4102</v>
      </c>
    </row>
    <row r="27058" spans="1:5" x14ac:dyDescent="0.25">
      <c r="A27058" t="s">
        <v>13</v>
      </c>
      <c r="B27058" t="s">
        <v>7609</v>
      </c>
      <c r="C27058" s="1" t="s">
        <v>23490</v>
      </c>
      <c r="D27058" s="1" t="str">
        <f>HYPERLINK("https://rhld.insurance.arkansas.gov/NPILookup?Npi=1598738668","1598738668")</f>
        <v>1598738668</v>
      </c>
      <c r="E27058" t="s">
        <v>6370</v>
      </c>
    </row>
    <row r="27059" spans="1:5" x14ac:dyDescent="0.25">
      <c r="A27059" t="s">
        <v>13</v>
      </c>
      <c r="B27059" t="s">
        <v>7609</v>
      </c>
      <c r="C27059" s="1" t="s">
        <v>23490</v>
      </c>
      <c r="D27059" s="1" t="str">
        <f>HYPERLINK("https://rhld.insurance.arkansas.gov/NPILookup?Npi=1609061035","1609061035")</f>
        <v>1609061035</v>
      </c>
      <c r="E27059" t="s">
        <v>18556</v>
      </c>
    </row>
    <row r="27060" spans="1:5" x14ac:dyDescent="0.25">
      <c r="A27060" t="s">
        <v>13</v>
      </c>
      <c r="B27060" t="s">
        <v>7609</v>
      </c>
      <c r="C27060" s="1" t="s">
        <v>23490</v>
      </c>
      <c r="D27060" s="1" t="str">
        <f>HYPERLINK("https://rhld.insurance.arkansas.gov/NPILookup?Npi=1609123017","1609123017")</f>
        <v>1609123017</v>
      </c>
      <c r="E27060" t="s">
        <v>4088</v>
      </c>
    </row>
    <row r="27061" spans="1:5" x14ac:dyDescent="0.25">
      <c r="A27061" t="s">
        <v>13</v>
      </c>
      <c r="B27061" t="s">
        <v>7609</v>
      </c>
      <c r="C27061" s="1" t="s">
        <v>23490</v>
      </c>
      <c r="D27061" s="1" t="str">
        <f>HYPERLINK("https://rhld.insurance.arkansas.gov/NPILookup?Npi=1609403690","1609403690")</f>
        <v>1609403690</v>
      </c>
      <c r="E27061" t="s">
        <v>18529</v>
      </c>
    </row>
    <row r="27062" spans="1:5" x14ac:dyDescent="0.25">
      <c r="A27062" t="s">
        <v>13</v>
      </c>
      <c r="B27062" t="s">
        <v>7609</v>
      </c>
      <c r="C27062" s="1" t="s">
        <v>23490</v>
      </c>
      <c r="D27062" s="1" t="str">
        <f>HYPERLINK("https://rhld.insurance.arkansas.gov/NPILookup?Npi=1609804822","1609804822")</f>
        <v>1609804822</v>
      </c>
      <c r="E27062" t="s">
        <v>4080</v>
      </c>
    </row>
    <row r="27063" spans="1:5" x14ac:dyDescent="0.25">
      <c r="A27063" t="s">
        <v>13</v>
      </c>
      <c r="B27063" t="s">
        <v>7609</v>
      </c>
      <c r="C27063" s="1" t="s">
        <v>23490</v>
      </c>
      <c r="D27063" s="1" t="str">
        <f>HYPERLINK("https://rhld.insurance.arkansas.gov/NPILookup?Npi=1619365079","1619365079")</f>
        <v>1619365079</v>
      </c>
      <c r="E27063" t="s">
        <v>4074</v>
      </c>
    </row>
    <row r="27064" spans="1:5" x14ac:dyDescent="0.25">
      <c r="A27064" t="s">
        <v>13</v>
      </c>
      <c r="B27064" t="s">
        <v>7609</v>
      </c>
      <c r="C27064" s="1" t="s">
        <v>23490</v>
      </c>
      <c r="D27064" s="1" t="str">
        <f>HYPERLINK("https://rhld.insurance.arkansas.gov/NPILookup?Npi=1629011002","1629011002")</f>
        <v>1629011002</v>
      </c>
      <c r="E27064" t="s">
        <v>7520</v>
      </c>
    </row>
    <row r="27065" spans="1:5" x14ac:dyDescent="0.25">
      <c r="A27065" t="s">
        <v>13</v>
      </c>
      <c r="B27065" t="s">
        <v>7609</v>
      </c>
      <c r="C27065" s="1" t="s">
        <v>23490</v>
      </c>
      <c r="D27065" s="1" t="str">
        <f>HYPERLINK("https://rhld.insurance.arkansas.gov/NPILookup?Npi=1639290331","1639290331")</f>
        <v>1639290331</v>
      </c>
      <c r="E27065" t="s">
        <v>7574</v>
      </c>
    </row>
    <row r="27066" spans="1:5" x14ac:dyDescent="0.25">
      <c r="A27066" t="s">
        <v>13</v>
      </c>
      <c r="B27066" t="s">
        <v>7609</v>
      </c>
      <c r="C27066" s="1" t="s">
        <v>23490</v>
      </c>
      <c r="D27066" s="1" t="str">
        <f>HYPERLINK("https://rhld.insurance.arkansas.gov/NPILookup?Npi=1639366461","1639366461")</f>
        <v>1639366461</v>
      </c>
      <c r="E27066" t="s">
        <v>17306</v>
      </c>
    </row>
    <row r="27067" spans="1:5" x14ac:dyDescent="0.25">
      <c r="A27067" t="s">
        <v>13</v>
      </c>
      <c r="B27067" t="s">
        <v>7609</v>
      </c>
      <c r="C27067" s="1" t="s">
        <v>23490</v>
      </c>
      <c r="D27067" s="1" t="str">
        <f>HYPERLINK("https://rhld.insurance.arkansas.gov/NPILookup?Npi=1649524315","1649524315")</f>
        <v>1649524315</v>
      </c>
      <c r="E27067" t="s">
        <v>7576</v>
      </c>
    </row>
    <row r="27068" spans="1:5" x14ac:dyDescent="0.25">
      <c r="A27068" t="s">
        <v>13</v>
      </c>
      <c r="B27068" t="s">
        <v>7609</v>
      </c>
      <c r="C27068" s="1" t="s">
        <v>23490</v>
      </c>
      <c r="D27068" s="1" t="str">
        <f>HYPERLINK("https://rhld.insurance.arkansas.gov/NPILookup?Npi=1659319556","1659319556")</f>
        <v>1659319556</v>
      </c>
      <c r="E27068" t="s">
        <v>7577</v>
      </c>
    </row>
    <row r="27069" spans="1:5" x14ac:dyDescent="0.25">
      <c r="A27069" t="s">
        <v>13</v>
      </c>
      <c r="B27069" t="s">
        <v>7609</v>
      </c>
      <c r="C27069" s="1" t="s">
        <v>23490</v>
      </c>
      <c r="D27069" s="1" t="str">
        <f>HYPERLINK("https://rhld.insurance.arkansas.gov/NPILookup?Npi=1679617849","1679617849")</f>
        <v>1679617849</v>
      </c>
      <c r="E27069" t="s">
        <v>22673</v>
      </c>
    </row>
    <row r="27070" spans="1:5" x14ac:dyDescent="0.25">
      <c r="A27070" t="s">
        <v>13</v>
      </c>
      <c r="B27070" t="s">
        <v>7609</v>
      </c>
      <c r="C27070" s="1" t="s">
        <v>23490</v>
      </c>
      <c r="D27070" s="1" t="str">
        <f>HYPERLINK("https://rhld.insurance.arkansas.gov/NPILookup?Npi=1689625568","1689625568")</f>
        <v>1689625568</v>
      </c>
      <c r="E27070" t="s">
        <v>7579</v>
      </c>
    </row>
    <row r="27071" spans="1:5" x14ac:dyDescent="0.25">
      <c r="A27071" t="s">
        <v>13</v>
      </c>
      <c r="B27071" t="s">
        <v>7609</v>
      </c>
      <c r="C27071" s="1" t="s">
        <v>23490</v>
      </c>
      <c r="D27071" s="1" t="str">
        <f>HYPERLINK("https://rhld.insurance.arkansas.gov/NPILookup?Npi=1689628232","1689628232")</f>
        <v>1689628232</v>
      </c>
      <c r="E27071" t="s">
        <v>4096</v>
      </c>
    </row>
    <row r="27072" spans="1:5" x14ac:dyDescent="0.25">
      <c r="A27072" t="s">
        <v>13</v>
      </c>
      <c r="B27072" t="s">
        <v>7609</v>
      </c>
      <c r="C27072" s="1" t="s">
        <v>23490</v>
      </c>
      <c r="D27072" s="1" t="str">
        <f>HYPERLINK("https://rhld.insurance.arkansas.gov/NPILookup?Npi=1689676272","1689676272")</f>
        <v>1689676272</v>
      </c>
      <c r="E27072" t="s">
        <v>7580</v>
      </c>
    </row>
    <row r="27073" spans="1:5" x14ac:dyDescent="0.25">
      <c r="A27073" t="s">
        <v>13</v>
      </c>
      <c r="B27073" t="s">
        <v>7609</v>
      </c>
      <c r="C27073" s="1" t="s">
        <v>23490</v>
      </c>
      <c r="D27073" s="1" t="str">
        <f>HYPERLINK("https://rhld.insurance.arkansas.gov/NPILookup?Npi=1689898140","1689898140")</f>
        <v>1689898140</v>
      </c>
      <c r="E27073" t="s">
        <v>9283</v>
      </c>
    </row>
    <row r="27074" spans="1:5" x14ac:dyDescent="0.25">
      <c r="A27074" t="s">
        <v>13</v>
      </c>
      <c r="B27074" t="s">
        <v>7609</v>
      </c>
      <c r="C27074" s="1" t="s">
        <v>23490</v>
      </c>
      <c r="D27074" s="1" t="str">
        <f>HYPERLINK("https://rhld.insurance.arkansas.gov/NPILookup?Npi=1699707539","1699707539")</f>
        <v>1699707539</v>
      </c>
      <c r="E27074" t="s">
        <v>7581</v>
      </c>
    </row>
    <row r="27075" spans="1:5" x14ac:dyDescent="0.25">
      <c r="A27075" t="s">
        <v>13</v>
      </c>
      <c r="B27075" t="s">
        <v>7609</v>
      </c>
      <c r="C27075" s="1" t="s">
        <v>23490</v>
      </c>
      <c r="D27075" s="1" t="str">
        <f>HYPERLINK("https://rhld.insurance.arkansas.gov/NPILookup?Npi=1699726695","1699726695")</f>
        <v>1699726695</v>
      </c>
      <c r="E27075" t="s">
        <v>7582</v>
      </c>
    </row>
    <row r="27076" spans="1:5" x14ac:dyDescent="0.25">
      <c r="A27076" t="s">
        <v>13</v>
      </c>
      <c r="B27076" t="s">
        <v>7609</v>
      </c>
      <c r="C27076" s="1" t="s">
        <v>23490</v>
      </c>
      <c r="D27076" s="1" t="str">
        <f>HYPERLINK("https://rhld.insurance.arkansas.gov/NPILookup?Npi=1700407541","1700407541")</f>
        <v>1700407541</v>
      </c>
      <c r="E27076" t="s">
        <v>18523</v>
      </c>
    </row>
    <row r="27077" spans="1:5" x14ac:dyDescent="0.25">
      <c r="A27077" t="s">
        <v>13</v>
      </c>
      <c r="B27077" t="s">
        <v>7609</v>
      </c>
      <c r="C27077" s="1" t="s">
        <v>23490</v>
      </c>
      <c r="D27077" s="1" t="str">
        <f>HYPERLINK("https://rhld.insurance.arkansas.gov/NPILookup?Npi=1700831724","1700831724")</f>
        <v>1700831724</v>
      </c>
      <c r="E27077" t="s">
        <v>4097</v>
      </c>
    </row>
    <row r="27078" spans="1:5" x14ac:dyDescent="0.25">
      <c r="A27078" t="s">
        <v>13</v>
      </c>
      <c r="B27078" t="s">
        <v>7609</v>
      </c>
      <c r="C27078" s="1" t="s">
        <v>23490</v>
      </c>
      <c r="D27078" s="1" t="str">
        <f>HYPERLINK("https://rhld.insurance.arkansas.gov/NPILookup?Npi=1710463146","1710463146")</f>
        <v>1710463146</v>
      </c>
      <c r="E27078" t="s">
        <v>13887</v>
      </c>
    </row>
    <row r="27079" spans="1:5" x14ac:dyDescent="0.25">
      <c r="A27079" t="s">
        <v>13</v>
      </c>
      <c r="B27079" t="s">
        <v>7609</v>
      </c>
      <c r="C27079" s="1" t="s">
        <v>23490</v>
      </c>
      <c r="D27079" s="1" t="str">
        <f>HYPERLINK("https://rhld.insurance.arkansas.gov/NPILookup?Npi=1710931985","1710931985")</f>
        <v>1710931985</v>
      </c>
      <c r="E27079" t="s">
        <v>6459</v>
      </c>
    </row>
    <row r="27080" spans="1:5" x14ac:dyDescent="0.25">
      <c r="A27080" t="s">
        <v>13</v>
      </c>
      <c r="B27080" t="s">
        <v>7609</v>
      </c>
      <c r="C27080" s="1" t="s">
        <v>23490</v>
      </c>
      <c r="D27080" s="1" t="str">
        <f>HYPERLINK("https://rhld.insurance.arkansas.gov/NPILookup?Npi=1710943881","1710943881")</f>
        <v>1710943881</v>
      </c>
      <c r="E27080" t="s">
        <v>6399</v>
      </c>
    </row>
    <row r="27081" spans="1:5" x14ac:dyDescent="0.25">
      <c r="A27081" t="s">
        <v>13</v>
      </c>
      <c r="B27081" t="s">
        <v>7609</v>
      </c>
      <c r="C27081" s="1" t="s">
        <v>23490</v>
      </c>
      <c r="D27081" s="1" t="str">
        <f>HYPERLINK("https://rhld.insurance.arkansas.gov/NPILookup?Npi=1760443980","1760443980")</f>
        <v>1760443980</v>
      </c>
      <c r="E27081" t="s">
        <v>7584</v>
      </c>
    </row>
    <row r="27082" spans="1:5" x14ac:dyDescent="0.25">
      <c r="A27082" t="s">
        <v>13</v>
      </c>
      <c r="B27082" t="s">
        <v>7609</v>
      </c>
      <c r="C27082" s="1" t="s">
        <v>23490</v>
      </c>
      <c r="D27082" s="1" t="str">
        <f>HYPERLINK("https://rhld.insurance.arkansas.gov/NPILookup?Npi=1760453633","1760453633")</f>
        <v>1760453633</v>
      </c>
      <c r="E27082" t="s">
        <v>6425</v>
      </c>
    </row>
    <row r="27083" spans="1:5" x14ac:dyDescent="0.25">
      <c r="A27083" t="s">
        <v>13</v>
      </c>
      <c r="B27083" t="s">
        <v>7609</v>
      </c>
      <c r="C27083" s="1" t="s">
        <v>23490</v>
      </c>
      <c r="D27083" s="1" t="str">
        <f>HYPERLINK("https://rhld.insurance.arkansas.gov/NPILookup?Npi=1760567168","1760567168")</f>
        <v>1760567168</v>
      </c>
      <c r="E27083" t="s">
        <v>18555</v>
      </c>
    </row>
    <row r="27084" spans="1:5" x14ac:dyDescent="0.25">
      <c r="A27084" t="s">
        <v>13</v>
      </c>
      <c r="B27084" t="s">
        <v>7609</v>
      </c>
      <c r="C27084" s="1" t="s">
        <v>23490</v>
      </c>
      <c r="D27084" s="1" t="str">
        <f>HYPERLINK("https://rhld.insurance.arkansas.gov/NPILookup?Npi=1770802217","1770802217")</f>
        <v>1770802217</v>
      </c>
      <c r="E27084" t="s">
        <v>6492</v>
      </c>
    </row>
    <row r="27085" spans="1:5" x14ac:dyDescent="0.25">
      <c r="A27085" t="s">
        <v>13</v>
      </c>
      <c r="B27085" t="s">
        <v>7609</v>
      </c>
      <c r="C27085" s="1" t="s">
        <v>8427</v>
      </c>
      <c r="D27085" s="1" t="str">
        <f>HYPERLINK("https://rhld.insurance.arkansas.gov/NPILookup?Npi=1780375592","1780375592")</f>
        <v>1780375592</v>
      </c>
      <c r="E27085" t="s">
        <v>23322</v>
      </c>
    </row>
    <row r="27086" spans="1:5" x14ac:dyDescent="0.25">
      <c r="A27086" t="s">
        <v>13</v>
      </c>
      <c r="B27086" t="s">
        <v>7609</v>
      </c>
      <c r="C27086" s="1" t="s">
        <v>23490</v>
      </c>
      <c r="D27086" s="1" t="str">
        <f>HYPERLINK("https://rhld.insurance.arkansas.gov/NPILookup?Npi=1780684431","1780684431")</f>
        <v>1780684431</v>
      </c>
      <c r="E27086" t="s">
        <v>7585</v>
      </c>
    </row>
    <row r="27087" spans="1:5" x14ac:dyDescent="0.25">
      <c r="A27087" t="s">
        <v>13</v>
      </c>
      <c r="B27087" t="s">
        <v>7609</v>
      </c>
      <c r="C27087" s="1" t="s">
        <v>23490</v>
      </c>
      <c r="D27087" s="1" t="str">
        <f>HYPERLINK("https://rhld.insurance.arkansas.gov/NPILookup?Npi=1790197945","1790197945")</f>
        <v>1790197945</v>
      </c>
      <c r="E27087" t="s">
        <v>16627</v>
      </c>
    </row>
    <row r="27088" spans="1:5" x14ac:dyDescent="0.25">
      <c r="A27088" t="s">
        <v>13</v>
      </c>
      <c r="B27088" t="s">
        <v>7609</v>
      </c>
      <c r="C27088" s="1" t="s">
        <v>23490</v>
      </c>
      <c r="D27088" s="1" t="str">
        <f>HYPERLINK("https://rhld.insurance.arkansas.gov/NPILookup?Npi=1790206910","1790206910")</f>
        <v>1790206910</v>
      </c>
      <c r="E27088" t="s">
        <v>14513</v>
      </c>
    </row>
    <row r="27089" spans="1:5" x14ac:dyDescent="0.25">
      <c r="A27089" t="s">
        <v>13</v>
      </c>
      <c r="B27089" t="s">
        <v>7609</v>
      </c>
      <c r="C27089" s="1" t="s">
        <v>23490</v>
      </c>
      <c r="D27089" s="1" t="str">
        <f>HYPERLINK("https://rhld.insurance.arkansas.gov/NPILookup?Npi=1790773158","1790773158")</f>
        <v>1790773158</v>
      </c>
      <c r="E27089" t="s">
        <v>7586</v>
      </c>
    </row>
    <row r="27090" spans="1:5" x14ac:dyDescent="0.25">
      <c r="A27090" t="s">
        <v>13</v>
      </c>
      <c r="B27090" t="s">
        <v>7609</v>
      </c>
      <c r="C27090" s="1" t="s">
        <v>23490</v>
      </c>
      <c r="D27090" s="1" t="str">
        <f>HYPERLINK("https://rhld.insurance.arkansas.gov/NPILookup?Npi=1790775229","1790775229")</f>
        <v>1790775229</v>
      </c>
      <c r="E27090" t="s">
        <v>7571</v>
      </c>
    </row>
    <row r="27091" spans="1:5" x14ac:dyDescent="0.25">
      <c r="A27091" t="s">
        <v>13</v>
      </c>
      <c r="B27091" t="s">
        <v>7609</v>
      </c>
      <c r="C27091" s="1" t="s">
        <v>23490</v>
      </c>
      <c r="D27091" s="1" t="str">
        <f>HYPERLINK("https://rhld.insurance.arkansas.gov/NPILookup?Npi=1790990240","1790990240")</f>
        <v>1790990240</v>
      </c>
      <c r="E27091" t="s">
        <v>4101</v>
      </c>
    </row>
    <row r="27092" spans="1:5" x14ac:dyDescent="0.25">
      <c r="A27092" t="s">
        <v>13</v>
      </c>
      <c r="B27092" t="s">
        <v>7609</v>
      </c>
      <c r="C27092" s="1" t="s">
        <v>23490</v>
      </c>
      <c r="D27092" s="1" t="str">
        <f>HYPERLINK("https://rhld.insurance.arkansas.gov/NPILookup?Npi=1801805502","1801805502")</f>
        <v>1801805502</v>
      </c>
      <c r="E27092" t="s">
        <v>12117</v>
      </c>
    </row>
    <row r="27093" spans="1:5" x14ac:dyDescent="0.25">
      <c r="A27093" t="s">
        <v>13</v>
      </c>
      <c r="B27093" t="s">
        <v>7609</v>
      </c>
      <c r="C27093" s="1" t="s">
        <v>23490</v>
      </c>
      <c r="D27093" s="1" t="str">
        <f>HYPERLINK("https://rhld.insurance.arkansas.gov/NPILookup?Npi=1811068646","1811068646")</f>
        <v>1811068646</v>
      </c>
      <c r="E27093" t="s">
        <v>7587</v>
      </c>
    </row>
    <row r="27094" spans="1:5" x14ac:dyDescent="0.25">
      <c r="A27094" t="s">
        <v>13</v>
      </c>
      <c r="B27094" t="s">
        <v>7609</v>
      </c>
      <c r="C27094" s="1" t="s">
        <v>23490</v>
      </c>
      <c r="D27094" s="1" t="str">
        <f>HYPERLINK("https://rhld.insurance.arkansas.gov/NPILookup?Npi=1811912009","1811912009")</f>
        <v>1811912009</v>
      </c>
      <c r="E27094" t="s">
        <v>7588</v>
      </c>
    </row>
    <row r="27095" spans="1:5" x14ac:dyDescent="0.25">
      <c r="A27095" t="s">
        <v>13</v>
      </c>
      <c r="B27095" t="s">
        <v>7609</v>
      </c>
      <c r="C27095" s="1" t="s">
        <v>23490</v>
      </c>
      <c r="D27095" s="1" t="str">
        <f>HYPERLINK("https://rhld.insurance.arkansas.gov/NPILookup?Npi=1811929151","1811929151")</f>
        <v>1811929151</v>
      </c>
      <c r="E27095" t="s">
        <v>7589</v>
      </c>
    </row>
    <row r="27096" spans="1:5" x14ac:dyDescent="0.25">
      <c r="A27096" t="s">
        <v>13</v>
      </c>
      <c r="B27096" t="s">
        <v>7609</v>
      </c>
      <c r="C27096" s="1" t="s">
        <v>23490</v>
      </c>
      <c r="D27096" s="1" t="str">
        <f>HYPERLINK("https://rhld.insurance.arkansas.gov/NPILookup?Npi=1831115641","1831115641")</f>
        <v>1831115641</v>
      </c>
      <c r="E27096" t="s">
        <v>7591</v>
      </c>
    </row>
    <row r="27097" spans="1:5" x14ac:dyDescent="0.25">
      <c r="A27097" t="s">
        <v>13</v>
      </c>
      <c r="B27097" t="s">
        <v>7609</v>
      </c>
      <c r="C27097" s="1" t="s">
        <v>23490</v>
      </c>
      <c r="D27097" s="1" t="str">
        <f>HYPERLINK("https://rhld.insurance.arkansas.gov/NPILookup?Npi=1831183748","1831183748")</f>
        <v>1831183748</v>
      </c>
      <c r="E27097" t="s">
        <v>7592</v>
      </c>
    </row>
    <row r="27098" spans="1:5" x14ac:dyDescent="0.25">
      <c r="A27098" t="s">
        <v>13</v>
      </c>
      <c r="B27098" t="s">
        <v>7609</v>
      </c>
      <c r="C27098" s="1" t="s">
        <v>23490</v>
      </c>
      <c r="D27098" s="1" t="str">
        <f>HYPERLINK("https://rhld.insurance.arkansas.gov/NPILookup?Npi=1831506989","1831506989")</f>
        <v>1831506989</v>
      </c>
      <c r="E27098" t="s">
        <v>7511</v>
      </c>
    </row>
    <row r="27099" spans="1:5" x14ac:dyDescent="0.25">
      <c r="A27099" t="s">
        <v>13</v>
      </c>
      <c r="B27099" t="s">
        <v>7609</v>
      </c>
      <c r="C27099" s="1" t="s">
        <v>23490</v>
      </c>
      <c r="D27099" s="1" t="str">
        <f>HYPERLINK("https://rhld.insurance.arkansas.gov/NPILookup?Npi=1841241833","1841241833")</f>
        <v>1841241833</v>
      </c>
      <c r="E27099" t="s">
        <v>6444</v>
      </c>
    </row>
    <row r="27100" spans="1:5" x14ac:dyDescent="0.25">
      <c r="A27100" t="s">
        <v>13</v>
      </c>
      <c r="B27100" t="s">
        <v>7609</v>
      </c>
      <c r="C27100" s="1" t="s">
        <v>23490</v>
      </c>
      <c r="D27100" s="1" t="str">
        <f>HYPERLINK("https://rhld.insurance.arkansas.gov/NPILookup?Npi=1841379161","1841379161")</f>
        <v>1841379161</v>
      </c>
      <c r="E27100" t="s">
        <v>18227</v>
      </c>
    </row>
    <row r="27101" spans="1:5" x14ac:dyDescent="0.25">
      <c r="A27101" t="s">
        <v>13</v>
      </c>
      <c r="B27101" t="s">
        <v>7609</v>
      </c>
      <c r="C27101" s="1" t="s">
        <v>23490</v>
      </c>
      <c r="D27101" s="1" t="str">
        <f>HYPERLINK("https://rhld.insurance.arkansas.gov/NPILookup?Npi=1841898293","1841898293")</f>
        <v>1841898293</v>
      </c>
      <c r="E27101" t="s">
        <v>18557</v>
      </c>
    </row>
    <row r="27102" spans="1:5" x14ac:dyDescent="0.25">
      <c r="A27102" t="s">
        <v>13</v>
      </c>
      <c r="B27102" t="s">
        <v>7609</v>
      </c>
      <c r="C27102" s="1" t="s">
        <v>23490</v>
      </c>
      <c r="D27102" s="1" t="str">
        <f>HYPERLINK("https://rhld.insurance.arkansas.gov/NPILookup?Npi=1851484695","1851484695")</f>
        <v>1851484695</v>
      </c>
      <c r="E27102" t="s">
        <v>7593</v>
      </c>
    </row>
    <row r="27103" spans="1:5" x14ac:dyDescent="0.25">
      <c r="A27103" t="s">
        <v>13</v>
      </c>
      <c r="B27103" t="s">
        <v>7609</v>
      </c>
      <c r="C27103" s="1" t="s">
        <v>23490</v>
      </c>
      <c r="D27103" s="1" t="str">
        <f>HYPERLINK("https://rhld.insurance.arkansas.gov/NPILookup?Npi=1851812176","1851812176")</f>
        <v>1851812176</v>
      </c>
      <c r="E27103" t="s">
        <v>13282</v>
      </c>
    </row>
    <row r="27104" spans="1:5" x14ac:dyDescent="0.25">
      <c r="A27104" t="s">
        <v>13</v>
      </c>
      <c r="B27104" t="s">
        <v>7609</v>
      </c>
      <c r="C27104" s="1" t="s">
        <v>23490</v>
      </c>
      <c r="D27104" s="1" t="str">
        <f>HYPERLINK("https://rhld.insurance.arkansas.gov/NPILookup?Npi=1861449639","1861449639")</f>
        <v>1861449639</v>
      </c>
      <c r="E27104" t="s">
        <v>7594</v>
      </c>
    </row>
    <row r="27105" spans="1:5" x14ac:dyDescent="0.25">
      <c r="A27105" t="s">
        <v>13</v>
      </c>
      <c r="B27105" t="s">
        <v>7609</v>
      </c>
      <c r="C27105" s="1" t="s">
        <v>23490</v>
      </c>
      <c r="D27105" s="1" t="str">
        <f>HYPERLINK("https://rhld.insurance.arkansas.gov/NPILookup?Npi=1861451114","1861451114")</f>
        <v>1861451114</v>
      </c>
      <c r="E27105" t="s">
        <v>7566</v>
      </c>
    </row>
    <row r="27106" spans="1:5" x14ac:dyDescent="0.25">
      <c r="A27106" t="s">
        <v>13</v>
      </c>
      <c r="B27106" t="s">
        <v>7609</v>
      </c>
      <c r="C27106" s="1" t="s">
        <v>23490</v>
      </c>
      <c r="D27106" s="1" t="str">
        <f>HYPERLINK("https://rhld.insurance.arkansas.gov/NPILookup?Npi=1861576779","1861576779")</f>
        <v>1861576779</v>
      </c>
      <c r="E27106" t="s">
        <v>4108</v>
      </c>
    </row>
    <row r="27107" spans="1:5" x14ac:dyDescent="0.25">
      <c r="A27107" t="s">
        <v>13</v>
      </c>
      <c r="B27107" t="s">
        <v>7609</v>
      </c>
      <c r="C27107" s="1" t="s">
        <v>23490</v>
      </c>
      <c r="D27107" s="1" t="str">
        <f>HYPERLINK("https://rhld.insurance.arkansas.gov/NPILookup?Npi=1871555185","1871555185")</f>
        <v>1871555185</v>
      </c>
      <c r="E27107" t="s">
        <v>7595</v>
      </c>
    </row>
    <row r="27108" spans="1:5" x14ac:dyDescent="0.25">
      <c r="A27108" t="s">
        <v>13</v>
      </c>
      <c r="B27108" t="s">
        <v>7609</v>
      </c>
      <c r="C27108" s="1" t="s">
        <v>23490</v>
      </c>
      <c r="D27108" s="1" t="str">
        <f>HYPERLINK("https://rhld.insurance.arkansas.gov/NPILookup?Npi=1871839613","1871839613")</f>
        <v>1871839613</v>
      </c>
      <c r="E27108" t="s">
        <v>4074</v>
      </c>
    </row>
    <row r="27109" spans="1:5" x14ac:dyDescent="0.25">
      <c r="A27109" t="s">
        <v>13</v>
      </c>
      <c r="B27109" t="s">
        <v>7609</v>
      </c>
      <c r="C27109" s="1" t="s">
        <v>23490</v>
      </c>
      <c r="D27109" s="1" t="str">
        <f>HYPERLINK("https://rhld.insurance.arkansas.gov/NPILookup?Npi=1881635993","1881635993")</f>
        <v>1881635993</v>
      </c>
      <c r="E27109" t="s">
        <v>12020</v>
      </c>
    </row>
    <row r="27110" spans="1:5" x14ac:dyDescent="0.25">
      <c r="A27110" t="s">
        <v>13</v>
      </c>
      <c r="B27110" t="s">
        <v>7609</v>
      </c>
      <c r="C27110" s="1" t="s">
        <v>23490</v>
      </c>
      <c r="D27110" s="1" t="str">
        <f>HYPERLINK("https://rhld.insurance.arkansas.gov/NPILookup?Npi=1881678704","1881678704")</f>
        <v>1881678704</v>
      </c>
      <c r="E27110" t="s">
        <v>7596</v>
      </c>
    </row>
    <row r="27111" spans="1:5" x14ac:dyDescent="0.25">
      <c r="A27111" t="s">
        <v>13</v>
      </c>
      <c r="B27111" t="s">
        <v>7609</v>
      </c>
      <c r="C27111" s="1" t="s">
        <v>23490</v>
      </c>
      <c r="D27111" s="1" t="str">
        <f>HYPERLINK("https://rhld.insurance.arkansas.gov/NPILookup?Npi=1881788933","1881788933")</f>
        <v>1881788933</v>
      </c>
      <c r="E27111" t="s">
        <v>4087</v>
      </c>
    </row>
    <row r="27112" spans="1:5" x14ac:dyDescent="0.25">
      <c r="A27112" t="s">
        <v>13</v>
      </c>
      <c r="B27112" t="s">
        <v>7609</v>
      </c>
      <c r="C27112" s="1" t="s">
        <v>23490</v>
      </c>
      <c r="D27112" s="1" t="str">
        <f>HYPERLINK("https://rhld.insurance.arkansas.gov/NPILookup?Npi=1891778049","1891778049")</f>
        <v>1891778049</v>
      </c>
      <c r="E27112" t="s">
        <v>7598</v>
      </c>
    </row>
    <row r="27113" spans="1:5" x14ac:dyDescent="0.25">
      <c r="A27113" t="s">
        <v>13</v>
      </c>
      <c r="B27113" t="s">
        <v>7609</v>
      </c>
      <c r="C27113" s="1" t="s">
        <v>23490</v>
      </c>
      <c r="D27113" s="1" t="str">
        <f>HYPERLINK("https://rhld.insurance.arkansas.gov/NPILookup?Npi=1891781837","1891781837")</f>
        <v>1891781837</v>
      </c>
      <c r="E27113" t="s">
        <v>7595</v>
      </c>
    </row>
    <row r="27114" spans="1:5" x14ac:dyDescent="0.25">
      <c r="A27114" t="s">
        <v>13</v>
      </c>
      <c r="B27114" t="s">
        <v>7609</v>
      </c>
      <c r="C27114" s="1" t="s">
        <v>23490</v>
      </c>
      <c r="D27114" s="1" t="str">
        <f>HYPERLINK("https://rhld.insurance.arkansas.gov/NPILookup?Npi=1891873337","1891873337")</f>
        <v>1891873337</v>
      </c>
      <c r="E27114" t="s">
        <v>13889</v>
      </c>
    </row>
    <row r="27115" spans="1:5" x14ac:dyDescent="0.25">
      <c r="A27115" t="s">
        <v>13</v>
      </c>
      <c r="B27115" t="s">
        <v>7609</v>
      </c>
      <c r="C27115" s="1" t="s">
        <v>23490</v>
      </c>
      <c r="D27115" s="1" t="str">
        <f>HYPERLINK("https://rhld.insurance.arkansas.gov/NPILookup?Npi=1902051816","1902051816")</f>
        <v>1902051816</v>
      </c>
      <c r="E27115" t="s">
        <v>7599</v>
      </c>
    </row>
    <row r="27116" spans="1:5" x14ac:dyDescent="0.25">
      <c r="A27116" t="s">
        <v>13</v>
      </c>
      <c r="B27116" t="s">
        <v>7609</v>
      </c>
      <c r="C27116" s="1" t="s">
        <v>23490</v>
      </c>
      <c r="D27116" s="1" t="str">
        <f>HYPERLINK("https://rhld.insurance.arkansas.gov/NPILookup?Npi=1902842255","1902842255")</f>
        <v>1902842255</v>
      </c>
      <c r="E27116" t="s">
        <v>7552</v>
      </c>
    </row>
    <row r="27117" spans="1:5" x14ac:dyDescent="0.25">
      <c r="A27117" t="s">
        <v>13</v>
      </c>
      <c r="B27117" t="s">
        <v>7609</v>
      </c>
      <c r="C27117" s="1" t="s">
        <v>23490</v>
      </c>
      <c r="D27117" s="1" t="str">
        <f>HYPERLINK("https://rhld.insurance.arkansas.gov/NPILookup?Npi=1902868391","1902868391")</f>
        <v>1902868391</v>
      </c>
      <c r="E27117" t="s">
        <v>4080</v>
      </c>
    </row>
    <row r="27118" spans="1:5" x14ac:dyDescent="0.25">
      <c r="A27118" t="s">
        <v>13</v>
      </c>
      <c r="B27118" t="s">
        <v>7609</v>
      </c>
      <c r="C27118" s="1" t="s">
        <v>23490</v>
      </c>
      <c r="D27118" s="1" t="str">
        <f>HYPERLINK("https://rhld.insurance.arkansas.gov/NPILookup?Npi=1912314063","1912314063")</f>
        <v>1912314063</v>
      </c>
      <c r="E27118" t="s">
        <v>7511</v>
      </c>
    </row>
    <row r="27119" spans="1:5" x14ac:dyDescent="0.25">
      <c r="A27119" t="s">
        <v>13</v>
      </c>
      <c r="B27119" t="s">
        <v>7609</v>
      </c>
      <c r="C27119" s="1" t="s">
        <v>23490</v>
      </c>
      <c r="D27119" s="1" t="str">
        <f>HYPERLINK("https://rhld.insurance.arkansas.gov/NPILookup?Npi=1912909912","1912909912")</f>
        <v>1912909912</v>
      </c>
      <c r="E27119" t="s">
        <v>7601</v>
      </c>
    </row>
    <row r="27120" spans="1:5" x14ac:dyDescent="0.25">
      <c r="A27120" t="s">
        <v>13</v>
      </c>
      <c r="B27120" t="s">
        <v>7609</v>
      </c>
      <c r="C27120" s="1" t="s">
        <v>23490</v>
      </c>
      <c r="D27120" s="1" t="str">
        <f>HYPERLINK("https://rhld.insurance.arkansas.gov/NPILookup?Npi=1912964081","1912964081")</f>
        <v>1912964081</v>
      </c>
      <c r="E27120" t="s">
        <v>7585</v>
      </c>
    </row>
    <row r="27121" spans="1:5" x14ac:dyDescent="0.25">
      <c r="A27121" t="s">
        <v>13</v>
      </c>
      <c r="B27121" t="s">
        <v>7609</v>
      </c>
      <c r="C27121" s="1" t="s">
        <v>23490</v>
      </c>
      <c r="D27121" s="1" t="str">
        <f>HYPERLINK("https://rhld.insurance.arkansas.gov/NPILookup?Npi=1912978875","1912978875")</f>
        <v>1912978875</v>
      </c>
      <c r="E27121" t="s">
        <v>6507</v>
      </c>
    </row>
    <row r="27122" spans="1:5" x14ac:dyDescent="0.25">
      <c r="A27122" t="s">
        <v>13</v>
      </c>
      <c r="B27122" t="s">
        <v>7609</v>
      </c>
      <c r="C27122" s="1" t="s">
        <v>23490</v>
      </c>
      <c r="D27122" s="1" t="str">
        <f>HYPERLINK("https://rhld.insurance.arkansas.gov/NPILookup?Npi=1922043686","1922043686")</f>
        <v>1922043686</v>
      </c>
      <c r="E27122" t="s">
        <v>7549</v>
      </c>
    </row>
    <row r="27123" spans="1:5" x14ac:dyDescent="0.25">
      <c r="A27123" t="s">
        <v>13</v>
      </c>
      <c r="B27123" t="s">
        <v>7609</v>
      </c>
      <c r="C27123" s="1" t="s">
        <v>23490</v>
      </c>
      <c r="D27123" s="1" t="str">
        <f>HYPERLINK("https://rhld.insurance.arkansas.gov/NPILookup?Npi=1922096585","1922096585")</f>
        <v>1922096585</v>
      </c>
      <c r="E27123" t="s">
        <v>7602</v>
      </c>
    </row>
    <row r="27124" spans="1:5" x14ac:dyDescent="0.25">
      <c r="A27124" t="s">
        <v>13</v>
      </c>
      <c r="B27124" t="s">
        <v>7609</v>
      </c>
      <c r="C27124" s="1" t="s">
        <v>23490</v>
      </c>
      <c r="D27124" s="1" t="str">
        <f>HYPERLINK("https://rhld.insurance.arkansas.gov/NPILookup?Npi=1922353754","1922353754")</f>
        <v>1922353754</v>
      </c>
      <c r="E27124" t="s">
        <v>7603</v>
      </c>
    </row>
    <row r="27125" spans="1:5" x14ac:dyDescent="0.25">
      <c r="A27125" t="s">
        <v>13</v>
      </c>
      <c r="B27125" t="s">
        <v>7609</v>
      </c>
      <c r="C27125" s="1" t="s">
        <v>23490</v>
      </c>
      <c r="D27125" s="1" t="str">
        <f>HYPERLINK("https://rhld.insurance.arkansas.gov/NPILookup?Npi=1932314879","1932314879")</f>
        <v>1932314879</v>
      </c>
      <c r="E27125" t="s">
        <v>7604</v>
      </c>
    </row>
    <row r="27126" spans="1:5" x14ac:dyDescent="0.25">
      <c r="A27126" t="s">
        <v>13</v>
      </c>
      <c r="B27126" t="s">
        <v>7609</v>
      </c>
      <c r="C27126" s="1" t="s">
        <v>23490</v>
      </c>
      <c r="D27126" s="1" t="str">
        <f>HYPERLINK("https://rhld.insurance.arkansas.gov/NPILookup?Npi=1932391307","1932391307")</f>
        <v>1932391307</v>
      </c>
      <c r="E27126" t="s">
        <v>4084</v>
      </c>
    </row>
    <row r="27127" spans="1:5" x14ac:dyDescent="0.25">
      <c r="A27127" t="s">
        <v>13</v>
      </c>
      <c r="B27127" t="s">
        <v>7609</v>
      </c>
      <c r="C27127" s="1" t="s">
        <v>23490</v>
      </c>
      <c r="D27127" s="1" t="str">
        <f>HYPERLINK("https://rhld.insurance.arkansas.gov/NPILookup?Npi=1932421401","1932421401")</f>
        <v>1932421401</v>
      </c>
      <c r="E27127" t="s">
        <v>7605</v>
      </c>
    </row>
    <row r="27128" spans="1:5" x14ac:dyDescent="0.25">
      <c r="A27128" t="s">
        <v>13</v>
      </c>
      <c r="B27128" t="s">
        <v>7609</v>
      </c>
      <c r="C27128" s="1" t="s">
        <v>23490</v>
      </c>
      <c r="D27128" s="1" t="str">
        <f>HYPERLINK("https://rhld.insurance.arkansas.gov/NPILookup?Npi=1942260609","1942260609")</f>
        <v>1942260609</v>
      </c>
      <c r="E27128" t="s">
        <v>7606</v>
      </c>
    </row>
    <row r="27129" spans="1:5" x14ac:dyDescent="0.25">
      <c r="A27129" t="s">
        <v>13</v>
      </c>
      <c r="B27129" t="s">
        <v>7609</v>
      </c>
      <c r="C27129" s="1" t="s">
        <v>23490</v>
      </c>
      <c r="D27129" s="1" t="str">
        <f>HYPERLINK("https://rhld.insurance.arkansas.gov/NPILookup?Npi=1942601547","1942601547")</f>
        <v>1942601547</v>
      </c>
      <c r="E27129" t="s">
        <v>7528</v>
      </c>
    </row>
    <row r="27130" spans="1:5" x14ac:dyDescent="0.25">
      <c r="A27130" t="s">
        <v>13</v>
      </c>
      <c r="B27130" t="s">
        <v>7609</v>
      </c>
      <c r="C27130" s="1" t="s">
        <v>23490</v>
      </c>
      <c r="D27130" s="1" t="str">
        <f>HYPERLINK("https://rhld.insurance.arkansas.gov/NPILookup?Npi=1952308215","1952308215")</f>
        <v>1952308215</v>
      </c>
      <c r="E27130" t="s">
        <v>4106</v>
      </c>
    </row>
    <row r="27131" spans="1:5" x14ac:dyDescent="0.25">
      <c r="A27131" t="s">
        <v>13</v>
      </c>
      <c r="B27131" t="s">
        <v>7609</v>
      </c>
      <c r="C27131" s="1" t="s">
        <v>23490</v>
      </c>
      <c r="D27131" s="1" t="str">
        <f>HYPERLINK("https://rhld.insurance.arkansas.gov/NPILookup?Npi=1952326977","1952326977")</f>
        <v>1952326977</v>
      </c>
      <c r="E27131" t="s">
        <v>4092</v>
      </c>
    </row>
    <row r="27132" spans="1:5" x14ac:dyDescent="0.25">
      <c r="A27132" t="s">
        <v>13</v>
      </c>
      <c r="B27132" t="s">
        <v>7609</v>
      </c>
      <c r="C27132" s="1" t="s">
        <v>23490</v>
      </c>
      <c r="D27132" s="1" t="str">
        <f>HYPERLINK("https://rhld.insurance.arkansas.gov/NPILookup?Npi=1962410183","1962410183")</f>
        <v>1962410183</v>
      </c>
      <c r="E27132" t="s">
        <v>13256</v>
      </c>
    </row>
    <row r="27133" spans="1:5" x14ac:dyDescent="0.25">
      <c r="A27133" t="s">
        <v>13</v>
      </c>
      <c r="B27133" t="s">
        <v>7609</v>
      </c>
      <c r="C27133" s="1" t="s">
        <v>23490</v>
      </c>
      <c r="D27133" s="1" t="str">
        <f>HYPERLINK("https://rhld.insurance.arkansas.gov/NPILookup?Npi=1962446054","1962446054")</f>
        <v>1962446054</v>
      </c>
      <c r="E27133" t="s">
        <v>4097</v>
      </c>
    </row>
    <row r="27134" spans="1:5" x14ac:dyDescent="0.25">
      <c r="A27134" t="s">
        <v>13</v>
      </c>
      <c r="B27134" t="s">
        <v>7609</v>
      </c>
      <c r="C27134" s="1" t="s">
        <v>23490</v>
      </c>
      <c r="D27134" s="1" t="str">
        <f>HYPERLINK("https://rhld.insurance.arkansas.gov/NPILookup?Npi=1962626770","1962626770")</f>
        <v>1962626770</v>
      </c>
      <c r="E27134" t="s">
        <v>14372</v>
      </c>
    </row>
    <row r="27135" spans="1:5" x14ac:dyDescent="0.25">
      <c r="A27135" t="s">
        <v>13</v>
      </c>
      <c r="B27135" t="s">
        <v>7609</v>
      </c>
      <c r="C27135" s="1" t="s">
        <v>23490</v>
      </c>
      <c r="D27135" s="1" t="str">
        <f>HYPERLINK("https://rhld.insurance.arkansas.gov/NPILookup?Npi=1962727271","1962727271")</f>
        <v>1962727271</v>
      </c>
      <c r="E27135" t="s">
        <v>4074</v>
      </c>
    </row>
    <row r="27136" spans="1:5" x14ac:dyDescent="0.25">
      <c r="A27136" t="s">
        <v>13</v>
      </c>
      <c r="B27136" t="s">
        <v>7609</v>
      </c>
      <c r="C27136" s="1" t="s">
        <v>23490</v>
      </c>
      <c r="D27136" s="1" t="str">
        <f>HYPERLINK("https://rhld.insurance.arkansas.gov/NPILookup?Npi=1972539567","1972539567")</f>
        <v>1972539567</v>
      </c>
      <c r="E27136" t="s">
        <v>12000</v>
      </c>
    </row>
    <row r="27137" spans="1:5" x14ac:dyDescent="0.25">
      <c r="A27137" t="s">
        <v>13</v>
      </c>
      <c r="B27137" t="s">
        <v>7609</v>
      </c>
      <c r="C27137" s="1" t="s">
        <v>23490</v>
      </c>
      <c r="D27137" s="1" t="str">
        <f>HYPERLINK("https://rhld.insurance.arkansas.gov/NPILookup?Npi=1972586238","1972586238")</f>
        <v>1972586238</v>
      </c>
      <c r="E27137" t="s">
        <v>7607</v>
      </c>
    </row>
    <row r="27138" spans="1:5" x14ac:dyDescent="0.25">
      <c r="A27138" t="s">
        <v>13</v>
      </c>
      <c r="B27138" t="s">
        <v>7609</v>
      </c>
      <c r="C27138" s="1" t="s">
        <v>23490</v>
      </c>
      <c r="D27138" s="1" t="str">
        <f>HYPERLINK("https://rhld.insurance.arkansas.gov/NPILookup?Npi=1972620649","1972620649")</f>
        <v>1972620649</v>
      </c>
      <c r="E27138" t="s">
        <v>4079</v>
      </c>
    </row>
    <row r="27139" spans="1:5" x14ac:dyDescent="0.25">
      <c r="A27139" t="s">
        <v>13</v>
      </c>
      <c r="B27139" t="s">
        <v>7609</v>
      </c>
      <c r="C27139" s="1" t="s">
        <v>23490</v>
      </c>
      <c r="D27139" s="1" t="str">
        <f>HYPERLINK("https://rhld.insurance.arkansas.gov/NPILookup?Npi=1982615589","1982615589")</f>
        <v>1982615589</v>
      </c>
      <c r="E27139" t="s">
        <v>13256</v>
      </c>
    </row>
    <row r="27140" spans="1:5" x14ac:dyDescent="0.25">
      <c r="A27140" t="s">
        <v>13</v>
      </c>
      <c r="B27140" t="s">
        <v>7609</v>
      </c>
      <c r="C27140" s="1" t="s">
        <v>23490</v>
      </c>
      <c r="D27140" s="1" t="str">
        <f>HYPERLINK("https://rhld.insurance.arkansas.gov/NPILookup?Npi=1982695441","1982695441")</f>
        <v>1982695441</v>
      </c>
      <c r="E27140" t="s">
        <v>7608</v>
      </c>
    </row>
    <row r="27141" spans="1:5" x14ac:dyDescent="0.25">
      <c r="A27141" t="s">
        <v>13</v>
      </c>
      <c r="B27141" t="s">
        <v>7609</v>
      </c>
      <c r="C27141" s="1" t="s">
        <v>23490</v>
      </c>
      <c r="D27141" s="1" t="str">
        <f>HYPERLINK("https://rhld.insurance.arkansas.gov/NPILookup?Npi=1992133714","1992133714")</f>
        <v>1992133714</v>
      </c>
      <c r="E27141" t="s">
        <v>6356</v>
      </c>
    </row>
    <row r="27142" spans="1:5" x14ac:dyDescent="0.25">
      <c r="A27142" t="s">
        <v>13</v>
      </c>
      <c r="B27142" t="s">
        <v>7609</v>
      </c>
      <c r="C27142" s="1" t="s">
        <v>23490</v>
      </c>
      <c r="D27142" s="1" t="str">
        <f>HYPERLINK("https://rhld.insurance.arkansas.gov/NPILookup?Npi=1992760342","1992760342")</f>
        <v>1992760342</v>
      </c>
      <c r="E27142" t="s">
        <v>6522</v>
      </c>
    </row>
    <row r="27143" spans="1:5" x14ac:dyDescent="0.25">
      <c r="A27143" t="s">
        <v>14</v>
      </c>
      <c r="B27143" t="s">
        <v>7610</v>
      </c>
      <c r="C27143" s="1" t="s">
        <v>23490</v>
      </c>
      <c r="D27143" s="1" t="str">
        <f>HYPERLINK("https://rhld.insurance.arkansas.gov/NPILookup?Npi=1003401340","1003401340")</f>
        <v>1003401340</v>
      </c>
      <c r="E27143" t="s">
        <v>19240</v>
      </c>
    </row>
    <row r="27144" spans="1:5" x14ac:dyDescent="0.25">
      <c r="A27144" t="s">
        <v>14</v>
      </c>
      <c r="B27144" t="s">
        <v>7610</v>
      </c>
      <c r="C27144" s="1" t="s">
        <v>23490</v>
      </c>
      <c r="D27144" s="1" t="str">
        <f>HYPERLINK("https://rhld.insurance.arkansas.gov/NPILookup?Npi=1003461955","1003461955")</f>
        <v>1003461955</v>
      </c>
      <c r="E27144" t="s">
        <v>17520</v>
      </c>
    </row>
    <row r="27145" spans="1:5" x14ac:dyDescent="0.25">
      <c r="A27145" t="s">
        <v>14</v>
      </c>
      <c r="B27145" t="s">
        <v>7610</v>
      </c>
      <c r="C27145" s="1" t="s">
        <v>23490</v>
      </c>
      <c r="D27145" s="1" t="str">
        <f>HYPERLINK("https://rhld.insurance.arkansas.gov/NPILookup?Npi=1023363348","1023363348")</f>
        <v>1023363348</v>
      </c>
      <c r="E27145" t="s">
        <v>7512</v>
      </c>
    </row>
    <row r="27146" spans="1:5" x14ac:dyDescent="0.25">
      <c r="A27146" t="s">
        <v>14</v>
      </c>
      <c r="B27146" t="s">
        <v>7610</v>
      </c>
      <c r="C27146" s="1" t="s">
        <v>23490</v>
      </c>
      <c r="D27146" s="1" t="str">
        <f>HYPERLINK("https://rhld.insurance.arkansas.gov/NPILookup?Npi=1043240682","1043240682")</f>
        <v>1043240682</v>
      </c>
      <c r="E27146" t="s">
        <v>4080</v>
      </c>
    </row>
    <row r="27147" spans="1:5" x14ac:dyDescent="0.25">
      <c r="A27147" t="s">
        <v>14</v>
      </c>
      <c r="B27147" t="s">
        <v>7610</v>
      </c>
      <c r="C27147" s="1" t="s">
        <v>23490</v>
      </c>
      <c r="D27147" s="1" t="str">
        <f>HYPERLINK("https://rhld.insurance.arkansas.gov/NPILookup?Npi=1063407138","1063407138")</f>
        <v>1063407138</v>
      </c>
      <c r="E27147" t="s">
        <v>7517</v>
      </c>
    </row>
    <row r="27148" spans="1:5" x14ac:dyDescent="0.25">
      <c r="A27148" t="s">
        <v>14</v>
      </c>
      <c r="B27148" t="s">
        <v>7610</v>
      </c>
      <c r="C27148" s="1" t="s">
        <v>23490</v>
      </c>
      <c r="D27148" s="1" t="str">
        <f>HYPERLINK("https://rhld.insurance.arkansas.gov/NPILookup?Npi=1063415800","1063415800")</f>
        <v>1063415800</v>
      </c>
      <c r="E27148" t="s">
        <v>4067</v>
      </c>
    </row>
    <row r="27149" spans="1:5" x14ac:dyDescent="0.25">
      <c r="A27149" t="s">
        <v>14</v>
      </c>
      <c r="B27149" t="s">
        <v>7610</v>
      </c>
      <c r="C27149" s="1" t="s">
        <v>23490</v>
      </c>
      <c r="D27149" s="1" t="str">
        <f>HYPERLINK("https://rhld.insurance.arkansas.gov/NPILookup?Npi=1063431294","1063431294")</f>
        <v>1063431294</v>
      </c>
      <c r="E27149" t="s">
        <v>4068</v>
      </c>
    </row>
    <row r="27150" spans="1:5" x14ac:dyDescent="0.25">
      <c r="A27150" t="s">
        <v>14</v>
      </c>
      <c r="B27150" t="s">
        <v>7610</v>
      </c>
      <c r="C27150" s="1" t="s">
        <v>23490</v>
      </c>
      <c r="D27150" s="1" t="str">
        <f>HYPERLINK("https://rhld.insurance.arkansas.gov/NPILookup?Npi=1063482735","1063482735")</f>
        <v>1063482735</v>
      </c>
      <c r="E27150" t="s">
        <v>4069</v>
      </c>
    </row>
    <row r="27151" spans="1:5" x14ac:dyDescent="0.25">
      <c r="A27151" t="s">
        <v>14</v>
      </c>
      <c r="B27151" t="s">
        <v>7610</v>
      </c>
      <c r="C27151" s="1" t="s">
        <v>23490</v>
      </c>
      <c r="D27151" s="1" t="str">
        <f>HYPERLINK("https://rhld.insurance.arkansas.gov/NPILookup?Npi=1063551265","1063551265")</f>
        <v>1063551265</v>
      </c>
      <c r="E27151" t="s">
        <v>4070</v>
      </c>
    </row>
    <row r="27152" spans="1:5" x14ac:dyDescent="0.25">
      <c r="A27152" t="s">
        <v>14</v>
      </c>
      <c r="B27152" t="s">
        <v>7610</v>
      </c>
      <c r="C27152" s="1" t="s">
        <v>23490</v>
      </c>
      <c r="D27152" s="1" t="str">
        <f>HYPERLINK("https://rhld.insurance.arkansas.gov/NPILookup?Npi=1063700243","1063700243")</f>
        <v>1063700243</v>
      </c>
      <c r="E27152" t="s">
        <v>6444</v>
      </c>
    </row>
    <row r="27153" spans="1:5" x14ac:dyDescent="0.25">
      <c r="A27153" t="s">
        <v>14</v>
      </c>
      <c r="B27153" t="s">
        <v>7610</v>
      </c>
      <c r="C27153" s="1" t="s">
        <v>23490</v>
      </c>
      <c r="D27153" s="1" t="str">
        <f>HYPERLINK("https://rhld.insurance.arkansas.gov/NPILookup?Npi=1073518593","1073518593")</f>
        <v>1073518593</v>
      </c>
      <c r="E27153" t="s">
        <v>4071</v>
      </c>
    </row>
    <row r="27154" spans="1:5" x14ac:dyDescent="0.25">
      <c r="A27154" t="s">
        <v>14</v>
      </c>
      <c r="B27154" t="s">
        <v>7610</v>
      </c>
      <c r="C27154" s="1" t="s">
        <v>23490</v>
      </c>
      <c r="D27154" s="1" t="str">
        <f>HYPERLINK("https://rhld.insurance.arkansas.gov/NPILookup?Npi=1083609150","1083609150")</f>
        <v>1083609150</v>
      </c>
      <c r="E27154" t="s">
        <v>7517</v>
      </c>
    </row>
    <row r="27155" spans="1:5" x14ac:dyDescent="0.25">
      <c r="A27155" t="s">
        <v>14</v>
      </c>
      <c r="B27155" t="s">
        <v>7610</v>
      </c>
      <c r="C27155" s="1" t="s">
        <v>23490</v>
      </c>
      <c r="D27155" s="1" t="str">
        <f>HYPERLINK("https://rhld.insurance.arkansas.gov/NPILookup?Npi=1083634596","1083634596")</f>
        <v>1083634596</v>
      </c>
      <c r="E27155" t="s">
        <v>17081</v>
      </c>
    </row>
    <row r="27156" spans="1:5" x14ac:dyDescent="0.25">
      <c r="A27156" t="s">
        <v>14</v>
      </c>
      <c r="B27156" t="s">
        <v>7610</v>
      </c>
      <c r="C27156" s="1" t="s">
        <v>23490</v>
      </c>
      <c r="D27156" s="1" t="str">
        <f>HYPERLINK("https://rhld.insurance.arkansas.gov/NPILookup?Npi=1083655757","1083655757")</f>
        <v>1083655757</v>
      </c>
      <c r="E27156" t="s">
        <v>4072</v>
      </c>
    </row>
    <row r="27157" spans="1:5" x14ac:dyDescent="0.25">
      <c r="A27157" t="s">
        <v>14</v>
      </c>
      <c r="B27157" t="s">
        <v>7610</v>
      </c>
      <c r="C27157" s="1" t="s">
        <v>23490</v>
      </c>
      <c r="D27157" s="1" t="str">
        <f>HYPERLINK("https://rhld.insurance.arkansas.gov/NPILookup?Npi=1083687651","1083687651")</f>
        <v>1083687651</v>
      </c>
      <c r="E27157" t="s">
        <v>4073</v>
      </c>
    </row>
    <row r="27158" spans="1:5" x14ac:dyDescent="0.25">
      <c r="A27158" t="s">
        <v>14</v>
      </c>
      <c r="B27158" t="s">
        <v>7610</v>
      </c>
      <c r="C27158" s="1" t="s">
        <v>23490</v>
      </c>
      <c r="D27158" s="1" t="str">
        <f>HYPERLINK("https://rhld.insurance.arkansas.gov/NPILookup?Npi=1083718241","1083718241")</f>
        <v>1083718241</v>
      </c>
      <c r="E27158" t="s">
        <v>7588</v>
      </c>
    </row>
    <row r="27159" spans="1:5" x14ac:dyDescent="0.25">
      <c r="A27159" t="s">
        <v>14</v>
      </c>
      <c r="B27159" t="s">
        <v>7610</v>
      </c>
      <c r="C27159" s="1" t="s">
        <v>23490</v>
      </c>
      <c r="D27159" s="1" t="str">
        <f>HYPERLINK("https://rhld.insurance.arkansas.gov/NPILookup?Npi=1083778302","1083778302")</f>
        <v>1083778302</v>
      </c>
      <c r="E27159" t="s">
        <v>4074</v>
      </c>
    </row>
    <row r="27160" spans="1:5" x14ac:dyDescent="0.25">
      <c r="A27160" t="s">
        <v>14</v>
      </c>
      <c r="B27160" t="s">
        <v>7610</v>
      </c>
      <c r="C27160" s="1" t="s">
        <v>23490</v>
      </c>
      <c r="D27160" s="1" t="str">
        <f>HYPERLINK("https://rhld.insurance.arkansas.gov/NPILookup?Npi=1093785859","1093785859")</f>
        <v>1093785859</v>
      </c>
      <c r="E27160" t="s">
        <v>4075</v>
      </c>
    </row>
    <row r="27161" spans="1:5" x14ac:dyDescent="0.25">
      <c r="A27161" t="s">
        <v>14</v>
      </c>
      <c r="B27161" t="s">
        <v>7610</v>
      </c>
      <c r="C27161" s="1" t="s">
        <v>23490</v>
      </c>
      <c r="D27161" s="1" t="str">
        <f>HYPERLINK("https://rhld.insurance.arkansas.gov/NPILookup?Npi=1104884006","1104884006")</f>
        <v>1104884006</v>
      </c>
      <c r="E27161" t="s">
        <v>4076</v>
      </c>
    </row>
    <row r="27162" spans="1:5" x14ac:dyDescent="0.25">
      <c r="A27162" t="s">
        <v>14</v>
      </c>
      <c r="B27162" t="s">
        <v>7610</v>
      </c>
      <c r="C27162" s="1" t="s">
        <v>23490</v>
      </c>
      <c r="D27162" s="1" t="str">
        <f>HYPERLINK("https://rhld.insurance.arkansas.gov/NPILookup?Npi=1114903523","1114903523")</f>
        <v>1114903523</v>
      </c>
      <c r="E27162" t="s">
        <v>7518</v>
      </c>
    </row>
    <row r="27163" spans="1:5" x14ac:dyDescent="0.25">
      <c r="A27163" t="s">
        <v>14</v>
      </c>
      <c r="B27163" t="s">
        <v>7610</v>
      </c>
      <c r="C27163" s="1" t="s">
        <v>23490</v>
      </c>
      <c r="D27163" s="1" t="str">
        <f>HYPERLINK("https://rhld.insurance.arkansas.gov/NPILookup?Npi=1124021811","1124021811")</f>
        <v>1124021811</v>
      </c>
      <c r="E27163" t="s">
        <v>7519</v>
      </c>
    </row>
    <row r="27164" spans="1:5" x14ac:dyDescent="0.25">
      <c r="A27164" t="s">
        <v>14</v>
      </c>
      <c r="B27164" t="s">
        <v>7610</v>
      </c>
      <c r="C27164" s="1" t="s">
        <v>23490</v>
      </c>
      <c r="D27164" s="1" t="str">
        <f>HYPERLINK("https://rhld.insurance.arkansas.gov/NPILookup?Npi=1124144563","1124144563")</f>
        <v>1124144563</v>
      </c>
      <c r="E27164" t="s">
        <v>4077</v>
      </c>
    </row>
    <row r="27165" spans="1:5" x14ac:dyDescent="0.25">
      <c r="A27165" t="s">
        <v>14</v>
      </c>
      <c r="B27165" t="s">
        <v>7610</v>
      </c>
      <c r="C27165" s="1" t="s">
        <v>23490</v>
      </c>
      <c r="D27165" s="1" t="str">
        <f>HYPERLINK("https://rhld.insurance.arkansas.gov/NPILookup?Npi=1134521685","1134521685")</f>
        <v>1134521685</v>
      </c>
      <c r="E27165" t="s">
        <v>11492</v>
      </c>
    </row>
    <row r="27166" spans="1:5" x14ac:dyDescent="0.25">
      <c r="A27166" t="s">
        <v>14</v>
      </c>
      <c r="B27166" t="s">
        <v>7610</v>
      </c>
      <c r="C27166" s="1" t="s">
        <v>23490</v>
      </c>
      <c r="D27166" s="1" t="str">
        <f>HYPERLINK("https://rhld.insurance.arkansas.gov/NPILookup?Npi=1134879208","1134879208")</f>
        <v>1134879208</v>
      </c>
      <c r="E27166" t="s">
        <v>6270</v>
      </c>
    </row>
    <row r="27167" spans="1:5" x14ac:dyDescent="0.25">
      <c r="A27167" t="s">
        <v>14</v>
      </c>
      <c r="B27167" t="s">
        <v>7610</v>
      </c>
      <c r="C27167" s="1" t="s">
        <v>23490</v>
      </c>
      <c r="D27167" s="1" t="str">
        <f>HYPERLINK("https://rhld.insurance.arkansas.gov/NPILookup?Npi=1154894954","1154894954")</f>
        <v>1154894954</v>
      </c>
      <c r="E27167" t="s">
        <v>21090</v>
      </c>
    </row>
    <row r="27168" spans="1:5" x14ac:dyDescent="0.25">
      <c r="A27168" t="s">
        <v>14</v>
      </c>
      <c r="B27168" t="s">
        <v>7610</v>
      </c>
      <c r="C27168" s="1" t="s">
        <v>23490</v>
      </c>
      <c r="D27168" s="1" t="str">
        <f>HYPERLINK("https://rhld.insurance.arkansas.gov/NPILookup?Npi=1164779989","1164779989")</f>
        <v>1164779989</v>
      </c>
      <c r="E27168" t="s">
        <v>7603</v>
      </c>
    </row>
    <row r="27169" spans="1:5" x14ac:dyDescent="0.25">
      <c r="A27169" t="s">
        <v>14</v>
      </c>
      <c r="B27169" t="s">
        <v>7610</v>
      </c>
      <c r="C27169" s="1" t="s">
        <v>23490</v>
      </c>
      <c r="D27169" s="1" t="str">
        <f>HYPERLINK("https://rhld.insurance.arkansas.gov/NPILookup?Npi=1174252985","1174252985")</f>
        <v>1174252985</v>
      </c>
      <c r="E27169" t="s">
        <v>17520</v>
      </c>
    </row>
    <row r="27170" spans="1:5" x14ac:dyDescent="0.25">
      <c r="A27170" t="s">
        <v>14</v>
      </c>
      <c r="B27170" t="s">
        <v>7610</v>
      </c>
      <c r="C27170" s="1" t="s">
        <v>23490</v>
      </c>
      <c r="D27170" s="1" t="str">
        <f>HYPERLINK("https://rhld.insurance.arkansas.gov/NPILookup?Npi=1184629594","1184629594")</f>
        <v>1184629594</v>
      </c>
      <c r="E27170" t="s">
        <v>20285</v>
      </c>
    </row>
    <row r="27171" spans="1:5" x14ac:dyDescent="0.25">
      <c r="A27171" t="s">
        <v>14</v>
      </c>
      <c r="B27171" t="s">
        <v>7610</v>
      </c>
      <c r="C27171" s="1" t="s">
        <v>23490</v>
      </c>
      <c r="D27171" s="1" t="str">
        <f>HYPERLINK("https://rhld.insurance.arkansas.gov/NPILookup?Npi=1184997447","1184997447")</f>
        <v>1184997447</v>
      </c>
      <c r="E27171" t="s">
        <v>4078</v>
      </c>
    </row>
    <row r="27172" spans="1:5" x14ac:dyDescent="0.25">
      <c r="A27172" t="s">
        <v>14</v>
      </c>
      <c r="B27172" t="s">
        <v>7610</v>
      </c>
      <c r="C27172" s="1" t="s">
        <v>23490</v>
      </c>
      <c r="D27172" s="1" t="str">
        <f>HYPERLINK("https://rhld.insurance.arkansas.gov/NPILookup?Npi=1194482034","1194482034")</f>
        <v>1194482034</v>
      </c>
      <c r="E27172" t="s">
        <v>21766</v>
      </c>
    </row>
    <row r="27173" spans="1:5" x14ac:dyDescent="0.25">
      <c r="A27173" t="s">
        <v>14</v>
      </c>
      <c r="B27173" t="s">
        <v>7610</v>
      </c>
      <c r="C27173" s="1" t="s">
        <v>23490</v>
      </c>
      <c r="D27173" s="1" t="str">
        <f>HYPERLINK("https://rhld.insurance.arkansas.gov/NPILookup?Npi=1194741611","1194741611")</f>
        <v>1194741611</v>
      </c>
      <c r="E27173" t="s">
        <v>4079</v>
      </c>
    </row>
    <row r="27174" spans="1:5" x14ac:dyDescent="0.25">
      <c r="A27174" t="s">
        <v>14</v>
      </c>
      <c r="B27174" t="s">
        <v>7610</v>
      </c>
      <c r="C27174" s="1" t="s">
        <v>23490</v>
      </c>
      <c r="D27174" s="1" t="str">
        <f>HYPERLINK("https://rhld.insurance.arkansas.gov/NPILookup?Npi=1205454808","1205454808")</f>
        <v>1205454808</v>
      </c>
      <c r="E27174" t="s">
        <v>17519</v>
      </c>
    </row>
    <row r="27175" spans="1:5" x14ac:dyDescent="0.25">
      <c r="A27175" t="s">
        <v>14</v>
      </c>
      <c r="B27175" t="s">
        <v>7610</v>
      </c>
      <c r="C27175" s="1" t="s">
        <v>23490</v>
      </c>
      <c r="D27175" s="1" t="str">
        <f>HYPERLINK("https://rhld.insurance.arkansas.gov/NPILookup?Npi=1205940236","1205940236")</f>
        <v>1205940236</v>
      </c>
      <c r="E27175" t="s">
        <v>20285</v>
      </c>
    </row>
    <row r="27176" spans="1:5" x14ac:dyDescent="0.25">
      <c r="A27176" t="s">
        <v>14</v>
      </c>
      <c r="B27176" t="s">
        <v>7610</v>
      </c>
      <c r="C27176" s="1" t="s">
        <v>23490</v>
      </c>
      <c r="D27176" s="1" t="str">
        <f>HYPERLINK("https://rhld.insurance.arkansas.gov/NPILookup?Npi=1245357912","1245357912")</f>
        <v>1245357912</v>
      </c>
      <c r="E27176" t="s">
        <v>4079</v>
      </c>
    </row>
    <row r="27177" spans="1:5" x14ac:dyDescent="0.25">
      <c r="A27177" t="s">
        <v>14</v>
      </c>
      <c r="B27177" t="s">
        <v>7610</v>
      </c>
      <c r="C27177" s="1" t="s">
        <v>23490</v>
      </c>
      <c r="D27177" s="1" t="str">
        <f>HYPERLINK("https://rhld.insurance.arkansas.gov/NPILookup?Npi=1245568567","1245568567")</f>
        <v>1245568567</v>
      </c>
      <c r="E27177" t="s">
        <v>7540</v>
      </c>
    </row>
    <row r="27178" spans="1:5" x14ac:dyDescent="0.25">
      <c r="A27178" t="s">
        <v>14</v>
      </c>
      <c r="B27178" t="s">
        <v>7610</v>
      </c>
      <c r="C27178" s="1" t="s">
        <v>23490</v>
      </c>
      <c r="D27178" s="1" t="str">
        <f>HYPERLINK("https://rhld.insurance.arkansas.gov/NPILookup?Npi=1255377420","1255377420")</f>
        <v>1255377420</v>
      </c>
      <c r="E27178" t="s">
        <v>4080</v>
      </c>
    </row>
    <row r="27179" spans="1:5" x14ac:dyDescent="0.25">
      <c r="A27179" t="s">
        <v>14</v>
      </c>
      <c r="B27179" t="s">
        <v>7610</v>
      </c>
      <c r="C27179" s="1" t="s">
        <v>23490</v>
      </c>
      <c r="D27179" s="1" t="str">
        <f>HYPERLINK("https://rhld.insurance.arkansas.gov/NPILookup?Npi=1255971610","1255971610")</f>
        <v>1255971610</v>
      </c>
      <c r="E27179" t="s">
        <v>18224</v>
      </c>
    </row>
    <row r="27180" spans="1:5" x14ac:dyDescent="0.25">
      <c r="A27180" t="s">
        <v>14</v>
      </c>
      <c r="B27180" t="s">
        <v>7610</v>
      </c>
      <c r="C27180" s="1" t="s">
        <v>23490</v>
      </c>
      <c r="D27180" s="1" t="str">
        <f>HYPERLINK("https://rhld.insurance.arkansas.gov/NPILookup?Npi=1265090518","1265090518")</f>
        <v>1265090518</v>
      </c>
      <c r="E27180" t="s">
        <v>15933</v>
      </c>
    </row>
    <row r="27181" spans="1:5" x14ac:dyDescent="0.25">
      <c r="A27181" t="s">
        <v>14</v>
      </c>
      <c r="B27181" t="s">
        <v>7610</v>
      </c>
      <c r="C27181" s="1" t="s">
        <v>23490</v>
      </c>
      <c r="D27181" s="1" t="str">
        <f>HYPERLINK("https://rhld.insurance.arkansas.gov/NPILookup?Npi=1265481337","1265481337")</f>
        <v>1265481337</v>
      </c>
      <c r="E27181" t="s">
        <v>4081</v>
      </c>
    </row>
    <row r="27182" spans="1:5" x14ac:dyDescent="0.25">
      <c r="A27182" t="s">
        <v>14</v>
      </c>
      <c r="B27182" t="s">
        <v>7610</v>
      </c>
      <c r="C27182" s="1" t="s">
        <v>23490</v>
      </c>
      <c r="D27182" s="1" t="str">
        <f>HYPERLINK("https://rhld.insurance.arkansas.gov/NPILookup?Npi=1265824643","1265824643")</f>
        <v>1265824643</v>
      </c>
      <c r="E27182" t="s">
        <v>4074</v>
      </c>
    </row>
    <row r="27183" spans="1:5" x14ac:dyDescent="0.25">
      <c r="A27183" t="s">
        <v>14</v>
      </c>
      <c r="B27183" t="s">
        <v>7610</v>
      </c>
      <c r="C27183" s="1" t="s">
        <v>23490</v>
      </c>
      <c r="D27183" s="1" t="str">
        <f>HYPERLINK("https://rhld.insurance.arkansas.gov/NPILookup?Npi=1275739062","1275739062")</f>
        <v>1275739062</v>
      </c>
      <c r="E27183" t="s">
        <v>21091</v>
      </c>
    </row>
    <row r="27184" spans="1:5" x14ac:dyDescent="0.25">
      <c r="A27184" t="s">
        <v>14</v>
      </c>
      <c r="B27184" t="s">
        <v>7610</v>
      </c>
      <c r="C27184" s="1" t="s">
        <v>23490</v>
      </c>
      <c r="D27184" s="1" t="str">
        <f>HYPERLINK("https://rhld.insurance.arkansas.gov/NPILookup?Npi=1285273219","1285273219")</f>
        <v>1285273219</v>
      </c>
      <c r="E27184" t="s">
        <v>21767</v>
      </c>
    </row>
    <row r="27185" spans="1:5" x14ac:dyDescent="0.25">
      <c r="A27185" t="s">
        <v>14</v>
      </c>
      <c r="B27185" t="s">
        <v>7610</v>
      </c>
      <c r="C27185" s="1" t="s">
        <v>23490</v>
      </c>
      <c r="D27185" s="1" t="str">
        <f>HYPERLINK("https://rhld.insurance.arkansas.gov/NPILookup?Npi=1295726156","1295726156")</f>
        <v>1295726156</v>
      </c>
      <c r="E27185" t="s">
        <v>4082</v>
      </c>
    </row>
    <row r="27186" spans="1:5" x14ac:dyDescent="0.25">
      <c r="A27186" t="s">
        <v>14</v>
      </c>
      <c r="B27186" t="s">
        <v>7610</v>
      </c>
      <c r="C27186" s="1" t="s">
        <v>23490</v>
      </c>
      <c r="D27186" s="1" t="str">
        <f>HYPERLINK("https://rhld.insurance.arkansas.gov/NPILookup?Npi=1295792125","1295792125")</f>
        <v>1295792125</v>
      </c>
      <c r="E27186" t="s">
        <v>11493</v>
      </c>
    </row>
    <row r="27187" spans="1:5" x14ac:dyDescent="0.25">
      <c r="A27187" t="s">
        <v>14</v>
      </c>
      <c r="B27187" t="s">
        <v>7610</v>
      </c>
      <c r="C27187" s="1" t="s">
        <v>23490</v>
      </c>
      <c r="D27187" s="1" t="str">
        <f>HYPERLINK("https://rhld.insurance.arkansas.gov/NPILookup?Npi=1295817260","1295817260")</f>
        <v>1295817260</v>
      </c>
      <c r="E27187" t="s">
        <v>4083</v>
      </c>
    </row>
    <row r="27188" spans="1:5" x14ac:dyDescent="0.25">
      <c r="A27188" t="s">
        <v>14</v>
      </c>
      <c r="B27188" t="s">
        <v>7610</v>
      </c>
      <c r="C27188" s="1" t="s">
        <v>23490</v>
      </c>
      <c r="D27188" s="1" t="str">
        <f>HYPERLINK("https://rhld.insurance.arkansas.gov/NPILookup?Npi=1295839991","1295839991")</f>
        <v>1295839991</v>
      </c>
      <c r="E27188" t="s">
        <v>7518</v>
      </c>
    </row>
    <row r="27189" spans="1:5" x14ac:dyDescent="0.25">
      <c r="A27189" t="s">
        <v>14</v>
      </c>
      <c r="B27189" t="s">
        <v>7610</v>
      </c>
      <c r="C27189" s="1" t="s">
        <v>23490</v>
      </c>
      <c r="D27189" s="1" t="str">
        <f>HYPERLINK("https://rhld.insurance.arkansas.gov/NPILookup?Npi=1306032339","1306032339")</f>
        <v>1306032339</v>
      </c>
      <c r="E27189" t="s">
        <v>4084</v>
      </c>
    </row>
    <row r="27190" spans="1:5" x14ac:dyDescent="0.25">
      <c r="A27190" t="s">
        <v>14</v>
      </c>
      <c r="B27190" t="s">
        <v>7610</v>
      </c>
      <c r="C27190" s="1" t="s">
        <v>23490</v>
      </c>
      <c r="D27190" s="1" t="str">
        <f>HYPERLINK("https://rhld.insurance.arkansas.gov/NPILookup?Npi=1306484860","1306484860")</f>
        <v>1306484860</v>
      </c>
      <c r="E27190" t="s">
        <v>17520</v>
      </c>
    </row>
    <row r="27191" spans="1:5" x14ac:dyDescent="0.25">
      <c r="A27191" t="s">
        <v>14</v>
      </c>
      <c r="B27191" t="s">
        <v>7610</v>
      </c>
      <c r="C27191" s="1" t="s">
        <v>23490</v>
      </c>
      <c r="D27191" s="1" t="str">
        <f>HYPERLINK("https://rhld.insurance.arkansas.gov/NPILookup?Npi=1306998794","1306998794")</f>
        <v>1306998794</v>
      </c>
      <c r="E27191" t="s">
        <v>9208</v>
      </c>
    </row>
    <row r="27192" spans="1:5" x14ac:dyDescent="0.25">
      <c r="A27192" t="s">
        <v>14</v>
      </c>
      <c r="B27192" t="s">
        <v>7610</v>
      </c>
      <c r="C27192" s="1" t="s">
        <v>23490</v>
      </c>
      <c r="D27192" s="1" t="str">
        <f>HYPERLINK("https://rhld.insurance.arkansas.gov/NPILookup?Npi=1316180748","1316180748")</f>
        <v>1316180748</v>
      </c>
      <c r="E27192" t="s">
        <v>7545</v>
      </c>
    </row>
    <row r="27193" spans="1:5" x14ac:dyDescent="0.25">
      <c r="A27193" t="s">
        <v>14</v>
      </c>
      <c r="B27193" t="s">
        <v>7610</v>
      </c>
      <c r="C27193" s="1" t="s">
        <v>23490</v>
      </c>
      <c r="D27193" s="1" t="str">
        <f>HYPERLINK("https://rhld.insurance.arkansas.gov/NPILookup?Npi=1326116518","1326116518")</f>
        <v>1326116518</v>
      </c>
      <c r="E27193" t="s">
        <v>8998</v>
      </c>
    </row>
    <row r="27194" spans="1:5" x14ac:dyDescent="0.25">
      <c r="A27194" t="s">
        <v>14</v>
      </c>
      <c r="B27194" t="s">
        <v>7610</v>
      </c>
      <c r="C27194" s="1" t="s">
        <v>23490</v>
      </c>
      <c r="D27194" s="1" t="str">
        <f>HYPERLINK("https://rhld.insurance.arkansas.gov/NPILookup?Npi=1326384462","1326384462")</f>
        <v>1326384462</v>
      </c>
      <c r="E27194" t="s">
        <v>7537</v>
      </c>
    </row>
    <row r="27195" spans="1:5" x14ac:dyDescent="0.25">
      <c r="A27195" t="s">
        <v>14</v>
      </c>
      <c r="B27195" t="s">
        <v>7610</v>
      </c>
      <c r="C27195" s="1" t="s">
        <v>23490</v>
      </c>
      <c r="D27195" s="1" t="str">
        <f>HYPERLINK("https://rhld.insurance.arkansas.gov/NPILookup?Npi=1326713215","1326713215")</f>
        <v>1326713215</v>
      </c>
      <c r="E27195" t="s">
        <v>21768</v>
      </c>
    </row>
    <row r="27196" spans="1:5" x14ac:dyDescent="0.25">
      <c r="A27196" t="s">
        <v>14</v>
      </c>
      <c r="B27196" t="s">
        <v>7610</v>
      </c>
      <c r="C27196" s="1" t="s">
        <v>23490</v>
      </c>
      <c r="D27196" s="1" t="str">
        <f>HYPERLINK("https://rhld.insurance.arkansas.gov/NPILookup?Npi=1356552806","1356552806")</f>
        <v>1356552806</v>
      </c>
      <c r="E27196" t="s">
        <v>4085</v>
      </c>
    </row>
    <row r="27197" spans="1:5" x14ac:dyDescent="0.25">
      <c r="A27197" t="s">
        <v>14</v>
      </c>
      <c r="B27197" t="s">
        <v>7610</v>
      </c>
      <c r="C27197" s="1" t="s">
        <v>23490</v>
      </c>
      <c r="D27197" s="1" t="str">
        <f>HYPERLINK("https://rhld.insurance.arkansas.gov/NPILookup?Npi=1366654915","1366654915")</f>
        <v>1366654915</v>
      </c>
      <c r="E27197" t="s">
        <v>4086</v>
      </c>
    </row>
    <row r="27198" spans="1:5" x14ac:dyDescent="0.25">
      <c r="A27198" t="s">
        <v>14</v>
      </c>
      <c r="B27198" t="s">
        <v>7610</v>
      </c>
      <c r="C27198" s="1" t="s">
        <v>23490</v>
      </c>
      <c r="D27198" s="1" t="str">
        <f>HYPERLINK("https://rhld.insurance.arkansas.gov/NPILookup?Npi=1366855223","1366855223")</f>
        <v>1366855223</v>
      </c>
      <c r="E27198" t="s">
        <v>4087</v>
      </c>
    </row>
    <row r="27199" spans="1:5" x14ac:dyDescent="0.25">
      <c r="A27199" t="s">
        <v>14</v>
      </c>
      <c r="B27199" t="s">
        <v>7610</v>
      </c>
      <c r="C27199" s="1" t="s">
        <v>23490</v>
      </c>
      <c r="D27199" s="1" t="str">
        <f>HYPERLINK("https://rhld.insurance.arkansas.gov/NPILookup?Npi=1376562678","1376562678")</f>
        <v>1376562678</v>
      </c>
      <c r="E27199" t="s">
        <v>4088</v>
      </c>
    </row>
    <row r="27200" spans="1:5" x14ac:dyDescent="0.25">
      <c r="A27200" t="s">
        <v>14</v>
      </c>
      <c r="B27200" t="s">
        <v>7610</v>
      </c>
      <c r="C27200" s="1" t="s">
        <v>23490</v>
      </c>
      <c r="D27200" s="1" t="str">
        <f>HYPERLINK("https://rhld.insurance.arkansas.gov/NPILookup?Npi=1376805515","1376805515")</f>
        <v>1376805515</v>
      </c>
      <c r="E27200" t="s">
        <v>18225</v>
      </c>
    </row>
    <row r="27201" spans="1:5" x14ac:dyDescent="0.25">
      <c r="A27201" t="s">
        <v>14</v>
      </c>
      <c r="B27201" t="s">
        <v>7610</v>
      </c>
      <c r="C27201" s="1" t="s">
        <v>23490</v>
      </c>
      <c r="D27201" s="1" t="str">
        <f>HYPERLINK("https://rhld.insurance.arkansas.gov/NPILookup?Npi=1386617934","1386617934")</f>
        <v>1386617934</v>
      </c>
      <c r="E27201" t="s">
        <v>6370</v>
      </c>
    </row>
    <row r="27202" spans="1:5" x14ac:dyDescent="0.25">
      <c r="A27202" t="s">
        <v>14</v>
      </c>
      <c r="B27202" t="s">
        <v>7610</v>
      </c>
      <c r="C27202" s="1" t="s">
        <v>23490</v>
      </c>
      <c r="D27202" s="1" t="str">
        <f>HYPERLINK("https://rhld.insurance.arkansas.gov/NPILookup?Npi=1396767158","1396767158")</f>
        <v>1396767158</v>
      </c>
      <c r="E27202" t="s">
        <v>4078</v>
      </c>
    </row>
    <row r="27203" spans="1:5" x14ac:dyDescent="0.25">
      <c r="A27203" t="s">
        <v>14</v>
      </c>
      <c r="B27203" t="s">
        <v>7610</v>
      </c>
      <c r="C27203" s="1" t="s">
        <v>23490</v>
      </c>
      <c r="D27203" s="1" t="str">
        <f>HYPERLINK("https://rhld.insurance.arkansas.gov/NPILookup?Npi=1417143447","1417143447")</f>
        <v>1417143447</v>
      </c>
      <c r="E27203" t="s">
        <v>11495</v>
      </c>
    </row>
    <row r="27204" spans="1:5" x14ac:dyDescent="0.25">
      <c r="A27204" t="s">
        <v>14</v>
      </c>
      <c r="B27204" t="s">
        <v>7610</v>
      </c>
      <c r="C27204" s="1" t="s">
        <v>23490</v>
      </c>
      <c r="D27204" s="1" t="str">
        <f>HYPERLINK("https://rhld.insurance.arkansas.gov/NPILookup?Npi=1417199225","1417199225")</f>
        <v>1417199225</v>
      </c>
      <c r="E27204" t="s">
        <v>4089</v>
      </c>
    </row>
    <row r="27205" spans="1:5" x14ac:dyDescent="0.25">
      <c r="A27205" t="s">
        <v>14</v>
      </c>
      <c r="B27205" t="s">
        <v>7610</v>
      </c>
      <c r="C27205" s="1" t="s">
        <v>23490</v>
      </c>
      <c r="D27205" s="1" t="str">
        <f>HYPERLINK("https://rhld.insurance.arkansas.gov/NPILookup?Npi=1417979204","1417979204")</f>
        <v>1417979204</v>
      </c>
      <c r="E27205" t="s">
        <v>4090</v>
      </c>
    </row>
    <row r="27206" spans="1:5" x14ac:dyDescent="0.25">
      <c r="A27206" t="s">
        <v>14</v>
      </c>
      <c r="B27206" t="s">
        <v>7610</v>
      </c>
      <c r="C27206" s="1" t="s">
        <v>23490</v>
      </c>
      <c r="D27206" s="1" t="str">
        <f>HYPERLINK("https://rhld.insurance.arkansas.gov/NPILookup?Npi=1427531169","1427531169")</f>
        <v>1427531169</v>
      </c>
      <c r="E27206" t="s">
        <v>13886</v>
      </c>
    </row>
    <row r="27207" spans="1:5" x14ac:dyDescent="0.25">
      <c r="A27207" t="s">
        <v>14</v>
      </c>
      <c r="B27207" t="s">
        <v>7610</v>
      </c>
      <c r="C27207" s="1" t="s">
        <v>23490</v>
      </c>
      <c r="D27207" s="1" t="str">
        <f>HYPERLINK("https://rhld.insurance.arkansas.gov/NPILookup?Npi=1437111713","1437111713")</f>
        <v>1437111713</v>
      </c>
      <c r="E27207" t="s">
        <v>8999</v>
      </c>
    </row>
    <row r="27208" spans="1:5" x14ac:dyDescent="0.25">
      <c r="A27208" t="s">
        <v>14</v>
      </c>
      <c r="B27208" t="s">
        <v>7610</v>
      </c>
      <c r="C27208" s="1" t="s">
        <v>23490</v>
      </c>
      <c r="D27208" s="1" t="str">
        <f>HYPERLINK("https://rhld.insurance.arkansas.gov/NPILookup?Npi=1437179710","1437179710")</f>
        <v>1437179710</v>
      </c>
      <c r="E27208" t="s">
        <v>4091</v>
      </c>
    </row>
    <row r="27209" spans="1:5" x14ac:dyDescent="0.25">
      <c r="A27209" t="s">
        <v>14</v>
      </c>
      <c r="B27209" t="s">
        <v>7610</v>
      </c>
      <c r="C27209" s="1" t="s">
        <v>23490</v>
      </c>
      <c r="D27209" s="1" t="str">
        <f>HYPERLINK("https://rhld.insurance.arkansas.gov/NPILookup?Npi=1447380423","1447380423")</f>
        <v>1447380423</v>
      </c>
      <c r="E27209" t="s">
        <v>21092</v>
      </c>
    </row>
    <row r="27210" spans="1:5" x14ac:dyDescent="0.25">
      <c r="A27210" t="s">
        <v>14</v>
      </c>
      <c r="B27210" t="s">
        <v>7610</v>
      </c>
      <c r="C27210" s="1" t="s">
        <v>23490</v>
      </c>
      <c r="D27210" s="1" t="str">
        <f>HYPERLINK("https://rhld.insurance.arkansas.gov/NPILookup?Npi=1447723143","1447723143")</f>
        <v>1447723143</v>
      </c>
      <c r="E27210" t="s">
        <v>18226</v>
      </c>
    </row>
    <row r="27211" spans="1:5" x14ac:dyDescent="0.25">
      <c r="A27211" t="s">
        <v>14</v>
      </c>
      <c r="B27211" t="s">
        <v>7610</v>
      </c>
      <c r="C27211" s="1" t="s">
        <v>23490</v>
      </c>
      <c r="D27211" s="1" t="str">
        <f>HYPERLINK("https://rhld.insurance.arkansas.gov/NPILookup?Npi=1457413551","1457413551")</f>
        <v>1457413551</v>
      </c>
      <c r="E27211" t="s">
        <v>4092</v>
      </c>
    </row>
    <row r="27212" spans="1:5" x14ac:dyDescent="0.25">
      <c r="A27212" t="s">
        <v>14</v>
      </c>
      <c r="B27212" t="s">
        <v>7610</v>
      </c>
      <c r="C27212" s="1" t="s">
        <v>23490</v>
      </c>
      <c r="D27212" s="1" t="str">
        <f>HYPERLINK("https://rhld.insurance.arkansas.gov/NPILookup?Npi=1467196386","1467196386")</f>
        <v>1467196386</v>
      </c>
      <c r="E27212" t="s">
        <v>21093</v>
      </c>
    </row>
    <row r="27213" spans="1:5" x14ac:dyDescent="0.25">
      <c r="A27213" t="s">
        <v>14</v>
      </c>
      <c r="B27213" t="s">
        <v>7610</v>
      </c>
      <c r="C27213" s="1" t="s">
        <v>23490</v>
      </c>
      <c r="D27213" s="1" t="str">
        <f>HYPERLINK("https://rhld.insurance.arkansas.gov/NPILookup?Npi=1467896613","1467896613")</f>
        <v>1467896613</v>
      </c>
      <c r="E27213" t="s">
        <v>4093</v>
      </c>
    </row>
    <row r="27214" spans="1:5" x14ac:dyDescent="0.25">
      <c r="A27214" t="s">
        <v>14</v>
      </c>
      <c r="B27214" t="s">
        <v>7610</v>
      </c>
      <c r="C27214" s="1" t="s">
        <v>23490</v>
      </c>
      <c r="D27214" s="1" t="str">
        <f>HYPERLINK("https://rhld.insurance.arkansas.gov/NPILookup?Npi=1477039782","1477039782")</f>
        <v>1477039782</v>
      </c>
      <c r="E27214" t="s">
        <v>13887</v>
      </c>
    </row>
    <row r="27215" spans="1:5" x14ac:dyDescent="0.25">
      <c r="A27215" t="s">
        <v>14</v>
      </c>
      <c r="B27215" t="s">
        <v>7610</v>
      </c>
      <c r="C27215" s="1" t="s">
        <v>23490</v>
      </c>
      <c r="D27215" s="1" t="str">
        <f>HYPERLINK("https://rhld.insurance.arkansas.gov/NPILookup?Npi=1497770424","1497770424")</f>
        <v>1497770424</v>
      </c>
      <c r="E27215" t="s">
        <v>4088</v>
      </c>
    </row>
    <row r="27216" spans="1:5" x14ac:dyDescent="0.25">
      <c r="A27216" t="s">
        <v>14</v>
      </c>
      <c r="B27216" t="s">
        <v>7610</v>
      </c>
      <c r="C27216" s="1" t="s">
        <v>23490</v>
      </c>
      <c r="D27216" s="1" t="str">
        <f>HYPERLINK("https://rhld.insurance.arkansas.gov/NPILookup?Npi=1528360989","1528360989")</f>
        <v>1528360989</v>
      </c>
      <c r="E27216" t="s">
        <v>7569</v>
      </c>
    </row>
    <row r="27217" spans="1:5" x14ac:dyDescent="0.25">
      <c r="A27217" t="s">
        <v>14</v>
      </c>
      <c r="B27217" t="s">
        <v>7610</v>
      </c>
      <c r="C27217" s="1" t="s">
        <v>23490</v>
      </c>
      <c r="D27217" s="1" t="str">
        <f>HYPERLINK("https://rhld.insurance.arkansas.gov/NPILookup?Npi=1538107776","1538107776")</f>
        <v>1538107776</v>
      </c>
      <c r="E27217" t="s">
        <v>4094</v>
      </c>
    </row>
    <row r="27218" spans="1:5" x14ac:dyDescent="0.25">
      <c r="A27218" t="s">
        <v>14</v>
      </c>
      <c r="B27218" t="s">
        <v>7610</v>
      </c>
      <c r="C27218" s="1" t="s">
        <v>23490</v>
      </c>
      <c r="D27218" s="1" t="str">
        <f>HYPERLINK("https://rhld.insurance.arkansas.gov/NPILookup?Npi=1548325251","1548325251")</f>
        <v>1548325251</v>
      </c>
      <c r="E27218" t="s">
        <v>4095</v>
      </c>
    </row>
    <row r="27219" spans="1:5" x14ac:dyDescent="0.25">
      <c r="A27219" t="s">
        <v>14</v>
      </c>
      <c r="B27219" t="s">
        <v>7610</v>
      </c>
      <c r="C27219" s="1" t="s">
        <v>23490</v>
      </c>
      <c r="D27219" s="1" t="str">
        <f>HYPERLINK("https://rhld.insurance.arkansas.gov/NPILookup?Npi=1548374499","1548374499")</f>
        <v>1548374499</v>
      </c>
      <c r="E27219" t="s">
        <v>20286</v>
      </c>
    </row>
    <row r="27220" spans="1:5" x14ac:dyDescent="0.25">
      <c r="A27220" t="s">
        <v>14</v>
      </c>
      <c r="B27220" t="s">
        <v>7610</v>
      </c>
      <c r="C27220" s="1" t="s">
        <v>23490</v>
      </c>
      <c r="D27220" s="1" t="str">
        <f>HYPERLINK("https://rhld.insurance.arkansas.gov/NPILookup?Npi=1558443085","1558443085")</f>
        <v>1558443085</v>
      </c>
      <c r="E27220" t="s">
        <v>9211</v>
      </c>
    </row>
    <row r="27221" spans="1:5" x14ac:dyDescent="0.25">
      <c r="A27221" t="s">
        <v>14</v>
      </c>
      <c r="B27221" t="s">
        <v>7610</v>
      </c>
      <c r="C27221" s="1" t="s">
        <v>23490</v>
      </c>
      <c r="D27221" s="1" t="str">
        <f>HYPERLINK("https://rhld.insurance.arkansas.gov/NPILookup?Npi=1568548253","1568548253")</f>
        <v>1568548253</v>
      </c>
      <c r="E27221" t="s">
        <v>7519</v>
      </c>
    </row>
    <row r="27222" spans="1:5" x14ac:dyDescent="0.25">
      <c r="A27222" t="s">
        <v>14</v>
      </c>
      <c r="B27222" t="s">
        <v>7610</v>
      </c>
      <c r="C27222" s="1" t="s">
        <v>23490</v>
      </c>
      <c r="D27222" s="1" t="str">
        <f>HYPERLINK("https://rhld.insurance.arkansas.gov/NPILookup?Npi=1578574471","1578574471")</f>
        <v>1578574471</v>
      </c>
      <c r="E27222" t="s">
        <v>13056</v>
      </c>
    </row>
    <row r="27223" spans="1:5" x14ac:dyDescent="0.25">
      <c r="A27223" t="s">
        <v>14</v>
      </c>
      <c r="B27223" t="s">
        <v>7610</v>
      </c>
      <c r="C27223" s="1" t="s">
        <v>23490</v>
      </c>
      <c r="D27223" s="1" t="str">
        <f>HYPERLINK("https://rhld.insurance.arkansas.gov/NPILookup?Npi=1598738668","1598738668")</f>
        <v>1598738668</v>
      </c>
      <c r="E27223" t="s">
        <v>6370</v>
      </c>
    </row>
    <row r="27224" spans="1:5" x14ac:dyDescent="0.25">
      <c r="A27224" t="s">
        <v>14</v>
      </c>
      <c r="B27224" t="s">
        <v>7610</v>
      </c>
      <c r="C27224" s="1" t="s">
        <v>23490</v>
      </c>
      <c r="D27224" s="1" t="str">
        <f>HYPERLINK("https://rhld.insurance.arkansas.gov/NPILookup?Npi=1609429778","1609429778")</f>
        <v>1609429778</v>
      </c>
      <c r="E27224" t="s">
        <v>15936</v>
      </c>
    </row>
    <row r="27225" spans="1:5" x14ac:dyDescent="0.25">
      <c r="A27225" t="s">
        <v>14</v>
      </c>
      <c r="B27225" t="s">
        <v>7610</v>
      </c>
      <c r="C27225" s="1" t="s">
        <v>23490</v>
      </c>
      <c r="D27225" s="1" t="str">
        <f>HYPERLINK("https://rhld.insurance.arkansas.gov/NPILookup?Npi=1619365079","1619365079")</f>
        <v>1619365079</v>
      </c>
      <c r="E27225" t="s">
        <v>4074</v>
      </c>
    </row>
    <row r="27226" spans="1:5" x14ac:dyDescent="0.25">
      <c r="A27226" t="s">
        <v>14</v>
      </c>
      <c r="B27226" t="s">
        <v>7610</v>
      </c>
      <c r="C27226" s="1" t="s">
        <v>23490</v>
      </c>
      <c r="D27226" s="1" t="str">
        <f>HYPERLINK("https://rhld.insurance.arkansas.gov/NPILookup?Npi=1619915949","1619915949")</f>
        <v>1619915949</v>
      </c>
      <c r="E27226" t="s">
        <v>4096</v>
      </c>
    </row>
    <row r="27227" spans="1:5" x14ac:dyDescent="0.25">
      <c r="A27227" t="s">
        <v>14</v>
      </c>
      <c r="B27227" t="s">
        <v>7610</v>
      </c>
      <c r="C27227" s="1" t="s">
        <v>23490</v>
      </c>
      <c r="D27227" s="1" t="str">
        <f>HYPERLINK("https://rhld.insurance.arkansas.gov/NPILookup?Npi=1639137565","1639137565")</f>
        <v>1639137565</v>
      </c>
      <c r="E27227" t="s">
        <v>4077</v>
      </c>
    </row>
    <row r="27228" spans="1:5" x14ac:dyDescent="0.25">
      <c r="A27228" t="s">
        <v>14</v>
      </c>
      <c r="B27228" t="s">
        <v>7610</v>
      </c>
      <c r="C27228" s="1" t="s">
        <v>23490</v>
      </c>
      <c r="D27228" s="1" t="str">
        <f>HYPERLINK("https://rhld.insurance.arkansas.gov/NPILookup?Npi=1639346687","1639346687")</f>
        <v>1639346687</v>
      </c>
      <c r="E27228" t="s">
        <v>7519</v>
      </c>
    </row>
    <row r="27229" spans="1:5" x14ac:dyDescent="0.25">
      <c r="A27229" t="s">
        <v>14</v>
      </c>
      <c r="B27229" t="s">
        <v>7610</v>
      </c>
      <c r="C27229" s="1" t="s">
        <v>23490</v>
      </c>
      <c r="D27229" s="1" t="str">
        <f>HYPERLINK("https://rhld.insurance.arkansas.gov/NPILookup?Npi=1639500309","1639500309")</f>
        <v>1639500309</v>
      </c>
      <c r="E27229" t="s">
        <v>13888</v>
      </c>
    </row>
    <row r="27230" spans="1:5" x14ac:dyDescent="0.25">
      <c r="A27230" t="s">
        <v>14</v>
      </c>
      <c r="B27230" t="s">
        <v>7610</v>
      </c>
      <c r="C27230" s="1" t="s">
        <v>23490</v>
      </c>
      <c r="D27230" s="1" t="str">
        <f>HYPERLINK("https://rhld.insurance.arkansas.gov/NPILookup?Npi=1689130338","1689130338")</f>
        <v>1689130338</v>
      </c>
      <c r="E27230" t="s">
        <v>17521</v>
      </c>
    </row>
    <row r="27231" spans="1:5" x14ac:dyDescent="0.25">
      <c r="A27231" t="s">
        <v>14</v>
      </c>
      <c r="B27231" t="s">
        <v>7610</v>
      </c>
      <c r="C27231" s="1" t="s">
        <v>23490</v>
      </c>
      <c r="D27231" s="1" t="str">
        <f>HYPERLINK("https://rhld.insurance.arkansas.gov/NPILookup?Npi=1689628232","1689628232")</f>
        <v>1689628232</v>
      </c>
      <c r="E27231" t="s">
        <v>4096</v>
      </c>
    </row>
    <row r="27232" spans="1:5" x14ac:dyDescent="0.25">
      <c r="A27232" t="s">
        <v>14</v>
      </c>
      <c r="B27232" t="s">
        <v>7610</v>
      </c>
      <c r="C27232" s="1" t="s">
        <v>23490</v>
      </c>
      <c r="D27232" s="1" t="str">
        <f>HYPERLINK("https://rhld.insurance.arkansas.gov/NPILookup?Npi=1700831724","1700831724")</f>
        <v>1700831724</v>
      </c>
      <c r="E27232" t="s">
        <v>4097</v>
      </c>
    </row>
    <row r="27233" spans="1:5" x14ac:dyDescent="0.25">
      <c r="A27233" t="s">
        <v>14</v>
      </c>
      <c r="B27233" t="s">
        <v>7610</v>
      </c>
      <c r="C27233" s="1" t="s">
        <v>23490</v>
      </c>
      <c r="D27233" s="1" t="str">
        <f>HYPERLINK("https://rhld.insurance.arkansas.gov/NPILookup?Npi=1710159314","1710159314")</f>
        <v>1710159314</v>
      </c>
      <c r="E27233" t="s">
        <v>4091</v>
      </c>
    </row>
    <row r="27234" spans="1:5" x14ac:dyDescent="0.25">
      <c r="A27234" t="s">
        <v>14</v>
      </c>
      <c r="B27234" t="s">
        <v>7610</v>
      </c>
      <c r="C27234" s="1" t="s">
        <v>23490</v>
      </c>
      <c r="D27234" s="1" t="str">
        <f>HYPERLINK("https://rhld.insurance.arkansas.gov/NPILookup?Npi=1710463146","1710463146")</f>
        <v>1710463146</v>
      </c>
      <c r="E27234" t="s">
        <v>13887</v>
      </c>
    </row>
    <row r="27235" spans="1:5" x14ac:dyDescent="0.25">
      <c r="A27235" t="s">
        <v>14</v>
      </c>
      <c r="B27235" t="s">
        <v>7610</v>
      </c>
      <c r="C27235" s="1" t="s">
        <v>23490</v>
      </c>
      <c r="D27235" s="1" t="str">
        <f>HYPERLINK("https://rhld.insurance.arkansas.gov/NPILookup?Npi=1710931985","1710931985")</f>
        <v>1710931985</v>
      </c>
      <c r="E27235" t="s">
        <v>6459</v>
      </c>
    </row>
    <row r="27236" spans="1:5" x14ac:dyDescent="0.25">
      <c r="A27236" t="s">
        <v>14</v>
      </c>
      <c r="B27236" t="s">
        <v>7610</v>
      </c>
      <c r="C27236" s="1" t="s">
        <v>23490</v>
      </c>
      <c r="D27236" s="1" t="str">
        <f>HYPERLINK("https://rhld.insurance.arkansas.gov/NPILookup?Npi=1710943881","1710943881")</f>
        <v>1710943881</v>
      </c>
      <c r="E27236" t="s">
        <v>6399</v>
      </c>
    </row>
    <row r="27237" spans="1:5" x14ac:dyDescent="0.25">
      <c r="A27237" t="s">
        <v>14</v>
      </c>
      <c r="B27237" t="s">
        <v>7610</v>
      </c>
      <c r="C27237" s="1" t="s">
        <v>23490</v>
      </c>
      <c r="D27237" s="1" t="str">
        <f>HYPERLINK("https://rhld.insurance.arkansas.gov/NPILookup?Npi=1730238049","1730238049")</f>
        <v>1730238049</v>
      </c>
      <c r="E27237" t="s">
        <v>17522</v>
      </c>
    </row>
    <row r="27238" spans="1:5" x14ac:dyDescent="0.25">
      <c r="A27238" t="s">
        <v>14</v>
      </c>
      <c r="B27238" t="s">
        <v>7610</v>
      </c>
      <c r="C27238" s="1" t="s">
        <v>23490</v>
      </c>
      <c r="D27238" s="1" t="str">
        <f>HYPERLINK("https://rhld.insurance.arkansas.gov/NPILookup?Npi=1740350560","1740350560")</f>
        <v>1740350560</v>
      </c>
      <c r="E27238" t="s">
        <v>13889</v>
      </c>
    </row>
    <row r="27239" spans="1:5" x14ac:dyDescent="0.25">
      <c r="A27239" t="s">
        <v>14</v>
      </c>
      <c r="B27239" t="s">
        <v>7610</v>
      </c>
      <c r="C27239" s="1" t="s">
        <v>23490</v>
      </c>
      <c r="D27239" s="1" t="str">
        <f>HYPERLINK("https://rhld.insurance.arkansas.gov/NPILookup?Npi=1750335741","1750335741")</f>
        <v>1750335741</v>
      </c>
      <c r="E27239" t="s">
        <v>4098</v>
      </c>
    </row>
    <row r="27240" spans="1:5" x14ac:dyDescent="0.25">
      <c r="A27240" t="s">
        <v>14</v>
      </c>
      <c r="B27240" t="s">
        <v>7610</v>
      </c>
      <c r="C27240" s="1" t="s">
        <v>23490</v>
      </c>
      <c r="D27240" s="1" t="str">
        <f>HYPERLINK("https://rhld.insurance.arkansas.gov/NPILookup?Npi=1750656468","1750656468")</f>
        <v>1750656468</v>
      </c>
      <c r="E27240" t="s">
        <v>4099</v>
      </c>
    </row>
    <row r="27241" spans="1:5" x14ac:dyDescent="0.25">
      <c r="A27241" t="s">
        <v>14</v>
      </c>
      <c r="B27241" t="s">
        <v>7610</v>
      </c>
      <c r="C27241" s="1" t="s">
        <v>23490</v>
      </c>
      <c r="D27241" s="1" t="str">
        <f>HYPERLINK("https://rhld.insurance.arkansas.gov/NPILookup?Npi=1750670303","1750670303")</f>
        <v>1750670303</v>
      </c>
      <c r="E27241" t="s">
        <v>11498</v>
      </c>
    </row>
    <row r="27242" spans="1:5" x14ac:dyDescent="0.25">
      <c r="A27242" t="s">
        <v>14</v>
      </c>
      <c r="B27242" t="s">
        <v>7610</v>
      </c>
      <c r="C27242" s="1" t="s">
        <v>23490</v>
      </c>
      <c r="D27242" s="1" t="str">
        <f>HYPERLINK("https://rhld.insurance.arkansas.gov/NPILookup?Npi=1780684431","1780684431")</f>
        <v>1780684431</v>
      </c>
      <c r="E27242" t="s">
        <v>7585</v>
      </c>
    </row>
    <row r="27243" spans="1:5" x14ac:dyDescent="0.25">
      <c r="A27243" t="s">
        <v>14</v>
      </c>
      <c r="B27243" t="s">
        <v>7610</v>
      </c>
      <c r="C27243" s="1" t="s">
        <v>23490</v>
      </c>
      <c r="D27243" s="1" t="str">
        <f>HYPERLINK("https://rhld.insurance.arkansas.gov/NPILookup?Npi=1780712448","1780712448")</f>
        <v>1780712448</v>
      </c>
      <c r="E27243" t="s">
        <v>4082</v>
      </c>
    </row>
    <row r="27244" spans="1:5" x14ac:dyDescent="0.25">
      <c r="A27244" t="s">
        <v>14</v>
      </c>
      <c r="B27244" t="s">
        <v>7610</v>
      </c>
      <c r="C27244" s="1" t="s">
        <v>23490</v>
      </c>
      <c r="D27244" s="1" t="str">
        <f>HYPERLINK("https://rhld.insurance.arkansas.gov/NPILookup?Npi=1790925972","1790925972")</f>
        <v>1790925972</v>
      </c>
      <c r="E27244" t="s">
        <v>4100</v>
      </c>
    </row>
    <row r="27245" spans="1:5" x14ac:dyDescent="0.25">
      <c r="A27245" t="s">
        <v>14</v>
      </c>
      <c r="B27245" t="s">
        <v>7610</v>
      </c>
      <c r="C27245" s="1" t="s">
        <v>23490</v>
      </c>
      <c r="D27245" s="1" t="str">
        <f>HYPERLINK("https://rhld.insurance.arkansas.gov/NPILookup?Npi=1790990240","1790990240")</f>
        <v>1790990240</v>
      </c>
      <c r="E27245" t="s">
        <v>4101</v>
      </c>
    </row>
    <row r="27246" spans="1:5" x14ac:dyDescent="0.25">
      <c r="A27246" t="s">
        <v>14</v>
      </c>
      <c r="B27246" t="s">
        <v>7610</v>
      </c>
      <c r="C27246" s="1" t="s">
        <v>23490</v>
      </c>
      <c r="D27246" s="1" t="str">
        <f>HYPERLINK("https://rhld.insurance.arkansas.gov/NPILookup?Npi=1801007216","1801007216")</f>
        <v>1801007216</v>
      </c>
      <c r="E27246" t="s">
        <v>4102</v>
      </c>
    </row>
    <row r="27247" spans="1:5" x14ac:dyDescent="0.25">
      <c r="A27247" t="s">
        <v>14</v>
      </c>
      <c r="B27247" t="s">
        <v>7610</v>
      </c>
      <c r="C27247" s="1" t="s">
        <v>23490</v>
      </c>
      <c r="D27247" s="1" t="str">
        <f>HYPERLINK("https://rhld.insurance.arkansas.gov/NPILookup?Npi=1811092117","1811092117")</f>
        <v>1811092117</v>
      </c>
      <c r="E27247" t="s">
        <v>7594</v>
      </c>
    </row>
    <row r="27248" spans="1:5" x14ac:dyDescent="0.25">
      <c r="A27248" t="s">
        <v>14</v>
      </c>
      <c r="B27248" t="s">
        <v>7610</v>
      </c>
      <c r="C27248" s="1" t="s">
        <v>23490</v>
      </c>
      <c r="D27248" s="1" t="str">
        <f>HYPERLINK("https://rhld.insurance.arkansas.gov/NPILookup?Npi=1841241833","1841241833")</f>
        <v>1841241833</v>
      </c>
      <c r="E27248" t="s">
        <v>6444</v>
      </c>
    </row>
    <row r="27249" spans="1:5" x14ac:dyDescent="0.25">
      <c r="A27249" t="s">
        <v>14</v>
      </c>
      <c r="B27249" t="s">
        <v>7610</v>
      </c>
      <c r="C27249" s="1" t="s">
        <v>23490</v>
      </c>
      <c r="D27249" s="1" t="str">
        <f>HYPERLINK("https://rhld.insurance.arkansas.gov/NPILookup?Npi=1841379161","1841379161")</f>
        <v>1841379161</v>
      </c>
      <c r="E27249" t="s">
        <v>18227</v>
      </c>
    </row>
    <row r="27250" spans="1:5" x14ac:dyDescent="0.25">
      <c r="A27250" t="s">
        <v>14</v>
      </c>
      <c r="B27250" t="s">
        <v>7610</v>
      </c>
      <c r="C27250" s="1" t="s">
        <v>23490</v>
      </c>
      <c r="D27250" s="1" t="str">
        <f>HYPERLINK("https://rhld.insurance.arkansas.gov/NPILookup?Npi=1841448966","1841448966")</f>
        <v>1841448966</v>
      </c>
      <c r="E27250" t="s">
        <v>22674</v>
      </c>
    </row>
    <row r="27251" spans="1:5" x14ac:dyDescent="0.25">
      <c r="A27251" t="s">
        <v>14</v>
      </c>
      <c r="B27251" t="s">
        <v>7610</v>
      </c>
      <c r="C27251" s="1" t="s">
        <v>23490</v>
      </c>
      <c r="D27251" s="1" t="str">
        <f>HYPERLINK("https://rhld.insurance.arkansas.gov/NPILookup?Npi=1851546725","1851546725")</f>
        <v>1851546725</v>
      </c>
      <c r="E27251" t="s">
        <v>4103</v>
      </c>
    </row>
    <row r="27252" spans="1:5" x14ac:dyDescent="0.25">
      <c r="A27252" t="s">
        <v>14</v>
      </c>
      <c r="B27252" t="s">
        <v>7610</v>
      </c>
      <c r="C27252" s="1" t="s">
        <v>23490</v>
      </c>
      <c r="D27252" s="1" t="str">
        <f>HYPERLINK("https://rhld.insurance.arkansas.gov/NPILookup?Npi=1861449639","1861449639")</f>
        <v>1861449639</v>
      </c>
      <c r="E27252" t="s">
        <v>7594</v>
      </c>
    </row>
    <row r="27253" spans="1:5" x14ac:dyDescent="0.25">
      <c r="A27253" t="s">
        <v>14</v>
      </c>
      <c r="B27253" t="s">
        <v>7610</v>
      </c>
      <c r="C27253" s="1" t="s">
        <v>23490</v>
      </c>
      <c r="D27253" s="1" t="str">
        <f>HYPERLINK("https://rhld.insurance.arkansas.gov/NPILookup?Npi=1871091355","1871091355")</f>
        <v>1871091355</v>
      </c>
      <c r="E27253" t="s">
        <v>6270</v>
      </c>
    </row>
    <row r="27254" spans="1:5" x14ac:dyDescent="0.25">
      <c r="A27254" t="s">
        <v>14</v>
      </c>
      <c r="B27254" t="s">
        <v>7610</v>
      </c>
      <c r="C27254" s="1" t="s">
        <v>23490</v>
      </c>
      <c r="D27254" s="1" t="str">
        <f>HYPERLINK("https://rhld.insurance.arkansas.gov/NPILookup?Npi=1881251510","1881251510")</f>
        <v>1881251510</v>
      </c>
      <c r="E27254" t="s">
        <v>19241</v>
      </c>
    </row>
    <row r="27255" spans="1:5" x14ac:dyDescent="0.25">
      <c r="A27255" t="s">
        <v>14</v>
      </c>
      <c r="B27255" t="s">
        <v>7610</v>
      </c>
      <c r="C27255" s="1" t="s">
        <v>23490</v>
      </c>
      <c r="D27255" s="1" t="str">
        <f>HYPERLINK("https://rhld.insurance.arkansas.gov/NPILookup?Npi=1881635993","1881635993")</f>
        <v>1881635993</v>
      </c>
      <c r="E27255" t="s">
        <v>12020</v>
      </c>
    </row>
    <row r="27256" spans="1:5" x14ac:dyDescent="0.25">
      <c r="A27256" t="s">
        <v>14</v>
      </c>
      <c r="B27256" t="s">
        <v>7610</v>
      </c>
      <c r="C27256" s="1" t="s">
        <v>23490</v>
      </c>
      <c r="D27256" s="1" t="str">
        <f>HYPERLINK("https://rhld.insurance.arkansas.gov/NPILookup?Npi=1881638880","1881638880")</f>
        <v>1881638880</v>
      </c>
      <c r="E27256" t="s">
        <v>4104</v>
      </c>
    </row>
    <row r="27257" spans="1:5" x14ac:dyDescent="0.25">
      <c r="A27257" t="s">
        <v>14</v>
      </c>
      <c r="B27257" t="s">
        <v>7610</v>
      </c>
      <c r="C27257" s="1" t="s">
        <v>23490</v>
      </c>
      <c r="D27257" s="1" t="str">
        <f>HYPERLINK("https://rhld.insurance.arkansas.gov/NPILookup?Npi=1881788933","1881788933")</f>
        <v>1881788933</v>
      </c>
      <c r="E27257" t="s">
        <v>4087</v>
      </c>
    </row>
    <row r="27258" spans="1:5" x14ac:dyDescent="0.25">
      <c r="A27258" t="s">
        <v>14</v>
      </c>
      <c r="B27258" t="s">
        <v>7610</v>
      </c>
      <c r="C27258" s="1" t="s">
        <v>23490</v>
      </c>
      <c r="D27258" s="1" t="str">
        <f>HYPERLINK("https://rhld.insurance.arkansas.gov/NPILookup?Npi=1891778049","1891778049")</f>
        <v>1891778049</v>
      </c>
      <c r="E27258" t="s">
        <v>7598</v>
      </c>
    </row>
    <row r="27259" spans="1:5" x14ac:dyDescent="0.25">
      <c r="A27259" t="s">
        <v>14</v>
      </c>
      <c r="B27259" t="s">
        <v>7610</v>
      </c>
      <c r="C27259" s="1" t="s">
        <v>23490</v>
      </c>
      <c r="D27259" s="1" t="str">
        <f>HYPERLINK("https://rhld.insurance.arkansas.gov/NPILookup?Npi=1902842255","1902842255")</f>
        <v>1902842255</v>
      </c>
      <c r="E27259" t="s">
        <v>7552</v>
      </c>
    </row>
    <row r="27260" spans="1:5" x14ac:dyDescent="0.25">
      <c r="A27260" t="s">
        <v>14</v>
      </c>
      <c r="B27260" t="s">
        <v>7610</v>
      </c>
      <c r="C27260" s="1" t="s">
        <v>23490</v>
      </c>
      <c r="D27260" s="1" t="str">
        <f>HYPERLINK("https://rhld.insurance.arkansas.gov/NPILookup?Npi=1902868391","1902868391")</f>
        <v>1902868391</v>
      </c>
      <c r="E27260" t="s">
        <v>4080</v>
      </c>
    </row>
    <row r="27261" spans="1:5" x14ac:dyDescent="0.25">
      <c r="A27261" t="s">
        <v>14</v>
      </c>
      <c r="B27261" t="s">
        <v>7610</v>
      </c>
      <c r="C27261" s="1" t="s">
        <v>23490</v>
      </c>
      <c r="D27261" s="1" t="str">
        <f>HYPERLINK("https://rhld.insurance.arkansas.gov/NPILookup?Npi=1912017815","1912017815")</f>
        <v>1912017815</v>
      </c>
      <c r="E27261" t="s">
        <v>7566</v>
      </c>
    </row>
    <row r="27262" spans="1:5" x14ac:dyDescent="0.25">
      <c r="A27262" t="s">
        <v>14</v>
      </c>
      <c r="B27262" t="s">
        <v>7610</v>
      </c>
      <c r="C27262" s="1" t="s">
        <v>23490</v>
      </c>
      <c r="D27262" s="1" t="str">
        <f>HYPERLINK("https://rhld.insurance.arkansas.gov/NPILookup?Npi=1912059932","1912059932")</f>
        <v>1912059932</v>
      </c>
      <c r="E27262" t="s">
        <v>4105</v>
      </c>
    </row>
    <row r="27263" spans="1:5" x14ac:dyDescent="0.25">
      <c r="A27263" t="s">
        <v>14</v>
      </c>
      <c r="B27263" t="s">
        <v>7610</v>
      </c>
      <c r="C27263" s="1" t="s">
        <v>23490</v>
      </c>
      <c r="D27263" s="1" t="str">
        <f>HYPERLINK("https://rhld.insurance.arkansas.gov/NPILookup?Npi=1912170416","1912170416")</f>
        <v>1912170416</v>
      </c>
      <c r="E27263" t="s">
        <v>4106</v>
      </c>
    </row>
    <row r="27264" spans="1:5" x14ac:dyDescent="0.25">
      <c r="A27264" t="s">
        <v>14</v>
      </c>
      <c r="B27264" t="s">
        <v>7610</v>
      </c>
      <c r="C27264" s="1" t="s">
        <v>23490</v>
      </c>
      <c r="D27264" s="1" t="str">
        <f>HYPERLINK("https://rhld.insurance.arkansas.gov/NPILookup?Npi=1912465295","1912465295")</f>
        <v>1912465295</v>
      </c>
      <c r="E27264" t="s">
        <v>15937</v>
      </c>
    </row>
    <row r="27265" spans="1:5" x14ac:dyDescent="0.25">
      <c r="A27265" t="s">
        <v>14</v>
      </c>
      <c r="B27265" t="s">
        <v>7610</v>
      </c>
      <c r="C27265" s="1" t="s">
        <v>23490</v>
      </c>
      <c r="D27265" s="1" t="str">
        <f>HYPERLINK("https://rhld.insurance.arkansas.gov/NPILookup?Npi=1912962341","1912962341")</f>
        <v>1912962341</v>
      </c>
      <c r="E27265" t="s">
        <v>13058</v>
      </c>
    </row>
    <row r="27266" spans="1:5" x14ac:dyDescent="0.25">
      <c r="A27266" t="s">
        <v>14</v>
      </c>
      <c r="B27266" t="s">
        <v>7610</v>
      </c>
      <c r="C27266" s="1" t="s">
        <v>23490</v>
      </c>
      <c r="D27266" s="1" t="str">
        <f>HYPERLINK("https://rhld.insurance.arkansas.gov/NPILookup?Npi=1922041490","1922041490")</f>
        <v>1922041490</v>
      </c>
      <c r="E27266" t="s">
        <v>7520</v>
      </c>
    </row>
    <row r="27267" spans="1:5" x14ac:dyDescent="0.25">
      <c r="A27267" t="s">
        <v>14</v>
      </c>
      <c r="B27267" t="s">
        <v>7610</v>
      </c>
      <c r="C27267" s="1" t="s">
        <v>23490</v>
      </c>
      <c r="D27267" s="1" t="str">
        <f>HYPERLINK("https://rhld.insurance.arkansas.gov/NPILookup?Npi=1922043686","1922043686")</f>
        <v>1922043686</v>
      </c>
      <c r="E27267" t="s">
        <v>7549</v>
      </c>
    </row>
    <row r="27268" spans="1:5" x14ac:dyDescent="0.25">
      <c r="A27268" t="s">
        <v>14</v>
      </c>
      <c r="B27268" t="s">
        <v>7610</v>
      </c>
      <c r="C27268" s="1" t="s">
        <v>23490</v>
      </c>
      <c r="D27268" s="1" t="str">
        <f>HYPERLINK("https://rhld.insurance.arkansas.gov/NPILookup?Npi=1922166123","1922166123")</f>
        <v>1922166123</v>
      </c>
      <c r="E27268" t="s">
        <v>20288</v>
      </c>
    </row>
    <row r="27269" spans="1:5" x14ac:dyDescent="0.25">
      <c r="A27269" t="s">
        <v>14</v>
      </c>
      <c r="B27269" t="s">
        <v>7610</v>
      </c>
      <c r="C27269" s="1" t="s">
        <v>23490</v>
      </c>
      <c r="D27269" s="1" t="str">
        <f>HYPERLINK("https://rhld.insurance.arkansas.gov/NPILookup?Npi=1922182831","1922182831")</f>
        <v>1922182831</v>
      </c>
      <c r="E27269" t="s">
        <v>11500</v>
      </c>
    </row>
    <row r="27270" spans="1:5" x14ac:dyDescent="0.25">
      <c r="A27270" t="s">
        <v>14</v>
      </c>
      <c r="B27270" t="s">
        <v>7610</v>
      </c>
      <c r="C27270" s="1" t="s">
        <v>23490</v>
      </c>
      <c r="D27270" s="1" t="str">
        <f>HYPERLINK("https://rhld.insurance.arkansas.gov/NPILookup?Npi=1922353754","1922353754")</f>
        <v>1922353754</v>
      </c>
      <c r="E27270" t="s">
        <v>7603</v>
      </c>
    </row>
    <row r="27271" spans="1:5" x14ac:dyDescent="0.25">
      <c r="A27271" t="s">
        <v>14</v>
      </c>
      <c r="B27271" t="s">
        <v>7610</v>
      </c>
      <c r="C27271" s="1" t="s">
        <v>23490</v>
      </c>
      <c r="D27271" s="1" t="str">
        <f>HYPERLINK("https://rhld.insurance.arkansas.gov/NPILookup?Npi=1932204344","1932204344")</f>
        <v>1932204344</v>
      </c>
      <c r="E27271" t="s">
        <v>7549</v>
      </c>
    </row>
    <row r="27272" spans="1:5" x14ac:dyDescent="0.25">
      <c r="A27272" t="s">
        <v>14</v>
      </c>
      <c r="B27272" t="s">
        <v>7610</v>
      </c>
      <c r="C27272" s="1" t="s">
        <v>23490</v>
      </c>
      <c r="D27272" s="1" t="str">
        <f>HYPERLINK("https://rhld.insurance.arkansas.gov/NPILookup?Npi=1932401650","1932401650")</f>
        <v>1932401650</v>
      </c>
      <c r="E27272" t="s">
        <v>7569</v>
      </c>
    </row>
    <row r="27273" spans="1:5" x14ac:dyDescent="0.25">
      <c r="A27273" t="s">
        <v>14</v>
      </c>
      <c r="B27273" t="s">
        <v>7610</v>
      </c>
      <c r="C27273" s="1" t="s">
        <v>23490</v>
      </c>
      <c r="D27273" s="1" t="str">
        <f>HYPERLINK("https://rhld.insurance.arkansas.gov/NPILookup?Npi=1942266879","1942266879")</f>
        <v>1942266879</v>
      </c>
      <c r="E27273" t="s">
        <v>21094</v>
      </c>
    </row>
    <row r="27274" spans="1:5" x14ac:dyDescent="0.25">
      <c r="A27274" t="s">
        <v>14</v>
      </c>
      <c r="B27274" t="s">
        <v>7610</v>
      </c>
      <c r="C27274" s="1" t="s">
        <v>23490</v>
      </c>
      <c r="D27274" s="1" t="str">
        <f>HYPERLINK("https://rhld.insurance.arkansas.gov/NPILookup?Npi=1962473306","1962473306")</f>
        <v>1962473306</v>
      </c>
      <c r="E27274" t="s">
        <v>4109</v>
      </c>
    </row>
    <row r="27275" spans="1:5" x14ac:dyDescent="0.25">
      <c r="A27275" t="s">
        <v>14</v>
      </c>
      <c r="B27275" t="s">
        <v>7610</v>
      </c>
      <c r="C27275" s="1" t="s">
        <v>23490</v>
      </c>
      <c r="D27275" s="1" t="str">
        <f>HYPERLINK("https://rhld.insurance.arkansas.gov/NPILookup?Npi=1962999359","1962999359")</f>
        <v>1962999359</v>
      </c>
      <c r="E27275" t="s">
        <v>13890</v>
      </c>
    </row>
    <row r="27276" spans="1:5" x14ac:dyDescent="0.25">
      <c r="A27276" t="s">
        <v>14</v>
      </c>
      <c r="B27276" t="s">
        <v>7610</v>
      </c>
      <c r="C27276" s="1" t="s">
        <v>23490</v>
      </c>
      <c r="D27276" s="1" t="str">
        <f>HYPERLINK("https://rhld.insurance.arkansas.gov/NPILookup?Npi=1972083806","1972083806")</f>
        <v>1972083806</v>
      </c>
      <c r="E27276" t="s">
        <v>15934</v>
      </c>
    </row>
    <row r="27277" spans="1:5" x14ac:dyDescent="0.25">
      <c r="A27277" t="s">
        <v>14</v>
      </c>
      <c r="B27277" t="s">
        <v>7610</v>
      </c>
      <c r="C27277" s="1" t="s">
        <v>23490</v>
      </c>
      <c r="D27277" s="1" t="str">
        <f>HYPERLINK("https://rhld.insurance.arkansas.gov/NPILookup?Npi=1972549038","1972549038")</f>
        <v>1972549038</v>
      </c>
      <c r="E27277" t="s">
        <v>4087</v>
      </c>
    </row>
    <row r="27278" spans="1:5" x14ac:dyDescent="0.25">
      <c r="A27278" t="s">
        <v>14</v>
      </c>
      <c r="B27278" t="s">
        <v>7610</v>
      </c>
      <c r="C27278" s="1" t="s">
        <v>23490</v>
      </c>
      <c r="D27278" s="1" t="str">
        <f>HYPERLINK("https://rhld.insurance.arkansas.gov/NPILookup?Npi=1972673069","1972673069")</f>
        <v>1972673069</v>
      </c>
      <c r="E27278" t="s">
        <v>4069</v>
      </c>
    </row>
    <row r="27279" spans="1:5" x14ac:dyDescent="0.25">
      <c r="A27279" t="s">
        <v>14</v>
      </c>
      <c r="B27279" t="s">
        <v>7610</v>
      </c>
      <c r="C27279" s="1" t="s">
        <v>23490</v>
      </c>
      <c r="D27279" s="1" t="str">
        <f>HYPERLINK("https://rhld.insurance.arkansas.gov/NPILookup?Npi=1982961439","1982961439")</f>
        <v>1982961439</v>
      </c>
      <c r="E27279" t="s">
        <v>4110</v>
      </c>
    </row>
    <row r="27280" spans="1:5" x14ac:dyDescent="0.25">
      <c r="A27280" t="s">
        <v>7611</v>
      </c>
      <c r="B27280" t="s">
        <v>7612</v>
      </c>
      <c r="C27280" s="1" t="s">
        <v>23490</v>
      </c>
      <c r="D27280" s="1" t="str">
        <f>HYPERLINK("https://rhld.insurance.arkansas.gov/NPILookup?Npi=1013091925","1013091925")</f>
        <v>1013091925</v>
      </c>
      <c r="E27280" t="s">
        <v>11500</v>
      </c>
    </row>
    <row r="27281" spans="1:5" x14ac:dyDescent="0.25">
      <c r="A27281" t="s">
        <v>7611</v>
      </c>
      <c r="B27281" t="s">
        <v>7612</v>
      </c>
      <c r="C27281" s="1" t="s">
        <v>23490</v>
      </c>
      <c r="D27281" s="1" t="str">
        <f>HYPERLINK("https://rhld.insurance.arkansas.gov/NPILookup?Npi=1023363348","1023363348")</f>
        <v>1023363348</v>
      </c>
      <c r="E27281" t="s">
        <v>7512</v>
      </c>
    </row>
    <row r="27282" spans="1:5" x14ac:dyDescent="0.25">
      <c r="A27282" t="s">
        <v>7611</v>
      </c>
      <c r="B27282" t="s">
        <v>7612</v>
      </c>
      <c r="C27282" s="1" t="s">
        <v>23490</v>
      </c>
      <c r="D27282" s="1" t="str">
        <f>HYPERLINK("https://rhld.insurance.arkansas.gov/NPILookup?Npi=1053393231","1053393231")</f>
        <v>1053393231</v>
      </c>
      <c r="E27282" t="s">
        <v>10194</v>
      </c>
    </row>
    <row r="27283" spans="1:5" x14ac:dyDescent="0.25">
      <c r="A27283" t="s">
        <v>7611</v>
      </c>
      <c r="B27283" t="s">
        <v>7612</v>
      </c>
      <c r="C27283" s="1" t="s">
        <v>23490</v>
      </c>
      <c r="D27283" s="1" t="str">
        <f>HYPERLINK("https://rhld.insurance.arkansas.gov/NPILookup?Npi=1144213117","1144213117")</f>
        <v>1144213117</v>
      </c>
      <c r="E27283" t="s">
        <v>10194</v>
      </c>
    </row>
    <row r="27284" spans="1:5" x14ac:dyDescent="0.25">
      <c r="A27284" t="s">
        <v>7611</v>
      </c>
      <c r="B27284" t="s">
        <v>7612</v>
      </c>
      <c r="C27284" s="1" t="s">
        <v>23490</v>
      </c>
      <c r="D27284" s="1" t="str">
        <f>HYPERLINK("https://rhld.insurance.arkansas.gov/NPILookup?Npi=1154330140","1154330140")</f>
        <v>1154330140</v>
      </c>
      <c r="E27284" t="s">
        <v>6444</v>
      </c>
    </row>
    <row r="27285" spans="1:5" x14ac:dyDescent="0.25">
      <c r="A27285" t="s">
        <v>7611</v>
      </c>
      <c r="B27285" t="s">
        <v>7612</v>
      </c>
      <c r="C27285" s="1" t="s">
        <v>23490</v>
      </c>
      <c r="D27285" s="1" t="str">
        <f>HYPERLINK("https://rhld.insurance.arkansas.gov/NPILookup?Npi=1184695926","1184695926")</f>
        <v>1184695926</v>
      </c>
      <c r="E27285" t="s">
        <v>7572</v>
      </c>
    </row>
    <row r="27286" spans="1:5" x14ac:dyDescent="0.25">
      <c r="A27286" t="s">
        <v>7611</v>
      </c>
      <c r="B27286" t="s">
        <v>7612</v>
      </c>
      <c r="C27286" s="1" t="s">
        <v>23490</v>
      </c>
      <c r="D27286" s="1" t="str">
        <f>HYPERLINK("https://rhld.insurance.arkansas.gov/NPILookup?Npi=1194358523","1194358523")</f>
        <v>1194358523</v>
      </c>
      <c r="E27286" t="s">
        <v>16626</v>
      </c>
    </row>
    <row r="27287" spans="1:5" x14ac:dyDescent="0.25">
      <c r="A27287" t="s">
        <v>7611</v>
      </c>
      <c r="B27287" t="s">
        <v>7612</v>
      </c>
      <c r="C27287" s="1" t="s">
        <v>23490</v>
      </c>
      <c r="D27287" s="1" t="str">
        <f>HYPERLINK("https://rhld.insurance.arkansas.gov/NPILookup?Npi=1215967831","1215967831")</f>
        <v>1215967831</v>
      </c>
      <c r="E27287" t="s">
        <v>4080</v>
      </c>
    </row>
    <row r="27288" spans="1:5" x14ac:dyDescent="0.25">
      <c r="A27288" t="s">
        <v>7611</v>
      </c>
      <c r="B27288" t="s">
        <v>7612</v>
      </c>
      <c r="C27288" s="1" t="s">
        <v>23490</v>
      </c>
      <c r="D27288" s="1" t="str">
        <f>HYPERLINK("https://rhld.insurance.arkansas.gov/NPILookup?Npi=1215971700","1215971700")</f>
        <v>1215971700</v>
      </c>
      <c r="E27288" t="s">
        <v>7526</v>
      </c>
    </row>
    <row r="27289" spans="1:5" x14ac:dyDescent="0.25">
      <c r="A27289" t="s">
        <v>7611</v>
      </c>
      <c r="B27289" t="s">
        <v>7612</v>
      </c>
      <c r="C27289" s="1" t="s">
        <v>23490</v>
      </c>
      <c r="D27289" s="1" t="str">
        <f>HYPERLINK("https://rhld.insurance.arkansas.gov/NPILookup?Npi=1235553066","1235553066")</f>
        <v>1235553066</v>
      </c>
      <c r="E27289" t="s">
        <v>7529</v>
      </c>
    </row>
    <row r="27290" spans="1:5" x14ac:dyDescent="0.25">
      <c r="A27290" t="s">
        <v>7611</v>
      </c>
      <c r="B27290" t="s">
        <v>7612</v>
      </c>
      <c r="C27290" s="1" t="s">
        <v>23490</v>
      </c>
      <c r="D27290" s="1" t="str">
        <f>HYPERLINK("https://rhld.insurance.arkansas.gov/NPILookup?Npi=1245342591","1245342591")</f>
        <v>1245342591</v>
      </c>
      <c r="E27290" t="s">
        <v>7530</v>
      </c>
    </row>
    <row r="27291" spans="1:5" x14ac:dyDescent="0.25">
      <c r="A27291" t="s">
        <v>7611</v>
      </c>
      <c r="B27291" t="s">
        <v>7612</v>
      </c>
      <c r="C27291" s="1" t="s">
        <v>23490</v>
      </c>
      <c r="D27291" s="1" t="str">
        <f>HYPERLINK("https://rhld.insurance.arkansas.gov/NPILookup?Npi=1265406102","1265406102")</f>
        <v>1265406102</v>
      </c>
      <c r="E27291" t="s">
        <v>7534</v>
      </c>
    </row>
    <row r="27292" spans="1:5" x14ac:dyDescent="0.25">
      <c r="A27292" t="s">
        <v>7611</v>
      </c>
      <c r="B27292" t="s">
        <v>7612</v>
      </c>
      <c r="C27292" s="1" t="s">
        <v>23490</v>
      </c>
      <c r="D27292" s="1" t="str">
        <f>HYPERLINK("https://rhld.insurance.arkansas.gov/NPILookup?Npi=1295706844","1295706844")</f>
        <v>1295706844</v>
      </c>
      <c r="E27292" t="s">
        <v>6460</v>
      </c>
    </row>
    <row r="27293" spans="1:5" x14ac:dyDescent="0.25">
      <c r="A27293" t="s">
        <v>7611</v>
      </c>
      <c r="B27293" t="s">
        <v>7612</v>
      </c>
      <c r="C27293" s="1" t="s">
        <v>23490</v>
      </c>
      <c r="D27293" s="1" t="str">
        <f>HYPERLINK("https://rhld.insurance.arkansas.gov/NPILookup?Npi=1306819016","1306819016")</f>
        <v>1306819016</v>
      </c>
      <c r="E27293" t="s">
        <v>14508</v>
      </c>
    </row>
    <row r="27294" spans="1:5" x14ac:dyDescent="0.25">
      <c r="A27294" t="s">
        <v>7611</v>
      </c>
      <c r="B27294" t="s">
        <v>7612</v>
      </c>
      <c r="C27294" s="1" t="s">
        <v>23490</v>
      </c>
      <c r="D27294" s="1" t="str">
        <f>HYPERLINK("https://rhld.insurance.arkansas.gov/NPILookup?Npi=1306928379","1306928379")</f>
        <v>1306928379</v>
      </c>
      <c r="E27294" t="s">
        <v>4083</v>
      </c>
    </row>
    <row r="27295" spans="1:5" x14ac:dyDescent="0.25">
      <c r="A27295" t="s">
        <v>7611</v>
      </c>
      <c r="B27295" t="s">
        <v>7612</v>
      </c>
      <c r="C27295" s="1" t="s">
        <v>23490</v>
      </c>
      <c r="D27295" s="1" t="str">
        <f>HYPERLINK("https://rhld.insurance.arkansas.gov/NPILookup?Npi=1316902414","1316902414")</f>
        <v>1316902414</v>
      </c>
      <c r="E27295" t="s">
        <v>7547</v>
      </c>
    </row>
    <row r="27296" spans="1:5" x14ac:dyDescent="0.25">
      <c r="A27296" t="s">
        <v>7611</v>
      </c>
      <c r="B27296" t="s">
        <v>7612</v>
      </c>
      <c r="C27296" s="1" t="s">
        <v>23490</v>
      </c>
      <c r="D27296" s="1" t="str">
        <f>HYPERLINK("https://rhld.insurance.arkansas.gov/NPILookup?Npi=1346623352","1346623352")</f>
        <v>1346623352</v>
      </c>
      <c r="E27296" t="s">
        <v>12118</v>
      </c>
    </row>
    <row r="27297" spans="1:5" x14ac:dyDescent="0.25">
      <c r="A27297" t="s">
        <v>7611</v>
      </c>
      <c r="B27297" t="s">
        <v>7612</v>
      </c>
      <c r="C27297" s="1" t="s">
        <v>23490</v>
      </c>
      <c r="D27297" s="1" t="str">
        <f>HYPERLINK("https://rhld.insurance.arkansas.gov/NPILookup?Npi=1366404014","1366404014")</f>
        <v>1366404014</v>
      </c>
      <c r="E27297" t="s">
        <v>8999</v>
      </c>
    </row>
    <row r="27298" spans="1:5" x14ac:dyDescent="0.25">
      <c r="A27298" t="s">
        <v>7611</v>
      </c>
      <c r="B27298" t="s">
        <v>7612</v>
      </c>
      <c r="C27298" s="1" t="s">
        <v>23490</v>
      </c>
      <c r="D27298" s="1" t="str">
        <f>HYPERLINK("https://rhld.insurance.arkansas.gov/NPILookup?Npi=1376595132","1376595132")</f>
        <v>1376595132</v>
      </c>
      <c r="E27298" t="s">
        <v>6424</v>
      </c>
    </row>
    <row r="27299" spans="1:5" x14ac:dyDescent="0.25">
      <c r="A27299" t="s">
        <v>7611</v>
      </c>
      <c r="B27299" t="s">
        <v>7612</v>
      </c>
      <c r="C27299" s="1" t="s">
        <v>23490</v>
      </c>
      <c r="D27299" s="1" t="str">
        <f>HYPERLINK("https://rhld.insurance.arkansas.gov/NPILookup?Npi=1386699353","1386699353")</f>
        <v>1386699353</v>
      </c>
      <c r="E27299" t="s">
        <v>7559</v>
      </c>
    </row>
    <row r="27300" spans="1:5" x14ac:dyDescent="0.25">
      <c r="A27300" t="s">
        <v>7611</v>
      </c>
      <c r="B27300" t="s">
        <v>7612</v>
      </c>
      <c r="C27300" s="1" t="s">
        <v>23490</v>
      </c>
      <c r="D27300" s="1" t="str">
        <f>HYPERLINK("https://rhld.insurance.arkansas.gov/NPILookup?Npi=1417292608","1417292608")</f>
        <v>1417292608</v>
      </c>
      <c r="E27300" t="s">
        <v>14510</v>
      </c>
    </row>
    <row r="27301" spans="1:5" x14ac:dyDescent="0.25">
      <c r="A27301" t="s">
        <v>7611</v>
      </c>
      <c r="B27301" t="s">
        <v>7612</v>
      </c>
      <c r="C27301" s="1" t="s">
        <v>23490</v>
      </c>
      <c r="D27301" s="1" t="str">
        <f>HYPERLINK("https://rhld.insurance.arkansas.gov/NPILookup?Npi=1417995747","1417995747")</f>
        <v>1417995747</v>
      </c>
      <c r="E27301" t="s">
        <v>4096</v>
      </c>
    </row>
    <row r="27302" spans="1:5" x14ac:dyDescent="0.25">
      <c r="A27302" t="s">
        <v>7611</v>
      </c>
      <c r="B27302" t="s">
        <v>7612</v>
      </c>
      <c r="C27302" s="1" t="s">
        <v>23490</v>
      </c>
      <c r="D27302" s="1" t="str">
        <f>HYPERLINK("https://rhld.insurance.arkansas.gov/NPILookup?Npi=1427086313","1427086313")</f>
        <v>1427086313</v>
      </c>
      <c r="E27302" t="s">
        <v>4087</v>
      </c>
    </row>
    <row r="27303" spans="1:5" x14ac:dyDescent="0.25">
      <c r="A27303" t="s">
        <v>7611</v>
      </c>
      <c r="B27303" t="s">
        <v>7612</v>
      </c>
      <c r="C27303" s="1" t="s">
        <v>23490</v>
      </c>
      <c r="D27303" s="1" t="str">
        <f>HYPERLINK("https://rhld.insurance.arkansas.gov/NPILookup?Npi=1437222312","1437222312")</f>
        <v>1437222312</v>
      </c>
      <c r="E27303" t="s">
        <v>19256</v>
      </c>
    </row>
    <row r="27304" spans="1:5" x14ac:dyDescent="0.25">
      <c r="A27304" t="s">
        <v>7611</v>
      </c>
      <c r="B27304" t="s">
        <v>7612</v>
      </c>
      <c r="C27304" s="1" t="s">
        <v>23490</v>
      </c>
      <c r="D27304" s="1" t="str">
        <f>HYPERLINK("https://rhld.insurance.arkansas.gov/NPILookup?Npi=1447297304","1447297304")</f>
        <v>1447297304</v>
      </c>
      <c r="E27304" t="s">
        <v>7556</v>
      </c>
    </row>
    <row r="27305" spans="1:5" x14ac:dyDescent="0.25">
      <c r="A27305" t="s">
        <v>7611</v>
      </c>
      <c r="B27305" t="s">
        <v>7612</v>
      </c>
      <c r="C27305" s="1" t="s">
        <v>23490</v>
      </c>
      <c r="D27305" s="1" t="str">
        <f>HYPERLINK("https://rhld.insurance.arkansas.gov/NPILookup?Npi=1467453902","1467453902")</f>
        <v>1467453902</v>
      </c>
      <c r="E27305" t="s">
        <v>7539</v>
      </c>
    </row>
    <row r="27306" spans="1:5" x14ac:dyDescent="0.25">
      <c r="A27306" t="s">
        <v>7611</v>
      </c>
      <c r="B27306" t="s">
        <v>7612</v>
      </c>
      <c r="C27306" s="1" t="s">
        <v>23490</v>
      </c>
      <c r="D27306" s="1" t="str">
        <f>HYPERLINK("https://rhld.insurance.arkansas.gov/NPILookup?Npi=1477549756","1477549756")</f>
        <v>1477549756</v>
      </c>
      <c r="E27306" t="s">
        <v>6270</v>
      </c>
    </row>
    <row r="27307" spans="1:5" x14ac:dyDescent="0.25">
      <c r="A27307" t="s">
        <v>7611</v>
      </c>
      <c r="B27307" t="s">
        <v>7612</v>
      </c>
      <c r="C27307" s="1" t="s">
        <v>23490</v>
      </c>
      <c r="D27307" s="1" t="str">
        <f>HYPERLINK("https://rhld.insurance.arkansas.gov/NPILookup?Npi=1487628145","1487628145")</f>
        <v>1487628145</v>
      </c>
      <c r="E27307" t="s">
        <v>14508</v>
      </c>
    </row>
    <row r="27308" spans="1:5" x14ac:dyDescent="0.25">
      <c r="A27308" t="s">
        <v>7611</v>
      </c>
      <c r="B27308" t="s">
        <v>7612</v>
      </c>
      <c r="C27308" s="1" t="s">
        <v>23490</v>
      </c>
      <c r="D27308" s="1" t="str">
        <f>HYPERLINK("https://rhld.insurance.arkansas.gov/NPILookup?Npi=1487684908","1487684908")</f>
        <v>1487684908</v>
      </c>
      <c r="E27308" t="s">
        <v>4080</v>
      </c>
    </row>
    <row r="27309" spans="1:5" x14ac:dyDescent="0.25">
      <c r="A27309" t="s">
        <v>7611</v>
      </c>
      <c r="B27309" t="s">
        <v>7612</v>
      </c>
      <c r="C27309" s="1" t="s">
        <v>23490</v>
      </c>
      <c r="D27309" s="1" t="str">
        <f>HYPERLINK("https://rhld.insurance.arkansas.gov/NPILookup?Npi=1508450339","1508450339")</f>
        <v>1508450339</v>
      </c>
      <c r="E27309" t="s">
        <v>21300</v>
      </c>
    </row>
    <row r="27310" spans="1:5" x14ac:dyDescent="0.25">
      <c r="A27310" t="s">
        <v>7611</v>
      </c>
      <c r="B27310" t="s">
        <v>7612</v>
      </c>
      <c r="C27310" s="1" t="s">
        <v>23490</v>
      </c>
      <c r="D27310" s="1" t="str">
        <f>HYPERLINK("https://rhld.insurance.arkansas.gov/NPILookup?Npi=1518591809","1518591809")</f>
        <v>1518591809</v>
      </c>
      <c r="E27310" t="s">
        <v>7547</v>
      </c>
    </row>
    <row r="27311" spans="1:5" x14ac:dyDescent="0.25">
      <c r="A27311" t="s">
        <v>7611</v>
      </c>
      <c r="B27311" t="s">
        <v>7612</v>
      </c>
      <c r="C27311" s="1" t="s">
        <v>23490</v>
      </c>
      <c r="D27311" s="1" t="str">
        <f>HYPERLINK("https://rhld.insurance.arkansas.gov/NPILookup?Npi=1528010287","1528010287")</f>
        <v>1528010287</v>
      </c>
      <c r="E27311" t="s">
        <v>7579</v>
      </c>
    </row>
    <row r="27312" spans="1:5" x14ac:dyDescent="0.25">
      <c r="A27312" t="s">
        <v>7611</v>
      </c>
      <c r="B27312" t="s">
        <v>7612</v>
      </c>
      <c r="C27312" s="1" t="s">
        <v>23490</v>
      </c>
      <c r="D27312" s="1" t="str">
        <f>HYPERLINK("https://rhld.insurance.arkansas.gov/NPILookup?Npi=1528360989","1528360989")</f>
        <v>1528360989</v>
      </c>
      <c r="E27312" t="s">
        <v>7569</v>
      </c>
    </row>
    <row r="27313" spans="1:5" x14ac:dyDescent="0.25">
      <c r="A27313" t="s">
        <v>7611</v>
      </c>
      <c r="B27313" t="s">
        <v>7612</v>
      </c>
      <c r="C27313" s="1" t="s">
        <v>23490</v>
      </c>
      <c r="D27313" s="1" t="str">
        <f>HYPERLINK("https://rhld.insurance.arkansas.gov/NPILookup?Npi=1538133475","1538133475")</f>
        <v>1538133475</v>
      </c>
      <c r="E27313" t="s">
        <v>12118</v>
      </c>
    </row>
    <row r="27314" spans="1:5" x14ac:dyDescent="0.25">
      <c r="A27314" t="s">
        <v>7611</v>
      </c>
      <c r="B27314" t="s">
        <v>7612</v>
      </c>
      <c r="C27314" s="1" t="s">
        <v>23490</v>
      </c>
      <c r="D27314" s="1" t="str">
        <f>HYPERLINK("https://rhld.insurance.arkansas.gov/NPILookup?Npi=1548333438","1548333438")</f>
        <v>1548333438</v>
      </c>
      <c r="E27314" t="s">
        <v>19256</v>
      </c>
    </row>
    <row r="27315" spans="1:5" x14ac:dyDescent="0.25">
      <c r="A27315" t="s">
        <v>7611</v>
      </c>
      <c r="B27315" t="s">
        <v>7612</v>
      </c>
      <c r="C27315" s="1" t="s">
        <v>23490</v>
      </c>
      <c r="D27315" s="1" t="str">
        <f>HYPERLINK("https://rhld.insurance.arkansas.gov/NPILookup?Npi=1558337931","1558337931")</f>
        <v>1558337931</v>
      </c>
      <c r="E27315" t="s">
        <v>7520</v>
      </c>
    </row>
    <row r="27316" spans="1:5" x14ac:dyDescent="0.25">
      <c r="A27316" t="s">
        <v>7611</v>
      </c>
      <c r="B27316" t="s">
        <v>7612</v>
      </c>
      <c r="C27316" s="1" t="s">
        <v>23490</v>
      </c>
      <c r="D27316" s="1" t="str">
        <f>HYPERLINK("https://rhld.insurance.arkansas.gov/NPILookup?Npi=1568406536","1568406536")</f>
        <v>1568406536</v>
      </c>
      <c r="E27316" t="s">
        <v>4074</v>
      </c>
    </row>
    <row r="27317" spans="1:5" x14ac:dyDescent="0.25">
      <c r="A27317" t="s">
        <v>7611</v>
      </c>
      <c r="B27317" t="s">
        <v>7612</v>
      </c>
      <c r="C27317" s="1" t="s">
        <v>23490</v>
      </c>
      <c r="D27317" s="1" t="str">
        <f>HYPERLINK("https://rhld.insurance.arkansas.gov/NPILookup?Npi=1578555736","1578555736")</f>
        <v>1578555736</v>
      </c>
      <c r="E27317" t="s">
        <v>4102</v>
      </c>
    </row>
    <row r="27318" spans="1:5" x14ac:dyDescent="0.25">
      <c r="A27318" t="s">
        <v>7611</v>
      </c>
      <c r="B27318" t="s">
        <v>7612</v>
      </c>
      <c r="C27318" s="1" t="s">
        <v>23490</v>
      </c>
      <c r="D27318" s="1" t="str">
        <f>HYPERLINK("https://rhld.insurance.arkansas.gov/NPILookup?Npi=1588849665","1588849665")</f>
        <v>1588849665</v>
      </c>
      <c r="E27318" t="s">
        <v>4102</v>
      </c>
    </row>
    <row r="27319" spans="1:5" x14ac:dyDescent="0.25">
      <c r="A27319" t="s">
        <v>7611</v>
      </c>
      <c r="B27319" t="s">
        <v>7612</v>
      </c>
      <c r="C27319" s="1" t="s">
        <v>23490</v>
      </c>
      <c r="D27319" s="1" t="str">
        <f>HYPERLINK("https://rhld.insurance.arkansas.gov/NPILookup?Npi=1619365079","1619365079")</f>
        <v>1619365079</v>
      </c>
      <c r="E27319" t="s">
        <v>4074</v>
      </c>
    </row>
    <row r="27320" spans="1:5" x14ac:dyDescent="0.25">
      <c r="A27320" t="s">
        <v>7611</v>
      </c>
      <c r="B27320" t="s">
        <v>7612</v>
      </c>
      <c r="C27320" s="1" t="s">
        <v>23490</v>
      </c>
      <c r="D27320" s="1" t="str">
        <f>HYPERLINK("https://rhld.insurance.arkansas.gov/NPILookup?Npi=1629132949","1629132949")</f>
        <v>1629132949</v>
      </c>
      <c r="E27320" t="s">
        <v>4074</v>
      </c>
    </row>
    <row r="27321" spans="1:5" x14ac:dyDescent="0.25">
      <c r="A27321" t="s">
        <v>7611</v>
      </c>
      <c r="B27321" t="s">
        <v>7612</v>
      </c>
      <c r="C27321" s="1" t="s">
        <v>23490</v>
      </c>
      <c r="D27321" s="1" t="str">
        <f>HYPERLINK("https://rhld.insurance.arkansas.gov/NPILookup?Npi=1639142342","1639142342")</f>
        <v>1639142342</v>
      </c>
      <c r="E27321" t="s">
        <v>14512</v>
      </c>
    </row>
    <row r="27322" spans="1:5" x14ac:dyDescent="0.25">
      <c r="A27322" t="s">
        <v>7611</v>
      </c>
      <c r="B27322" t="s">
        <v>7612</v>
      </c>
      <c r="C27322" s="1" t="s">
        <v>23490</v>
      </c>
      <c r="D27322" s="1" t="str">
        <f>HYPERLINK("https://rhld.insurance.arkansas.gov/NPILookup?Npi=1649243353","1649243353")</f>
        <v>1649243353</v>
      </c>
      <c r="E27322" t="s">
        <v>17307</v>
      </c>
    </row>
    <row r="27323" spans="1:5" x14ac:dyDescent="0.25">
      <c r="A27323" t="s">
        <v>7611</v>
      </c>
      <c r="B27323" t="s">
        <v>7612</v>
      </c>
      <c r="C27323" s="1" t="s">
        <v>23490</v>
      </c>
      <c r="D27323" s="1" t="str">
        <f>HYPERLINK("https://rhld.insurance.arkansas.gov/NPILookup?Npi=1679617849","1679617849")</f>
        <v>1679617849</v>
      </c>
      <c r="E27323" t="s">
        <v>22673</v>
      </c>
    </row>
    <row r="27324" spans="1:5" x14ac:dyDescent="0.25">
      <c r="A27324" t="s">
        <v>7611</v>
      </c>
      <c r="B27324" t="s">
        <v>7612</v>
      </c>
      <c r="C27324" s="1" t="s">
        <v>23490</v>
      </c>
      <c r="D27324" s="1" t="str">
        <f>HYPERLINK("https://rhld.insurance.arkansas.gov/NPILookup?Npi=1679625511","1679625511")</f>
        <v>1679625511</v>
      </c>
      <c r="E27324" t="s">
        <v>12120</v>
      </c>
    </row>
    <row r="27325" spans="1:5" x14ac:dyDescent="0.25">
      <c r="A27325" t="s">
        <v>7611</v>
      </c>
      <c r="B27325" t="s">
        <v>7612</v>
      </c>
      <c r="C27325" s="1" t="s">
        <v>23490</v>
      </c>
      <c r="D27325" s="1" t="str">
        <f>HYPERLINK("https://rhld.insurance.arkansas.gov/NPILookup?Npi=1689628232","1689628232")</f>
        <v>1689628232</v>
      </c>
      <c r="E27325" t="s">
        <v>4096</v>
      </c>
    </row>
    <row r="27326" spans="1:5" x14ac:dyDescent="0.25">
      <c r="A27326" t="s">
        <v>7611</v>
      </c>
      <c r="B27326" t="s">
        <v>7612</v>
      </c>
      <c r="C27326" s="1" t="s">
        <v>23490</v>
      </c>
      <c r="D27326" s="1" t="str">
        <f>HYPERLINK("https://rhld.insurance.arkansas.gov/NPILookup?Npi=1699322164","1699322164")</f>
        <v>1699322164</v>
      </c>
      <c r="E27326" t="s">
        <v>19264</v>
      </c>
    </row>
    <row r="27327" spans="1:5" x14ac:dyDescent="0.25">
      <c r="A27327" t="s">
        <v>7611</v>
      </c>
      <c r="B27327" t="s">
        <v>7612</v>
      </c>
      <c r="C27327" s="1" t="s">
        <v>23490</v>
      </c>
      <c r="D27327" s="1" t="str">
        <f>HYPERLINK("https://rhld.insurance.arkansas.gov/NPILookup?Npi=1699365254","1699365254")</f>
        <v>1699365254</v>
      </c>
      <c r="E27327" t="s">
        <v>19265</v>
      </c>
    </row>
    <row r="27328" spans="1:5" x14ac:dyDescent="0.25">
      <c r="A27328" t="s">
        <v>7611</v>
      </c>
      <c r="B27328" t="s">
        <v>7612</v>
      </c>
      <c r="C27328" s="1" t="s">
        <v>23490</v>
      </c>
      <c r="D27328" s="1" t="str">
        <f>HYPERLINK("https://rhld.insurance.arkansas.gov/NPILookup?Npi=1699726695","1699726695")</f>
        <v>1699726695</v>
      </c>
      <c r="E27328" t="s">
        <v>7582</v>
      </c>
    </row>
    <row r="27329" spans="1:5" x14ac:dyDescent="0.25">
      <c r="A27329" t="s">
        <v>7611</v>
      </c>
      <c r="B27329" t="s">
        <v>7612</v>
      </c>
      <c r="C27329" s="1" t="s">
        <v>23490</v>
      </c>
      <c r="D27329" s="1" t="str">
        <f>HYPERLINK("https://rhld.insurance.arkansas.gov/NPILookup?Npi=1700269339","1700269339")</f>
        <v>1700269339</v>
      </c>
      <c r="E27329" t="s">
        <v>7559</v>
      </c>
    </row>
    <row r="27330" spans="1:5" x14ac:dyDescent="0.25">
      <c r="A27330" t="s">
        <v>7611</v>
      </c>
      <c r="B27330" t="s">
        <v>7612</v>
      </c>
      <c r="C27330" s="1" t="s">
        <v>23490</v>
      </c>
      <c r="D27330" s="1" t="str">
        <f>HYPERLINK("https://rhld.insurance.arkansas.gov/NPILookup?Npi=1700959905","1700959905")</f>
        <v>1700959905</v>
      </c>
      <c r="E27330" t="s">
        <v>16626</v>
      </c>
    </row>
    <row r="27331" spans="1:5" x14ac:dyDescent="0.25">
      <c r="A27331" t="s">
        <v>7611</v>
      </c>
      <c r="B27331" t="s">
        <v>7612</v>
      </c>
      <c r="C27331" s="1" t="s">
        <v>23490</v>
      </c>
      <c r="D27331" s="1" t="str">
        <f>HYPERLINK("https://rhld.insurance.arkansas.gov/NPILookup?Npi=1710039896","1710039896")</f>
        <v>1710039896</v>
      </c>
      <c r="E27331" t="s">
        <v>4105</v>
      </c>
    </row>
    <row r="27332" spans="1:5" x14ac:dyDescent="0.25">
      <c r="A27332" t="s">
        <v>7611</v>
      </c>
      <c r="B27332" t="s">
        <v>7612</v>
      </c>
      <c r="C27332" s="1" t="s">
        <v>23490</v>
      </c>
      <c r="D27332" s="1" t="str">
        <f>HYPERLINK("https://rhld.insurance.arkansas.gov/NPILookup?Npi=1710931985","1710931985")</f>
        <v>1710931985</v>
      </c>
      <c r="E27332" t="s">
        <v>6459</v>
      </c>
    </row>
    <row r="27333" spans="1:5" x14ac:dyDescent="0.25">
      <c r="A27333" t="s">
        <v>7611</v>
      </c>
      <c r="B27333" t="s">
        <v>7612</v>
      </c>
      <c r="C27333" s="1" t="s">
        <v>23490</v>
      </c>
      <c r="D27333" s="1" t="str">
        <f>HYPERLINK("https://rhld.insurance.arkansas.gov/NPILookup?Npi=1710943881","1710943881")</f>
        <v>1710943881</v>
      </c>
      <c r="E27333" t="s">
        <v>6399</v>
      </c>
    </row>
    <row r="27334" spans="1:5" x14ac:dyDescent="0.25">
      <c r="A27334" t="s">
        <v>7611</v>
      </c>
      <c r="B27334" t="s">
        <v>7612</v>
      </c>
      <c r="C27334" s="1" t="s">
        <v>23490</v>
      </c>
      <c r="D27334" s="1" t="str">
        <f>HYPERLINK("https://rhld.insurance.arkansas.gov/NPILookup?Npi=1720003643","1720003643")</f>
        <v>1720003643</v>
      </c>
      <c r="E27334" t="s">
        <v>7583</v>
      </c>
    </row>
    <row r="27335" spans="1:5" x14ac:dyDescent="0.25">
      <c r="A27335" t="s">
        <v>7611</v>
      </c>
      <c r="B27335" t="s">
        <v>7612</v>
      </c>
      <c r="C27335" s="1" t="s">
        <v>23490</v>
      </c>
      <c r="D27335" s="1" t="str">
        <f>HYPERLINK("https://rhld.insurance.arkansas.gov/NPILookup?Npi=1760408801","1760408801")</f>
        <v>1760408801</v>
      </c>
      <c r="E27335" t="s">
        <v>4092</v>
      </c>
    </row>
    <row r="27336" spans="1:5" x14ac:dyDescent="0.25">
      <c r="A27336" t="s">
        <v>7611</v>
      </c>
      <c r="B27336" t="s">
        <v>7612</v>
      </c>
      <c r="C27336" s="1" t="s">
        <v>23490</v>
      </c>
      <c r="D27336" s="1" t="str">
        <f>HYPERLINK("https://rhld.insurance.arkansas.gov/NPILookup?Npi=1780684431","1780684431")</f>
        <v>1780684431</v>
      </c>
      <c r="E27336" t="s">
        <v>7585</v>
      </c>
    </row>
    <row r="27337" spans="1:5" x14ac:dyDescent="0.25">
      <c r="A27337" t="s">
        <v>7611</v>
      </c>
      <c r="B27337" t="s">
        <v>7612</v>
      </c>
      <c r="C27337" s="1" t="s">
        <v>23490</v>
      </c>
      <c r="D27337" s="1" t="str">
        <f>HYPERLINK("https://rhld.insurance.arkansas.gov/NPILookup?Npi=1790147106","1790147106")</f>
        <v>1790147106</v>
      </c>
      <c r="E27337" t="s">
        <v>9285</v>
      </c>
    </row>
    <row r="27338" spans="1:5" x14ac:dyDescent="0.25">
      <c r="A27338" t="s">
        <v>7611</v>
      </c>
      <c r="B27338" t="s">
        <v>7612</v>
      </c>
      <c r="C27338" s="1" t="s">
        <v>23490</v>
      </c>
      <c r="D27338" s="1" t="str">
        <f>HYPERLINK("https://rhld.insurance.arkansas.gov/NPILookup?Npi=1841241833","1841241833")</f>
        <v>1841241833</v>
      </c>
      <c r="E27338" t="s">
        <v>6444</v>
      </c>
    </row>
    <row r="27339" spans="1:5" x14ac:dyDescent="0.25">
      <c r="A27339" t="s">
        <v>7611</v>
      </c>
      <c r="B27339" t="s">
        <v>7612</v>
      </c>
      <c r="C27339" s="1" t="s">
        <v>23490</v>
      </c>
      <c r="D27339" s="1" t="str">
        <f>HYPERLINK("https://rhld.insurance.arkansas.gov/NPILookup?Npi=1841249943","1841249943")</f>
        <v>1841249943</v>
      </c>
      <c r="E27339" t="s">
        <v>4081</v>
      </c>
    </row>
    <row r="27340" spans="1:5" x14ac:dyDescent="0.25">
      <c r="A27340" t="s">
        <v>7611</v>
      </c>
      <c r="B27340" t="s">
        <v>7612</v>
      </c>
      <c r="C27340" s="1" t="s">
        <v>23490</v>
      </c>
      <c r="D27340" s="1" t="str">
        <f>HYPERLINK("https://rhld.insurance.arkansas.gov/NPILookup?Npi=1861449639","1861449639")</f>
        <v>1861449639</v>
      </c>
      <c r="E27340" t="s">
        <v>7594</v>
      </c>
    </row>
    <row r="27341" spans="1:5" x14ac:dyDescent="0.25">
      <c r="A27341" t="s">
        <v>7611</v>
      </c>
      <c r="B27341" t="s">
        <v>7612</v>
      </c>
      <c r="C27341" s="1" t="s">
        <v>23490</v>
      </c>
      <c r="D27341" s="1" t="str">
        <f>HYPERLINK("https://rhld.insurance.arkansas.gov/NPILookup?Npi=1881788933","1881788933")</f>
        <v>1881788933</v>
      </c>
      <c r="E27341" t="s">
        <v>4087</v>
      </c>
    </row>
    <row r="27342" spans="1:5" x14ac:dyDescent="0.25">
      <c r="A27342" t="s">
        <v>7611</v>
      </c>
      <c r="B27342" t="s">
        <v>7612</v>
      </c>
      <c r="C27342" s="1" t="s">
        <v>23490</v>
      </c>
      <c r="D27342" s="1" t="str">
        <f>HYPERLINK("https://rhld.insurance.arkansas.gov/NPILookup?Npi=1902051816","1902051816")</f>
        <v>1902051816</v>
      </c>
      <c r="E27342" t="s">
        <v>7599</v>
      </c>
    </row>
    <row r="27343" spans="1:5" x14ac:dyDescent="0.25">
      <c r="A27343" t="s">
        <v>7611</v>
      </c>
      <c r="B27343" t="s">
        <v>7612</v>
      </c>
      <c r="C27343" s="1" t="s">
        <v>23490</v>
      </c>
      <c r="D27343" s="1" t="str">
        <f>HYPERLINK("https://rhld.insurance.arkansas.gov/NPILookup?Npi=1902868391","1902868391")</f>
        <v>1902868391</v>
      </c>
      <c r="E27343" t="s">
        <v>4080</v>
      </c>
    </row>
    <row r="27344" spans="1:5" x14ac:dyDescent="0.25">
      <c r="A27344" t="s">
        <v>7611</v>
      </c>
      <c r="B27344" t="s">
        <v>7612</v>
      </c>
      <c r="C27344" s="1" t="s">
        <v>23490</v>
      </c>
      <c r="D27344" s="1" t="str">
        <f>HYPERLINK("https://rhld.insurance.arkansas.gov/NPILookup?Npi=1902901200","1902901200")</f>
        <v>1902901200</v>
      </c>
      <c r="E27344" t="s">
        <v>7594</v>
      </c>
    </row>
    <row r="27345" spans="1:5" x14ac:dyDescent="0.25">
      <c r="A27345" t="s">
        <v>7611</v>
      </c>
      <c r="B27345" t="s">
        <v>7612</v>
      </c>
      <c r="C27345" s="1" t="s">
        <v>23490</v>
      </c>
      <c r="D27345" s="1" t="str">
        <f>HYPERLINK("https://rhld.insurance.arkansas.gov/NPILookup?Npi=1922043686","1922043686")</f>
        <v>1922043686</v>
      </c>
      <c r="E27345" t="s">
        <v>7549</v>
      </c>
    </row>
    <row r="27346" spans="1:5" x14ac:dyDescent="0.25">
      <c r="A27346" t="s">
        <v>7611</v>
      </c>
      <c r="B27346" t="s">
        <v>7612</v>
      </c>
      <c r="C27346" s="1" t="s">
        <v>23490</v>
      </c>
      <c r="D27346" s="1" t="str">
        <f>HYPERLINK("https://rhld.insurance.arkansas.gov/NPILookup?Npi=1942252705","1942252705")</f>
        <v>1942252705</v>
      </c>
      <c r="E27346" t="s">
        <v>7582</v>
      </c>
    </row>
    <row r="27347" spans="1:5" x14ac:dyDescent="0.25">
      <c r="A27347" t="s">
        <v>7611</v>
      </c>
      <c r="B27347" t="s">
        <v>7612</v>
      </c>
      <c r="C27347" s="1" t="s">
        <v>23490</v>
      </c>
      <c r="D27347" s="1" t="str">
        <f>HYPERLINK("https://rhld.insurance.arkansas.gov/NPILookup?Npi=1972560654","1972560654")</f>
        <v>1972560654</v>
      </c>
      <c r="E27347" t="s">
        <v>7613</v>
      </c>
    </row>
    <row r="27348" spans="1:5" x14ac:dyDescent="0.25">
      <c r="A27348" t="s">
        <v>7611</v>
      </c>
      <c r="B27348" t="s">
        <v>7612</v>
      </c>
      <c r="C27348" s="1" t="s">
        <v>23490</v>
      </c>
      <c r="D27348" s="1" t="str">
        <f>HYPERLINK("https://rhld.insurance.arkansas.gov/NPILookup?Npi=1982806196","1982806196")</f>
        <v>1982806196</v>
      </c>
      <c r="E27348" t="s">
        <v>7532</v>
      </c>
    </row>
    <row r="27349" spans="1:5" x14ac:dyDescent="0.25">
      <c r="A27349" t="s">
        <v>7611</v>
      </c>
      <c r="B27349" t="s">
        <v>7612</v>
      </c>
      <c r="C27349" s="1" t="s">
        <v>23490</v>
      </c>
      <c r="D27349" s="1" t="str">
        <f>HYPERLINK("https://rhld.insurance.arkansas.gov/NPILookup?Npi=1992742209","1992742209")</f>
        <v>1992742209</v>
      </c>
      <c r="E27349" t="s">
        <v>12117</v>
      </c>
    </row>
    <row r="27350" spans="1:5" x14ac:dyDescent="0.25">
      <c r="A27350" t="s">
        <v>15</v>
      </c>
      <c r="B27350" t="s">
        <v>7614</v>
      </c>
      <c r="C27350" s="1" t="s">
        <v>23490</v>
      </c>
      <c r="D27350" s="1" t="str">
        <f>HYPERLINK("https://rhld.insurance.arkansas.gov/NPILookup?Npi=1003873019","1003873019")</f>
        <v>1003873019</v>
      </c>
      <c r="E27350" t="s">
        <v>7615</v>
      </c>
    </row>
    <row r="27351" spans="1:5" x14ac:dyDescent="0.25">
      <c r="A27351" t="s">
        <v>15</v>
      </c>
      <c r="B27351" t="s">
        <v>7614</v>
      </c>
      <c r="C27351" s="1" t="s">
        <v>23490</v>
      </c>
      <c r="D27351" s="1" t="str">
        <f>HYPERLINK("https://rhld.insurance.arkansas.gov/NPILookup?Npi=1013132653","1013132653")</f>
        <v>1013132653</v>
      </c>
      <c r="E27351" t="s">
        <v>61</v>
      </c>
    </row>
    <row r="27352" spans="1:5" x14ac:dyDescent="0.25">
      <c r="A27352" t="s">
        <v>15</v>
      </c>
      <c r="B27352" t="s">
        <v>7614</v>
      </c>
      <c r="C27352" s="1" t="s">
        <v>23490</v>
      </c>
      <c r="D27352" s="1" t="str">
        <f>HYPERLINK("https://rhld.insurance.arkansas.gov/NPILookup?Npi=1013955541","1013955541")</f>
        <v>1013955541</v>
      </c>
      <c r="E27352" t="s">
        <v>7616</v>
      </c>
    </row>
    <row r="27353" spans="1:5" x14ac:dyDescent="0.25">
      <c r="A27353" t="s">
        <v>15</v>
      </c>
      <c r="B27353" t="s">
        <v>7614</v>
      </c>
      <c r="C27353" s="1" t="s">
        <v>23490</v>
      </c>
      <c r="D27353" s="1" t="str">
        <f>HYPERLINK("https://rhld.insurance.arkansas.gov/NPILookup?Npi=1033231915","1033231915")</f>
        <v>1033231915</v>
      </c>
      <c r="E27353" t="s">
        <v>7617</v>
      </c>
    </row>
    <row r="27354" spans="1:5" x14ac:dyDescent="0.25">
      <c r="A27354" t="s">
        <v>15</v>
      </c>
      <c r="B27354" t="s">
        <v>7614</v>
      </c>
      <c r="C27354" s="1" t="s">
        <v>23490</v>
      </c>
      <c r="D27354" s="1" t="str">
        <f>HYPERLINK("https://rhld.insurance.arkansas.gov/NPILookup?Npi=1043210149","1043210149")</f>
        <v>1043210149</v>
      </c>
      <c r="E27354" t="s">
        <v>7232</v>
      </c>
    </row>
    <row r="27355" spans="1:5" x14ac:dyDescent="0.25">
      <c r="A27355" t="s">
        <v>15</v>
      </c>
      <c r="B27355" t="s">
        <v>7614</v>
      </c>
      <c r="C27355" s="1" t="s">
        <v>23490</v>
      </c>
      <c r="D27355" s="1" t="str">
        <f>HYPERLINK("https://rhld.insurance.arkansas.gov/NPILookup?Npi=1053377127","1053377127")</f>
        <v>1053377127</v>
      </c>
      <c r="E27355" t="s">
        <v>7618</v>
      </c>
    </row>
    <row r="27356" spans="1:5" x14ac:dyDescent="0.25">
      <c r="A27356" t="s">
        <v>15</v>
      </c>
      <c r="B27356" t="s">
        <v>7614</v>
      </c>
      <c r="C27356" s="1" t="s">
        <v>23490</v>
      </c>
      <c r="D27356" s="1" t="str">
        <f>HYPERLINK("https://rhld.insurance.arkansas.gov/NPILookup?Npi=1053423350","1053423350")</f>
        <v>1053423350</v>
      </c>
      <c r="E27356" t="s">
        <v>7619</v>
      </c>
    </row>
    <row r="27357" spans="1:5" x14ac:dyDescent="0.25">
      <c r="A27357" t="s">
        <v>15</v>
      </c>
      <c r="B27357" t="s">
        <v>7614</v>
      </c>
      <c r="C27357" s="1" t="s">
        <v>23490</v>
      </c>
      <c r="D27357" s="1" t="str">
        <f>HYPERLINK("https://rhld.insurance.arkansas.gov/NPILookup?Npi=1063636306","1063636306")</f>
        <v>1063636306</v>
      </c>
      <c r="E27357" t="s">
        <v>5848</v>
      </c>
    </row>
    <row r="27358" spans="1:5" x14ac:dyDescent="0.25">
      <c r="A27358" t="s">
        <v>15</v>
      </c>
      <c r="B27358" t="s">
        <v>7614</v>
      </c>
      <c r="C27358" s="1" t="s">
        <v>23490</v>
      </c>
      <c r="D27358" s="1" t="str">
        <f>HYPERLINK("https://rhld.insurance.arkansas.gov/NPILookup?Npi=1083670749","1083670749")</f>
        <v>1083670749</v>
      </c>
      <c r="E27358" t="s">
        <v>7620</v>
      </c>
    </row>
    <row r="27359" spans="1:5" x14ac:dyDescent="0.25">
      <c r="A27359" t="s">
        <v>15</v>
      </c>
      <c r="B27359" t="s">
        <v>7614</v>
      </c>
      <c r="C27359" s="1" t="s">
        <v>23490</v>
      </c>
      <c r="D27359" s="1" t="str">
        <f>HYPERLINK("https://rhld.insurance.arkansas.gov/NPILookup?Npi=1093031940","1093031940")</f>
        <v>1093031940</v>
      </c>
      <c r="E27359" t="s">
        <v>18558</v>
      </c>
    </row>
    <row r="27360" spans="1:5" x14ac:dyDescent="0.25">
      <c r="A27360" t="s">
        <v>15</v>
      </c>
      <c r="B27360" t="s">
        <v>7614</v>
      </c>
      <c r="C27360" s="1" t="s">
        <v>23490</v>
      </c>
      <c r="D27360" s="1" t="str">
        <f>HYPERLINK("https://rhld.insurance.arkansas.gov/NPILookup?Npi=1104824366","1104824366")</f>
        <v>1104824366</v>
      </c>
      <c r="E27360" t="s">
        <v>18559</v>
      </c>
    </row>
    <row r="27361" spans="1:5" x14ac:dyDescent="0.25">
      <c r="A27361" t="s">
        <v>15</v>
      </c>
      <c r="B27361" t="s">
        <v>7614</v>
      </c>
      <c r="C27361" s="1" t="s">
        <v>23490</v>
      </c>
      <c r="D27361" s="1" t="str">
        <f>HYPERLINK("https://rhld.insurance.arkansas.gov/NPILookup?Npi=1134614852","1134614852")</f>
        <v>1134614852</v>
      </c>
      <c r="E27361" t="s">
        <v>22675</v>
      </c>
    </row>
    <row r="27362" spans="1:5" x14ac:dyDescent="0.25">
      <c r="A27362" t="s">
        <v>15</v>
      </c>
      <c r="B27362" t="s">
        <v>7614</v>
      </c>
      <c r="C27362" s="1" t="s">
        <v>23490</v>
      </c>
      <c r="D27362" s="1" t="str">
        <f>HYPERLINK("https://rhld.insurance.arkansas.gov/NPILookup?Npi=1154564086","1154564086")</f>
        <v>1154564086</v>
      </c>
      <c r="E27362" t="s">
        <v>7621</v>
      </c>
    </row>
    <row r="27363" spans="1:5" x14ac:dyDescent="0.25">
      <c r="A27363" t="s">
        <v>15</v>
      </c>
      <c r="B27363" t="s">
        <v>7614</v>
      </c>
      <c r="C27363" s="1" t="s">
        <v>23490</v>
      </c>
      <c r="D27363" s="1" t="str">
        <f>HYPERLINK("https://rhld.insurance.arkansas.gov/NPILookup?Npi=1154653228","1154653228")</f>
        <v>1154653228</v>
      </c>
      <c r="E27363" t="s">
        <v>7622</v>
      </c>
    </row>
    <row r="27364" spans="1:5" x14ac:dyDescent="0.25">
      <c r="A27364" t="s">
        <v>15</v>
      </c>
      <c r="B27364" t="s">
        <v>7614</v>
      </c>
      <c r="C27364" s="1" t="s">
        <v>23490</v>
      </c>
      <c r="D27364" s="1" t="str">
        <f>HYPERLINK("https://rhld.insurance.arkansas.gov/NPILookup?Npi=1164482360","1164482360")</f>
        <v>1164482360</v>
      </c>
      <c r="E27364" t="s">
        <v>7623</v>
      </c>
    </row>
    <row r="27365" spans="1:5" x14ac:dyDescent="0.25">
      <c r="A27365" t="s">
        <v>15</v>
      </c>
      <c r="B27365" t="s">
        <v>7614</v>
      </c>
      <c r="C27365" s="1" t="s">
        <v>23490</v>
      </c>
      <c r="D27365" s="1" t="str">
        <f>HYPERLINK("https://rhld.insurance.arkansas.gov/NPILookup?Npi=1164789533","1164789533")</f>
        <v>1164789533</v>
      </c>
      <c r="E27365" t="s">
        <v>14514</v>
      </c>
    </row>
    <row r="27366" spans="1:5" x14ac:dyDescent="0.25">
      <c r="A27366" t="s">
        <v>15</v>
      </c>
      <c r="B27366" t="s">
        <v>7614</v>
      </c>
      <c r="C27366" s="1" t="s">
        <v>23490</v>
      </c>
      <c r="D27366" s="1" t="str">
        <f>HYPERLINK("https://rhld.insurance.arkansas.gov/NPILookup?Npi=1194145185","1194145185")</f>
        <v>1194145185</v>
      </c>
      <c r="E27366" t="s">
        <v>16628</v>
      </c>
    </row>
    <row r="27367" spans="1:5" x14ac:dyDescent="0.25">
      <c r="A27367" t="s">
        <v>15</v>
      </c>
      <c r="B27367" t="s">
        <v>7614</v>
      </c>
      <c r="C27367" s="1" t="s">
        <v>23490</v>
      </c>
      <c r="D27367" s="1" t="str">
        <f>HYPERLINK("https://rhld.insurance.arkansas.gov/NPILookup?Npi=1194921718","1194921718")</f>
        <v>1194921718</v>
      </c>
      <c r="E27367" t="s">
        <v>7624</v>
      </c>
    </row>
    <row r="27368" spans="1:5" x14ac:dyDescent="0.25">
      <c r="A27368" t="s">
        <v>15</v>
      </c>
      <c r="B27368" t="s">
        <v>7614</v>
      </c>
      <c r="C27368" s="1" t="s">
        <v>23490</v>
      </c>
      <c r="D27368" s="1" t="str">
        <f>HYPERLINK("https://rhld.insurance.arkansas.gov/NPILookup?Npi=1205065109","1205065109")</f>
        <v>1205065109</v>
      </c>
      <c r="E27368" t="s">
        <v>16629</v>
      </c>
    </row>
    <row r="27369" spans="1:5" x14ac:dyDescent="0.25">
      <c r="A27369" t="s">
        <v>15</v>
      </c>
      <c r="B27369" t="s">
        <v>7614</v>
      </c>
      <c r="C27369" s="1" t="s">
        <v>23490</v>
      </c>
      <c r="D27369" s="1" t="str">
        <f>HYPERLINK("https://rhld.insurance.arkansas.gov/NPILookup?Npi=1205858651","1205858651")</f>
        <v>1205858651</v>
      </c>
      <c r="E27369" t="s">
        <v>7625</v>
      </c>
    </row>
    <row r="27370" spans="1:5" x14ac:dyDescent="0.25">
      <c r="A27370" t="s">
        <v>15</v>
      </c>
      <c r="B27370" t="s">
        <v>7614</v>
      </c>
      <c r="C27370" s="1" t="s">
        <v>23490</v>
      </c>
      <c r="D27370" s="1" t="str">
        <f>HYPERLINK("https://rhld.insurance.arkansas.gov/NPILookup?Npi=1225214463","1225214463")</f>
        <v>1225214463</v>
      </c>
      <c r="E27370" t="s">
        <v>22676</v>
      </c>
    </row>
    <row r="27371" spans="1:5" x14ac:dyDescent="0.25">
      <c r="A27371" t="s">
        <v>15</v>
      </c>
      <c r="B27371" t="s">
        <v>7614</v>
      </c>
      <c r="C27371" s="1" t="s">
        <v>23490</v>
      </c>
      <c r="D27371" s="1" t="str">
        <f>HYPERLINK("https://rhld.insurance.arkansas.gov/NPILookup?Npi=1225341050","1225341050")</f>
        <v>1225341050</v>
      </c>
      <c r="E27371" t="s">
        <v>7626</v>
      </c>
    </row>
    <row r="27372" spans="1:5" x14ac:dyDescent="0.25">
      <c r="A27372" t="s">
        <v>15</v>
      </c>
      <c r="B27372" t="s">
        <v>7614</v>
      </c>
      <c r="C27372" s="1" t="s">
        <v>23490</v>
      </c>
      <c r="D27372" s="1" t="str">
        <f>HYPERLINK("https://rhld.insurance.arkansas.gov/NPILookup?Npi=1225432917","1225432917")</f>
        <v>1225432917</v>
      </c>
      <c r="E27372" t="s">
        <v>17909</v>
      </c>
    </row>
    <row r="27373" spans="1:5" x14ac:dyDescent="0.25">
      <c r="A27373" t="s">
        <v>15</v>
      </c>
      <c r="B27373" t="s">
        <v>7614</v>
      </c>
      <c r="C27373" s="1" t="s">
        <v>23490</v>
      </c>
      <c r="D27373" s="1" t="str">
        <f>HYPERLINK("https://rhld.insurance.arkansas.gov/NPILookup?Npi=1235111907","1235111907")</f>
        <v>1235111907</v>
      </c>
      <c r="E27373" t="s">
        <v>7627</v>
      </c>
    </row>
    <row r="27374" spans="1:5" x14ac:dyDescent="0.25">
      <c r="A27374" t="s">
        <v>15</v>
      </c>
      <c r="B27374" t="s">
        <v>7614</v>
      </c>
      <c r="C27374" s="1" t="s">
        <v>23490</v>
      </c>
      <c r="D27374" s="1" t="str">
        <f>HYPERLINK("https://rhld.insurance.arkansas.gov/NPILookup?Npi=1235349580","1235349580")</f>
        <v>1235349580</v>
      </c>
      <c r="E27374" t="s">
        <v>7628</v>
      </c>
    </row>
    <row r="27375" spans="1:5" x14ac:dyDescent="0.25">
      <c r="A27375" t="s">
        <v>15</v>
      </c>
      <c r="B27375" t="s">
        <v>7614</v>
      </c>
      <c r="C27375" s="1" t="s">
        <v>23490</v>
      </c>
      <c r="D27375" s="1" t="str">
        <f>HYPERLINK("https://rhld.insurance.arkansas.gov/NPILookup?Npi=1245405604","1245405604")</f>
        <v>1245405604</v>
      </c>
      <c r="E27375" t="s">
        <v>20759</v>
      </c>
    </row>
    <row r="27376" spans="1:5" x14ac:dyDescent="0.25">
      <c r="A27376" t="s">
        <v>15</v>
      </c>
      <c r="B27376" t="s">
        <v>7614</v>
      </c>
      <c r="C27376" s="1" t="s">
        <v>23490</v>
      </c>
      <c r="D27376" s="1" t="str">
        <f>HYPERLINK("https://rhld.insurance.arkansas.gov/NPILookup?Npi=1275734543","1275734543")</f>
        <v>1275734543</v>
      </c>
      <c r="E27376" t="s">
        <v>7629</v>
      </c>
    </row>
    <row r="27377" spans="1:5" x14ac:dyDescent="0.25">
      <c r="A27377" t="s">
        <v>15</v>
      </c>
      <c r="B27377" t="s">
        <v>7614</v>
      </c>
      <c r="C27377" s="1" t="s">
        <v>23490</v>
      </c>
      <c r="D27377" s="1" t="str">
        <f>HYPERLINK("https://rhld.insurance.arkansas.gov/NPILookup?Npi=1275996944","1275996944")</f>
        <v>1275996944</v>
      </c>
      <c r="E27377" t="s">
        <v>17929</v>
      </c>
    </row>
    <row r="27378" spans="1:5" x14ac:dyDescent="0.25">
      <c r="A27378" t="s">
        <v>15</v>
      </c>
      <c r="B27378" t="s">
        <v>7614</v>
      </c>
      <c r="C27378" s="1" t="s">
        <v>23490</v>
      </c>
      <c r="D27378" s="1" t="str">
        <f>HYPERLINK("https://rhld.insurance.arkansas.gov/NPILookup?Npi=1295726636","1295726636")</f>
        <v>1295726636</v>
      </c>
      <c r="E27378" t="s">
        <v>7630</v>
      </c>
    </row>
    <row r="27379" spans="1:5" x14ac:dyDescent="0.25">
      <c r="A27379" t="s">
        <v>15</v>
      </c>
      <c r="B27379" t="s">
        <v>7614</v>
      </c>
      <c r="C27379" s="1" t="s">
        <v>23490</v>
      </c>
      <c r="D27379" s="1" t="str">
        <f>HYPERLINK("https://rhld.insurance.arkansas.gov/NPILookup?Npi=1295808913","1295808913")</f>
        <v>1295808913</v>
      </c>
      <c r="E27379" t="s">
        <v>7631</v>
      </c>
    </row>
    <row r="27380" spans="1:5" x14ac:dyDescent="0.25">
      <c r="A27380" t="s">
        <v>15</v>
      </c>
      <c r="B27380" t="s">
        <v>7614</v>
      </c>
      <c r="C27380" s="1" t="s">
        <v>23490</v>
      </c>
      <c r="D27380" s="1" t="str">
        <f>HYPERLINK("https://rhld.insurance.arkansas.gov/NPILookup?Npi=1306847892","1306847892")</f>
        <v>1306847892</v>
      </c>
      <c r="E27380" t="s">
        <v>7632</v>
      </c>
    </row>
    <row r="27381" spans="1:5" x14ac:dyDescent="0.25">
      <c r="A27381" t="s">
        <v>15</v>
      </c>
      <c r="B27381" t="s">
        <v>7614</v>
      </c>
      <c r="C27381" s="1" t="s">
        <v>23490</v>
      </c>
      <c r="D27381" s="1" t="str">
        <f>HYPERLINK("https://rhld.insurance.arkansas.gov/NPILookup?Npi=1326194036","1326194036")</f>
        <v>1326194036</v>
      </c>
      <c r="E27381" t="s">
        <v>7633</v>
      </c>
    </row>
    <row r="27382" spans="1:5" x14ac:dyDescent="0.25">
      <c r="A27382" t="s">
        <v>15</v>
      </c>
      <c r="B27382" t="s">
        <v>7614</v>
      </c>
      <c r="C27382" s="1" t="s">
        <v>23490</v>
      </c>
      <c r="D27382" s="1" t="str">
        <f>HYPERLINK("https://rhld.insurance.arkansas.gov/NPILookup?Npi=1346268026","1346268026")</f>
        <v>1346268026</v>
      </c>
      <c r="E27382" t="s">
        <v>7634</v>
      </c>
    </row>
    <row r="27383" spans="1:5" x14ac:dyDescent="0.25">
      <c r="A27383" t="s">
        <v>15</v>
      </c>
      <c r="B27383" t="s">
        <v>7614</v>
      </c>
      <c r="C27383" s="1" t="s">
        <v>23490</v>
      </c>
      <c r="D27383" s="1" t="str">
        <f>HYPERLINK("https://rhld.insurance.arkansas.gov/NPILookup?Npi=1346307220","1346307220")</f>
        <v>1346307220</v>
      </c>
      <c r="E27383" t="s">
        <v>7635</v>
      </c>
    </row>
    <row r="27384" spans="1:5" x14ac:dyDescent="0.25">
      <c r="A27384" t="s">
        <v>15</v>
      </c>
      <c r="B27384" t="s">
        <v>7614</v>
      </c>
      <c r="C27384" s="1" t="s">
        <v>23490</v>
      </c>
      <c r="D27384" s="1" t="str">
        <f>HYPERLINK("https://rhld.insurance.arkansas.gov/NPILookup?Npi=1346420593","1346420593")</f>
        <v>1346420593</v>
      </c>
      <c r="E27384" t="s">
        <v>16630</v>
      </c>
    </row>
    <row r="27385" spans="1:5" x14ac:dyDescent="0.25">
      <c r="A27385" t="s">
        <v>15</v>
      </c>
      <c r="B27385" t="s">
        <v>7614</v>
      </c>
      <c r="C27385" s="1" t="s">
        <v>23490</v>
      </c>
      <c r="D27385" s="1" t="str">
        <f>HYPERLINK("https://rhld.insurance.arkansas.gov/NPILookup?Npi=1366628349","1366628349")</f>
        <v>1366628349</v>
      </c>
      <c r="E27385" t="s">
        <v>20760</v>
      </c>
    </row>
    <row r="27386" spans="1:5" x14ac:dyDescent="0.25">
      <c r="A27386" t="s">
        <v>15</v>
      </c>
      <c r="B27386" t="s">
        <v>7614</v>
      </c>
      <c r="C27386" s="1" t="s">
        <v>23490</v>
      </c>
      <c r="D27386" s="1" t="str">
        <f>HYPERLINK("https://rhld.insurance.arkansas.gov/NPILookup?Npi=1376571281","1376571281")</f>
        <v>1376571281</v>
      </c>
      <c r="E27386" t="s">
        <v>7636</v>
      </c>
    </row>
    <row r="27387" spans="1:5" x14ac:dyDescent="0.25">
      <c r="A27387" t="s">
        <v>15</v>
      </c>
      <c r="B27387" t="s">
        <v>7614</v>
      </c>
      <c r="C27387" s="1" t="s">
        <v>23490</v>
      </c>
      <c r="D27387" s="1" t="str">
        <f>HYPERLINK("https://rhld.insurance.arkansas.gov/NPILookup?Npi=1386696680","1386696680")</f>
        <v>1386696680</v>
      </c>
      <c r="E27387" t="s">
        <v>7637</v>
      </c>
    </row>
    <row r="27388" spans="1:5" x14ac:dyDescent="0.25">
      <c r="A27388" t="s">
        <v>15</v>
      </c>
      <c r="B27388" t="s">
        <v>7614</v>
      </c>
      <c r="C27388" s="1" t="s">
        <v>23490</v>
      </c>
      <c r="D27388" s="1" t="str">
        <f>HYPERLINK("https://rhld.insurance.arkansas.gov/NPILookup?Npi=1386868545","1386868545")</f>
        <v>1386868545</v>
      </c>
      <c r="E27388" t="s">
        <v>7638</v>
      </c>
    </row>
    <row r="27389" spans="1:5" x14ac:dyDescent="0.25">
      <c r="A27389" t="s">
        <v>15</v>
      </c>
      <c r="B27389" t="s">
        <v>7614</v>
      </c>
      <c r="C27389" s="1" t="s">
        <v>23490</v>
      </c>
      <c r="D27389" s="1" t="str">
        <f>HYPERLINK("https://rhld.insurance.arkansas.gov/NPILookup?Npi=1407245848","1407245848")</f>
        <v>1407245848</v>
      </c>
      <c r="E27389" t="s">
        <v>13283</v>
      </c>
    </row>
    <row r="27390" spans="1:5" x14ac:dyDescent="0.25">
      <c r="A27390" t="s">
        <v>15</v>
      </c>
      <c r="B27390" t="s">
        <v>7614</v>
      </c>
      <c r="C27390" s="1" t="s">
        <v>8427</v>
      </c>
      <c r="D27390" s="1" t="str">
        <f>HYPERLINK("https://rhld.insurance.arkansas.gov/NPILookup?Npi=1417454620","1417454620")</f>
        <v>1417454620</v>
      </c>
      <c r="E27390" t="s">
        <v>23323</v>
      </c>
    </row>
    <row r="27391" spans="1:5" x14ac:dyDescent="0.25">
      <c r="A27391" t="s">
        <v>15</v>
      </c>
      <c r="B27391" t="s">
        <v>7614</v>
      </c>
      <c r="C27391" s="1" t="s">
        <v>23490</v>
      </c>
      <c r="D27391" s="1" t="str">
        <f>HYPERLINK("https://rhld.insurance.arkansas.gov/NPILookup?Npi=1417985714","1417985714")</f>
        <v>1417985714</v>
      </c>
      <c r="E27391" t="s">
        <v>7639</v>
      </c>
    </row>
    <row r="27392" spans="1:5" x14ac:dyDescent="0.25">
      <c r="A27392" t="s">
        <v>15</v>
      </c>
      <c r="B27392" t="s">
        <v>7614</v>
      </c>
      <c r="C27392" s="1" t="s">
        <v>23490</v>
      </c>
      <c r="D27392" s="1" t="str">
        <f>HYPERLINK("https://rhld.insurance.arkansas.gov/NPILookup?Npi=1427312552","1427312552")</f>
        <v>1427312552</v>
      </c>
      <c r="E27392" t="s">
        <v>14515</v>
      </c>
    </row>
    <row r="27393" spans="1:5" x14ac:dyDescent="0.25">
      <c r="A27393" t="s">
        <v>15</v>
      </c>
      <c r="B27393" t="s">
        <v>7614</v>
      </c>
      <c r="C27393" s="1" t="s">
        <v>23490</v>
      </c>
      <c r="D27393" s="1" t="str">
        <f>HYPERLINK("https://rhld.insurance.arkansas.gov/NPILookup?Npi=1437141322","1437141322")</f>
        <v>1437141322</v>
      </c>
      <c r="E27393" t="s">
        <v>7640</v>
      </c>
    </row>
    <row r="27394" spans="1:5" x14ac:dyDescent="0.25">
      <c r="A27394" t="s">
        <v>15</v>
      </c>
      <c r="B27394" t="s">
        <v>7614</v>
      </c>
      <c r="C27394" s="1" t="s">
        <v>23490</v>
      </c>
      <c r="D27394" s="1" t="str">
        <f>HYPERLINK("https://rhld.insurance.arkansas.gov/NPILookup?Npi=1437350816","1437350816")</f>
        <v>1437350816</v>
      </c>
      <c r="E27394" t="s">
        <v>7641</v>
      </c>
    </row>
    <row r="27395" spans="1:5" x14ac:dyDescent="0.25">
      <c r="A27395" t="s">
        <v>15</v>
      </c>
      <c r="B27395" t="s">
        <v>7614</v>
      </c>
      <c r="C27395" s="1" t="s">
        <v>23490</v>
      </c>
      <c r="D27395" s="1" t="str">
        <f>HYPERLINK("https://rhld.insurance.arkansas.gov/NPILookup?Npi=1447222880","1447222880")</f>
        <v>1447222880</v>
      </c>
      <c r="E27395" t="s">
        <v>7642</v>
      </c>
    </row>
    <row r="27396" spans="1:5" x14ac:dyDescent="0.25">
      <c r="A27396" t="s">
        <v>15</v>
      </c>
      <c r="B27396" t="s">
        <v>7614</v>
      </c>
      <c r="C27396" s="1" t="s">
        <v>23490</v>
      </c>
      <c r="D27396" s="1" t="str">
        <f>HYPERLINK("https://rhld.insurance.arkansas.gov/NPILookup?Npi=1447228663","1447228663")</f>
        <v>1447228663</v>
      </c>
      <c r="E27396" t="s">
        <v>7643</v>
      </c>
    </row>
    <row r="27397" spans="1:5" x14ac:dyDescent="0.25">
      <c r="A27397" t="s">
        <v>15</v>
      </c>
      <c r="B27397" t="s">
        <v>7614</v>
      </c>
      <c r="C27397" s="1" t="s">
        <v>23490</v>
      </c>
      <c r="D27397" s="1" t="str">
        <f>HYPERLINK("https://rhld.insurance.arkansas.gov/NPILookup?Npi=1447240080","1447240080")</f>
        <v>1447240080</v>
      </c>
      <c r="E27397" t="s">
        <v>7644</v>
      </c>
    </row>
    <row r="27398" spans="1:5" x14ac:dyDescent="0.25">
      <c r="A27398" t="s">
        <v>15</v>
      </c>
      <c r="B27398" t="s">
        <v>7614</v>
      </c>
      <c r="C27398" s="1" t="s">
        <v>23490</v>
      </c>
      <c r="D27398" s="1" t="str">
        <f>HYPERLINK("https://rhld.insurance.arkansas.gov/NPILookup?Npi=1447583406","1447583406")</f>
        <v>1447583406</v>
      </c>
      <c r="E27398" t="s">
        <v>10933</v>
      </c>
    </row>
    <row r="27399" spans="1:5" x14ac:dyDescent="0.25">
      <c r="A27399" t="s">
        <v>15</v>
      </c>
      <c r="B27399" t="s">
        <v>7614</v>
      </c>
      <c r="C27399" s="1" t="s">
        <v>23490</v>
      </c>
      <c r="D27399" s="1" t="str">
        <f>HYPERLINK("https://rhld.insurance.arkansas.gov/NPILookup?Npi=1457640344","1457640344")</f>
        <v>1457640344</v>
      </c>
      <c r="E27399" t="s">
        <v>17748</v>
      </c>
    </row>
    <row r="27400" spans="1:5" x14ac:dyDescent="0.25">
      <c r="A27400" t="s">
        <v>15</v>
      </c>
      <c r="B27400" t="s">
        <v>7614</v>
      </c>
      <c r="C27400" s="1" t="s">
        <v>23490</v>
      </c>
      <c r="D27400" s="1" t="str">
        <f>HYPERLINK("https://rhld.insurance.arkansas.gov/NPILookup?Npi=1497098636","1497098636")</f>
        <v>1497098636</v>
      </c>
      <c r="E27400" t="s">
        <v>16632</v>
      </c>
    </row>
    <row r="27401" spans="1:5" x14ac:dyDescent="0.25">
      <c r="A27401" t="s">
        <v>15</v>
      </c>
      <c r="B27401" t="s">
        <v>7614</v>
      </c>
      <c r="C27401" s="1" t="s">
        <v>23490</v>
      </c>
      <c r="D27401" s="1" t="str">
        <f>HYPERLINK("https://rhld.insurance.arkansas.gov/NPILookup?Npi=1497783757","1497783757")</f>
        <v>1497783757</v>
      </c>
      <c r="E27401" t="s">
        <v>7645</v>
      </c>
    </row>
    <row r="27402" spans="1:5" x14ac:dyDescent="0.25">
      <c r="A27402" t="s">
        <v>15</v>
      </c>
      <c r="B27402" t="s">
        <v>7614</v>
      </c>
      <c r="C27402" s="1" t="s">
        <v>23490</v>
      </c>
      <c r="D27402" s="1" t="str">
        <f>HYPERLINK("https://rhld.insurance.arkansas.gov/NPILookup?Npi=1497790562","1497790562")</f>
        <v>1497790562</v>
      </c>
      <c r="E27402" t="s">
        <v>7646</v>
      </c>
    </row>
    <row r="27403" spans="1:5" x14ac:dyDescent="0.25">
      <c r="A27403" t="s">
        <v>15</v>
      </c>
      <c r="B27403" t="s">
        <v>7614</v>
      </c>
      <c r="C27403" s="1" t="s">
        <v>23490</v>
      </c>
      <c r="D27403" s="1" t="str">
        <f>HYPERLINK("https://rhld.insurance.arkansas.gov/NPILookup?Npi=1508869892","1508869892")</f>
        <v>1508869892</v>
      </c>
      <c r="E27403" t="s">
        <v>7647</v>
      </c>
    </row>
    <row r="27404" spans="1:5" x14ac:dyDescent="0.25">
      <c r="A27404" t="s">
        <v>15</v>
      </c>
      <c r="B27404" t="s">
        <v>7614</v>
      </c>
      <c r="C27404" s="1" t="s">
        <v>23490</v>
      </c>
      <c r="D27404" s="1" t="str">
        <f>HYPERLINK("https://rhld.insurance.arkansas.gov/NPILookup?Npi=1528091071","1528091071")</f>
        <v>1528091071</v>
      </c>
      <c r="E27404" t="s">
        <v>7648</v>
      </c>
    </row>
    <row r="27405" spans="1:5" x14ac:dyDescent="0.25">
      <c r="A27405" t="s">
        <v>15</v>
      </c>
      <c r="B27405" t="s">
        <v>7614</v>
      </c>
      <c r="C27405" s="1" t="s">
        <v>23490</v>
      </c>
      <c r="D27405" s="1" t="str">
        <f>HYPERLINK("https://rhld.insurance.arkansas.gov/NPILookup?Npi=1538383021","1538383021")</f>
        <v>1538383021</v>
      </c>
      <c r="E27405" t="s">
        <v>13284</v>
      </c>
    </row>
    <row r="27406" spans="1:5" x14ac:dyDescent="0.25">
      <c r="A27406" t="s">
        <v>15</v>
      </c>
      <c r="B27406" t="s">
        <v>7614</v>
      </c>
      <c r="C27406" s="1" t="s">
        <v>23490</v>
      </c>
      <c r="D27406" s="1" t="str">
        <f>HYPERLINK("https://rhld.insurance.arkansas.gov/NPILookup?Npi=1558321612","1558321612")</f>
        <v>1558321612</v>
      </c>
      <c r="E27406" t="s">
        <v>7649</v>
      </c>
    </row>
    <row r="27407" spans="1:5" x14ac:dyDescent="0.25">
      <c r="A27407" t="s">
        <v>15</v>
      </c>
      <c r="B27407" t="s">
        <v>7614</v>
      </c>
      <c r="C27407" s="1" t="s">
        <v>23490</v>
      </c>
      <c r="D27407" s="1" t="str">
        <f>HYPERLINK("https://rhld.insurance.arkansas.gov/NPILookup?Npi=1558767806","1558767806")</f>
        <v>1558767806</v>
      </c>
      <c r="E27407" t="s">
        <v>17749</v>
      </c>
    </row>
    <row r="27408" spans="1:5" x14ac:dyDescent="0.25">
      <c r="A27408" t="s">
        <v>15</v>
      </c>
      <c r="B27408" t="s">
        <v>7614</v>
      </c>
      <c r="C27408" s="1" t="s">
        <v>23490</v>
      </c>
      <c r="D27408" s="1" t="str">
        <f>HYPERLINK("https://rhld.insurance.arkansas.gov/NPILookup?Npi=1568686723","1568686723")</f>
        <v>1568686723</v>
      </c>
      <c r="E27408" t="s">
        <v>7650</v>
      </c>
    </row>
    <row r="27409" spans="1:5" x14ac:dyDescent="0.25">
      <c r="A27409" t="s">
        <v>15</v>
      </c>
      <c r="B27409" t="s">
        <v>7614</v>
      </c>
      <c r="C27409" s="1" t="s">
        <v>23490</v>
      </c>
      <c r="D27409" s="1" t="str">
        <f>HYPERLINK("https://rhld.insurance.arkansas.gov/NPILookup?Npi=1588779425","1588779425")</f>
        <v>1588779425</v>
      </c>
      <c r="E27409" t="s">
        <v>7651</v>
      </c>
    </row>
    <row r="27410" spans="1:5" x14ac:dyDescent="0.25">
      <c r="A27410" t="s">
        <v>15</v>
      </c>
      <c r="B27410" t="s">
        <v>7614</v>
      </c>
      <c r="C27410" s="1" t="s">
        <v>23490</v>
      </c>
      <c r="D27410" s="1" t="str">
        <f>HYPERLINK("https://rhld.insurance.arkansas.gov/NPILookup?Npi=1598068736","1598068736")</f>
        <v>1598068736</v>
      </c>
      <c r="E27410" t="s">
        <v>7652</v>
      </c>
    </row>
    <row r="27411" spans="1:5" x14ac:dyDescent="0.25">
      <c r="A27411" t="s">
        <v>15</v>
      </c>
      <c r="B27411" t="s">
        <v>7614</v>
      </c>
      <c r="C27411" s="1" t="s">
        <v>23490</v>
      </c>
      <c r="D27411" s="1" t="str">
        <f>HYPERLINK("https://rhld.insurance.arkansas.gov/NPILookup?Npi=1609031558","1609031558")</f>
        <v>1609031558</v>
      </c>
      <c r="E27411" t="s">
        <v>20761</v>
      </c>
    </row>
    <row r="27412" spans="1:5" x14ac:dyDescent="0.25">
      <c r="A27412" t="s">
        <v>15</v>
      </c>
      <c r="B27412" t="s">
        <v>7614</v>
      </c>
      <c r="C27412" s="1" t="s">
        <v>23490</v>
      </c>
      <c r="D27412" s="1" t="str">
        <f>HYPERLINK("https://rhld.insurance.arkansas.gov/NPILookup?Npi=1629037338","1629037338")</f>
        <v>1629037338</v>
      </c>
      <c r="E27412" t="s">
        <v>7653</v>
      </c>
    </row>
    <row r="27413" spans="1:5" x14ac:dyDescent="0.25">
      <c r="A27413" t="s">
        <v>15</v>
      </c>
      <c r="B27413" t="s">
        <v>7614</v>
      </c>
      <c r="C27413" s="1" t="s">
        <v>23490</v>
      </c>
      <c r="D27413" s="1" t="str">
        <f>HYPERLINK("https://rhld.insurance.arkansas.gov/NPILookup?Npi=1629065685","1629065685")</f>
        <v>1629065685</v>
      </c>
      <c r="E27413" t="s">
        <v>7654</v>
      </c>
    </row>
    <row r="27414" spans="1:5" x14ac:dyDescent="0.25">
      <c r="A27414" t="s">
        <v>15</v>
      </c>
      <c r="B27414" t="s">
        <v>7614</v>
      </c>
      <c r="C27414" s="1" t="s">
        <v>23490</v>
      </c>
      <c r="D27414" s="1" t="str">
        <f>HYPERLINK("https://rhld.insurance.arkansas.gov/NPILookup?Npi=1639399769","1639399769")</f>
        <v>1639399769</v>
      </c>
      <c r="E27414" t="s">
        <v>7655</v>
      </c>
    </row>
    <row r="27415" spans="1:5" x14ac:dyDescent="0.25">
      <c r="A27415" t="s">
        <v>15</v>
      </c>
      <c r="B27415" t="s">
        <v>7614</v>
      </c>
      <c r="C27415" s="1" t="s">
        <v>23490</v>
      </c>
      <c r="D27415" s="1" t="str">
        <f>HYPERLINK("https://rhld.insurance.arkansas.gov/NPILookup?Npi=1649551870","1649551870")</f>
        <v>1649551870</v>
      </c>
      <c r="E27415" t="s">
        <v>12121</v>
      </c>
    </row>
    <row r="27416" spans="1:5" x14ac:dyDescent="0.25">
      <c r="A27416" t="s">
        <v>15</v>
      </c>
      <c r="B27416" t="s">
        <v>7614</v>
      </c>
      <c r="C27416" s="1" t="s">
        <v>23490</v>
      </c>
      <c r="D27416" s="1" t="str">
        <f>HYPERLINK("https://rhld.insurance.arkansas.gov/NPILookup?Npi=1669416046","1669416046")</f>
        <v>1669416046</v>
      </c>
      <c r="E27416" t="s">
        <v>16633</v>
      </c>
    </row>
    <row r="27417" spans="1:5" x14ac:dyDescent="0.25">
      <c r="A27417" t="s">
        <v>15</v>
      </c>
      <c r="B27417" t="s">
        <v>7614</v>
      </c>
      <c r="C27417" s="1" t="s">
        <v>23490</v>
      </c>
      <c r="D27417" s="1" t="str">
        <f>HYPERLINK("https://rhld.insurance.arkansas.gov/NPILookup?Npi=1669826632","1669826632")</f>
        <v>1669826632</v>
      </c>
      <c r="E27417" t="s">
        <v>20762</v>
      </c>
    </row>
    <row r="27418" spans="1:5" x14ac:dyDescent="0.25">
      <c r="A27418" t="s">
        <v>15</v>
      </c>
      <c r="B27418" t="s">
        <v>7614</v>
      </c>
      <c r="C27418" s="1" t="s">
        <v>23490</v>
      </c>
      <c r="D27418" s="1" t="str">
        <f>HYPERLINK("https://rhld.insurance.arkansas.gov/NPILookup?Npi=1679610745","1679610745")</f>
        <v>1679610745</v>
      </c>
      <c r="E27418" t="s">
        <v>16634</v>
      </c>
    </row>
    <row r="27419" spans="1:5" x14ac:dyDescent="0.25">
      <c r="A27419" t="s">
        <v>15</v>
      </c>
      <c r="B27419" t="s">
        <v>7614</v>
      </c>
      <c r="C27419" s="1" t="s">
        <v>23490</v>
      </c>
      <c r="D27419" s="1" t="str">
        <f>HYPERLINK("https://rhld.insurance.arkansas.gov/NPILookup?Npi=1679740906","1679740906")</f>
        <v>1679740906</v>
      </c>
      <c r="E27419" t="s">
        <v>16635</v>
      </c>
    </row>
    <row r="27420" spans="1:5" x14ac:dyDescent="0.25">
      <c r="A27420" t="s">
        <v>15</v>
      </c>
      <c r="B27420" t="s">
        <v>7614</v>
      </c>
      <c r="C27420" s="1" t="s">
        <v>23490</v>
      </c>
      <c r="D27420" s="1" t="str">
        <f>HYPERLINK("https://rhld.insurance.arkansas.gov/NPILookup?Npi=1679759617","1679759617")</f>
        <v>1679759617</v>
      </c>
      <c r="E27420" t="s">
        <v>16636</v>
      </c>
    </row>
    <row r="27421" spans="1:5" x14ac:dyDescent="0.25">
      <c r="A27421" t="s">
        <v>15</v>
      </c>
      <c r="B27421" t="s">
        <v>7614</v>
      </c>
      <c r="C27421" s="1" t="s">
        <v>23490</v>
      </c>
      <c r="D27421" s="1" t="str">
        <f>HYPERLINK("https://rhld.insurance.arkansas.gov/NPILookup?Npi=1679861702","1679861702")</f>
        <v>1679861702</v>
      </c>
      <c r="E27421" t="s">
        <v>18081</v>
      </c>
    </row>
    <row r="27422" spans="1:5" x14ac:dyDescent="0.25">
      <c r="A27422" t="s">
        <v>15</v>
      </c>
      <c r="B27422" t="s">
        <v>7614</v>
      </c>
      <c r="C27422" s="1" t="s">
        <v>23490</v>
      </c>
      <c r="D27422" s="1" t="str">
        <f>HYPERLINK("https://rhld.insurance.arkansas.gov/NPILookup?Npi=1689659674","1689659674")</f>
        <v>1689659674</v>
      </c>
      <c r="E27422" t="s">
        <v>7656</v>
      </c>
    </row>
    <row r="27423" spans="1:5" x14ac:dyDescent="0.25">
      <c r="A27423" t="s">
        <v>15</v>
      </c>
      <c r="B27423" t="s">
        <v>7614</v>
      </c>
      <c r="C27423" s="1" t="s">
        <v>23490</v>
      </c>
      <c r="D27423" s="1" t="str">
        <f>HYPERLINK("https://rhld.insurance.arkansas.gov/NPILookup?Npi=1700089521","1700089521")</f>
        <v>1700089521</v>
      </c>
      <c r="E27423" t="s">
        <v>2460</v>
      </c>
    </row>
    <row r="27424" spans="1:5" x14ac:dyDescent="0.25">
      <c r="A27424" t="s">
        <v>15</v>
      </c>
      <c r="B27424" t="s">
        <v>7614</v>
      </c>
      <c r="C27424" s="1" t="s">
        <v>23490</v>
      </c>
      <c r="D27424" s="1" t="str">
        <f>HYPERLINK("https://rhld.insurance.arkansas.gov/NPILookup?Npi=1710909098","1710909098")</f>
        <v>1710909098</v>
      </c>
      <c r="E27424" t="s">
        <v>2510</v>
      </c>
    </row>
    <row r="27425" spans="1:5" x14ac:dyDescent="0.25">
      <c r="A27425" t="s">
        <v>15</v>
      </c>
      <c r="B27425" t="s">
        <v>7614</v>
      </c>
      <c r="C27425" s="1" t="s">
        <v>23490</v>
      </c>
      <c r="D27425" s="1" t="str">
        <f>HYPERLINK("https://rhld.insurance.arkansas.gov/NPILookup?Npi=1710978168","1710978168")</f>
        <v>1710978168</v>
      </c>
      <c r="E27425" t="s">
        <v>7657</v>
      </c>
    </row>
    <row r="27426" spans="1:5" x14ac:dyDescent="0.25">
      <c r="A27426" t="s">
        <v>15</v>
      </c>
      <c r="B27426" t="s">
        <v>7614</v>
      </c>
      <c r="C27426" s="1" t="s">
        <v>23490</v>
      </c>
      <c r="D27426" s="1" t="str">
        <f>HYPERLINK("https://rhld.insurance.arkansas.gov/NPILookup?Npi=1730143926","1730143926")</f>
        <v>1730143926</v>
      </c>
      <c r="E27426" t="s">
        <v>7658</v>
      </c>
    </row>
    <row r="27427" spans="1:5" x14ac:dyDescent="0.25">
      <c r="A27427" t="s">
        <v>15</v>
      </c>
      <c r="B27427" t="s">
        <v>7614</v>
      </c>
      <c r="C27427" s="1" t="s">
        <v>23490</v>
      </c>
      <c r="D27427" s="1" t="str">
        <f>HYPERLINK("https://rhld.insurance.arkansas.gov/NPILookup?Npi=1730474222","1730474222")</f>
        <v>1730474222</v>
      </c>
      <c r="E27427" t="s">
        <v>12122</v>
      </c>
    </row>
    <row r="27428" spans="1:5" x14ac:dyDescent="0.25">
      <c r="A27428" t="s">
        <v>15</v>
      </c>
      <c r="B27428" t="s">
        <v>7614</v>
      </c>
      <c r="C27428" s="1" t="s">
        <v>23490</v>
      </c>
      <c r="D27428" s="1" t="str">
        <f>HYPERLINK("https://rhld.insurance.arkansas.gov/NPILookup?Npi=1750520300","1750520300")</f>
        <v>1750520300</v>
      </c>
      <c r="E27428" t="s">
        <v>7659</v>
      </c>
    </row>
    <row r="27429" spans="1:5" x14ac:dyDescent="0.25">
      <c r="A27429" t="s">
        <v>15</v>
      </c>
      <c r="B27429" t="s">
        <v>7614</v>
      </c>
      <c r="C27429" s="1" t="s">
        <v>23490</v>
      </c>
      <c r="D27429" s="1" t="str">
        <f>HYPERLINK("https://rhld.insurance.arkansas.gov/NPILookup?Npi=1750764114","1750764114")</f>
        <v>1750764114</v>
      </c>
      <c r="E27429" t="s">
        <v>19156</v>
      </c>
    </row>
    <row r="27430" spans="1:5" x14ac:dyDescent="0.25">
      <c r="A27430" t="s">
        <v>15</v>
      </c>
      <c r="B27430" t="s">
        <v>7614</v>
      </c>
      <c r="C27430" s="1" t="s">
        <v>23490</v>
      </c>
      <c r="D27430" s="1" t="str">
        <f>HYPERLINK("https://rhld.insurance.arkansas.gov/NPILookup?Npi=1760695944","1760695944")</f>
        <v>1760695944</v>
      </c>
      <c r="E27430" t="s">
        <v>7660</v>
      </c>
    </row>
    <row r="27431" spans="1:5" x14ac:dyDescent="0.25">
      <c r="A27431" t="s">
        <v>15</v>
      </c>
      <c r="B27431" t="s">
        <v>7614</v>
      </c>
      <c r="C27431" s="1" t="s">
        <v>23490</v>
      </c>
      <c r="D27431" s="1" t="str">
        <f>HYPERLINK("https://rhld.insurance.arkansas.gov/NPILookup?Npi=1770519670","1770519670")</f>
        <v>1770519670</v>
      </c>
      <c r="E27431" t="s">
        <v>16637</v>
      </c>
    </row>
    <row r="27432" spans="1:5" x14ac:dyDescent="0.25">
      <c r="A27432" t="s">
        <v>15</v>
      </c>
      <c r="B27432" t="s">
        <v>7614</v>
      </c>
      <c r="C27432" s="1" t="s">
        <v>23490</v>
      </c>
      <c r="D27432" s="1" t="str">
        <f>HYPERLINK("https://rhld.insurance.arkansas.gov/NPILookup?Npi=1780735571","1780735571")</f>
        <v>1780735571</v>
      </c>
      <c r="E27432" t="s">
        <v>18560</v>
      </c>
    </row>
    <row r="27433" spans="1:5" x14ac:dyDescent="0.25">
      <c r="A27433" t="s">
        <v>15</v>
      </c>
      <c r="B27433" t="s">
        <v>7614</v>
      </c>
      <c r="C27433" s="1" t="s">
        <v>23490</v>
      </c>
      <c r="D27433" s="1" t="str">
        <f>HYPERLINK("https://rhld.insurance.arkansas.gov/NPILookup?Npi=1780792689","1780792689")</f>
        <v>1780792689</v>
      </c>
      <c r="E27433" t="s">
        <v>7661</v>
      </c>
    </row>
    <row r="27434" spans="1:5" x14ac:dyDescent="0.25">
      <c r="A27434" t="s">
        <v>15</v>
      </c>
      <c r="B27434" t="s">
        <v>7614</v>
      </c>
      <c r="C27434" s="1" t="s">
        <v>23490</v>
      </c>
      <c r="D27434" s="1" t="str">
        <f>HYPERLINK("https://rhld.insurance.arkansas.gov/NPILookup?Npi=1790720126","1790720126")</f>
        <v>1790720126</v>
      </c>
      <c r="E27434" t="s">
        <v>21301</v>
      </c>
    </row>
    <row r="27435" spans="1:5" x14ac:dyDescent="0.25">
      <c r="A27435" t="s">
        <v>15</v>
      </c>
      <c r="B27435" t="s">
        <v>7614</v>
      </c>
      <c r="C27435" s="1" t="s">
        <v>23490</v>
      </c>
      <c r="D27435" s="1" t="str">
        <f>HYPERLINK("https://rhld.insurance.arkansas.gov/NPILookup?Npi=1801889258","1801889258")</f>
        <v>1801889258</v>
      </c>
      <c r="E27435" t="s">
        <v>2823</v>
      </c>
    </row>
    <row r="27436" spans="1:5" x14ac:dyDescent="0.25">
      <c r="A27436" t="s">
        <v>15</v>
      </c>
      <c r="B27436" t="s">
        <v>7614</v>
      </c>
      <c r="C27436" s="1" t="s">
        <v>23490</v>
      </c>
      <c r="D27436" s="1" t="str">
        <f>HYPERLINK("https://rhld.insurance.arkansas.gov/NPILookup?Npi=1801933189","1801933189")</f>
        <v>1801933189</v>
      </c>
      <c r="E27436" t="s">
        <v>2828</v>
      </c>
    </row>
    <row r="27437" spans="1:5" x14ac:dyDescent="0.25">
      <c r="A27437" t="s">
        <v>15</v>
      </c>
      <c r="B27437" t="s">
        <v>7614</v>
      </c>
      <c r="C27437" s="1" t="s">
        <v>23490</v>
      </c>
      <c r="D27437" s="1" t="str">
        <f>HYPERLINK("https://rhld.insurance.arkansas.gov/NPILookup?Npi=1821203233","1821203233")</f>
        <v>1821203233</v>
      </c>
      <c r="E27437" t="s">
        <v>12123</v>
      </c>
    </row>
    <row r="27438" spans="1:5" x14ac:dyDescent="0.25">
      <c r="A27438" t="s">
        <v>15</v>
      </c>
      <c r="B27438" t="s">
        <v>7614</v>
      </c>
      <c r="C27438" s="1" t="s">
        <v>23490</v>
      </c>
      <c r="D27438" s="1" t="str">
        <f>HYPERLINK("https://rhld.insurance.arkansas.gov/NPILookup?Npi=1821209784","1821209784")</f>
        <v>1821209784</v>
      </c>
      <c r="E27438" t="s">
        <v>16638</v>
      </c>
    </row>
    <row r="27439" spans="1:5" x14ac:dyDescent="0.25">
      <c r="A27439" t="s">
        <v>15</v>
      </c>
      <c r="B27439" t="s">
        <v>7614</v>
      </c>
      <c r="C27439" s="1" t="s">
        <v>23490</v>
      </c>
      <c r="D27439" s="1" t="str">
        <f>HYPERLINK("https://rhld.insurance.arkansas.gov/NPILookup?Npi=1821282369","1821282369")</f>
        <v>1821282369</v>
      </c>
      <c r="E27439" t="s">
        <v>21302</v>
      </c>
    </row>
    <row r="27440" spans="1:5" x14ac:dyDescent="0.25">
      <c r="A27440" t="s">
        <v>15</v>
      </c>
      <c r="B27440" t="s">
        <v>7614</v>
      </c>
      <c r="C27440" s="1" t="s">
        <v>23490</v>
      </c>
      <c r="D27440" s="1" t="str">
        <f>HYPERLINK("https://rhld.insurance.arkansas.gov/NPILookup?Npi=1831390962","1831390962")</f>
        <v>1831390962</v>
      </c>
      <c r="E27440" t="s">
        <v>7662</v>
      </c>
    </row>
    <row r="27441" spans="1:5" x14ac:dyDescent="0.25">
      <c r="A27441" t="s">
        <v>15</v>
      </c>
      <c r="B27441" t="s">
        <v>7614</v>
      </c>
      <c r="C27441" s="1" t="s">
        <v>23490</v>
      </c>
      <c r="D27441" s="1" t="str">
        <f>HYPERLINK("https://rhld.insurance.arkansas.gov/NPILookup?Npi=1841228756","1841228756")</f>
        <v>1841228756</v>
      </c>
      <c r="E27441" t="s">
        <v>14516</v>
      </c>
    </row>
    <row r="27442" spans="1:5" x14ac:dyDescent="0.25">
      <c r="A27442" t="s">
        <v>15</v>
      </c>
      <c r="B27442" t="s">
        <v>7614</v>
      </c>
      <c r="C27442" s="1" t="s">
        <v>23490</v>
      </c>
      <c r="D27442" s="1" t="str">
        <f>HYPERLINK("https://rhld.insurance.arkansas.gov/NPILookup?Npi=1851348973","1851348973")</f>
        <v>1851348973</v>
      </c>
      <c r="E27442" t="s">
        <v>22677</v>
      </c>
    </row>
    <row r="27443" spans="1:5" x14ac:dyDescent="0.25">
      <c r="A27443" t="s">
        <v>15</v>
      </c>
      <c r="B27443" t="s">
        <v>7614</v>
      </c>
      <c r="C27443" s="1" t="s">
        <v>23490</v>
      </c>
      <c r="D27443" s="1" t="str">
        <f>HYPERLINK("https://rhld.insurance.arkansas.gov/NPILookup?Npi=1851663462","1851663462")</f>
        <v>1851663462</v>
      </c>
      <c r="E27443" t="s">
        <v>14517</v>
      </c>
    </row>
    <row r="27444" spans="1:5" x14ac:dyDescent="0.25">
      <c r="A27444" t="s">
        <v>15</v>
      </c>
      <c r="B27444" t="s">
        <v>7614</v>
      </c>
      <c r="C27444" s="1" t="s">
        <v>8427</v>
      </c>
      <c r="D27444" s="1" t="str">
        <f>HYPERLINK("https://rhld.insurance.arkansas.gov/NPILookup?Npi=1851820005","1851820005")</f>
        <v>1851820005</v>
      </c>
      <c r="E27444" t="s">
        <v>23324</v>
      </c>
    </row>
    <row r="27445" spans="1:5" x14ac:dyDescent="0.25">
      <c r="A27445" t="s">
        <v>15</v>
      </c>
      <c r="B27445" t="s">
        <v>7614</v>
      </c>
      <c r="C27445" s="1" t="s">
        <v>23490</v>
      </c>
      <c r="D27445" s="1" t="str">
        <f>HYPERLINK("https://rhld.insurance.arkansas.gov/NPILookup?Npi=1861421687","1861421687")</f>
        <v>1861421687</v>
      </c>
      <c r="E27445" t="s">
        <v>7663</v>
      </c>
    </row>
    <row r="27446" spans="1:5" x14ac:dyDescent="0.25">
      <c r="A27446" t="s">
        <v>15</v>
      </c>
      <c r="B27446" t="s">
        <v>7614</v>
      </c>
      <c r="C27446" s="1" t="s">
        <v>23490</v>
      </c>
      <c r="D27446" s="1" t="str">
        <f>HYPERLINK("https://rhld.insurance.arkansas.gov/NPILookup?Npi=1871703108","1871703108")</f>
        <v>1871703108</v>
      </c>
      <c r="E27446" t="s">
        <v>3064</v>
      </c>
    </row>
    <row r="27447" spans="1:5" x14ac:dyDescent="0.25">
      <c r="A27447" t="s">
        <v>15</v>
      </c>
      <c r="B27447" t="s">
        <v>7614</v>
      </c>
      <c r="C27447" s="1" t="s">
        <v>23490</v>
      </c>
      <c r="D27447" s="1" t="str">
        <f>HYPERLINK("https://rhld.insurance.arkansas.gov/NPILookup?Npi=1871881284","1871881284")</f>
        <v>1871881284</v>
      </c>
      <c r="E27447" t="s">
        <v>9289</v>
      </c>
    </row>
    <row r="27448" spans="1:5" x14ac:dyDescent="0.25">
      <c r="A27448" t="s">
        <v>15</v>
      </c>
      <c r="B27448" t="s">
        <v>7614</v>
      </c>
      <c r="C27448" s="1" t="s">
        <v>23490</v>
      </c>
      <c r="D27448" s="1" t="str">
        <f>HYPERLINK("https://rhld.insurance.arkansas.gov/NPILookup?Npi=1902919178","1902919178")</f>
        <v>1902919178</v>
      </c>
      <c r="E27448" t="s">
        <v>16639</v>
      </c>
    </row>
    <row r="27449" spans="1:5" x14ac:dyDescent="0.25">
      <c r="A27449" t="s">
        <v>15</v>
      </c>
      <c r="B27449" t="s">
        <v>7614</v>
      </c>
      <c r="C27449" s="1" t="s">
        <v>23490</v>
      </c>
      <c r="D27449" s="1" t="str">
        <f>HYPERLINK("https://rhld.insurance.arkansas.gov/NPILookup?Npi=1942389440","1942389440")</f>
        <v>1942389440</v>
      </c>
      <c r="E27449" t="s">
        <v>7664</v>
      </c>
    </row>
    <row r="27450" spans="1:5" x14ac:dyDescent="0.25">
      <c r="A27450" t="s">
        <v>15</v>
      </c>
      <c r="B27450" t="s">
        <v>7614</v>
      </c>
      <c r="C27450" s="1" t="s">
        <v>23490</v>
      </c>
      <c r="D27450" s="1" t="str">
        <f>HYPERLINK("https://rhld.insurance.arkansas.gov/NPILookup?Npi=1952334401","1952334401")</f>
        <v>1952334401</v>
      </c>
      <c r="E27450" t="s">
        <v>16640</v>
      </c>
    </row>
    <row r="27451" spans="1:5" x14ac:dyDescent="0.25">
      <c r="A27451" t="s">
        <v>15</v>
      </c>
      <c r="B27451" t="s">
        <v>7614</v>
      </c>
      <c r="C27451" s="1" t="s">
        <v>23490</v>
      </c>
      <c r="D27451" s="1" t="str">
        <f>HYPERLINK("https://rhld.insurance.arkansas.gov/NPILookup?Npi=1962433615","1962433615")</f>
        <v>1962433615</v>
      </c>
      <c r="E27451" t="s">
        <v>7665</v>
      </c>
    </row>
    <row r="27452" spans="1:5" x14ac:dyDescent="0.25">
      <c r="A27452" t="s">
        <v>15</v>
      </c>
      <c r="B27452" t="s">
        <v>7614</v>
      </c>
      <c r="C27452" s="1" t="s">
        <v>8427</v>
      </c>
      <c r="D27452" s="1" t="str">
        <f>HYPERLINK("https://rhld.insurance.arkansas.gov/NPILookup?Npi=1962994608","1962994608")</f>
        <v>1962994608</v>
      </c>
      <c r="E27452" t="s">
        <v>23325</v>
      </c>
    </row>
    <row r="27453" spans="1:5" x14ac:dyDescent="0.25">
      <c r="A27453" t="s">
        <v>15</v>
      </c>
      <c r="B27453" t="s">
        <v>7614</v>
      </c>
      <c r="C27453" s="1" t="s">
        <v>23490</v>
      </c>
      <c r="D27453" s="1" t="str">
        <f>HYPERLINK("https://rhld.insurance.arkansas.gov/NPILookup?Npi=1972546802","1972546802")</f>
        <v>1972546802</v>
      </c>
      <c r="E27453" t="s">
        <v>16641</v>
      </c>
    </row>
    <row r="27454" spans="1:5" x14ac:dyDescent="0.25">
      <c r="A27454" t="s">
        <v>15</v>
      </c>
      <c r="B27454" t="s">
        <v>7614</v>
      </c>
      <c r="C27454" s="1" t="s">
        <v>23490</v>
      </c>
      <c r="D27454" s="1" t="str">
        <f>HYPERLINK("https://rhld.insurance.arkansas.gov/NPILookup?Npi=1992124291","1992124291")</f>
        <v>1992124291</v>
      </c>
      <c r="E27454" t="s">
        <v>16642</v>
      </c>
    </row>
    <row r="27455" spans="1:5" x14ac:dyDescent="0.25">
      <c r="A27455" t="s">
        <v>15</v>
      </c>
      <c r="B27455" t="s">
        <v>7614</v>
      </c>
      <c r="C27455" s="1" t="s">
        <v>23490</v>
      </c>
      <c r="D27455" s="1" t="str">
        <f>HYPERLINK("https://rhld.insurance.arkansas.gov/NPILookup?Npi=1992145304","1992145304")</f>
        <v>1992145304</v>
      </c>
      <c r="E27455" t="s">
        <v>14518</v>
      </c>
    </row>
    <row r="27456" spans="1:5" x14ac:dyDescent="0.25">
      <c r="A27456" t="s">
        <v>15</v>
      </c>
      <c r="B27456" t="s">
        <v>7614</v>
      </c>
      <c r="C27456" s="1" t="s">
        <v>23490</v>
      </c>
      <c r="D27456" s="1" t="str">
        <f>HYPERLINK("https://rhld.insurance.arkansas.gov/NPILookup?Npi=1992903355","1992903355")</f>
        <v>1992903355</v>
      </c>
      <c r="E27456" t="s">
        <v>13285</v>
      </c>
    </row>
    <row r="27457" spans="1:5" x14ac:dyDescent="0.25">
      <c r="A27457" t="s">
        <v>16</v>
      </c>
      <c r="B27457" t="s">
        <v>7666</v>
      </c>
      <c r="C27457" s="1" t="s">
        <v>23490</v>
      </c>
      <c r="D27457" s="1" t="str">
        <f>HYPERLINK("https://rhld.insurance.arkansas.gov/NPILookup?Npi=1003044355","1003044355")</f>
        <v>1003044355</v>
      </c>
      <c r="E27457" t="s">
        <v>22678</v>
      </c>
    </row>
    <row r="27458" spans="1:5" x14ac:dyDescent="0.25">
      <c r="A27458" t="s">
        <v>16</v>
      </c>
      <c r="B27458" t="s">
        <v>7666</v>
      </c>
      <c r="C27458" s="1" t="s">
        <v>23490</v>
      </c>
      <c r="D27458" s="1" t="str">
        <f>HYPERLINK("https://rhld.insurance.arkansas.gov/NPILookup?Npi=1003104498","1003104498")</f>
        <v>1003104498</v>
      </c>
      <c r="E27458" t="s">
        <v>7667</v>
      </c>
    </row>
    <row r="27459" spans="1:5" x14ac:dyDescent="0.25">
      <c r="A27459" t="s">
        <v>16</v>
      </c>
      <c r="B27459" t="s">
        <v>7666</v>
      </c>
      <c r="C27459" s="1" t="s">
        <v>23490</v>
      </c>
      <c r="D27459" s="1" t="str">
        <f>HYPERLINK("https://rhld.insurance.arkansas.gov/NPILookup?Npi=1003113606","1003113606")</f>
        <v>1003113606</v>
      </c>
      <c r="E27459" t="s">
        <v>7668</v>
      </c>
    </row>
    <row r="27460" spans="1:5" x14ac:dyDescent="0.25">
      <c r="A27460" t="s">
        <v>16</v>
      </c>
      <c r="B27460" t="s">
        <v>7666</v>
      </c>
      <c r="C27460" s="1" t="s">
        <v>23490</v>
      </c>
      <c r="D27460" s="1" t="str">
        <f>HYPERLINK("https://rhld.insurance.arkansas.gov/NPILookup?Npi=1003807785","1003807785")</f>
        <v>1003807785</v>
      </c>
      <c r="E27460" t="s">
        <v>7669</v>
      </c>
    </row>
    <row r="27461" spans="1:5" x14ac:dyDescent="0.25">
      <c r="A27461" t="s">
        <v>16</v>
      </c>
      <c r="B27461" t="s">
        <v>7666</v>
      </c>
      <c r="C27461" s="1" t="s">
        <v>23490</v>
      </c>
      <c r="D27461" s="1" t="str">
        <f>HYPERLINK("https://rhld.insurance.arkansas.gov/NPILookup?Npi=1003867243","1003867243")</f>
        <v>1003867243</v>
      </c>
      <c r="E27461" t="s">
        <v>7670</v>
      </c>
    </row>
    <row r="27462" spans="1:5" x14ac:dyDescent="0.25">
      <c r="A27462" t="s">
        <v>16</v>
      </c>
      <c r="B27462" t="s">
        <v>7666</v>
      </c>
      <c r="C27462" s="1" t="s">
        <v>23490</v>
      </c>
      <c r="D27462" s="1" t="str">
        <f>HYPERLINK("https://rhld.insurance.arkansas.gov/NPILookup?Npi=1003876582","1003876582")</f>
        <v>1003876582</v>
      </c>
      <c r="E27462" t="s">
        <v>7671</v>
      </c>
    </row>
    <row r="27463" spans="1:5" x14ac:dyDescent="0.25">
      <c r="A27463" t="s">
        <v>16</v>
      </c>
      <c r="B27463" t="s">
        <v>7666</v>
      </c>
      <c r="C27463" s="1" t="s">
        <v>23490</v>
      </c>
      <c r="D27463" s="1" t="str">
        <f>HYPERLINK("https://rhld.insurance.arkansas.gov/NPILookup?Npi=1003878075","1003878075")</f>
        <v>1003878075</v>
      </c>
      <c r="E27463" t="s">
        <v>7672</v>
      </c>
    </row>
    <row r="27464" spans="1:5" x14ac:dyDescent="0.25">
      <c r="A27464" t="s">
        <v>16</v>
      </c>
      <c r="B27464" t="s">
        <v>7666</v>
      </c>
      <c r="C27464" s="1" t="s">
        <v>23490</v>
      </c>
      <c r="D27464" s="1" t="str">
        <f>HYPERLINK("https://rhld.insurance.arkansas.gov/NPILookup?Npi=1003885138","1003885138")</f>
        <v>1003885138</v>
      </c>
      <c r="E27464" t="s">
        <v>22679</v>
      </c>
    </row>
    <row r="27465" spans="1:5" x14ac:dyDescent="0.25">
      <c r="A27465" t="s">
        <v>16</v>
      </c>
      <c r="B27465" t="s">
        <v>7666</v>
      </c>
      <c r="C27465" s="1" t="s">
        <v>23490</v>
      </c>
      <c r="D27465" s="1" t="str">
        <f>HYPERLINK("https://rhld.insurance.arkansas.gov/NPILookup?Npi=1003906595","1003906595")</f>
        <v>1003906595</v>
      </c>
      <c r="E27465" t="s">
        <v>7673</v>
      </c>
    </row>
    <row r="27466" spans="1:5" x14ac:dyDescent="0.25">
      <c r="A27466" t="s">
        <v>16</v>
      </c>
      <c r="B27466" t="s">
        <v>7666</v>
      </c>
      <c r="C27466" s="1" t="s">
        <v>23490</v>
      </c>
      <c r="D27466" s="1" t="str">
        <f>HYPERLINK("https://rhld.insurance.arkansas.gov/NPILookup?Npi=1003957374","1003957374")</f>
        <v>1003957374</v>
      </c>
      <c r="E27466" t="s">
        <v>14519</v>
      </c>
    </row>
    <row r="27467" spans="1:5" x14ac:dyDescent="0.25">
      <c r="A27467" t="s">
        <v>16</v>
      </c>
      <c r="B27467" t="s">
        <v>7666</v>
      </c>
      <c r="C27467" s="1" t="s">
        <v>23490</v>
      </c>
      <c r="D27467" s="1" t="str">
        <f>HYPERLINK("https://rhld.insurance.arkansas.gov/NPILookup?Npi=1003977364","1003977364")</f>
        <v>1003977364</v>
      </c>
      <c r="E27467" t="s">
        <v>14520</v>
      </c>
    </row>
    <row r="27468" spans="1:5" x14ac:dyDescent="0.25">
      <c r="A27468" t="s">
        <v>16</v>
      </c>
      <c r="B27468" t="s">
        <v>7666</v>
      </c>
      <c r="C27468" s="1" t="s">
        <v>23490</v>
      </c>
      <c r="D27468" s="1" t="str">
        <f>HYPERLINK("https://rhld.insurance.arkansas.gov/NPILookup?Npi=1013013648","1013013648")</f>
        <v>1013013648</v>
      </c>
      <c r="E27468" t="s">
        <v>7674</v>
      </c>
    </row>
    <row r="27469" spans="1:5" x14ac:dyDescent="0.25">
      <c r="A27469" t="s">
        <v>16</v>
      </c>
      <c r="B27469" t="s">
        <v>7666</v>
      </c>
      <c r="C27469" s="1" t="s">
        <v>23490</v>
      </c>
      <c r="D27469" s="1" t="str">
        <f>HYPERLINK("https://rhld.insurance.arkansas.gov/NPILookup?Npi=1013015585","1013015585")</f>
        <v>1013015585</v>
      </c>
      <c r="E27469" t="s">
        <v>16643</v>
      </c>
    </row>
    <row r="27470" spans="1:5" x14ac:dyDescent="0.25">
      <c r="A27470" t="s">
        <v>16</v>
      </c>
      <c r="B27470" t="s">
        <v>7666</v>
      </c>
      <c r="C27470" s="1" t="s">
        <v>23490</v>
      </c>
      <c r="D27470" s="1" t="str">
        <f>HYPERLINK("https://rhld.insurance.arkansas.gov/NPILookup?Npi=1013084953","1013084953")</f>
        <v>1013084953</v>
      </c>
      <c r="E27470" t="s">
        <v>7675</v>
      </c>
    </row>
    <row r="27471" spans="1:5" x14ac:dyDescent="0.25">
      <c r="A27471" t="s">
        <v>16</v>
      </c>
      <c r="B27471" t="s">
        <v>7666</v>
      </c>
      <c r="C27471" s="1" t="s">
        <v>23490</v>
      </c>
      <c r="D27471" s="1" t="str">
        <f>HYPERLINK("https://rhld.insurance.arkansas.gov/NPILookup?Npi=1013087139","1013087139")</f>
        <v>1013087139</v>
      </c>
      <c r="E27471" t="s">
        <v>7676</v>
      </c>
    </row>
    <row r="27472" spans="1:5" x14ac:dyDescent="0.25">
      <c r="A27472" t="s">
        <v>16</v>
      </c>
      <c r="B27472" t="s">
        <v>7666</v>
      </c>
      <c r="C27472" s="1" t="s">
        <v>23490</v>
      </c>
      <c r="D27472" s="1" t="str">
        <f>HYPERLINK("https://rhld.insurance.arkansas.gov/NPILookup?Npi=1013229442","1013229442")</f>
        <v>1013229442</v>
      </c>
      <c r="E27472" t="s">
        <v>20763</v>
      </c>
    </row>
    <row r="27473" spans="1:5" x14ac:dyDescent="0.25">
      <c r="A27473" t="s">
        <v>16</v>
      </c>
      <c r="B27473" t="s">
        <v>7666</v>
      </c>
      <c r="C27473" s="1" t="s">
        <v>23490</v>
      </c>
      <c r="D27473" s="1" t="str">
        <f>HYPERLINK("https://rhld.insurance.arkansas.gov/NPILookup?Npi=1013365642","1013365642")</f>
        <v>1013365642</v>
      </c>
      <c r="E27473" t="s">
        <v>14521</v>
      </c>
    </row>
    <row r="27474" spans="1:5" x14ac:dyDescent="0.25">
      <c r="A27474" t="s">
        <v>16</v>
      </c>
      <c r="B27474" t="s">
        <v>7666</v>
      </c>
      <c r="C27474" s="1" t="s">
        <v>23490</v>
      </c>
      <c r="D27474" s="1" t="str">
        <f>HYPERLINK("https://rhld.insurance.arkansas.gov/NPILookup?Npi=1013951987","1013951987")</f>
        <v>1013951987</v>
      </c>
      <c r="E27474" t="s">
        <v>16644</v>
      </c>
    </row>
    <row r="27475" spans="1:5" x14ac:dyDescent="0.25">
      <c r="A27475" t="s">
        <v>16</v>
      </c>
      <c r="B27475" t="s">
        <v>7666</v>
      </c>
      <c r="C27475" s="1" t="s">
        <v>23490</v>
      </c>
      <c r="D27475" s="1" t="str">
        <f>HYPERLINK("https://rhld.insurance.arkansas.gov/NPILookup?Npi=1023087632","1023087632")</f>
        <v>1023087632</v>
      </c>
      <c r="E27475" t="s">
        <v>7677</v>
      </c>
    </row>
    <row r="27476" spans="1:5" x14ac:dyDescent="0.25">
      <c r="A27476" t="s">
        <v>16</v>
      </c>
      <c r="B27476" t="s">
        <v>7666</v>
      </c>
      <c r="C27476" s="1" t="s">
        <v>23490</v>
      </c>
      <c r="D27476" s="1" t="str">
        <f>HYPERLINK("https://rhld.insurance.arkansas.gov/NPILookup?Npi=1023092343","1023092343")</f>
        <v>1023092343</v>
      </c>
      <c r="E27476" t="s">
        <v>1466</v>
      </c>
    </row>
    <row r="27477" spans="1:5" x14ac:dyDescent="0.25">
      <c r="A27477" t="s">
        <v>16</v>
      </c>
      <c r="B27477" t="s">
        <v>7666</v>
      </c>
      <c r="C27477" s="1" t="s">
        <v>23490</v>
      </c>
      <c r="D27477" s="1" t="str">
        <f>HYPERLINK("https://rhld.insurance.arkansas.gov/NPILookup?Npi=1023101342","1023101342")</f>
        <v>1023101342</v>
      </c>
      <c r="E27477" t="s">
        <v>5256</v>
      </c>
    </row>
    <row r="27478" spans="1:5" x14ac:dyDescent="0.25">
      <c r="A27478" t="s">
        <v>16</v>
      </c>
      <c r="B27478" t="s">
        <v>7666</v>
      </c>
      <c r="C27478" s="1" t="s">
        <v>23490</v>
      </c>
      <c r="D27478" s="1" t="str">
        <f>HYPERLINK("https://rhld.insurance.arkansas.gov/NPILookup?Npi=1023116258","1023116258")</f>
        <v>1023116258</v>
      </c>
      <c r="E27478" t="s">
        <v>20764</v>
      </c>
    </row>
    <row r="27479" spans="1:5" x14ac:dyDescent="0.25">
      <c r="A27479" t="s">
        <v>16</v>
      </c>
      <c r="B27479" t="s">
        <v>7666</v>
      </c>
      <c r="C27479" s="1" t="s">
        <v>23490</v>
      </c>
      <c r="D27479" s="1" t="str">
        <f>HYPERLINK("https://rhld.insurance.arkansas.gov/NPILookup?Npi=1023122017","1023122017")</f>
        <v>1023122017</v>
      </c>
      <c r="E27479" t="s">
        <v>14522</v>
      </c>
    </row>
    <row r="27480" spans="1:5" x14ac:dyDescent="0.25">
      <c r="A27480" t="s">
        <v>16</v>
      </c>
      <c r="B27480" t="s">
        <v>7666</v>
      </c>
      <c r="C27480" s="1" t="s">
        <v>23490</v>
      </c>
      <c r="D27480" s="1" t="str">
        <f>HYPERLINK("https://rhld.insurance.arkansas.gov/NPILookup?Npi=1023239712","1023239712")</f>
        <v>1023239712</v>
      </c>
      <c r="E27480" t="s">
        <v>7678</v>
      </c>
    </row>
    <row r="27481" spans="1:5" x14ac:dyDescent="0.25">
      <c r="A27481" t="s">
        <v>16</v>
      </c>
      <c r="B27481" t="s">
        <v>7666</v>
      </c>
      <c r="C27481" s="1" t="s">
        <v>23490</v>
      </c>
      <c r="D27481" s="1" t="str">
        <f>HYPERLINK("https://rhld.insurance.arkansas.gov/NPILookup?Npi=1033112339","1033112339")</f>
        <v>1033112339</v>
      </c>
      <c r="E27481" t="s">
        <v>7679</v>
      </c>
    </row>
    <row r="27482" spans="1:5" x14ac:dyDescent="0.25">
      <c r="A27482" t="s">
        <v>16</v>
      </c>
      <c r="B27482" t="s">
        <v>7666</v>
      </c>
      <c r="C27482" s="1" t="s">
        <v>23490</v>
      </c>
      <c r="D27482" s="1" t="str">
        <f>HYPERLINK("https://rhld.insurance.arkansas.gov/NPILookup?Npi=1033112420","1033112420")</f>
        <v>1033112420</v>
      </c>
      <c r="E27482" t="s">
        <v>7680</v>
      </c>
    </row>
    <row r="27483" spans="1:5" x14ac:dyDescent="0.25">
      <c r="A27483" t="s">
        <v>16</v>
      </c>
      <c r="B27483" t="s">
        <v>7666</v>
      </c>
      <c r="C27483" s="1" t="s">
        <v>23490</v>
      </c>
      <c r="D27483" s="1" t="str">
        <f>HYPERLINK("https://rhld.insurance.arkansas.gov/NPILookup?Npi=1033112446","1033112446")</f>
        <v>1033112446</v>
      </c>
      <c r="E27483" t="s">
        <v>7681</v>
      </c>
    </row>
    <row r="27484" spans="1:5" x14ac:dyDescent="0.25">
      <c r="A27484" t="s">
        <v>16</v>
      </c>
      <c r="B27484" t="s">
        <v>7666</v>
      </c>
      <c r="C27484" s="1" t="s">
        <v>23490</v>
      </c>
      <c r="D27484" s="1" t="str">
        <f>HYPERLINK("https://rhld.insurance.arkansas.gov/NPILookup?Npi=1033117593","1033117593")</f>
        <v>1033117593</v>
      </c>
      <c r="E27484" t="s">
        <v>7682</v>
      </c>
    </row>
    <row r="27485" spans="1:5" x14ac:dyDescent="0.25">
      <c r="A27485" t="s">
        <v>16</v>
      </c>
      <c r="B27485" t="s">
        <v>7666</v>
      </c>
      <c r="C27485" s="1" t="s">
        <v>23490</v>
      </c>
      <c r="D27485" s="1" t="str">
        <f>HYPERLINK("https://rhld.insurance.arkansas.gov/NPILookup?Npi=1033155338","1033155338")</f>
        <v>1033155338</v>
      </c>
      <c r="E27485" t="s">
        <v>16645</v>
      </c>
    </row>
    <row r="27486" spans="1:5" x14ac:dyDescent="0.25">
      <c r="A27486" t="s">
        <v>16</v>
      </c>
      <c r="B27486" t="s">
        <v>7666</v>
      </c>
      <c r="C27486" s="1" t="s">
        <v>23490</v>
      </c>
      <c r="D27486" s="1" t="str">
        <f>HYPERLINK("https://rhld.insurance.arkansas.gov/NPILookup?Npi=1033163837","1033163837")</f>
        <v>1033163837</v>
      </c>
      <c r="E27486" t="s">
        <v>431</v>
      </c>
    </row>
    <row r="27487" spans="1:5" x14ac:dyDescent="0.25">
      <c r="A27487" t="s">
        <v>16</v>
      </c>
      <c r="B27487" t="s">
        <v>7666</v>
      </c>
      <c r="C27487" s="1" t="s">
        <v>23490</v>
      </c>
      <c r="D27487" s="1" t="str">
        <f>HYPERLINK("https://rhld.insurance.arkansas.gov/NPILookup?Npi=1033180336","1033180336")</f>
        <v>1033180336</v>
      </c>
      <c r="E27487" t="s">
        <v>7683</v>
      </c>
    </row>
    <row r="27488" spans="1:5" x14ac:dyDescent="0.25">
      <c r="A27488" t="s">
        <v>16</v>
      </c>
      <c r="B27488" t="s">
        <v>7666</v>
      </c>
      <c r="C27488" s="1" t="s">
        <v>23490</v>
      </c>
      <c r="D27488" s="1" t="str">
        <f>HYPERLINK("https://rhld.insurance.arkansas.gov/NPILookup?Npi=1033199492","1033199492")</f>
        <v>1033199492</v>
      </c>
      <c r="E27488" t="s">
        <v>7684</v>
      </c>
    </row>
    <row r="27489" spans="1:5" x14ac:dyDescent="0.25">
      <c r="A27489" t="s">
        <v>16</v>
      </c>
      <c r="B27489" t="s">
        <v>7666</v>
      </c>
      <c r="C27489" s="1" t="s">
        <v>23490</v>
      </c>
      <c r="D27489" s="1" t="str">
        <f>HYPERLINK("https://rhld.insurance.arkansas.gov/NPILookup?Npi=1033407226","1033407226")</f>
        <v>1033407226</v>
      </c>
      <c r="E27489" t="s">
        <v>7685</v>
      </c>
    </row>
    <row r="27490" spans="1:5" x14ac:dyDescent="0.25">
      <c r="A27490" t="s">
        <v>16</v>
      </c>
      <c r="B27490" t="s">
        <v>7666</v>
      </c>
      <c r="C27490" s="1" t="s">
        <v>23490</v>
      </c>
      <c r="D27490" s="1" t="str">
        <f>HYPERLINK("https://rhld.insurance.arkansas.gov/NPILookup?Npi=1033424437","1033424437")</f>
        <v>1033424437</v>
      </c>
      <c r="E27490" t="s">
        <v>7686</v>
      </c>
    </row>
    <row r="27491" spans="1:5" x14ac:dyDescent="0.25">
      <c r="A27491" t="s">
        <v>16</v>
      </c>
      <c r="B27491" t="s">
        <v>7666</v>
      </c>
      <c r="C27491" s="1" t="s">
        <v>23490</v>
      </c>
      <c r="D27491" s="1" t="str">
        <f>HYPERLINK("https://rhld.insurance.arkansas.gov/NPILookup?Npi=1033551437","1033551437")</f>
        <v>1033551437</v>
      </c>
      <c r="E27491" t="s">
        <v>9290</v>
      </c>
    </row>
    <row r="27492" spans="1:5" x14ac:dyDescent="0.25">
      <c r="A27492" t="s">
        <v>16</v>
      </c>
      <c r="B27492" t="s">
        <v>7666</v>
      </c>
      <c r="C27492" s="1" t="s">
        <v>23490</v>
      </c>
      <c r="D27492" s="1" t="str">
        <f>HYPERLINK("https://rhld.insurance.arkansas.gov/NPILookup?Npi=1033557426","1033557426")</f>
        <v>1033557426</v>
      </c>
      <c r="E27492" t="s">
        <v>16646</v>
      </c>
    </row>
    <row r="27493" spans="1:5" x14ac:dyDescent="0.25">
      <c r="A27493" t="s">
        <v>16</v>
      </c>
      <c r="B27493" t="s">
        <v>7666</v>
      </c>
      <c r="C27493" s="1" t="s">
        <v>23490</v>
      </c>
      <c r="D27493" s="1" t="str">
        <f>HYPERLINK("https://rhld.insurance.arkansas.gov/NPILookup?Npi=1033571088","1033571088")</f>
        <v>1033571088</v>
      </c>
      <c r="E27493" t="s">
        <v>21303</v>
      </c>
    </row>
    <row r="27494" spans="1:5" x14ac:dyDescent="0.25">
      <c r="A27494" t="s">
        <v>16</v>
      </c>
      <c r="B27494" t="s">
        <v>7666</v>
      </c>
      <c r="C27494" s="1" t="s">
        <v>23490</v>
      </c>
      <c r="D27494" s="1" t="str">
        <f>HYPERLINK("https://rhld.insurance.arkansas.gov/NPILookup?Npi=1033770482","1033770482")</f>
        <v>1033770482</v>
      </c>
      <c r="E27494" t="s">
        <v>16647</v>
      </c>
    </row>
    <row r="27495" spans="1:5" x14ac:dyDescent="0.25">
      <c r="A27495" t="s">
        <v>16</v>
      </c>
      <c r="B27495" t="s">
        <v>7666</v>
      </c>
      <c r="C27495" s="1" t="s">
        <v>23490</v>
      </c>
      <c r="D27495" s="1" t="str">
        <f>HYPERLINK("https://rhld.insurance.arkansas.gov/NPILookup?Npi=1043220874","1043220874")</f>
        <v>1043220874</v>
      </c>
      <c r="E27495" t="s">
        <v>12124</v>
      </c>
    </row>
    <row r="27496" spans="1:5" x14ac:dyDescent="0.25">
      <c r="A27496" t="s">
        <v>16</v>
      </c>
      <c r="B27496" t="s">
        <v>7666</v>
      </c>
      <c r="C27496" s="1" t="s">
        <v>23490</v>
      </c>
      <c r="D27496" s="1" t="str">
        <f>HYPERLINK("https://rhld.insurance.arkansas.gov/NPILookup?Npi=1043221799","1043221799")</f>
        <v>1043221799</v>
      </c>
      <c r="E27496" t="s">
        <v>7687</v>
      </c>
    </row>
    <row r="27497" spans="1:5" x14ac:dyDescent="0.25">
      <c r="A27497" t="s">
        <v>16</v>
      </c>
      <c r="B27497" t="s">
        <v>7666</v>
      </c>
      <c r="C27497" s="1" t="s">
        <v>23490</v>
      </c>
      <c r="D27497" s="1" t="str">
        <f>HYPERLINK("https://rhld.insurance.arkansas.gov/NPILookup?Npi=1043288202","1043288202")</f>
        <v>1043288202</v>
      </c>
      <c r="E27497" t="s">
        <v>3962</v>
      </c>
    </row>
    <row r="27498" spans="1:5" x14ac:dyDescent="0.25">
      <c r="A27498" t="s">
        <v>16</v>
      </c>
      <c r="B27498" t="s">
        <v>7666</v>
      </c>
      <c r="C27498" s="1" t="s">
        <v>23490</v>
      </c>
      <c r="D27498" s="1" t="str">
        <f>HYPERLINK("https://rhld.insurance.arkansas.gov/NPILookup?Npi=1043289101","1043289101")</f>
        <v>1043289101</v>
      </c>
      <c r="E27498" t="s">
        <v>7688</v>
      </c>
    </row>
    <row r="27499" spans="1:5" x14ac:dyDescent="0.25">
      <c r="A27499" t="s">
        <v>16</v>
      </c>
      <c r="B27499" t="s">
        <v>7666</v>
      </c>
      <c r="C27499" s="1" t="s">
        <v>23490</v>
      </c>
      <c r="D27499" s="1" t="str">
        <f>HYPERLINK("https://rhld.insurance.arkansas.gov/NPILookup?Npi=1043355506","1043355506")</f>
        <v>1043355506</v>
      </c>
      <c r="E27499" t="s">
        <v>7689</v>
      </c>
    </row>
    <row r="27500" spans="1:5" x14ac:dyDescent="0.25">
      <c r="A27500" t="s">
        <v>16</v>
      </c>
      <c r="B27500" t="s">
        <v>7666</v>
      </c>
      <c r="C27500" s="1" t="s">
        <v>23490</v>
      </c>
      <c r="D27500" s="1" t="str">
        <f>HYPERLINK("https://rhld.insurance.arkansas.gov/NPILookup?Npi=1043412067","1043412067")</f>
        <v>1043412067</v>
      </c>
      <c r="E27500" t="s">
        <v>9291</v>
      </c>
    </row>
    <row r="27501" spans="1:5" x14ac:dyDescent="0.25">
      <c r="A27501" t="s">
        <v>16</v>
      </c>
      <c r="B27501" t="s">
        <v>7666</v>
      </c>
      <c r="C27501" s="1" t="s">
        <v>23490</v>
      </c>
      <c r="D27501" s="1" t="str">
        <f>HYPERLINK("https://rhld.insurance.arkansas.gov/NPILookup?Npi=1043449713","1043449713")</f>
        <v>1043449713</v>
      </c>
      <c r="E27501" t="s">
        <v>7690</v>
      </c>
    </row>
    <row r="27502" spans="1:5" x14ac:dyDescent="0.25">
      <c r="A27502" t="s">
        <v>16</v>
      </c>
      <c r="B27502" t="s">
        <v>7666</v>
      </c>
      <c r="C27502" s="1" t="s">
        <v>23490</v>
      </c>
      <c r="D27502" s="1" t="str">
        <f>HYPERLINK("https://rhld.insurance.arkansas.gov/NPILookup?Npi=1043538796","1043538796")</f>
        <v>1043538796</v>
      </c>
      <c r="E27502" t="s">
        <v>7691</v>
      </c>
    </row>
    <row r="27503" spans="1:5" x14ac:dyDescent="0.25">
      <c r="A27503" t="s">
        <v>16</v>
      </c>
      <c r="B27503" t="s">
        <v>7666</v>
      </c>
      <c r="C27503" s="1" t="s">
        <v>23490</v>
      </c>
      <c r="D27503" s="1" t="str">
        <f>HYPERLINK("https://rhld.insurance.arkansas.gov/NPILookup?Npi=1043570757","1043570757")</f>
        <v>1043570757</v>
      </c>
      <c r="E27503" t="s">
        <v>10604</v>
      </c>
    </row>
    <row r="27504" spans="1:5" x14ac:dyDescent="0.25">
      <c r="A27504" t="s">
        <v>16</v>
      </c>
      <c r="B27504" t="s">
        <v>7666</v>
      </c>
      <c r="C27504" s="1" t="s">
        <v>23490</v>
      </c>
      <c r="D27504" s="1" t="str">
        <f>HYPERLINK("https://rhld.insurance.arkansas.gov/NPILookup?Npi=1043623937","1043623937")</f>
        <v>1043623937</v>
      </c>
      <c r="E27504" t="s">
        <v>9292</v>
      </c>
    </row>
    <row r="27505" spans="1:5" x14ac:dyDescent="0.25">
      <c r="A27505" t="s">
        <v>16</v>
      </c>
      <c r="B27505" t="s">
        <v>7666</v>
      </c>
      <c r="C27505" s="1" t="s">
        <v>23490</v>
      </c>
      <c r="D27505" s="1" t="str">
        <f>HYPERLINK("https://rhld.insurance.arkansas.gov/NPILookup?Npi=1043747595","1043747595")</f>
        <v>1043747595</v>
      </c>
      <c r="E27505" t="s">
        <v>17750</v>
      </c>
    </row>
    <row r="27506" spans="1:5" x14ac:dyDescent="0.25">
      <c r="A27506" t="s">
        <v>16</v>
      </c>
      <c r="B27506" t="s">
        <v>7666</v>
      </c>
      <c r="C27506" s="1" t="s">
        <v>23490</v>
      </c>
      <c r="D27506" s="1" t="str">
        <f>HYPERLINK("https://rhld.insurance.arkansas.gov/NPILookup?Npi=1053302125","1053302125")</f>
        <v>1053302125</v>
      </c>
      <c r="E27506" t="s">
        <v>16648</v>
      </c>
    </row>
    <row r="27507" spans="1:5" x14ac:dyDescent="0.25">
      <c r="A27507" t="s">
        <v>16</v>
      </c>
      <c r="B27507" t="s">
        <v>7666</v>
      </c>
      <c r="C27507" s="1" t="s">
        <v>23490</v>
      </c>
      <c r="D27507" s="1" t="str">
        <f>HYPERLINK("https://rhld.insurance.arkansas.gov/NPILookup?Npi=1053302331","1053302331")</f>
        <v>1053302331</v>
      </c>
      <c r="E27507" t="s">
        <v>7692</v>
      </c>
    </row>
    <row r="27508" spans="1:5" x14ac:dyDescent="0.25">
      <c r="A27508" t="s">
        <v>16</v>
      </c>
      <c r="B27508" t="s">
        <v>7666</v>
      </c>
      <c r="C27508" s="1" t="s">
        <v>23490</v>
      </c>
      <c r="D27508" s="1" t="str">
        <f>HYPERLINK("https://rhld.insurance.arkansas.gov/NPILookup?Npi=1053376434","1053376434")</f>
        <v>1053376434</v>
      </c>
      <c r="E27508" t="s">
        <v>20765</v>
      </c>
    </row>
    <row r="27509" spans="1:5" x14ac:dyDescent="0.25">
      <c r="A27509" t="s">
        <v>16</v>
      </c>
      <c r="B27509" t="s">
        <v>7666</v>
      </c>
      <c r="C27509" s="1" t="s">
        <v>23490</v>
      </c>
      <c r="D27509" s="1" t="str">
        <f>HYPERLINK("https://rhld.insurance.arkansas.gov/NPILookup?Npi=1053417360","1053417360")</f>
        <v>1053417360</v>
      </c>
      <c r="E27509" t="s">
        <v>7693</v>
      </c>
    </row>
    <row r="27510" spans="1:5" x14ac:dyDescent="0.25">
      <c r="A27510" t="s">
        <v>16</v>
      </c>
      <c r="B27510" t="s">
        <v>7666</v>
      </c>
      <c r="C27510" s="1" t="s">
        <v>23490</v>
      </c>
      <c r="D27510" s="1" t="str">
        <f>HYPERLINK("https://rhld.insurance.arkansas.gov/NPILookup?Npi=1053481457","1053481457")</f>
        <v>1053481457</v>
      </c>
      <c r="E27510" t="s">
        <v>7694</v>
      </c>
    </row>
    <row r="27511" spans="1:5" x14ac:dyDescent="0.25">
      <c r="A27511" t="s">
        <v>16</v>
      </c>
      <c r="B27511" t="s">
        <v>7666</v>
      </c>
      <c r="C27511" s="1" t="s">
        <v>23490</v>
      </c>
      <c r="D27511" s="1" t="str">
        <f>HYPERLINK("https://rhld.insurance.arkansas.gov/NPILookup?Npi=1053484139","1053484139")</f>
        <v>1053484139</v>
      </c>
      <c r="E27511" t="s">
        <v>14838</v>
      </c>
    </row>
    <row r="27512" spans="1:5" x14ac:dyDescent="0.25">
      <c r="A27512" t="s">
        <v>16</v>
      </c>
      <c r="B27512" t="s">
        <v>7666</v>
      </c>
      <c r="C27512" s="1" t="s">
        <v>23490</v>
      </c>
      <c r="D27512" s="1" t="str">
        <f>HYPERLINK("https://rhld.insurance.arkansas.gov/NPILookup?Npi=1053729152","1053729152")</f>
        <v>1053729152</v>
      </c>
      <c r="E27512" t="s">
        <v>7695</v>
      </c>
    </row>
    <row r="27513" spans="1:5" x14ac:dyDescent="0.25">
      <c r="A27513" t="s">
        <v>16</v>
      </c>
      <c r="B27513" t="s">
        <v>7666</v>
      </c>
      <c r="C27513" s="1" t="s">
        <v>23490</v>
      </c>
      <c r="D27513" s="1" t="str">
        <f>HYPERLINK("https://rhld.insurance.arkansas.gov/NPILookup?Npi=1053743534","1053743534")</f>
        <v>1053743534</v>
      </c>
      <c r="E27513" t="s">
        <v>7696</v>
      </c>
    </row>
    <row r="27514" spans="1:5" x14ac:dyDescent="0.25">
      <c r="A27514" t="s">
        <v>16</v>
      </c>
      <c r="B27514" t="s">
        <v>7666</v>
      </c>
      <c r="C27514" s="1" t="s">
        <v>23490</v>
      </c>
      <c r="D27514" s="1" t="str">
        <f>HYPERLINK("https://rhld.insurance.arkansas.gov/NPILookup?Npi=1063082907","1063082907")</f>
        <v>1063082907</v>
      </c>
      <c r="E27514" t="s">
        <v>19157</v>
      </c>
    </row>
    <row r="27515" spans="1:5" x14ac:dyDescent="0.25">
      <c r="A27515" t="s">
        <v>16</v>
      </c>
      <c r="B27515" t="s">
        <v>7666</v>
      </c>
      <c r="C27515" s="1" t="s">
        <v>23490</v>
      </c>
      <c r="D27515" s="1" t="str">
        <f>HYPERLINK("https://rhld.insurance.arkansas.gov/NPILookup?Npi=1063184430","1063184430")</f>
        <v>1063184430</v>
      </c>
      <c r="E27515" t="s">
        <v>20766</v>
      </c>
    </row>
    <row r="27516" spans="1:5" x14ac:dyDescent="0.25">
      <c r="A27516" t="s">
        <v>16</v>
      </c>
      <c r="B27516" t="s">
        <v>7666</v>
      </c>
      <c r="C27516" s="1" t="s">
        <v>23490</v>
      </c>
      <c r="D27516" s="1" t="str">
        <f>HYPERLINK("https://rhld.insurance.arkansas.gov/NPILookup?Npi=1063417863","1063417863")</f>
        <v>1063417863</v>
      </c>
      <c r="E27516" t="s">
        <v>6571</v>
      </c>
    </row>
    <row r="27517" spans="1:5" x14ac:dyDescent="0.25">
      <c r="A27517" t="s">
        <v>16</v>
      </c>
      <c r="B27517" t="s">
        <v>7666</v>
      </c>
      <c r="C27517" s="1" t="s">
        <v>23490</v>
      </c>
      <c r="D27517" s="1" t="str">
        <f>HYPERLINK("https://rhld.insurance.arkansas.gov/NPILookup?Npi=1063448405","1063448405")</f>
        <v>1063448405</v>
      </c>
      <c r="E27517" t="s">
        <v>7697</v>
      </c>
    </row>
    <row r="27518" spans="1:5" x14ac:dyDescent="0.25">
      <c r="A27518" t="s">
        <v>16</v>
      </c>
      <c r="B27518" t="s">
        <v>7666</v>
      </c>
      <c r="C27518" s="1" t="s">
        <v>23490</v>
      </c>
      <c r="D27518" s="1" t="str">
        <f>HYPERLINK("https://rhld.insurance.arkansas.gov/NPILookup?Npi=1063463941","1063463941")</f>
        <v>1063463941</v>
      </c>
      <c r="E27518" t="s">
        <v>7698</v>
      </c>
    </row>
    <row r="27519" spans="1:5" x14ac:dyDescent="0.25">
      <c r="A27519" t="s">
        <v>16</v>
      </c>
      <c r="B27519" t="s">
        <v>7666</v>
      </c>
      <c r="C27519" s="1" t="s">
        <v>23490</v>
      </c>
      <c r="D27519" s="1" t="str">
        <f>HYPERLINK("https://rhld.insurance.arkansas.gov/NPILookup?Npi=1063473387","1063473387")</f>
        <v>1063473387</v>
      </c>
      <c r="E27519" t="s">
        <v>14523</v>
      </c>
    </row>
    <row r="27520" spans="1:5" x14ac:dyDescent="0.25">
      <c r="A27520" t="s">
        <v>16</v>
      </c>
      <c r="B27520" t="s">
        <v>7666</v>
      </c>
      <c r="C27520" s="1" t="s">
        <v>23490</v>
      </c>
      <c r="D27520" s="1" t="str">
        <f>HYPERLINK("https://rhld.insurance.arkansas.gov/NPILookup?Npi=1063693406","1063693406")</f>
        <v>1063693406</v>
      </c>
      <c r="E27520" t="s">
        <v>14524</v>
      </c>
    </row>
    <row r="27521" spans="1:5" x14ac:dyDescent="0.25">
      <c r="A27521" t="s">
        <v>16</v>
      </c>
      <c r="B27521" t="s">
        <v>7666</v>
      </c>
      <c r="C27521" s="1" t="s">
        <v>23490</v>
      </c>
      <c r="D27521" s="1" t="str">
        <f>HYPERLINK("https://rhld.insurance.arkansas.gov/NPILookup?Npi=1063854610","1063854610")</f>
        <v>1063854610</v>
      </c>
      <c r="E27521" t="s">
        <v>16649</v>
      </c>
    </row>
    <row r="27522" spans="1:5" x14ac:dyDescent="0.25">
      <c r="A27522" t="s">
        <v>16</v>
      </c>
      <c r="B27522" t="s">
        <v>7666</v>
      </c>
      <c r="C27522" s="1" t="s">
        <v>23490</v>
      </c>
      <c r="D27522" s="1" t="str">
        <f>HYPERLINK("https://rhld.insurance.arkansas.gov/NPILookup?Npi=1073280749","1073280749")</f>
        <v>1073280749</v>
      </c>
      <c r="E27522" t="s">
        <v>22680</v>
      </c>
    </row>
    <row r="27523" spans="1:5" x14ac:dyDescent="0.25">
      <c r="A27523" t="s">
        <v>16</v>
      </c>
      <c r="B27523" t="s">
        <v>7666</v>
      </c>
      <c r="C27523" s="1" t="s">
        <v>23490</v>
      </c>
      <c r="D27523" s="1" t="str">
        <f>HYPERLINK("https://rhld.insurance.arkansas.gov/NPILookup?Npi=1073504676","1073504676")</f>
        <v>1073504676</v>
      </c>
      <c r="E27523" t="s">
        <v>7699</v>
      </c>
    </row>
    <row r="27524" spans="1:5" x14ac:dyDescent="0.25">
      <c r="A27524" t="s">
        <v>16</v>
      </c>
      <c r="B27524" t="s">
        <v>7666</v>
      </c>
      <c r="C27524" s="1" t="s">
        <v>23490</v>
      </c>
      <c r="D27524" s="1" t="str">
        <f>HYPERLINK("https://rhld.insurance.arkansas.gov/NPILookup?Npi=1073532693","1073532693")</f>
        <v>1073532693</v>
      </c>
      <c r="E27524" t="s">
        <v>12125</v>
      </c>
    </row>
    <row r="27525" spans="1:5" x14ac:dyDescent="0.25">
      <c r="A27525" t="s">
        <v>16</v>
      </c>
      <c r="B27525" t="s">
        <v>7666</v>
      </c>
      <c r="C27525" s="1" t="s">
        <v>23490</v>
      </c>
      <c r="D27525" s="1" t="str">
        <f>HYPERLINK("https://rhld.insurance.arkansas.gov/NPILookup?Npi=1073549200","1073549200")</f>
        <v>1073549200</v>
      </c>
      <c r="E27525" t="s">
        <v>3645</v>
      </c>
    </row>
    <row r="27526" spans="1:5" x14ac:dyDescent="0.25">
      <c r="A27526" t="s">
        <v>16</v>
      </c>
      <c r="B27526" t="s">
        <v>7666</v>
      </c>
      <c r="C27526" s="1" t="s">
        <v>23490</v>
      </c>
      <c r="D27526" s="1" t="str">
        <f>HYPERLINK("https://rhld.insurance.arkansas.gov/NPILookup?Npi=1073564894","1073564894")</f>
        <v>1073564894</v>
      </c>
      <c r="E27526" t="s">
        <v>7700</v>
      </c>
    </row>
    <row r="27527" spans="1:5" x14ac:dyDescent="0.25">
      <c r="A27527" t="s">
        <v>16</v>
      </c>
      <c r="B27527" t="s">
        <v>7666</v>
      </c>
      <c r="C27527" s="1" t="s">
        <v>23490</v>
      </c>
      <c r="D27527" s="1" t="str">
        <f>HYPERLINK("https://rhld.insurance.arkansas.gov/NPILookup?Npi=1073582391","1073582391")</f>
        <v>1073582391</v>
      </c>
      <c r="E27527" t="s">
        <v>7701</v>
      </c>
    </row>
    <row r="27528" spans="1:5" x14ac:dyDescent="0.25">
      <c r="A27528" t="s">
        <v>16</v>
      </c>
      <c r="B27528" t="s">
        <v>7666</v>
      </c>
      <c r="C27528" s="1" t="s">
        <v>23490</v>
      </c>
      <c r="D27528" s="1" t="str">
        <f>HYPERLINK("https://rhld.insurance.arkansas.gov/NPILookup?Npi=1073588810","1073588810")</f>
        <v>1073588810</v>
      </c>
      <c r="E27528" t="s">
        <v>7702</v>
      </c>
    </row>
    <row r="27529" spans="1:5" x14ac:dyDescent="0.25">
      <c r="A27529" t="s">
        <v>16</v>
      </c>
      <c r="B27529" t="s">
        <v>7666</v>
      </c>
      <c r="C27529" s="1" t="s">
        <v>23490</v>
      </c>
      <c r="D27529" s="1" t="str">
        <f>HYPERLINK("https://rhld.insurance.arkansas.gov/NPILookup?Npi=1073691218","1073691218")</f>
        <v>1073691218</v>
      </c>
      <c r="E27529" t="s">
        <v>7703</v>
      </c>
    </row>
    <row r="27530" spans="1:5" x14ac:dyDescent="0.25">
      <c r="A27530" t="s">
        <v>16</v>
      </c>
      <c r="B27530" t="s">
        <v>7666</v>
      </c>
      <c r="C27530" s="1" t="s">
        <v>23490</v>
      </c>
      <c r="D27530" s="1" t="str">
        <f>HYPERLINK("https://rhld.insurance.arkansas.gov/NPILookup?Npi=1073946596","1073946596")</f>
        <v>1073946596</v>
      </c>
      <c r="E27530" t="s">
        <v>7704</v>
      </c>
    </row>
    <row r="27531" spans="1:5" x14ac:dyDescent="0.25">
      <c r="A27531" t="s">
        <v>16</v>
      </c>
      <c r="B27531" t="s">
        <v>7666</v>
      </c>
      <c r="C27531" s="1" t="s">
        <v>23490</v>
      </c>
      <c r="D27531" s="1" t="str">
        <f>HYPERLINK("https://rhld.insurance.arkansas.gov/NPILookup?Npi=1073965158","1073965158")</f>
        <v>1073965158</v>
      </c>
      <c r="E27531" t="s">
        <v>14525</v>
      </c>
    </row>
    <row r="27532" spans="1:5" x14ac:dyDescent="0.25">
      <c r="A27532" t="s">
        <v>16</v>
      </c>
      <c r="B27532" t="s">
        <v>7666</v>
      </c>
      <c r="C27532" s="1" t="s">
        <v>23490</v>
      </c>
      <c r="D27532" s="1" t="str">
        <f>HYPERLINK("https://rhld.insurance.arkansas.gov/NPILookup?Npi=1083027957","1083027957")</f>
        <v>1083027957</v>
      </c>
      <c r="E27532" t="s">
        <v>7705</v>
      </c>
    </row>
    <row r="27533" spans="1:5" x14ac:dyDescent="0.25">
      <c r="A27533" t="s">
        <v>16</v>
      </c>
      <c r="B27533" t="s">
        <v>7666</v>
      </c>
      <c r="C27533" s="1" t="s">
        <v>23490</v>
      </c>
      <c r="D27533" s="1" t="str">
        <f>HYPERLINK("https://rhld.insurance.arkansas.gov/NPILookup?Npi=1083074363","1083074363")</f>
        <v>1083074363</v>
      </c>
      <c r="E27533" t="s">
        <v>20767</v>
      </c>
    </row>
    <row r="27534" spans="1:5" x14ac:dyDescent="0.25">
      <c r="A27534" t="s">
        <v>16</v>
      </c>
      <c r="B27534" t="s">
        <v>7666</v>
      </c>
      <c r="C27534" s="1" t="s">
        <v>23490</v>
      </c>
      <c r="D27534" s="1" t="str">
        <f>HYPERLINK("https://rhld.insurance.arkansas.gov/NPILookup?Npi=1083191555","1083191555")</f>
        <v>1083191555</v>
      </c>
      <c r="E27534" t="s">
        <v>20768</v>
      </c>
    </row>
    <row r="27535" spans="1:5" x14ac:dyDescent="0.25">
      <c r="A27535" t="s">
        <v>16</v>
      </c>
      <c r="B27535" t="s">
        <v>7666</v>
      </c>
      <c r="C27535" s="1" t="s">
        <v>23490</v>
      </c>
      <c r="D27535" s="1" t="str">
        <f>HYPERLINK("https://rhld.insurance.arkansas.gov/NPILookup?Npi=1083610505","1083610505")</f>
        <v>1083610505</v>
      </c>
      <c r="E27535" t="s">
        <v>7706</v>
      </c>
    </row>
    <row r="27536" spans="1:5" x14ac:dyDescent="0.25">
      <c r="A27536" t="s">
        <v>16</v>
      </c>
      <c r="B27536" t="s">
        <v>7666</v>
      </c>
      <c r="C27536" s="1" t="s">
        <v>23490</v>
      </c>
      <c r="D27536" s="1" t="str">
        <f>HYPERLINK("https://rhld.insurance.arkansas.gov/NPILookup?Npi=1083649313","1083649313")</f>
        <v>1083649313</v>
      </c>
      <c r="E27536" t="s">
        <v>7707</v>
      </c>
    </row>
    <row r="27537" spans="1:5" x14ac:dyDescent="0.25">
      <c r="A27537" t="s">
        <v>16</v>
      </c>
      <c r="B27537" t="s">
        <v>7666</v>
      </c>
      <c r="C27537" s="1" t="s">
        <v>23490</v>
      </c>
      <c r="D27537" s="1" t="str">
        <f>HYPERLINK("https://rhld.insurance.arkansas.gov/NPILookup?Npi=1083654578","1083654578")</f>
        <v>1083654578</v>
      </c>
      <c r="E27537" t="s">
        <v>16650</v>
      </c>
    </row>
    <row r="27538" spans="1:5" x14ac:dyDescent="0.25">
      <c r="A27538" t="s">
        <v>16</v>
      </c>
      <c r="B27538" t="s">
        <v>7666</v>
      </c>
      <c r="C27538" s="1" t="s">
        <v>23490</v>
      </c>
      <c r="D27538" s="1" t="str">
        <f>HYPERLINK("https://rhld.insurance.arkansas.gov/NPILookup?Npi=1083676027","1083676027")</f>
        <v>1083676027</v>
      </c>
      <c r="E27538" t="s">
        <v>7708</v>
      </c>
    </row>
    <row r="27539" spans="1:5" x14ac:dyDescent="0.25">
      <c r="A27539" t="s">
        <v>16</v>
      </c>
      <c r="B27539" t="s">
        <v>7666</v>
      </c>
      <c r="C27539" s="1" t="s">
        <v>23490</v>
      </c>
      <c r="D27539" s="1" t="str">
        <f>HYPERLINK("https://rhld.insurance.arkansas.gov/NPILookup?Npi=1083718373","1083718373")</f>
        <v>1083718373</v>
      </c>
      <c r="E27539" t="s">
        <v>7709</v>
      </c>
    </row>
    <row r="27540" spans="1:5" x14ac:dyDescent="0.25">
      <c r="A27540" t="s">
        <v>16</v>
      </c>
      <c r="B27540" t="s">
        <v>7666</v>
      </c>
      <c r="C27540" s="1" t="s">
        <v>23490</v>
      </c>
      <c r="D27540" s="1" t="str">
        <f>HYPERLINK("https://rhld.insurance.arkansas.gov/NPILookup?Npi=1083719785","1083719785")</f>
        <v>1083719785</v>
      </c>
      <c r="E27540" t="s">
        <v>7710</v>
      </c>
    </row>
    <row r="27541" spans="1:5" x14ac:dyDescent="0.25">
      <c r="A27541" t="s">
        <v>16</v>
      </c>
      <c r="B27541" t="s">
        <v>7666</v>
      </c>
      <c r="C27541" s="1" t="s">
        <v>23490</v>
      </c>
      <c r="D27541" s="1" t="str">
        <f>HYPERLINK("https://rhld.insurance.arkansas.gov/NPILookup?Npi=1083752570","1083752570")</f>
        <v>1083752570</v>
      </c>
      <c r="E27541" t="s">
        <v>7711</v>
      </c>
    </row>
    <row r="27542" spans="1:5" x14ac:dyDescent="0.25">
      <c r="A27542" t="s">
        <v>16</v>
      </c>
      <c r="B27542" t="s">
        <v>7666</v>
      </c>
      <c r="C27542" s="1" t="s">
        <v>23490</v>
      </c>
      <c r="D27542" s="1" t="str">
        <f>HYPERLINK("https://rhld.insurance.arkansas.gov/NPILookup?Npi=1083755037","1083755037")</f>
        <v>1083755037</v>
      </c>
      <c r="E27542" t="s">
        <v>16651</v>
      </c>
    </row>
    <row r="27543" spans="1:5" x14ac:dyDescent="0.25">
      <c r="A27543" t="s">
        <v>16</v>
      </c>
      <c r="B27543" t="s">
        <v>7666</v>
      </c>
      <c r="C27543" s="1" t="s">
        <v>23490</v>
      </c>
      <c r="D27543" s="1" t="str">
        <f>HYPERLINK("https://rhld.insurance.arkansas.gov/NPILookup?Npi=1083776611","1083776611")</f>
        <v>1083776611</v>
      </c>
      <c r="E27543" t="s">
        <v>7712</v>
      </c>
    </row>
    <row r="27544" spans="1:5" x14ac:dyDescent="0.25">
      <c r="A27544" t="s">
        <v>16</v>
      </c>
      <c r="B27544" t="s">
        <v>7666</v>
      </c>
      <c r="C27544" s="1" t="s">
        <v>23490</v>
      </c>
      <c r="D27544" s="1" t="str">
        <f>HYPERLINK("https://rhld.insurance.arkansas.gov/NPILookup?Npi=1083839096","1083839096")</f>
        <v>1083839096</v>
      </c>
      <c r="E27544" t="s">
        <v>4243</v>
      </c>
    </row>
    <row r="27545" spans="1:5" x14ac:dyDescent="0.25">
      <c r="A27545" t="s">
        <v>16</v>
      </c>
      <c r="B27545" t="s">
        <v>7666</v>
      </c>
      <c r="C27545" s="1" t="s">
        <v>23490</v>
      </c>
      <c r="D27545" s="1" t="str">
        <f>HYPERLINK("https://rhld.insurance.arkansas.gov/NPILookup?Npi=1083853337","1083853337")</f>
        <v>1083853337</v>
      </c>
      <c r="E27545" t="s">
        <v>7713</v>
      </c>
    </row>
    <row r="27546" spans="1:5" x14ac:dyDescent="0.25">
      <c r="A27546" t="s">
        <v>16</v>
      </c>
      <c r="B27546" t="s">
        <v>7666</v>
      </c>
      <c r="C27546" s="1" t="s">
        <v>23490</v>
      </c>
      <c r="D27546" s="1" t="str">
        <f>HYPERLINK("https://rhld.insurance.arkansas.gov/NPILookup?Npi=1093008302","1093008302")</f>
        <v>1093008302</v>
      </c>
      <c r="E27546" t="s">
        <v>9293</v>
      </c>
    </row>
    <row r="27547" spans="1:5" x14ac:dyDescent="0.25">
      <c r="A27547" t="s">
        <v>16</v>
      </c>
      <c r="B27547" t="s">
        <v>7666</v>
      </c>
      <c r="C27547" s="1" t="s">
        <v>23490</v>
      </c>
      <c r="D27547" s="1" t="str">
        <f>HYPERLINK("https://rhld.insurance.arkansas.gov/NPILookup?Npi=1093076820","1093076820")</f>
        <v>1093076820</v>
      </c>
      <c r="E27547" t="s">
        <v>12126</v>
      </c>
    </row>
    <row r="27548" spans="1:5" x14ac:dyDescent="0.25">
      <c r="A27548" t="s">
        <v>16</v>
      </c>
      <c r="B27548" t="s">
        <v>7666</v>
      </c>
      <c r="C27548" s="1" t="s">
        <v>23490</v>
      </c>
      <c r="D27548" s="1" t="str">
        <f>HYPERLINK("https://rhld.insurance.arkansas.gov/NPILookup?Npi=1093375008","1093375008")</f>
        <v>1093375008</v>
      </c>
      <c r="E27548" t="s">
        <v>16652</v>
      </c>
    </row>
    <row r="27549" spans="1:5" x14ac:dyDescent="0.25">
      <c r="A27549" t="s">
        <v>16</v>
      </c>
      <c r="B27549" t="s">
        <v>7666</v>
      </c>
      <c r="C27549" s="1" t="s">
        <v>23490</v>
      </c>
      <c r="D27549" s="1" t="str">
        <f>HYPERLINK("https://rhld.insurance.arkansas.gov/NPILookup?Npi=1093701211","1093701211")</f>
        <v>1093701211</v>
      </c>
      <c r="E27549" t="s">
        <v>16653</v>
      </c>
    </row>
    <row r="27550" spans="1:5" x14ac:dyDescent="0.25">
      <c r="A27550" t="s">
        <v>16</v>
      </c>
      <c r="B27550" t="s">
        <v>7666</v>
      </c>
      <c r="C27550" s="1" t="s">
        <v>23490</v>
      </c>
      <c r="D27550" s="1" t="str">
        <f>HYPERLINK("https://rhld.insurance.arkansas.gov/NPILookup?Npi=1093704223","1093704223")</f>
        <v>1093704223</v>
      </c>
      <c r="E27550" t="s">
        <v>16654</v>
      </c>
    </row>
    <row r="27551" spans="1:5" x14ac:dyDescent="0.25">
      <c r="A27551" t="s">
        <v>16</v>
      </c>
      <c r="B27551" t="s">
        <v>7666</v>
      </c>
      <c r="C27551" s="1" t="s">
        <v>23490</v>
      </c>
      <c r="D27551" s="1" t="str">
        <f>HYPERLINK("https://rhld.insurance.arkansas.gov/NPILookup?Npi=1093709081","1093709081")</f>
        <v>1093709081</v>
      </c>
      <c r="E27551" t="s">
        <v>17309</v>
      </c>
    </row>
    <row r="27552" spans="1:5" x14ac:dyDescent="0.25">
      <c r="A27552" t="s">
        <v>16</v>
      </c>
      <c r="B27552" t="s">
        <v>7666</v>
      </c>
      <c r="C27552" s="1" t="s">
        <v>23490</v>
      </c>
      <c r="D27552" s="1" t="str">
        <f>HYPERLINK("https://rhld.insurance.arkansas.gov/NPILookup?Npi=1093710857","1093710857")</f>
        <v>1093710857</v>
      </c>
      <c r="E27552" t="s">
        <v>12127</v>
      </c>
    </row>
    <row r="27553" spans="1:5" x14ac:dyDescent="0.25">
      <c r="A27553" t="s">
        <v>16</v>
      </c>
      <c r="B27553" t="s">
        <v>7666</v>
      </c>
      <c r="C27553" s="1" t="s">
        <v>23490</v>
      </c>
      <c r="D27553" s="1" t="str">
        <f>HYPERLINK("https://rhld.insurance.arkansas.gov/NPILookup?Npi=1093719957","1093719957")</f>
        <v>1093719957</v>
      </c>
      <c r="E27553" t="s">
        <v>7714</v>
      </c>
    </row>
    <row r="27554" spans="1:5" x14ac:dyDescent="0.25">
      <c r="A27554" t="s">
        <v>16</v>
      </c>
      <c r="B27554" t="s">
        <v>7666</v>
      </c>
      <c r="C27554" s="1" t="s">
        <v>23490</v>
      </c>
      <c r="D27554" s="1" t="str">
        <f>HYPERLINK("https://rhld.insurance.arkansas.gov/NPILookup?Npi=1093747735","1093747735")</f>
        <v>1093747735</v>
      </c>
      <c r="E27554" t="s">
        <v>7715</v>
      </c>
    </row>
    <row r="27555" spans="1:5" x14ac:dyDescent="0.25">
      <c r="A27555" t="s">
        <v>16</v>
      </c>
      <c r="B27555" t="s">
        <v>7666</v>
      </c>
      <c r="C27555" s="1" t="s">
        <v>23490</v>
      </c>
      <c r="D27555" s="1" t="str">
        <f>HYPERLINK("https://rhld.insurance.arkansas.gov/NPILookup?Npi=1093772816","1093772816")</f>
        <v>1093772816</v>
      </c>
      <c r="E27555" t="s">
        <v>7716</v>
      </c>
    </row>
    <row r="27556" spans="1:5" x14ac:dyDescent="0.25">
      <c r="A27556" t="s">
        <v>16</v>
      </c>
      <c r="B27556" t="s">
        <v>7666</v>
      </c>
      <c r="C27556" s="1" t="s">
        <v>23490</v>
      </c>
      <c r="D27556" s="1" t="str">
        <f>HYPERLINK("https://rhld.insurance.arkansas.gov/NPILookup?Npi=1093806945","1093806945")</f>
        <v>1093806945</v>
      </c>
      <c r="E27556" t="s">
        <v>9294</v>
      </c>
    </row>
    <row r="27557" spans="1:5" x14ac:dyDescent="0.25">
      <c r="A27557" t="s">
        <v>16</v>
      </c>
      <c r="B27557" t="s">
        <v>7666</v>
      </c>
      <c r="C27557" s="1" t="s">
        <v>23490</v>
      </c>
      <c r="D27557" s="1" t="str">
        <f>HYPERLINK("https://rhld.insurance.arkansas.gov/NPILookup?Npi=1093987893","1093987893")</f>
        <v>1093987893</v>
      </c>
      <c r="E27557" t="s">
        <v>7717</v>
      </c>
    </row>
    <row r="27558" spans="1:5" x14ac:dyDescent="0.25">
      <c r="A27558" t="s">
        <v>16</v>
      </c>
      <c r="B27558" t="s">
        <v>7666</v>
      </c>
      <c r="C27558" s="1" t="s">
        <v>23490</v>
      </c>
      <c r="D27558" s="1" t="str">
        <f>HYPERLINK("https://rhld.insurance.arkansas.gov/NPILookup?Npi=1104016484","1104016484")</f>
        <v>1104016484</v>
      </c>
      <c r="E27558" t="s">
        <v>7718</v>
      </c>
    </row>
    <row r="27559" spans="1:5" x14ac:dyDescent="0.25">
      <c r="A27559" t="s">
        <v>16</v>
      </c>
      <c r="B27559" t="s">
        <v>7666</v>
      </c>
      <c r="C27559" s="1" t="s">
        <v>23490</v>
      </c>
      <c r="D27559" s="1" t="str">
        <f>HYPERLINK("https://rhld.insurance.arkansas.gov/NPILookup?Npi=1104277920","1104277920")</f>
        <v>1104277920</v>
      </c>
      <c r="E27559" t="s">
        <v>12128</v>
      </c>
    </row>
    <row r="27560" spans="1:5" x14ac:dyDescent="0.25">
      <c r="A27560" t="s">
        <v>16</v>
      </c>
      <c r="B27560" t="s">
        <v>7666</v>
      </c>
      <c r="C27560" s="1" t="s">
        <v>23490</v>
      </c>
      <c r="D27560" s="1" t="str">
        <f>HYPERLINK("https://rhld.insurance.arkansas.gov/NPILookup?Npi=1104478296","1104478296")</f>
        <v>1104478296</v>
      </c>
      <c r="E27560" t="s">
        <v>22681</v>
      </c>
    </row>
    <row r="27561" spans="1:5" x14ac:dyDescent="0.25">
      <c r="A27561" t="s">
        <v>16</v>
      </c>
      <c r="B27561" t="s">
        <v>7666</v>
      </c>
      <c r="C27561" s="1" t="s">
        <v>23490</v>
      </c>
      <c r="D27561" s="1" t="str">
        <f>HYPERLINK("https://rhld.insurance.arkansas.gov/NPILookup?Npi=1104490044","1104490044")</f>
        <v>1104490044</v>
      </c>
      <c r="E27561" t="s">
        <v>21304</v>
      </c>
    </row>
    <row r="27562" spans="1:5" x14ac:dyDescent="0.25">
      <c r="A27562" t="s">
        <v>16</v>
      </c>
      <c r="B27562" t="s">
        <v>7666</v>
      </c>
      <c r="C27562" s="1" t="s">
        <v>23490</v>
      </c>
      <c r="D27562" s="1" t="str">
        <f>HYPERLINK("https://rhld.insurance.arkansas.gov/NPILookup?Npi=1104558410","1104558410")</f>
        <v>1104558410</v>
      </c>
      <c r="E27562" t="s">
        <v>21305</v>
      </c>
    </row>
    <row r="27563" spans="1:5" x14ac:dyDescent="0.25">
      <c r="A27563" t="s">
        <v>16</v>
      </c>
      <c r="B27563" t="s">
        <v>7666</v>
      </c>
      <c r="C27563" s="1" t="s">
        <v>23490</v>
      </c>
      <c r="D27563" s="1" t="str">
        <f>HYPERLINK("https://rhld.insurance.arkansas.gov/NPILookup?Npi=1104814656","1104814656")</f>
        <v>1104814656</v>
      </c>
      <c r="E27563" t="s">
        <v>7719</v>
      </c>
    </row>
    <row r="27564" spans="1:5" x14ac:dyDescent="0.25">
      <c r="A27564" t="s">
        <v>16</v>
      </c>
      <c r="B27564" t="s">
        <v>7666</v>
      </c>
      <c r="C27564" s="1" t="s">
        <v>23490</v>
      </c>
      <c r="D27564" s="1" t="str">
        <f>HYPERLINK("https://rhld.insurance.arkansas.gov/NPILookup?Npi=1104818749","1104818749")</f>
        <v>1104818749</v>
      </c>
      <c r="E27564" t="s">
        <v>7720</v>
      </c>
    </row>
    <row r="27565" spans="1:5" x14ac:dyDescent="0.25">
      <c r="A27565" t="s">
        <v>16</v>
      </c>
      <c r="B27565" t="s">
        <v>7666</v>
      </c>
      <c r="C27565" s="1" t="s">
        <v>23490</v>
      </c>
      <c r="D27565" s="1" t="str">
        <f>HYPERLINK("https://rhld.insurance.arkansas.gov/NPILookup?Npi=1104818905","1104818905")</f>
        <v>1104818905</v>
      </c>
      <c r="E27565" t="s">
        <v>7721</v>
      </c>
    </row>
    <row r="27566" spans="1:5" x14ac:dyDescent="0.25">
      <c r="A27566" t="s">
        <v>16</v>
      </c>
      <c r="B27566" t="s">
        <v>7666</v>
      </c>
      <c r="C27566" s="1" t="s">
        <v>23490</v>
      </c>
      <c r="D27566" s="1" t="str">
        <f>HYPERLINK("https://rhld.insurance.arkansas.gov/NPILookup?Npi=1104849769","1104849769")</f>
        <v>1104849769</v>
      </c>
      <c r="E27566" t="s">
        <v>4433</v>
      </c>
    </row>
    <row r="27567" spans="1:5" x14ac:dyDescent="0.25">
      <c r="A27567" t="s">
        <v>16</v>
      </c>
      <c r="B27567" t="s">
        <v>7666</v>
      </c>
      <c r="C27567" s="1" t="s">
        <v>23490</v>
      </c>
      <c r="D27567" s="1" t="str">
        <f>HYPERLINK("https://rhld.insurance.arkansas.gov/NPILookup?Npi=1104857333","1104857333")</f>
        <v>1104857333</v>
      </c>
      <c r="E27567" t="s">
        <v>7722</v>
      </c>
    </row>
    <row r="27568" spans="1:5" x14ac:dyDescent="0.25">
      <c r="A27568" t="s">
        <v>16</v>
      </c>
      <c r="B27568" t="s">
        <v>7666</v>
      </c>
      <c r="C27568" s="1" t="s">
        <v>23490</v>
      </c>
      <c r="D27568" s="1" t="str">
        <f>HYPERLINK("https://rhld.insurance.arkansas.gov/NPILookup?Npi=1104880657","1104880657")</f>
        <v>1104880657</v>
      </c>
      <c r="E27568" t="s">
        <v>7723</v>
      </c>
    </row>
    <row r="27569" spans="1:5" x14ac:dyDescent="0.25">
      <c r="A27569" t="s">
        <v>16</v>
      </c>
      <c r="B27569" t="s">
        <v>7666</v>
      </c>
      <c r="C27569" s="1" t="s">
        <v>23490</v>
      </c>
      <c r="D27569" s="1" t="str">
        <f>HYPERLINK("https://rhld.insurance.arkansas.gov/NPILookup?Npi=1104883701","1104883701")</f>
        <v>1104883701</v>
      </c>
      <c r="E27569" t="s">
        <v>5363</v>
      </c>
    </row>
    <row r="27570" spans="1:5" x14ac:dyDescent="0.25">
      <c r="A27570" t="s">
        <v>16</v>
      </c>
      <c r="B27570" t="s">
        <v>7666</v>
      </c>
      <c r="C27570" s="1" t="s">
        <v>23490</v>
      </c>
      <c r="D27570" s="1" t="str">
        <f>HYPERLINK("https://rhld.insurance.arkansas.gov/NPILookup?Npi=1114019296","1114019296")</f>
        <v>1114019296</v>
      </c>
      <c r="E27570" t="s">
        <v>7724</v>
      </c>
    </row>
    <row r="27571" spans="1:5" x14ac:dyDescent="0.25">
      <c r="A27571" t="s">
        <v>16</v>
      </c>
      <c r="B27571" t="s">
        <v>7666</v>
      </c>
      <c r="C27571" s="1" t="s">
        <v>23490</v>
      </c>
      <c r="D27571" s="1" t="str">
        <f>HYPERLINK("https://rhld.insurance.arkansas.gov/NPILookup?Npi=1114088861","1114088861")</f>
        <v>1114088861</v>
      </c>
      <c r="E27571" t="s">
        <v>7725</v>
      </c>
    </row>
    <row r="27572" spans="1:5" x14ac:dyDescent="0.25">
      <c r="A27572" t="s">
        <v>16</v>
      </c>
      <c r="B27572" t="s">
        <v>7666</v>
      </c>
      <c r="C27572" s="1" t="s">
        <v>23490</v>
      </c>
      <c r="D27572" s="1" t="str">
        <f>HYPERLINK("https://rhld.insurance.arkansas.gov/NPILookup?Npi=1114181096","1114181096")</f>
        <v>1114181096</v>
      </c>
      <c r="E27572" t="s">
        <v>7726</v>
      </c>
    </row>
    <row r="27573" spans="1:5" x14ac:dyDescent="0.25">
      <c r="A27573" t="s">
        <v>16</v>
      </c>
      <c r="B27573" t="s">
        <v>7666</v>
      </c>
      <c r="C27573" s="1" t="s">
        <v>23490</v>
      </c>
      <c r="D27573" s="1" t="str">
        <f>HYPERLINK("https://rhld.insurance.arkansas.gov/NPILookup?Npi=1114301645","1114301645")</f>
        <v>1114301645</v>
      </c>
      <c r="E27573" t="s">
        <v>14526</v>
      </c>
    </row>
    <row r="27574" spans="1:5" x14ac:dyDescent="0.25">
      <c r="A27574" t="s">
        <v>16</v>
      </c>
      <c r="B27574" t="s">
        <v>7666</v>
      </c>
      <c r="C27574" s="1" t="s">
        <v>23490</v>
      </c>
      <c r="D27574" s="1" t="str">
        <f>HYPERLINK("https://rhld.insurance.arkansas.gov/NPILookup?Npi=1114374626","1114374626")</f>
        <v>1114374626</v>
      </c>
      <c r="E27574" t="s">
        <v>9295</v>
      </c>
    </row>
    <row r="27575" spans="1:5" x14ac:dyDescent="0.25">
      <c r="A27575" t="s">
        <v>16</v>
      </c>
      <c r="B27575" t="s">
        <v>7666</v>
      </c>
      <c r="C27575" s="1" t="s">
        <v>8427</v>
      </c>
      <c r="D27575" s="1" t="str">
        <f>HYPERLINK("https://rhld.insurance.arkansas.gov/NPILookup?Npi=1114488335","1114488335")</f>
        <v>1114488335</v>
      </c>
      <c r="E27575" t="s">
        <v>23326</v>
      </c>
    </row>
    <row r="27576" spans="1:5" x14ac:dyDescent="0.25">
      <c r="A27576" t="s">
        <v>16</v>
      </c>
      <c r="B27576" t="s">
        <v>7666</v>
      </c>
      <c r="C27576" s="1" t="s">
        <v>23490</v>
      </c>
      <c r="D27576" s="1" t="str">
        <f>HYPERLINK("https://rhld.insurance.arkansas.gov/NPILookup?Npi=1114597481","1114597481")</f>
        <v>1114597481</v>
      </c>
      <c r="E27576" t="s">
        <v>17140</v>
      </c>
    </row>
    <row r="27577" spans="1:5" x14ac:dyDescent="0.25">
      <c r="A27577" t="s">
        <v>16</v>
      </c>
      <c r="B27577" t="s">
        <v>7666</v>
      </c>
      <c r="C27577" s="1" t="s">
        <v>23490</v>
      </c>
      <c r="D27577" s="1" t="str">
        <f>HYPERLINK("https://rhld.insurance.arkansas.gov/NPILookup?Npi=1114656485","1114656485")</f>
        <v>1114656485</v>
      </c>
      <c r="E27577" t="s">
        <v>21306</v>
      </c>
    </row>
    <row r="27578" spans="1:5" x14ac:dyDescent="0.25">
      <c r="A27578" t="s">
        <v>16</v>
      </c>
      <c r="B27578" t="s">
        <v>7666</v>
      </c>
      <c r="C27578" s="1" t="s">
        <v>23490</v>
      </c>
      <c r="D27578" s="1" t="str">
        <f>HYPERLINK("https://rhld.insurance.arkansas.gov/NPILookup?Npi=1114963683","1114963683")</f>
        <v>1114963683</v>
      </c>
      <c r="E27578" t="s">
        <v>7727</v>
      </c>
    </row>
    <row r="27579" spans="1:5" x14ac:dyDescent="0.25">
      <c r="A27579" t="s">
        <v>16</v>
      </c>
      <c r="B27579" t="s">
        <v>7666</v>
      </c>
      <c r="C27579" s="1" t="s">
        <v>23490</v>
      </c>
      <c r="D27579" s="1" t="str">
        <f>HYPERLINK("https://rhld.insurance.arkansas.gov/NPILookup?Npi=1114996220","1114996220")</f>
        <v>1114996220</v>
      </c>
      <c r="E27579" t="s">
        <v>20769</v>
      </c>
    </row>
    <row r="27580" spans="1:5" x14ac:dyDescent="0.25">
      <c r="A27580" t="s">
        <v>16</v>
      </c>
      <c r="B27580" t="s">
        <v>7666</v>
      </c>
      <c r="C27580" s="1" t="s">
        <v>23490</v>
      </c>
      <c r="D27580" s="1" t="str">
        <f>HYPERLINK("https://rhld.insurance.arkansas.gov/NPILookup?Npi=1124010939","1124010939")</f>
        <v>1124010939</v>
      </c>
      <c r="E27580" t="s">
        <v>7728</v>
      </c>
    </row>
    <row r="27581" spans="1:5" x14ac:dyDescent="0.25">
      <c r="A27581" t="s">
        <v>16</v>
      </c>
      <c r="B27581" t="s">
        <v>7666</v>
      </c>
      <c r="C27581" s="1" t="s">
        <v>23490</v>
      </c>
      <c r="D27581" s="1" t="str">
        <f>HYPERLINK("https://rhld.insurance.arkansas.gov/NPILookup?Npi=1124011739","1124011739")</f>
        <v>1124011739</v>
      </c>
      <c r="E27581" t="s">
        <v>7729</v>
      </c>
    </row>
    <row r="27582" spans="1:5" x14ac:dyDescent="0.25">
      <c r="A27582" t="s">
        <v>16</v>
      </c>
      <c r="B27582" t="s">
        <v>7666</v>
      </c>
      <c r="C27582" s="1" t="s">
        <v>23490</v>
      </c>
      <c r="D27582" s="1" t="str">
        <f>HYPERLINK("https://rhld.insurance.arkansas.gov/NPILookup?Npi=1124018510","1124018510")</f>
        <v>1124018510</v>
      </c>
      <c r="E27582" t="s">
        <v>9296</v>
      </c>
    </row>
    <row r="27583" spans="1:5" x14ac:dyDescent="0.25">
      <c r="A27583" t="s">
        <v>16</v>
      </c>
      <c r="B27583" t="s">
        <v>7666</v>
      </c>
      <c r="C27583" s="1" t="s">
        <v>23490</v>
      </c>
      <c r="D27583" s="1" t="str">
        <f>HYPERLINK("https://rhld.insurance.arkansas.gov/NPILookup?Npi=1124021696","1124021696")</f>
        <v>1124021696</v>
      </c>
      <c r="E27583" t="s">
        <v>6630</v>
      </c>
    </row>
    <row r="27584" spans="1:5" x14ac:dyDescent="0.25">
      <c r="A27584" t="s">
        <v>16</v>
      </c>
      <c r="B27584" t="s">
        <v>7666</v>
      </c>
      <c r="C27584" s="1" t="s">
        <v>23490</v>
      </c>
      <c r="D27584" s="1" t="str">
        <f>HYPERLINK("https://rhld.insurance.arkansas.gov/NPILookup?Npi=1124028097","1124028097")</f>
        <v>1124028097</v>
      </c>
      <c r="E27584" t="s">
        <v>7730</v>
      </c>
    </row>
    <row r="27585" spans="1:5" x14ac:dyDescent="0.25">
      <c r="A27585" t="s">
        <v>16</v>
      </c>
      <c r="B27585" t="s">
        <v>7666</v>
      </c>
      <c r="C27585" s="1" t="s">
        <v>23490</v>
      </c>
      <c r="D27585" s="1" t="str">
        <f>HYPERLINK("https://rhld.insurance.arkansas.gov/NPILookup?Npi=1124028493","1124028493")</f>
        <v>1124028493</v>
      </c>
      <c r="E27585" t="s">
        <v>7731</v>
      </c>
    </row>
    <row r="27586" spans="1:5" x14ac:dyDescent="0.25">
      <c r="A27586" t="s">
        <v>16</v>
      </c>
      <c r="B27586" t="s">
        <v>7666</v>
      </c>
      <c r="C27586" s="1" t="s">
        <v>23490</v>
      </c>
      <c r="D27586" s="1" t="str">
        <f>HYPERLINK("https://rhld.insurance.arkansas.gov/NPILookup?Npi=1124052188","1124052188")</f>
        <v>1124052188</v>
      </c>
      <c r="E27586" t="s">
        <v>7732</v>
      </c>
    </row>
    <row r="27587" spans="1:5" x14ac:dyDescent="0.25">
      <c r="A27587" t="s">
        <v>16</v>
      </c>
      <c r="B27587" t="s">
        <v>7666</v>
      </c>
      <c r="C27587" s="1" t="s">
        <v>23490</v>
      </c>
      <c r="D27587" s="1" t="str">
        <f>HYPERLINK("https://rhld.insurance.arkansas.gov/NPILookup?Npi=1124060629","1124060629")</f>
        <v>1124060629</v>
      </c>
      <c r="E27587" t="s">
        <v>16655</v>
      </c>
    </row>
    <row r="27588" spans="1:5" x14ac:dyDescent="0.25">
      <c r="A27588" t="s">
        <v>16</v>
      </c>
      <c r="B27588" t="s">
        <v>7666</v>
      </c>
      <c r="C27588" s="1" t="s">
        <v>23490</v>
      </c>
      <c r="D27588" s="1" t="str">
        <f>HYPERLINK("https://rhld.insurance.arkansas.gov/NPILookup?Npi=1124065479","1124065479")</f>
        <v>1124065479</v>
      </c>
      <c r="E27588" t="s">
        <v>7733</v>
      </c>
    </row>
    <row r="27589" spans="1:5" x14ac:dyDescent="0.25">
      <c r="A27589" t="s">
        <v>16</v>
      </c>
      <c r="B27589" t="s">
        <v>7666</v>
      </c>
      <c r="C27589" s="1" t="s">
        <v>23490</v>
      </c>
      <c r="D27589" s="1" t="str">
        <f>HYPERLINK("https://rhld.insurance.arkansas.gov/NPILookup?Npi=1124089222","1124089222")</f>
        <v>1124089222</v>
      </c>
      <c r="E27589" t="s">
        <v>7734</v>
      </c>
    </row>
    <row r="27590" spans="1:5" x14ac:dyDescent="0.25">
      <c r="A27590" t="s">
        <v>16</v>
      </c>
      <c r="B27590" t="s">
        <v>7666</v>
      </c>
      <c r="C27590" s="1" t="s">
        <v>23490</v>
      </c>
      <c r="D27590" s="1" t="str">
        <f>HYPERLINK("https://rhld.insurance.arkansas.gov/NPILookup?Npi=1124156526","1124156526")</f>
        <v>1124156526</v>
      </c>
      <c r="E27590" t="s">
        <v>22682</v>
      </c>
    </row>
    <row r="27591" spans="1:5" x14ac:dyDescent="0.25">
      <c r="A27591" t="s">
        <v>16</v>
      </c>
      <c r="B27591" t="s">
        <v>7666</v>
      </c>
      <c r="C27591" s="1" t="s">
        <v>23490</v>
      </c>
      <c r="D27591" s="1" t="str">
        <f>HYPERLINK("https://rhld.insurance.arkansas.gov/NPILookup?Npi=1124511266","1124511266")</f>
        <v>1124511266</v>
      </c>
      <c r="E27591" t="s">
        <v>16656</v>
      </c>
    </row>
    <row r="27592" spans="1:5" x14ac:dyDescent="0.25">
      <c r="A27592" t="s">
        <v>16</v>
      </c>
      <c r="B27592" t="s">
        <v>7666</v>
      </c>
      <c r="C27592" s="1" t="s">
        <v>23490</v>
      </c>
      <c r="D27592" s="1" t="str">
        <f>HYPERLINK("https://rhld.insurance.arkansas.gov/NPILookup?Npi=1134120603","1134120603")</f>
        <v>1134120603</v>
      </c>
      <c r="E27592" t="s">
        <v>16657</v>
      </c>
    </row>
    <row r="27593" spans="1:5" x14ac:dyDescent="0.25">
      <c r="A27593" t="s">
        <v>16</v>
      </c>
      <c r="B27593" t="s">
        <v>7666</v>
      </c>
      <c r="C27593" s="1" t="s">
        <v>23490</v>
      </c>
      <c r="D27593" s="1" t="str">
        <f>HYPERLINK("https://rhld.insurance.arkansas.gov/NPILookup?Npi=1134136096","1134136096")</f>
        <v>1134136096</v>
      </c>
      <c r="E27593" t="s">
        <v>7735</v>
      </c>
    </row>
    <row r="27594" spans="1:5" x14ac:dyDescent="0.25">
      <c r="A27594" t="s">
        <v>16</v>
      </c>
      <c r="B27594" t="s">
        <v>7666</v>
      </c>
      <c r="C27594" s="1" t="s">
        <v>23490</v>
      </c>
      <c r="D27594" s="1" t="str">
        <f>HYPERLINK("https://rhld.insurance.arkansas.gov/NPILookup?Npi=1134142094","1134142094")</f>
        <v>1134142094</v>
      </c>
      <c r="E27594" t="s">
        <v>16658</v>
      </c>
    </row>
    <row r="27595" spans="1:5" x14ac:dyDescent="0.25">
      <c r="A27595" t="s">
        <v>16</v>
      </c>
      <c r="B27595" t="s">
        <v>7666</v>
      </c>
      <c r="C27595" s="1" t="s">
        <v>23490</v>
      </c>
      <c r="D27595" s="1" t="str">
        <f>HYPERLINK("https://rhld.insurance.arkansas.gov/NPILookup?Npi=1134144926","1134144926")</f>
        <v>1134144926</v>
      </c>
      <c r="E27595" t="s">
        <v>7736</v>
      </c>
    </row>
    <row r="27596" spans="1:5" x14ac:dyDescent="0.25">
      <c r="A27596" t="s">
        <v>16</v>
      </c>
      <c r="B27596" t="s">
        <v>7666</v>
      </c>
      <c r="C27596" s="1" t="s">
        <v>23490</v>
      </c>
      <c r="D27596" s="1" t="str">
        <f>HYPERLINK("https://rhld.insurance.arkansas.gov/NPILookup?Npi=1134162282","1134162282")</f>
        <v>1134162282</v>
      </c>
      <c r="E27596" t="s">
        <v>7737</v>
      </c>
    </row>
    <row r="27597" spans="1:5" x14ac:dyDescent="0.25">
      <c r="A27597" t="s">
        <v>16</v>
      </c>
      <c r="B27597" t="s">
        <v>7666</v>
      </c>
      <c r="C27597" s="1" t="s">
        <v>23490</v>
      </c>
      <c r="D27597" s="1" t="str">
        <f>HYPERLINK("https://rhld.insurance.arkansas.gov/NPILookup?Npi=1134190416","1134190416")</f>
        <v>1134190416</v>
      </c>
      <c r="E27597" t="s">
        <v>1190</v>
      </c>
    </row>
    <row r="27598" spans="1:5" x14ac:dyDescent="0.25">
      <c r="A27598" t="s">
        <v>16</v>
      </c>
      <c r="B27598" t="s">
        <v>7666</v>
      </c>
      <c r="C27598" s="1" t="s">
        <v>23490</v>
      </c>
      <c r="D27598" s="1" t="str">
        <f>HYPERLINK("https://rhld.insurance.arkansas.gov/NPILookup?Npi=1134244783","1134244783")</f>
        <v>1134244783</v>
      </c>
      <c r="E27598" t="s">
        <v>7738</v>
      </c>
    </row>
    <row r="27599" spans="1:5" x14ac:dyDescent="0.25">
      <c r="A27599" t="s">
        <v>16</v>
      </c>
      <c r="B27599" t="s">
        <v>7666</v>
      </c>
      <c r="C27599" s="1" t="s">
        <v>23490</v>
      </c>
      <c r="D27599" s="1" t="str">
        <f>HYPERLINK("https://rhld.insurance.arkansas.gov/NPILookup?Npi=1134515042","1134515042")</f>
        <v>1134515042</v>
      </c>
      <c r="E27599" t="s">
        <v>16659</v>
      </c>
    </row>
    <row r="27600" spans="1:5" x14ac:dyDescent="0.25">
      <c r="A27600" t="s">
        <v>16</v>
      </c>
      <c r="B27600" t="s">
        <v>7666</v>
      </c>
      <c r="C27600" s="1" t="s">
        <v>23490</v>
      </c>
      <c r="D27600" s="1" t="str">
        <f>HYPERLINK("https://rhld.insurance.arkansas.gov/NPILookup?Npi=1134534332","1134534332")</f>
        <v>1134534332</v>
      </c>
      <c r="E27600" t="s">
        <v>7739</v>
      </c>
    </row>
    <row r="27601" spans="1:5" x14ac:dyDescent="0.25">
      <c r="A27601" t="s">
        <v>16</v>
      </c>
      <c r="B27601" t="s">
        <v>7666</v>
      </c>
      <c r="C27601" s="1" t="s">
        <v>23490</v>
      </c>
      <c r="D27601" s="1" t="str">
        <f>HYPERLINK("https://rhld.insurance.arkansas.gov/NPILookup?Npi=1134579154","1134579154")</f>
        <v>1134579154</v>
      </c>
      <c r="E27601" t="s">
        <v>12129</v>
      </c>
    </row>
    <row r="27602" spans="1:5" x14ac:dyDescent="0.25">
      <c r="A27602" t="s">
        <v>16</v>
      </c>
      <c r="B27602" t="s">
        <v>7666</v>
      </c>
      <c r="C27602" s="1" t="s">
        <v>23490</v>
      </c>
      <c r="D27602" s="1" t="str">
        <f>HYPERLINK("https://rhld.insurance.arkansas.gov/NPILookup?Npi=1134610678","1134610678")</f>
        <v>1134610678</v>
      </c>
      <c r="E27602" t="s">
        <v>17751</v>
      </c>
    </row>
    <row r="27603" spans="1:5" x14ac:dyDescent="0.25">
      <c r="A27603" t="s">
        <v>16</v>
      </c>
      <c r="B27603" t="s">
        <v>7666</v>
      </c>
      <c r="C27603" s="1" t="s">
        <v>23490</v>
      </c>
      <c r="D27603" s="1" t="str">
        <f>HYPERLINK("https://rhld.insurance.arkansas.gov/NPILookup?Npi=1134649015","1134649015")</f>
        <v>1134649015</v>
      </c>
      <c r="E27603" t="s">
        <v>14527</v>
      </c>
    </row>
    <row r="27604" spans="1:5" x14ac:dyDescent="0.25">
      <c r="A27604" t="s">
        <v>16</v>
      </c>
      <c r="B27604" t="s">
        <v>7666</v>
      </c>
      <c r="C27604" s="1" t="s">
        <v>23490</v>
      </c>
      <c r="D27604" s="1" t="str">
        <f>HYPERLINK("https://rhld.insurance.arkansas.gov/NPILookup?Npi=1134797186","1134797186")</f>
        <v>1134797186</v>
      </c>
      <c r="E27604" t="s">
        <v>19158</v>
      </c>
    </row>
    <row r="27605" spans="1:5" x14ac:dyDescent="0.25">
      <c r="A27605" t="s">
        <v>16</v>
      </c>
      <c r="B27605" t="s">
        <v>7666</v>
      </c>
      <c r="C27605" s="1" t="s">
        <v>23490</v>
      </c>
      <c r="D27605" s="1" t="str">
        <f>HYPERLINK("https://rhld.insurance.arkansas.gov/NPILookup?Npi=1134867005","1134867005")</f>
        <v>1134867005</v>
      </c>
      <c r="E27605" t="s">
        <v>22683</v>
      </c>
    </row>
    <row r="27606" spans="1:5" x14ac:dyDescent="0.25">
      <c r="A27606" t="s">
        <v>16</v>
      </c>
      <c r="B27606" t="s">
        <v>7666</v>
      </c>
      <c r="C27606" s="1" t="s">
        <v>23490</v>
      </c>
      <c r="D27606" s="1" t="str">
        <f>HYPERLINK("https://rhld.insurance.arkansas.gov/NPILookup?Npi=1144213331","1144213331")</f>
        <v>1144213331</v>
      </c>
      <c r="E27606" t="s">
        <v>7740</v>
      </c>
    </row>
    <row r="27607" spans="1:5" x14ac:dyDescent="0.25">
      <c r="A27607" t="s">
        <v>16</v>
      </c>
      <c r="B27607" t="s">
        <v>7666</v>
      </c>
      <c r="C27607" s="1" t="s">
        <v>23490</v>
      </c>
      <c r="D27607" s="1" t="str">
        <f>HYPERLINK("https://rhld.insurance.arkansas.gov/NPILookup?Npi=1144228172","1144228172")</f>
        <v>1144228172</v>
      </c>
      <c r="E27607" t="s">
        <v>7741</v>
      </c>
    </row>
    <row r="27608" spans="1:5" x14ac:dyDescent="0.25">
      <c r="A27608" t="s">
        <v>16</v>
      </c>
      <c r="B27608" t="s">
        <v>7666</v>
      </c>
      <c r="C27608" s="1" t="s">
        <v>23490</v>
      </c>
      <c r="D27608" s="1" t="str">
        <f>HYPERLINK("https://rhld.insurance.arkansas.gov/NPILookup?Npi=1144410481","1144410481")</f>
        <v>1144410481</v>
      </c>
      <c r="E27608" t="s">
        <v>7742</v>
      </c>
    </row>
    <row r="27609" spans="1:5" x14ac:dyDescent="0.25">
      <c r="A27609" t="s">
        <v>16</v>
      </c>
      <c r="B27609" t="s">
        <v>7666</v>
      </c>
      <c r="C27609" s="1" t="s">
        <v>23490</v>
      </c>
      <c r="D27609" s="1" t="str">
        <f>HYPERLINK("https://rhld.insurance.arkansas.gov/NPILookup?Npi=1144468679","1144468679")</f>
        <v>1144468679</v>
      </c>
      <c r="E27609" t="s">
        <v>7743</v>
      </c>
    </row>
    <row r="27610" spans="1:5" x14ac:dyDescent="0.25">
      <c r="A27610" t="s">
        <v>16</v>
      </c>
      <c r="B27610" t="s">
        <v>7666</v>
      </c>
      <c r="C27610" s="1" t="s">
        <v>23490</v>
      </c>
      <c r="D27610" s="1" t="str">
        <f>HYPERLINK("https://rhld.insurance.arkansas.gov/NPILookup?Npi=1144533936","1144533936")</f>
        <v>1144533936</v>
      </c>
      <c r="E27610" t="s">
        <v>7744</v>
      </c>
    </row>
    <row r="27611" spans="1:5" x14ac:dyDescent="0.25">
      <c r="A27611" t="s">
        <v>16</v>
      </c>
      <c r="B27611" t="s">
        <v>7666</v>
      </c>
      <c r="C27611" s="1" t="s">
        <v>23490</v>
      </c>
      <c r="D27611" s="1" t="str">
        <f>HYPERLINK("https://rhld.insurance.arkansas.gov/NPILookup?Npi=1144848284","1144848284")</f>
        <v>1144848284</v>
      </c>
      <c r="E27611" t="s">
        <v>18561</v>
      </c>
    </row>
    <row r="27612" spans="1:5" x14ac:dyDescent="0.25">
      <c r="A27612" t="s">
        <v>16</v>
      </c>
      <c r="B27612" t="s">
        <v>7666</v>
      </c>
      <c r="C27612" s="1" t="s">
        <v>23490</v>
      </c>
      <c r="D27612" s="1" t="str">
        <f>HYPERLINK("https://rhld.insurance.arkansas.gov/NPILookup?Npi=1154071389","1154071389")</f>
        <v>1154071389</v>
      </c>
      <c r="E27612" t="s">
        <v>22684</v>
      </c>
    </row>
    <row r="27613" spans="1:5" x14ac:dyDescent="0.25">
      <c r="A27613" t="s">
        <v>16</v>
      </c>
      <c r="B27613" t="s">
        <v>7666</v>
      </c>
      <c r="C27613" s="1" t="s">
        <v>23490</v>
      </c>
      <c r="D27613" s="1" t="str">
        <f>HYPERLINK("https://rhld.insurance.arkansas.gov/NPILookup?Npi=1154330637","1154330637")</f>
        <v>1154330637</v>
      </c>
      <c r="E27613" t="s">
        <v>7745</v>
      </c>
    </row>
    <row r="27614" spans="1:5" x14ac:dyDescent="0.25">
      <c r="A27614" t="s">
        <v>16</v>
      </c>
      <c r="B27614" t="s">
        <v>7666</v>
      </c>
      <c r="C27614" s="1" t="s">
        <v>23490</v>
      </c>
      <c r="D27614" s="1" t="str">
        <f>HYPERLINK("https://rhld.insurance.arkansas.gov/NPILookup?Npi=1154366102","1154366102")</f>
        <v>1154366102</v>
      </c>
      <c r="E27614" t="s">
        <v>7746</v>
      </c>
    </row>
    <row r="27615" spans="1:5" x14ac:dyDescent="0.25">
      <c r="A27615" t="s">
        <v>16</v>
      </c>
      <c r="B27615" t="s">
        <v>7666</v>
      </c>
      <c r="C27615" s="1" t="s">
        <v>23490</v>
      </c>
      <c r="D27615" s="1" t="str">
        <f>HYPERLINK("https://rhld.insurance.arkansas.gov/NPILookup?Npi=1154378735","1154378735")</f>
        <v>1154378735</v>
      </c>
      <c r="E27615" t="s">
        <v>7747</v>
      </c>
    </row>
    <row r="27616" spans="1:5" x14ac:dyDescent="0.25">
      <c r="A27616" t="s">
        <v>16</v>
      </c>
      <c r="B27616" t="s">
        <v>7666</v>
      </c>
      <c r="C27616" s="1" t="s">
        <v>23490</v>
      </c>
      <c r="D27616" s="1" t="str">
        <f>HYPERLINK("https://rhld.insurance.arkansas.gov/NPILookup?Npi=1154498210","1154498210")</f>
        <v>1154498210</v>
      </c>
      <c r="E27616" t="s">
        <v>7748</v>
      </c>
    </row>
    <row r="27617" spans="1:5" x14ac:dyDescent="0.25">
      <c r="A27617" t="s">
        <v>16</v>
      </c>
      <c r="B27617" t="s">
        <v>7666</v>
      </c>
      <c r="C27617" s="1" t="s">
        <v>23490</v>
      </c>
      <c r="D27617" s="1" t="str">
        <f>HYPERLINK("https://rhld.insurance.arkansas.gov/NPILookup?Npi=1154522407","1154522407")</f>
        <v>1154522407</v>
      </c>
      <c r="E27617" t="s">
        <v>7749</v>
      </c>
    </row>
    <row r="27618" spans="1:5" x14ac:dyDescent="0.25">
      <c r="A27618" t="s">
        <v>16</v>
      </c>
      <c r="B27618" t="s">
        <v>7666</v>
      </c>
      <c r="C27618" s="1" t="s">
        <v>23490</v>
      </c>
      <c r="D27618" s="1" t="str">
        <f>HYPERLINK("https://rhld.insurance.arkansas.gov/NPILookup?Npi=1154540359","1154540359")</f>
        <v>1154540359</v>
      </c>
      <c r="E27618" t="s">
        <v>12130</v>
      </c>
    </row>
    <row r="27619" spans="1:5" x14ac:dyDescent="0.25">
      <c r="A27619" t="s">
        <v>16</v>
      </c>
      <c r="B27619" t="s">
        <v>7666</v>
      </c>
      <c r="C27619" s="1" t="s">
        <v>23490</v>
      </c>
      <c r="D27619" s="1" t="str">
        <f>HYPERLINK("https://rhld.insurance.arkansas.gov/NPILookup?Npi=1154673705","1154673705")</f>
        <v>1154673705</v>
      </c>
      <c r="E27619" t="s">
        <v>7750</v>
      </c>
    </row>
    <row r="27620" spans="1:5" x14ac:dyDescent="0.25">
      <c r="A27620" t="s">
        <v>16</v>
      </c>
      <c r="B27620" t="s">
        <v>7666</v>
      </c>
      <c r="C27620" s="1" t="s">
        <v>23490</v>
      </c>
      <c r="D27620" s="1" t="str">
        <f>HYPERLINK("https://rhld.insurance.arkansas.gov/NPILookup?Npi=1154807162","1154807162")</f>
        <v>1154807162</v>
      </c>
      <c r="E27620" t="s">
        <v>14528</v>
      </c>
    </row>
    <row r="27621" spans="1:5" x14ac:dyDescent="0.25">
      <c r="A27621" t="s">
        <v>16</v>
      </c>
      <c r="B27621" t="s">
        <v>7666</v>
      </c>
      <c r="C27621" s="1" t="s">
        <v>23490</v>
      </c>
      <c r="D27621" s="1" t="str">
        <f>HYPERLINK("https://rhld.insurance.arkansas.gov/NPILookup?Npi=1164094702","1164094702")</f>
        <v>1164094702</v>
      </c>
      <c r="E27621" t="s">
        <v>22685</v>
      </c>
    </row>
    <row r="27622" spans="1:5" x14ac:dyDescent="0.25">
      <c r="A27622" t="s">
        <v>16</v>
      </c>
      <c r="B27622" t="s">
        <v>7666</v>
      </c>
      <c r="C27622" s="1" t="s">
        <v>23490</v>
      </c>
      <c r="D27622" s="1" t="str">
        <f>HYPERLINK("https://rhld.insurance.arkansas.gov/NPILookup?Npi=1164433876","1164433876")</f>
        <v>1164433876</v>
      </c>
      <c r="E27622" t="s">
        <v>7751</v>
      </c>
    </row>
    <row r="27623" spans="1:5" x14ac:dyDescent="0.25">
      <c r="A27623" t="s">
        <v>16</v>
      </c>
      <c r="B27623" t="s">
        <v>7666</v>
      </c>
      <c r="C27623" s="1" t="s">
        <v>23490</v>
      </c>
      <c r="D27623" s="1" t="str">
        <f>HYPERLINK("https://rhld.insurance.arkansas.gov/NPILookup?Npi=1164462776","1164462776")</f>
        <v>1164462776</v>
      </c>
      <c r="E27623" t="s">
        <v>7752</v>
      </c>
    </row>
    <row r="27624" spans="1:5" x14ac:dyDescent="0.25">
      <c r="A27624" t="s">
        <v>16</v>
      </c>
      <c r="B27624" t="s">
        <v>7666</v>
      </c>
      <c r="C27624" s="1" t="s">
        <v>23490</v>
      </c>
      <c r="D27624" s="1" t="str">
        <f>HYPERLINK("https://rhld.insurance.arkansas.gov/NPILookup?Npi=1164473468","1164473468")</f>
        <v>1164473468</v>
      </c>
      <c r="E27624" t="s">
        <v>7753</v>
      </c>
    </row>
    <row r="27625" spans="1:5" x14ac:dyDescent="0.25">
      <c r="A27625" t="s">
        <v>16</v>
      </c>
      <c r="B27625" t="s">
        <v>7666</v>
      </c>
      <c r="C27625" s="1" t="s">
        <v>23490</v>
      </c>
      <c r="D27625" s="1" t="str">
        <f>HYPERLINK("https://rhld.insurance.arkansas.gov/NPILookup?Npi=1164478905","1164478905")</f>
        <v>1164478905</v>
      </c>
      <c r="E27625" t="s">
        <v>7754</v>
      </c>
    </row>
    <row r="27626" spans="1:5" x14ac:dyDescent="0.25">
      <c r="A27626" t="s">
        <v>16</v>
      </c>
      <c r="B27626" t="s">
        <v>7666</v>
      </c>
      <c r="C27626" s="1" t="s">
        <v>23490</v>
      </c>
      <c r="D27626" s="1" t="str">
        <f>HYPERLINK("https://rhld.insurance.arkansas.gov/NPILookup?Npi=1164526422","1164526422")</f>
        <v>1164526422</v>
      </c>
      <c r="E27626" t="s">
        <v>7755</v>
      </c>
    </row>
    <row r="27627" spans="1:5" x14ac:dyDescent="0.25">
      <c r="A27627" t="s">
        <v>16</v>
      </c>
      <c r="B27627" t="s">
        <v>7666</v>
      </c>
      <c r="C27627" s="1" t="s">
        <v>23490</v>
      </c>
      <c r="D27627" s="1" t="str">
        <f>HYPERLINK("https://rhld.insurance.arkansas.gov/NPILookup?Npi=1164568358","1164568358")</f>
        <v>1164568358</v>
      </c>
      <c r="E27627" t="s">
        <v>22686</v>
      </c>
    </row>
    <row r="27628" spans="1:5" x14ac:dyDescent="0.25">
      <c r="A27628" t="s">
        <v>16</v>
      </c>
      <c r="B27628" t="s">
        <v>7666</v>
      </c>
      <c r="C27628" s="1" t="s">
        <v>23490</v>
      </c>
      <c r="D27628" s="1" t="str">
        <f>HYPERLINK("https://rhld.insurance.arkansas.gov/NPILookup?Npi=1164572848","1164572848")</f>
        <v>1164572848</v>
      </c>
      <c r="E27628" t="s">
        <v>16660</v>
      </c>
    </row>
    <row r="27629" spans="1:5" x14ac:dyDescent="0.25">
      <c r="A27629" t="s">
        <v>16</v>
      </c>
      <c r="B27629" t="s">
        <v>7666</v>
      </c>
      <c r="C27629" s="1" t="s">
        <v>23490</v>
      </c>
      <c r="D27629" s="1" t="str">
        <f>HYPERLINK("https://rhld.insurance.arkansas.gov/NPILookup?Npi=1164682084","1164682084")</f>
        <v>1164682084</v>
      </c>
      <c r="E27629" t="s">
        <v>16661</v>
      </c>
    </row>
    <row r="27630" spans="1:5" x14ac:dyDescent="0.25">
      <c r="A27630" t="s">
        <v>16</v>
      </c>
      <c r="B27630" t="s">
        <v>7666</v>
      </c>
      <c r="C27630" s="1" t="s">
        <v>23490</v>
      </c>
      <c r="D27630" s="1" t="str">
        <f>HYPERLINK("https://rhld.insurance.arkansas.gov/NPILookup?Npi=1164714861","1164714861")</f>
        <v>1164714861</v>
      </c>
      <c r="E27630" t="s">
        <v>14529</v>
      </c>
    </row>
    <row r="27631" spans="1:5" x14ac:dyDescent="0.25">
      <c r="A27631" t="s">
        <v>16</v>
      </c>
      <c r="B27631" t="s">
        <v>7666</v>
      </c>
      <c r="C27631" s="1" t="s">
        <v>23490</v>
      </c>
      <c r="D27631" s="1" t="str">
        <f>HYPERLINK("https://rhld.insurance.arkansas.gov/NPILookup?Npi=1164805818","1164805818")</f>
        <v>1164805818</v>
      </c>
      <c r="E27631" t="s">
        <v>7756</v>
      </c>
    </row>
    <row r="27632" spans="1:5" x14ac:dyDescent="0.25">
      <c r="A27632" t="s">
        <v>16</v>
      </c>
      <c r="B27632" t="s">
        <v>7666</v>
      </c>
      <c r="C27632" s="1" t="s">
        <v>23490</v>
      </c>
      <c r="D27632" s="1" t="str">
        <f>HYPERLINK("https://rhld.insurance.arkansas.gov/NPILookup?Npi=1164836995","1164836995")</f>
        <v>1164836995</v>
      </c>
      <c r="E27632" t="s">
        <v>22898</v>
      </c>
    </row>
    <row r="27633" spans="1:5" x14ac:dyDescent="0.25">
      <c r="A27633" t="s">
        <v>16</v>
      </c>
      <c r="B27633" t="s">
        <v>7666</v>
      </c>
      <c r="C27633" s="1" t="s">
        <v>23490</v>
      </c>
      <c r="D27633" s="1" t="str">
        <f>HYPERLINK("https://rhld.insurance.arkansas.gov/NPILookup?Npi=1164849964","1164849964")</f>
        <v>1164849964</v>
      </c>
      <c r="E27633" t="s">
        <v>19932</v>
      </c>
    </row>
    <row r="27634" spans="1:5" x14ac:dyDescent="0.25">
      <c r="A27634" t="s">
        <v>16</v>
      </c>
      <c r="B27634" t="s">
        <v>7666</v>
      </c>
      <c r="C27634" s="1" t="s">
        <v>23490</v>
      </c>
      <c r="D27634" s="1" t="str">
        <f>HYPERLINK("https://rhld.insurance.arkansas.gov/NPILookup?Npi=1164875787","1164875787")</f>
        <v>1164875787</v>
      </c>
      <c r="E27634" t="s">
        <v>14530</v>
      </c>
    </row>
    <row r="27635" spans="1:5" x14ac:dyDescent="0.25">
      <c r="A27635" t="s">
        <v>16</v>
      </c>
      <c r="B27635" t="s">
        <v>7666</v>
      </c>
      <c r="C27635" s="1" t="s">
        <v>23490</v>
      </c>
      <c r="D27635" s="1" t="str">
        <f>HYPERLINK("https://rhld.insurance.arkansas.gov/NPILookup?Npi=1174009500","1174009500")</f>
        <v>1174009500</v>
      </c>
      <c r="E27635" t="s">
        <v>16662</v>
      </c>
    </row>
    <row r="27636" spans="1:5" x14ac:dyDescent="0.25">
      <c r="A27636" t="s">
        <v>16</v>
      </c>
      <c r="B27636" t="s">
        <v>7666</v>
      </c>
      <c r="C27636" s="1" t="s">
        <v>23490</v>
      </c>
      <c r="D27636" s="1" t="str">
        <f>HYPERLINK("https://rhld.insurance.arkansas.gov/NPILookup?Npi=1174052237","1174052237")</f>
        <v>1174052237</v>
      </c>
      <c r="E27636" t="s">
        <v>19159</v>
      </c>
    </row>
    <row r="27637" spans="1:5" x14ac:dyDescent="0.25">
      <c r="A27637" t="s">
        <v>16</v>
      </c>
      <c r="B27637" t="s">
        <v>7666</v>
      </c>
      <c r="C27637" s="1" t="s">
        <v>23490</v>
      </c>
      <c r="D27637" s="1" t="str">
        <f>HYPERLINK("https://rhld.insurance.arkansas.gov/NPILookup?Npi=1174184873","1174184873")</f>
        <v>1174184873</v>
      </c>
      <c r="E27637" t="s">
        <v>16663</v>
      </c>
    </row>
    <row r="27638" spans="1:5" x14ac:dyDescent="0.25">
      <c r="A27638" t="s">
        <v>16</v>
      </c>
      <c r="B27638" t="s">
        <v>7666</v>
      </c>
      <c r="C27638" s="1" t="s">
        <v>23490</v>
      </c>
      <c r="D27638" s="1" t="str">
        <f>HYPERLINK("https://rhld.insurance.arkansas.gov/NPILookup?Npi=1174191720","1174191720")</f>
        <v>1174191720</v>
      </c>
      <c r="E27638" t="s">
        <v>20770</v>
      </c>
    </row>
    <row r="27639" spans="1:5" x14ac:dyDescent="0.25">
      <c r="A27639" t="s">
        <v>16</v>
      </c>
      <c r="B27639" t="s">
        <v>7666</v>
      </c>
      <c r="C27639" s="1" t="s">
        <v>23490</v>
      </c>
      <c r="D27639" s="1" t="str">
        <f>HYPERLINK("https://rhld.insurance.arkansas.gov/NPILookup?Npi=1174524391","1174524391")</f>
        <v>1174524391</v>
      </c>
      <c r="E27639" t="s">
        <v>7757</v>
      </c>
    </row>
    <row r="27640" spans="1:5" x14ac:dyDescent="0.25">
      <c r="A27640" t="s">
        <v>16</v>
      </c>
      <c r="B27640" t="s">
        <v>7666</v>
      </c>
      <c r="C27640" s="1" t="s">
        <v>23490</v>
      </c>
      <c r="D27640" s="1" t="str">
        <f>HYPERLINK("https://rhld.insurance.arkansas.gov/NPILookup?Npi=1174628879","1174628879")</f>
        <v>1174628879</v>
      </c>
      <c r="E27640" t="s">
        <v>7758</v>
      </c>
    </row>
    <row r="27641" spans="1:5" x14ac:dyDescent="0.25">
      <c r="A27641" t="s">
        <v>16</v>
      </c>
      <c r="B27641" t="s">
        <v>7666</v>
      </c>
      <c r="C27641" s="1" t="s">
        <v>23490</v>
      </c>
      <c r="D27641" s="1" t="str">
        <f>HYPERLINK("https://rhld.insurance.arkansas.gov/NPILookup?Npi=1174689723","1174689723")</f>
        <v>1174689723</v>
      </c>
      <c r="E27641" t="s">
        <v>16664</v>
      </c>
    </row>
    <row r="27642" spans="1:5" x14ac:dyDescent="0.25">
      <c r="A27642" t="s">
        <v>16</v>
      </c>
      <c r="B27642" t="s">
        <v>7666</v>
      </c>
      <c r="C27642" s="1" t="s">
        <v>23490</v>
      </c>
      <c r="D27642" s="1" t="str">
        <f>HYPERLINK("https://rhld.insurance.arkansas.gov/NPILookup?Npi=1174699615","1174699615")</f>
        <v>1174699615</v>
      </c>
      <c r="E27642" t="s">
        <v>7759</v>
      </c>
    </row>
    <row r="27643" spans="1:5" x14ac:dyDescent="0.25">
      <c r="A27643" t="s">
        <v>16</v>
      </c>
      <c r="B27643" t="s">
        <v>7666</v>
      </c>
      <c r="C27643" s="1" t="s">
        <v>23490</v>
      </c>
      <c r="D27643" s="1" t="str">
        <f>HYPERLINK("https://rhld.insurance.arkansas.gov/NPILookup?Npi=1174729016","1174729016")</f>
        <v>1174729016</v>
      </c>
      <c r="E27643" t="s">
        <v>7760</v>
      </c>
    </row>
    <row r="27644" spans="1:5" x14ac:dyDescent="0.25">
      <c r="A27644" t="s">
        <v>16</v>
      </c>
      <c r="B27644" t="s">
        <v>7666</v>
      </c>
      <c r="C27644" s="1" t="s">
        <v>23490</v>
      </c>
      <c r="D27644" s="1" t="str">
        <f>HYPERLINK("https://rhld.insurance.arkansas.gov/NPILookup?Npi=1174811970","1174811970")</f>
        <v>1174811970</v>
      </c>
      <c r="E27644" t="s">
        <v>7761</v>
      </c>
    </row>
    <row r="27645" spans="1:5" x14ac:dyDescent="0.25">
      <c r="A27645" t="s">
        <v>16</v>
      </c>
      <c r="B27645" t="s">
        <v>7666</v>
      </c>
      <c r="C27645" s="1" t="s">
        <v>23490</v>
      </c>
      <c r="D27645" s="1" t="str">
        <f>HYPERLINK("https://rhld.insurance.arkansas.gov/NPILookup?Npi=1174837553","1174837553")</f>
        <v>1174837553</v>
      </c>
      <c r="E27645" t="s">
        <v>7762</v>
      </c>
    </row>
    <row r="27646" spans="1:5" x14ac:dyDescent="0.25">
      <c r="A27646" t="s">
        <v>16</v>
      </c>
      <c r="B27646" t="s">
        <v>7666</v>
      </c>
      <c r="C27646" s="1" t="s">
        <v>23490</v>
      </c>
      <c r="D27646" s="1" t="str">
        <f>HYPERLINK("https://rhld.insurance.arkansas.gov/NPILookup?Npi=1174878052","1174878052")</f>
        <v>1174878052</v>
      </c>
      <c r="E27646" t="s">
        <v>16665</v>
      </c>
    </row>
    <row r="27647" spans="1:5" x14ac:dyDescent="0.25">
      <c r="A27647" t="s">
        <v>16</v>
      </c>
      <c r="B27647" t="s">
        <v>7666</v>
      </c>
      <c r="C27647" s="1" t="s">
        <v>23490</v>
      </c>
      <c r="D27647" s="1" t="str">
        <f>HYPERLINK("https://rhld.insurance.arkansas.gov/NPILookup?Npi=1174879233","1174879233")</f>
        <v>1174879233</v>
      </c>
      <c r="E27647" t="s">
        <v>7763</v>
      </c>
    </row>
    <row r="27648" spans="1:5" x14ac:dyDescent="0.25">
      <c r="A27648" t="s">
        <v>16</v>
      </c>
      <c r="B27648" t="s">
        <v>7666</v>
      </c>
      <c r="C27648" s="1" t="s">
        <v>23490</v>
      </c>
      <c r="D27648" s="1" t="str">
        <f>HYPERLINK("https://rhld.insurance.arkansas.gov/NPILookup?Npi=1184010308","1184010308")</f>
        <v>1184010308</v>
      </c>
      <c r="E27648" t="s">
        <v>22687</v>
      </c>
    </row>
    <row r="27649" spans="1:5" x14ac:dyDescent="0.25">
      <c r="A27649" t="s">
        <v>16</v>
      </c>
      <c r="B27649" t="s">
        <v>7666</v>
      </c>
      <c r="C27649" s="1" t="s">
        <v>23490</v>
      </c>
      <c r="D27649" s="1" t="str">
        <f>HYPERLINK("https://rhld.insurance.arkansas.gov/NPILookup?Npi=1184172207","1184172207")</f>
        <v>1184172207</v>
      </c>
      <c r="E27649" t="s">
        <v>22688</v>
      </c>
    </row>
    <row r="27650" spans="1:5" x14ac:dyDescent="0.25">
      <c r="A27650" t="s">
        <v>16</v>
      </c>
      <c r="B27650" t="s">
        <v>7666</v>
      </c>
      <c r="C27650" s="1" t="s">
        <v>23490</v>
      </c>
      <c r="D27650" s="1" t="str">
        <f>HYPERLINK("https://rhld.insurance.arkansas.gov/NPILookup?Npi=1184249013","1184249013")</f>
        <v>1184249013</v>
      </c>
      <c r="E27650" t="s">
        <v>22689</v>
      </c>
    </row>
    <row r="27651" spans="1:5" x14ac:dyDescent="0.25">
      <c r="A27651" t="s">
        <v>16</v>
      </c>
      <c r="B27651" t="s">
        <v>7666</v>
      </c>
      <c r="C27651" s="1" t="s">
        <v>23490</v>
      </c>
      <c r="D27651" s="1" t="str">
        <f>HYPERLINK("https://rhld.insurance.arkansas.gov/NPILookup?Npi=1184359580","1184359580")</f>
        <v>1184359580</v>
      </c>
      <c r="E27651" t="s">
        <v>22690</v>
      </c>
    </row>
    <row r="27652" spans="1:5" x14ac:dyDescent="0.25">
      <c r="A27652" t="s">
        <v>16</v>
      </c>
      <c r="B27652" t="s">
        <v>7666</v>
      </c>
      <c r="C27652" s="1" t="s">
        <v>23490</v>
      </c>
      <c r="D27652" s="1" t="str">
        <f>HYPERLINK("https://rhld.insurance.arkansas.gov/NPILookup?Npi=1184617367","1184617367")</f>
        <v>1184617367</v>
      </c>
      <c r="E27652" t="s">
        <v>7764</v>
      </c>
    </row>
    <row r="27653" spans="1:5" x14ac:dyDescent="0.25">
      <c r="A27653" t="s">
        <v>16</v>
      </c>
      <c r="B27653" t="s">
        <v>7666</v>
      </c>
      <c r="C27653" s="1" t="s">
        <v>23490</v>
      </c>
      <c r="D27653" s="1" t="str">
        <f>HYPERLINK("https://rhld.insurance.arkansas.gov/NPILookup?Npi=1184620049","1184620049")</f>
        <v>1184620049</v>
      </c>
      <c r="E27653" t="s">
        <v>7765</v>
      </c>
    </row>
    <row r="27654" spans="1:5" x14ac:dyDescent="0.25">
      <c r="A27654" t="s">
        <v>16</v>
      </c>
      <c r="B27654" t="s">
        <v>7666</v>
      </c>
      <c r="C27654" s="1" t="s">
        <v>23490</v>
      </c>
      <c r="D27654" s="1" t="str">
        <f>HYPERLINK("https://rhld.insurance.arkansas.gov/NPILookup?Npi=1184621872","1184621872")</f>
        <v>1184621872</v>
      </c>
      <c r="E27654" t="s">
        <v>7766</v>
      </c>
    </row>
    <row r="27655" spans="1:5" x14ac:dyDescent="0.25">
      <c r="A27655" t="s">
        <v>16</v>
      </c>
      <c r="B27655" t="s">
        <v>7666</v>
      </c>
      <c r="C27655" s="1" t="s">
        <v>23490</v>
      </c>
      <c r="D27655" s="1" t="str">
        <f>HYPERLINK("https://rhld.insurance.arkansas.gov/NPILookup?Npi=1184633075","1184633075")</f>
        <v>1184633075</v>
      </c>
      <c r="E27655" t="s">
        <v>6604</v>
      </c>
    </row>
    <row r="27656" spans="1:5" x14ac:dyDescent="0.25">
      <c r="A27656" t="s">
        <v>16</v>
      </c>
      <c r="B27656" t="s">
        <v>7666</v>
      </c>
      <c r="C27656" s="1" t="s">
        <v>23490</v>
      </c>
      <c r="D27656" s="1" t="str">
        <f>HYPERLINK("https://rhld.insurance.arkansas.gov/NPILookup?Npi=1184773020","1184773020")</f>
        <v>1184773020</v>
      </c>
      <c r="E27656" t="s">
        <v>7767</v>
      </c>
    </row>
    <row r="27657" spans="1:5" x14ac:dyDescent="0.25">
      <c r="A27657" t="s">
        <v>16</v>
      </c>
      <c r="B27657" t="s">
        <v>7666</v>
      </c>
      <c r="C27657" s="1" t="s">
        <v>23490</v>
      </c>
      <c r="D27657" s="1" t="str">
        <f>HYPERLINK("https://rhld.insurance.arkansas.gov/NPILookup?Npi=1184804841","1184804841")</f>
        <v>1184804841</v>
      </c>
      <c r="E27657" t="s">
        <v>7768</v>
      </c>
    </row>
    <row r="27658" spans="1:5" x14ac:dyDescent="0.25">
      <c r="A27658" t="s">
        <v>16</v>
      </c>
      <c r="B27658" t="s">
        <v>7666</v>
      </c>
      <c r="C27658" s="1" t="s">
        <v>23490</v>
      </c>
      <c r="D27658" s="1" t="str">
        <f>HYPERLINK("https://rhld.insurance.arkansas.gov/NPILookup?Npi=1184864118","1184864118")</f>
        <v>1184864118</v>
      </c>
      <c r="E27658" t="s">
        <v>7769</v>
      </c>
    </row>
    <row r="27659" spans="1:5" x14ac:dyDescent="0.25">
      <c r="A27659" t="s">
        <v>16</v>
      </c>
      <c r="B27659" t="s">
        <v>7666</v>
      </c>
      <c r="C27659" s="1" t="s">
        <v>23490</v>
      </c>
      <c r="D27659" s="1" t="str">
        <f>HYPERLINK("https://rhld.insurance.arkansas.gov/NPILookup?Npi=1184896243","1184896243")</f>
        <v>1184896243</v>
      </c>
      <c r="E27659" t="s">
        <v>7770</v>
      </c>
    </row>
    <row r="27660" spans="1:5" x14ac:dyDescent="0.25">
      <c r="A27660" t="s">
        <v>16</v>
      </c>
      <c r="B27660" t="s">
        <v>7666</v>
      </c>
      <c r="C27660" s="1" t="s">
        <v>23490</v>
      </c>
      <c r="D27660" s="1" t="str">
        <f>HYPERLINK("https://rhld.insurance.arkansas.gov/NPILookup?Npi=1194004085","1194004085")</f>
        <v>1194004085</v>
      </c>
      <c r="E27660" t="s">
        <v>7771</v>
      </c>
    </row>
    <row r="27661" spans="1:5" x14ac:dyDescent="0.25">
      <c r="A27661" t="s">
        <v>16</v>
      </c>
      <c r="B27661" t="s">
        <v>7666</v>
      </c>
      <c r="C27661" s="1" t="s">
        <v>23490</v>
      </c>
      <c r="D27661" s="1" t="str">
        <f>HYPERLINK("https://rhld.insurance.arkansas.gov/NPILookup?Npi=1194203067","1194203067")</f>
        <v>1194203067</v>
      </c>
      <c r="E27661" t="s">
        <v>21307</v>
      </c>
    </row>
    <row r="27662" spans="1:5" x14ac:dyDescent="0.25">
      <c r="A27662" t="s">
        <v>16</v>
      </c>
      <c r="B27662" t="s">
        <v>7666</v>
      </c>
      <c r="C27662" s="1" t="s">
        <v>23490</v>
      </c>
      <c r="D27662" s="1" t="str">
        <f>HYPERLINK("https://rhld.insurance.arkansas.gov/NPILookup?Npi=1194321653","1194321653")</f>
        <v>1194321653</v>
      </c>
      <c r="E27662" t="s">
        <v>20771</v>
      </c>
    </row>
    <row r="27663" spans="1:5" x14ac:dyDescent="0.25">
      <c r="A27663" t="s">
        <v>16</v>
      </c>
      <c r="B27663" t="s">
        <v>7666</v>
      </c>
      <c r="C27663" s="1" t="s">
        <v>23490</v>
      </c>
      <c r="D27663" s="1" t="str">
        <f>HYPERLINK("https://rhld.insurance.arkansas.gov/NPILookup?Npi=1194701110","1194701110")</f>
        <v>1194701110</v>
      </c>
      <c r="E27663" t="s">
        <v>7772</v>
      </c>
    </row>
    <row r="27664" spans="1:5" x14ac:dyDescent="0.25">
      <c r="A27664" t="s">
        <v>16</v>
      </c>
      <c r="B27664" t="s">
        <v>7666</v>
      </c>
      <c r="C27664" s="1" t="s">
        <v>23490</v>
      </c>
      <c r="D27664" s="1" t="str">
        <f>HYPERLINK("https://rhld.insurance.arkansas.gov/NPILookup?Npi=1194705541","1194705541")</f>
        <v>1194705541</v>
      </c>
      <c r="E27664" t="s">
        <v>7773</v>
      </c>
    </row>
    <row r="27665" spans="1:5" x14ac:dyDescent="0.25">
      <c r="A27665" t="s">
        <v>16</v>
      </c>
      <c r="B27665" t="s">
        <v>7666</v>
      </c>
      <c r="C27665" s="1" t="s">
        <v>23490</v>
      </c>
      <c r="D27665" s="1" t="str">
        <f>HYPERLINK("https://rhld.insurance.arkansas.gov/NPILookup?Npi=1194709220","1194709220")</f>
        <v>1194709220</v>
      </c>
      <c r="E27665" t="s">
        <v>14531</v>
      </c>
    </row>
    <row r="27666" spans="1:5" x14ac:dyDescent="0.25">
      <c r="A27666" t="s">
        <v>16</v>
      </c>
      <c r="B27666" t="s">
        <v>7666</v>
      </c>
      <c r="C27666" s="1" t="s">
        <v>23490</v>
      </c>
      <c r="D27666" s="1" t="str">
        <f>HYPERLINK("https://rhld.insurance.arkansas.gov/NPILookup?Npi=1194718379","1194718379")</f>
        <v>1194718379</v>
      </c>
      <c r="E27666" t="s">
        <v>7774</v>
      </c>
    </row>
    <row r="27667" spans="1:5" x14ac:dyDescent="0.25">
      <c r="A27667" t="s">
        <v>16</v>
      </c>
      <c r="B27667" t="s">
        <v>7666</v>
      </c>
      <c r="C27667" s="1" t="s">
        <v>23490</v>
      </c>
      <c r="D27667" s="1" t="str">
        <f>HYPERLINK("https://rhld.insurance.arkansas.gov/NPILookup?Npi=1194793018","1194793018")</f>
        <v>1194793018</v>
      </c>
      <c r="E27667" t="s">
        <v>16666</v>
      </c>
    </row>
    <row r="27668" spans="1:5" x14ac:dyDescent="0.25">
      <c r="A27668" t="s">
        <v>16</v>
      </c>
      <c r="B27668" t="s">
        <v>7666</v>
      </c>
      <c r="C27668" s="1" t="s">
        <v>23490</v>
      </c>
      <c r="D27668" s="1" t="str">
        <f>HYPERLINK("https://rhld.insurance.arkansas.gov/NPILookup?Npi=1205278611","1205278611")</f>
        <v>1205278611</v>
      </c>
      <c r="E27668" t="s">
        <v>16667</v>
      </c>
    </row>
    <row r="27669" spans="1:5" x14ac:dyDescent="0.25">
      <c r="A27669" t="s">
        <v>16</v>
      </c>
      <c r="B27669" t="s">
        <v>7666</v>
      </c>
      <c r="C27669" s="1" t="s">
        <v>23490</v>
      </c>
      <c r="D27669" s="1" t="str">
        <f>HYPERLINK("https://rhld.insurance.arkansas.gov/NPILookup?Npi=1205569068","1205569068")</f>
        <v>1205569068</v>
      </c>
      <c r="E27669" t="s">
        <v>21308</v>
      </c>
    </row>
    <row r="27670" spans="1:5" x14ac:dyDescent="0.25">
      <c r="A27670" t="s">
        <v>16</v>
      </c>
      <c r="B27670" t="s">
        <v>7666</v>
      </c>
      <c r="C27670" s="1" t="s">
        <v>23490</v>
      </c>
      <c r="D27670" s="1" t="str">
        <f>HYPERLINK("https://rhld.insurance.arkansas.gov/NPILookup?Npi=1205815974","1205815974")</f>
        <v>1205815974</v>
      </c>
      <c r="E27670" t="s">
        <v>7775</v>
      </c>
    </row>
    <row r="27671" spans="1:5" x14ac:dyDescent="0.25">
      <c r="A27671" t="s">
        <v>16</v>
      </c>
      <c r="B27671" t="s">
        <v>7666</v>
      </c>
      <c r="C27671" s="1" t="s">
        <v>23490</v>
      </c>
      <c r="D27671" s="1" t="str">
        <f>HYPERLINK("https://rhld.insurance.arkansas.gov/NPILookup?Npi=1205893708","1205893708")</f>
        <v>1205893708</v>
      </c>
      <c r="E27671" t="s">
        <v>22691</v>
      </c>
    </row>
    <row r="27672" spans="1:5" x14ac:dyDescent="0.25">
      <c r="A27672" t="s">
        <v>16</v>
      </c>
      <c r="B27672" t="s">
        <v>7666</v>
      </c>
      <c r="C27672" s="1" t="s">
        <v>23490</v>
      </c>
      <c r="D27672" s="1" t="str">
        <f>HYPERLINK("https://rhld.insurance.arkansas.gov/NPILookup?Npi=1205935111","1205935111")</f>
        <v>1205935111</v>
      </c>
      <c r="E27672" t="s">
        <v>7776</v>
      </c>
    </row>
    <row r="27673" spans="1:5" x14ac:dyDescent="0.25">
      <c r="A27673" t="s">
        <v>16</v>
      </c>
      <c r="B27673" t="s">
        <v>7666</v>
      </c>
      <c r="C27673" s="1" t="s">
        <v>23490</v>
      </c>
      <c r="D27673" s="1" t="str">
        <f>HYPERLINK("https://rhld.insurance.arkansas.gov/NPILookup?Npi=1205941895","1205941895")</f>
        <v>1205941895</v>
      </c>
      <c r="E27673" t="s">
        <v>7777</v>
      </c>
    </row>
    <row r="27674" spans="1:5" x14ac:dyDescent="0.25">
      <c r="A27674" t="s">
        <v>16</v>
      </c>
      <c r="B27674" t="s">
        <v>7666</v>
      </c>
      <c r="C27674" s="1" t="s">
        <v>23490</v>
      </c>
      <c r="D27674" s="1" t="str">
        <f>HYPERLINK("https://rhld.insurance.arkansas.gov/NPILookup?Npi=1205944337","1205944337")</f>
        <v>1205944337</v>
      </c>
      <c r="E27674" t="s">
        <v>7778</v>
      </c>
    </row>
    <row r="27675" spans="1:5" x14ac:dyDescent="0.25">
      <c r="A27675" t="s">
        <v>16</v>
      </c>
      <c r="B27675" t="s">
        <v>7666</v>
      </c>
      <c r="C27675" s="1" t="s">
        <v>23490</v>
      </c>
      <c r="D27675" s="1" t="str">
        <f>HYPERLINK("https://rhld.insurance.arkansas.gov/NPILookup?Npi=1205950011","1205950011")</f>
        <v>1205950011</v>
      </c>
      <c r="E27675" t="s">
        <v>7779</v>
      </c>
    </row>
    <row r="27676" spans="1:5" x14ac:dyDescent="0.25">
      <c r="A27676" t="s">
        <v>16</v>
      </c>
      <c r="B27676" t="s">
        <v>7666</v>
      </c>
      <c r="C27676" s="1" t="s">
        <v>23490</v>
      </c>
      <c r="D27676" s="1" t="str">
        <f>HYPERLINK("https://rhld.insurance.arkansas.gov/NPILookup?Npi=1205970159","1205970159")</f>
        <v>1205970159</v>
      </c>
      <c r="E27676" t="s">
        <v>7780</v>
      </c>
    </row>
    <row r="27677" spans="1:5" x14ac:dyDescent="0.25">
      <c r="A27677" t="s">
        <v>16</v>
      </c>
      <c r="B27677" t="s">
        <v>7666</v>
      </c>
      <c r="C27677" s="1" t="s">
        <v>23490</v>
      </c>
      <c r="D27677" s="1" t="str">
        <f>HYPERLINK("https://rhld.insurance.arkansas.gov/NPILookup?Npi=1215023320","1215023320")</f>
        <v>1215023320</v>
      </c>
      <c r="E27677" t="s">
        <v>7781</v>
      </c>
    </row>
    <row r="27678" spans="1:5" x14ac:dyDescent="0.25">
      <c r="A27678" t="s">
        <v>16</v>
      </c>
      <c r="B27678" t="s">
        <v>7666</v>
      </c>
      <c r="C27678" s="1" t="s">
        <v>23490</v>
      </c>
      <c r="D27678" s="1" t="str">
        <f>HYPERLINK("https://rhld.insurance.arkansas.gov/NPILookup?Npi=1215027750","1215027750")</f>
        <v>1215027750</v>
      </c>
      <c r="E27678" t="s">
        <v>7782</v>
      </c>
    </row>
    <row r="27679" spans="1:5" x14ac:dyDescent="0.25">
      <c r="A27679" t="s">
        <v>16</v>
      </c>
      <c r="B27679" t="s">
        <v>7666</v>
      </c>
      <c r="C27679" s="1" t="s">
        <v>23490</v>
      </c>
      <c r="D27679" s="1" t="str">
        <f>HYPERLINK("https://rhld.insurance.arkansas.gov/NPILookup?Npi=1215321427","1215321427")</f>
        <v>1215321427</v>
      </c>
      <c r="E27679" t="s">
        <v>16668</v>
      </c>
    </row>
    <row r="27680" spans="1:5" x14ac:dyDescent="0.25">
      <c r="A27680" t="s">
        <v>16</v>
      </c>
      <c r="B27680" t="s">
        <v>7666</v>
      </c>
      <c r="C27680" s="1" t="s">
        <v>23490</v>
      </c>
      <c r="D27680" s="1" t="str">
        <f>HYPERLINK("https://rhld.insurance.arkansas.gov/NPILookup?Npi=1215377809","1215377809")</f>
        <v>1215377809</v>
      </c>
      <c r="E27680" t="s">
        <v>16669</v>
      </c>
    </row>
    <row r="27681" spans="1:5" x14ac:dyDescent="0.25">
      <c r="A27681" t="s">
        <v>16</v>
      </c>
      <c r="B27681" t="s">
        <v>7666</v>
      </c>
      <c r="C27681" s="1" t="s">
        <v>23490</v>
      </c>
      <c r="D27681" s="1" t="str">
        <f>HYPERLINK("https://rhld.insurance.arkansas.gov/NPILookup?Npi=1215459086","1215459086")</f>
        <v>1215459086</v>
      </c>
      <c r="E27681" t="s">
        <v>22692</v>
      </c>
    </row>
    <row r="27682" spans="1:5" x14ac:dyDescent="0.25">
      <c r="A27682" t="s">
        <v>16</v>
      </c>
      <c r="B27682" t="s">
        <v>7666</v>
      </c>
      <c r="C27682" s="1" t="s">
        <v>23490</v>
      </c>
      <c r="D27682" s="1" t="str">
        <f>HYPERLINK("https://rhld.insurance.arkansas.gov/NPILookup?Npi=1215920350","1215920350")</f>
        <v>1215920350</v>
      </c>
      <c r="E27682" t="s">
        <v>7783</v>
      </c>
    </row>
    <row r="27683" spans="1:5" x14ac:dyDescent="0.25">
      <c r="A27683" t="s">
        <v>16</v>
      </c>
      <c r="B27683" t="s">
        <v>7666</v>
      </c>
      <c r="C27683" s="1" t="s">
        <v>23490</v>
      </c>
      <c r="D27683" s="1" t="str">
        <f>HYPERLINK("https://rhld.insurance.arkansas.gov/NPILookup?Npi=1215920442","1215920442")</f>
        <v>1215920442</v>
      </c>
      <c r="E27683" t="s">
        <v>7784</v>
      </c>
    </row>
    <row r="27684" spans="1:5" x14ac:dyDescent="0.25">
      <c r="A27684" t="s">
        <v>16</v>
      </c>
      <c r="B27684" t="s">
        <v>7666</v>
      </c>
      <c r="C27684" s="1" t="s">
        <v>23490</v>
      </c>
      <c r="D27684" s="1" t="str">
        <f>HYPERLINK("https://rhld.insurance.arkansas.gov/NPILookup?Npi=1215920954","1215920954")</f>
        <v>1215920954</v>
      </c>
      <c r="E27684" t="s">
        <v>7785</v>
      </c>
    </row>
    <row r="27685" spans="1:5" x14ac:dyDescent="0.25">
      <c r="A27685" t="s">
        <v>16</v>
      </c>
      <c r="B27685" t="s">
        <v>7666</v>
      </c>
      <c r="C27685" s="1" t="s">
        <v>23490</v>
      </c>
      <c r="D27685" s="1" t="str">
        <f>HYPERLINK("https://rhld.insurance.arkansas.gov/NPILookup?Npi=1215921085","1215921085")</f>
        <v>1215921085</v>
      </c>
      <c r="E27685" t="s">
        <v>7786</v>
      </c>
    </row>
    <row r="27686" spans="1:5" x14ac:dyDescent="0.25">
      <c r="A27686" t="s">
        <v>16</v>
      </c>
      <c r="B27686" t="s">
        <v>7666</v>
      </c>
      <c r="C27686" s="1" t="s">
        <v>23490</v>
      </c>
      <c r="D27686" s="1" t="str">
        <f>HYPERLINK("https://rhld.insurance.arkansas.gov/NPILookup?Npi=1215931738","1215931738")</f>
        <v>1215931738</v>
      </c>
      <c r="E27686" t="s">
        <v>16670</v>
      </c>
    </row>
    <row r="27687" spans="1:5" x14ac:dyDescent="0.25">
      <c r="A27687" t="s">
        <v>16</v>
      </c>
      <c r="B27687" t="s">
        <v>7666</v>
      </c>
      <c r="C27687" s="1" t="s">
        <v>23490</v>
      </c>
      <c r="D27687" s="1" t="str">
        <f>HYPERLINK("https://rhld.insurance.arkansas.gov/NPILookup?Npi=1215931886","1215931886")</f>
        <v>1215931886</v>
      </c>
      <c r="E27687" t="s">
        <v>7787</v>
      </c>
    </row>
    <row r="27688" spans="1:5" x14ac:dyDescent="0.25">
      <c r="A27688" t="s">
        <v>16</v>
      </c>
      <c r="B27688" t="s">
        <v>7666</v>
      </c>
      <c r="C27688" s="1" t="s">
        <v>23490</v>
      </c>
      <c r="D27688" s="1" t="str">
        <f>HYPERLINK("https://rhld.insurance.arkansas.gov/NPILookup?Npi=1215962295","1215962295")</f>
        <v>1215962295</v>
      </c>
      <c r="E27688" t="s">
        <v>7788</v>
      </c>
    </row>
    <row r="27689" spans="1:5" x14ac:dyDescent="0.25">
      <c r="A27689" t="s">
        <v>16</v>
      </c>
      <c r="B27689" t="s">
        <v>7666</v>
      </c>
      <c r="C27689" s="1" t="s">
        <v>23490</v>
      </c>
      <c r="D27689" s="1" t="str">
        <f>HYPERLINK("https://rhld.insurance.arkansas.gov/NPILookup?Npi=1215968425","1215968425")</f>
        <v>1215968425</v>
      </c>
      <c r="E27689" t="s">
        <v>7789</v>
      </c>
    </row>
    <row r="27690" spans="1:5" x14ac:dyDescent="0.25">
      <c r="A27690" t="s">
        <v>16</v>
      </c>
      <c r="B27690" t="s">
        <v>7666</v>
      </c>
      <c r="C27690" s="1" t="s">
        <v>23490</v>
      </c>
      <c r="D27690" s="1" t="str">
        <f>HYPERLINK("https://rhld.insurance.arkansas.gov/NPILookup?Npi=1215971106","1215971106")</f>
        <v>1215971106</v>
      </c>
      <c r="E27690" t="s">
        <v>7790</v>
      </c>
    </row>
    <row r="27691" spans="1:5" x14ac:dyDescent="0.25">
      <c r="A27691" t="s">
        <v>16</v>
      </c>
      <c r="B27691" t="s">
        <v>7666</v>
      </c>
      <c r="C27691" s="1" t="s">
        <v>23490</v>
      </c>
      <c r="D27691" s="1" t="str">
        <f>HYPERLINK("https://rhld.insurance.arkansas.gov/NPILookup?Npi=1215977822","1215977822")</f>
        <v>1215977822</v>
      </c>
      <c r="E27691" t="s">
        <v>7791</v>
      </c>
    </row>
    <row r="27692" spans="1:5" x14ac:dyDescent="0.25">
      <c r="A27692" t="s">
        <v>16</v>
      </c>
      <c r="B27692" t="s">
        <v>7666</v>
      </c>
      <c r="C27692" s="1" t="s">
        <v>23490</v>
      </c>
      <c r="D27692" s="1" t="str">
        <f>HYPERLINK("https://rhld.insurance.arkansas.gov/NPILookup?Npi=1215977871","1215977871")</f>
        <v>1215977871</v>
      </c>
      <c r="E27692" t="s">
        <v>7792</v>
      </c>
    </row>
    <row r="27693" spans="1:5" x14ac:dyDescent="0.25">
      <c r="A27693" t="s">
        <v>16</v>
      </c>
      <c r="B27693" t="s">
        <v>7666</v>
      </c>
      <c r="C27693" s="1" t="s">
        <v>23490</v>
      </c>
      <c r="D27693" s="1" t="str">
        <f>HYPERLINK("https://rhld.insurance.arkansas.gov/NPILookup?Npi=1215984224","1215984224")</f>
        <v>1215984224</v>
      </c>
      <c r="E27693" t="s">
        <v>7793</v>
      </c>
    </row>
    <row r="27694" spans="1:5" x14ac:dyDescent="0.25">
      <c r="A27694" t="s">
        <v>16</v>
      </c>
      <c r="B27694" t="s">
        <v>7666</v>
      </c>
      <c r="C27694" s="1" t="s">
        <v>23490</v>
      </c>
      <c r="D27694" s="1" t="str">
        <f>HYPERLINK("https://rhld.insurance.arkansas.gov/NPILookup?Npi=1215998331","1215998331")</f>
        <v>1215998331</v>
      </c>
      <c r="E27694" t="s">
        <v>7794</v>
      </c>
    </row>
    <row r="27695" spans="1:5" x14ac:dyDescent="0.25">
      <c r="A27695" t="s">
        <v>16</v>
      </c>
      <c r="B27695" t="s">
        <v>7666</v>
      </c>
      <c r="C27695" s="1" t="s">
        <v>23490</v>
      </c>
      <c r="D27695" s="1" t="str">
        <f>HYPERLINK("https://rhld.insurance.arkansas.gov/NPILookup?Npi=1225000540","1225000540")</f>
        <v>1225000540</v>
      </c>
      <c r="E27695" t="s">
        <v>7795</v>
      </c>
    </row>
    <row r="27696" spans="1:5" x14ac:dyDescent="0.25">
      <c r="A27696" t="s">
        <v>16</v>
      </c>
      <c r="B27696" t="s">
        <v>7666</v>
      </c>
      <c r="C27696" s="1" t="s">
        <v>23490</v>
      </c>
      <c r="D27696" s="1" t="str">
        <f>HYPERLINK("https://rhld.insurance.arkansas.gov/NPILookup?Npi=1225006497","1225006497")</f>
        <v>1225006497</v>
      </c>
      <c r="E27696" t="s">
        <v>7796</v>
      </c>
    </row>
    <row r="27697" spans="1:5" x14ac:dyDescent="0.25">
      <c r="A27697" t="s">
        <v>16</v>
      </c>
      <c r="B27697" t="s">
        <v>7666</v>
      </c>
      <c r="C27697" s="1" t="s">
        <v>23490</v>
      </c>
      <c r="D27697" s="1" t="str">
        <f>HYPERLINK("https://rhld.insurance.arkansas.gov/NPILookup?Npi=1225070089","1225070089")</f>
        <v>1225070089</v>
      </c>
      <c r="E27697" t="s">
        <v>7797</v>
      </c>
    </row>
    <row r="27698" spans="1:5" x14ac:dyDescent="0.25">
      <c r="A27698" t="s">
        <v>16</v>
      </c>
      <c r="B27698" t="s">
        <v>7666</v>
      </c>
      <c r="C27698" s="1" t="s">
        <v>23490</v>
      </c>
      <c r="D27698" s="1" t="str">
        <f>HYPERLINK("https://rhld.insurance.arkansas.gov/NPILookup?Npi=1235108655","1235108655")</f>
        <v>1235108655</v>
      </c>
      <c r="E27698" t="s">
        <v>14532</v>
      </c>
    </row>
    <row r="27699" spans="1:5" x14ac:dyDescent="0.25">
      <c r="A27699" t="s">
        <v>16</v>
      </c>
      <c r="B27699" t="s">
        <v>7666</v>
      </c>
      <c r="C27699" s="1" t="s">
        <v>23490</v>
      </c>
      <c r="D27699" s="1" t="str">
        <f>HYPERLINK("https://rhld.insurance.arkansas.gov/NPILookup?Npi=1235129552","1235129552")</f>
        <v>1235129552</v>
      </c>
      <c r="E27699" t="s">
        <v>7799</v>
      </c>
    </row>
    <row r="27700" spans="1:5" x14ac:dyDescent="0.25">
      <c r="A27700" t="s">
        <v>16</v>
      </c>
      <c r="B27700" t="s">
        <v>7666</v>
      </c>
      <c r="C27700" s="1" t="s">
        <v>23490</v>
      </c>
      <c r="D27700" s="1" t="str">
        <f>HYPERLINK("https://rhld.insurance.arkansas.gov/NPILookup?Npi=1235140120","1235140120")</f>
        <v>1235140120</v>
      </c>
      <c r="E27700" t="s">
        <v>7800</v>
      </c>
    </row>
    <row r="27701" spans="1:5" x14ac:dyDescent="0.25">
      <c r="A27701" t="s">
        <v>16</v>
      </c>
      <c r="B27701" t="s">
        <v>7666</v>
      </c>
      <c r="C27701" s="1" t="s">
        <v>23490</v>
      </c>
      <c r="D27701" s="1" t="str">
        <f>HYPERLINK("https://rhld.insurance.arkansas.gov/NPILookup?Npi=1235145046","1235145046")</f>
        <v>1235145046</v>
      </c>
      <c r="E27701" t="s">
        <v>7801</v>
      </c>
    </row>
    <row r="27702" spans="1:5" x14ac:dyDescent="0.25">
      <c r="A27702" t="s">
        <v>16</v>
      </c>
      <c r="B27702" t="s">
        <v>7666</v>
      </c>
      <c r="C27702" s="1" t="s">
        <v>23490</v>
      </c>
      <c r="D27702" s="1" t="str">
        <f>HYPERLINK("https://rhld.insurance.arkansas.gov/NPILookup?Npi=1235213687","1235213687")</f>
        <v>1235213687</v>
      </c>
      <c r="E27702" t="s">
        <v>7802</v>
      </c>
    </row>
    <row r="27703" spans="1:5" x14ac:dyDescent="0.25">
      <c r="A27703" t="s">
        <v>16</v>
      </c>
      <c r="B27703" t="s">
        <v>7666</v>
      </c>
      <c r="C27703" s="1" t="s">
        <v>23490</v>
      </c>
      <c r="D27703" s="1" t="str">
        <f>HYPERLINK("https://rhld.insurance.arkansas.gov/NPILookup?Npi=1235254095","1235254095")</f>
        <v>1235254095</v>
      </c>
      <c r="E27703" t="s">
        <v>7803</v>
      </c>
    </row>
    <row r="27704" spans="1:5" x14ac:dyDescent="0.25">
      <c r="A27704" t="s">
        <v>16</v>
      </c>
      <c r="B27704" t="s">
        <v>7666</v>
      </c>
      <c r="C27704" s="1" t="s">
        <v>23490</v>
      </c>
      <c r="D27704" s="1" t="str">
        <f>HYPERLINK("https://rhld.insurance.arkansas.gov/NPILookup?Npi=1235335118","1235335118")</f>
        <v>1235335118</v>
      </c>
      <c r="E27704" t="s">
        <v>7804</v>
      </c>
    </row>
    <row r="27705" spans="1:5" x14ac:dyDescent="0.25">
      <c r="A27705" t="s">
        <v>16</v>
      </c>
      <c r="B27705" t="s">
        <v>7666</v>
      </c>
      <c r="C27705" s="1" t="s">
        <v>23490</v>
      </c>
      <c r="D27705" s="1" t="str">
        <f>HYPERLINK("https://rhld.insurance.arkansas.gov/NPILookup?Npi=1235338658","1235338658")</f>
        <v>1235338658</v>
      </c>
      <c r="E27705" t="s">
        <v>7805</v>
      </c>
    </row>
    <row r="27706" spans="1:5" x14ac:dyDescent="0.25">
      <c r="A27706" t="s">
        <v>16</v>
      </c>
      <c r="B27706" t="s">
        <v>7666</v>
      </c>
      <c r="C27706" s="1" t="s">
        <v>23490</v>
      </c>
      <c r="D27706" s="1" t="str">
        <f>HYPERLINK("https://rhld.insurance.arkansas.gov/NPILookup?Npi=1235345414","1235345414")</f>
        <v>1235345414</v>
      </c>
      <c r="E27706" t="s">
        <v>7806</v>
      </c>
    </row>
    <row r="27707" spans="1:5" x14ac:dyDescent="0.25">
      <c r="A27707" t="s">
        <v>16</v>
      </c>
      <c r="B27707" t="s">
        <v>7666</v>
      </c>
      <c r="C27707" s="1" t="s">
        <v>23490</v>
      </c>
      <c r="D27707" s="1" t="str">
        <f>HYPERLINK("https://rhld.insurance.arkansas.gov/NPILookup?Npi=1235368622","1235368622")</f>
        <v>1235368622</v>
      </c>
      <c r="E27707" t="s">
        <v>7807</v>
      </c>
    </row>
    <row r="27708" spans="1:5" x14ac:dyDescent="0.25">
      <c r="A27708" t="s">
        <v>16</v>
      </c>
      <c r="B27708" t="s">
        <v>7666</v>
      </c>
      <c r="C27708" s="1" t="s">
        <v>23490</v>
      </c>
      <c r="D27708" s="1" t="str">
        <f>HYPERLINK("https://rhld.insurance.arkansas.gov/NPILookup?Npi=1235445297","1235445297")</f>
        <v>1235445297</v>
      </c>
      <c r="E27708" t="s">
        <v>7808</v>
      </c>
    </row>
    <row r="27709" spans="1:5" x14ac:dyDescent="0.25">
      <c r="A27709" t="s">
        <v>16</v>
      </c>
      <c r="B27709" t="s">
        <v>7666</v>
      </c>
      <c r="C27709" s="1" t="s">
        <v>23490</v>
      </c>
      <c r="D27709" s="1" t="str">
        <f>HYPERLINK("https://rhld.insurance.arkansas.gov/NPILookup?Npi=1235457979","1235457979")</f>
        <v>1235457979</v>
      </c>
      <c r="E27709" t="s">
        <v>7809</v>
      </c>
    </row>
    <row r="27710" spans="1:5" x14ac:dyDescent="0.25">
      <c r="A27710" t="s">
        <v>16</v>
      </c>
      <c r="B27710" t="s">
        <v>7666</v>
      </c>
      <c r="C27710" s="1" t="s">
        <v>23490</v>
      </c>
      <c r="D27710" s="1" t="str">
        <f>HYPERLINK("https://rhld.insurance.arkansas.gov/NPILookup?Npi=1235655051","1235655051")</f>
        <v>1235655051</v>
      </c>
      <c r="E27710" t="s">
        <v>12337</v>
      </c>
    </row>
    <row r="27711" spans="1:5" x14ac:dyDescent="0.25">
      <c r="A27711" t="s">
        <v>16</v>
      </c>
      <c r="B27711" t="s">
        <v>7666</v>
      </c>
      <c r="C27711" s="1" t="s">
        <v>23490</v>
      </c>
      <c r="D27711" s="1" t="str">
        <f>HYPERLINK("https://rhld.insurance.arkansas.gov/NPILookup?Npi=1245223502","1245223502")</f>
        <v>1245223502</v>
      </c>
      <c r="E27711" t="s">
        <v>7810</v>
      </c>
    </row>
    <row r="27712" spans="1:5" x14ac:dyDescent="0.25">
      <c r="A27712" t="s">
        <v>16</v>
      </c>
      <c r="B27712" t="s">
        <v>7666</v>
      </c>
      <c r="C27712" s="1" t="s">
        <v>23490</v>
      </c>
      <c r="D27712" s="1" t="str">
        <f>HYPERLINK("https://rhld.insurance.arkansas.gov/NPILookup?Npi=1245224179","1245224179")</f>
        <v>1245224179</v>
      </c>
      <c r="E27712" t="s">
        <v>7811</v>
      </c>
    </row>
    <row r="27713" spans="1:5" x14ac:dyDescent="0.25">
      <c r="A27713" t="s">
        <v>16</v>
      </c>
      <c r="B27713" t="s">
        <v>7666</v>
      </c>
      <c r="C27713" s="1" t="s">
        <v>23490</v>
      </c>
      <c r="D27713" s="1" t="str">
        <f>HYPERLINK("https://rhld.insurance.arkansas.gov/NPILookup?Npi=1245226463","1245226463")</f>
        <v>1245226463</v>
      </c>
      <c r="E27713" t="s">
        <v>7812</v>
      </c>
    </row>
    <row r="27714" spans="1:5" x14ac:dyDescent="0.25">
      <c r="A27714" t="s">
        <v>16</v>
      </c>
      <c r="B27714" t="s">
        <v>7666</v>
      </c>
      <c r="C27714" s="1" t="s">
        <v>23490</v>
      </c>
      <c r="D27714" s="1" t="str">
        <f>HYPERLINK("https://rhld.insurance.arkansas.gov/NPILookup?Npi=1245234103","1245234103")</f>
        <v>1245234103</v>
      </c>
      <c r="E27714" t="s">
        <v>7813</v>
      </c>
    </row>
    <row r="27715" spans="1:5" x14ac:dyDescent="0.25">
      <c r="A27715" t="s">
        <v>16</v>
      </c>
      <c r="B27715" t="s">
        <v>7666</v>
      </c>
      <c r="C27715" s="1" t="s">
        <v>23490</v>
      </c>
      <c r="D27715" s="1" t="str">
        <f>HYPERLINK("https://rhld.insurance.arkansas.gov/NPILookup?Npi=1245237171","1245237171")</f>
        <v>1245237171</v>
      </c>
      <c r="E27715" t="s">
        <v>7814</v>
      </c>
    </row>
    <row r="27716" spans="1:5" x14ac:dyDescent="0.25">
      <c r="A27716" t="s">
        <v>16</v>
      </c>
      <c r="B27716" t="s">
        <v>7666</v>
      </c>
      <c r="C27716" s="1" t="s">
        <v>23490</v>
      </c>
      <c r="D27716" s="1" t="str">
        <f>HYPERLINK("https://rhld.insurance.arkansas.gov/NPILookup?Npi=1245239904","1245239904")</f>
        <v>1245239904</v>
      </c>
      <c r="E27716" t="s">
        <v>7815</v>
      </c>
    </row>
    <row r="27717" spans="1:5" x14ac:dyDescent="0.25">
      <c r="A27717" t="s">
        <v>16</v>
      </c>
      <c r="B27717" t="s">
        <v>7666</v>
      </c>
      <c r="C27717" s="1" t="s">
        <v>23490</v>
      </c>
      <c r="D27717" s="1" t="str">
        <f>HYPERLINK("https://rhld.insurance.arkansas.gov/NPILookup?Npi=1245259571","1245259571")</f>
        <v>1245259571</v>
      </c>
      <c r="E27717" t="s">
        <v>7816</v>
      </c>
    </row>
    <row r="27718" spans="1:5" x14ac:dyDescent="0.25">
      <c r="A27718" t="s">
        <v>16</v>
      </c>
      <c r="B27718" t="s">
        <v>7666</v>
      </c>
      <c r="C27718" s="1" t="s">
        <v>23490</v>
      </c>
      <c r="D27718" s="1" t="str">
        <f>HYPERLINK("https://rhld.insurance.arkansas.gov/NPILookup?Npi=1245386333","1245386333")</f>
        <v>1245386333</v>
      </c>
      <c r="E27718" t="s">
        <v>16671</v>
      </c>
    </row>
    <row r="27719" spans="1:5" x14ac:dyDescent="0.25">
      <c r="A27719" t="s">
        <v>16</v>
      </c>
      <c r="B27719" t="s">
        <v>7666</v>
      </c>
      <c r="C27719" s="1" t="s">
        <v>23490</v>
      </c>
      <c r="D27719" s="1" t="str">
        <f>HYPERLINK("https://rhld.insurance.arkansas.gov/NPILookup?Npi=1245468743","1245468743")</f>
        <v>1245468743</v>
      </c>
      <c r="E27719" t="s">
        <v>7817</v>
      </c>
    </row>
    <row r="27720" spans="1:5" x14ac:dyDescent="0.25">
      <c r="A27720" t="s">
        <v>16</v>
      </c>
      <c r="B27720" t="s">
        <v>7666</v>
      </c>
      <c r="C27720" s="1" t="s">
        <v>23490</v>
      </c>
      <c r="D27720" s="1" t="str">
        <f>HYPERLINK("https://rhld.insurance.arkansas.gov/NPILookup?Npi=1245468925","1245468925")</f>
        <v>1245468925</v>
      </c>
      <c r="E27720" t="s">
        <v>7818</v>
      </c>
    </row>
    <row r="27721" spans="1:5" x14ac:dyDescent="0.25">
      <c r="A27721" t="s">
        <v>16</v>
      </c>
      <c r="B27721" t="s">
        <v>7666</v>
      </c>
      <c r="C27721" s="1" t="s">
        <v>23490</v>
      </c>
      <c r="D27721" s="1" t="str">
        <f>HYPERLINK("https://rhld.insurance.arkansas.gov/NPILookup?Npi=1245642867","1245642867")</f>
        <v>1245642867</v>
      </c>
      <c r="E27721" t="s">
        <v>17752</v>
      </c>
    </row>
    <row r="27722" spans="1:5" x14ac:dyDescent="0.25">
      <c r="A27722" t="s">
        <v>16</v>
      </c>
      <c r="B27722" t="s">
        <v>7666</v>
      </c>
      <c r="C27722" s="1" t="s">
        <v>23490</v>
      </c>
      <c r="D27722" s="1" t="str">
        <f>HYPERLINK("https://rhld.insurance.arkansas.gov/NPILookup?Npi=1245720069","1245720069")</f>
        <v>1245720069</v>
      </c>
      <c r="E27722" t="s">
        <v>22693</v>
      </c>
    </row>
    <row r="27723" spans="1:5" x14ac:dyDescent="0.25">
      <c r="A27723" t="s">
        <v>16</v>
      </c>
      <c r="B27723" t="s">
        <v>7666</v>
      </c>
      <c r="C27723" s="1" t="s">
        <v>23490</v>
      </c>
      <c r="D27723" s="1" t="str">
        <f>HYPERLINK("https://rhld.insurance.arkansas.gov/NPILookup?Npi=1255332433","1255332433")</f>
        <v>1255332433</v>
      </c>
      <c r="E27723" t="s">
        <v>12131</v>
      </c>
    </row>
    <row r="27724" spans="1:5" x14ac:dyDescent="0.25">
      <c r="A27724" t="s">
        <v>16</v>
      </c>
      <c r="B27724" t="s">
        <v>7666</v>
      </c>
      <c r="C27724" s="1" t="s">
        <v>23490</v>
      </c>
      <c r="D27724" s="1" t="str">
        <f>HYPERLINK("https://rhld.insurance.arkansas.gov/NPILookup?Npi=1255335121","1255335121")</f>
        <v>1255335121</v>
      </c>
      <c r="E27724" t="s">
        <v>7819</v>
      </c>
    </row>
    <row r="27725" spans="1:5" x14ac:dyDescent="0.25">
      <c r="A27725" t="s">
        <v>16</v>
      </c>
      <c r="B27725" t="s">
        <v>7666</v>
      </c>
      <c r="C27725" s="1" t="s">
        <v>23490</v>
      </c>
      <c r="D27725" s="1" t="str">
        <f>HYPERLINK("https://rhld.insurance.arkansas.gov/NPILookup?Npi=1255335675","1255335675")</f>
        <v>1255335675</v>
      </c>
      <c r="E27725" t="s">
        <v>7820</v>
      </c>
    </row>
    <row r="27726" spans="1:5" x14ac:dyDescent="0.25">
      <c r="A27726" t="s">
        <v>16</v>
      </c>
      <c r="B27726" t="s">
        <v>7666</v>
      </c>
      <c r="C27726" s="1" t="s">
        <v>23490</v>
      </c>
      <c r="D27726" s="1" t="str">
        <f>HYPERLINK("https://rhld.insurance.arkansas.gov/NPILookup?Npi=1255350021","1255350021")</f>
        <v>1255350021</v>
      </c>
      <c r="E27726" t="s">
        <v>7821</v>
      </c>
    </row>
    <row r="27727" spans="1:5" x14ac:dyDescent="0.25">
      <c r="A27727" t="s">
        <v>16</v>
      </c>
      <c r="B27727" t="s">
        <v>7666</v>
      </c>
      <c r="C27727" s="1" t="s">
        <v>23490</v>
      </c>
      <c r="D27727" s="1" t="str">
        <f>HYPERLINK("https://rhld.insurance.arkansas.gov/NPILookup?Npi=1255382438","1255382438")</f>
        <v>1255382438</v>
      </c>
      <c r="E27727" t="s">
        <v>7822</v>
      </c>
    </row>
    <row r="27728" spans="1:5" x14ac:dyDescent="0.25">
      <c r="A27728" t="s">
        <v>16</v>
      </c>
      <c r="B27728" t="s">
        <v>7666</v>
      </c>
      <c r="C27728" s="1" t="s">
        <v>23490</v>
      </c>
      <c r="D27728" s="1" t="str">
        <f>HYPERLINK("https://rhld.insurance.arkansas.gov/NPILookup?Npi=1255463311","1255463311")</f>
        <v>1255463311</v>
      </c>
      <c r="E27728" t="s">
        <v>17310</v>
      </c>
    </row>
    <row r="27729" spans="1:5" x14ac:dyDescent="0.25">
      <c r="A27729" t="s">
        <v>16</v>
      </c>
      <c r="B27729" t="s">
        <v>7666</v>
      </c>
      <c r="C27729" s="1" t="s">
        <v>23490</v>
      </c>
      <c r="D27729" s="1" t="str">
        <f>HYPERLINK("https://rhld.insurance.arkansas.gov/NPILookup?Npi=1255567657","1255567657")</f>
        <v>1255567657</v>
      </c>
      <c r="E27729" t="s">
        <v>7823</v>
      </c>
    </row>
    <row r="27730" spans="1:5" x14ac:dyDescent="0.25">
      <c r="A27730" t="s">
        <v>16</v>
      </c>
      <c r="B27730" t="s">
        <v>7666</v>
      </c>
      <c r="C27730" s="1" t="s">
        <v>23490</v>
      </c>
      <c r="D27730" s="1" t="str">
        <f>HYPERLINK("https://rhld.insurance.arkansas.gov/NPILookup?Npi=1255596300","1255596300")</f>
        <v>1255596300</v>
      </c>
      <c r="E27730" t="s">
        <v>7824</v>
      </c>
    </row>
    <row r="27731" spans="1:5" x14ac:dyDescent="0.25">
      <c r="A27731" t="s">
        <v>16</v>
      </c>
      <c r="B27731" t="s">
        <v>7666</v>
      </c>
      <c r="C27731" s="1" t="s">
        <v>23490</v>
      </c>
      <c r="D27731" s="1" t="str">
        <f>HYPERLINK("https://rhld.insurance.arkansas.gov/NPILookup?Npi=1255751442","1255751442")</f>
        <v>1255751442</v>
      </c>
      <c r="E27731" t="s">
        <v>3682</v>
      </c>
    </row>
    <row r="27732" spans="1:5" x14ac:dyDescent="0.25">
      <c r="A27732" t="s">
        <v>16</v>
      </c>
      <c r="B27732" t="s">
        <v>7666</v>
      </c>
      <c r="C27732" s="1" t="s">
        <v>23490</v>
      </c>
      <c r="D27732" s="1" t="str">
        <f>HYPERLINK("https://rhld.insurance.arkansas.gov/NPILookup?Npi=1255826459","1255826459")</f>
        <v>1255826459</v>
      </c>
      <c r="E27732" t="s">
        <v>22694</v>
      </c>
    </row>
    <row r="27733" spans="1:5" x14ac:dyDescent="0.25">
      <c r="A27733" t="s">
        <v>16</v>
      </c>
      <c r="B27733" t="s">
        <v>7666</v>
      </c>
      <c r="C27733" s="1" t="s">
        <v>23490</v>
      </c>
      <c r="D27733" s="1" t="str">
        <f>HYPERLINK("https://rhld.insurance.arkansas.gov/NPILookup?Npi=1265412183","1265412183")</f>
        <v>1265412183</v>
      </c>
      <c r="E27733" t="s">
        <v>7825</v>
      </c>
    </row>
    <row r="27734" spans="1:5" x14ac:dyDescent="0.25">
      <c r="A27734" t="s">
        <v>16</v>
      </c>
      <c r="B27734" t="s">
        <v>7666</v>
      </c>
      <c r="C27734" s="1" t="s">
        <v>23490</v>
      </c>
      <c r="D27734" s="1" t="str">
        <f>HYPERLINK("https://rhld.insurance.arkansas.gov/NPILookup?Npi=1265425458","1265425458")</f>
        <v>1265425458</v>
      </c>
      <c r="E27734" t="s">
        <v>7826</v>
      </c>
    </row>
    <row r="27735" spans="1:5" x14ac:dyDescent="0.25">
      <c r="A27735" t="s">
        <v>16</v>
      </c>
      <c r="B27735" t="s">
        <v>7666</v>
      </c>
      <c r="C27735" s="1" t="s">
        <v>23490</v>
      </c>
      <c r="D27735" s="1" t="str">
        <f>HYPERLINK("https://rhld.insurance.arkansas.gov/NPILookup?Npi=1265446793","1265446793")</f>
        <v>1265446793</v>
      </c>
      <c r="E27735" t="s">
        <v>7827</v>
      </c>
    </row>
    <row r="27736" spans="1:5" x14ac:dyDescent="0.25">
      <c r="A27736" t="s">
        <v>16</v>
      </c>
      <c r="B27736" t="s">
        <v>7666</v>
      </c>
      <c r="C27736" s="1" t="s">
        <v>23490</v>
      </c>
      <c r="D27736" s="1" t="str">
        <f>HYPERLINK("https://rhld.insurance.arkansas.gov/NPILookup?Npi=1265463483","1265463483")</f>
        <v>1265463483</v>
      </c>
      <c r="E27736" t="s">
        <v>7828</v>
      </c>
    </row>
    <row r="27737" spans="1:5" x14ac:dyDescent="0.25">
      <c r="A27737" t="s">
        <v>16</v>
      </c>
      <c r="B27737" t="s">
        <v>7666</v>
      </c>
      <c r="C27737" s="1" t="s">
        <v>23490</v>
      </c>
      <c r="D27737" s="1" t="str">
        <f>HYPERLINK("https://rhld.insurance.arkansas.gov/NPILookup?Npi=1265545644","1265545644")</f>
        <v>1265545644</v>
      </c>
      <c r="E27737" t="s">
        <v>7829</v>
      </c>
    </row>
    <row r="27738" spans="1:5" x14ac:dyDescent="0.25">
      <c r="A27738" t="s">
        <v>16</v>
      </c>
      <c r="B27738" t="s">
        <v>7666</v>
      </c>
      <c r="C27738" s="1" t="s">
        <v>23490</v>
      </c>
      <c r="D27738" s="1" t="str">
        <f>HYPERLINK("https://rhld.insurance.arkansas.gov/NPILookup?Npi=1265617021","1265617021")</f>
        <v>1265617021</v>
      </c>
      <c r="E27738" t="s">
        <v>7830</v>
      </c>
    </row>
    <row r="27739" spans="1:5" x14ac:dyDescent="0.25">
      <c r="A27739" t="s">
        <v>16</v>
      </c>
      <c r="B27739" t="s">
        <v>7666</v>
      </c>
      <c r="C27739" s="1" t="s">
        <v>23490</v>
      </c>
      <c r="D27739" s="1" t="str">
        <f>HYPERLINK("https://rhld.insurance.arkansas.gov/NPILookup?Npi=1265746564","1265746564")</f>
        <v>1265746564</v>
      </c>
      <c r="E27739" t="s">
        <v>7831</v>
      </c>
    </row>
    <row r="27740" spans="1:5" x14ac:dyDescent="0.25">
      <c r="A27740" t="s">
        <v>16</v>
      </c>
      <c r="B27740" t="s">
        <v>7666</v>
      </c>
      <c r="C27740" s="1" t="s">
        <v>23490</v>
      </c>
      <c r="D27740" s="1" t="str">
        <f>HYPERLINK("https://rhld.insurance.arkansas.gov/NPILookup?Npi=1265774673","1265774673")</f>
        <v>1265774673</v>
      </c>
      <c r="E27740" t="s">
        <v>16672</v>
      </c>
    </row>
    <row r="27741" spans="1:5" x14ac:dyDescent="0.25">
      <c r="A27741" t="s">
        <v>16</v>
      </c>
      <c r="B27741" t="s">
        <v>7666</v>
      </c>
      <c r="C27741" s="1" t="s">
        <v>23490</v>
      </c>
      <c r="D27741" s="1" t="str">
        <f>HYPERLINK("https://rhld.insurance.arkansas.gov/NPILookup?Npi=1265847362","1265847362")</f>
        <v>1265847362</v>
      </c>
      <c r="E27741" t="s">
        <v>12132</v>
      </c>
    </row>
    <row r="27742" spans="1:5" x14ac:dyDescent="0.25">
      <c r="A27742" t="s">
        <v>16</v>
      </c>
      <c r="B27742" t="s">
        <v>7666</v>
      </c>
      <c r="C27742" s="1" t="s">
        <v>23490</v>
      </c>
      <c r="D27742" s="1" t="str">
        <f>HYPERLINK("https://rhld.insurance.arkansas.gov/NPILookup?Npi=1275029258","1275029258")</f>
        <v>1275029258</v>
      </c>
      <c r="E27742" t="s">
        <v>14533</v>
      </c>
    </row>
    <row r="27743" spans="1:5" x14ac:dyDescent="0.25">
      <c r="A27743" t="s">
        <v>16</v>
      </c>
      <c r="B27743" t="s">
        <v>7666</v>
      </c>
      <c r="C27743" s="1" t="s">
        <v>23490</v>
      </c>
      <c r="D27743" s="1" t="str">
        <f>HYPERLINK("https://rhld.insurance.arkansas.gov/NPILookup?Npi=1275168213","1275168213")</f>
        <v>1275168213</v>
      </c>
      <c r="E27743" t="s">
        <v>18562</v>
      </c>
    </row>
    <row r="27744" spans="1:5" x14ac:dyDescent="0.25">
      <c r="A27744" t="s">
        <v>16</v>
      </c>
      <c r="B27744" t="s">
        <v>7666</v>
      </c>
      <c r="C27744" s="1" t="s">
        <v>23490</v>
      </c>
      <c r="D27744" s="1" t="str">
        <f>HYPERLINK("https://rhld.insurance.arkansas.gov/NPILookup?Npi=1275500696","1275500696")</f>
        <v>1275500696</v>
      </c>
      <c r="E27744" t="s">
        <v>7832</v>
      </c>
    </row>
    <row r="27745" spans="1:5" x14ac:dyDescent="0.25">
      <c r="A27745" t="s">
        <v>16</v>
      </c>
      <c r="B27745" t="s">
        <v>7666</v>
      </c>
      <c r="C27745" s="1" t="s">
        <v>23490</v>
      </c>
      <c r="D27745" s="1" t="str">
        <f>HYPERLINK("https://rhld.insurance.arkansas.gov/NPILookup?Npi=1275545659","1275545659")</f>
        <v>1275545659</v>
      </c>
      <c r="E27745" t="s">
        <v>123</v>
      </c>
    </row>
    <row r="27746" spans="1:5" x14ac:dyDescent="0.25">
      <c r="A27746" t="s">
        <v>16</v>
      </c>
      <c r="B27746" t="s">
        <v>7666</v>
      </c>
      <c r="C27746" s="1" t="s">
        <v>23490</v>
      </c>
      <c r="D27746" s="1" t="str">
        <f>HYPERLINK("https://rhld.insurance.arkansas.gov/NPILookup?Npi=1275556334","1275556334")</f>
        <v>1275556334</v>
      </c>
      <c r="E27746" t="s">
        <v>7833</v>
      </c>
    </row>
    <row r="27747" spans="1:5" x14ac:dyDescent="0.25">
      <c r="A27747" t="s">
        <v>16</v>
      </c>
      <c r="B27747" t="s">
        <v>7666</v>
      </c>
      <c r="C27747" s="1" t="s">
        <v>23490</v>
      </c>
      <c r="D27747" s="1" t="str">
        <f>HYPERLINK("https://rhld.insurance.arkansas.gov/NPILookup?Npi=1275557613","1275557613")</f>
        <v>1275557613</v>
      </c>
      <c r="E27747" t="s">
        <v>16673</v>
      </c>
    </row>
    <row r="27748" spans="1:5" x14ac:dyDescent="0.25">
      <c r="A27748" t="s">
        <v>16</v>
      </c>
      <c r="B27748" t="s">
        <v>7666</v>
      </c>
      <c r="C27748" s="1" t="s">
        <v>23490</v>
      </c>
      <c r="D27748" s="1" t="str">
        <f>HYPERLINK("https://rhld.insurance.arkansas.gov/NPILookup?Npi=1275619876","1275619876")</f>
        <v>1275619876</v>
      </c>
      <c r="E27748" t="s">
        <v>7834</v>
      </c>
    </row>
    <row r="27749" spans="1:5" x14ac:dyDescent="0.25">
      <c r="A27749" t="s">
        <v>16</v>
      </c>
      <c r="B27749" t="s">
        <v>7666</v>
      </c>
      <c r="C27749" s="1" t="s">
        <v>23490</v>
      </c>
      <c r="D27749" s="1" t="str">
        <f>HYPERLINK("https://rhld.insurance.arkansas.gov/NPILookup?Npi=1275645889","1275645889")</f>
        <v>1275645889</v>
      </c>
      <c r="E27749" t="s">
        <v>16674</v>
      </c>
    </row>
    <row r="27750" spans="1:5" x14ac:dyDescent="0.25">
      <c r="A27750" t="s">
        <v>16</v>
      </c>
      <c r="B27750" t="s">
        <v>7666</v>
      </c>
      <c r="C27750" s="1" t="s">
        <v>23490</v>
      </c>
      <c r="D27750" s="1" t="str">
        <f>HYPERLINK("https://rhld.insurance.arkansas.gov/NPILookup?Npi=1275754020","1275754020")</f>
        <v>1275754020</v>
      </c>
      <c r="E27750" t="s">
        <v>7835</v>
      </c>
    </row>
    <row r="27751" spans="1:5" x14ac:dyDescent="0.25">
      <c r="A27751" t="s">
        <v>16</v>
      </c>
      <c r="B27751" t="s">
        <v>7666</v>
      </c>
      <c r="C27751" s="1" t="s">
        <v>23490</v>
      </c>
      <c r="D27751" s="1" t="str">
        <f>HYPERLINK("https://rhld.insurance.arkansas.gov/NPILookup?Npi=1275813172","1275813172")</f>
        <v>1275813172</v>
      </c>
      <c r="E27751" t="s">
        <v>7836</v>
      </c>
    </row>
    <row r="27752" spans="1:5" x14ac:dyDescent="0.25">
      <c r="A27752" t="s">
        <v>16</v>
      </c>
      <c r="B27752" t="s">
        <v>7666</v>
      </c>
      <c r="C27752" s="1" t="s">
        <v>23490</v>
      </c>
      <c r="D27752" s="1" t="str">
        <f>HYPERLINK("https://rhld.insurance.arkansas.gov/NPILookup?Npi=1275846750","1275846750")</f>
        <v>1275846750</v>
      </c>
      <c r="E27752" t="s">
        <v>7837</v>
      </c>
    </row>
    <row r="27753" spans="1:5" x14ac:dyDescent="0.25">
      <c r="A27753" t="s">
        <v>16</v>
      </c>
      <c r="B27753" t="s">
        <v>7666</v>
      </c>
      <c r="C27753" s="1" t="s">
        <v>23490</v>
      </c>
      <c r="D27753" s="1" t="str">
        <f>HYPERLINK("https://rhld.insurance.arkansas.gov/NPILookup?Npi=1275896334","1275896334")</f>
        <v>1275896334</v>
      </c>
      <c r="E27753" t="s">
        <v>16675</v>
      </c>
    </row>
    <row r="27754" spans="1:5" x14ac:dyDescent="0.25">
      <c r="A27754" t="s">
        <v>16</v>
      </c>
      <c r="B27754" t="s">
        <v>7666</v>
      </c>
      <c r="C27754" s="1" t="s">
        <v>23490</v>
      </c>
      <c r="D27754" s="1" t="str">
        <f>HYPERLINK("https://rhld.insurance.arkansas.gov/NPILookup?Npi=1285188490","1285188490")</f>
        <v>1285188490</v>
      </c>
      <c r="E27754" t="s">
        <v>12133</v>
      </c>
    </row>
    <row r="27755" spans="1:5" x14ac:dyDescent="0.25">
      <c r="A27755" t="s">
        <v>16</v>
      </c>
      <c r="B27755" t="s">
        <v>7666</v>
      </c>
      <c r="C27755" s="1" t="s">
        <v>23490</v>
      </c>
      <c r="D27755" s="1" t="str">
        <f>HYPERLINK("https://rhld.insurance.arkansas.gov/NPILookup?Npi=1285663583","1285663583")</f>
        <v>1285663583</v>
      </c>
      <c r="E27755" t="s">
        <v>7838</v>
      </c>
    </row>
    <row r="27756" spans="1:5" x14ac:dyDescent="0.25">
      <c r="A27756" t="s">
        <v>16</v>
      </c>
      <c r="B27756" t="s">
        <v>7666</v>
      </c>
      <c r="C27756" s="1" t="s">
        <v>23490</v>
      </c>
      <c r="D27756" s="1" t="str">
        <f>HYPERLINK("https://rhld.insurance.arkansas.gov/NPILookup?Npi=1285720672","1285720672")</f>
        <v>1285720672</v>
      </c>
      <c r="E27756" t="s">
        <v>22695</v>
      </c>
    </row>
    <row r="27757" spans="1:5" x14ac:dyDescent="0.25">
      <c r="A27757" t="s">
        <v>16</v>
      </c>
      <c r="B27757" t="s">
        <v>7666</v>
      </c>
      <c r="C27757" s="1" t="s">
        <v>23490</v>
      </c>
      <c r="D27757" s="1" t="str">
        <f>HYPERLINK("https://rhld.insurance.arkansas.gov/NPILookup?Npi=1285862862","1285862862")</f>
        <v>1285862862</v>
      </c>
      <c r="E27757" t="s">
        <v>7839</v>
      </c>
    </row>
    <row r="27758" spans="1:5" x14ac:dyDescent="0.25">
      <c r="A27758" t="s">
        <v>16</v>
      </c>
      <c r="B27758" t="s">
        <v>7666</v>
      </c>
      <c r="C27758" s="1" t="s">
        <v>23490</v>
      </c>
      <c r="D27758" s="1" t="str">
        <f>HYPERLINK("https://rhld.insurance.arkansas.gov/NPILookup?Npi=1285975094","1285975094")</f>
        <v>1285975094</v>
      </c>
      <c r="E27758" t="s">
        <v>16676</v>
      </c>
    </row>
    <row r="27759" spans="1:5" x14ac:dyDescent="0.25">
      <c r="A27759" t="s">
        <v>16</v>
      </c>
      <c r="B27759" t="s">
        <v>7666</v>
      </c>
      <c r="C27759" s="1" t="s">
        <v>23490</v>
      </c>
      <c r="D27759" s="1" t="str">
        <f>HYPERLINK("https://rhld.insurance.arkansas.gov/NPILookup?Npi=1295116242","1295116242")</f>
        <v>1295116242</v>
      </c>
      <c r="E27759" t="s">
        <v>16677</v>
      </c>
    </row>
    <row r="27760" spans="1:5" x14ac:dyDescent="0.25">
      <c r="A27760" t="s">
        <v>16</v>
      </c>
      <c r="B27760" t="s">
        <v>7666</v>
      </c>
      <c r="C27760" s="1" t="s">
        <v>23490</v>
      </c>
      <c r="D27760" s="1" t="str">
        <f>HYPERLINK("https://rhld.insurance.arkansas.gov/NPILookup?Npi=1295387546","1295387546")</f>
        <v>1295387546</v>
      </c>
      <c r="E27760" t="s">
        <v>17753</v>
      </c>
    </row>
    <row r="27761" spans="1:5" x14ac:dyDescent="0.25">
      <c r="A27761" t="s">
        <v>16</v>
      </c>
      <c r="B27761" t="s">
        <v>7666</v>
      </c>
      <c r="C27761" s="1" t="s">
        <v>23490</v>
      </c>
      <c r="D27761" s="1" t="str">
        <f>HYPERLINK("https://rhld.insurance.arkansas.gov/NPILookup?Npi=1295717940","1295717940")</f>
        <v>1295717940</v>
      </c>
      <c r="E27761" t="s">
        <v>7840</v>
      </c>
    </row>
    <row r="27762" spans="1:5" x14ac:dyDescent="0.25">
      <c r="A27762" t="s">
        <v>16</v>
      </c>
      <c r="B27762" t="s">
        <v>7666</v>
      </c>
      <c r="C27762" s="1" t="s">
        <v>23490</v>
      </c>
      <c r="D27762" s="1" t="str">
        <f>HYPERLINK("https://rhld.insurance.arkansas.gov/NPILookup?Npi=1295738862","1295738862")</f>
        <v>1295738862</v>
      </c>
      <c r="E27762" t="s">
        <v>7841</v>
      </c>
    </row>
    <row r="27763" spans="1:5" x14ac:dyDescent="0.25">
      <c r="A27763" t="s">
        <v>16</v>
      </c>
      <c r="B27763" t="s">
        <v>7666</v>
      </c>
      <c r="C27763" s="1" t="s">
        <v>23490</v>
      </c>
      <c r="D27763" s="1" t="str">
        <f>HYPERLINK("https://rhld.insurance.arkansas.gov/NPILookup?Npi=1295808319","1295808319")</f>
        <v>1295808319</v>
      </c>
      <c r="E27763" t="s">
        <v>22696</v>
      </c>
    </row>
    <row r="27764" spans="1:5" x14ac:dyDescent="0.25">
      <c r="A27764" t="s">
        <v>16</v>
      </c>
      <c r="B27764" t="s">
        <v>7666</v>
      </c>
      <c r="C27764" s="1" t="s">
        <v>23490</v>
      </c>
      <c r="D27764" s="1" t="str">
        <f>HYPERLINK("https://rhld.insurance.arkansas.gov/NPILookup?Npi=1295824043","1295824043")</f>
        <v>1295824043</v>
      </c>
      <c r="E27764" t="s">
        <v>7842</v>
      </c>
    </row>
    <row r="27765" spans="1:5" x14ac:dyDescent="0.25">
      <c r="A27765" t="s">
        <v>16</v>
      </c>
      <c r="B27765" t="s">
        <v>7666</v>
      </c>
      <c r="C27765" s="1" t="s">
        <v>23490</v>
      </c>
      <c r="D27765" s="1" t="str">
        <f>HYPERLINK("https://rhld.insurance.arkansas.gov/NPILookup?Npi=1295876365","1295876365")</f>
        <v>1295876365</v>
      </c>
      <c r="E27765" t="s">
        <v>7843</v>
      </c>
    </row>
    <row r="27766" spans="1:5" x14ac:dyDescent="0.25">
      <c r="A27766" t="s">
        <v>16</v>
      </c>
      <c r="B27766" t="s">
        <v>7666</v>
      </c>
      <c r="C27766" s="1" t="s">
        <v>23490</v>
      </c>
      <c r="D27766" s="1" t="str">
        <f>HYPERLINK("https://rhld.insurance.arkansas.gov/NPILookup?Npi=1295955672","1295955672")</f>
        <v>1295955672</v>
      </c>
      <c r="E27766" t="s">
        <v>6778</v>
      </c>
    </row>
    <row r="27767" spans="1:5" x14ac:dyDescent="0.25">
      <c r="A27767" t="s">
        <v>16</v>
      </c>
      <c r="B27767" t="s">
        <v>7666</v>
      </c>
      <c r="C27767" s="1" t="s">
        <v>23490</v>
      </c>
      <c r="D27767" s="1" t="str">
        <f>HYPERLINK("https://rhld.insurance.arkansas.gov/NPILookup?Npi=1295963999","1295963999")</f>
        <v>1295963999</v>
      </c>
      <c r="E27767" t="s">
        <v>7844</v>
      </c>
    </row>
    <row r="27768" spans="1:5" x14ac:dyDescent="0.25">
      <c r="A27768" t="s">
        <v>16</v>
      </c>
      <c r="B27768" t="s">
        <v>7666</v>
      </c>
      <c r="C27768" s="1" t="s">
        <v>23490</v>
      </c>
      <c r="D27768" s="1" t="str">
        <f>HYPERLINK("https://rhld.insurance.arkansas.gov/NPILookup?Npi=1295989697","1295989697")</f>
        <v>1295989697</v>
      </c>
      <c r="E27768" t="s">
        <v>7845</v>
      </c>
    </row>
    <row r="27769" spans="1:5" x14ac:dyDescent="0.25">
      <c r="A27769" t="s">
        <v>16</v>
      </c>
      <c r="B27769" t="s">
        <v>7666</v>
      </c>
      <c r="C27769" s="1" t="s">
        <v>23490</v>
      </c>
      <c r="D27769" s="1" t="str">
        <f>HYPERLINK("https://rhld.insurance.arkansas.gov/NPILookup?Npi=1306001847","1306001847")</f>
        <v>1306001847</v>
      </c>
      <c r="E27769" t="s">
        <v>20772</v>
      </c>
    </row>
    <row r="27770" spans="1:5" x14ac:dyDescent="0.25">
      <c r="A27770" t="s">
        <v>16</v>
      </c>
      <c r="B27770" t="s">
        <v>7666</v>
      </c>
      <c r="C27770" s="1" t="s">
        <v>23490</v>
      </c>
      <c r="D27770" s="1" t="str">
        <f>HYPERLINK("https://rhld.insurance.arkansas.gov/NPILookup?Npi=1306225214","1306225214")</f>
        <v>1306225214</v>
      </c>
      <c r="E27770" t="s">
        <v>18563</v>
      </c>
    </row>
    <row r="27771" spans="1:5" x14ac:dyDescent="0.25">
      <c r="A27771" t="s">
        <v>16</v>
      </c>
      <c r="B27771" t="s">
        <v>7666</v>
      </c>
      <c r="C27771" s="1" t="s">
        <v>23490</v>
      </c>
      <c r="D27771" s="1" t="str">
        <f>HYPERLINK("https://rhld.insurance.arkansas.gov/NPILookup?Npi=1306400775","1306400775")</f>
        <v>1306400775</v>
      </c>
      <c r="E27771" t="s">
        <v>18564</v>
      </c>
    </row>
    <row r="27772" spans="1:5" x14ac:dyDescent="0.25">
      <c r="A27772" t="s">
        <v>16</v>
      </c>
      <c r="B27772" t="s">
        <v>7666</v>
      </c>
      <c r="C27772" s="1" t="s">
        <v>23490</v>
      </c>
      <c r="D27772" s="1" t="str">
        <f>HYPERLINK("https://rhld.insurance.arkansas.gov/NPILookup?Npi=1306806609","1306806609")</f>
        <v>1306806609</v>
      </c>
      <c r="E27772" t="s">
        <v>7846</v>
      </c>
    </row>
    <row r="27773" spans="1:5" x14ac:dyDescent="0.25">
      <c r="A27773" t="s">
        <v>16</v>
      </c>
      <c r="B27773" t="s">
        <v>7666</v>
      </c>
      <c r="C27773" s="1" t="s">
        <v>23490</v>
      </c>
      <c r="D27773" s="1" t="str">
        <f>HYPERLINK("https://rhld.insurance.arkansas.gov/NPILookup?Npi=1306807839","1306807839")</f>
        <v>1306807839</v>
      </c>
      <c r="E27773" t="s">
        <v>7847</v>
      </c>
    </row>
    <row r="27774" spans="1:5" x14ac:dyDescent="0.25">
      <c r="A27774" t="s">
        <v>16</v>
      </c>
      <c r="B27774" t="s">
        <v>7666</v>
      </c>
      <c r="C27774" s="1" t="s">
        <v>23490</v>
      </c>
      <c r="D27774" s="1" t="str">
        <f>HYPERLINK("https://rhld.insurance.arkansas.gov/NPILookup?Npi=1306820360","1306820360")</f>
        <v>1306820360</v>
      </c>
      <c r="E27774" t="s">
        <v>7848</v>
      </c>
    </row>
    <row r="27775" spans="1:5" x14ac:dyDescent="0.25">
      <c r="A27775" t="s">
        <v>16</v>
      </c>
      <c r="B27775" t="s">
        <v>7666</v>
      </c>
      <c r="C27775" s="1" t="s">
        <v>23490</v>
      </c>
      <c r="D27775" s="1" t="str">
        <f>HYPERLINK("https://rhld.insurance.arkansas.gov/NPILookup?Npi=1306841762","1306841762")</f>
        <v>1306841762</v>
      </c>
      <c r="E27775" t="s">
        <v>7849</v>
      </c>
    </row>
    <row r="27776" spans="1:5" x14ac:dyDescent="0.25">
      <c r="A27776" t="s">
        <v>16</v>
      </c>
      <c r="B27776" t="s">
        <v>7666</v>
      </c>
      <c r="C27776" s="1" t="s">
        <v>23490</v>
      </c>
      <c r="D27776" s="1" t="str">
        <f>HYPERLINK("https://rhld.insurance.arkansas.gov/NPILookup?Npi=1306942503","1306942503")</f>
        <v>1306942503</v>
      </c>
      <c r="E27776" t="s">
        <v>7850</v>
      </c>
    </row>
    <row r="27777" spans="1:5" x14ac:dyDescent="0.25">
      <c r="A27777" t="s">
        <v>16</v>
      </c>
      <c r="B27777" t="s">
        <v>7666</v>
      </c>
      <c r="C27777" s="1" t="s">
        <v>23490</v>
      </c>
      <c r="D27777" s="1" t="str">
        <f>HYPERLINK("https://rhld.insurance.arkansas.gov/NPILookup?Npi=1306988399","1306988399")</f>
        <v>1306988399</v>
      </c>
      <c r="E27777" t="s">
        <v>7851</v>
      </c>
    </row>
    <row r="27778" spans="1:5" x14ac:dyDescent="0.25">
      <c r="A27778" t="s">
        <v>16</v>
      </c>
      <c r="B27778" t="s">
        <v>7666</v>
      </c>
      <c r="C27778" s="1" t="s">
        <v>23490</v>
      </c>
      <c r="D27778" s="1" t="str">
        <f>HYPERLINK("https://rhld.insurance.arkansas.gov/NPILookup?Npi=1316081995","1316081995")</f>
        <v>1316081995</v>
      </c>
      <c r="E27778" t="s">
        <v>16678</v>
      </c>
    </row>
    <row r="27779" spans="1:5" x14ac:dyDescent="0.25">
      <c r="A27779" t="s">
        <v>16</v>
      </c>
      <c r="B27779" t="s">
        <v>7666</v>
      </c>
      <c r="C27779" s="1" t="s">
        <v>23490</v>
      </c>
      <c r="D27779" s="1" t="str">
        <f>HYPERLINK("https://rhld.insurance.arkansas.gov/NPILookup?Npi=1316102437","1316102437")</f>
        <v>1316102437</v>
      </c>
      <c r="E27779" t="s">
        <v>7852</v>
      </c>
    </row>
    <row r="27780" spans="1:5" x14ac:dyDescent="0.25">
      <c r="A27780" t="s">
        <v>16</v>
      </c>
      <c r="B27780" t="s">
        <v>7666</v>
      </c>
      <c r="C27780" s="1" t="s">
        <v>23490</v>
      </c>
      <c r="D27780" s="1" t="str">
        <f>HYPERLINK("https://rhld.insurance.arkansas.gov/NPILookup?Npi=1316166507","1316166507")</f>
        <v>1316166507</v>
      </c>
      <c r="E27780" t="s">
        <v>7853</v>
      </c>
    </row>
    <row r="27781" spans="1:5" x14ac:dyDescent="0.25">
      <c r="A27781" t="s">
        <v>16</v>
      </c>
      <c r="B27781" t="s">
        <v>7666</v>
      </c>
      <c r="C27781" s="1" t="s">
        <v>23490</v>
      </c>
      <c r="D27781" s="1" t="str">
        <f>HYPERLINK("https://rhld.insurance.arkansas.gov/NPILookup?Npi=1316166697","1316166697")</f>
        <v>1316166697</v>
      </c>
      <c r="E27781" t="s">
        <v>7854</v>
      </c>
    </row>
    <row r="27782" spans="1:5" x14ac:dyDescent="0.25">
      <c r="A27782" t="s">
        <v>16</v>
      </c>
      <c r="B27782" t="s">
        <v>7666</v>
      </c>
      <c r="C27782" s="1" t="s">
        <v>23490</v>
      </c>
      <c r="D27782" s="1" t="str">
        <f>HYPERLINK("https://rhld.insurance.arkansas.gov/NPILookup?Npi=1316177454","1316177454")</f>
        <v>1316177454</v>
      </c>
      <c r="E27782" t="s">
        <v>12134</v>
      </c>
    </row>
    <row r="27783" spans="1:5" x14ac:dyDescent="0.25">
      <c r="A27783" t="s">
        <v>16</v>
      </c>
      <c r="B27783" t="s">
        <v>7666</v>
      </c>
      <c r="C27783" s="1" t="s">
        <v>23490</v>
      </c>
      <c r="D27783" s="1" t="str">
        <f>HYPERLINK("https://rhld.insurance.arkansas.gov/NPILookup?Npi=1316178155","1316178155")</f>
        <v>1316178155</v>
      </c>
      <c r="E27783" t="s">
        <v>7855</v>
      </c>
    </row>
    <row r="27784" spans="1:5" x14ac:dyDescent="0.25">
      <c r="A27784" t="s">
        <v>16</v>
      </c>
      <c r="B27784" t="s">
        <v>7666</v>
      </c>
      <c r="C27784" s="1" t="s">
        <v>23490</v>
      </c>
      <c r="D27784" s="1" t="str">
        <f>HYPERLINK("https://rhld.insurance.arkansas.gov/NPILookup?Npi=1316406945","1316406945")</f>
        <v>1316406945</v>
      </c>
      <c r="E27784" t="s">
        <v>22697</v>
      </c>
    </row>
    <row r="27785" spans="1:5" x14ac:dyDescent="0.25">
      <c r="A27785" t="s">
        <v>16</v>
      </c>
      <c r="B27785" t="s">
        <v>7666</v>
      </c>
      <c r="C27785" s="1" t="s">
        <v>8427</v>
      </c>
      <c r="D27785" s="1" t="str">
        <f>HYPERLINK("https://rhld.insurance.arkansas.gov/NPILookup?Npi=1316670748","1316670748")</f>
        <v>1316670748</v>
      </c>
      <c r="E27785" t="s">
        <v>23327</v>
      </c>
    </row>
    <row r="27786" spans="1:5" x14ac:dyDescent="0.25">
      <c r="A27786" t="s">
        <v>16</v>
      </c>
      <c r="B27786" t="s">
        <v>7666</v>
      </c>
      <c r="C27786" s="1" t="s">
        <v>23490</v>
      </c>
      <c r="D27786" s="1" t="str">
        <f>HYPERLINK("https://rhld.insurance.arkansas.gov/NPILookup?Npi=1316908213","1316908213")</f>
        <v>1316908213</v>
      </c>
      <c r="E27786" t="s">
        <v>7856</v>
      </c>
    </row>
    <row r="27787" spans="1:5" x14ac:dyDescent="0.25">
      <c r="A27787" t="s">
        <v>16</v>
      </c>
      <c r="B27787" t="s">
        <v>7666</v>
      </c>
      <c r="C27787" s="1" t="s">
        <v>23490</v>
      </c>
      <c r="D27787" s="1" t="str">
        <f>HYPERLINK("https://rhld.insurance.arkansas.gov/NPILookup?Npi=1316926454","1316926454")</f>
        <v>1316926454</v>
      </c>
      <c r="E27787" t="s">
        <v>7857</v>
      </c>
    </row>
    <row r="27788" spans="1:5" x14ac:dyDescent="0.25">
      <c r="A27788" t="s">
        <v>16</v>
      </c>
      <c r="B27788" t="s">
        <v>7666</v>
      </c>
      <c r="C27788" s="1" t="s">
        <v>23490</v>
      </c>
      <c r="D27788" s="1" t="str">
        <f>HYPERLINK("https://rhld.insurance.arkansas.gov/NPILookup?Npi=1316937998","1316937998")</f>
        <v>1316937998</v>
      </c>
      <c r="E27788" t="s">
        <v>2922</v>
      </c>
    </row>
    <row r="27789" spans="1:5" x14ac:dyDescent="0.25">
      <c r="A27789" t="s">
        <v>16</v>
      </c>
      <c r="B27789" t="s">
        <v>7666</v>
      </c>
      <c r="C27789" s="1" t="s">
        <v>23490</v>
      </c>
      <c r="D27789" s="1" t="str">
        <f>HYPERLINK("https://rhld.insurance.arkansas.gov/NPILookup?Npi=1316939051","1316939051")</f>
        <v>1316939051</v>
      </c>
      <c r="E27789" t="s">
        <v>16679</v>
      </c>
    </row>
    <row r="27790" spans="1:5" x14ac:dyDescent="0.25">
      <c r="A27790" t="s">
        <v>16</v>
      </c>
      <c r="B27790" t="s">
        <v>7666</v>
      </c>
      <c r="C27790" s="1" t="s">
        <v>23490</v>
      </c>
      <c r="D27790" s="1" t="str">
        <f>HYPERLINK("https://rhld.insurance.arkansas.gov/NPILookup?Npi=1316959596","1316959596")</f>
        <v>1316959596</v>
      </c>
      <c r="E27790" t="s">
        <v>7858</v>
      </c>
    </row>
    <row r="27791" spans="1:5" x14ac:dyDescent="0.25">
      <c r="A27791" t="s">
        <v>16</v>
      </c>
      <c r="B27791" t="s">
        <v>7666</v>
      </c>
      <c r="C27791" s="1" t="s">
        <v>23490</v>
      </c>
      <c r="D27791" s="1" t="str">
        <f>HYPERLINK("https://rhld.insurance.arkansas.gov/NPILookup?Npi=1326041591","1326041591")</f>
        <v>1326041591</v>
      </c>
      <c r="E27791" t="s">
        <v>16680</v>
      </c>
    </row>
    <row r="27792" spans="1:5" x14ac:dyDescent="0.25">
      <c r="A27792" t="s">
        <v>16</v>
      </c>
      <c r="B27792" t="s">
        <v>7666</v>
      </c>
      <c r="C27792" s="1" t="s">
        <v>23490</v>
      </c>
      <c r="D27792" s="1" t="str">
        <f>HYPERLINK("https://rhld.insurance.arkansas.gov/NPILookup?Npi=1326064247","1326064247")</f>
        <v>1326064247</v>
      </c>
      <c r="E27792" t="s">
        <v>7859</v>
      </c>
    </row>
    <row r="27793" spans="1:5" x14ac:dyDescent="0.25">
      <c r="A27793" t="s">
        <v>16</v>
      </c>
      <c r="B27793" t="s">
        <v>7666</v>
      </c>
      <c r="C27793" s="1" t="s">
        <v>23490</v>
      </c>
      <c r="D27793" s="1" t="str">
        <f>HYPERLINK("https://rhld.insurance.arkansas.gov/NPILookup?Npi=1326067737","1326067737")</f>
        <v>1326067737</v>
      </c>
      <c r="E27793" t="s">
        <v>7860</v>
      </c>
    </row>
    <row r="27794" spans="1:5" x14ac:dyDescent="0.25">
      <c r="A27794" t="s">
        <v>16</v>
      </c>
      <c r="B27794" t="s">
        <v>7666</v>
      </c>
      <c r="C27794" s="1" t="s">
        <v>23490</v>
      </c>
      <c r="D27794" s="1" t="str">
        <f>HYPERLINK("https://rhld.insurance.arkansas.gov/NPILookup?Npi=1326124991","1326124991")</f>
        <v>1326124991</v>
      </c>
      <c r="E27794" t="s">
        <v>7861</v>
      </c>
    </row>
    <row r="27795" spans="1:5" x14ac:dyDescent="0.25">
      <c r="A27795" t="s">
        <v>16</v>
      </c>
      <c r="B27795" t="s">
        <v>7666</v>
      </c>
      <c r="C27795" s="1" t="s">
        <v>23490</v>
      </c>
      <c r="D27795" s="1" t="str">
        <f>HYPERLINK("https://rhld.insurance.arkansas.gov/NPILookup?Npi=1326150368","1326150368")</f>
        <v>1326150368</v>
      </c>
      <c r="E27795" t="s">
        <v>7862</v>
      </c>
    </row>
    <row r="27796" spans="1:5" x14ac:dyDescent="0.25">
      <c r="A27796" t="s">
        <v>16</v>
      </c>
      <c r="B27796" t="s">
        <v>7666</v>
      </c>
      <c r="C27796" s="1" t="s">
        <v>23490</v>
      </c>
      <c r="D27796" s="1" t="str">
        <f>HYPERLINK("https://rhld.insurance.arkansas.gov/NPILookup?Npi=1326181652","1326181652")</f>
        <v>1326181652</v>
      </c>
      <c r="E27796" t="s">
        <v>16681</v>
      </c>
    </row>
    <row r="27797" spans="1:5" x14ac:dyDescent="0.25">
      <c r="A27797" t="s">
        <v>16</v>
      </c>
      <c r="B27797" t="s">
        <v>7666</v>
      </c>
      <c r="C27797" s="1" t="s">
        <v>23490</v>
      </c>
      <c r="D27797" s="1" t="str">
        <f>HYPERLINK("https://rhld.insurance.arkansas.gov/NPILookup?Npi=1326256918","1326256918")</f>
        <v>1326256918</v>
      </c>
      <c r="E27797" t="s">
        <v>7863</v>
      </c>
    </row>
    <row r="27798" spans="1:5" x14ac:dyDescent="0.25">
      <c r="A27798" t="s">
        <v>16</v>
      </c>
      <c r="B27798" t="s">
        <v>7666</v>
      </c>
      <c r="C27798" s="1" t="s">
        <v>23490</v>
      </c>
      <c r="D27798" s="1" t="str">
        <f>HYPERLINK("https://rhld.insurance.arkansas.gov/NPILookup?Npi=1326281874","1326281874")</f>
        <v>1326281874</v>
      </c>
      <c r="E27798" t="s">
        <v>7864</v>
      </c>
    </row>
    <row r="27799" spans="1:5" x14ac:dyDescent="0.25">
      <c r="A27799" t="s">
        <v>16</v>
      </c>
      <c r="B27799" t="s">
        <v>7666</v>
      </c>
      <c r="C27799" s="1" t="s">
        <v>23490</v>
      </c>
      <c r="D27799" s="1" t="str">
        <f>HYPERLINK("https://rhld.insurance.arkansas.gov/NPILookup?Npi=1326363086","1326363086")</f>
        <v>1326363086</v>
      </c>
      <c r="E27799" t="s">
        <v>14534</v>
      </c>
    </row>
    <row r="27800" spans="1:5" x14ac:dyDescent="0.25">
      <c r="A27800" t="s">
        <v>16</v>
      </c>
      <c r="B27800" t="s">
        <v>7666</v>
      </c>
      <c r="C27800" s="1" t="s">
        <v>23490</v>
      </c>
      <c r="D27800" s="1" t="str">
        <f>HYPERLINK("https://rhld.insurance.arkansas.gov/NPILookup?Npi=1326364456","1326364456")</f>
        <v>1326364456</v>
      </c>
      <c r="E27800" t="s">
        <v>2996</v>
      </c>
    </row>
    <row r="27801" spans="1:5" x14ac:dyDescent="0.25">
      <c r="A27801" t="s">
        <v>16</v>
      </c>
      <c r="B27801" t="s">
        <v>7666</v>
      </c>
      <c r="C27801" s="1" t="s">
        <v>23490</v>
      </c>
      <c r="D27801" s="1" t="str">
        <f>HYPERLINK("https://rhld.insurance.arkansas.gov/NPILookup?Npi=1336112465","1336112465")</f>
        <v>1336112465</v>
      </c>
      <c r="E27801" t="s">
        <v>7865</v>
      </c>
    </row>
    <row r="27802" spans="1:5" x14ac:dyDescent="0.25">
      <c r="A27802" t="s">
        <v>16</v>
      </c>
      <c r="B27802" t="s">
        <v>7666</v>
      </c>
      <c r="C27802" s="1" t="s">
        <v>23490</v>
      </c>
      <c r="D27802" s="1" t="str">
        <f>HYPERLINK("https://rhld.insurance.arkansas.gov/NPILookup?Npi=1336132497","1336132497")</f>
        <v>1336132497</v>
      </c>
      <c r="E27802" t="s">
        <v>7866</v>
      </c>
    </row>
    <row r="27803" spans="1:5" x14ac:dyDescent="0.25">
      <c r="A27803" t="s">
        <v>16</v>
      </c>
      <c r="B27803" t="s">
        <v>7666</v>
      </c>
      <c r="C27803" s="1" t="s">
        <v>23490</v>
      </c>
      <c r="D27803" s="1" t="str">
        <f>HYPERLINK("https://rhld.insurance.arkansas.gov/NPILookup?Npi=1336139518","1336139518")</f>
        <v>1336139518</v>
      </c>
      <c r="E27803" t="s">
        <v>7867</v>
      </c>
    </row>
    <row r="27804" spans="1:5" x14ac:dyDescent="0.25">
      <c r="A27804" t="s">
        <v>16</v>
      </c>
      <c r="B27804" t="s">
        <v>7666</v>
      </c>
      <c r="C27804" s="1" t="s">
        <v>23490</v>
      </c>
      <c r="D27804" s="1" t="str">
        <f>HYPERLINK("https://rhld.insurance.arkansas.gov/NPILookup?Npi=1336247816","1336247816")</f>
        <v>1336247816</v>
      </c>
      <c r="E27804" t="s">
        <v>16682</v>
      </c>
    </row>
    <row r="27805" spans="1:5" x14ac:dyDescent="0.25">
      <c r="A27805" t="s">
        <v>16</v>
      </c>
      <c r="B27805" t="s">
        <v>7666</v>
      </c>
      <c r="C27805" s="1" t="s">
        <v>23490</v>
      </c>
      <c r="D27805" s="1" t="str">
        <f>HYPERLINK("https://rhld.insurance.arkansas.gov/NPILookup?Npi=1336377845","1336377845")</f>
        <v>1336377845</v>
      </c>
      <c r="E27805" t="s">
        <v>7868</v>
      </c>
    </row>
    <row r="27806" spans="1:5" x14ac:dyDescent="0.25">
      <c r="A27806" t="s">
        <v>16</v>
      </c>
      <c r="B27806" t="s">
        <v>7666</v>
      </c>
      <c r="C27806" s="1" t="s">
        <v>23490</v>
      </c>
      <c r="D27806" s="1" t="str">
        <f>HYPERLINK("https://rhld.insurance.arkansas.gov/NPILookup?Npi=1336436344","1336436344")</f>
        <v>1336436344</v>
      </c>
      <c r="E27806" t="s">
        <v>7869</v>
      </c>
    </row>
    <row r="27807" spans="1:5" x14ac:dyDescent="0.25">
      <c r="A27807" t="s">
        <v>16</v>
      </c>
      <c r="B27807" t="s">
        <v>7666</v>
      </c>
      <c r="C27807" s="1" t="s">
        <v>23490</v>
      </c>
      <c r="D27807" s="1" t="str">
        <f>HYPERLINK("https://rhld.insurance.arkansas.gov/NPILookup?Npi=1336557222","1336557222")</f>
        <v>1336557222</v>
      </c>
      <c r="E27807" t="s">
        <v>16683</v>
      </c>
    </row>
    <row r="27808" spans="1:5" x14ac:dyDescent="0.25">
      <c r="A27808" t="s">
        <v>16</v>
      </c>
      <c r="B27808" t="s">
        <v>7666</v>
      </c>
      <c r="C27808" s="1" t="s">
        <v>23490</v>
      </c>
      <c r="D27808" s="1" t="str">
        <f>HYPERLINK("https://rhld.insurance.arkansas.gov/NPILookup?Npi=1336692623","1336692623")</f>
        <v>1336692623</v>
      </c>
      <c r="E27808" t="s">
        <v>13286</v>
      </c>
    </row>
    <row r="27809" spans="1:5" x14ac:dyDescent="0.25">
      <c r="A27809" t="s">
        <v>16</v>
      </c>
      <c r="B27809" t="s">
        <v>7666</v>
      </c>
      <c r="C27809" s="1" t="s">
        <v>23490</v>
      </c>
      <c r="D27809" s="1" t="str">
        <f>HYPERLINK("https://rhld.insurance.arkansas.gov/NPILookup?Npi=1336750926","1336750926")</f>
        <v>1336750926</v>
      </c>
      <c r="E27809" t="s">
        <v>18565</v>
      </c>
    </row>
    <row r="27810" spans="1:5" x14ac:dyDescent="0.25">
      <c r="A27810" t="s">
        <v>16</v>
      </c>
      <c r="B27810" t="s">
        <v>7666</v>
      </c>
      <c r="C27810" s="1" t="s">
        <v>23490</v>
      </c>
      <c r="D27810" s="1" t="str">
        <f>HYPERLINK("https://rhld.insurance.arkansas.gov/NPILookup?Npi=1346206406","1346206406")</f>
        <v>1346206406</v>
      </c>
      <c r="E27810" t="s">
        <v>7870</v>
      </c>
    </row>
    <row r="27811" spans="1:5" x14ac:dyDescent="0.25">
      <c r="A27811" t="s">
        <v>16</v>
      </c>
      <c r="B27811" t="s">
        <v>7666</v>
      </c>
      <c r="C27811" s="1" t="s">
        <v>23490</v>
      </c>
      <c r="D27811" s="1" t="str">
        <f>HYPERLINK("https://rhld.insurance.arkansas.gov/NPILookup?Npi=1346220001","1346220001")</f>
        <v>1346220001</v>
      </c>
      <c r="E27811" t="s">
        <v>7871</v>
      </c>
    </row>
    <row r="27812" spans="1:5" x14ac:dyDescent="0.25">
      <c r="A27812" t="s">
        <v>16</v>
      </c>
      <c r="B27812" t="s">
        <v>7666</v>
      </c>
      <c r="C27812" s="1" t="s">
        <v>23490</v>
      </c>
      <c r="D27812" s="1" t="str">
        <f>HYPERLINK("https://rhld.insurance.arkansas.gov/NPILookup?Npi=1346241015","1346241015")</f>
        <v>1346241015</v>
      </c>
      <c r="E27812" t="s">
        <v>7872</v>
      </c>
    </row>
    <row r="27813" spans="1:5" x14ac:dyDescent="0.25">
      <c r="A27813" t="s">
        <v>16</v>
      </c>
      <c r="B27813" t="s">
        <v>7666</v>
      </c>
      <c r="C27813" s="1" t="s">
        <v>23490</v>
      </c>
      <c r="D27813" s="1" t="str">
        <f>HYPERLINK("https://rhld.insurance.arkansas.gov/NPILookup?Npi=1346248226","1346248226")</f>
        <v>1346248226</v>
      </c>
      <c r="E27813" t="s">
        <v>7873</v>
      </c>
    </row>
    <row r="27814" spans="1:5" x14ac:dyDescent="0.25">
      <c r="A27814" t="s">
        <v>16</v>
      </c>
      <c r="B27814" t="s">
        <v>7666</v>
      </c>
      <c r="C27814" s="1" t="s">
        <v>23490</v>
      </c>
      <c r="D27814" s="1" t="str">
        <f>HYPERLINK("https://rhld.insurance.arkansas.gov/NPILookup?Npi=1346276235","1346276235")</f>
        <v>1346276235</v>
      </c>
      <c r="E27814" t="s">
        <v>16684</v>
      </c>
    </row>
    <row r="27815" spans="1:5" x14ac:dyDescent="0.25">
      <c r="A27815" t="s">
        <v>16</v>
      </c>
      <c r="B27815" t="s">
        <v>7666</v>
      </c>
      <c r="C27815" s="1" t="s">
        <v>23490</v>
      </c>
      <c r="D27815" s="1" t="str">
        <f>HYPERLINK("https://rhld.insurance.arkansas.gov/NPILookup?Npi=1346285517","1346285517")</f>
        <v>1346285517</v>
      </c>
      <c r="E27815" t="s">
        <v>7874</v>
      </c>
    </row>
    <row r="27816" spans="1:5" x14ac:dyDescent="0.25">
      <c r="A27816" t="s">
        <v>16</v>
      </c>
      <c r="B27816" t="s">
        <v>7666</v>
      </c>
      <c r="C27816" s="1" t="s">
        <v>23490</v>
      </c>
      <c r="D27816" s="1" t="str">
        <f>HYPERLINK("https://rhld.insurance.arkansas.gov/NPILookup?Npi=1346295565","1346295565")</f>
        <v>1346295565</v>
      </c>
      <c r="E27816" t="s">
        <v>7875</v>
      </c>
    </row>
    <row r="27817" spans="1:5" x14ac:dyDescent="0.25">
      <c r="A27817" t="s">
        <v>16</v>
      </c>
      <c r="B27817" t="s">
        <v>7666</v>
      </c>
      <c r="C27817" s="1" t="s">
        <v>23490</v>
      </c>
      <c r="D27817" s="1" t="str">
        <f>HYPERLINK("https://rhld.insurance.arkansas.gov/NPILookup?Npi=1346301736","1346301736")</f>
        <v>1346301736</v>
      </c>
      <c r="E27817" t="s">
        <v>7876</v>
      </c>
    </row>
    <row r="27818" spans="1:5" x14ac:dyDescent="0.25">
      <c r="A27818" t="s">
        <v>16</v>
      </c>
      <c r="B27818" t="s">
        <v>7666</v>
      </c>
      <c r="C27818" s="1" t="s">
        <v>23490</v>
      </c>
      <c r="D27818" s="1" t="str">
        <f>HYPERLINK("https://rhld.insurance.arkansas.gov/NPILookup?Npi=1346358769","1346358769")</f>
        <v>1346358769</v>
      </c>
      <c r="E27818" t="s">
        <v>16685</v>
      </c>
    </row>
    <row r="27819" spans="1:5" x14ac:dyDescent="0.25">
      <c r="A27819" t="s">
        <v>16</v>
      </c>
      <c r="B27819" t="s">
        <v>7666</v>
      </c>
      <c r="C27819" s="1" t="s">
        <v>23490</v>
      </c>
      <c r="D27819" s="1" t="str">
        <f>HYPERLINK("https://rhld.insurance.arkansas.gov/NPILookup?Npi=1346496445","1346496445")</f>
        <v>1346496445</v>
      </c>
      <c r="E27819" t="s">
        <v>7877</v>
      </c>
    </row>
    <row r="27820" spans="1:5" x14ac:dyDescent="0.25">
      <c r="A27820" t="s">
        <v>16</v>
      </c>
      <c r="B27820" t="s">
        <v>7666</v>
      </c>
      <c r="C27820" s="1" t="s">
        <v>23490</v>
      </c>
      <c r="D27820" s="1" t="str">
        <f>HYPERLINK("https://rhld.insurance.arkansas.gov/NPILookup?Npi=1346736337","1346736337")</f>
        <v>1346736337</v>
      </c>
      <c r="E27820" t="s">
        <v>21309</v>
      </c>
    </row>
    <row r="27821" spans="1:5" x14ac:dyDescent="0.25">
      <c r="A27821" t="s">
        <v>16</v>
      </c>
      <c r="B27821" t="s">
        <v>7666</v>
      </c>
      <c r="C27821" s="1" t="s">
        <v>23490</v>
      </c>
      <c r="D27821" s="1" t="str">
        <f>HYPERLINK("https://rhld.insurance.arkansas.gov/NPILookup?Npi=1346868197","1346868197")</f>
        <v>1346868197</v>
      </c>
      <c r="E27821" t="s">
        <v>22698</v>
      </c>
    </row>
    <row r="27822" spans="1:5" x14ac:dyDescent="0.25">
      <c r="A27822" t="s">
        <v>16</v>
      </c>
      <c r="B27822" t="s">
        <v>7666</v>
      </c>
      <c r="C27822" s="1" t="s">
        <v>23490</v>
      </c>
      <c r="D27822" s="1" t="str">
        <f>HYPERLINK("https://rhld.insurance.arkansas.gov/NPILookup?Npi=1356074090","1356074090")</f>
        <v>1356074090</v>
      </c>
      <c r="E27822" t="s">
        <v>22699</v>
      </c>
    </row>
    <row r="27823" spans="1:5" x14ac:dyDescent="0.25">
      <c r="A27823" t="s">
        <v>16</v>
      </c>
      <c r="B27823" t="s">
        <v>7666</v>
      </c>
      <c r="C27823" s="1" t="s">
        <v>23490</v>
      </c>
      <c r="D27823" s="1" t="str">
        <f>HYPERLINK("https://rhld.insurance.arkansas.gov/NPILookup?Npi=1356310353","1356310353")</f>
        <v>1356310353</v>
      </c>
      <c r="E27823" t="s">
        <v>7878</v>
      </c>
    </row>
    <row r="27824" spans="1:5" x14ac:dyDescent="0.25">
      <c r="A27824" t="s">
        <v>16</v>
      </c>
      <c r="B27824" t="s">
        <v>7666</v>
      </c>
      <c r="C27824" s="1" t="s">
        <v>23490</v>
      </c>
      <c r="D27824" s="1" t="str">
        <f>HYPERLINK("https://rhld.insurance.arkansas.gov/NPILookup?Npi=1356320568","1356320568")</f>
        <v>1356320568</v>
      </c>
      <c r="E27824" t="s">
        <v>7879</v>
      </c>
    </row>
    <row r="27825" spans="1:5" x14ac:dyDescent="0.25">
      <c r="A27825" t="s">
        <v>16</v>
      </c>
      <c r="B27825" t="s">
        <v>7666</v>
      </c>
      <c r="C27825" s="1" t="s">
        <v>23490</v>
      </c>
      <c r="D27825" s="1" t="str">
        <f>HYPERLINK("https://rhld.insurance.arkansas.gov/NPILookup?Npi=1356321616","1356321616")</f>
        <v>1356321616</v>
      </c>
      <c r="E27825" t="s">
        <v>7880</v>
      </c>
    </row>
    <row r="27826" spans="1:5" x14ac:dyDescent="0.25">
      <c r="A27826" t="s">
        <v>16</v>
      </c>
      <c r="B27826" t="s">
        <v>7666</v>
      </c>
      <c r="C27826" s="1" t="s">
        <v>23490</v>
      </c>
      <c r="D27826" s="1" t="str">
        <f>HYPERLINK("https://rhld.insurance.arkansas.gov/NPILookup?Npi=1356341754","1356341754")</f>
        <v>1356341754</v>
      </c>
      <c r="E27826" t="s">
        <v>7881</v>
      </c>
    </row>
    <row r="27827" spans="1:5" x14ac:dyDescent="0.25">
      <c r="A27827" t="s">
        <v>16</v>
      </c>
      <c r="B27827" t="s">
        <v>7666</v>
      </c>
      <c r="C27827" s="1" t="s">
        <v>23490</v>
      </c>
      <c r="D27827" s="1" t="str">
        <f>HYPERLINK("https://rhld.insurance.arkansas.gov/NPILookup?Npi=1356358493","1356358493")</f>
        <v>1356358493</v>
      </c>
      <c r="E27827" t="s">
        <v>7882</v>
      </c>
    </row>
    <row r="27828" spans="1:5" x14ac:dyDescent="0.25">
      <c r="A27828" t="s">
        <v>16</v>
      </c>
      <c r="B27828" t="s">
        <v>7666</v>
      </c>
      <c r="C27828" s="1" t="s">
        <v>23490</v>
      </c>
      <c r="D27828" s="1" t="str">
        <f>HYPERLINK("https://rhld.insurance.arkansas.gov/NPILookup?Npi=1356457709","1356457709")</f>
        <v>1356457709</v>
      </c>
      <c r="E27828" t="s">
        <v>7883</v>
      </c>
    </row>
    <row r="27829" spans="1:5" x14ac:dyDescent="0.25">
      <c r="A27829" t="s">
        <v>16</v>
      </c>
      <c r="B27829" t="s">
        <v>7666</v>
      </c>
      <c r="C27829" s="1" t="s">
        <v>23490</v>
      </c>
      <c r="D27829" s="1" t="str">
        <f>HYPERLINK("https://rhld.insurance.arkansas.gov/NPILookup?Npi=1356532709","1356532709")</f>
        <v>1356532709</v>
      </c>
      <c r="E27829" t="s">
        <v>7884</v>
      </c>
    </row>
    <row r="27830" spans="1:5" x14ac:dyDescent="0.25">
      <c r="A27830" t="s">
        <v>16</v>
      </c>
      <c r="B27830" t="s">
        <v>7666</v>
      </c>
      <c r="C27830" s="1" t="s">
        <v>23490</v>
      </c>
      <c r="D27830" s="1" t="str">
        <f>HYPERLINK("https://rhld.insurance.arkansas.gov/NPILookup?Npi=1356752091","1356752091")</f>
        <v>1356752091</v>
      </c>
      <c r="E27830" t="s">
        <v>14535</v>
      </c>
    </row>
    <row r="27831" spans="1:5" x14ac:dyDescent="0.25">
      <c r="A27831" t="s">
        <v>16</v>
      </c>
      <c r="B27831" t="s">
        <v>7666</v>
      </c>
      <c r="C27831" s="1" t="s">
        <v>23490</v>
      </c>
      <c r="D27831" s="1" t="str">
        <f>HYPERLINK("https://rhld.insurance.arkansas.gov/NPILookup?Npi=1366022436","1366022436")</f>
        <v>1366022436</v>
      </c>
      <c r="E27831" t="s">
        <v>22700</v>
      </c>
    </row>
    <row r="27832" spans="1:5" x14ac:dyDescent="0.25">
      <c r="A27832" t="s">
        <v>16</v>
      </c>
      <c r="B27832" t="s">
        <v>7666</v>
      </c>
      <c r="C27832" s="1" t="s">
        <v>8427</v>
      </c>
      <c r="D27832" s="1" t="str">
        <f>HYPERLINK("https://rhld.insurance.arkansas.gov/NPILookup?Npi=1366127318","1366127318")</f>
        <v>1366127318</v>
      </c>
      <c r="E27832" t="s">
        <v>23328</v>
      </c>
    </row>
    <row r="27833" spans="1:5" x14ac:dyDescent="0.25">
      <c r="A27833" t="s">
        <v>16</v>
      </c>
      <c r="B27833" t="s">
        <v>7666</v>
      </c>
      <c r="C27833" s="1" t="s">
        <v>23490</v>
      </c>
      <c r="D27833" s="1" t="str">
        <f>HYPERLINK("https://rhld.insurance.arkansas.gov/NPILookup?Npi=1366163958","1366163958")</f>
        <v>1366163958</v>
      </c>
      <c r="E27833" t="s">
        <v>22701</v>
      </c>
    </row>
    <row r="27834" spans="1:5" x14ac:dyDescent="0.25">
      <c r="A27834" t="s">
        <v>16</v>
      </c>
      <c r="B27834" t="s">
        <v>7666</v>
      </c>
      <c r="C27834" s="1" t="s">
        <v>23490</v>
      </c>
      <c r="D27834" s="1" t="str">
        <f>HYPERLINK("https://rhld.insurance.arkansas.gov/NPILookup?Npi=1366406654","1366406654")</f>
        <v>1366406654</v>
      </c>
      <c r="E27834" t="s">
        <v>7885</v>
      </c>
    </row>
    <row r="27835" spans="1:5" x14ac:dyDescent="0.25">
      <c r="A27835" t="s">
        <v>16</v>
      </c>
      <c r="B27835" t="s">
        <v>7666</v>
      </c>
      <c r="C27835" s="1" t="s">
        <v>23490</v>
      </c>
      <c r="D27835" s="1" t="str">
        <f>HYPERLINK("https://rhld.insurance.arkansas.gov/NPILookup?Npi=1366424996","1366424996")</f>
        <v>1366424996</v>
      </c>
      <c r="E27835" t="s">
        <v>7886</v>
      </c>
    </row>
    <row r="27836" spans="1:5" x14ac:dyDescent="0.25">
      <c r="A27836" t="s">
        <v>16</v>
      </c>
      <c r="B27836" t="s">
        <v>7666</v>
      </c>
      <c r="C27836" s="1" t="s">
        <v>23490</v>
      </c>
      <c r="D27836" s="1" t="str">
        <f>HYPERLINK("https://rhld.insurance.arkansas.gov/NPILookup?Npi=1366445520","1366445520")</f>
        <v>1366445520</v>
      </c>
      <c r="E27836" t="s">
        <v>16686</v>
      </c>
    </row>
    <row r="27837" spans="1:5" x14ac:dyDescent="0.25">
      <c r="A27837" t="s">
        <v>16</v>
      </c>
      <c r="B27837" t="s">
        <v>7666</v>
      </c>
      <c r="C27837" s="1" t="s">
        <v>23490</v>
      </c>
      <c r="D27837" s="1" t="str">
        <f>HYPERLINK("https://rhld.insurance.arkansas.gov/NPILookup?Npi=1366456972","1366456972")</f>
        <v>1366456972</v>
      </c>
      <c r="E27837" t="s">
        <v>7887</v>
      </c>
    </row>
    <row r="27838" spans="1:5" x14ac:dyDescent="0.25">
      <c r="A27838" t="s">
        <v>16</v>
      </c>
      <c r="B27838" t="s">
        <v>7666</v>
      </c>
      <c r="C27838" s="1" t="s">
        <v>23490</v>
      </c>
      <c r="D27838" s="1" t="str">
        <f>HYPERLINK("https://rhld.insurance.arkansas.gov/NPILookup?Npi=1366474538","1366474538")</f>
        <v>1366474538</v>
      </c>
      <c r="E27838" t="s">
        <v>7888</v>
      </c>
    </row>
    <row r="27839" spans="1:5" x14ac:dyDescent="0.25">
      <c r="A27839" t="s">
        <v>16</v>
      </c>
      <c r="B27839" t="s">
        <v>7666</v>
      </c>
      <c r="C27839" s="1" t="s">
        <v>23490</v>
      </c>
      <c r="D27839" s="1" t="str">
        <f>HYPERLINK("https://rhld.insurance.arkansas.gov/NPILookup?Npi=1366484479","1366484479")</f>
        <v>1366484479</v>
      </c>
      <c r="E27839" t="s">
        <v>7889</v>
      </c>
    </row>
    <row r="27840" spans="1:5" x14ac:dyDescent="0.25">
      <c r="A27840" t="s">
        <v>16</v>
      </c>
      <c r="B27840" t="s">
        <v>7666</v>
      </c>
      <c r="C27840" s="1" t="s">
        <v>23490</v>
      </c>
      <c r="D27840" s="1" t="str">
        <f>HYPERLINK("https://rhld.insurance.arkansas.gov/NPILookup?Npi=1366584047","1366584047")</f>
        <v>1366584047</v>
      </c>
      <c r="E27840" t="s">
        <v>9297</v>
      </c>
    </row>
    <row r="27841" spans="1:5" x14ac:dyDescent="0.25">
      <c r="A27841" t="s">
        <v>16</v>
      </c>
      <c r="B27841" t="s">
        <v>7666</v>
      </c>
      <c r="C27841" s="1" t="s">
        <v>23490</v>
      </c>
      <c r="D27841" s="1" t="str">
        <f>HYPERLINK("https://rhld.insurance.arkansas.gov/NPILookup?Npi=1366584344","1366584344")</f>
        <v>1366584344</v>
      </c>
      <c r="E27841" t="s">
        <v>16687</v>
      </c>
    </row>
    <row r="27842" spans="1:5" x14ac:dyDescent="0.25">
      <c r="A27842" t="s">
        <v>16</v>
      </c>
      <c r="B27842" t="s">
        <v>7666</v>
      </c>
      <c r="C27842" s="1" t="s">
        <v>23490</v>
      </c>
      <c r="D27842" s="1" t="str">
        <f>HYPERLINK("https://rhld.insurance.arkansas.gov/NPILookup?Npi=1366627697","1366627697")</f>
        <v>1366627697</v>
      </c>
      <c r="E27842" t="s">
        <v>7890</v>
      </c>
    </row>
    <row r="27843" spans="1:5" x14ac:dyDescent="0.25">
      <c r="A27843" t="s">
        <v>16</v>
      </c>
      <c r="B27843" t="s">
        <v>7666</v>
      </c>
      <c r="C27843" s="1" t="s">
        <v>23490</v>
      </c>
      <c r="D27843" s="1" t="str">
        <f>HYPERLINK("https://rhld.insurance.arkansas.gov/NPILookup?Npi=1376062729","1376062729")</f>
        <v>1376062729</v>
      </c>
      <c r="E27843" t="s">
        <v>22702</v>
      </c>
    </row>
    <row r="27844" spans="1:5" x14ac:dyDescent="0.25">
      <c r="A27844" t="s">
        <v>16</v>
      </c>
      <c r="B27844" t="s">
        <v>7666</v>
      </c>
      <c r="C27844" s="1" t="s">
        <v>23490</v>
      </c>
      <c r="D27844" s="1" t="str">
        <f>HYPERLINK("https://rhld.insurance.arkansas.gov/NPILookup?Npi=1376114470","1376114470")</f>
        <v>1376114470</v>
      </c>
      <c r="E27844" t="s">
        <v>19160</v>
      </c>
    </row>
    <row r="27845" spans="1:5" x14ac:dyDescent="0.25">
      <c r="A27845" t="s">
        <v>16</v>
      </c>
      <c r="B27845" t="s">
        <v>7666</v>
      </c>
      <c r="C27845" s="1" t="s">
        <v>23490</v>
      </c>
      <c r="D27845" s="1" t="str">
        <f>HYPERLINK("https://rhld.insurance.arkansas.gov/NPILookup?Npi=1376503169","1376503169")</f>
        <v>1376503169</v>
      </c>
      <c r="E27845" t="s">
        <v>7891</v>
      </c>
    </row>
    <row r="27846" spans="1:5" x14ac:dyDescent="0.25">
      <c r="A27846" t="s">
        <v>16</v>
      </c>
      <c r="B27846" t="s">
        <v>7666</v>
      </c>
      <c r="C27846" s="1" t="s">
        <v>23490</v>
      </c>
      <c r="D27846" s="1" t="str">
        <f>HYPERLINK("https://rhld.insurance.arkansas.gov/NPILookup?Npi=1376506063","1376506063")</f>
        <v>1376506063</v>
      </c>
      <c r="E27846" t="s">
        <v>7892</v>
      </c>
    </row>
    <row r="27847" spans="1:5" x14ac:dyDescent="0.25">
      <c r="A27847" t="s">
        <v>16</v>
      </c>
      <c r="B27847" t="s">
        <v>7666</v>
      </c>
      <c r="C27847" s="1" t="s">
        <v>23490</v>
      </c>
      <c r="D27847" s="1" t="str">
        <f>HYPERLINK("https://rhld.insurance.arkansas.gov/NPILookup?Npi=1376520908","1376520908")</f>
        <v>1376520908</v>
      </c>
      <c r="E27847" t="s">
        <v>7893</v>
      </c>
    </row>
    <row r="27848" spans="1:5" x14ac:dyDescent="0.25">
      <c r="A27848" t="s">
        <v>16</v>
      </c>
      <c r="B27848" t="s">
        <v>7666</v>
      </c>
      <c r="C27848" s="1" t="s">
        <v>23490</v>
      </c>
      <c r="D27848" s="1" t="str">
        <f>HYPERLINK("https://rhld.insurance.arkansas.gov/NPILookup?Npi=1376523142","1376523142")</f>
        <v>1376523142</v>
      </c>
      <c r="E27848" t="s">
        <v>7894</v>
      </c>
    </row>
    <row r="27849" spans="1:5" x14ac:dyDescent="0.25">
      <c r="A27849" t="s">
        <v>16</v>
      </c>
      <c r="B27849" t="s">
        <v>7666</v>
      </c>
      <c r="C27849" s="1" t="s">
        <v>23490</v>
      </c>
      <c r="D27849" s="1" t="str">
        <f>HYPERLINK("https://rhld.insurance.arkansas.gov/NPILookup?Npi=1376549071","1376549071")</f>
        <v>1376549071</v>
      </c>
      <c r="E27849" t="s">
        <v>22703</v>
      </c>
    </row>
    <row r="27850" spans="1:5" x14ac:dyDescent="0.25">
      <c r="A27850" t="s">
        <v>16</v>
      </c>
      <c r="B27850" t="s">
        <v>7666</v>
      </c>
      <c r="C27850" s="1" t="s">
        <v>23490</v>
      </c>
      <c r="D27850" s="1" t="str">
        <f>HYPERLINK("https://rhld.insurance.arkansas.gov/NPILookup?Npi=1376582817","1376582817")</f>
        <v>1376582817</v>
      </c>
      <c r="E27850" t="s">
        <v>7895</v>
      </c>
    </row>
    <row r="27851" spans="1:5" x14ac:dyDescent="0.25">
      <c r="A27851" t="s">
        <v>16</v>
      </c>
      <c r="B27851" t="s">
        <v>7666</v>
      </c>
      <c r="C27851" s="1" t="s">
        <v>23490</v>
      </c>
      <c r="D27851" s="1" t="str">
        <f>HYPERLINK("https://rhld.insurance.arkansas.gov/NPILookup?Npi=1376594556","1376594556")</f>
        <v>1376594556</v>
      </c>
      <c r="E27851" t="s">
        <v>14536</v>
      </c>
    </row>
    <row r="27852" spans="1:5" x14ac:dyDescent="0.25">
      <c r="A27852" t="s">
        <v>16</v>
      </c>
      <c r="B27852" t="s">
        <v>7666</v>
      </c>
      <c r="C27852" s="1" t="s">
        <v>23490</v>
      </c>
      <c r="D27852" s="1" t="str">
        <f>HYPERLINK("https://rhld.insurance.arkansas.gov/NPILookup?Npi=1376609958","1376609958")</f>
        <v>1376609958</v>
      </c>
      <c r="E27852" t="s">
        <v>16688</v>
      </c>
    </row>
    <row r="27853" spans="1:5" x14ac:dyDescent="0.25">
      <c r="A27853" t="s">
        <v>16</v>
      </c>
      <c r="B27853" t="s">
        <v>7666</v>
      </c>
      <c r="C27853" s="1" t="s">
        <v>23490</v>
      </c>
      <c r="D27853" s="1" t="str">
        <f>HYPERLINK("https://rhld.insurance.arkansas.gov/NPILookup?Npi=1376659334","1376659334")</f>
        <v>1376659334</v>
      </c>
      <c r="E27853" t="s">
        <v>7896</v>
      </c>
    </row>
    <row r="27854" spans="1:5" x14ac:dyDescent="0.25">
      <c r="A27854" t="s">
        <v>16</v>
      </c>
      <c r="B27854" t="s">
        <v>7666</v>
      </c>
      <c r="C27854" s="1" t="s">
        <v>23490</v>
      </c>
      <c r="D27854" s="1" t="str">
        <f>HYPERLINK("https://rhld.insurance.arkansas.gov/NPILookup?Npi=1376662890","1376662890")</f>
        <v>1376662890</v>
      </c>
      <c r="E27854" t="s">
        <v>7897</v>
      </c>
    </row>
    <row r="27855" spans="1:5" x14ac:dyDescent="0.25">
      <c r="A27855" t="s">
        <v>16</v>
      </c>
      <c r="B27855" t="s">
        <v>7666</v>
      </c>
      <c r="C27855" s="1" t="s">
        <v>23490</v>
      </c>
      <c r="D27855" s="1" t="str">
        <f>HYPERLINK("https://rhld.insurance.arkansas.gov/NPILookup?Npi=1376899633","1376899633")</f>
        <v>1376899633</v>
      </c>
      <c r="E27855" t="s">
        <v>7898</v>
      </c>
    </row>
    <row r="27856" spans="1:5" x14ac:dyDescent="0.25">
      <c r="A27856" t="s">
        <v>16</v>
      </c>
      <c r="B27856" t="s">
        <v>7666</v>
      </c>
      <c r="C27856" s="1" t="s">
        <v>23490</v>
      </c>
      <c r="D27856" s="1" t="str">
        <f>HYPERLINK("https://rhld.insurance.arkansas.gov/NPILookup?Npi=1386098648","1386098648")</f>
        <v>1386098648</v>
      </c>
      <c r="E27856" t="s">
        <v>17754</v>
      </c>
    </row>
    <row r="27857" spans="1:5" x14ac:dyDescent="0.25">
      <c r="A27857" t="s">
        <v>16</v>
      </c>
      <c r="B27857" t="s">
        <v>7666</v>
      </c>
      <c r="C27857" s="1" t="s">
        <v>23490</v>
      </c>
      <c r="D27857" s="1" t="str">
        <f>HYPERLINK("https://rhld.insurance.arkansas.gov/NPILookup?Npi=1386177574","1386177574")</f>
        <v>1386177574</v>
      </c>
      <c r="E27857" t="s">
        <v>21310</v>
      </c>
    </row>
    <row r="27858" spans="1:5" x14ac:dyDescent="0.25">
      <c r="A27858" t="s">
        <v>16</v>
      </c>
      <c r="B27858" t="s">
        <v>7666</v>
      </c>
      <c r="C27858" s="1" t="s">
        <v>23490</v>
      </c>
      <c r="D27858" s="1" t="str">
        <f>HYPERLINK("https://rhld.insurance.arkansas.gov/NPILookup?Npi=1386601318","1386601318")</f>
        <v>1386601318</v>
      </c>
      <c r="E27858" t="s">
        <v>22704</v>
      </c>
    </row>
    <row r="27859" spans="1:5" x14ac:dyDescent="0.25">
      <c r="A27859" t="s">
        <v>16</v>
      </c>
      <c r="B27859" t="s">
        <v>7666</v>
      </c>
      <c r="C27859" s="1" t="s">
        <v>23490</v>
      </c>
      <c r="D27859" s="1" t="str">
        <f>HYPERLINK("https://rhld.insurance.arkansas.gov/NPILookup?Npi=1386602159","1386602159")</f>
        <v>1386602159</v>
      </c>
      <c r="E27859" t="s">
        <v>7899</v>
      </c>
    </row>
    <row r="27860" spans="1:5" x14ac:dyDescent="0.25">
      <c r="A27860" t="s">
        <v>16</v>
      </c>
      <c r="B27860" t="s">
        <v>7666</v>
      </c>
      <c r="C27860" s="1" t="s">
        <v>23490</v>
      </c>
      <c r="D27860" s="1" t="str">
        <f>HYPERLINK("https://rhld.insurance.arkansas.gov/NPILookup?Npi=1386624039","1386624039")</f>
        <v>1386624039</v>
      </c>
      <c r="E27860" t="s">
        <v>7900</v>
      </c>
    </row>
    <row r="27861" spans="1:5" x14ac:dyDescent="0.25">
      <c r="A27861" t="s">
        <v>16</v>
      </c>
      <c r="B27861" t="s">
        <v>7666</v>
      </c>
      <c r="C27861" s="1" t="s">
        <v>23490</v>
      </c>
      <c r="D27861" s="1" t="str">
        <f>HYPERLINK("https://rhld.insurance.arkansas.gov/NPILookup?Npi=1386649788","1386649788")</f>
        <v>1386649788</v>
      </c>
      <c r="E27861" t="s">
        <v>7901</v>
      </c>
    </row>
    <row r="27862" spans="1:5" x14ac:dyDescent="0.25">
      <c r="A27862" t="s">
        <v>16</v>
      </c>
      <c r="B27862" t="s">
        <v>7666</v>
      </c>
      <c r="C27862" s="1" t="s">
        <v>23490</v>
      </c>
      <c r="D27862" s="1" t="str">
        <f>HYPERLINK("https://rhld.insurance.arkansas.gov/NPILookup?Npi=1386651545","1386651545")</f>
        <v>1386651545</v>
      </c>
      <c r="E27862" t="s">
        <v>7902</v>
      </c>
    </row>
    <row r="27863" spans="1:5" x14ac:dyDescent="0.25">
      <c r="A27863" t="s">
        <v>16</v>
      </c>
      <c r="B27863" t="s">
        <v>7666</v>
      </c>
      <c r="C27863" s="1" t="s">
        <v>23490</v>
      </c>
      <c r="D27863" s="1" t="str">
        <f>HYPERLINK("https://rhld.insurance.arkansas.gov/NPILookup?Npi=1386696201","1386696201")</f>
        <v>1386696201</v>
      </c>
      <c r="E27863" t="s">
        <v>7903</v>
      </c>
    </row>
    <row r="27864" spans="1:5" x14ac:dyDescent="0.25">
      <c r="A27864" t="s">
        <v>16</v>
      </c>
      <c r="B27864" t="s">
        <v>7666</v>
      </c>
      <c r="C27864" s="1" t="s">
        <v>23490</v>
      </c>
      <c r="D27864" s="1" t="str">
        <f>HYPERLINK("https://rhld.insurance.arkansas.gov/NPILookup?Npi=1386705747","1386705747")</f>
        <v>1386705747</v>
      </c>
      <c r="E27864" t="s">
        <v>7904</v>
      </c>
    </row>
    <row r="27865" spans="1:5" x14ac:dyDescent="0.25">
      <c r="A27865" t="s">
        <v>16</v>
      </c>
      <c r="B27865" t="s">
        <v>7666</v>
      </c>
      <c r="C27865" s="1" t="s">
        <v>23490</v>
      </c>
      <c r="D27865" s="1" t="str">
        <f>HYPERLINK("https://rhld.insurance.arkansas.gov/NPILookup?Npi=1386734879","1386734879")</f>
        <v>1386734879</v>
      </c>
      <c r="E27865" t="s">
        <v>7905</v>
      </c>
    </row>
    <row r="27866" spans="1:5" x14ac:dyDescent="0.25">
      <c r="A27866" t="s">
        <v>16</v>
      </c>
      <c r="B27866" t="s">
        <v>7666</v>
      </c>
      <c r="C27866" s="1" t="s">
        <v>23490</v>
      </c>
      <c r="D27866" s="1" t="str">
        <f>HYPERLINK("https://rhld.insurance.arkansas.gov/NPILookup?Npi=1386756369","1386756369")</f>
        <v>1386756369</v>
      </c>
      <c r="E27866" t="s">
        <v>7906</v>
      </c>
    </row>
    <row r="27867" spans="1:5" x14ac:dyDescent="0.25">
      <c r="A27867" t="s">
        <v>16</v>
      </c>
      <c r="B27867" t="s">
        <v>7666</v>
      </c>
      <c r="C27867" s="1" t="s">
        <v>23490</v>
      </c>
      <c r="D27867" s="1" t="str">
        <f>HYPERLINK("https://rhld.insurance.arkansas.gov/NPILookup?Npi=1386877405","1386877405")</f>
        <v>1386877405</v>
      </c>
      <c r="E27867" t="s">
        <v>7907</v>
      </c>
    </row>
    <row r="27868" spans="1:5" x14ac:dyDescent="0.25">
      <c r="A27868" t="s">
        <v>16</v>
      </c>
      <c r="B27868" t="s">
        <v>7666</v>
      </c>
      <c r="C27868" s="1" t="s">
        <v>23490</v>
      </c>
      <c r="D27868" s="1" t="str">
        <f>HYPERLINK("https://rhld.insurance.arkansas.gov/NPILookup?Npi=1386932333","1386932333")</f>
        <v>1386932333</v>
      </c>
      <c r="E27868" t="s">
        <v>22705</v>
      </c>
    </row>
    <row r="27869" spans="1:5" x14ac:dyDescent="0.25">
      <c r="A27869" t="s">
        <v>16</v>
      </c>
      <c r="B27869" t="s">
        <v>7666</v>
      </c>
      <c r="C27869" s="1" t="s">
        <v>23490</v>
      </c>
      <c r="D27869" s="1" t="str">
        <f>HYPERLINK("https://rhld.insurance.arkansas.gov/NPILookup?Npi=1396130555","1396130555")</f>
        <v>1396130555</v>
      </c>
      <c r="E27869" t="s">
        <v>23329</v>
      </c>
    </row>
    <row r="27870" spans="1:5" x14ac:dyDescent="0.25">
      <c r="A27870" t="s">
        <v>16</v>
      </c>
      <c r="B27870" t="s">
        <v>7666</v>
      </c>
      <c r="C27870" s="1" t="s">
        <v>23490</v>
      </c>
      <c r="D27870" s="1" t="str">
        <f>HYPERLINK("https://rhld.insurance.arkansas.gov/NPILookup?Npi=1396242533","1396242533")</f>
        <v>1396242533</v>
      </c>
      <c r="E27870" t="s">
        <v>22706</v>
      </c>
    </row>
    <row r="27871" spans="1:5" x14ac:dyDescent="0.25">
      <c r="A27871" t="s">
        <v>16</v>
      </c>
      <c r="B27871" t="s">
        <v>7666</v>
      </c>
      <c r="C27871" s="1" t="s">
        <v>23490</v>
      </c>
      <c r="D27871" s="1" t="str">
        <f>HYPERLINK("https://rhld.insurance.arkansas.gov/NPILookup?Npi=1396757084","1396757084")</f>
        <v>1396757084</v>
      </c>
      <c r="E27871" t="s">
        <v>7908</v>
      </c>
    </row>
    <row r="27872" spans="1:5" x14ac:dyDescent="0.25">
      <c r="A27872" t="s">
        <v>16</v>
      </c>
      <c r="B27872" t="s">
        <v>7666</v>
      </c>
      <c r="C27872" s="1" t="s">
        <v>23490</v>
      </c>
      <c r="D27872" s="1" t="str">
        <f>HYPERLINK("https://rhld.insurance.arkansas.gov/NPILookup?Npi=1396840922","1396840922")</f>
        <v>1396840922</v>
      </c>
      <c r="E27872" t="s">
        <v>7909</v>
      </c>
    </row>
    <row r="27873" spans="1:5" x14ac:dyDescent="0.25">
      <c r="A27873" t="s">
        <v>16</v>
      </c>
      <c r="B27873" t="s">
        <v>7666</v>
      </c>
      <c r="C27873" s="1" t="s">
        <v>23490</v>
      </c>
      <c r="D27873" s="1" t="str">
        <f>HYPERLINK("https://rhld.insurance.arkansas.gov/NPILookup?Npi=1396859054","1396859054")</f>
        <v>1396859054</v>
      </c>
      <c r="E27873" t="s">
        <v>16689</v>
      </c>
    </row>
    <row r="27874" spans="1:5" x14ac:dyDescent="0.25">
      <c r="A27874" t="s">
        <v>16</v>
      </c>
      <c r="B27874" t="s">
        <v>7666</v>
      </c>
      <c r="C27874" s="1" t="s">
        <v>23490</v>
      </c>
      <c r="D27874" s="1" t="str">
        <f>HYPERLINK("https://rhld.insurance.arkansas.gov/NPILookup?Npi=1396901674","1396901674")</f>
        <v>1396901674</v>
      </c>
      <c r="E27874" t="s">
        <v>7910</v>
      </c>
    </row>
    <row r="27875" spans="1:5" x14ac:dyDescent="0.25">
      <c r="A27875" t="s">
        <v>16</v>
      </c>
      <c r="B27875" t="s">
        <v>7666</v>
      </c>
      <c r="C27875" s="1" t="s">
        <v>23490</v>
      </c>
      <c r="D27875" s="1" t="str">
        <f>HYPERLINK("https://rhld.insurance.arkansas.gov/NPILookup?Npi=1396928800","1396928800")</f>
        <v>1396928800</v>
      </c>
      <c r="E27875" t="s">
        <v>7911</v>
      </c>
    </row>
    <row r="27876" spans="1:5" x14ac:dyDescent="0.25">
      <c r="A27876" t="s">
        <v>16</v>
      </c>
      <c r="B27876" t="s">
        <v>7666</v>
      </c>
      <c r="C27876" s="1" t="s">
        <v>23490</v>
      </c>
      <c r="D27876" s="1" t="str">
        <f>HYPERLINK("https://rhld.insurance.arkansas.gov/NPILookup?Npi=1396978029","1396978029")</f>
        <v>1396978029</v>
      </c>
      <c r="E27876" t="s">
        <v>7912</v>
      </c>
    </row>
    <row r="27877" spans="1:5" x14ac:dyDescent="0.25">
      <c r="A27877" t="s">
        <v>16</v>
      </c>
      <c r="B27877" t="s">
        <v>7666</v>
      </c>
      <c r="C27877" s="1" t="s">
        <v>23490</v>
      </c>
      <c r="D27877" s="1" t="str">
        <f>HYPERLINK("https://rhld.insurance.arkansas.gov/NPILookup?Npi=1407099955","1407099955")</f>
        <v>1407099955</v>
      </c>
      <c r="E27877" t="s">
        <v>7913</v>
      </c>
    </row>
    <row r="27878" spans="1:5" x14ac:dyDescent="0.25">
      <c r="A27878" t="s">
        <v>16</v>
      </c>
      <c r="B27878" t="s">
        <v>7666</v>
      </c>
      <c r="C27878" s="1" t="s">
        <v>23490</v>
      </c>
      <c r="D27878" s="1" t="str">
        <f>HYPERLINK("https://rhld.insurance.arkansas.gov/NPILookup?Npi=1407114663","1407114663")</f>
        <v>1407114663</v>
      </c>
      <c r="E27878" t="s">
        <v>9298</v>
      </c>
    </row>
    <row r="27879" spans="1:5" x14ac:dyDescent="0.25">
      <c r="A27879" t="s">
        <v>16</v>
      </c>
      <c r="B27879" t="s">
        <v>7666</v>
      </c>
      <c r="C27879" s="1" t="s">
        <v>23490</v>
      </c>
      <c r="D27879" s="1" t="str">
        <f>HYPERLINK("https://rhld.insurance.arkansas.gov/NPILookup?Npi=1407238736","1407238736")</f>
        <v>1407238736</v>
      </c>
      <c r="E27879" t="s">
        <v>9299</v>
      </c>
    </row>
    <row r="27880" spans="1:5" x14ac:dyDescent="0.25">
      <c r="A27880" t="s">
        <v>16</v>
      </c>
      <c r="B27880" t="s">
        <v>7666</v>
      </c>
      <c r="C27880" s="1" t="s">
        <v>23490</v>
      </c>
      <c r="D27880" s="1" t="str">
        <f>HYPERLINK("https://rhld.insurance.arkansas.gov/NPILookup?Npi=1407342371","1407342371")</f>
        <v>1407342371</v>
      </c>
      <c r="E27880" t="s">
        <v>14537</v>
      </c>
    </row>
    <row r="27881" spans="1:5" x14ac:dyDescent="0.25">
      <c r="A27881" t="s">
        <v>16</v>
      </c>
      <c r="B27881" t="s">
        <v>7666</v>
      </c>
      <c r="C27881" s="1" t="s">
        <v>23490</v>
      </c>
      <c r="D27881" s="1" t="str">
        <f>HYPERLINK("https://rhld.insurance.arkansas.gov/NPILookup?Npi=1407813223","1407813223")</f>
        <v>1407813223</v>
      </c>
      <c r="E27881" t="s">
        <v>7914</v>
      </c>
    </row>
    <row r="27882" spans="1:5" x14ac:dyDescent="0.25">
      <c r="A27882" t="s">
        <v>16</v>
      </c>
      <c r="B27882" t="s">
        <v>7666</v>
      </c>
      <c r="C27882" s="1" t="s">
        <v>23490</v>
      </c>
      <c r="D27882" s="1" t="str">
        <f>HYPERLINK("https://rhld.insurance.arkansas.gov/NPILookup?Npi=1407832603","1407832603")</f>
        <v>1407832603</v>
      </c>
      <c r="E27882" t="s">
        <v>7915</v>
      </c>
    </row>
    <row r="27883" spans="1:5" x14ac:dyDescent="0.25">
      <c r="A27883" t="s">
        <v>16</v>
      </c>
      <c r="B27883" t="s">
        <v>7666</v>
      </c>
      <c r="C27883" s="1" t="s">
        <v>23490</v>
      </c>
      <c r="D27883" s="1" t="str">
        <f>HYPERLINK("https://rhld.insurance.arkansas.gov/NPILookup?Npi=1407850316","1407850316")</f>
        <v>1407850316</v>
      </c>
      <c r="E27883" t="s">
        <v>7916</v>
      </c>
    </row>
    <row r="27884" spans="1:5" x14ac:dyDescent="0.25">
      <c r="A27884" t="s">
        <v>16</v>
      </c>
      <c r="B27884" t="s">
        <v>7666</v>
      </c>
      <c r="C27884" s="1" t="s">
        <v>23490</v>
      </c>
      <c r="D27884" s="1" t="str">
        <f>HYPERLINK("https://rhld.insurance.arkansas.gov/NPILookup?Npi=1407856263","1407856263")</f>
        <v>1407856263</v>
      </c>
      <c r="E27884" t="s">
        <v>16690</v>
      </c>
    </row>
    <row r="27885" spans="1:5" x14ac:dyDescent="0.25">
      <c r="A27885" t="s">
        <v>16</v>
      </c>
      <c r="B27885" t="s">
        <v>7666</v>
      </c>
      <c r="C27885" s="1" t="s">
        <v>23490</v>
      </c>
      <c r="D27885" s="1" t="str">
        <f>HYPERLINK("https://rhld.insurance.arkansas.gov/NPILookup?Npi=1407861834","1407861834")</f>
        <v>1407861834</v>
      </c>
      <c r="E27885" t="s">
        <v>7917</v>
      </c>
    </row>
    <row r="27886" spans="1:5" x14ac:dyDescent="0.25">
      <c r="A27886" t="s">
        <v>16</v>
      </c>
      <c r="B27886" t="s">
        <v>7666</v>
      </c>
      <c r="C27886" s="1" t="s">
        <v>23490</v>
      </c>
      <c r="D27886" s="1" t="str">
        <f>HYPERLINK("https://rhld.insurance.arkansas.gov/NPILookup?Npi=1407885015","1407885015")</f>
        <v>1407885015</v>
      </c>
      <c r="E27886" t="s">
        <v>7918</v>
      </c>
    </row>
    <row r="27887" spans="1:5" x14ac:dyDescent="0.25">
      <c r="A27887" t="s">
        <v>16</v>
      </c>
      <c r="B27887" t="s">
        <v>7666</v>
      </c>
      <c r="C27887" s="1" t="s">
        <v>23490</v>
      </c>
      <c r="D27887" s="1" t="str">
        <f>HYPERLINK("https://rhld.insurance.arkansas.gov/NPILookup?Npi=1407966765","1407966765")</f>
        <v>1407966765</v>
      </c>
      <c r="E27887" t="s">
        <v>22707</v>
      </c>
    </row>
    <row r="27888" spans="1:5" x14ac:dyDescent="0.25">
      <c r="A27888" t="s">
        <v>16</v>
      </c>
      <c r="B27888" t="s">
        <v>7666</v>
      </c>
      <c r="C27888" s="1" t="s">
        <v>23490</v>
      </c>
      <c r="D27888" s="1" t="str">
        <f>HYPERLINK("https://rhld.insurance.arkansas.gov/NPILookup?Npi=1417067067","1417067067")</f>
        <v>1417067067</v>
      </c>
      <c r="E27888" t="s">
        <v>7919</v>
      </c>
    </row>
    <row r="27889" spans="1:5" x14ac:dyDescent="0.25">
      <c r="A27889" t="s">
        <v>16</v>
      </c>
      <c r="B27889" t="s">
        <v>7666</v>
      </c>
      <c r="C27889" s="1" t="s">
        <v>23490</v>
      </c>
      <c r="D27889" s="1" t="str">
        <f>HYPERLINK("https://rhld.insurance.arkansas.gov/NPILookup?Npi=1417067752","1417067752")</f>
        <v>1417067752</v>
      </c>
      <c r="E27889" t="s">
        <v>7920</v>
      </c>
    </row>
    <row r="27890" spans="1:5" x14ac:dyDescent="0.25">
      <c r="A27890" t="s">
        <v>16</v>
      </c>
      <c r="B27890" t="s">
        <v>7666</v>
      </c>
      <c r="C27890" s="1" t="s">
        <v>23490</v>
      </c>
      <c r="D27890" s="1" t="str">
        <f>HYPERLINK("https://rhld.insurance.arkansas.gov/NPILookup?Npi=1417098153","1417098153")</f>
        <v>1417098153</v>
      </c>
      <c r="E27890" t="s">
        <v>7921</v>
      </c>
    </row>
    <row r="27891" spans="1:5" x14ac:dyDescent="0.25">
      <c r="A27891" t="s">
        <v>16</v>
      </c>
      <c r="B27891" t="s">
        <v>7666</v>
      </c>
      <c r="C27891" s="1" t="s">
        <v>23490</v>
      </c>
      <c r="D27891" s="1" t="str">
        <f>HYPERLINK("https://rhld.insurance.arkansas.gov/NPILookup?Npi=1417140708","1417140708")</f>
        <v>1417140708</v>
      </c>
      <c r="E27891" t="s">
        <v>7922</v>
      </c>
    </row>
    <row r="27892" spans="1:5" x14ac:dyDescent="0.25">
      <c r="A27892" t="s">
        <v>16</v>
      </c>
      <c r="B27892" t="s">
        <v>7666</v>
      </c>
      <c r="C27892" s="1" t="s">
        <v>23490</v>
      </c>
      <c r="D27892" s="1" t="str">
        <f>HYPERLINK("https://rhld.insurance.arkansas.gov/NPILookup?Npi=1417190877","1417190877")</f>
        <v>1417190877</v>
      </c>
      <c r="E27892" t="s">
        <v>7923</v>
      </c>
    </row>
    <row r="27893" spans="1:5" x14ac:dyDescent="0.25">
      <c r="A27893" t="s">
        <v>16</v>
      </c>
      <c r="B27893" t="s">
        <v>7666</v>
      </c>
      <c r="C27893" s="1" t="s">
        <v>23490</v>
      </c>
      <c r="D27893" s="1" t="str">
        <f>HYPERLINK("https://rhld.insurance.arkansas.gov/NPILookup?Npi=1417260019","1417260019")</f>
        <v>1417260019</v>
      </c>
      <c r="E27893" t="s">
        <v>7924</v>
      </c>
    </row>
    <row r="27894" spans="1:5" x14ac:dyDescent="0.25">
      <c r="A27894" t="s">
        <v>16</v>
      </c>
      <c r="B27894" t="s">
        <v>7666</v>
      </c>
      <c r="C27894" s="1" t="s">
        <v>23490</v>
      </c>
      <c r="D27894" s="1" t="str">
        <f>HYPERLINK("https://rhld.insurance.arkansas.gov/NPILookup?Npi=1417330101","1417330101")</f>
        <v>1417330101</v>
      </c>
      <c r="E27894" t="s">
        <v>7925</v>
      </c>
    </row>
    <row r="27895" spans="1:5" x14ac:dyDescent="0.25">
      <c r="A27895" t="s">
        <v>16</v>
      </c>
      <c r="B27895" t="s">
        <v>7666</v>
      </c>
      <c r="C27895" s="1" t="s">
        <v>23490</v>
      </c>
      <c r="D27895" s="1" t="str">
        <f>HYPERLINK("https://rhld.insurance.arkansas.gov/NPILookup?Npi=1417394404","1417394404")</f>
        <v>1417394404</v>
      </c>
      <c r="E27895" t="s">
        <v>16691</v>
      </c>
    </row>
    <row r="27896" spans="1:5" x14ac:dyDescent="0.25">
      <c r="A27896" t="s">
        <v>16</v>
      </c>
      <c r="B27896" t="s">
        <v>7666</v>
      </c>
      <c r="C27896" s="1" t="s">
        <v>23490</v>
      </c>
      <c r="D27896" s="1" t="str">
        <f>HYPERLINK("https://rhld.insurance.arkansas.gov/NPILookup?Npi=1417479452","1417479452")</f>
        <v>1417479452</v>
      </c>
      <c r="E27896" t="s">
        <v>14538</v>
      </c>
    </row>
    <row r="27897" spans="1:5" x14ac:dyDescent="0.25">
      <c r="A27897" t="s">
        <v>16</v>
      </c>
      <c r="B27897" t="s">
        <v>7666</v>
      </c>
      <c r="C27897" s="1" t="s">
        <v>23490</v>
      </c>
      <c r="D27897" s="1" t="str">
        <f>HYPERLINK("https://rhld.insurance.arkansas.gov/NPILookup?Npi=1417914896","1417914896")</f>
        <v>1417914896</v>
      </c>
      <c r="E27897" t="s">
        <v>16692</v>
      </c>
    </row>
    <row r="27898" spans="1:5" x14ac:dyDescent="0.25">
      <c r="A27898" t="s">
        <v>16</v>
      </c>
      <c r="B27898" t="s">
        <v>7666</v>
      </c>
      <c r="C27898" s="1" t="s">
        <v>23490</v>
      </c>
      <c r="D27898" s="1" t="str">
        <f>HYPERLINK("https://rhld.insurance.arkansas.gov/NPILookup?Npi=1417950353","1417950353")</f>
        <v>1417950353</v>
      </c>
      <c r="E27898" t="s">
        <v>7926</v>
      </c>
    </row>
    <row r="27899" spans="1:5" x14ac:dyDescent="0.25">
      <c r="A27899" t="s">
        <v>16</v>
      </c>
      <c r="B27899" t="s">
        <v>7666</v>
      </c>
      <c r="C27899" s="1" t="s">
        <v>23490</v>
      </c>
      <c r="D27899" s="1" t="str">
        <f>HYPERLINK("https://rhld.insurance.arkansas.gov/NPILookup?Npi=1427033596","1427033596")</f>
        <v>1427033596</v>
      </c>
      <c r="E27899" t="s">
        <v>7927</v>
      </c>
    </row>
    <row r="27900" spans="1:5" x14ac:dyDescent="0.25">
      <c r="A27900" t="s">
        <v>16</v>
      </c>
      <c r="B27900" t="s">
        <v>7666</v>
      </c>
      <c r="C27900" s="1" t="s">
        <v>23490</v>
      </c>
      <c r="D27900" s="1" t="str">
        <f>HYPERLINK("https://rhld.insurance.arkansas.gov/NPILookup?Npi=1427045814","1427045814")</f>
        <v>1427045814</v>
      </c>
      <c r="E27900" t="s">
        <v>7928</v>
      </c>
    </row>
    <row r="27901" spans="1:5" x14ac:dyDescent="0.25">
      <c r="A27901" t="s">
        <v>16</v>
      </c>
      <c r="B27901" t="s">
        <v>7666</v>
      </c>
      <c r="C27901" s="1" t="s">
        <v>23490</v>
      </c>
      <c r="D27901" s="1" t="str">
        <f>HYPERLINK("https://rhld.insurance.arkansas.gov/NPILookup?Npi=1427049097","1427049097")</f>
        <v>1427049097</v>
      </c>
      <c r="E27901" t="s">
        <v>14539</v>
      </c>
    </row>
    <row r="27902" spans="1:5" x14ac:dyDescent="0.25">
      <c r="A27902" t="s">
        <v>16</v>
      </c>
      <c r="B27902" t="s">
        <v>7666</v>
      </c>
      <c r="C27902" s="1" t="s">
        <v>23490</v>
      </c>
      <c r="D27902" s="1" t="str">
        <f>HYPERLINK("https://rhld.insurance.arkansas.gov/NPILookup?Npi=1427050111","1427050111")</f>
        <v>1427050111</v>
      </c>
      <c r="E27902" t="s">
        <v>22708</v>
      </c>
    </row>
    <row r="27903" spans="1:5" x14ac:dyDescent="0.25">
      <c r="A27903" t="s">
        <v>16</v>
      </c>
      <c r="B27903" t="s">
        <v>7666</v>
      </c>
      <c r="C27903" s="1" t="s">
        <v>23490</v>
      </c>
      <c r="D27903" s="1" t="str">
        <f>HYPERLINK("https://rhld.insurance.arkansas.gov/NPILookup?Npi=1427051267","1427051267")</f>
        <v>1427051267</v>
      </c>
      <c r="E27903" t="s">
        <v>16693</v>
      </c>
    </row>
    <row r="27904" spans="1:5" x14ac:dyDescent="0.25">
      <c r="A27904" t="s">
        <v>16</v>
      </c>
      <c r="B27904" t="s">
        <v>7666</v>
      </c>
      <c r="C27904" s="1" t="s">
        <v>23490</v>
      </c>
      <c r="D27904" s="1" t="str">
        <f>HYPERLINK("https://rhld.insurance.arkansas.gov/NPILookup?Npi=1427056951","1427056951")</f>
        <v>1427056951</v>
      </c>
      <c r="E27904" t="s">
        <v>7929</v>
      </c>
    </row>
    <row r="27905" spans="1:5" x14ac:dyDescent="0.25">
      <c r="A27905" t="s">
        <v>16</v>
      </c>
      <c r="B27905" t="s">
        <v>7666</v>
      </c>
      <c r="C27905" s="1" t="s">
        <v>23490</v>
      </c>
      <c r="D27905" s="1" t="str">
        <f>HYPERLINK("https://rhld.insurance.arkansas.gov/NPILookup?Npi=1427092923","1427092923")</f>
        <v>1427092923</v>
      </c>
      <c r="E27905" t="s">
        <v>16694</v>
      </c>
    </row>
    <row r="27906" spans="1:5" x14ac:dyDescent="0.25">
      <c r="A27906" t="s">
        <v>16</v>
      </c>
      <c r="B27906" t="s">
        <v>7666</v>
      </c>
      <c r="C27906" s="1" t="s">
        <v>23490</v>
      </c>
      <c r="D27906" s="1" t="str">
        <f>HYPERLINK("https://rhld.insurance.arkansas.gov/NPILookup?Npi=1427137454","1427137454")</f>
        <v>1427137454</v>
      </c>
      <c r="E27906" t="s">
        <v>7930</v>
      </c>
    </row>
    <row r="27907" spans="1:5" x14ac:dyDescent="0.25">
      <c r="A27907" t="s">
        <v>16</v>
      </c>
      <c r="B27907" t="s">
        <v>7666</v>
      </c>
      <c r="C27907" s="1" t="s">
        <v>23490</v>
      </c>
      <c r="D27907" s="1" t="str">
        <f>HYPERLINK("https://rhld.insurance.arkansas.gov/NPILookup?Npi=1427215623","1427215623")</f>
        <v>1427215623</v>
      </c>
      <c r="E27907" t="s">
        <v>7931</v>
      </c>
    </row>
    <row r="27908" spans="1:5" x14ac:dyDescent="0.25">
      <c r="A27908" t="s">
        <v>16</v>
      </c>
      <c r="B27908" t="s">
        <v>7666</v>
      </c>
      <c r="C27908" s="1" t="s">
        <v>23490</v>
      </c>
      <c r="D27908" s="1" t="str">
        <f>HYPERLINK("https://rhld.insurance.arkansas.gov/NPILookup?Npi=1427400928","1427400928")</f>
        <v>1427400928</v>
      </c>
      <c r="E27908" t="s">
        <v>22709</v>
      </c>
    </row>
    <row r="27909" spans="1:5" x14ac:dyDescent="0.25">
      <c r="A27909" t="s">
        <v>16</v>
      </c>
      <c r="B27909" t="s">
        <v>7666</v>
      </c>
      <c r="C27909" s="1" t="s">
        <v>23490</v>
      </c>
      <c r="D27909" s="1" t="str">
        <f>HYPERLINK("https://rhld.insurance.arkansas.gov/NPILookup?Npi=1427668136","1427668136")</f>
        <v>1427668136</v>
      </c>
      <c r="E27909" t="s">
        <v>22710</v>
      </c>
    </row>
    <row r="27910" spans="1:5" x14ac:dyDescent="0.25">
      <c r="A27910" t="s">
        <v>16</v>
      </c>
      <c r="B27910" t="s">
        <v>7666</v>
      </c>
      <c r="C27910" s="1" t="s">
        <v>23490</v>
      </c>
      <c r="D27910" s="1" t="str">
        <f>HYPERLINK("https://rhld.insurance.arkansas.gov/NPILookup?Npi=1437155686","1437155686")</f>
        <v>1437155686</v>
      </c>
      <c r="E27910" t="s">
        <v>1153</v>
      </c>
    </row>
    <row r="27911" spans="1:5" x14ac:dyDescent="0.25">
      <c r="A27911" t="s">
        <v>16</v>
      </c>
      <c r="B27911" t="s">
        <v>7666</v>
      </c>
      <c r="C27911" s="1" t="s">
        <v>23490</v>
      </c>
      <c r="D27911" s="1" t="str">
        <f>HYPERLINK("https://rhld.insurance.arkansas.gov/NPILookup?Npi=1437177318","1437177318")</f>
        <v>1437177318</v>
      </c>
      <c r="E27911" t="s">
        <v>22711</v>
      </c>
    </row>
    <row r="27912" spans="1:5" x14ac:dyDescent="0.25">
      <c r="A27912" t="s">
        <v>16</v>
      </c>
      <c r="B27912" t="s">
        <v>7666</v>
      </c>
      <c r="C27912" s="1" t="s">
        <v>23490</v>
      </c>
      <c r="D27912" s="1" t="str">
        <f>HYPERLINK("https://rhld.insurance.arkansas.gov/NPILookup?Npi=1437483906","1437483906")</f>
        <v>1437483906</v>
      </c>
      <c r="E27912" t="s">
        <v>22712</v>
      </c>
    </row>
    <row r="27913" spans="1:5" x14ac:dyDescent="0.25">
      <c r="A27913" t="s">
        <v>16</v>
      </c>
      <c r="B27913" t="s">
        <v>7666</v>
      </c>
      <c r="C27913" s="1" t="s">
        <v>23490</v>
      </c>
      <c r="D27913" s="1" t="str">
        <f>HYPERLINK("https://rhld.insurance.arkansas.gov/NPILookup?Npi=1437539533","1437539533")</f>
        <v>1437539533</v>
      </c>
      <c r="E27913" t="s">
        <v>19161</v>
      </c>
    </row>
    <row r="27914" spans="1:5" x14ac:dyDescent="0.25">
      <c r="A27914" t="s">
        <v>16</v>
      </c>
      <c r="B27914" t="s">
        <v>7666</v>
      </c>
      <c r="C27914" s="1" t="s">
        <v>23490</v>
      </c>
      <c r="D27914" s="1" t="str">
        <f>HYPERLINK("https://rhld.insurance.arkansas.gov/NPILookup?Npi=1437606316","1437606316")</f>
        <v>1437606316</v>
      </c>
      <c r="E27914" t="s">
        <v>14540</v>
      </c>
    </row>
    <row r="27915" spans="1:5" x14ac:dyDescent="0.25">
      <c r="A27915" t="s">
        <v>16</v>
      </c>
      <c r="B27915" t="s">
        <v>7666</v>
      </c>
      <c r="C27915" s="1" t="s">
        <v>23490</v>
      </c>
      <c r="D27915" s="1" t="str">
        <f>HYPERLINK("https://rhld.insurance.arkansas.gov/NPILookup?Npi=1437710373","1437710373")</f>
        <v>1437710373</v>
      </c>
      <c r="E27915" t="s">
        <v>16695</v>
      </c>
    </row>
    <row r="27916" spans="1:5" x14ac:dyDescent="0.25">
      <c r="A27916" t="s">
        <v>16</v>
      </c>
      <c r="B27916" t="s">
        <v>7666</v>
      </c>
      <c r="C27916" s="1" t="s">
        <v>23490</v>
      </c>
      <c r="D27916" s="1" t="str">
        <f>HYPERLINK("https://rhld.insurance.arkansas.gov/NPILookup?Npi=1437805793","1437805793")</f>
        <v>1437805793</v>
      </c>
      <c r="E27916" t="s">
        <v>22713</v>
      </c>
    </row>
    <row r="27917" spans="1:5" x14ac:dyDescent="0.25">
      <c r="A27917" t="s">
        <v>16</v>
      </c>
      <c r="B27917" t="s">
        <v>7666</v>
      </c>
      <c r="C27917" s="1" t="s">
        <v>23490</v>
      </c>
      <c r="D27917" s="1" t="str">
        <f>HYPERLINK("https://rhld.insurance.arkansas.gov/NPILookup?Npi=1447201629","1447201629")</f>
        <v>1447201629</v>
      </c>
      <c r="E27917" t="s">
        <v>7932</v>
      </c>
    </row>
    <row r="27918" spans="1:5" x14ac:dyDescent="0.25">
      <c r="A27918" t="s">
        <v>16</v>
      </c>
      <c r="B27918" t="s">
        <v>7666</v>
      </c>
      <c r="C27918" s="1" t="s">
        <v>23490</v>
      </c>
      <c r="D27918" s="1" t="str">
        <f>HYPERLINK("https://rhld.insurance.arkansas.gov/NPILookup?Npi=1447239629","1447239629")</f>
        <v>1447239629</v>
      </c>
      <c r="E27918" t="s">
        <v>5536</v>
      </c>
    </row>
    <row r="27919" spans="1:5" x14ac:dyDescent="0.25">
      <c r="A27919" t="s">
        <v>16</v>
      </c>
      <c r="B27919" t="s">
        <v>7666</v>
      </c>
      <c r="C27919" s="1" t="s">
        <v>23490</v>
      </c>
      <c r="D27919" s="1" t="str">
        <f>HYPERLINK("https://rhld.insurance.arkansas.gov/NPILookup?Npi=1447246517","1447246517")</f>
        <v>1447246517</v>
      </c>
      <c r="E27919" t="s">
        <v>22714</v>
      </c>
    </row>
    <row r="27920" spans="1:5" x14ac:dyDescent="0.25">
      <c r="A27920" t="s">
        <v>16</v>
      </c>
      <c r="B27920" t="s">
        <v>7666</v>
      </c>
      <c r="C27920" s="1" t="s">
        <v>23490</v>
      </c>
      <c r="D27920" s="1" t="str">
        <f>HYPERLINK("https://rhld.insurance.arkansas.gov/NPILookup?Npi=1447307095","1447307095")</f>
        <v>1447307095</v>
      </c>
      <c r="E27920" t="s">
        <v>7934</v>
      </c>
    </row>
    <row r="27921" spans="1:5" x14ac:dyDescent="0.25">
      <c r="A27921" t="s">
        <v>16</v>
      </c>
      <c r="B27921" t="s">
        <v>7666</v>
      </c>
      <c r="C27921" s="1" t="s">
        <v>23490</v>
      </c>
      <c r="D27921" s="1" t="str">
        <f>HYPERLINK("https://rhld.insurance.arkansas.gov/NPILookup?Npi=1447353602","1447353602")</f>
        <v>1447353602</v>
      </c>
      <c r="E27921" t="s">
        <v>7935</v>
      </c>
    </row>
    <row r="27922" spans="1:5" x14ac:dyDescent="0.25">
      <c r="A27922" t="s">
        <v>16</v>
      </c>
      <c r="B27922" t="s">
        <v>7666</v>
      </c>
      <c r="C27922" s="1" t="s">
        <v>23490</v>
      </c>
      <c r="D27922" s="1" t="str">
        <f>HYPERLINK("https://rhld.insurance.arkansas.gov/NPILookup?Npi=1447387170","1447387170")</f>
        <v>1447387170</v>
      </c>
      <c r="E27922" t="s">
        <v>7936</v>
      </c>
    </row>
    <row r="27923" spans="1:5" x14ac:dyDescent="0.25">
      <c r="A27923" t="s">
        <v>16</v>
      </c>
      <c r="B27923" t="s">
        <v>7666</v>
      </c>
      <c r="C27923" s="1" t="s">
        <v>23490</v>
      </c>
      <c r="D27923" s="1" t="str">
        <f>HYPERLINK("https://rhld.insurance.arkansas.gov/NPILookup?Npi=1447412945","1447412945")</f>
        <v>1447412945</v>
      </c>
      <c r="E27923" t="s">
        <v>7937</v>
      </c>
    </row>
    <row r="27924" spans="1:5" x14ac:dyDescent="0.25">
      <c r="A27924" t="s">
        <v>16</v>
      </c>
      <c r="B27924" t="s">
        <v>7666</v>
      </c>
      <c r="C27924" s="1" t="s">
        <v>23490</v>
      </c>
      <c r="D27924" s="1" t="str">
        <f>HYPERLINK("https://rhld.insurance.arkansas.gov/NPILookup?Npi=1447538897","1447538897")</f>
        <v>1447538897</v>
      </c>
      <c r="E27924" t="s">
        <v>7938</v>
      </c>
    </row>
    <row r="27925" spans="1:5" x14ac:dyDescent="0.25">
      <c r="A27925" t="s">
        <v>16</v>
      </c>
      <c r="B27925" t="s">
        <v>7666</v>
      </c>
      <c r="C27925" s="1" t="s">
        <v>23490</v>
      </c>
      <c r="D27925" s="1" t="str">
        <f>HYPERLINK("https://rhld.insurance.arkansas.gov/NPILookup?Npi=1447779442","1447779442")</f>
        <v>1447779442</v>
      </c>
      <c r="E27925" t="s">
        <v>22715</v>
      </c>
    </row>
    <row r="27926" spans="1:5" x14ac:dyDescent="0.25">
      <c r="A27926" t="s">
        <v>16</v>
      </c>
      <c r="B27926" t="s">
        <v>7666</v>
      </c>
      <c r="C27926" s="1" t="s">
        <v>23490</v>
      </c>
      <c r="D27926" s="1" t="str">
        <f>HYPERLINK("https://rhld.insurance.arkansas.gov/NPILookup?Npi=1447865191","1447865191")</f>
        <v>1447865191</v>
      </c>
      <c r="E27926" t="s">
        <v>22716</v>
      </c>
    </row>
    <row r="27927" spans="1:5" x14ac:dyDescent="0.25">
      <c r="A27927" t="s">
        <v>16</v>
      </c>
      <c r="B27927" t="s">
        <v>7666</v>
      </c>
      <c r="C27927" s="1" t="s">
        <v>23490</v>
      </c>
      <c r="D27927" s="1" t="str">
        <f>HYPERLINK("https://rhld.insurance.arkansas.gov/NPILookup?Npi=1457302465","1457302465")</f>
        <v>1457302465</v>
      </c>
      <c r="E27927" t="s">
        <v>7939</v>
      </c>
    </row>
    <row r="27928" spans="1:5" x14ac:dyDescent="0.25">
      <c r="A27928" t="s">
        <v>16</v>
      </c>
      <c r="B27928" t="s">
        <v>7666</v>
      </c>
      <c r="C27928" s="1" t="s">
        <v>23490</v>
      </c>
      <c r="D27928" s="1" t="str">
        <f>HYPERLINK("https://rhld.insurance.arkansas.gov/NPILookup?Npi=1457311607","1457311607")</f>
        <v>1457311607</v>
      </c>
      <c r="E27928" t="s">
        <v>7940</v>
      </c>
    </row>
    <row r="27929" spans="1:5" x14ac:dyDescent="0.25">
      <c r="A27929" t="s">
        <v>16</v>
      </c>
      <c r="B27929" t="s">
        <v>7666</v>
      </c>
      <c r="C27929" s="1" t="s">
        <v>23490</v>
      </c>
      <c r="D27929" s="1" t="str">
        <f>HYPERLINK("https://rhld.insurance.arkansas.gov/NPILookup?Npi=1457316002","1457316002")</f>
        <v>1457316002</v>
      </c>
      <c r="E27929" t="s">
        <v>7941</v>
      </c>
    </row>
    <row r="27930" spans="1:5" x14ac:dyDescent="0.25">
      <c r="A27930" t="s">
        <v>16</v>
      </c>
      <c r="B27930" t="s">
        <v>7666</v>
      </c>
      <c r="C27930" s="1" t="s">
        <v>23490</v>
      </c>
      <c r="D27930" s="1" t="str">
        <f>HYPERLINK("https://rhld.insurance.arkansas.gov/NPILookup?Npi=1457373466","1457373466")</f>
        <v>1457373466</v>
      </c>
      <c r="E27930" t="s">
        <v>7942</v>
      </c>
    </row>
    <row r="27931" spans="1:5" x14ac:dyDescent="0.25">
      <c r="A27931" t="s">
        <v>16</v>
      </c>
      <c r="B27931" t="s">
        <v>7666</v>
      </c>
      <c r="C27931" s="1" t="s">
        <v>23490</v>
      </c>
      <c r="D27931" s="1" t="str">
        <f>HYPERLINK("https://rhld.insurance.arkansas.gov/NPILookup?Npi=1457379083","1457379083")</f>
        <v>1457379083</v>
      </c>
      <c r="E27931" t="s">
        <v>7943</v>
      </c>
    </row>
    <row r="27932" spans="1:5" x14ac:dyDescent="0.25">
      <c r="A27932" t="s">
        <v>16</v>
      </c>
      <c r="B27932" t="s">
        <v>7666</v>
      </c>
      <c r="C27932" s="1" t="s">
        <v>23490</v>
      </c>
      <c r="D27932" s="1" t="str">
        <f>HYPERLINK("https://rhld.insurance.arkansas.gov/NPILookup?Npi=1457379398","1457379398")</f>
        <v>1457379398</v>
      </c>
      <c r="E27932" t="s">
        <v>16696</v>
      </c>
    </row>
    <row r="27933" spans="1:5" x14ac:dyDescent="0.25">
      <c r="A27933" t="s">
        <v>16</v>
      </c>
      <c r="B27933" t="s">
        <v>7666</v>
      </c>
      <c r="C27933" s="1" t="s">
        <v>23490</v>
      </c>
      <c r="D27933" s="1" t="str">
        <f>HYPERLINK("https://rhld.insurance.arkansas.gov/NPILookup?Npi=1457390080","1457390080")</f>
        <v>1457390080</v>
      </c>
      <c r="E27933" t="s">
        <v>7944</v>
      </c>
    </row>
    <row r="27934" spans="1:5" x14ac:dyDescent="0.25">
      <c r="A27934" t="s">
        <v>16</v>
      </c>
      <c r="B27934" t="s">
        <v>7666</v>
      </c>
      <c r="C27934" s="1" t="s">
        <v>23490</v>
      </c>
      <c r="D27934" s="1" t="str">
        <f>HYPERLINK("https://rhld.insurance.arkansas.gov/NPILookup?Npi=1457445991","1457445991")</f>
        <v>1457445991</v>
      </c>
      <c r="E27934" t="s">
        <v>7945</v>
      </c>
    </row>
    <row r="27935" spans="1:5" x14ac:dyDescent="0.25">
      <c r="A27935" t="s">
        <v>16</v>
      </c>
      <c r="B27935" t="s">
        <v>7666</v>
      </c>
      <c r="C27935" s="1" t="s">
        <v>23490</v>
      </c>
      <c r="D27935" s="1" t="str">
        <f>HYPERLINK("https://rhld.insurance.arkansas.gov/NPILookup?Npi=1457569881","1457569881")</f>
        <v>1457569881</v>
      </c>
      <c r="E27935" t="s">
        <v>14541</v>
      </c>
    </row>
    <row r="27936" spans="1:5" x14ac:dyDescent="0.25">
      <c r="A27936" t="s">
        <v>16</v>
      </c>
      <c r="B27936" t="s">
        <v>7666</v>
      </c>
      <c r="C27936" s="1" t="s">
        <v>23490</v>
      </c>
      <c r="D27936" s="1" t="str">
        <f>HYPERLINK("https://rhld.insurance.arkansas.gov/NPILookup?Npi=1457685331","1457685331")</f>
        <v>1457685331</v>
      </c>
      <c r="E27936" t="s">
        <v>2994</v>
      </c>
    </row>
    <row r="27937" spans="1:5" x14ac:dyDescent="0.25">
      <c r="A27937" t="s">
        <v>16</v>
      </c>
      <c r="B27937" t="s">
        <v>7666</v>
      </c>
      <c r="C27937" s="1" t="s">
        <v>23490</v>
      </c>
      <c r="D27937" s="1" t="str">
        <f>HYPERLINK("https://rhld.insurance.arkansas.gov/NPILookup?Npi=1457734063","1457734063")</f>
        <v>1457734063</v>
      </c>
      <c r="E27937" t="s">
        <v>22717</v>
      </c>
    </row>
    <row r="27938" spans="1:5" x14ac:dyDescent="0.25">
      <c r="A27938" t="s">
        <v>16</v>
      </c>
      <c r="B27938" t="s">
        <v>7666</v>
      </c>
      <c r="C27938" s="1" t="s">
        <v>23490</v>
      </c>
      <c r="D27938" s="1" t="str">
        <f>HYPERLINK("https://rhld.insurance.arkansas.gov/NPILookup?Npi=1457739831","1457739831")</f>
        <v>1457739831</v>
      </c>
      <c r="E27938" t="s">
        <v>12135</v>
      </c>
    </row>
    <row r="27939" spans="1:5" x14ac:dyDescent="0.25">
      <c r="A27939" t="s">
        <v>16</v>
      </c>
      <c r="B27939" t="s">
        <v>7666</v>
      </c>
      <c r="C27939" s="1" t="s">
        <v>23490</v>
      </c>
      <c r="D27939" s="1" t="str">
        <f>HYPERLINK("https://rhld.insurance.arkansas.gov/NPILookup?Npi=1457792350","1457792350")</f>
        <v>1457792350</v>
      </c>
      <c r="E27939" t="s">
        <v>7946</v>
      </c>
    </row>
    <row r="27940" spans="1:5" x14ac:dyDescent="0.25">
      <c r="A27940" t="s">
        <v>16</v>
      </c>
      <c r="B27940" t="s">
        <v>7666</v>
      </c>
      <c r="C27940" s="1" t="s">
        <v>23490</v>
      </c>
      <c r="D27940" s="1" t="str">
        <f>HYPERLINK("https://rhld.insurance.arkansas.gov/NPILookup?Npi=1457892119","1457892119")</f>
        <v>1457892119</v>
      </c>
      <c r="E27940" t="s">
        <v>22718</v>
      </c>
    </row>
    <row r="27941" spans="1:5" x14ac:dyDescent="0.25">
      <c r="A27941" t="s">
        <v>16</v>
      </c>
      <c r="B27941" t="s">
        <v>7666</v>
      </c>
      <c r="C27941" s="1" t="s">
        <v>23490</v>
      </c>
      <c r="D27941" s="1" t="str">
        <f>HYPERLINK("https://rhld.insurance.arkansas.gov/NPILookup?Npi=1467022590","1467022590")</f>
        <v>1467022590</v>
      </c>
      <c r="E27941" t="s">
        <v>19162</v>
      </c>
    </row>
    <row r="27942" spans="1:5" x14ac:dyDescent="0.25">
      <c r="A27942" t="s">
        <v>16</v>
      </c>
      <c r="B27942" t="s">
        <v>7666</v>
      </c>
      <c r="C27942" s="1" t="s">
        <v>23490</v>
      </c>
      <c r="D27942" s="1" t="str">
        <f>HYPERLINK("https://rhld.insurance.arkansas.gov/NPILookup?Npi=1467079194","1467079194")</f>
        <v>1467079194</v>
      </c>
      <c r="E27942" t="s">
        <v>17755</v>
      </c>
    </row>
    <row r="27943" spans="1:5" x14ac:dyDescent="0.25">
      <c r="A27943" t="s">
        <v>16</v>
      </c>
      <c r="B27943" t="s">
        <v>7666</v>
      </c>
      <c r="C27943" s="1" t="s">
        <v>23490</v>
      </c>
      <c r="D27943" s="1" t="str">
        <f>HYPERLINK("https://rhld.insurance.arkansas.gov/NPILookup?Npi=1467424374","1467424374")</f>
        <v>1467424374</v>
      </c>
      <c r="E27943" t="s">
        <v>7947</v>
      </c>
    </row>
    <row r="27944" spans="1:5" x14ac:dyDescent="0.25">
      <c r="A27944" t="s">
        <v>16</v>
      </c>
      <c r="B27944" t="s">
        <v>7666</v>
      </c>
      <c r="C27944" s="1" t="s">
        <v>23490</v>
      </c>
      <c r="D27944" s="1" t="str">
        <f>HYPERLINK("https://rhld.insurance.arkansas.gov/NPILookup?Npi=1467441634","1467441634")</f>
        <v>1467441634</v>
      </c>
      <c r="E27944" t="s">
        <v>14542</v>
      </c>
    </row>
    <row r="27945" spans="1:5" x14ac:dyDescent="0.25">
      <c r="A27945" t="s">
        <v>16</v>
      </c>
      <c r="B27945" t="s">
        <v>7666</v>
      </c>
      <c r="C27945" s="1" t="s">
        <v>23490</v>
      </c>
      <c r="D27945" s="1" t="str">
        <f>HYPERLINK("https://rhld.insurance.arkansas.gov/NPILookup?Npi=1467444026","1467444026")</f>
        <v>1467444026</v>
      </c>
      <c r="E27945" t="s">
        <v>7948</v>
      </c>
    </row>
    <row r="27946" spans="1:5" x14ac:dyDescent="0.25">
      <c r="A27946" t="s">
        <v>16</v>
      </c>
      <c r="B27946" t="s">
        <v>7666</v>
      </c>
      <c r="C27946" s="1" t="s">
        <v>23490</v>
      </c>
      <c r="D27946" s="1" t="str">
        <f>HYPERLINK("https://rhld.insurance.arkansas.gov/NPILookup?Npi=1467469718","1467469718")</f>
        <v>1467469718</v>
      </c>
      <c r="E27946" t="s">
        <v>7949</v>
      </c>
    </row>
    <row r="27947" spans="1:5" x14ac:dyDescent="0.25">
      <c r="A27947" t="s">
        <v>16</v>
      </c>
      <c r="B27947" t="s">
        <v>7666</v>
      </c>
      <c r="C27947" s="1" t="s">
        <v>23490</v>
      </c>
      <c r="D27947" s="1" t="str">
        <f>HYPERLINK("https://rhld.insurance.arkansas.gov/NPILookup?Npi=1467481796","1467481796")</f>
        <v>1467481796</v>
      </c>
      <c r="E27947" t="s">
        <v>7950</v>
      </c>
    </row>
    <row r="27948" spans="1:5" x14ac:dyDescent="0.25">
      <c r="A27948" t="s">
        <v>16</v>
      </c>
      <c r="B27948" t="s">
        <v>7666</v>
      </c>
      <c r="C27948" s="1" t="s">
        <v>23490</v>
      </c>
      <c r="D27948" s="1" t="str">
        <f>HYPERLINK("https://rhld.insurance.arkansas.gov/NPILookup?Npi=1467485359","1467485359")</f>
        <v>1467485359</v>
      </c>
      <c r="E27948" t="s">
        <v>2592</v>
      </c>
    </row>
    <row r="27949" spans="1:5" x14ac:dyDescent="0.25">
      <c r="A27949" t="s">
        <v>16</v>
      </c>
      <c r="B27949" t="s">
        <v>7666</v>
      </c>
      <c r="C27949" s="1" t="s">
        <v>23490</v>
      </c>
      <c r="D27949" s="1" t="str">
        <f>HYPERLINK("https://rhld.insurance.arkansas.gov/NPILookup?Npi=1467486753","1467486753")</f>
        <v>1467486753</v>
      </c>
      <c r="E27949" t="s">
        <v>7951</v>
      </c>
    </row>
    <row r="27950" spans="1:5" x14ac:dyDescent="0.25">
      <c r="A27950" t="s">
        <v>16</v>
      </c>
      <c r="B27950" t="s">
        <v>7666</v>
      </c>
      <c r="C27950" s="1" t="s">
        <v>23490</v>
      </c>
      <c r="D27950" s="1" t="str">
        <f>HYPERLINK("https://rhld.insurance.arkansas.gov/NPILookup?Npi=1467487744","1467487744")</f>
        <v>1467487744</v>
      </c>
      <c r="E27950" t="s">
        <v>7952</v>
      </c>
    </row>
    <row r="27951" spans="1:5" x14ac:dyDescent="0.25">
      <c r="A27951" t="s">
        <v>16</v>
      </c>
      <c r="B27951" t="s">
        <v>7666</v>
      </c>
      <c r="C27951" s="1" t="s">
        <v>23490</v>
      </c>
      <c r="D27951" s="1" t="str">
        <f>HYPERLINK("https://rhld.insurance.arkansas.gov/NPILookup?Npi=1467531970","1467531970")</f>
        <v>1467531970</v>
      </c>
      <c r="E27951" t="s">
        <v>7953</v>
      </c>
    </row>
    <row r="27952" spans="1:5" x14ac:dyDescent="0.25">
      <c r="A27952" t="s">
        <v>16</v>
      </c>
      <c r="B27952" t="s">
        <v>7666</v>
      </c>
      <c r="C27952" s="1" t="s">
        <v>23490</v>
      </c>
      <c r="D27952" s="1" t="str">
        <f>HYPERLINK("https://rhld.insurance.arkansas.gov/NPILookup?Npi=1467566521","1467566521")</f>
        <v>1467566521</v>
      </c>
      <c r="E27952" t="s">
        <v>990</v>
      </c>
    </row>
    <row r="27953" spans="1:5" x14ac:dyDescent="0.25">
      <c r="A27953" t="s">
        <v>16</v>
      </c>
      <c r="B27953" t="s">
        <v>7666</v>
      </c>
      <c r="C27953" s="1" t="s">
        <v>23490</v>
      </c>
      <c r="D27953" s="1" t="str">
        <f>HYPERLINK("https://rhld.insurance.arkansas.gov/NPILookup?Npi=1467568675","1467568675")</f>
        <v>1467568675</v>
      </c>
      <c r="E27953" t="s">
        <v>7954</v>
      </c>
    </row>
    <row r="27954" spans="1:5" x14ac:dyDescent="0.25">
      <c r="A27954" t="s">
        <v>16</v>
      </c>
      <c r="B27954" t="s">
        <v>7666</v>
      </c>
      <c r="C27954" s="1" t="s">
        <v>23490</v>
      </c>
      <c r="D27954" s="1" t="str">
        <f>HYPERLINK("https://rhld.insurance.arkansas.gov/NPILookup?Npi=1467613711","1467613711")</f>
        <v>1467613711</v>
      </c>
      <c r="E27954" t="s">
        <v>7955</v>
      </c>
    </row>
    <row r="27955" spans="1:5" x14ac:dyDescent="0.25">
      <c r="A27955" t="s">
        <v>16</v>
      </c>
      <c r="B27955" t="s">
        <v>7666</v>
      </c>
      <c r="C27955" s="1" t="s">
        <v>23490</v>
      </c>
      <c r="D27955" s="1" t="str">
        <f>HYPERLINK("https://rhld.insurance.arkansas.gov/NPILookup?Npi=1467644229","1467644229")</f>
        <v>1467644229</v>
      </c>
      <c r="E27955" t="s">
        <v>7956</v>
      </c>
    </row>
    <row r="27956" spans="1:5" x14ac:dyDescent="0.25">
      <c r="A27956" t="s">
        <v>16</v>
      </c>
      <c r="B27956" t="s">
        <v>7666</v>
      </c>
      <c r="C27956" s="1" t="s">
        <v>23490</v>
      </c>
      <c r="D27956" s="1" t="str">
        <f>HYPERLINK("https://rhld.insurance.arkansas.gov/NPILookup?Npi=1467696518","1467696518")</f>
        <v>1467696518</v>
      </c>
      <c r="E27956" t="s">
        <v>7957</v>
      </c>
    </row>
    <row r="27957" spans="1:5" x14ac:dyDescent="0.25">
      <c r="A27957" t="s">
        <v>16</v>
      </c>
      <c r="B27957" t="s">
        <v>7666</v>
      </c>
      <c r="C27957" s="1" t="s">
        <v>23490</v>
      </c>
      <c r="D27957" s="1" t="str">
        <f>HYPERLINK("https://rhld.insurance.arkansas.gov/NPILookup?Npi=1467878520","1467878520")</f>
        <v>1467878520</v>
      </c>
      <c r="E27957" t="s">
        <v>7958</v>
      </c>
    </row>
    <row r="27958" spans="1:5" x14ac:dyDescent="0.25">
      <c r="A27958" t="s">
        <v>16</v>
      </c>
      <c r="B27958" t="s">
        <v>7666</v>
      </c>
      <c r="C27958" s="1" t="s">
        <v>23490</v>
      </c>
      <c r="D27958" s="1" t="str">
        <f>HYPERLINK("https://rhld.insurance.arkansas.gov/NPILookup?Npi=1467907832","1467907832")</f>
        <v>1467907832</v>
      </c>
      <c r="E27958" t="s">
        <v>14543</v>
      </c>
    </row>
    <row r="27959" spans="1:5" x14ac:dyDescent="0.25">
      <c r="A27959" t="s">
        <v>16</v>
      </c>
      <c r="B27959" t="s">
        <v>7666</v>
      </c>
      <c r="C27959" s="1" t="s">
        <v>23490</v>
      </c>
      <c r="D27959" s="1" t="str">
        <f>HYPERLINK("https://rhld.insurance.arkansas.gov/NPILookup?Npi=1467974287","1467974287")</f>
        <v>1467974287</v>
      </c>
      <c r="E27959" t="s">
        <v>5803</v>
      </c>
    </row>
    <row r="27960" spans="1:5" x14ac:dyDescent="0.25">
      <c r="A27960" t="s">
        <v>16</v>
      </c>
      <c r="B27960" t="s">
        <v>7666</v>
      </c>
      <c r="C27960" s="1" t="s">
        <v>23490</v>
      </c>
      <c r="D27960" s="1" t="str">
        <f>HYPERLINK("https://rhld.insurance.arkansas.gov/NPILookup?Npi=1477510212","1477510212")</f>
        <v>1477510212</v>
      </c>
      <c r="E27960" t="s">
        <v>7959</v>
      </c>
    </row>
    <row r="27961" spans="1:5" x14ac:dyDescent="0.25">
      <c r="A27961" t="s">
        <v>16</v>
      </c>
      <c r="B27961" t="s">
        <v>7666</v>
      </c>
      <c r="C27961" s="1" t="s">
        <v>23490</v>
      </c>
      <c r="D27961" s="1" t="str">
        <f>HYPERLINK("https://rhld.insurance.arkansas.gov/NPILookup?Npi=1477510857","1477510857")</f>
        <v>1477510857</v>
      </c>
      <c r="E27961" t="s">
        <v>4844</v>
      </c>
    </row>
    <row r="27962" spans="1:5" x14ac:dyDescent="0.25">
      <c r="A27962" t="s">
        <v>16</v>
      </c>
      <c r="B27962" t="s">
        <v>7666</v>
      </c>
      <c r="C27962" s="1" t="s">
        <v>23490</v>
      </c>
      <c r="D27962" s="1" t="str">
        <f>HYPERLINK("https://rhld.insurance.arkansas.gov/NPILookup?Npi=1477524973","1477524973")</f>
        <v>1477524973</v>
      </c>
      <c r="E27962" t="s">
        <v>7960</v>
      </c>
    </row>
    <row r="27963" spans="1:5" x14ac:dyDescent="0.25">
      <c r="A27963" t="s">
        <v>16</v>
      </c>
      <c r="B27963" t="s">
        <v>7666</v>
      </c>
      <c r="C27963" s="1" t="s">
        <v>23490</v>
      </c>
      <c r="D27963" s="1" t="str">
        <f>HYPERLINK("https://rhld.insurance.arkansas.gov/NPILookup?Npi=1477580330","1477580330")</f>
        <v>1477580330</v>
      </c>
      <c r="E27963" t="s">
        <v>2144</v>
      </c>
    </row>
    <row r="27964" spans="1:5" x14ac:dyDescent="0.25">
      <c r="A27964" t="s">
        <v>16</v>
      </c>
      <c r="B27964" t="s">
        <v>7666</v>
      </c>
      <c r="C27964" s="1" t="s">
        <v>23490</v>
      </c>
      <c r="D27964" s="1" t="str">
        <f>HYPERLINK("https://rhld.insurance.arkansas.gov/NPILookup?Npi=1477586360","1477586360")</f>
        <v>1477586360</v>
      </c>
      <c r="E27964" t="s">
        <v>16697</v>
      </c>
    </row>
    <row r="27965" spans="1:5" x14ac:dyDescent="0.25">
      <c r="A27965" t="s">
        <v>16</v>
      </c>
      <c r="B27965" t="s">
        <v>7666</v>
      </c>
      <c r="C27965" s="1" t="s">
        <v>23490</v>
      </c>
      <c r="D27965" s="1" t="str">
        <f>HYPERLINK("https://rhld.insurance.arkansas.gov/NPILookup?Npi=1477636033","1477636033")</f>
        <v>1477636033</v>
      </c>
      <c r="E27965" t="s">
        <v>7961</v>
      </c>
    </row>
    <row r="27966" spans="1:5" x14ac:dyDescent="0.25">
      <c r="A27966" t="s">
        <v>16</v>
      </c>
      <c r="B27966" t="s">
        <v>7666</v>
      </c>
      <c r="C27966" s="1" t="s">
        <v>23490</v>
      </c>
      <c r="D27966" s="1" t="str">
        <f>HYPERLINK("https://rhld.insurance.arkansas.gov/NPILookup?Npi=1477643906","1477643906")</f>
        <v>1477643906</v>
      </c>
      <c r="E27966" t="s">
        <v>7962</v>
      </c>
    </row>
    <row r="27967" spans="1:5" x14ac:dyDescent="0.25">
      <c r="A27967" t="s">
        <v>16</v>
      </c>
      <c r="B27967" t="s">
        <v>7666</v>
      </c>
      <c r="C27967" s="1" t="s">
        <v>23490</v>
      </c>
      <c r="D27967" s="1" t="str">
        <f>HYPERLINK("https://rhld.insurance.arkansas.gov/NPILookup?Npi=1477656213","1477656213")</f>
        <v>1477656213</v>
      </c>
      <c r="E27967" t="s">
        <v>7963</v>
      </c>
    </row>
    <row r="27968" spans="1:5" x14ac:dyDescent="0.25">
      <c r="A27968" t="s">
        <v>16</v>
      </c>
      <c r="B27968" t="s">
        <v>7666</v>
      </c>
      <c r="C27968" s="1" t="s">
        <v>23490</v>
      </c>
      <c r="D27968" s="1" t="str">
        <f>HYPERLINK("https://rhld.insurance.arkansas.gov/NPILookup?Npi=1477723187","1477723187")</f>
        <v>1477723187</v>
      </c>
      <c r="E27968" t="s">
        <v>22719</v>
      </c>
    </row>
    <row r="27969" spans="1:5" x14ac:dyDescent="0.25">
      <c r="A27969" t="s">
        <v>16</v>
      </c>
      <c r="B27969" t="s">
        <v>7666</v>
      </c>
      <c r="C27969" s="1" t="s">
        <v>23490</v>
      </c>
      <c r="D27969" s="1" t="str">
        <f>HYPERLINK("https://rhld.insurance.arkansas.gov/NPILookup?Npi=1477931863","1477931863")</f>
        <v>1477931863</v>
      </c>
      <c r="E27969" t="s">
        <v>16698</v>
      </c>
    </row>
    <row r="27970" spans="1:5" x14ac:dyDescent="0.25">
      <c r="A27970" t="s">
        <v>16</v>
      </c>
      <c r="B27970" t="s">
        <v>7666</v>
      </c>
      <c r="C27970" s="1" t="s">
        <v>23490</v>
      </c>
      <c r="D27970" s="1" t="str">
        <f>HYPERLINK("https://rhld.insurance.arkansas.gov/NPILookup?Npi=1477960763","1477960763")</f>
        <v>1477960763</v>
      </c>
      <c r="E27970" t="s">
        <v>16699</v>
      </c>
    </row>
    <row r="27971" spans="1:5" x14ac:dyDescent="0.25">
      <c r="A27971" t="s">
        <v>16</v>
      </c>
      <c r="B27971" t="s">
        <v>7666</v>
      </c>
      <c r="C27971" s="1" t="s">
        <v>23490</v>
      </c>
      <c r="D27971" s="1" t="str">
        <f>HYPERLINK("https://rhld.insurance.arkansas.gov/NPILookup?Npi=1487033759","1487033759")</f>
        <v>1487033759</v>
      </c>
      <c r="E27971" t="s">
        <v>20773</v>
      </c>
    </row>
    <row r="27972" spans="1:5" x14ac:dyDescent="0.25">
      <c r="A27972" t="s">
        <v>16</v>
      </c>
      <c r="B27972" t="s">
        <v>7666</v>
      </c>
      <c r="C27972" s="1" t="s">
        <v>23490</v>
      </c>
      <c r="D27972" s="1" t="str">
        <f>HYPERLINK("https://rhld.insurance.arkansas.gov/NPILookup?Npi=1487618401","1487618401")</f>
        <v>1487618401</v>
      </c>
      <c r="E27972" t="s">
        <v>7964</v>
      </c>
    </row>
    <row r="27973" spans="1:5" x14ac:dyDescent="0.25">
      <c r="A27973" t="s">
        <v>16</v>
      </c>
      <c r="B27973" t="s">
        <v>7666</v>
      </c>
      <c r="C27973" s="1" t="s">
        <v>23490</v>
      </c>
      <c r="D27973" s="1" t="str">
        <f>HYPERLINK("https://rhld.insurance.arkansas.gov/NPILookup?Npi=1487629481","1487629481")</f>
        <v>1487629481</v>
      </c>
      <c r="E27973" t="s">
        <v>7965</v>
      </c>
    </row>
    <row r="27974" spans="1:5" x14ac:dyDescent="0.25">
      <c r="A27974" t="s">
        <v>16</v>
      </c>
      <c r="B27974" t="s">
        <v>7666</v>
      </c>
      <c r="C27974" s="1" t="s">
        <v>23490</v>
      </c>
      <c r="D27974" s="1" t="str">
        <f>HYPERLINK("https://rhld.insurance.arkansas.gov/NPILookup?Npi=1487713822","1487713822")</f>
        <v>1487713822</v>
      </c>
      <c r="E27974" t="s">
        <v>7966</v>
      </c>
    </row>
    <row r="27975" spans="1:5" x14ac:dyDescent="0.25">
      <c r="A27975" t="s">
        <v>16</v>
      </c>
      <c r="B27975" t="s">
        <v>7666</v>
      </c>
      <c r="C27975" s="1" t="s">
        <v>23490</v>
      </c>
      <c r="D27975" s="1" t="str">
        <f>HYPERLINK("https://rhld.insurance.arkansas.gov/NPILookup?Npi=1487724498","1487724498")</f>
        <v>1487724498</v>
      </c>
      <c r="E27975" t="s">
        <v>7967</v>
      </c>
    </row>
    <row r="27976" spans="1:5" x14ac:dyDescent="0.25">
      <c r="A27976" t="s">
        <v>16</v>
      </c>
      <c r="B27976" t="s">
        <v>7666</v>
      </c>
      <c r="C27976" s="1" t="s">
        <v>23490</v>
      </c>
      <c r="D27976" s="1" t="str">
        <f>HYPERLINK("https://rhld.insurance.arkansas.gov/NPILookup?Npi=1487744975","1487744975")</f>
        <v>1487744975</v>
      </c>
      <c r="E27976" t="s">
        <v>7968</v>
      </c>
    </row>
    <row r="27977" spans="1:5" x14ac:dyDescent="0.25">
      <c r="A27977" t="s">
        <v>16</v>
      </c>
      <c r="B27977" t="s">
        <v>7666</v>
      </c>
      <c r="C27977" s="1" t="s">
        <v>23490</v>
      </c>
      <c r="D27977" s="1" t="str">
        <f>HYPERLINK("https://rhld.insurance.arkansas.gov/NPILookup?Npi=1487779062","1487779062")</f>
        <v>1487779062</v>
      </c>
      <c r="E27977" t="s">
        <v>14544</v>
      </c>
    </row>
    <row r="27978" spans="1:5" x14ac:dyDescent="0.25">
      <c r="A27978" t="s">
        <v>16</v>
      </c>
      <c r="B27978" t="s">
        <v>7666</v>
      </c>
      <c r="C27978" s="1" t="s">
        <v>23490</v>
      </c>
      <c r="D27978" s="1" t="str">
        <f>HYPERLINK("https://rhld.insurance.arkansas.gov/NPILookup?Npi=1487829347","1487829347")</f>
        <v>1487829347</v>
      </c>
      <c r="E27978" t="s">
        <v>12136</v>
      </c>
    </row>
    <row r="27979" spans="1:5" x14ac:dyDescent="0.25">
      <c r="A27979" t="s">
        <v>16</v>
      </c>
      <c r="B27979" t="s">
        <v>7666</v>
      </c>
      <c r="C27979" s="1" t="s">
        <v>23490</v>
      </c>
      <c r="D27979" s="1" t="str">
        <f>HYPERLINK("https://rhld.insurance.arkansas.gov/NPILookup?Npi=1487844171","1487844171")</f>
        <v>1487844171</v>
      </c>
      <c r="E27979" t="s">
        <v>7969</v>
      </c>
    </row>
    <row r="27980" spans="1:5" x14ac:dyDescent="0.25">
      <c r="A27980" t="s">
        <v>16</v>
      </c>
      <c r="B27980" t="s">
        <v>7666</v>
      </c>
      <c r="C27980" s="1" t="s">
        <v>23490</v>
      </c>
      <c r="D27980" s="1" t="str">
        <f>HYPERLINK("https://rhld.insurance.arkansas.gov/NPILookup?Npi=1487884359","1487884359")</f>
        <v>1487884359</v>
      </c>
      <c r="E27980" t="s">
        <v>7970</v>
      </c>
    </row>
    <row r="27981" spans="1:5" x14ac:dyDescent="0.25">
      <c r="A27981" t="s">
        <v>16</v>
      </c>
      <c r="B27981" t="s">
        <v>7666</v>
      </c>
      <c r="C27981" s="1" t="s">
        <v>23490</v>
      </c>
      <c r="D27981" s="1" t="str">
        <f>HYPERLINK("https://rhld.insurance.arkansas.gov/NPILookup?Npi=1487884813","1487884813")</f>
        <v>1487884813</v>
      </c>
      <c r="E27981" t="s">
        <v>7971</v>
      </c>
    </row>
    <row r="27982" spans="1:5" x14ac:dyDescent="0.25">
      <c r="A27982" t="s">
        <v>16</v>
      </c>
      <c r="B27982" t="s">
        <v>7666</v>
      </c>
      <c r="C27982" s="1" t="s">
        <v>23490</v>
      </c>
      <c r="D27982" s="1" t="str">
        <f>HYPERLINK("https://rhld.insurance.arkansas.gov/NPILookup?Npi=1487910691","1487910691")</f>
        <v>1487910691</v>
      </c>
      <c r="E27982" t="s">
        <v>12137</v>
      </c>
    </row>
    <row r="27983" spans="1:5" x14ac:dyDescent="0.25">
      <c r="A27983" t="s">
        <v>16</v>
      </c>
      <c r="B27983" t="s">
        <v>7666</v>
      </c>
      <c r="C27983" s="1" t="s">
        <v>23490</v>
      </c>
      <c r="D27983" s="1" t="str">
        <f>HYPERLINK("https://rhld.insurance.arkansas.gov/NPILookup?Npi=1487915963","1487915963")</f>
        <v>1487915963</v>
      </c>
      <c r="E27983" t="s">
        <v>7972</v>
      </c>
    </row>
    <row r="27984" spans="1:5" x14ac:dyDescent="0.25">
      <c r="A27984" t="s">
        <v>16</v>
      </c>
      <c r="B27984" t="s">
        <v>7666</v>
      </c>
      <c r="C27984" s="1" t="s">
        <v>23490</v>
      </c>
      <c r="D27984" s="1" t="str">
        <f>HYPERLINK("https://rhld.insurance.arkansas.gov/NPILookup?Npi=1497169247","1497169247")</f>
        <v>1497169247</v>
      </c>
      <c r="E27984" t="s">
        <v>7973</v>
      </c>
    </row>
    <row r="27985" spans="1:5" x14ac:dyDescent="0.25">
      <c r="A27985" t="s">
        <v>16</v>
      </c>
      <c r="B27985" t="s">
        <v>7666</v>
      </c>
      <c r="C27985" s="1" t="s">
        <v>23490</v>
      </c>
      <c r="D27985" s="1" t="str">
        <f>HYPERLINK("https://rhld.insurance.arkansas.gov/NPILookup?Npi=1497373088","1497373088")</f>
        <v>1497373088</v>
      </c>
      <c r="E27985" t="s">
        <v>17756</v>
      </c>
    </row>
    <row r="27986" spans="1:5" x14ac:dyDescent="0.25">
      <c r="A27986" t="s">
        <v>16</v>
      </c>
      <c r="B27986" t="s">
        <v>7666</v>
      </c>
      <c r="C27986" s="1" t="s">
        <v>23490</v>
      </c>
      <c r="D27986" s="1" t="str">
        <f>HYPERLINK("https://rhld.insurance.arkansas.gov/NPILookup?Npi=1497714075","1497714075")</f>
        <v>1497714075</v>
      </c>
      <c r="E27986" t="s">
        <v>7974</v>
      </c>
    </row>
    <row r="27987" spans="1:5" x14ac:dyDescent="0.25">
      <c r="A27987" t="s">
        <v>16</v>
      </c>
      <c r="B27987" t="s">
        <v>7666</v>
      </c>
      <c r="C27987" s="1" t="s">
        <v>23490</v>
      </c>
      <c r="D27987" s="1" t="str">
        <f>HYPERLINK("https://rhld.insurance.arkansas.gov/NPILookup?Npi=1497783864","1497783864")</f>
        <v>1497783864</v>
      </c>
      <c r="E27987" t="s">
        <v>16700</v>
      </c>
    </row>
    <row r="27988" spans="1:5" x14ac:dyDescent="0.25">
      <c r="A27988" t="s">
        <v>16</v>
      </c>
      <c r="B27988" t="s">
        <v>7666</v>
      </c>
      <c r="C27988" s="1" t="s">
        <v>23490</v>
      </c>
      <c r="D27988" s="1" t="str">
        <f>HYPERLINK("https://rhld.insurance.arkansas.gov/NPILookup?Npi=1497913982","1497913982")</f>
        <v>1497913982</v>
      </c>
      <c r="E27988" t="s">
        <v>16701</v>
      </c>
    </row>
    <row r="27989" spans="1:5" x14ac:dyDescent="0.25">
      <c r="A27989" t="s">
        <v>16</v>
      </c>
      <c r="B27989" t="s">
        <v>7666</v>
      </c>
      <c r="C27989" s="1" t="s">
        <v>23490</v>
      </c>
      <c r="D27989" s="1" t="str">
        <f>HYPERLINK("https://rhld.insurance.arkansas.gov/NPILookup?Npi=1508027277","1508027277")</f>
        <v>1508027277</v>
      </c>
      <c r="E27989" t="s">
        <v>7975</v>
      </c>
    </row>
    <row r="27990" spans="1:5" x14ac:dyDescent="0.25">
      <c r="A27990" t="s">
        <v>16</v>
      </c>
      <c r="B27990" t="s">
        <v>7666</v>
      </c>
      <c r="C27990" s="1" t="s">
        <v>23490</v>
      </c>
      <c r="D27990" s="1" t="str">
        <f>HYPERLINK("https://rhld.insurance.arkansas.gov/NPILookup?Npi=1508028218","1508028218")</f>
        <v>1508028218</v>
      </c>
      <c r="E27990" t="s">
        <v>7976</v>
      </c>
    </row>
    <row r="27991" spans="1:5" x14ac:dyDescent="0.25">
      <c r="A27991" t="s">
        <v>16</v>
      </c>
      <c r="B27991" t="s">
        <v>7666</v>
      </c>
      <c r="C27991" s="1" t="s">
        <v>23490</v>
      </c>
      <c r="D27991" s="1" t="str">
        <f>HYPERLINK("https://rhld.insurance.arkansas.gov/NPILookup?Npi=1508063520","1508063520")</f>
        <v>1508063520</v>
      </c>
      <c r="E27991" t="s">
        <v>7977</v>
      </c>
    </row>
    <row r="27992" spans="1:5" x14ac:dyDescent="0.25">
      <c r="A27992" t="s">
        <v>16</v>
      </c>
      <c r="B27992" t="s">
        <v>7666</v>
      </c>
      <c r="C27992" s="1" t="s">
        <v>23490</v>
      </c>
      <c r="D27992" s="1" t="str">
        <f>HYPERLINK("https://rhld.insurance.arkansas.gov/NPILookup?Npi=1508350950","1508350950")</f>
        <v>1508350950</v>
      </c>
      <c r="E27992" t="s">
        <v>14545</v>
      </c>
    </row>
    <row r="27993" spans="1:5" x14ac:dyDescent="0.25">
      <c r="A27993" t="s">
        <v>16</v>
      </c>
      <c r="B27993" t="s">
        <v>7666</v>
      </c>
      <c r="C27993" s="1" t="s">
        <v>23490</v>
      </c>
      <c r="D27993" s="1" t="str">
        <f>HYPERLINK("https://rhld.insurance.arkansas.gov/NPILookup?Npi=1508360553","1508360553")</f>
        <v>1508360553</v>
      </c>
      <c r="E27993" t="s">
        <v>16702</v>
      </c>
    </row>
    <row r="27994" spans="1:5" x14ac:dyDescent="0.25">
      <c r="A27994" t="s">
        <v>16</v>
      </c>
      <c r="B27994" t="s">
        <v>7666</v>
      </c>
      <c r="C27994" s="1" t="s">
        <v>23490</v>
      </c>
      <c r="D27994" s="1" t="str">
        <f>HYPERLINK("https://rhld.insurance.arkansas.gov/NPILookup?Npi=1508803487","1508803487")</f>
        <v>1508803487</v>
      </c>
      <c r="E27994" t="s">
        <v>7797</v>
      </c>
    </row>
    <row r="27995" spans="1:5" x14ac:dyDescent="0.25">
      <c r="A27995" t="s">
        <v>16</v>
      </c>
      <c r="B27995" t="s">
        <v>7666</v>
      </c>
      <c r="C27995" s="1" t="s">
        <v>23490</v>
      </c>
      <c r="D27995" s="1" t="str">
        <f>HYPERLINK("https://rhld.insurance.arkansas.gov/NPILookup?Npi=1508812686","1508812686")</f>
        <v>1508812686</v>
      </c>
      <c r="E27995" t="s">
        <v>7978</v>
      </c>
    </row>
    <row r="27996" spans="1:5" x14ac:dyDescent="0.25">
      <c r="A27996" t="s">
        <v>16</v>
      </c>
      <c r="B27996" t="s">
        <v>7666</v>
      </c>
      <c r="C27996" s="1" t="s">
        <v>23490</v>
      </c>
      <c r="D27996" s="1" t="str">
        <f>HYPERLINK("https://rhld.insurance.arkansas.gov/NPILookup?Npi=1508830357","1508830357")</f>
        <v>1508830357</v>
      </c>
      <c r="E27996" t="s">
        <v>7979</v>
      </c>
    </row>
    <row r="27997" spans="1:5" x14ac:dyDescent="0.25">
      <c r="A27997" t="s">
        <v>16</v>
      </c>
      <c r="B27997" t="s">
        <v>7666</v>
      </c>
      <c r="C27997" s="1" t="s">
        <v>23490</v>
      </c>
      <c r="D27997" s="1" t="str">
        <f>HYPERLINK("https://rhld.insurance.arkansas.gov/NPILookup?Npi=1508869009","1508869009")</f>
        <v>1508869009</v>
      </c>
      <c r="E27997" t="s">
        <v>7980</v>
      </c>
    </row>
    <row r="27998" spans="1:5" x14ac:dyDescent="0.25">
      <c r="A27998" t="s">
        <v>16</v>
      </c>
      <c r="B27998" t="s">
        <v>7666</v>
      </c>
      <c r="C27998" s="1" t="s">
        <v>23490</v>
      </c>
      <c r="D27998" s="1" t="str">
        <f>HYPERLINK("https://rhld.insurance.arkansas.gov/NPILookup?Npi=1508875139","1508875139")</f>
        <v>1508875139</v>
      </c>
      <c r="E27998" t="s">
        <v>21311</v>
      </c>
    </row>
    <row r="27999" spans="1:5" x14ac:dyDescent="0.25">
      <c r="A27999" t="s">
        <v>16</v>
      </c>
      <c r="B27999" t="s">
        <v>7666</v>
      </c>
      <c r="C27999" s="1" t="s">
        <v>23490</v>
      </c>
      <c r="D27999" s="1" t="str">
        <f>HYPERLINK("https://rhld.insurance.arkansas.gov/NPILookup?Npi=1508894304","1508894304")</f>
        <v>1508894304</v>
      </c>
      <c r="E27999" t="s">
        <v>7981</v>
      </c>
    </row>
    <row r="28000" spans="1:5" x14ac:dyDescent="0.25">
      <c r="A28000" t="s">
        <v>16</v>
      </c>
      <c r="B28000" t="s">
        <v>7666</v>
      </c>
      <c r="C28000" s="1" t="s">
        <v>23490</v>
      </c>
      <c r="D28000" s="1" t="str">
        <f>HYPERLINK("https://rhld.insurance.arkansas.gov/NPILookup?Npi=1508910167","1508910167")</f>
        <v>1508910167</v>
      </c>
      <c r="E28000" t="s">
        <v>17311</v>
      </c>
    </row>
    <row r="28001" spans="1:5" x14ac:dyDescent="0.25">
      <c r="A28001" t="s">
        <v>16</v>
      </c>
      <c r="B28001" t="s">
        <v>7666</v>
      </c>
      <c r="C28001" s="1" t="s">
        <v>23490</v>
      </c>
      <c r="D28001" s="1" t="str">
        <f>HYPERLINK("https://rhld.insurance.arkansas.gov/NPILookup?Npi=1508915448","1508915448")</f>
        <v>1508915448</v>
      </c>
      <c r="E28001" t="s">
        <v>196</v>
      </c>
    </row>
    <row r="28002" spans="1:5" x14ac:dyDescent="0.25">
      <c r="A28002" t="s">
        <v>16</v>
      </c>
      <c r="B28002" t="s">
        <v>7666</v>
      </c>
      <c r="C28002" s="1" t="s">
        <v>23490</v>
      </c>
      <c r="D28002" s="1" t="str">
        <f>HYPERLINK("https://rhld.insurance.arkansas.gov/NPILookup?Npi=1518016435","1518016435")</f>
        <v>1518016435</v>
      </c>
      <c r="E28002" t="s">
        <v>14546</v>
      </c>
    </row>
    <row r="28003" spans="1:5" x14ac:dyDescent="0.25">
      <c r="A28003" t="s">
        <v>16</v>
      </c>
      <c r="B28003" t="s">
        <v>7666</v>
      </c>
      <c r="C28003" s="1" t="s">
        <v>23490</v>
      </c>
      <c r="D28003" s="1" t="str">
        <f>HYPERLINK("https://rhld.insurance.arkansas.gov/NPILookup?Npi=1518021609","1518021609")</f>
        <v>1518021609</v>
      </c>
      <c r="E28003" t="s">
        <v>7982</v>
      </c>
    </row>
    <row r="28004" spans="1:5" x14ac:dyDescent="0.25">
      <c r="A28004" t="s">
        <v>16</v>
      </c>
      <c r="B28004" t="s">
        <v>7666</v>
      </c>
      <c r="C28004" s="1" t="s">
        <v>23490</v>
      </c>
      <c r="D28004" s="1" t="str">
        <f>HYPERLINK("https://rhld.insurance.arkansas.gov/NPILookup?Npi=1518122159","1518122159")</f>
        <v>1518122159</v>
      </c>
      <c r="E28004" t="s">
        <v>7983</v>
      </c>
    </row>
    <row r="28005" spans="1:5" x14ac:dyDescent="0.25">
      <c r="A28005" t="s">
        <v>16</v>
      </c>
      <c r="B28005" t="s">
        <v>7666</v>
      </c>
      <c r="C28005" s="1" t="s">
        <v>23490</v>
      </c>
      <c r="D28005" s="1" t="str">
        <f>HYPERLINK("https://rhld.insurance.arkansas.gov/NPILookup?Npi=1518182526","1518182526")</f>
        <v>1518182526</v>
      </c>
      <c r="E28005" t="s">
        <v>7984</v>
      </c>
    </row>
    <row r="28006" spans="1:5" x14ac:dyDescent="0.25">
      <c r="A28006" t="s">
        <v>16</v>
      </c>
      <c r="B28006" t="s">
        <v>7666</v>
      </c>
      <c r="C28006" s="1" t="s">
        <v>23490</v>
      </c>
      <c r="D28006" s="1" t="str">
        <f>HYPERLINK("https://rhld.insurance.arkansas.gov/NPILookup?Npi=1518187459","1518187459")</f>
        <v>1518187459</v>
      </c>
      <c r="E28006" t="s">
        <v>6571</v>
      </c>
    </row>
    <row r="28007" spans="1:5" x14ac:dyDescent="0.25">
      <c r="A28007" t="s">
        <v>16</v>
      </c>
      <c r="B28007" t="s">
        <v>7666</v>
      </c>
      <c r="C28007" s="1" t="s">
        <v>23490</v>
      </c>
      <c r="D28007" s="1" t="str">
        <f>HYPERLINK("https://rhld.insurance.arkansas.gov/NPILookup?Npi=1518412600","1518412600")</f>
        <v>1518412600</v>
      </c>
      <c r="E28007" t="s">
        <v>4838</v>
      </c>
    </row>
    <row r="28008" spans="1:5" x14ac:dyDescent="0.25">
      <c r="A28008" t="s">
        <v>16</v>
      </c>
      <c r="B28008" t="s">
        <v>7666</v>
      </c>
      <c r="C28008" s="1" t="s">
        <v>23490</v>
      </c>
      <c r="D28008" s="1" t="str">
        <f>HYPERLINK("https://rhld.insurance.arkansas.gov/NPILookup?Npi=1518906106","1518906106")</f>
        <v>1518906106</v>
      </c>
      <c r="E28008" t="s">
        <v>14547</v>
      </c>
    </row>
    <row r="28009" spans="1:5" x14ac:dyDescent="0.25">
      <c r="A28009" t="s">
        <v>16</v>
      </c>
      <c r="B28009" t="s">
        <v>7666</v>
      </c>
      <c r="C28009" s="1" t="s">
        <v>23490</v>
      </c>
      <c r="D28009" s="1" t="str">
        <f>HYPERLINK("https://rhld.insurance.arkansas.gov/NPILookup?Npi=1518932730","1518932730")</f>
        <v>1518932730</v>
      </c>
      <c r="E28009" t="s">
        <v>7985</v>
      </c>
    </row>
    <row r="28010" spans="1:5" x14ac:dyDescent="0.25">
      <c r="A28010" t="s">
        <v>16</v>
      </c>
      <c r="B28010" t="s">
        <v>7666</v>
      </c>
      <c r="C28010" s="1" t="s">
        <v>23490</v>
      </c>
      <c r="D28010" s="1" t="str">
        <f>HYPERLINK("https://rhld.insurance.arkansas.gov/NPILookup?Npi=1518932805","1518932805")</f>
        <v>1518932805</v>
      </c>
      <c r="E28010" t="s">
        <v>7986</v>
      </c>
    </row>
    <row r="28011" spans="1:5" x14ac:dyDescent="0.25">
      <c r="A28011" t="s">
        <v>16</v>
      </c>
      <c r="B28011" t="s">
        <v>7666</v>
      </c>
      <c r="C28011" s="1" t="s">
        <v>23490</v>
      </c>
      <c r="D28011" s="1" t="str">
        <f>HYPERLINK("https://rhld.insurance.arkansas.gov/NPILookup?Npi=1518936376","1518936376")</f>
        <v>1518936376</v>
      </c>
      <c r="E28011" t="s">
        <v>7987</v>
      </c>
    </row>
    <row r="28012" spans="1:5" x14ac:dyDescent="0.25">
      <c r="A28012" t="s">
        <v>16</v>
      </c>
      <c r="B28012" t="s">
        <v>7666</v>
      </c>
      <c r="C28012" s="1" t="s">
        <v>23490</v>
      </c>
      <c r="D28012" s="1" t="str">
        <f>HYPERLINK("https://rhld.insurance.arkansas.gov/NPILookup?Npi=1518956119","1518956119")</f>
        <v>1518956119</v>
      </c>
      <c r="E28012" t="s">
        <v>7988</v>
      </c>
    </row>
    <row r="28013" spans="1:5" x14ac:dyDescent="0.25">
      <c r="A28013" t="s">
        <v>16</v>
      </c>
      <c r="B28013" t="s">
        <v>7666</v>
      </c>
      <c r="C28013" s="1" t="s">
        <v>23490</v>
      </c>
      <c r="D28013" s="1" t="str">
        <f>HYPERLINK("https://rhld.insurance.arkansas.gov/NPILookup?Npi=1518960848","1518960848")</f>
        <v>1518960848</v>
      </c>
      <c r="E28013" t="s">
        <v>7989</v>
      </c>
    </row>
    <row r="28014" spans="1:5" x14ac:dyDescent="0.25">
      <c r="A28014" t="s">
        <v>16</v>
      </c>
      <c r="B28014" t="s">
        <v>7666</v>
      </c>
      <c r="C28014" s="1" t="s">
        <v>23490</v>
      </c>
      <c r="D28014" s="1" t="str">
        <f>HYPERLINK("https://rhld.insurance.arkansas.gov/NPILookup?Npi=1518961929","1518961929")</f>
        <v>1518961929</v>
      </c>
      <c r="E28014" t="s">
        <v>7990</v>
      </c>
    </row>
    <row r="28015" spans="1:5" x14ac:dyDescent="0.25">
      <c r="A28015" t="s">
        <v>16</v>
      </c>
      <c r="B28015" t="s">
        <v>7666</v>
      </c>
      <c r="C28015" s="1" t="s">
        <v>23490</v>
      </c>
      <c r="D28015" s="1" t="str">
        <f>HYPERLINK("https://rhld.insurance.arkansas.gov/NPILookup?Npi=1518980051","1518980051")</f>
        <v>1518980051</v>
      </c>
      <c r="E28015" t="s">
        <v>16703</v>
      </c>
    </row>
    <row r="28016" spans="1:5" x14ac:dyDescent="0.25">
      <c r="A28016" t="s">
        <v>16</v>
      </c>
      <c r="B28016" t="s">
        <v>7666</v>
      </c>
      <c r="C28016" s="1" t="s">
        <v>23490</v>
      </c>
      <c r="D28016" s="1" t="str">
        <f>HYPERLINK("https://rhld.insurance.arkansas.gov/NPILookup?Npi=1528047586","1528047586")</f>
        <v>1528047586</v>
      </c>
      <c r="E28016" t="s">
        <v>16704</v>
      </c>
    </row>
    <row r="28017" spans="1:5" x14ac:dyDescent="0.25">
      <c r="A28017" t="s">
        <v>16</v>
      </c>
      <c r="B28017" t="s">
        <v>7666</v>
      </c>
      <c r="C28017" s="1" t="s">
        <v>23490</v>
      </c>
      <c r="D28017" s="1" t="str">
        <f>HYPERLINK("https://rhld.insurance.arkansas.gov/NPILookup?Npi=1528262979","1528262979")</f>
        <v>1528262979</v>
      </c>
      <c r="E28017" t="s">
        <v>14548</v>
      </c>
    </row>
    <row r="28018" spans="1:5" x14ac:dyDescent="0.25">
      <c r="A28018" t="s">
        <v>16</v>
      </c>
      <c r="B28018" t="s">
        <v>7666</v>
      </c>
      <c r="C28018" s="1" t="s">
        <v>23490</v>
      </c>
      <c r="D28018" s="1" t="str">
        <f>HYPERLINK("https://rhld.insurance.arkansas.gov/NPILookup?Npi=1528278322","1528278322")</f>
        <v>1528278322</v>
      </c>
      <c r="E28018" t="s">
        <v>7991</v>
      </c>
    </row>
    <row r="28019" spans="1:5" x14ac:dyDescent="0.25">
      <c r="A28019" t="s">
        <v>16</v>
      </c>
      <c r="B28019" t="s">
        <v>7666</v>
      </c>
      <c r="C28019" s="1" t="s">
        <v>23490</v>
      </c>
      <c r="D28019" s="1" t="str">
        <f>HYPERLINK("https://rhld.insurance.arkansas.gov/NPILookup?Npi=1528371150","1528371150")</f>
        <v>1528371150</v>
      </c>
      <c r="E28019" t="s">
        <v>7992</v>
      </c>
    </row>
    <row r="28020" spans="1:5" x14ac:dyDescent="0.25">
      <c r="A28020" t="s">
        <v>16</v>
      </c>
      <c r="B28020" t="s">
        <v>7666</v>
      </c>
      <c r="C28020" s="1" t="s">
        <v>23490</v>
      </c>
      <c r="D28020" s="1" t="str">
        <f>HYPERLINK("https://rhld.insurance.arkansas.gov/NPILookup?Npi=1528409158","1528409158")</f>
        <v>1528409158</v>
      </c>
      <c r="E28020" t="s">
        <v>16705</v>
      </c>
    </row>
    <row r="28021" spans="1:5" x14ac:dyDescent="0.25">
      <c r="A28021" t="s">
        <v>16</v>
      </c>
      <c r="B28021" t="s">
        <v>7666</v>
      </c>
      <c r="C28021" s="1" t="s">
        <v>23490</v>
      </c>
      <c r="D28021" s="1" t="str">
        <f>HYPERLINK("https://rhld.insurance.arkansas.gov/NPILookup?Npi=1528414547","1528414547")</f>
        <v>1528414547</v>
      </c>
      <c r="E28021" t="s">
        <v>12138</v>
      </c>
    </row>
    <row r="28022" spans="1:5" x14ac:dyDescent="0.25">
      <c r="A28022" t="s">
        <v>16</v>
      </c>
      <c r="B28022" t="s">
        <v>7666</v>
      </c>
      <c r="C28022" s="1" t="s">
        <v>23490</v>
      </c>
      <c r="D28022" s="1" t="str">
        <f>HYPERLINK("https://rhld.insurance.arkansas.gov/NPILookup?Npi=1528492170","1528492170")</f>
        <v>1528492170</v>
      </c>
      <c r="E28022" t="s">
        <v>16706</v>
      </c>
    </row>
    <row r="28023" spans="1:5" x14ac:dyDescent="0.25">
      <c r="A28023" t="s">
        <v>16</v>
      </c>
      <c r="B28023" t="s">
        <v>7666</v>
      </c>
      <c r="C28023" s="1" t="s">
        <v>23490</v>
      </c>
      <c r="D28023" s="1" t="str">
        <f>HYPERLINK("https://rhld.insurance.arkansas.gov/NPILookup?Npi=1538151154","1538151154")</f>
        <v>1538151154</v>
      </c>
      <c r="E28023" t="s">
        <v>16707</v>
      </c>
    </row>
    <row r="28024" spans="1:5" x14ac:dyDescent="0.25">
      <c r="A28024" t="s">
        <v>16</v>
      </c>
      <c r="B28024" t="s">
        <v>7666</v>
      </c>
      <c r="C28024" s="1" t="s">
        <v>23490</v>
      </c>
      <c r="D28024" s="1" t="str">
        <f>HYPERLINK("https://rhld.insurance.arkansas.gov/NPILookup?Npi=1538152616","1538152616")</f>
        <v>1538152616</v>
      </c>
      <c r="E28024" t="s">
        <v>7993</v>
      </c>
    </row>
    <row r="28025" spans="1:5" x14ac:dyDescent="0.25">
      <c r="A28025" t="s">
        <v>16</v>
      </c>
      <c r="B28025" t="s">
        <v>7666</v>
      </c>
      <c r="C28025" s="1" t="s">
        <v>23490</v>
      </c>
      <c r="D28025" s="1" t="str">
        <f>HYPERLINK("https://rhld.insurance.arkansas.gov/NPILookup?Npi=1538154117","1538154117")</f>
        <v>1538154117</v>
      </c>
      <c r="E28025" t="s">
        <v>7994</v>
      </c>
    </row>
    <row r="28026" spans="1:5" x14ac:dyDescent="0.25">
      <c r="A28026" t="s">
        <v>16</v>
      </c>
      <c r="B28026" t="s">
        <v>7666</v>
      </c>
      <c r="C28026" s="1" t="s">
        <v>23490</v>
      </c>
      <c r="D28026" s="1" t="str">
        <f>HYPERLINK("https://rhld.insurance.arkansas.gov/NPILookup?Npi=1538168455","1538168455")</f>
        <v>1538168455</v>
      </c>
      <c r="E28026" t="s">
        <v>7995</v>
      </c>
    </row>
    <row r="28027" spans="1:5" x14ac:dyDescent="0.25">
      <c r="A28027" t="s">
        <v>16</v>
      </c>
      <c r="B28027" t="s">
        <v>7666</v>
      </c>
      <c r="C28027" s="1" t="s">
        <v>23490</v>
      </c>
      <c r="D28027" s="1" t="str">
        <f>HYPERLINK("https://rhld.insurance.arkansas.gov/NPILookup?Npi=1538172267","1538172267")</f>
        <v>1538172267</v>
      </c>
      <c r="E28027" t="s">
        <v>7996</v>
      </c>
    </row>
    <row r="28028" spans="1:5" x14ac:dyDescent="0.25">
      <c r="A28028" t="s">
        <v>16</v>
      </c>
      <c r="B28028" t="s">
        <v>7666</v>
      </c>
      <c r="C28028" s="1" t="s">
        <v>23490</v>
      </c>
      <c r="D28028" s="1" t="str">
        <f>HYPERLINK("https://rhld.insurance.arkansas.gov/NPILookup?Npi=1538217229","1538217229")</f>
        <v>1538217229</v>
      </c>
      <c r="E28028" t="s">
        <v>7997</v>
      </c>
    </row>
    <row r="28029" spans="1:5" x14ac:dyDescent="0.25">
      <c r="A28029" t="s">
        <v>16</v>
      </c>
      <c r="B28029" t="s">
        <v>7666</v>
      </c>
      <c r="C28029" s="1" t="s">
        <v>23490</v>
      </c>
      <c r="D28029" s="1" t="str">
        <f>HYPERLINK("https://rhld.insurance.arkansas.gov/NPILookup?Npi=1538379789","1538379789")</f>
        <v>1538379789</v>
      </c>
      <c r="E28029" t="s">
        <v>16708</v>
      </c>
    </row>
    <row r="28030" spans="1:5" x14ac:dyDescent="0.25">
      <c r="A28030" t="s">
        <v>16</v>
      </c>
      <c r="B28030" t="s">
        <v>7666</v>
      </c>
      <c r="C28030" s="1" t="s">
        <v>23490</v>
      </c>
      <c r="D28030" s="1" t="str">
        <f>HYPERLINK("https://rhld.insurance.arkansas.gov/NPILookup?Npi=1548234560","1548234560")</f>
        <v>1548234560</v>
      </c>
      <c r="E28030" t="s">
        <v>7998</v>
      </c>
    </row>
    <row r="28031" spans="1:5" x14ac:dyDescent="0.25">
      <c r="A28031" t="s">
        <v>16</v>
      </c>
      <c r="B28031" t="s">
        <v>7666</v>
      </c>
      <c r="C28031" s="1" t="s">
        <v>23490</v>
      </c>
      <c r="D28031" s="1" t="str">
        <f>HYPERLINK("https://rhld.insurance.arkansas.gov/NPILookup?Npi=1548295983","1548295983")</f>
        <v>1548295983</v>
      </c>
      <c r="E28031" t="s">
        <v>7999</v>
      </c>
    </row>
    <row r="28032" spans="1:5" x14ac:dyDescent="0.25">
      <c r="A28032" t="s">
        <v>16</v>
      </c>
      <c r="B28032" t="s">
        <v>7666</v>
      </c>
      <c r="C28032" s="1" t="s">
        <v>23490</v>
      </c>
      <c r="D28032" s="1" t="str">
        <f>HYPERLINK("https://rhld.insurance.arkansas.gov/NPILookup?Npi=1548353626","1548353626")</f>
        <v>1548353626</v>
      </c>
      <c r="E28032" t="s">
        <v>8000</v>
      </c>
    </row>
    <row r="28033" spans="1:5" x14ac:dyDescent="0.25">
      <c r="A28033" t="s">
        <v>16</v>
      </c>
      <c r="B28033" t="s">
        <v>7666</v>
      </c>
      <c r="C28033" s="1" t="s">
        <v>23490</v>
      </c>
      <c r="D28033" s="1" t="str">
        <f>HYPERLINK("https://rhld.insurance.arkansas.gov/NPILookup?Npi=1548468846","1548468846")</f>
        <v>1548468846</v>
      </c>
      <c r="E28033" t="s">
        <v>16709</v>
      </c>
    </row>
    <row r="28034" spans="1:5" x14ac:dyDescent="0.25">
      <c r="A28034" t="s">
        <v>16</v>
      </c>
      <c r="B28034" t="s">
        <v>7666</v>
      </c>
      <c r="C28034" s="1" t="s">
        <v>23490</v>
      </c>
      <c r="D28034" s="1" t="str">
        <f>HYPERLINK("https://rhld.insurance.arkansas.gov/NPILookup?Npi=1548692668","1548692668")</f>
        <v>1548692668</v>
      </c>
      <c r="E28034" t="s">
        <v>5369</v>
      </c>
    </row>
    <row r="28035" spans="1:5" x14ac:dyDescent="0.25">
      <c r="A28035" t="s">
        <v>16</v>
      </c>
      <c r="B28035" t="s">
        <v>7666</v>
      </c>
      <c r="C28035" s="1" t="s">
        <v>23490</v>
      </c>
      <c r="D28035" s="1" t="str">
        <f>HYPERLINK("https://rhld.insurance.arkansas.gov/NPILookup?Npi=1548699317","1548699317")</f>
        <v>1548699317</v>
      </c>
      <c r="E28035" t="s">
        <v>8001</v>
      </c>
    </row>
    <row r="28036" spans="1:5" x14ac:dyDescent="0.25">
      <c r="A28036" t="s">
        <v>16</v>
      </c>
      <c r="B28036" t="s">
        <v>7666</v>
      </c>
      <c r="C28036" s="1" t="s">
        <v>23490</v>
      </c>
      <c r="D28036" s="1" t="str">
        <f>HYPERLINK("https://rhld.insurance.arkansas.gov/NPILookup?Npi=1548735590","1548735590")</f>
        <v>1548735590</v>
      </c>
      <c r="E28036" t="s">
        <v>20774</v>
      </c>
    </row>
    <row r="28037" spans="1:5" x14ac:dyDescent="0.25">
      <c r="A28037" t="s">
        <v>16</v>
      </c>
      <c r="B28037" t="s">
        <v>7666</v>
      </c>
      <c r="C28037" s="1" t="s">
        <v>23490</v>
      </c>
      <c r="D28037" s="1" t="str">
        <f>HYPERLINK("https://rhld.insurance.arkansas.gov/NPILookup?Npi=1558353086","1558353086")</f>
        <v>1558353086</v>
      </c>
      <c r="E28037" t="s">
        <v>8002</v>
      </c>
    </row>
    <row r="28038" spans="1:5" x14ac:dyDescent="0.25">
      <c r="A28038" t="s">
        <v>16</v>
      </c>
      <c r="B28038" t="s">
        <v>7666</v>
      </c>
      <c r="C28038" s="1" t="s">
        <v>23490</v>
      </c>
      <c r="D28038" s="1" t="str">
        <f>HYPERLINK("https://rhld.insurance.arkansas.gov/NPILookup?Npi=1558354696","1558354696")</f>
        <v>1558354696</v>
      </c>
      <c r="E28038" t="s">
        <v>22720</v>
      </c>
    </row>
    <row r="28039" spans="1:5" x14ac:dyDescent="0.25">
      <c r="A28039" t="s">
        <v>16</v>
      </c>
      <c r="B28039" t="s">
        <v>7666</v>
      </c>
      <c r="C28039" s="1" t="s">
        <v>23490</v>
      </c>
      <c r="D28039" s="1" t="str">
        <f>HYPERLINK("https://rhld.insurance.arkansas.gov/NPILookup?Npi=1558380303","1558380303")</f>
        <v>1558380303</v>
      </c>
      <c r="E28039" t="s">
        <v>8003</v>
      </c>
    </row>
    <row r="28040" spans="1:5" x14ac:dyDescent="0.25">
      <c r="A28040" t="s">
        <v>16</v>
      </c>
      <c r="B28040" t="s">
        <v>7666</v>
      </c>
      <c r="C28040" s="1" t="s">
        <v>23490</v>
      </c>
      <c r="D28040" s="1" t="str">
        <f>HYPERLINK("https://rhld.insurance.arkansas.gov/NPILookup?Npi=1558386441","1558386441")</f>
        <v>1558386441</v>
      </c>
      <c r="E28040" t="s">
        <v>8004</v>
      </c>
    </row>
    <row r="28041" spans="1:5" x14ac:dyDescent="0.25">
      <c r="A28041" t="s">
        <v>16</v>
      </c>
      <c r="B28041" t="s">
        <v>7666</v>
      </c>
      <c r="C28041" s="1" t="s">
        <v>23490</v>
      </c>
      <c r="D28041" s="1" t="str">
        <f>HYPERLINK("https://rhld.insurance.arkansas.gov/NPILookup?Npi=1558499640","1558499640")</f>
        <v>1558499640</v>
      </c>
      <c r="E28041" t="s">
        <v>16710</v>
      </c>
    </row>
    <row r="28042" spans="1:5" x14ac:dyDescent="0.25">
      <c r="A28042" t="s">
        <v>16</v>
      </c>
      <c r="B28042" t="s">
        <v>7666</v>
      </c>
      <c r="C28042" s="1" t="s">
        <v>23490</v>
      </c>
      <c r="D28042" s="1" t="str">
        <f>HYPERLINK("https://rhld.insurance.arkansas.gov/NPILookup?Npi=1558562264","1558562264")</f>
        <v>1558562264</v>
      </c>
      <c r="E28042" t="s">
        <v>16711</v>
      </c>
    </row>
    <row r="28043" spans="1:5" x14ac:dyDescent="0.25">
      <c r="A28043" t="s">
        <v>16</v>
      </c>
      <c r="B28043" t="s">
        <v>7666</v>
      </c>
      <c r="C28043" s="1" t="s">
        <v>23490</v>
      </c>
      <c r="D28043" s="1" t="str">
        <f>HYPERLINK("https://rhld.insurance.arkansas.gov/NPILookup?Npi=1558593863","1558593863")</f>
        <v>1558593863</v>
      </c>
      <c r="E28043" t="s">
        <v>8005</v>
      </c>
    </row>
    <row r="28044" spans="1:5" x14ac:dyDescent="0.25">
      <c r="A28044" t="s">
        <v>16</v>
      </c>
      <c r="B28044" t="s">
        <v>7666</v>
      </c>
      <c r="C28044" s="1" t="s">
        <v>23490</v>
      </c>
      <c r="D28044" s="1" t="str">
        <f>HYPERLINK("https://rhld.insurance.arkansas.gov/NPILookup?Npi=1558744821","1558744821")</f>
        <v>1558744821</v>
      </c>
      <c r="E28044" t="s">
        <v>12139</v>
      </c>
    </row>
    <row r="28045" spans="1:5" x14ac:dyDescent="0.25">
      <c r="A28045" t="s">
        <v>16</v>
      </c>
      <c r="B28045" t="s">
        <v>7666</v>
      </c>
      <c r="C28045" s="1" t="s">
        <v>23490</v>
      </c>
      <c r="D28045" s="1" t="str">
        <f>HYPERLINK("https://rhld.insurance.arkansas.gov/NPILookup?Npi=1558774588","1558774588")</f>
        <v>1558774588</v>
      </c>
      <c r="E28045" t="s">
        <v>14549</v>
      </c>
    </row>
    <row r="28046" spans="1:5" x14ac:dyDescent="0.25">
      <c r="A28046" t="s">
        <v>16</v>
      </c>
      <c r="B28046" t="s">
        <v>7666</v>
      </c>
      <c r="C28046" s="1" t="s">
        <v>8427</v>
      </c>
      <c r="D28046" s="1" t="str">
        <f>HYPERLINK("https://rhld.insurance.arkansas.gov/NPILookup?Npi=1558820381","1558820381")</f>
        <v>1558820381</v>
      </c>
      <c r="E28046" t="s">
        <v>23330</v>
      </c>
    </row>
    <row r="28047" spans="1:5" x14ac:dyDescent="0.25">
      <c r="A28047" t="s">
        <v>16</v>
      </c>
      <c r="B28047" t="s">
        <v>7666</v>
      </c>
      <c r="C28047" s="1" t="s">
        <v>23490</v>
      </c>
      <c r="D28047" s="1" t="str">
        <f>HYPERLINK("https://rhld.insurance.arkansas.gov/NPILookup?Npi=1568024230","1568024230")</f>
        <v>1568024230</v>
      </c>
      <c r="E28047" t="s">
        <v>17312</v>
      </c>
    </row>
    <row r="28048" spans="1:5" x14ac:dyDescent="0.25">
      <c r="A28048" t="s">
        <v>16</v>
      </c>
      <c r="B28048" t="s">
        <v>7666</v>
      </c>
      <c r="C28048" s="1" t="s">
        <v>23490</v>
      </c>
      <c r="D28048" s="1" t="str">
        <f>HYPERLINK("https://rhld.insurance.arkansas.gov/NPILookup?Npi=1568442366","1568442366")</f>
        <v>1568442366</v>
      </c>
      <c r="E28048" t="s">
        <v>8006</v>
      </c>
    </row>
    <row r="28049" spans="1:5" x14ac:dyDescent="0.25">
      <c r="A28049" t="s">
        <v>16</v>
      </c>
      <c r="B28049" t="s">
        <v>7666</v>
      </c>
      <c r="C28049" s="1" t="s">
        <v>23490</v>
      </c>
      <c r="D28049" s="1" t="str">
        <f>HYPERLINK("https://rhld.insurance.arkansas.gov/NPILookup?Npi=1568455749","1568455749")</f>
        <v>1568455749</v>
      </c>
      <c r="E28049" t="s">
        <v>8007</v>
      </c>
    </row>
    <row r="28050" spans="1:5" x14ac:dyDescent="0.25">
      <c r="A28050" t="s">
        <v>16</v>
      </c>
      <c r="B28050" t="s">
        <v>7666</v>
      </c>
      <c r="C28050" s="1" t="s">
        <v>23490</v>
      </c>
      <c r="D28050" s="1" t="str">
        <f>HYPERLINK("https://rhld.insurance.arkansas.gov/NPILookup?Npi=1568455921","1568455921")</f>
        <v>1568455921</v>
      </c>
      <c r="E28050" t="s">
        <v>8008</v>
      </c>
    </row>
    <row r="28051" spans="1:5" x14ac:dyDescent="0.25">
      <c r="A28051" t="s">
        <v>16</v>
      </c>
      <c r="B28051" t="s">
        <v>7666</v>
      </c>
      <c r="C28051" s="1" t="s">
        <v>23490</v>
      </c>
      <c r="D28051" s="1" t="str">
        <f>HYPERLINK("https://rhld.insurance.arkansas.gov/NPILookup?Npi=1568481646","1568481646")</f>
        <v>1568481646</v>
      </c>
      <c r="E28051" t="s">
        <v>12140</v>
      </c>
    </row>
    <row r="28052" spans="1:5" x14ac:dyDescent="0.25">
      <c r="A28052" t="s">
        <v>16</v>
      </c>
      <c r="B28052" t="s">
        <v>7666</v>
      </c>
      <c r="C28052" s="1" t="s">
        <v>23490</v>
      </c>
      <c r="D28052" s="1" t="str">
        <f>HYPERLINK("https://rhld.insurance.arkansas.gov/NPILookup?Npi=1568510949","1568510949")</f>
        <v>1568510949</v>
      </c>
      <c r="E28052" t="s">
        <v>8009</v>
      </c>
    </row>
    <row r="28053" spans="1:5" x14ac:dyDescent="0.25">
      <c r="A28053" t="s">
        <v>16</v>
      </c>
      <c r="B28053" t="s">
        <v>7666</v>
      </c>
      <c r="C28053" s="1" t="s">
        <v>23490</v>
      </c>
      <c r="D28053" s="1" t="str">
        <f>HYPERLINK("https://rhld.insurance.arkansas.gov/NPILookup?Npi=1568552057","1568552057")</f>
        <v>1568552057</v>
      </c>
      <c r="E28053" t="s">
        <v>8010</v>
      </c>
    </row>
    <row r="28054" spans="1:5" x14ac:dyDescent="0.25">
      <c r="A28054" t="s">
        <v>16</v>
      </c>
      <c r="B28054" t="s">
        <v>7666</v>
      </c>
      <c r="C28054" s="1" t="s">
        <v>23490</v>
      </c>
      <c r="D28054" s="1" t="str">
        <f>HYPERLINK("https://rhld.insurance.arkansas.gov/NPILookup?Npi=1568570232","1568570232")</f>
        <v>1568570232</v>
      </c>
      <c r="E28054" t="s">
        <v>8011</v>
      </c>
    </row>
    <row r="28055" spans="1:5" x14ac:dyDescent="0.25">
      <c r="A28055" t="s">
        <v>16</v>
      </c>
      <c r="B28055" t="s">
        <v>7666</v>
      </c>
      <c r="C28055" s="1" t="s">
        <v>23490</v>
      </c>
      <c r="D28055" s="1" t="str">
        <f>HYPERLINK("https://rhld.insurance.arkansas.gov/NPILookup?Npi=1568627958","1568627958")</f>
        <v>1568627958</v>
      </c>
      <c r="E28055" t="s">
        <v>8012</v>
      </c>
    </row>
    <row r="28056" spans="1:5" x14ac:dyDescent="0.25">
      <c r="A28056" t="s">
        <v>16</v>
      </c>
      <c r="B28056" t="s">
        <v>7666</v>
      </c>
      <c r="C28056" s="1" t="s">
        <v>23490</v>
      </c>
      <c r="D28056" s="1" t="str">
        <f>HYPERLINK("https://rhld.insurance.arkansas.gov/NPILookup?Npi=1568812345","1568812345")</f>
        <v>1568812345</v>
      </c>
      <c r="E28056" t="s">
        <v>12141</v>
      </c>
    </row>
    <row r="28057" spans="1:5" x14ac:dyDescent="0.25">
      <c r="A28057" t="s">
        <v>16</v>
      </c>
      <c r="B28057" t="s">
        <v>7666</v>
      </c>
      <c r="C28057" s="1" t="s">
        <v>23490</v>
      </c>
      <c r="D28057" s="1" t="str">
        <f>HYPERLINK("https://rhld.insurance.arkansas.gov/NPILookup?Npi=1568843159","1568843159")</f>
        <v>1568843159</v>
      </c>
      <c r="E28057" t="s">
        <v>2788</v>
      </c>
    </row>
    <row r="28058" spans="1:5" x14ac:dyDescent="0.25">
      <c r="A28058" t="s">
        <v>16</v>
      </c>
      <c r="B28058" t="s">
        <v>7666</v>
      </c>
      <c r="C28058" s="1" t="s">
        <v>23490</v>
      </c>
      <c r="D28058" s="1" t="str">
        <f>HYPERLINK("https://rhld.insurance.arkansas.gov/NPILookup?Npi=1578510400","1578510400")</f>
        <v>1578510400</v>
      </c>
      <c r="E28058" t="s">
        <v>8013</v>
      </c>
    </row>
    <row r="28059" spans="1:5" x14ac:dyDescent="0.25">
      <c r="A28059" t="s">
        <v>16</v>
      </c>
      <c r="B28059" t="s">
        <v>7666</v>
      </c>
      <c r="C28059" s="1" t="s">
        <v>23490</v>
      </c>
      <c r="D28059" s="1" t="str">
        <f>HYPERLINK("https://rhld.insurance.arkansas.gov/NPILookup?Npi=1578513461","1578513461")</f>
        <v>1578513461</v>
      </c>
      <c r="E28059" t="s">
        <v>8014</v>
      </c>
    </row>
    <row r="28060" spans="1:5" x14ac:dyDescent="0.25">
      <c r="A28060" t="s">
        <v>16</v>
      </c>
      <c r="B28060" t="s">
        <v>7666</v>
      </c>
      <c r="C28060" s="1" t="s">
        <v>23490</v>
      </c>
      <c r="D28060" s="1" t="str">
        <f>HYPERLINK("https://rhld.insurance.arkansas.gov/NPILookup?Npi=1578522587","1578522587")</f>
        <v>1578522587</v>
      </c>
      <c r="E28060" t="s">
        <v>8015</v>
      </c>
    </row>
    <row r="28061" spans="1:5" x14ac:dyDescent="0.25">
      <c r="A28061" t="s">
        <v>16</v>
      </c>
      <c r="B28061" t="s">
        <v>7666</v>
      </c>
      <c r="C28061" s="1" t="s">
        <v>23490</v>
      </c>
      <c r="D28061" s="1" t="str">
        <f>HYPERLINK("https://rhld.insurance.arkansas.gov/NPILookup?Npi=1578533030","1578533030")</f>
        <v>1578533030</v>
      </c>
      <c r="E28061" t="s">
        <v>8016</v>
      </c>
    </row>
    <row r="28062" spans="1:5" x14ac:dyDescent="0.25">
      <c r="A28062" t="s">
        <v>16</v>
      </c>
      <c r="B28062" t="s">
        <v>7666</v>
      </c>
      <c r="C28062" s="1" t="s">
        <v>23490</v>
      </c>
      <c r="D28062" s="1" t="str">
        <f>HYPERLINK("https://rhld.insurance.arkansas.gov/NPILookup?Npi=1578559167","1578559167")</f>
        <v>1578559167</v>
      </c>
      <c r="E28062" t="s">
        <v>16712</v>
      </c>
    </row>
    <row r="28063" spans="1:5" x14ac:dyDescent="0.25">
      <c r="A28063" t="s">
        <v>16</v>
      </c>
      <c r="B28063" t="s">
        <v>7666</v>
      </c>
      <c r="C28063" s="1" t="s">
        <v>23490</v>
      </c>
      <c r="D28063" s="1" t="str">
        <f>HYPERLINK("https://rhld.insurance.arkansas.gov/NPILookup?Npi=1578566865","1578566865")</f>
        <v>1578566865</v>
      </c>
      <c r="E28063" t="s">
        <v>8017</v>
      </c>
    </row>
    <row r="28064" spans="1:5" x14ac:dyDescent="0.25">
      <c r="A28064" t="s">
        <v>16</v>
      </c>
      <c r="B28064" t="s">
        <v>7666</v>
      </c>
      <c r="C28064" s="1" t="s">
        <v>23490</v>
      </c>
      <c r="D28064" s="1" t="str">
        <f>HYPERLINK("https://rhld.insurance.arkansas.gov/NPILookup?Npi=1578640660","1578640660")</f>
        <v>1578640660</v>
      </c>
      <c r="E28064" t="s">
        <v>8018</v>
      </c>
    </row>
    <row r="28065" spans="1:5" x14ac:dyDescent="0.25">
      <c r="A28065" t="s">
        <v>16</v>
      </c>
      <c r="B28065" t="s">
        <v>7666</v>
      </c>
      <c r="C28065" s="1" t="s">
        <v>23490</v>
      </c>
      <c r="D28065" s="1" t="str">
        <f>HYPERLINK("https://rhld.insurance.arkansas.gov/NPILookup?Npi=1578653069","1578653069")</f>
        <v>1578653069</v>
      </c>
      <c r="E28065" t="s">
        <v>8019</v>
      </c>
    </row>
    <row r="28066" spans="1:5" x14ac:dyDescent="0.25">
      <c r="A28066" t="s">
        <v>16</v>
      </c>
      <c r="B28066" t="s">
        <v>7666</v>
      </c>
      <c r="C28066" s="1" t="s">
        <v>23490</v>
      </c>
      <c r="D28066" s="1" t="str">
        <f>HYPERLINK("https://rhld.insurance.arkansas.gov/NPILookup?Npi=1578673455","1578673455")</f>
        <v>1578673455</v>
      </c>
      <c r="E28066" t="s">
        <v>16713</v>
      </c>
    </row>
    <row r="28067" spans="1:5" x14ac:dyDescent="0.25">
      <c r="A28067" t="s">
        <v>16</v>
      </c>
      <c r="B28067" t="s">
        <v>7666</v>
      </c>
      <c r="C28067" s="1" t="s">
        <v>23490</v>
      </c>
      <c r="D28067" s="1" t="str">
        <f>HYPERLINK("https://rhld.insurance.arkansas.gov/NPILookup?Npi=1578684007","1578684007")</f>
        <v>1578684007</v>
      </c>
      <c r="E28067" t="s">
        <v>8020</v>
      </c>
    </row>
    <row r="28068" spans="1:5" x14ac:dyDescent="0.25">
      <c r="A28068" t="s">
        <v>16</v>
      </c>
      <c r="B28068" t="s">
        <v>7666</v>
      </c>
      <c r="C28068" s="1" t="s">
        <v>23490</v>
      </c>
      <c r="D28068" s="1" t="str">
        <f>HYPERLINK("https://rhld.insurance.arkansas.gov/NPILookup?Npi=1578753364","1578753364")</f>
        <v>1578753364</v>
      </c>
      <c r="E28068" t="s">
        <v>8021</v>
      </c>
    </row>
    <row r="28069" spans="1:5" x14ac:dyDescent="0.25">
      <c r="A28069" t="s">
        <v>16</v>
      </c>
      <c r="B28069" t="s">
        <v>7666</v>
      </c>
      <c r="C28069" s="1" t="s">
        <v>23490</v>
      </c>
      <c r="D28069" s="1" t="str">
        <f>HYPERLINK("https://rhld.insurance.arkansas.gov/NPILookup?Npi=1578761011","1578761011")</f>
        <v>1578761011</v>
      </c>
      <c r="E28069" t="s">
        <v>8022</v>
      </c>
    </row>
    <row r="28070" spans="1:5" x14ac:dyDescent="0.25">
      <c r="A28070" t="s">
        <v>16</v>
      </c>
      <c r="B28070" t="s">
        <v>7666</v>
      </c>
      <c r="C28070" s="1" t="s">
        <v>23490</v>
      </c>
      <c r="D28070" s="1" t="str">
        <f>HYPERLINK("https://rhld.insurance.arkansas.gov/NPILookup?Npi=1578899506","1578899506")</f>
        <v>1578899506</v>
      </c>
      <c r="E28070" t="s">
        <v>8023</v>
      </c>
    </row>
    <row r="28071" spans="1:5" x14ac:dyDescent="0.25">
      <c r="A28071" t="s">
        <v>16</v>
      </c>
      <c r="B28071" t="s">
        <v>7666</v>
      </c>
      <c r="C28071" s="1" t="s">
        <v>23490</v>
      </c>
      <c r="D28071" s="1" t="str">
        <f>HYPERLINK("https://rhld.insurance.arkansas.gov/NPILookup?Npi=1588285613","1588285613")</f>
        <v>1588285613</v>
      </c>
      <c r="E28071" t="s">
        <v>19163</v>
      </c>
    </row>
    <row r="28072" spans="1:5" x14ac:dyDescent="0.25">
      <c r="A28072" t="s">
        <v>16</v>
      </c>
      <c r="B28072" t="s">
        <v>7666</v>
      </c>
      <c r="C28072" s="1" t="s">
        <v>23490</v>
      </c>
      <c r="D28072" s="1" t="str">
        <f>HYPERLINK("https://rhld.insurance.arkansas.gov/NPILookup?Npi=1588627939","1588627939")</f>
        <v>1588627939</v>
      </c>
      <c r="E28072" t="s">
        <v>8024</v>
      </c>
    </row>
    <row r="28073" spans="1:5" x14ac:dyDescent="0.25">
      <c r="A28073" t="s">
        <v>16</v>
      </c>
      <c r="B28073" t="s">
        <v>7666</v>
      </c>
      <c r="C28073" s="1" t="s">
        <v>23490</v>
      </c>
      <c r="D28073" s="1" t="str">
        <f>HYPERLINK("https://rhld.insurance.arkansas.gov/NPILookup?Npi=1588633648","1588633648")</f>
        <v>1588633648</v>
      </c>
      <c r="E28073" t="s">
        <v>3962</v>
      </c>
    </row>
    <row r="28074" spans="1:5" x14ac:dyDescent="0.25">
      <c r="A28074" t="s">
        <v>16</v>
      </c>
      <c r="B28074" t="s">
        <v>7666</v>
      </c>
      <c r="C28074" s="1" t="s">
        <v>23490</v>
      </c>
      <c r="D28074" s="1" t="str">
        <f>HYPERLINK("https://rhld.insurance.arkansas.gov/NPILookup?Npi=1588640072","1588640072")</f>
        <v>1588640072</v>
      </c>
      <c r="E28074" t="s">
        <v>8025</v>
      </c>
    </row>
    <row r="28075" spans="1:5" x14ac:dyDescent="0.25">
      <c r="A28075" t="s">
        <v>16</v>
      </c>
      <c r="B28075" t="s">
        <v>7666</v>
      </c>
      <c r="C28075" s="1" t="s">
        <v>23490</v>
      </c>
      <c r="D28075" s="1" t="str">
        <f>HYPERLINK("https://rhld.insurance.arkansas.gov/NPILookup?Npi=1588655237","1588655237")</f>
        <v>1588655237</v>
      </c>
      <c r="E28075" t="s">
        <v>8026</v>
      </c>
    </row>
    <row r="28076" spans="1:5" x14ac:dyDescent="0.25">
      <c r="A28076" t="s">
        <v>16</v>
      </c>
      <c r="B28076" t="s">
        <v>7666</v>
      </c>
      <c r="C28076" s="1" t="s">
        <v>23490</v>
      </c>
      <c r="D28076" s="1" t="str">
        <f>HYPERLINK("https://rhld.insurance.arkansas.gov/NPILookup?Npi=1588666499","1588666499")</f>
        <v>1588666499</v>
      </c>
      <c r="E28076" t="s">
        <v>8027</v>
      </c>
    </row>
    <row r="28077" spans="1:5" x14ac:dyDescent="0.25">
      <c r="A28077" t="s">
        <v>16</v>
      </c>
      <c r="B28077" t="s">
        <v>7666</v>
      </c>
      <c r="C28077" s="1" t="s">
        <v>23490</v>
      </c>
      <c r="D28077" s="1" t="str">
        <f>HYPERLINK("https://rhld.insurance.arkansas.gov/NPILookup?Npi=1588671499","1588671499")</f>
        <v>1588671499</v>
      </c>
      <c r="E28077" t="s">
        <v>8028</v>
      </c>
    </row>
    <row r="28078" spans="1:5" x14ac:dyDescent="0.25">
      <c r="A28078" t="s">
        <v>16</v>
      </c>
      <c r="B28078" t="s">
        <v>7666</v>
      </c>
      <c r="C28078" s="1" t="s">
        <v>23490</v>
      </c>
      <c r="D28078" s="1" t="str">
        <f>HYPERLINK("https://rhld.insurance.arkansas.gov/NPILookup?Npi=1588687602","1588687602")</f>
        <v>1588687602</v>
      </c>
      <c r="E28078" t="s">
        <v>20775</v>
      </c>
    </row>
    <row r="28079" spans="1:5" x14ac:dyDescent="0.25">
      <c r="A28079" t="s">
        <v>16</v>
      </c>
      <c r="B28079" t="s">
        <v>7666</v>
      </c>
      <c r="C28079" s="1" t="s">
        <v>23490</v>
      </c>
      <c r="D28079" s="1" t="str">
        <f>HYPERLINK("https://rhld.insurance.arkansas.gov/NPILookup?Npi=1588824221","1588824221")</f>
        <v>1588824221</v>
      </c>
      <c r="E28079" t="s">
        <v>16714</v>
      </c>
    </row>
    <row r="28080" spans="1:5" x14ac:dyDescent="0.25">
      <c r="A28080" t="s">
        <v>16</v>
      </c>
      <c r="B28080" t="s">
        <v>7666</v>
      </c>
      <c r="C28080" s="1" t="s">
        <v>23490</v>
      </c>
      <c r="D28080" s="1" t="str">
        <f>HYPERLINK("https://rhld.insurance.arkansas.gov/NPILookup?Npi=1588854343","1588854343")</f>
        <v>1588854343</v>
      </c>
      <c r="E28080" t="s">
        <v>8029</v>
      </c>
    </row>
    <row r="28081" spans="1:5" x14ac:dyDescent="0.25">
      <c r="A28081" t="s">
        <v>16</v>
      </c>
      <c r="B28081" t="s">
        <v>7666</v>
      </c>
      <c r="C28081" s="1" t="s">
        <v>23490</v>
      </c>
      <c r="D28081" s="1" t="str">
        <f>HYPERLINK("https://rhld.insurance.arkansas.gov/NPILookup?Npi=1598052383","1598052383")</f>
        <v>1598052383</v>
      </c>
      <c r="E28081" t="s">
        <v>8030</v>
      </c>
    </row>
    <row r="28082" spans="1:5" x14ac:dyDescent="0.25">
      <c r="A28082" t="s">
        <v>16</v>
      </c>
      <c r="B28082" t="s">
        <v>7666</v>
      </c>
      <c r="C28082" s="1" t="s">
        <v>23490</v>
      </c>
      <c r="D28082" s="1" t="str">
        <f>HYPERLINK("https://rhld.insurance.arkansas.gov/NPILookup?Npi=1598079451","1598079451")</f>
        <v>1598079451</v>
      </c>
      <c r="E28082" t="s">
        <v>8031</v>
      </c>
    </row>
    <row r="28083" spans="1:5" x14ac:dyDescent="0.25">
      <c r="A28083" t="s">
        <v>16</v>
      </c>
      <c r="B28083" t="s">
        <v>7666</v>
      </c>
      <c r="C28083" s="1" t="s">
        <v>23490</v>
      </c>
      <c r="D28083" s="1" t="str">
        <f>HYPERLINK("https://rhld.insurance.arkansas.gov/NPILookup?Npi=1598179715","1598179715")</f>
        <v>1598179715</v>
      </c>
      <c r="E28083" t="s">
        <v>8032</v>
      </c>
    </row>
    <row r="28084" spans="1:5" x14ac:dyDescent="0.25">
      <c r="A28084" t="s">
        <v>16</v>
      </c>
      <c r="B28084" t="s">
        <v>7666</v>
      </c>
      <c r="C28084" s="1" t="s">
        <v>23490</v>
      </c>
      <c r="D28084" s="1" t="str">
        <f>HYPERLINK("https://rhld.insurance.arkansas.gov/NPILookup?Npi=1598438103","1598438103")</f>
        <v>1598438103</v>
      </c>
      <c r="E28084" t="s">
        <v>20776</v>
      </c>
    </row>
    <row r="28085" spans="1:5" x14ac:dyDescent="0.25">
      <c r="A28085" t="s">
        <v>16</v>
      </c>
      <c r="B28085" t="s">
        <v>7666</v>
      </c>
      <c r="C28085" s="1" t="s">
        <v>23490</v>
      </c>
      <c r="D28085" s="1" t="str">
        <f>HYPERLINK("https://rhld.insurance.arkansas.gov/NPILookup?Npi=1598498420","1598498420")</f>
        <v>1598498420</v>
      </c>
      <c r="E28085" t="s">
        <v>21312</v>
      </c>
    </row>
    <row r="28086" spans="1:5" x14ac:dyDescent="0.25">
      <c r="A28086" t="s">
        <v>16</v>
      </c>
      <c r="B28086" t="s">
        <v>7666</v>
      </c>
      <c r="C28086" s="1" t="s">
        <v>23490</v>
      </c>
      <c r="D28086" s="1" t="str">
        <f>HYPERLINK("https://rhld.insurance.arkansas.gov/NPILookup?Npi=1598704371","1598704371")</f>
        <v>1598704371</v>
      </c>
      <c r="E28086" t="s">
        <v>8033</v>
      </c>
    </row>
    <row r="28087" spans="1:5" x14ac:dyDescent="0.25">
      <c r="A28087" t="s">
        <v>16</v>
      </c>
      <c r="B28087" t="s">
        <v>7666</v>
      </c>
      <c r="C28087" s="1" t="s">
        <v>23490</v>
      </c>
      <c r="D28087" s="1" t="str">
        <f>HYPERLINK("https://rhld.insurance.arkansas.gov/NPILookup?Npi=1598737405","1598737405")</f>
        <v>1598737405</v>
      </c>
      <c r="E28087" t="s">
        <v>12142</v>
      </c>
    </row>
    <row r="28088" spans="1:5" x14ac:dyDescent="0.25">
      <c r="A28088" t="s">
        <v>16</v>
      </c>
      <c r="B28088" t="s">
        <v>7666</v>
      </c>
      <c r="C28088" s="1" t="s">
        <v>23490</v>
      </c>
      <c r="D28088" s="1" t="str">
        <f>HYPERLINK("https://rhld.insurance.arkansas.gov/NPILookup?Npi=1598745713","1598745713")</f>
        <v>1598745713</v>
      </c>
      <c r="E28088" t="s">
        <v>8034</v>
      </c>
    </row>
    <row r="28089" spans="1:5" x14ac:dyDescent="0.25">
      <c r="A28089" t="s">
        <v>16</v>
      </c>
      <c r="B28089" t="s">
        <v>7666</v>
      </c>
      <c r="C28089" s="1" t="s">
        <v>23490</v>
      </c>
      <c r="D28089" s="1" t="str">
        <f>HYPERLINK("https://rhld.insurance.arkansas.gov/NPILookup?Npi=1598758781","1598758781")</f>
        <v>1598758781</v>
      </c>
      <c r="E28089" t="s">
        <v>16715</v>
      </c>
    </row>
    <row r="28090" spans="1:5" x14ac:dyDescent="0.25">
      <c r="A28090" t="s">
        <v>16</v>
      </c>
      <c r="B28090" t="s">
        <v>7666</v>
      </c>
      <c r="C28090" s="1" t="s">
        <v>23490</v>
      </c>
      <c r="D28090" s="1" t="str">
        <f>HYPERLINK("https://rhld.insurance.arkansas.gov/NPILookup?Npi=1598779209","1598779209")</f>
        <v>1598779209</v>
      </c>
      <c r="E28090" t="s">
        <v>8035</v>
      </c>
    </row>
    <row r="28091" spans="1:5" x14ac:dyDescent="0.25">
      <c r="A28091" t="s">
        <v>16</v>
      </c>
      <c r="B28091" t="s">
        <v>7666</v>
      </c>
      <c r="C28091" s="1" t="s">
        <v>23490</v>
      </c>
      <c r="D28091" s="1" t="str">
        <f>HYPERLINK("https://rhld.insurance.arkansas.gov/NPILookup?Npi=1598779621","1598779621")</f>
        <v>1598779621</v>
      </c>
      <c r="E28091" t="s">
        <v>2008</v>
      </c>
    </row>
    <row r="28092" spans="1:5" x14ac:dyDescent="0.25">
      <c r="A28092" t="s">
        <v>16</v>
      </c>
      <c r="B28092" t="s">
        <v>7666</v>
      </c>
      <c r="C28092" s="1" t="s">
        <v>23490</v>
      </c>
      <c r="D28092" s="1" t="str">
        <f>HYPERLINK("https://rhld.insurance.arkansas.gov/NPILookup?Npi=1598793143","1598793143")</f>
        <v>1598793143</v>
      </c>
      <c r="E28092" t="s">
        <v>8036</v>
      </c>
    </row>
    <row r="28093" spans="1:5" x14ac:dyDescent="0.25">
      <c r="A28093" t="s">
        <v>16</v>
      </c>
      <c r="B28093" t="s">
        <v>7666</v>
      </c>
      <c r="C28093" s="1" t="s">
        <v>23490</v>
      </c>
      <c r="D28093" s="1" t="str">
        <f>HYPERLINK("https://rhld.insurance.arkansas.gov/NPILookup?Npi=1598836066","1598836066")</f>
        <v>1598836066</v>
      </c>
      <c r="E28093" t="s">
        <v>8037</v>
      </c>
    </row>
    <row r="28094" spans="1:5" x14ac:dyDescent="0.25">
      <c r="A28094" t="s">
        <v>16</v>
      </c>
      <c r="B28094" t="s">
        <v>7666</v>
      </c>
      <c r="C28094" s="1" t="s">
        <v>23490</v>
      </c>
      <c r="D28094" s="1" t="str">
        <f>HYPERLINK("https://rhld.insurance.arkansas.gov/NPILookup?Npi=1598906026","1598906026")</f>
        <v>1598906026</v>
      </c>
      <c r="E28094" t="s">
        <v>2054</v>
      </c>
    </row>
    <row r="28095" spans="1:5" x14ac:dyDescent="0.25">
      <c r="A28095" t="s">
        <v>16</v>
      </c>
      <c r="B28095" t="s">
        <v>7666</v>
      </c>
      <c r="C28095" s="1" t="s">
        <v>23490</v>
      </c>
      <c r="D28095" s="1" t="str">
        <f>HYPERLINK("https://rhld.insurance.arkansas.gov/NPILookup?Npi=1609211234","1609211234")</f>
        <v>1609211234</v>
      </c>
      <c r="E28095" t="s">
        <v>12143</v>
      </c>
    </row>
    <row r="28096" spans="1:5" x14ac:dyDescent="0.25">
      <c r="A28096" t="s">
        <v>16</v>
      </c>
      <c r="B28096" t="s">
        <v>7666</v>
      </c>
      <c r="C28096" s="1" t="s">
        <v>23490</v>
      </c>
      <c r="D28096" s="1" t="str">
        <f>HYPERLINK("https://rhld.insurance.arkansas.gov/NPILookup?Npi=1609372796","1609372796")</f>
        <v>1609372796</v>
      </c>
      <c r="E28096" t="s">
        <v>21313</v>
      </c>
    </row>
    <row r="28097" spans="1:5" x14ac:dyDescent="0.25">
      <c r="A28097" t="s">
        <v>16</v>
      </c>
      <c r="B28097" t="s">
        <v>7666</v>
      </c>
      <c r="C28097" s="1" t="s">
        <v>23490</v>
      </c>
      <c r="D28097" s="1" t="str">
        <f>HYPERLINK("https://rhld.insurance.arkansas.gov/NPILookup?Npi=1609397397","1609397397")</f>
        <v>1609397397</v>
      </c>
      <c r="E28097" t="s">
        <v>12144</v>
      </c>
    </row>
    <row r="28098" spans="1:5" x14ac:dyDescent="0.25">
      <c r="A28098" t="s">
        <v>16</v>
      </c>
      <c r="B28098" t="s">
        <v>7666</v>
      </c>
      <c r="C28098" s="1" t="s">
        <v>23490</v>
      </c>
      <c r="D28098" s="1" t="str">
        <f>HYPERLINK("https://rhld.insurance.arkansas.gov/NPILookup?Npi=1609459239","1609459239")</f>
        <v>1609459239</v>
      </c>
      <c r="E28098" t="s">
        <v>21314</v>
      </c>
    </row>
    <row r="28099" spans="1:5" x14ac:dyDescent="0.25">
      <c r="A28099" t="s">
        <v>16</v>
      </c>
      <c r="B28099" t="s">
        <v>7666</v>
      </c>
      <c r="C28099" s="1" t="s">
        <v>23490</v>
      </c>
      <c r="D28099" s="1" t="str">
        <f>HYPERLINK("https://rhld.insurance.arkansas.gov/NPILookup?Npi=1609544279","1609544279")</f>
        <v>1609544279</v>
      </c>
      <c r="E28099" t="s">
        <v>19164</v>
      </c>
    </row>
    <row r="28100" spans="1:5" x14ac:dyDescent="0.25">
      <c r="A28100" t="s">
        <v>16</v>
      </c>
      <c r="B28100" t="s">
        <v>7666</v>
      </c>
      <c r="C28100" s="1" t="s">
        <v>23490</v>
      </c>
      <c r="D28100" s="1" t="str">
        <f>HYPERLINK("https://rhld.insurance.arkansas.gov/NPILookup?Npi=1609820190","1609820190")</f>
        <v>1609820190</v>
      </c>
      <c r="E28100" t="s">
        <v>8038</v>
      </c>
    </row>
    <row r="28101" spans="1:5" x14ac:dyDescent="0.25">
      <c r="A28101" t="s">
        <v>16</v>
      </c>
      <c r="B28101" t="s">
        <v>7666</v>
      </c>
      <c r="C28101" s="1" t="s">
        <v>23490</v>
      </c>
      <c r="D28101" s="1" t="str">
        <f>HYPERLINK("https://rhld.insurance.arkansas.gov/NPILookup?Npi=1609847102","1609847102")</f>
        <v>1609847102</v>
      </c>
      <c r="E28101" t="s">
        <v>16716</v>
      </c>
    </row>
    <row r="28102" spans="1:5" x14ac:dyDescent="0.25">
      <c r="A28102" t="s">
        <v>16</v>
      </c>
      <c r="B28102" t="s">
        <v>7666</v>
      </c>
      <c r="C28102" s="1" t="s">
        <v>23490</v>
      </c>
      <c r="D28102" s="1" t="str">
        <f>HYPERLINK("https://rhld.insurance.arkansas.gov/NPILookup?Npi=1609850916","1609850916")</f>
        <v>1609850916</v>
      </c>
      <c r="E28102" t="s">
        <v>8039</v>
      </c>
    </row>
    <row r="28103" spans="1:5" x14ac:dyDescent="0.25">
      <c r="A28103" t="s">
        <v>16</v>
      </c>
      <c r="B28103" t="s">
        <v>7666</v>
      </c>
      <c r="C28103" s="1" t="s">
        <v>23490</v>
      </c>
      <c r="D28103" s="1" t="str">
        <f>HYPERLINK("https://rhld.insurance.arkansas.gov/NPILookup?Npi=1609879931","1609879931")</f>
        <v>1609879931</v>
      </c>
      <c r="E28103" t="s">
        <v>8040</v>
      </c>
    </row>
    <row r="28104" spans="1:5" x14ac:dyDescent="0.25">
      <c r="A28104" t="s">
        <v>16</v>
      </c>
      <c r="B28104" t="s">
        <v>7666</v>
      </c>
      <c r="C28104" s="1" t="s">
        <v>23490</v>
      </c>
      <c r="D28104" s="1" t="str">
        <f>HYPERLINK("https://rhld.insurance.arkansas.gov/NPILookup?Npi=1609885805","1609885805")</f>
        <v>1609885805</v>
      </c>
      <c r="E28104" t="s">
        <v>8041</v>
      </c>
    </row>
    <row r="28105" spans="1:5" x14ac:dyDescent="0.25">
      <c r="A28105" t="s">
        <v>16</v>
      </c>
      <c r="B28105" t="s">
        <v>7666</v>
      </c>
      <c r="C28105" s="1" t="s">
        <v>23490</v>
      </c>
      <c r="D28105" s="1" t="str">
        <f>HYPERLINK("https://rhld.insurance.arkansas.gov/NPILookup?Npi=1609894948","1609894948")</f>
        <v>1609894948</v>
      </c>
      <c r="E28105" t="s">
        <v>8042</v>
      </c>
    </row>
    <row r="28106" spans="1:5" x14ac:dyDescent="0.25">
      <c r="A28106" t="s">
        <v>16</v>
      </c>
      <c r="B28106" t="s">
        <v>7666</v>
      </c>
      <c r="C28106" s="1" t="s">
        <v>23490</v>
      </c>
      <c r="D28106" s="1" t="str">
        <f>HYPERLINK("https://rhld.insurance.arkansas.gov/NPILookup?Npi=1609926344","1609926344")</f>
        <v>1609926344</v>
      </c>
      <c r="E28106" t="s">
        <v>8043</v>
      </c>
    </row>
    <row r="28107" spans="1:5" x14ac:dyDescent="0.25">
      <c r="A28107" t="s">
        <v>16</v>
      </c>
      <c r="B28107" t="s">
        <v>7666</v>
      </c>
      <c r="C28107" s="1" t="s">
        <v>23490</v>
      </c>
      <c r="D28107" s="1" t="str">
        <f>HYPERLINK("https://rhld.insurance.arkansas.gov/NPILookup?Npi=1609953827","1609953827")</f>
        <v>1609953827</v>
      </c>
      <c r="E28107" t="s">
        <v>7842</v>
      </c>
    </row>
    <row r="28108" spans="1:5" x14ac:dyDescent="0.25">
      <c r="A28108" t="s">
        <v>16</v>
      </c>
      <c r="B28108" t="s">
        <v>7666</v>
      </c>
      <c r="C28108" s="1" t="s">
        <v>23490</v>
      </c>
      <c r="D28108" s="1" t="str">
        <f>HYPERLINK("https://rhld.insurance.arkansas.gov/NPILookup?Npi=1609963941","1609963941")</f>
        <v>1609963941</v>
      </c>
      <c r="E28108" t="s">
        <v>8044</v>
      </c>
    </row>
    <row r="28109" spans="1:5" x14ac:dyDescent="0.25">
      <c r="A28109" t="s">
        <v>16</v>
      </c>
      <c r="B28109" t="s">
        <v>7666</v>
      </c>
      <c r="C28109" s="1" t="s">
        <v>23490</v>
      </c>
      <c r="D28109" s="1" t="str">
        <f>HYPERLINK("https://rhld.insurance.arkansas.gov/NPILookup?Npi=1619016383","1619016383")</f>
        <v>1619016383</v>
      </c>
      <c r="E28109" t="s">
        <v>16717</v>
      </c>
    </row>
    <row r="28110" spans="1:5" x14ac:dyDescent="0.25">
      <c r="A28110" t="s">
        <v>16</v>
      </c>
      <c r="B28110" t="s">
        <v>7666</v>
      </c>
      <c r="C28110" s="1" t="s">
        <v>23490</v>
      </c>
      <c r="D28110" s="1" t="str">
        <f>HYPERLINK("https://rhld.insurance.arkansas.gov/NPILookup?Npi=1619111762","1619111762")</f>
        <v>1619111762</v>
      </c>
      <c r="E28110" t="s">
        <v>8045</v>
      </c>
    </row>
    <row r="28111" spans="1:5" x14ac:dyDescent="0.25">
      <c r="A28111" t="s">
        <v>16</v>
      </c>
      <c r="B28111" t="s">
        <v>7666</v>
      </c>
      <c r="C28111" s="1" t="s">
        <v>23490</v>
      </c>
      <c r="D28111" s="1" t="str">
        <f>HYPERLINK("https://rhld.insurance.arkansas.gov/NPILookup?Npi=1619187648","1619187648")</f>
        <v>1619187648</v>
      </c>
      <c r="E28111" t="s">
        <v>8046</v>
      </c>
    </row>
    <row r="28112" spans="1:5" x14ac:dyDescent="0.25">
      <c r="A28112" t="s">
        <v>16</v>
      </c>
      <c r="B28112" t="s">
        <v>7666</v>
      </c>
      <c r="C28112" s="1" t="s">
        <v>23490</v>
      </c>
      <c r="D28112" s="1" t="str">
        <f>HYPERLINK("https://rhld.insurance.arkansas.gov/NPILookup?Npi=1619388691","1619388691")</f>
        <v>1619388691</v>
      </c>
      <c r="E28112" t="s">
        <v>14550</v>
      </c>
    </row>
    <row r="28113" spans="1:5" x14ac:dyDescent="0.25">
      <c r="A28113" t="s">
        <v>16</v>
      </c>
      <c r="B28113" t="s">
        <v>7666</v>
      </c>
      <c r="C28113" s="1" t="s">
        <v>23490</v>
      </c>
      <c r="D28113" s="1" t="str">
        <f>HYPERLINK("https://rhld.insurance.arkansas.gov/NPILookup?Npi=1619602083","1619602083")</f>
        <v>1619602083</v>
      </c>
      <c r="E28113" t="s">
        <v>21315</v>
      </c>
    </row>
    <row r="28114" spans="1:5" x14ac:dyDescent="0.25">
      <c r="A28114" t="s">
        <v>16</v>
      </c>
      <c r="B28114" t="s">
        <v>7666</v>
      </c>
      <c r="C28114" s="1" t="s">
        <v>23490</v>
      </c>
      <c r="D28114" s="1" t="str">
        <f>HYPERLINK("https://rhld.insurance.arkansas.gov/NPILookup?Npi=1619910544","1619910544")</f>
        <v>1619910544</v>
      </c>
      <c r="E28114" t="s">
        <v>8047</v>
      </c>
    </row>
    <row r="28115" spans="1:5" x14ac:dyDescent="0.25">
      <c r="A28115" t="s">
        <v>16</v>
      </c>
      <c r="B28115" t="s">
        <v>7666</v>
      </c>
      <c r="C28115" s="1" t="s">
        <v>23490</v>
      </c>
      <c r="D28115" s="1" t="str">
        <f>HYPERLINK("https://rhld.insurance.arkansas.gov/NPILookup?Npi=1619918729","1619918729")</f>
        <v>1619918729</v>
      </c>
      <c r="E28115" t="s">
        <v>8048</v>
      </c>
    </row>
    <row r="28116" spans="1:5" x14ac:dyDescent="0.25">
      <c r="A28116" t="s">
        <v>16</v>
      </c>
      <c r="B28116" t="s">
        <v>7666</v>
      </c>
      <c r="C28116" s="1" t="s">
        <v>23490</v>
      </c>
      <c r="D28116" s="1" t="str">
        <f>HYPERLINK("https://rhld.insurance.arkansas.gov/NPILookup?Npi=1619922333","1619922333")</f>
        <v>1619922333</v>
      </c>
      <c r="E28116" t="s">
        <v>8049</v>
      </c>
    </row>
    <row r="28117" spans="1:5" x14ac:dyDescent="0.25">
      <c r="A28117" t="s">
        <v>16</v>
      </c>
      <c r="B28117" t="s">
        <v>7666</v>
      </c>
      <c r="C28117" s="1" t="s">
        <v>23490</v>
      </c>
      <c r="D28117" s="1" t="str">
        <f>HYPERLINK("https://rhld.insurance.arkansas.gov/NPILookup?Npi=1619939832","1619939832")</f>
        <v>1619939832</v>
      </c>
      <c r="E28117" t="s">
        <v>8050</v>
      </c>
    </row>
    <row r="28118" spans="1:5" x14ac:dyDescent="0.25">
      <c r="A28118" t="s">
        <v>16</v>
      </c>
      <c r="B28118" t="s">
        <v>7666</v>
      </c>
      <c r="C28118" s="1" t="s">
        <v>23490</v>
      </c>
      <c r="D28118" s="1" t="str">
        <f>HYPERLINK("https://rhld.insurance.arkansas.gov/NPILookup?Npi=1619981024","1619981024")</f>
        <v>1619981024</v>
      </c>
      <c r="E28118" t="s">
        <v>8051</v>
      </c>
    </row>
    <row r="28119" spans="1:5" x14ac:dyDescent="0.25">
      <c r="A28119" t="s">
        <v>16</v>
      </c>
      <c r="B28119" t="s">
        <v>7666</v>
      </c>
      <c r="C28119" s="1" t="s">
        <v>23490</v>
      </c>
      <c r="D28119" s="1" t="str">
        <f>HYPERLINK("https://rhld.insurance.arkansas.gov/NPILookup?Npi=1629028733","1629028733")</f>
        <v>1629028733</v>
      </c>
      <c r="E28119" t="s">
        <v>8052</v>
      </c>
    </row>
    <row r="28120" spans="1:5" x14ac:dyDescent="0.25">
      <c r="A28120" t="s">
        <v>16</v>
      </c>
      <c r="B28120" t="s">
        <v>7666</v>
      </c>
      <c r="C28120" s="1" t="s">
        <v>23490</v>
      </c>
      <c r="D28120" s="1" t="str">
        <f>HYPERLINK("https://rhld.insurance.arkansas.gov/NPILookup?Npi=1629061502","1629061502")</f>
        <v>1629061502</v>
      </c>
      <c r="E28120" t="s">
        <v>8053</v>
      </c>
    </row>
    <row r="28121" spans="1:5" x14ac:dyDescent="0.25">
      <c r="A28121" t="s">
        <v>16</v>
      </c>
      <c r="B28121" t="s">
        <v>7666</v>
      </c>
      <c r="C28121" s="1" t="s">
        <v>23490</v>
      </c>
      <c r="D28121" s="1" t="str">
        <f>HYPERLINK("https://rhld.insurance.arkansas.gov/NPILookup?Npi=1629061817","1629061817")</f>
        <v>1629061817</v>
      </c>
      <c r="E28121" t="s">
        <v>8054</v>
      </c>
    </row>
    <row r="28122" spans="1:5" x14ac:dyDescent="0.25">
      <c r="A28122" t="s">
        <v>16</v>
      </c>
      <c r="B28122" t="s">
        <v>7666</v>
      </c>
      <c r="C28122" s="1" t="s">
        <v>23490</v>
      </c>
      <c r="D28122" s="1" t="str">
        <f>HYPERLINK("https://rhld.insurance.arkansas.gov/NPILookup?Npi=1629082250","1629082250")</f>
        <v>1629082250</v>
      </c>
      <c r="E28122" t="s">
        <v>8055</v>
      </c>
    </row>
    <row r="28123" spans="1:5" x14ac:dyDescent="0.25">
      <c r="A28123" t="s">
        <v>16</v>
      </c>
      <c r="B28123" t="s">
        <v>7666</v>
      </c>
      <c r="C28123" s="1" t="s">
        <v>23490</v>
      </c>
      <c r="D28123" s="1" t="str">
        <f>HYPERLINK("https://rhld.insurance.arkansas.gov/NPILookup?Npi=1629130745","1629130745")</f>
        <v>1629130745</v>
      </c>
      <c r="E28123" t="s">
        <v>198</v>
      </c>
    </row>
    <row r="28124" spans="1:5" x14ac:dyDescent="0.25">
      <c r="A28124" t="s">
        <v>16</v>
      </c>
      <c r="B28124" t="s">
        <v>7666</v>
      </c>
      <c r="C28124" s="1" t="s">
        <v>23490</v>
      </c>
      <c r="D28124" s="1" t="str">
        <f>HYPERLINK("https://rhld.insurance.arkansas.gov/NPILookup?Npi=1629323142","1629323142")</f>
        <v>1629323142</v>
      </c>
      <c r="E28124" t="s">
        <v>16718</v>
      </c>
    </row>
    <row r="28125" spans="1:5" x14ac:dyDescent="0.25">
      <c r="A28125" t="s">
        <v>16</v>
      </c>
      <c r="B28125" t="s">
        <v>7666</v>
      </c>
      <c r="C28125" s="1" t="s">
        <v>23490</v>
      </c>
      <c r="D28125" s="1" t="str">
        <f>HYPERLINK("https://rhld.insurance.arkansas.gov/NPILookup?Npi=1629482823","1629482823")</f>
        <v>1629482823</v>
      </c>
      <c r="E28125" t="s">
        <v>8056</v>
      </c>
    </row>
    <row r="28126" spans="1:5" x14ac:dyDescent="0.25">
      <c r="A28126" t="s">
        <v>16</v>
      </c>
      <c r="B28126" t="s">
        <v>7666</v>
      </c>
      <c r="C28126" s="1" t="s">
        <v>23490</v>
      </c>
      <c r="D28126" s="1" t="str">
        <f>HYPERLINK("https://rhld.insurance.arkansas.gov/NPILookup?Npi=1629562905","1629562905")</f>
        <v>1629562905</v>
      </c>
      <c r="E28126" t="s">
        <v>22721</v>
      </c>
    </row>
    <row r="28127" spans="1:5" x14ac:dyDescent="0.25">
      <c r="A28127" t="s">
        <v>16</v>
      </c>
      <c r="B28127" t="s">
        <v>7666</v>
      </c>
      <c r="C28127" s="1" t="s">
        <v>23490</v>
      </c>
      <c r="D28127" s="1" t="str">
        <f>HYPERLINK("https://rhld.insurance.arkansas.gov/NPILookup?Npi=1639129422","1639129422")</f>
        <v>1639129422</v>
      </c>
      <c r="E28127" t="s">
        <v>16719</v>
      </c>
    </row>
    <row r="28128" spans="1:5" x14ac:dyDescent="0.25">
      <c r="A28128" t="s">
        <v>16</v>
      </c>
      <c r="B28128" t="s">
        <v>7666</v>
      </c>
      <c r="C28128" s="1" t="s">
        <v>23490</v>
      </c>
      <c r="D28128" s="1" t="str">
        <f>HYPERLINK("https://rhld.insurance.arkansas.gov/NPILookup?Npi=1639185341","1639185341")</f>
        <v>1639185341</v>
      </c>
      <c r="E28128" t="s">
        <v>7844</v>
      </c>
    </row>
    <row r="28129" spans="1:5" x14ac:dyDescent="0.25">
      <c r="A28129" t="s">
        <v>16</v>
      </c>
      <c r="B28129" t="s">
        <v>7666</v>
      </c>
      <c r="C28129" s="1" t="s">
        <v>23490</v>
      </c>
      <c r="D28129" s="1" t="str">
        <f>HYPERLINK("https://rhld.insurance.arkansas.gov/NPILookup?Npi=1639444904","1639444904")</f>
        <v>1639444904</v>
      </c>
      <c r="E28129" t="s">
        <v>17757</v>
      </c>
    </row>
    <row r="28130" spans="1:5" x14ac:dyDescent="0.25">
      <c r="A28130" t="s">
        <v>16</v>
      </c>
      <c r="B28130" t="s">
        <v>7666</v>
      </c>
      <c r="C28130" s="1" t="s">
        <v>23490</v>
      </c>
      <c r="D28130" s="1" t="str">
        <f>HYPERLINK("https://rhld.insurance.arkansas.gov/NPILookup?Npi=1639467426","1639467426")</f>
        <v>1639467426</v>
      </c>
      <c r="E28130" t="s">
        <v>8057</v>
      </c>
    </row>
    <row r="28131" spans="1:5" x14ac:dyDescent="0.25">
      <c r="A28131" t="s">
        <v>16</v>
      </c>
      <c r="B28131" t="s">
        <v>7666</v>
      </c>
      <c r="C28131" s="1" t="s">
        <v>23490</v>
      </c>
      <c r="D28131" s="1" t="str">
        <f>HYPERLINK("https://rhld.insurance.arkansas.gov/NPILookup?Npi=1639532823","1639532823")</f>
        <v>1639532823</v>
      </c>
      <c r="E28131" t="s">
        <v>20777</v>
      </c>
    </row>
    <row r="28132" spans="1:5" x14ac:dyDescent="0.25">
      <c r="A28132" t="s">
        <v>16</v>
      </c>
      <c r="B28132" t="s">
        <v>7666</v>
      </c>
      <c r="C28132" s="1" t="s">
        <v>23490</v>
      </c>
      <c r="D28132" s="1" t="str">
        <f>HYPERLINK("https://rhld.insurance.arkansas.gov/NPILookup?Npi=1639613979","1639613979")</f>
        <v>1639613979</v>
      </c>
      <c r="E28132" t="s">
        <v>12145</v>
      </c>
    </row>
    <row r="28133" spans="1:5" x14ac:dyDescent="0.25">
      <c r="A28133" t="s">
        <v>16</v>
      </c>
      <c r="B28133" t="s">
        <v>7666</v>
      </c>
      <c r="C28133" s="1" t="s">
        <v>23490</v>
      </c>
      <c r="D28133" s="1" t="str">
        <f>HYPERLINK("https://rhld.insurance.arkansas.gov/NPILookup?Npi=1639659949","1639659949")</f>
        <v>1639659949</v>
      </c>
      <c r="E28133" t="s">
        <v>20778</v>
      </c>
    </row>
    <row r="28134" spans="1:5" x14ac:dyDescent="0.25">
      <c r="A28134" t="s">
        <v>16</v>
      </c>
      <c r="B28134" t="s">
        <v>7666</v>
      </c>
      <c r="C28134" s="1" t="s">
        <v>8427</v>
      </c>
      <c r="D28134" s="1" t="str">
        <f>HYPERLINK("https://rhld.insurance.arkansas.gov/NPILookup?Npi=1639860257","1639860257")</f>
        <v>1639860257</v>
      </c>
      <c r="E28134" t="s">
        <v>23331</v>
      </c>
    </row>
    <row r="28135" spans="1:5" x14ac:dyDescent="0.25">
      <c r="A28135" t="s">
        <v>16</v>
      </c>
      <c r="B28135" t="s">
        <v>7666</v>
      </c>
      <c r="C28135" s="1" t="s">
        <v>23490</v>
      </c>
      <c r="D28135" s="1" t="str">
        <f>HYPERLINK("https://rhld.insurance.arkansas.gov/NPILookup?Npi=1649254343","1649254343")</f>
        <v>1649254343</v>
      </c>
      <c r="E28135" t="s">
        <v>8058</v>
      </c>
    </row>
    <row r="28136" spans="1:5" x14ac:dyDescent="0.25">
      <c r="A28136" t="s">
        <v>16</v>
      </c>
      <c r="B28136" t="s">
        <v>7666</v>
      </c>
      <c r="C28136" s="1" t="s">
        <v>23490</v>
      </c>
      <c r="D28136" s="1" t="str">
        <f>HYPERLINK("https://rhld.insurance.arkansas.gov/NPILookup?Npi=1649260050","1649260050")</f>
        <v>1649260050</v>
      </c>
      <c r="E28136" t="s">
        <v>8059</v>
      </c>
    </row>
    <row r="28137" spans="1:5" x14ac:dyDescent="0.25">
      <c r="A28137" t="s">
        <v>16</v>
      </c>
      <c r="B28137" t="s">
        <v>7666</v>
      </c>
      <c r="C28137" s="1" t="s">
        <v>23490</v>
      </c>
      <c r="D28137" s="1" t="str">
        <f>HYPERLINK("https://rhld.insurance.arkansas.gov/NPILookup?Npi=1649360132","1649360132")</f>
        <v>1649360132</v>
      </c>
      <c r="E28137" t="s">
        <v>8060</v>
      </c>
    </row>
    <row r="28138" spans="1:5" x14ac:dyDescent="0.25">
      <c r="A28138" t="s">
        <v>16</v>
      </c>
      <c r="B28138" t="s">
        <v>7666</v>
      </c>
      <c r="C28138" s="1" t="s">
        <v>23490</v>
      </c>
      <c r="D28138" s="1" t="str">
        <f>HYPERLINK("https://rhld.insurance.arkansas.gov/NPILookup?Npi=1649440793","1649440793")</f>
        <v>1649440793</v>
      </c>
      <c r="E28138" t="s">
        <v>8061</v>
      </c>
    </row>
    <row r="28139" spans="1:5" x14ac:dyDescent="0.25">
      <c r="A28139" t="s">
        <v>16</v>
      </c>
      <c r="B28139" t="s">
        <v>7666</v>
      </c>
      <c r="C28139" s="1" t="s">
        <v>23490</v>
      </c>
      <c r="D28139" s="1" t="str">
        <f>HYPERLINK("https://rhld.insurance.arkansas.gov/NPILookup?Npi=1649471921","1649471921")</f>
        <v>1649471921</v>
      </c>
      <c r="E28139" t="s">
        <v>8062</v>
      </c>
    </row>
    <row r="28140" spans="1:5" x14ac:dyDescent="0.25">
      <c r="A28140" t="s">
        <v>16</v>
      </c>
      <c r="B28140" t="s">
        <v>7666</v>
      </c>
      <c r="C28140" s="1" t="s">
        <v>23490</v>
      </c>
      <c r="D28140" s="1" t="str">
        <f>HYPERLINK("https://rhld.insurance.arkansas.gov/NPILookup?Npi=1649526807","1649526807")</f>
        <v>1649526807</v>
      </c>
      <c r="E28140" t="s">
        <v>8063</v>
      </c>
    </row>
    <row r="28141" spans="1:5" x14ac:dyDescent="0.25">
      <c r="A28141" t="s">
        <v>16</v>
      </c>
      <c r="B28141" t="s">
        <v>7666</v>
      </c>
      <c r="C28141" s="1" t="s">
        <v>23490</v>
      </c>
      <c r="D28141" s="1" t="str">
        <f>HYPERLINK("https://rhld.insurance.arkansas.gov/NPILookup?Npi=1649653007","1649653007")</f>
        <v>1649653007</v>
      </c>
      <c r="E28141" t="s">
        <v>9300</v>
      </c>
    </row>
    <row r="28142" spans="1:5" x14ac:dyDescent="0.25">
      <c r="A28142" t="s">
        <v>16</v>
      </c>
      <c r="B28142" t="s">
        <v>7666</v>
      </c>
      <c r="C28142" s="1" t="s">
        <v>23490</v>
      </c>
      <c r="D28142" s="1" t="str">
        <f>HYPERLINK("https://rhld.insurance.arkansas.gov/NPILookup?Npi=1659340040","1659340040")</f>
        <v>1659340040</v>
      </c>
      <c r="E28142" t="s">
        <v>8064</v>
      </c>
    </row>
    <row r="28143" spans="1:5" x14ac:dyDescent="0.25">
      <c r="A28143" t="s">
        <v>16</v>
      </c>
      <c r="B28143" t="s">
        <v>7666</v>
      </c>
      <c r="C28143" s="1" t="s">
        <v>23490</v>
      </c>
      <c r="D28143" s="1" t="str">
        <f>HYPERLINK("https://rhld.insurance.arkansas.gov/NPILookup?Npi=1659340958","1659340958")</f>
        <v>1659340958</v>
      </c>
      <c r="E28143" t="s">
        <v>8065</v>
      </c>
    </row>
    <row r="28144" spans="1:5" x14ac:dyDescent="0.25">
      <c r="A28144" t="s">
        <v>16</v>
      </c>
      <c r="B28144" t="s">
        <v>7666</v>
      </c>
      <c r="C28144" s="1" t="s">
        <v>23490</v>
      </c>
      <c r="D28144" s="1" t="str">
        <f>HYPERLINK("https://rhld.insurance.arkansas.gov/NPILookup?Npi=1659374429","1659374429")</f>
        <v>1659374429</v>
      </c>
      <c r="E28144" t="s">
        <v>8066</v>
      </c>
    </row>
    <row r="28145" spans="1:5" x14ac:dyDescent="0.25">
      <c r="A28145" t="s">
        <v>16</v>
      </c>
      <c r="B28145" t="s">
        <v>7666</v>
      </c>
      <c r="C28145" s="1" t="s">
        <v>23490</v>
      </c>
      <c r="D28145" s="1" t="str">
        <f>HYPERLINK("https://rhld.insurance.arkansas.gov/NPILookup?Npi=1659414662","1659414662")</f>
        <v>1659414662</v>
      </c>
      <c r="E28145" t="s">
        <v>5458</v>
      </c>
    </row>
    <row r="28146" spans="1:5" x14ac:dyDescent="0.25">
      <c r="A28146" t="s">
        <v>16</v>
      </c>
      <c r="B28146" t="s">
        <v>7666</v>
      </c>
      <c r="C28146" s="1" t="s">
        <v>23490</v>
      </c>
      <c r="D28146" s="1" t="str">
        <f>HYPERLINK("https://rhld.insurance.arkansas.gov/NPILookup?Npi=1659441269","1659441269")</f>
        <v>1659441269</v>
      </c>
      <c r="E28146" t="s">
        <v>8067</v>
      </c>
    </row>
    <row r="28147" spans="1:5" x14ac:dyDescent="0.25">
      <c r="A28147" t="s">
        <v>16</v>
      </c>
      <c r="B28147" t="s">
        <v>7666</v>
      </c>
      <c r="C28147" s="1" t="s">
        <v>23490</v>
      </c>
      <c r="D28147" s="1" t="str">
        <f>HYPERLINK("https://rhld.insurance.arkansas.gov/NPILookup?Npi=1659489326","1659489326")</f>
        <v>1659489326</v>
      </c>
      <c r="E28147" t="s">
        <v>8068</v>
      </c>
    </row>
    <row r="28148" spans="1:5" x14ac:dyDescent="0.25">
      <c r="A28148" t="s">
        <v>16</v>
      </c>
      <c r="B28148" t="s">
        <v>7666</v>
      </c>
      <c r="C28148" s="1" t="s">
        <v>23490</v>
      </c>
      <c r="D28148" s="1" t="str">
        <f>HYPERLINK("https://rhld.insurance.arkansas.gov/NPILookup?Npi=1659557171","1659557171")</f>
        <v>1659557171</v>
      </c>
      <c r="E28148" t="s">
        <v>8069</v>
      </c>
    </row>
    <row r="28149" spans="1:5" x14ac:dyDescent="0.25">
      <c r="A28149" t="s">
        <v>16</v>
      </c>
      <c r="B28149" t="s">
        <v>7666</v>
      </c>
      <c r="C28149" s="1" t="s">
        <v>23490</v>
      </c>
      <c r="D28149" s="1" t="str">
        <f>HYPERLINK("https://rhld.insurance.arkansas.gov/NPILookup?Npi=1659687242","1659687242")</f>
        <v>1659687242</v>
      </c>
      <c r="E28149" t="s">
        <v>8070</v>
      </c>
    </row>
    <row r="28150" spans="1:5" x14ac:dyDescent="0.25">
      <c r="A28150" t="s">
        <v>16</v>
      </c>
      <c r="B28150" t="s">
        <v>7666</v>
      </c>
      <c r="C28150" s="1" t="s">
        <v>23490</v>
      </c>
      <c r="D28150" s="1" t="str">
        <f>HYPERLINK("https://rhld.insurance.arkansas.gov/NPILookup?Npi=1659698967","1659698967")</f>
        <v>1659698967</v>
      </c>
      <c r="E28150" t="s">
        <v>8071</v>
      </c>
    </row>
    <row r="28151" spans="1:5" x14ac:dyDescent="0.25">
      <c r="A28151" t="s">
        <v>16</v>
      </c>
      <c r="B28151" t="s">
        <v>7666</v>
      </c>
      <c r="C28151" s="1" t="s">
        <v>23490</v>
      </c>
      <c r="D28151" s="1" t="str">
        <f>HYPERLINK("https://rhld.insurance.arkansas.gov/NPILookup?Npi=1659953693","1659953693")</f>
        <v>1659953693</v>
      </c>
      <c r="E28151" t="s">
        <v>20779</v>
      </c>
    </row>
    <row r="28152" spans="1:5" x14ac:dyDescent="0.25">
      <c r="A28152" t="s">
        <v>16</v>
      </c>
      <c r="B28152" t="s">
        <v>7666</v>
      </c>
      <c r="C28152" s="1" t="s">
        <v>23490</v>
      </c>
      <c r="D28152" s="1" t="str">
        <f>HYPERLINK("https://rhld.insurance.arkansas.gov/NPILookup?Npi=1669430914","1669430914")</f>
        <v>1669430914</v>
      </c>
      <c r="E28152" t="s">
        <v>8072</v>
      </c>
    </row>
    <row r="28153" spans="1:5" x14ac:dyDescent="0.25">
      <c r="A28153" t="s">
        <v>16</v>
      </c>
      <c r="B28153" t="s">
        <v>7666</v>
      </c>
      <c r="C28153" s="1" t="s">
        <v>23490</v>
      </c>
      <c r="D28153" s="1" t="str">
        <f>HYPERLINK("https://rhld.insurance.arkansas.gov/NPILookup?Npi=1669445102","1669445102")</f>
        <v>1669445102</v>
      </c>
      <c r="E28153" t="s">
        <v>8073</v>
      </c>
    </row>
    <row r="28154" spans="1:5" x14ac:dyDescent="0.25">
      <c r="A28154" t="s">
        <v>16</v>
      </c>
      <c r="B28154" t="s">
        <v>7666</v>
      </c>
      <c r="C28154" s="1" t="s">
        <v>23490</v>
      </c>
      <c r="D28154" s="1" t="str">
        <f>HYPERLINK("https://rhld.insurance.arkansas.gov/NPILookup?Npi=1669458162","1669458162")</f>
        <v>1669458162</v>
      </c>
      <c r="E28154" t="s">
        <v>12486</v>
      </c>
    </row>
    <row r="28155" spans="1:5" x14ac:dyDescent="0.25">
      <c r="A28155" t="s">
        <v>16</v>
      </c>
      <c r="B28155" t="s">
        <v>7666</v>
      </c>
      <c r="C28155" s="1" t="s">
        <v>23490</v>
      </c>
      <c r="D28155" s="1" t="str">
        <f>HYPERLINK("https://rhld.insurance.arkansas.gov/NPILookup?Npi=1669463352","1669463352")</f>
        <v>1669463352</v>
      </c>
      <c r="E28155" t="s">
        <v>8074</v>
      </c>
    </row>
    <row r="28156" spans="1:5" x14ac:dyDescent="0.25">
      <c r="A28156" t="s">
        <v>16</v>
      </c>
      <c r="B28156" t="s">
        <v>7666</v>
      </c>
      <c r="C28156" s="1" t="s">
        <v>23490</v>
      </c>
      <c r="D28156" s="1" t="str">
        <f>HYPERLINK("https://rhld.insurance.arkansas.gov/NPILookup?Npi=1669470183","1669470183")</f>
        <v>1669470183</v>
      </c>
      <c r="E28156" t="s">
        <v>8075</v>
      </c>
    </row>
    <row r="28157" spans="1:5" x14ac:dyDescent="0.25">
      <c r="A28157" t="s">
        <v>16</v>
      </c>
      <c r="B28157" t="s">
        <v>7666</v>
      </c>
      <c r="C28157" s="1" t="s">
        <v>23490</v>
      </c>
      <c r="D28157" s="1" t="str">
        <f>HYPERLINK("https://rhld.insurance.arkansas.gov/NPILookup?Npi=1669492781","1669492781")</f>
        <v>1669492781</v>
      </c>
      <c r="E28157" t="s">
        <v>8076</v>
      </c>
    </row>
    <row r="28158" spans="1:5" x14ac:dyDescent="0.25">
      <c r="A28158" t="s">
        <v>16</v>
      </c>
      <c r="B28158" t="s">
        <v>7666</v>
      </c>
      <c r="C28158" s="1" t="s">
        <v>23490</v>
      </c>
      <c r="D28158" s="1" t="str">
        <f>HYPERLINK("https://rhld.insurance.arkansas.gov/NPILookup?Npi=1669540373","1669540373")</f>
        <v>1669540373</v>
      </c>
      <c r="E28158" t="s">
        <v>8077</v>
      </c>
    </row>
    <row r="28159" spans="1:5" x14ac:dyDescent="0.25">
      <c r="A28159" t="s">
        <v>16</v>
      </c>
      <c r="B28159" t="s">
        <v>7666</v>
      </c>
      <c r="C28159" s="1" t="s">
        <v>23490</v>
      </c>
      <c r="D28159" s="1" t="str">
        <f>HYPERLINK("https://rhld.insurance.arkansas.gov/NPILookup?Npi=1669562153","1669562153")</f>
        <v>1669562153</v>
      </c>
      <c r="E28159" t="s">
        <v>20780</v>
      </c>
    </row>
    <row r="28160" spans="1:5" x14ac:dyDescent="0.25">
      <c r="A28160" t="s">
        <v>16</v>
      </c>
      <c r="B28160" t="s">
        <v>7666</v>
      </c>
      <c r="C28160" s="1" t="s">
        <v>23490</v>
      </c>
      <c r="D28160" s="1" t="str">
        <f>HYPERLINK("https://rhld.insurance.arkansas.gov/NPILookup?Npi=1669591129","1669591129")</f>
        <v>1669591129</v>
      </c>
      <c r="E28160" t="s">
        <v>9301</v>
      </c>
    </row>
    <row r="28161" spans="1:5" x14ac:dyDescent="0.25">
      <c r="A28161" t="s">
        <v>16</v>
      </c>
      <c r="B28161" t="s">
        <v>7666</v>
      </c>
      <c r="C28161" s="1" t="s">
        <v>23490</v>
      </c>
      <c r="D28161" s="1" t="str">
        <f>HYPERLINK("https://rhld.insurance.arkansas.gov/NPILookup?Npi=1669670063","1669670063")</f>
        <v>1669670063</v>
      </c>
      <c r="E28161" t="s">
        <v>8078</v>
      </c>
    </row>
    <row r="28162" spans="1:5" x14ac:dyDescent="0.25">
      <c r="A28162" t="s">
        <v>16</v>
      </c>
      <c r="B28162" t="s">
        <v>7666</v>
      </c>
      <c r="C28162" s="1" t="s">
        <v>23490</v>
      </c>
      <c r="D28162" s="1" t="str">
        <f>HYPERLINK("https://rhld.insurance.arkansas.gov/NPILookup?Npi=1669821914","1669821914")</f>
        <v>1669821914</v>
      </c>
      <c r="E28162" t="s">
        <v>17313</v>
      </c>
    </row>
    <row r="28163" spans="1:5" x14ac:dyDescent="0.25">
      <c r="A28163" t="s">
        <v>16</v>
      </c>
      <c r="B28163" t="s">
        <v>7666</v>
      </c>
      <c r="C28163" s="1" t="s">
        <v>23490</v>
      </c>
      <c r="D28163" s="1" t="str">
        <f>HYPERLINK("https://rhld.insurance.arkansas.gov/NPILookup?Npi=1679208276","1679208276")</f>
        <v>1679208276</v>
      </c>
      <c r="E28163" t="s">
        <v>22722</v>
      </c>
    </row>
    <row r="28164" spans="1:5" x14ac:dyDescent="0.25">
      <c r="A28164" t="s">
        <v>16</v>
      </c>
      <c r="B28164" t="s">
        <v>7666</v>
      </c>
      <c r="C28164" s="1" t="s">
        <v>23490</v>
      </c>
      <c r="D28164" s="1" t="str">
        <f>HYPERLINK("https://rhld.insurance.arkansas.gov/NPILookup?Npi=1679501019","1679501019")</f>
        <v>1679501019</v>
      </c>
      <c r="E28164" t="s">
        <v>8079</v>
      </c>
    </row>
    <row r="28165" spans="1:5" x14ac:dyDescent="0.25">
      <c r="A28165" t="s">
        <v>16</v>
      </c>
      <c r="B28165" t="s">
        <v>7666</v>
      </c>
      <c r="C28165" s="1" t="s">
        <v>23490</v>
      </c>
      <c r="D28165" s="1" t="str">
        <f>HYPERLINK("https://rhld.insurance.arkansas.gov/NPILookup?Npi=1679514343","1679514343")</f>
        <v>1679514343</v>
      </c>
      <c r="E28165" t="s">
        <v>8080</v>
      </c>
    </row>
    <row r="28166" spans="1:5" x14ac:dyDescent="0.25">
      <c r="A28166" t="s">
        <v>16</v>
      </c>
      <c r="B28166" t="s">
        <v>7666</v>
      </c>
      <c r="C28166" s="1" t="s">
        <v>23490</v>
      </c>
      <c r="D28166" s="1" t="str">
        <f>HYPERLINK("https://rhld.insurance.arkansas.gov/NPILookup?Npi=1679565105","1679565105")</f>
        <v>1679565105</v>
      </c>
      <c r="E28166" t="s">
        <v>8081</v>
      </c>
    </row>
    <row r="28167" spans="1:5" x14ac:dyDescent="0.25">
      <c r="A28167" t="s">
        <v>16</v>
      </c>
      <c r="B28167" t="s">
        <v>7666</v>
      </c>
      <c r="C28167" s="1" t="s">
        <v>23490</v>
      </c>
      <c r="D28167" s="1" t="str">
        <f>HYPERLINK("https://rhld.insurance.arkansas.gov/NPILookup?Npi=1679576961","1679576961")</f>
        <v>1679576961</v>
      </c>
      <c r="E28167" t="s">
        <v>8082</v>
      </c>
    </row>
    <row r="28168" spans="1:5" x14ac:dyDescent="0.25">
      <c r="A28168" t="s">
        <v>16</v>
      </c>
      <c r="B28168" t="s">
        <v>7666</v>
      </c>
      <c r="C28168" s="1" t="s">
        <v>23490</v>
      </c>
      <c r="D28168" s="1" t="str">
        <f>HYPERLINK("https://rhld.insurance.arkansas.gov/NPILookup?Npi=1679592679","1679592679")</f>
        <v>1679592679</v>
      </c>
      <c r="E28168" t="s">
        <v>8083</v>
      </c>
    </row>
    <row r="28169" spans="1:5" x14ac:dyDescent="0.25">
      <c r="A28169" t="s">
        <v>16</v>
      </c>
      <c r="B28169" t="s">
        <v>7666</v>
      </c>
      <c r="C28169" s="1" t="s">
        <v>23490</v>
      </c>
      <c r="D28169" s="1" t="str">
        <f>HYPERLINK("https://rhld.insurance.arkansas.gov/NPILookup?Npi=1679626675","1679626675")</f>
        <v>1679626675</v>
      </c>
      <c r="E28169" t="s">
        <v>8084</v>
      </c>
    </row>
    <row r="28170" spans="1:5" x14ac:dyDescent="0.25">
      <c r="A28170" t="s">
        <v>16</v>
      </c>
      <c r="B28170" t="s">
        <v>7666</v>
      </c>
      <c r="C28170" s="1" t="s">
        <v>23490</v>
      </c>
      <c r="D28170" s="1" t="str">
        <f>HYPERLINK("https://rhld.insurance.arkansas.gov/NPILookup?Npi=1679702096","1679702096")</f>
        <v>1679702096</v>
      </c>
      <c r="E28170" t="s">
        <v>8085</v>
      </c>
    </row>
    <row r="28171" spans="1:5" x14ac:dyDescent="0.25">
      <c r="A28171" t="s">
        <v>16</v>
      </c>
      <c r="B28171" t="s">
        <v>7666</v>
      </c>
      <c r="C28171" s="1" t="s">
        <v>23490</v>
      </c>
      <c r="D28171" s="1" t="str">
        <f>HYPERLINK("https://rhld.insurance.arkansas.gov/NPILookup?Npi=1679798698","1679798698")</f>
        <v>1679798698</v>
      </c>
      <c r="E28171" t="s">
        <v>8086</v>
      </c>
    </row>
    <row r="28172" spans="1:5" x14ac:dyDescent="0.25">
      <c r="A28172" t="s">
        <v>16</v>
      </c>
      <c r="B28172" t="s">
        <v>7666</v>
      </c>
      <c r="C28172" s="1" t="s">
        <v>23490</v>
      </c>
      <c r="D28172" s="1" t="str">
        <f>HYPERLINK("https://rhld.insurance.arkansas.gov/NPILookup?Npi=1679816102","1679816102")</f>
        <v>1679816102</v>
      </c>
      <c r="E28172" t="s">
        <v>12146</v>
      </c>
    </row>
    <row r="28173" spans="1:5" x14ac:dyDescent="0.25">
      <c r="A28173" t="s">
        <v>16</v>
      </c>
      <c r="B28173" t="s">
        <v>7666</v>
      </c>
      <c r="C28173" s="1" t="s">
        <v>23490</v>
      </c>
      <c r="D28173" s="1" t="str">
        <f>HYPERLINK("https://rhld.insurance.arkansas.gov/NPILookup?Npi=1679817506","1679817506")</f>
        <v>1679817506</v>
      </c>
      <c r="E28173" t="s">
        <v>14551</v>
      </c>
    </row>
    <row r="28174" spans="1:5" x14ac:dyDescent="0.25">
      <c r="A28174" t="s">
        <v>16</v>
      </c>
      <c r="B28174" t="s">
        <v>7666</v>
      </c>
      <c r="C28174" s="1" t="s">
        <v>23490</v>
      </c>
      <c r="D28174" s="1" t="str">
        <f>HYPERLINK("https://rhld.insurance.arkansas.gov/NPILookup?Npi=1679839872","1679839872")</f>
        <v>1679839872</v>
      </c>
      <c r="E28174" t="s">
        <v>16720</v>
      </c>
    </row>
    <row r="28175" spans="1:5" x14ac:dyDescent="0.25">
      <c r="A28175" t="s">
        <v>16</v>
      </c>
      <c r="B28175" t="s">
        <v>7666</v>
      </c>
      <c r="C28175" s="1" t="s">
        <v>23490</v>
      </c>
      <c r="D28175" s="1" t="str">
        <f>HYPERLINK("https://rhld.insurance.arkansas.gov/NPILookup?Npi=1679876023","1679876023")</f>
        <v>1679876023</v>
      </c>
      <c r="E28175" t="s">
        <v>8087</v>
      </c>
    </row>
    <row r="28176" spans="1:5" x14ac:dyDescent="0.25">
      <c r="A28176" t="s">
        <v>16</v>
      </c>
      <c r="B28176" t="s">
        <v>7666</v>
      </c>
      <c r="C28176" s="1" t="s">
        <v>23490</v>
      </c>
      <c r="D28176" s="1" t="str">
        <f>HYPERLINK("https://rhld.insurance.arkansas.gov/NPILookup?Npi=1679991467","1679991467")</f>
        <v>1679991467</v>
      </c>
      <c r="E28176" t="s">
        <v>22723</v>
      </c>
    </row>
    <row r="28177" spans="1:5" x14ac:dyDescent="0.25">
      <c r="A28177" t="s">
        <v>16</v>
      </c>
      <c r="B28177" t="s">
        <v>7666</v>
      </c>
      <c r="C28177" s="1" t="s">
        <v>23490</v>
      </c>
      <c r="D28177" s="1" t="str">
        <f>HYPERLINK("https://rhld.insurance.arkansas.gov/NPILookup?Npi=1689086811","1689086811")</f>
        <v>1689086811</v>
      </c>
      <c r="E28177" t="s">
        <v>16721</v>
      </c>
    </row>
    <row r="28178" spans="1:5" x14ac:dyDescent="0.25">
      <c r="A28178" t="s">
        <v>16</v>
      </c>
      <c r="B28178" t="s">
        <v>7666</v>
      </c>
      <c r="C28178" s="1" t="s">
        <v>23490</v>
      </c>
      <c r="D28178" s="1" t="str">
        <f>HYPERLINK("https://rhld.insurance.arkansas.gov/NPILookup?Npi=1689100471","1689100471")</f>
        <v>1689100471</v>
      </c>
      <c r="E28178" t="s">
        <v>19165</v>
      </c>
    </row>
    <row r="28179" spans="1:5" x14ac:dyDescent="0.25">
      <c r="A28179" t="s">
        <v>16</v>
      </c>
      <c r="B28179" t="s">
        <v>7666</v>
      </c>
      <c r="C28179" s="1" t="s">
        <v>23490</v>
      </c>
      <c r="D28179" s="1" t="str">
        <f>HYPERLINK("https://rhld.insurance.arkansas.gov/NPILookup?Npi=1689640310","1689640310")</f>
        <v>1689640310</v>
      </c>
      <c r="E28179" t="s">
        <v>8088</v>
      </c>
    </row>
    <row r="28180" spans="1:5" x14ac:dyDescent="0.25">
      <c r="A28180" t="s">
        <v>16</v>
      </c>
      <c r="B28180" t="s">
        <v>7666</v>
      </c>
      <c r="C28180" s="1" t="s">
        <v>23490</v>
      </c>
      <c r="D28180" s="1" t="str">
        <f>HYPERLINK("https://rhld.insurance.arkansas.gov/NPILookup?Npi=1689650947","1689650947")</f>
        <v>1689650947</v>
      </c>
      <c r="E28180" t="s">
        <v>16722</v>
      </c>
    </row>
    <row r="28181" spans="1:5" x14ac:dyDescent="0.25">
      <c r="A28181" t="s">
        <v>16</v>
      </c>
      <c r="B28181" t="s">
        <v>7666</v>
      </c>
      <c r="C28181" s="1" t="s">
        <v>23490</v>
      </c>
      <c r="D28181" s="1" t="str">
        <f>HYPERLINK("https://rhld.insurance.arkansas.gov/NPILookup?Npi=1689679441","1689679441")</f>
        <v>1689679441</v>
      </c>
      <c r="E28181" t="s">
        <v>8089</v>
      </c>
    </row>
    <row r="28182" spans="1:5" x14ac:dyDescent="0.25">
      <c r="A28182" t="s">
        <v>16</v>
      </c>
      <c r="B28182" t="s">
        <v>7666</v>
      </c>
      <c r="C28182" s="1" t="s">
        <v>23490</v>
      </c>
      <c r="D28182" s="1" t="str">
        <f>HYPERLINK("https://rhld.insurance.arkansas.gov/NPILookup?Npi=1689681413","1689681413")</f>
        <v>1689681413</v>
      </c>
      <c r="E28182" t="s">
        <v>8090</v>
      </c>
    </row>
    <row r="28183" spans="1:5" x14ac:dyDescent="0.25">
      <c r="A28183" t="s">
        <v>16</v>
      </c>
      <c r="B28183" t="s">
        <v>7666</v>
      </c>
      <c r="C28183" s="1" t="s">
        <v>23490</v>
      </c>
      <c r="D28183" s="1" t="str">
        <f>HYPERLINK("https://rhld.insurance.arkansas.gov/NPILookup?Npi=1689682957","1689682957")</f>
        <v>1689682957</v>
      </c>
      <c r="E28183" t="s">
        <v>8091</v>
      </c>
    </row>
    <row r="28184" spans="1:5" x14ac:dyDescent="0.25">
      <c r="A28184" t="s">
        <v>16</v>
      </c>
      <c r="B28184" t="s">
        <v>7666</v>
      </c>
      <c r="C28184" s="1" t="s">
        <v>23490</v>
      </c>
      <c r="D28184" s="1" t="str">
        <f>HYPERLINK("https://rhld.insurance.arkansas.gov/NPILookup?Npi=1689685349","1689685349")</f>
        <v>1689685349</v>
      </c>
      <c r="E28184" t="s">
        <v>14552</v>
      </c>
    </row>
    <row r="28185" spans="1:5" x14ac:dyDescent="0.25">
      <c r="A28185" t="s">
        <v>16</v>
      </c>
      <c r="B28185" t="s">
        <v>7666</v>
      </c>
      <c r="C28185" s="1" t="s">
        <v>23490</v>
      </c>
      <c r="D28185" s="1" t="str">
        <f>HYPERLINK("https://rhld.insurance.arkansas.gov/NPILookup?Npi=1689687089","1689687089")</f>
        <v>1689687089</v>
      </c>
      <c r="E28185" t="s">
        <v>8092</v>
      </c>
    </row>
    <row r="28186" spans="1:5" x14ac:dyDescent="0.25">
      <c r="A28186" t="s">
        <v>16</v>
      </c>
      <c r="B28186" t="s">
        <v>7666</v>
      </c>
      <c r="C28186" s="1" t="s">
        <v>23490</v>
      </c>
      <c r="D28186" s="1" t="str">
        <f>HYPERLINK("https://rhld.insurance.arkansas.gov/NPILookup?Npi=1689697864","1689697864")</f>
        <v>1689697864</v>
      </c>
      <c r="E28186" t="s">
        <v>8093</v>
      </c>
    </row>
    <row r="28187" spans="1:5" x14ac:dyDescent="0.25">
      <c r="A28187" t="s">
        <v>16</v>
      </c>
      <c r="B28187" t="s">
        <v>7666</v>
      </c>
      <c r="C28187" s="1" t="s">
        <v>23490</v>
      </c>
      <c r="D28187" s="1" t="str">
        <f>HYPERLINK("https://rhld.insurance.arkansas.gov/NPILookup?Npi=1689725970","1689725970")</f>
        <v>1689725970</v>
      </c>
      <c r="E28187" t="s">
        <v>8094</v>
      </c>
    </row>
    <row r="28188" spans="1:5" x14ac:dyDescent="0.25">
      <c r="A28188" t="s">
        <v>16</v>
      </c>
      <c r="B28188" t="s">
        <v>7666</v>
      </c>
      <c r="C28188" s="1" t="s">
        <v>23490</v>
      </c>
      <c r="D28188" s="1" t="str">
        <f>HYPERLINK("https://rhld.insurance.arkansas.gov/NPILookup?Npi=1689765786","1689765786")</f>
        <v>1689765786</v>
      </c>
      <c r="E28188" t="s">
        <v>8095</v>
      </c>
    </row>
    <row r="28189" spans="1:5" x14ac:dyDescent="0.25">
      <c r="A28189" t="s">
        <v>16</v>
      </c>
      <c r="B28189" t="s">
        <v>7666</v>
      </c>
      <c r="C28189" s="1" t="s">
        <v>23490</v>
      </c>
      <c r="D28189" s="1" t="str">
        <f>HYPERLINK("https://rhld.insurance.arkansas.gov/NPILookup?Npi=1689784985","1689784985")</f>
        <v>1689784985</v>
      </c>
      <c r="E28189" t="s">
        <v>8096</v>
      </c>
    </row>
    <row r="28190" spans="1:5" x14ac:dyDescent="0.25">
      <c r="A28190" t="s">
        <v>16</v>
      </c>
      <c r="B28190" t="s">
        <v>7666</v>
      </c>
      <c r="C28190" s="1" t="s">
        <v>23490</v>
      </c>
      <c r="D28190" s="1" t="str">
        <f>HYPERLINK("https://rhld.insurance.arkansas.gov/NPILookup?Npi=1689794703","1689794703")</f>
        <v>1689794703</v>
      </c>
      <c r="E28190" t="s">
        <v>8097</v>
      </c>
    </row>
    <row r="28191" spans="1:5" x14ac:dyDescent="0.25">
      <c r="A28191" t="s">
        <v>16</v>
      </c>
      <c r="B28191" t="s">
        <v>7666</v>
      </c>
      <c r="C28191" s="1" t="s">
        <v>23490</v>
      </c>
      <c r="D28191" s="1" t="str">
        <f>HYPERLINK("https://rhld.insurance.arkansas.gov/NPILookup?Npi=1689836652","1689836652")</f>
        <v>1689836652</v>
      </c>
      <c r="E28191" t="s">
        <v>8098</v>
      </c>
    </row>
    <row r="28192" spans="1:5" x14ac:dyDescent="0.25">
      <c r="A28192" t="s">
        <v>16</v>
      </c>
      <c r="B28192" t="s">
        <v>7666</v>
      </c>
      <c r="C28192" s="1" t="s">
        <v>23490</v>
      </c>
      <c r="D28192" s="1" t="str">
        <f>HYPERLINK("https://rhld.insurance.arkansas.gov/NPILookup?Npi=1689853533","1689853533")</f>
        <v>1689853533</v>
      </c>
      <c r="E28192" t="s">
        <v>3603</v>
      </c>
    </row>
    <row r="28193" spans="1:5" x14ac:dyDescent="0.25">
      <c r="A28193" t="s">
        <v>16</v>
      </c>
      <c r="B28193" t="s">
        <v>7666</v>
      </c>
      <c r="C28193" s="1" t="s">
        <v>23490</v>
      </c>
      <c r="D28193" s="1" t="str">
        <f>HYPERLINK("https://rhld.insurance.arkansas.gov/NPILookup?Npi=1699120162","1699120162")</f>
        <v>1699120162</v>
      </c>
      <c r="E28193" t="s">
        <v>20781</v>
      </c>
    </row>
    <row r="28194" spans="1:5" x14ac:dyDescent="0.25">
      <c r="A28194" t="s">
        <v>16</v>
      </c>
      <c r="B28194" t="s">
        <v>7666</v>
      </c>
      <c r="C28194" s="1" t="s">
        <v>23490</v>
      </c>
      <c r="D28194" s="1" t="str">
        <f>HYPERLINK("https://rhld.insurance.arkansas.gov/NPILookup?Npi=1699138222","1699138222")</f>
        <v>1699138222</v>
      </c>
      <c r="E28194" t="s">
        <v>14553</v>
      </c>
    </row>
    <row r="28195" spans="1:5" x14ac:dyDescent="0.25">
      <c r="A28195" t="s">
        <v>16</v>
      </c>
      <c r="B28195" t="s">
        <v>7666</v>
      </c>
      <c r="C28195" s="1" t="s">
        <v>23490</v>
      </c>
      <c r="D28195" s="1" t="str">
        <f>HYPERLINK("https://rhld.insurance.arkansas.gov/NPILookup?Npi=1699347211","1699347211")</f>
        <v>1699347211</v>
      </c>
      <c r="E28195" t="s">
        <v>19166</v>
      </c>
    </row>
    <row r="28196" spans="1:5" x14ac:dyDescent="0.25">
      <c r="A28196" t="s">
        <v>16</v>
      </c>
      <c r="B28196" t="s">
        <v>7666</v>
      </c>
      <c r="C28196" s="1" t="s">
        <v>23490</v>
      </c>
      <c r="D28196" s="1" t="str">
        <f>HYPERLINK("https://rhld.insurance.arkansas.gov/NPILookup?Npi=1699388918","1699388918")</f>
        <v>1699388918</v>
      </c>
      <c r="E28196" t="s">
        <v>22724</v>
      </c>
    </row>
    <row r="28197" spans="1:5" x14ac:dyDescent="0.25">
      <c r="A28197" t="s">
        <v>16</v>
      </c>
      <c r="B28197" t="s">
        <v>7666</v>
      </c>
      <c r="C28197" s="1" t="s">
        <v>23490</v>
      </c>
      <c r="D28197" s="1" t="str">
        <f>HYPERLINK("https://rhld.insurance.arkansas.gov/NPILookup?Npi=1699734368","1699734368")</f>
        <v>1699734368</v>
      </c>
      <c r="E28197" t="s">
        <v>8100</v>
      </c>
    </row>
    <row r="28198" spans="1:5" x14ac:dyDescent="0.25">
      <c r="A28198" t="s">
        <v>16</v>
      </c>
      <c r="B28198" t="s">
        <v>7666</v>
      </c>
      <c r="C28198" s="1" t="s">
        <v>23490</v>
      </c>
      <c r="D28198" s="1" t="str">
        <f>HYPERLINK("https://rhld.insurance.arkansas.gov/NPILookup?Npi=1699747568","1699747568")</f>
        <v>1699747568</v>
      </c>
      <c r="E28198" t="s">
        <v>905</v>
      </c>
    </row>
    <row r="28199" spans="1:5" x14ac:dyDescent="0.25">
      <c r="A28199" t="s">
        <v>16</v>
      </c>
      <c r="B28199" t="s">
        <v>7666</v>
      </c>
      <c r="C28199" s="1" t="s">
        <v>23490</v>
      </c>
      <c r="D28199" s="1" t="str">
        <f>HYPERLINK("https://rhld.insurance.arkansas.gov/NPILookup?Npi=1699768887","1699768887")</f>
        <v>1699768887</v>
      </c>
      <c r="E28199" t="s">
        <v>22725</v>
      </c>
    </row>
    <row r="28200" spans="1:5" x14ac:dyDescent="0.25">
      <c r="A28200" t="s">
        <v>16</v>
      </c>
      <c r="B28200" t="s">
        <v>7666</v>
      </c>
      <c r="C28200" s="1" t="s">
        <v>23490</v>
      </c>
      <c r="D28200" s="1" t="str">
        <f>HYPERLINK("https://rhld.insurance.arkansas.gov/NPILookup?Npi=1699860007","1699860007")</f>
        <v>1699860007</v>
      </c>
      <c r="E28200" t="s">
        <v>8101</v>
      </c>
    </row>
    <row r="28201" spans="1:5" x14ac:dyDescent="0.25">
      <c r="A28201" t="s">
        <v>16</v>
      </c>
      <c r="B28201" t="s">
        <v>7666</v>
      </c>
      <c r="C28201" s="1" t="s">
        <v>23490</v>
      </c>
      <c r="D28201" s="1" t="str">
        <f>HYPERLINK("https://rhld.insurance.arkansas.gov/NPILookup?Npi=1699872036","1699872036")</f>
        <v>1699872036</v>
      </c>
      <c r="E28201" t="s">
        <v>3001</v>
      </c>
    </row>
    <row r="28202" spans="1:5" x14ac:dyDescent="0.25">
      <c r="A28202" t="s">
        <v>16</v>
      </c>
      <c r="B28202" t="s">
        <v>7666</v>
      </c>
      <c r="C28202" s="1" t="s">
        <v>23490</v>
      </c>
      <c r="D28202" s="1" t="str">
        <f>HYPERLINK("https://rhld.insurance.arkansas.gov/NPILookup?Npi=1699875401","1699875401")</f>
        <v>1699875401</v>
      </c>
      <c r="E28202" t="s">
        <v>14554</v>
      </c>
    </row>
    <row r="28203" spans="1:5" x14ac:dyDescent="0.25">
      <c r="A28203" t="s">
        <v>16</v>
      </c>
      <c r="B28203" t="s">
        <v>7666</v>
      </c>
      <c r="C28203" s="1" t="s">
        <v>23490</v>
      </c>
      <c r="D28203" s="1" t="str">
        <f>HYPERLINK("https://rhld.insurance.arkansas.gov/NPILookup?Npi=1699969634","1699969634")</f>
        <v>1699969634</v>
      </c>
      <c r="E28203" t="s">
        <v>8102</v>
      </c>
    </row>
    <row r="28204" spans="1:5" x14ac:dyDescent="0.25">
      <c r="A28204" t="s">
        <v>16</v>
      </c>
      <c r="B28204" t="s">
        <v>7666</v>
      </c>
      <c r="C28204" s="1" t="s">
        <v>23490</v>
      </c>
      <c r="D28204" s="1" t="str">
        <f>HYPERLINK("https://rhld.insurance.arkansas.gov/NPILookup?Npi=1700043643","1700043643")</f>
        <v>1700043643</v>
      </c>
      <c r="E28204" t="s">
        <v>8103</v>
      </c>
    </row>
    <row r="28205" spans="1:5" x14ac:dyDescent="0.25">
      <c r="A28205" t="s">
        <v>16</v>
      </c>
      <c r="B28205" t="s">
        <v>7666</v>
      </c>
      <c r="C28205" s="1" t="s">
        <v>23490</v>
      </c>
      <c r="D28205" s="1" t="str">
        <f>HYPERLINK("https://rhld.insurance.arkansas.gov/NPILookup?Npi=1700148053","1700148053")</f>
        <v>1700148053</v>
      </c>
      <c r="E28205" t="s">
        <v>14555</v>
      </c>
    </row>
    <row r="28206" spans="1:5" x14ac:dyDescent="0.25">
      <c r="A28206" t="s">
        <v>16</v>
      </c>
      <c r="B28206" t="s">
        <v>7666</v>
      </c>
      <c r="C28206" s="1" t="s">
        <v>23490</v>
      </c>
      <c r="D28206" s="1" t="str">
        <f>HYPERLINK("https://rhld.insurance.arkansas.gov/NPILookup?Npi=1700237153","1700237153")</f>
        <v>1700237153</v>
      </c>
      <c r="E28206" t="s">
        <v>12147</v>
      </c>
    </row>
    <row r="28207" spans="1:5" x14ac:dyDescent="0.25">
      <c r="A28207" t="s">
        <v>16</v>
      </c>
      <c r="B28207" t="s">
        <v>7666</v>
      </c>
      <c r="C28207" s="1" t="s">
        <v>23490</v>
      </c>
      <c r="D28207" s="1" t="str">
        <f>HYPERLINK("https://rhld.insurance.arkansas.gov/NPILookup?Npi=1700288024","1700288024")</f>
        <v>1700288024</v>
      </c>
      <c r="E28207" t="s">
        <v>17314</v>
      </c>
    </row>
    <row r="28208" spans="1:5" x14ac:dyDescent="0.25">
      <c r="A28208" t="s">
        <v>16</v>
      </c>
      <c r="B28208" t="s">
        <v>7666</v>
      </c>
      <c r="C28208" s="1" t="s">
        <v>23490</v>
      </c>
      <c r="D28208" s="1" t="str">
        <f>HYPERLINK("https://rhld.insurance.arkansas.gov/NPILookup?Npi=1700447026","1700447026")</f>
        <v>1700447026</v>
      </c>
      <c r="E28208" t="s">
        <v>16723</v>
      </c>
    </row>
    <row r="28209" spans="1:5" x14ac:dyDescent="0.25">
      <c r="A28209" t="s">
        <v>16</v>
      </c>
      <c r="B28209" t="s">
        <v>7666</v>
      </c>
      <c r="C28209" s="1" t="s">
        <v>23490</v>
      </c>
      <c r="D28209" s="1" t="str">
        <f>HYPERLINK("https://rhld.insurance.arkansas.gov/NPILookup?Npi=1700822046","1700822046")</f>
        <v>1700822046</v>
      </c>
      <c r="E28209" t="s">
        <v>7104</v>
      </c>
    </row>
    <row r="28210" spans="1:5" x14ac:dyDescent="0.25">
      <c r="A28210" t="s">
        <v>16</v>
      </c>
      <c r="B28210" t="s">
        <v>7666</v>
      </c>
      <c r="C28210" s="1" t="s">
        <v>23490</v>
      </c>
      <c r="D28210" s="1" t="str">
        <f>HYPERLINK("https://rhld.insurance.arkansas.gov/NPILookup?Npi=1700980109","1700980109")</f>
        <v>1700980109</v>
      </c>
      <c r="E28210" t="s">
        <v>8104</v>
      </c>
    </row>
    <row r="28211" spans="1:5" x14ac:dyDescent="0.25">
      <c r="A28211" t="s">
        <v>16</v>
      </c>
      <c r="B28211" t="s">
        <v>7666</v>
      </c>
      <c r="C28211" s="1" t="s">
        <v>23490</v>
      </c>
      <c r="D28211" s="1" t="str">
        <f>HYPERLINK("https://rhld.insurance.arkansas.gov/NPILookup?Npi=1700986452","1700986452")</f>
        <v>1700986452</v>
      </c>
      <c r="E28211" t="s">
        <v>16724</v>
      </c>
    </row>
    <row r="28212" spans="1:5" x14ac:dyDescent="0.25">
      <c r="A28212" t="s">
        <v>16</v>
      </c>
      <c r="B28212" t="s">
        <v>7666</v>
      </c>
      <c r="C28212" s="1" t="s">
        <v>23490</v>
      </c>
      <c r="D28212" s="1" t="str">
        <f>HYPERLINK("https://rhld.insurance.arkansas.gov/NPILookup?Npi=1710047857","1710047857")</f>
        <v>1710047857</v>
      </c>
      <c r="E28212" t="s">
        <v>8105</v>
      </c>
    </row>
    <row r="28213" spans="1:5" x14ac:dyDescent="0.25">
      <c r="A28213" t="s">
        <v>16</v>
      </c>
      <c r="B28213" t="s">
        <v>7666</v>
      </c>
      <c r="C28213" s="1" t="s">
        <v>23490</v>
      </c>
      <c r="D28213" s="1" t="str">
        <f>HYPERLINK("https://rhld.insurance.arkansas.gov/NPILookup?Npi=1710077151","1710077151")</f>
        <v>1710077151</v>
      </c>
      <c r="E28213" t="s">
        <v>12148</v>
      </c>
    </row>
    <row r="28214" spans="1:5" x14ac:dyDescent="0.25">
      <c r="A28214" t="s">
        <v>16</v>
      </c>
      <c r="B28214" t="s">
        <v>7666</v>
      </c>
      <c r="C28214" s="1" t="s">
        <v>23490</v>
      </c>
      <c r="D28214" s="1" t="str">
        <f>HYPERLINK("https://rhld.insurance.arkansas.gov/NPILookup?Npi=1710101977","1710101977")</f>
        <v>1710101977</v>
      </c>
      <c r="E28214" t="s">
        <v>8106</v>
      </c>
    </row>
    <row r="28215" spans="1:5" x14ac:dyDescent="0.25">
      <c r="A28215" t="s">
        <v>16</v>
      </c>
      <c r="B28215" t="s">
        <v>7666</v>
      </c>
      <c r="C28215" s="1" t="s">
        <v>23490</v>
      </c>
      <c r="D28215" s="1" t="str">
        <f>HYPERLINK("https://rhld.insurance.arkansas.gov/NPILookup?Npi=1710321955","1710321955")</f>
        <v>1710321955</v>
      </c>
      <c r="E28215" t="s">
        <v>8107</v>
      </c>
    </row>
    <row r="28216" spans="1:5" x14ac:dyDescent="0.25">
      <c r="A28216" t="s">
        <v>16</v>
      </c>
      <c r="B28216" t="s">
        <v>7666</v>
      </c>
      <c r="C28216" s="1" t="s">
        <v>23490</v>
      </c>
      <c r="D28216" s="1" t="str">
        <f>HYPERLINK("https://rhld.insurance.arkansas.gov/NPILookup?Npi=1710624390","1710624390")</f>
        <v>1710624390</v>
      </c>
      <c r="E28216" t="s">
        <v>22726</v>
      </c>
    </row>
    <row r="28217" spans="1:5" x14ac:dyDescent="0.25">
      <c r="A28217" t="s">
        <v>16</v>
      </c>
      <c r="B28217" t="s">
        <v>7666</v>
      </c>
      <c r="C28217" s="1" t="s">
        <v>23490</v>
      </c>
      <c r="D28217" s="1" t="str">
        <f>HYPERLINK("https://rhld.insurance.arkansas.gov/NPILookup?Npi=1710654058","1710654058")</f>
        <v>1710654058</v>
      </c>
      <c r="E28217" t="s">
        <v>19167</v>
      </c>
    </row>
    <row r="28218" spans="1:5" x14ac:dyDescent="0.25">
      <c r="A28218" t="s">
        <v>16</v>
      </c>
      <c r="B28218" t="s">
        <v>7666</v>
      </c>
      <c r="C28218" s="1" t="s">
        <v>23490</v>
      </c>
      <c r="D28218" s="1" t="str">
        <f>HYPERLINK("https://rhld.insurance.arkansas.gov/NPILookup?Npi=1710981659","1710981659")</f>
        <v>1710981659</v>
      </c>
      <c r="E28218" t="s">
        <v>8108</v>
      </c>
    </row>
    <row r="28219" spans="1:5" x14ac:dyDescent="0.25">
      <c r="A28219" t="s">
        <v>16</v>
      </c>
      <c r="B28219" t="s">
        <v>7666</v>
      </c>
      <c r="C28219" s="1" t="s">
        <v>23490</v>
      </c>
      <c r="D28219" s="1" t="str">
        <f>HYPERLINK("https://rhld.insurance.arkansas.gov/NPILookup?Npi=1710991872","1710991872")</f>
        <v>1710991872</v>
      </c>
      <c r="E28219" t="s">
        <v>8109</v>
      </c>
    </row>
    <row r="28220" spans="1:5" x14ac:dyDescent="0.25">
      <c r="A28220" t="s">
        <v>16</v>
      </c>
      <c r="B28220" t="s">
        <v>7666</v>
      </c>
      <c r="C28220" s="1" t="s">
        <v>23490</v>
      </c>
      <c r="D28220" s="1" t="str">
        <f>HYPERLINK("https://rhld.insurance.arkansas.gov/NPILookup?Npi=1720016272","1720016272")</f>
        <v>1720016272</v>
      </c>
      <c r="E28220" t="s">
        <v>8110</v>
      </c>
    </row>
    <row r="28221" spans="1:5" x14ac:dyDescent="0.25">
      <c r="A28221" t="s">
        <v>16</v>
      </c>
      <c r="B28221" t="s">
        <v>7666</v>
      </c>
      <c r="C28221" s="1" t="s">
        <v>23490</v>
      </c>
      <c r="D28221" s="1" t="str">
        <f>HYPERLINK("https://rhld.insurance.arkansas.gov/NPILookup?Npi=1720071913","1720071913")</f>
        <v>1720071913</v>
      </c>
      <c r="E28221" t="s">
        <v>8111</v>
      </c>
    </row>
    <row r="28222" spans="1:5" x14ac:dyDescent="0.25">
      <c r="A28222" t="s">
        <v>16</v>
      </c>
      <c r="B28222" t="s">
        <v>7666</v>
      </c>
      <c r="C28222" s="1" t="s">
        <v>23490</v>
      </c>
      <c r="D28222" s="1" t="str">
        <f>HYPERLINK("https://rhld.insurance.arkansas.gov/NPILookup?Npi=1720073950","1720073950")</f>
        <v>1720073950</v>
      </c>
      <c r="E28222" t="s">
        <v>8112</v>
      </c>
    </row>
    <row r="28223" spans="1:5" x14ac:dyDescent="0.25">
      <c r="A28223" t="s">
        <v>16</v>
      </c>
      <c r="B28223" t="s">
        <v>7666</v>
      </c>
      <c r="C28223" s="1" t="s">
        <v>23490</v>
      </c>
      <c r="D28223" s="1" t="str">
        <f>HYPERLINK("https://rhld.insurance.arkansas.gov/NPILookup?Npi=1720135015","1720135015")</f>
        <v>1720135015</v>
      </c>
      <c r="E28223" t="s">
        <v>12149</v>
      </c>
    </row>
    <row r="28224" spans="1:5" x14ac:dyDescent="0.25">
      <c r="A28224" t="s">
        <v>16</v>
      </c>
      <c r="B28224" t="s">
        <v>7666</v>
      </c>
      <c r="C28224" s="1" t="s">
        <v>23490</v>
      </c>
      <c r="D28224" s="1" t="str">
        <f>HYPERLINK("https://rhld.insurance.arkansas.gov/NPILookup?Npi=1720198963","1720198963")</f>
        <v>1720198963</v>
      </c>
      <c r="E28224" t="s">
        <v>20782</v>
      </c>
    </row>
    <row r="28225" spans="1:5" x14ac:dyDescent="0.25">
      <c r="A28225" t="s">
        <v>16</v>
      </c>
      <c r="B28225" t="s">
        <v>7666</v>
      </c>
      <c r="C28225" s="1" t="s">
        <v>23490</v>
      </c>
      <c r="D28225" s="1" t="str">
        <f>HYPERLINK("https://rhld.insurance.arkansas.gov/NPILookup?Npi=1720420037","1720420037")</f>
        <v>1720420037</v>
      </c>
      <c r="E28225" t="s">
        <v>8113</v>
      </c>
    </row>
    <row r="28226" spans="1:5" x14ac:dyDescent="0.25">
      <c r="A28226" t="s">
        <v>16</v>
      </c>
      <c r="B28226" t="s">
        <v>7666</v>
      </c>
      <c r="C28226" s="1" t="s">
        <v>23490</v>
      </c>
      <c r="D28226" s="1" t="str">
        <f>HYPERLINK("https://rhld.insurance.arkansas.gov/NPILookup?Npi=1720430200","1720430200")</f>
        <v>1720430200</v>
      </c>
      <c r="E28226" t="s">
        <v>12150</v>
      </c>
    </row>
    <row r="28227" spans="1:5" x14ac:dyDescent="0.25">
      <c r="A28227" t="s">
        <v>16</v>
      </c>
      <c r="B28227" t="s">
        <v>7666</v>
      </c>
      <c r="C28227" s="1" t="s">
        <v>23490</v>
      </c>
      <c r="D28227" s="1" t="str">
        <f>HYPERLINK("https://rhld.insurance.arkansas.gov/NPILookup?Npi=1720461940","1720461940")</f>
        <v>1720461940</v>
      </c>
      <c r="E28227" t="s">
        <v>14556</v>
      </c>
    </row>
    <row r="28228" spans="1:5" x14ac:dyDescent="0.25">
      <c r="A28228" t="s">
        <v>16</v>
      </c>
      <c r="B28228" t="s">
        <v>7666</v>
      </c>
      <c r="C28228" s="1" t="s">
        <v>23490</v>
      </c>
      <c r="D28228" s="1" t="str">
        <f>HYPERLINK("https://rhld.insurance.arkansas.gov/NPILookup?Npi=1720464878","1720464878")</f>
        <v>1720464878</v>
      </c>
      <c r="E28228" t="s">
        <v>8114</v>
      </c>
    </row>
    <row r="28229" spans="1:5" x14ac:dyDescent="0.25">
      <c r="A28229" t="s">
        <v>16</v>
      </c>
      <c r="B28229" t="s">
        <v>7666</v>
      </c>
      <c r="C28229" s="1" t="s">
        <v>23490</v>
      </c>
      <c r="D28229" s="1" t="str">
        <f>HYPERLINK("https://rhld.insurance.arkansas.gov/NPILookup?Npi=1720500218","1720500218")</f>
        <v>1720500218</v>
      </c>
      <c r="E28229" t="s">
        <v>22727</v>
      </c>
    </row>
    <row r="28230" spans="1:5" x14ac:dyDescent="0.25">
      <c r="A28230" t="s">
        <v>16</v>
      </c>
      <c r="B28230" t="s">
        <v>7666</v>
      </c>
      <c r="C28230" s="1" t="s">
        <v>23490</v>
      </c>
      <c r="D28230" s="1" t="str">
        <f>HYPERLINK("https://rhld.insurance.arkansas.gov/NPILookup?Npi=1730110958","1730110958")</f>
        <v>1730110958</v>
      </c>
      <c r="E28230" t="s">
        <v>8115</v>
      </c>
    </row>
    <row r="28231" spans="1:5" x14ac:dyDescent="0.25">
      <c r="A28231" t="s">
        <v>16</v>
      </c>
      <c r="B28231" t="s">
        <v>7666</v>
      </c>
      <c r="C28231" s="1" t="s">
        <v>23490</v>
      </c>
      <c r="D28231" s="1" t="str">
        <f>HYPERLINK("https://rhld.insurance.arkansas.gov/NPILookup?Npi=1730133828","1730133828")</f>
        <v>1730133828</v>
      </c>
      <c r="E28231" t="s">
        <v>16725</v>
      </c>
    </row>
    <row r="28232" spans="1:5" x14ac:dyDescent="0.25">
      <c r="A28232" t="s">
        <v>16</v>
      </c>
      <c r="B28232" t="s">
        <v>7666</v>
      </c>
      <c r="C28232" s="1" t="s">
        <v>23490</v>
      </c>
      <c r="D28232" s="1" t="str">
        <f>HYPERLINK("https://rhld.insurance.arkansas.gov/NPILookup?Npi=1730139692","1730139692")</f>
        <v>1730139692</v>
      </c>
      <c r="E28232" t="s">
        <v>20783</v>
      </c>
    </row>
    <row r="28233" spans="1:5" x14ac:dyDescent="0.25">
      <c r="A28233" t="s">
        <v>16</v>
      </c>
      <c r="B28233" t="s">
        <v>7666</v>
      </c>
      <c r="C28233" s="1" t="s">
        <v>23490</v>
      </c>
      <c r="D28233" s="1" t="str">
        <f>HYPERLINK("https://rhld.insurance.arkansas.gov/NPILookup?Npi=1730142530","1730142530")</f>
        <v>1730142530</v>
      </c>
      <c r="E28233" t="s">
        <v>8116</v>
      </c>
    </row>
    <row r="28234" spans="1:5" x14ac:dyDescent="0.25">
      <c r="A28234" t="s">
        <v>16</v>
      </c>
      <c r="B28234" t="s">
        <v>7666</v>
      </c>
      <c r="C28234" s="1" t="s">
        <v>23490</v>
      </c>
      <c r="D28234" s="1" t="str">
        <f>HYPERLINK("https://rhld.insurance.arkansas.gov/NPILookup?Npi=1730146028","1730146028")</f>
        <v>1730146028</v>
      </c>
      <c r="E28234" t="s">
        <v>8117</v>
      </c>
    </row>
    <row r="28235" spans="1:5" x14ac:dyDescent="0.25">
      <c r="A28235" t="s">
        <v>16</v>
      </c>
      <c r="B28235" t="s">
        <v>7666</v>
      </c>
      <c r="C28235" s="1" t="s">
        <v>23490</v>
      </c>
      <c r="D28235" s="1" t="str">
        <f>HYPERLINK("https://rhld.insurance.arkansas.gov/NPILookup?Npi=1730161373","1730161373")</f>
        <v>1730161373</v>
      </c>
      <c r="E28235" t="s">
        <v>8118</v>
      </c>
    </row>
    <row r="28236" spans="1:5" x14ac:dyDescent="0.25">
      <c r="A28236" t="s">
        <v>16</v>
      </c>
      <c r="B28236" t="s">
        <v>7666</v>
      </c>
      <c r="C28236" s="1" t="s">
        <v>23490</v>
      </c>
      <c r="D28236" s="1" t="str">
        <f>HYPERLINK("https://rhld.insurance.arkansas.gov/NPILookup?Npi=1730185588","1730185588")</f>
        <v>1730185588</v>
      </c>
      <c r="E28236" t="s">
        <v>8119</v>
      </c>
    </row>
    <row r="28237" spans="1:5" x14ac:dyDescent="0.25">
      <c r="A28237" t="s">
        <v>16</v>
      </c>
      <c r="B28237" t="s">
        <v>7666</v>
      </c>
      <c r="C28237" s="1" t="s">
        <v>23490</v>
      </c>
      <c r="D28237" s="1" t="str">
        <f>HYPERLINK("https://rhld.insurance.arkansas.gov/NPILookup?Npi=1730556580","1730556580")</f>
        <v>1730556580</v>
      </c>
      <c r="E28237" t="s">
        <v>12151</v>
      </c>
    </row>
    <row r="28238" spans="1:5" x14ac:dyDescent="0.25">
      <c r="A28238" t="s">
        <v>16</v>
      </c>
      <c r="B28238" t="s">
        <v>7666</v>
      </c>
      <c r="C28238" s="1" t="s">
        <v>23490</v>
      </c>
      <c r="D28238" s="1" t="str">
        <f>HYPERLINK("https://rhld.insurance.arkansas.gov/NPILookup?Npi=1740224898","1740224898")</f>
        <v>1740224898</v>
      </c>
      <c r="E28238" t="s">
        <v>8120</v>
      </c>
    </row>
    <row r="28239" spans="1:5" x14ac:dyDescent="0.25">
      <c r="A28239" t="s">
        <v>16</v>
      </c>
      <c r="B28239" t="s">
        <v>7666</v>
      </c>
      <c r="C28239" s="1" t="s">
        <v>23490</v>
      </c>
      <c r="D28239" s="1" t="str">
        <f>HYPERLINK("https://rhld.insurance.arkansas.gov/NPILookup?Npi=1740251867","1740251867")</f>
        <v>1740251867</v>
      </c>
      <c r="E28239" t="s">
        <v>8121</v>
      </c>
    </row>
    <row r="28240" spans="1:5" x14ac:dyDescent="0.25">
      <c r="A28240" t="s">
        <v>16</v>
      </c>
      <c r="B28240" t="s">
        <v>7666</v>
      </c>
      <c r="C28240" s="1" t="s">
        <v>23490</v>
      </c>
      <c r="D28240" s="1" t="str">
        <f>HYPERLINK("https://rhld.insurance.arkansas.gov/NPILookup?Npi=1740275775","1740275775")</f>
        <v>1740275775</v>
      </c>
      <c r="E28240" t="s">
        <v>8122</v>
      </c>
    </row>
    <row r="28241" spans="1:5" x14ac:dyDescent="0.25">
      <c r="A28241" t="s">
        <v>16</v>
      </c>
      <c r="B28241" t="s">
        <v>7666</v>
      </c>
      <c r="C28241" s="1" t="s">
        <v>23490</v>
      </c>
      <c r="D28241" s="1" t="str">
        <f>HYPERLINK("https://rhld.insurance.arkansas.gov/NPILookup?Npi=1740285527","1740285527")</f>
        <v>1740285527</v>
      </c>
      <c r="E28241" t="s">
        <v>16726</v>
      </c>
    </row>
    <row r="28242" spans="1:5" x14ac:dyDescent="0.25">
      <c r="A28242" t="s">
        <v>16</v>
      </c>
      <c r="B28242" t="s">
        <v>7666</v>
      </c>
      <c r="C28242" s="1" t="s">
        <v>23490</v>
      </c>
      <c r="D28242" s="1" t="str">
        <f>HYPERLINK("https://rhld.insurance.arkansas.gov/NPILookup?Npi=1740296888","1740296888")</f>
        <v>1740296888</v>
      </c>
      <c r="E28242" t="s">
        <v>12863</v>
      </c>
    </row>
    <row r="28243" spans="1:5" x14ac:dyDescent="0.25">
      <c r="A28243" t="s">
        <v>16</v>
      </c>
      <c r="B28243" t="s">
        <v>7666</v>
      </c>
      <c r="C28243" s="1" t="s">
        <v>23490</v>
      </c>
      <c r="D28243" s="1" t="str">
        <f>HYPERLINK("https://rhld.insurance.arkansas.gov/NPILookup?Npi=1740349976","1740349976")</f>
        <v>1740349976</v>
      </c>
      <c r="E28243" t="s">
        <v>14557</v>
      </c>
    </row>
    <row r="28244" spans="1:5" x14ac:dyDescent="0.25">
      <c r="A28244" t="s">
        <v>16</v>
      </c>
      <c r="B28244" t="s">
        <v>7666</v>
      </c>
      <c r="C28244" s="1" t="s">
        <v>23490</v>
      </c>
      <c r="D28244" s="1" t="str">
        <f>HYPERLINK("https://rhld.insurance.arkansas.gov/NPILookup?Npi=1740354588","1740354588")</f>
        <v>1740354588</v>
      </c>
      <c r="E28244" t="s">
        <v>16727</v>
      </c>
    </row>
    <row r="28245" spans="1:5" x14ac:dyDescent="0.25">
      <c r="A28245" t="s">
        <v>16</v>
      </c>
      <c r="B28245" t="s">
        <v>7666</v>
      </c>
      <c r="C28245" s="1" t="s">
        <v>23490</v>
      </c>
      <c r="D28245" s="1" t="str">
        <f>HYPERLINK("https://rhld.insurance.arkansas.gov/NPILookup?Npi=1740400472","1740400472")</f>
        <v>1740400472</v>
      </c>
      <c r="E28245" t="s">
        <v>8123</v>
      </c>
    </row>
    <row r="28246" spans="1:5" x14ac:dyDescent="0.25">
      <c r="A28246" t="s">
        <v>16</v>
      </c>
      <c r="B28246" t="s">
        <v>7666</v>
      </c>
      <c r="C28246" s="1" t="s">
        <v>23490</v>
      </c>
      <c r="D28246" s="1" t="str">
        <f>HYPERLINK("https://rhld.insurance.arkansas.gov/NPILookup?Npi=1750346383","1750346383")</f>
        <v>1750346383</v>
      </c>
      <c r="E28246" t="s">
        <v>6247</v>
      </c>
    </row>
    <row r="28247" spans="1:5" x14ac:dyDescent="0.25">
      <c r="A28247" t="s">
        <v>16</v>
      </c>
      <c r="B28247" t="s">
        <v>7666</v>
      </c>
      <c r="C28247" s="1" t="s">
        <v>23490</v>
      </c>
      <c r="D28247" s="1" t="str">
        <f>HYPERLINK("https://rhld.insurance.arkansas.gov/NPILookup?Npi=1750378691","1750378691")</f>
        <v>1750378691</v>
      </c>
      <c r="E28247" t="s">
        <v>8124</v>
      </c>
    </row>
    <row r="28248" spans="1:5" x14ac:dyDescent="0.25">
      <c r="A28248" t="s">
        <v>16</v>
      </c>
      <c r="B28248" t="s">
        <v>7666</v>
      </c>
      <c r="C28248" s="1" t="s">
        <v>23490</v>
      </c>
      <c r="D28248" s="1" t="str">
        <f>HYPERLINK("https://rhld.insurance.arkansas.gov/NPILookup?Npi=1750384541","1750384541")</f>
        <v>1750384541</v>
      </c>
      <c r="E28248" t="s">
        <v>8125</v>
      </c>
    </row>
    <row r="28249" spans="1:5" x14ac:dyDescent="0.25">
      <c r="A28249" t="s">
        <v>16</v>
      </c>
      <c r="B28249" t="s">
        <v>7666</v>
      </c>
      <c r="C28249" s="1" t="s">
        <v>23490</v>
      </c>
      <c r="D28249" s="1" t="str">
        <f>HYPERLINK("https://rhld.insurance.arkansas.gov/NPILookup?Npi=1750397675","1750397675")</f>
        <v>1750397675</v>
      </c>
      <c r="E28249" t="s">
        <v>8126</v>
      </c>
    </row>
    <row r="28250" spans="1:5" x14ac:dyDescent="0.25">
      <c r="A28250" t="s">
        <v>16</v>
      </c>
      <c r="B28250" t="s">
        <v>7666</v>
      </c>
      <c r="C28250" s="1" t="s">
        <v>23490</v>
      </c>
      <c r="D28250" s="1" t="str">
        <f>HYPERLINK("https://rhld.insurance.arkansas.gov/NPILookup?Npi=1750463469","1750463469")</f>
        <v>1750463469</v>
      </c>
      <c r="E28250" t="s">
        <v>16728</v>
      </c>
    </row>
    <row r="28251" spans="1:5" x14ac:dyDescent="0.25">
      <c r="A28251" t="s">
        <v>16</v>
      </c>
      <c r="B28251" t="s">
        <v>7666</v>
      </c>
      <c r="C28251" s="1" t="s">
        <v>23490</v>
      </c>
      <c r="D28251" s="1" t="str">
        <f>HYPERLINK("https://rhld.insurance.arkansas.gov/NPILookup?Npi=1750606570","1750606570")</f>
        <v>1750606570</v>
      </c>
      <c r="E28251" t="s">
        <v>8127</v>
      </c>
    </row>
    <row r="28252" spans="1:5" x14ac:dyDescent="0.25">
      <c r="A28252" t="s">
        <v>16</v>
      </c>
      <c r="B28252" t="s">
        <v>7666</v>
      </c>
      <c r="C28252" s="1" t="s">
        <v>23490</v>
      </c>
      <c r="D28252" s="1" t="str">
        <f>HYPERLINK("https://rhld.insurance.arkansas.gov/NPILookup?Npi=1750732616","1750732616")</f>
        <v>1750732616</v>
      </c>
      <c r="E28252" t="s">
        <v>14558</v>
      </c>
    </row>
    <row r="28253" spans="1:5" x14ac:dyDescent="0.25">
      <c r="A28253" t="s">
        <v>16</v>
      </c>
      <c r="B28253" t="s">
        <v>7666</v>
      </c>
      <c r="C28253" s="1" t="s">
        <v>23490</v>
      </c>
      <c r="D28253" s="1" t="str">
        <f>HYPERLINK("https://rhld.insurance.arkansas.gov/NPILookup?Npi=1750754545","1750754545")</f>
        <v>1750754545</v>
      </c>
      <c r="E28253" t="s">
        <v>8128</v>
      </c>
    </row>
    <row r="28254" spans="1:5" x14ac:dyDescent="0.25">
      <c r="A28254" t="s">
        <v>16</v>
      </c>
      <c r="B28254" t="s">
        <v>7666</v>
      </c>
      <c r="C28254" s="1" t="s">
        <v>23490</v>
      </c>
      <c r="D28254" s="1" t="str">
        <f>HYPERLINK("https://rhld.insurance.arkansas.gov/NPILookup?Npi=1760096788","1760096788")</f>
        <v>1760096788</v>
      </c>
      <c r="E28254" t="s">
        <v>22728</v>
      </c>
    </row>
    <row r="28255" spans="1:5" x14ac:dyDescent="0.25">
      <c r="A28255" t="s">
        <v>16</v>
      </c>
      <c r="B28255" t="s">
        <v>7666</v>
      </c>
      <c r="C28255" s="1" t="s">
        <v>23490</v>
      </c>
      <c r="D28255" s="1" t="str">
        <f>HYPERLINK("https://rhld.insurance.arkansas.gov/NPILookup?Npi=1760425250","1760425250")</f>
        <v>1760425250</v>
      </c>
      <c r="E28255" t="s">
        <v>16729</v>
      </c>
    </row>
    <row r="28256" spans="1:5" x14ac:dyDescent="0.25">
      <c r="A28256" t="s">
        <v>16</v>
      </c>
      <c r="B28256" t="s">
        <v>7666</v>
      </c>
      <c r="C28256" s="1" t="s">
        <v>23490</v>
      </c>
      <c r="D28256" s="1" t="str">
        <f>HYPERLINK("https://rhld.insurance.arkansas.gov/NPILookup?Npi=1760425854","1760425854")</f>
        <v>1760425854</v>
      </c>
      <c r="E28256" t="s">
        <v>8129</v>
      </c>
    </row>
    <row r="28257" spans="1:5" x14ac:dyDescent="0.25">
      <c r="A28257" t="s">
        <v>16</v>
      </c>
      <c r="B28257" t="s">
        <v>7666</v>
      </c>
      <c r="C28257" s="1" t="s">
        <v>23490</v>
      </c>
      <c r="D28257" s="1" t="str">
        <f>HYPERLINK("https://rhld.insurance.arkansas.gov/NPILookup?Npi=1760462584","1760462584")</f>
        <v>1760462584</v>
      </c>
      <c r="E28257" t="s">
        <v>8130</v>
      </c>
    </row>
    <row r="28258" spans="1:5" x14ac:dyDescent="0.25">
      <c r="A28258" t="s">
        <v>16</v>
      </c>
      <c r="B28258" t="s">
        <v>7666</v>
      </c>
      <c r="C28258" s="1" t="s">
        <v>23490</v>
      </c>
      <c r="D28258" s="1" t="str">
        <f>HYPERLINK("https://rhld.insurance.arkansas.gov/NPILookup?Npi=1760488498","1760488498")</f>
        <v>1760488498</v>
      </c>
      <c r="E28258" t="s">
        <v>12152</v>
      </c>
    </row>
    <row r="28259" spans="1:5" x14ac:dyDescent="0.25">
      <c r="A28259" t="s">
        <v>16</v>
      </c>
      <c r="B28259" t="s">
        <v>7666</v>
      </c>
      <c r="C28259" s="1" t="s">
        <v>23490</v>
      </c>
      <c r="D28259" s="1" t="str">
        <f>HYPERLINK("https://rhld.insurance.arkansas.gov/NPILookup?Npi=1760614598","1760614598")</f>
        <v>1760614598</v>
      </c>
      <c r="E28259" t="s">
        <v>8131</v>
      </c>
    </row>
    <row r="28260" spans="1:5" x14ac:dyDescent="0.25">
      <c r="A28260" t="s">
        <v>16</v>
      </c>
      <c r="B28260" t="s">
        <v>7666</v>
      </c>
      <c r="C28260" s="1" t="s">
        <v>23490</v>
      </c>
      <c r="D28260" s="1" t="str">
        <f>HYPERLINK("https://rhld.insurance.arkansas.gov/NPILookup?Npi=1760627376","1760627376")</f>
        <v>1760627376</v>
      </c>
      <c r="E28260" t="s">
        <v>8132</v>
      </c>
    </row>
    <row r="28261" spans="1:5" x14ac:dyDescent="0.25">
      <c r="A28261" t="s">
        <v>16</v>
      </c>
      <c r="B28261" t="s">
        <v>7666</v>
      </c>
      <c r="C28261" s="1" t="s">
        <v>23490</v>
      </c>
      <c r="D28261" s="1" t="str">
        <f>HYPERLINK("https://rhld.insurance.arkansas.gov/NPILookup?Npi=1760672331","1760672331")</f>
        <v>1760672331</v>
      </c>
      <c r="E28261" t="s">
        <v>14559</v>
      </c>
    </row>
    <row r="28262" spans="1:5" x14ac:dyDescent="0.25">
      <c r="A28262" t="s">
        <v>16</v>
      </c>
      <c r="B28262" t="s">
        <v>7666</v>
      </c>
      <c r="C28262" s="1" t="s">
        <v>23490</v>
      </c>
      <c r="D28262" s="1" t="str">
        <f>HYPERLINK("https://rhld.insurance.arkansas.gov/NPILookup?Npi=1760737746","1760737746")</f>
        <v>1760737746</v>
      </c>
      <c r="E28262" t="s">
        <v>8133</v>
      </c>
    </row>
    <row r="28263" spans="1:5" x14ac:dyDescent="0.25">
      <c r="A28263" t="s">
        <v>16</v>
      </c>
      <c r="B28263" t="s">
        <v>7666</v>
      </c>
      <c r="C28263" s="1" t="s">
        <v>23490</v>
      </c>
      <c r="D28263" s="1" t="str">
        <f>HYPERLINK("https://rhld.insurance.arkansas.gov/NPILookup?Npi=1770144495","1770144495")</f>
        <v>1770144495</v>
      </c>
      <c r="E28263" t="s">
        <v>22729</v>
      </c>
    </row>
    <row r="28264" spans="1:5" x14ac:dyDescent="0.25">
      <c r="A28264" t="s">
        <v>16</v>
      </c>
      <c r="B28264" t="s">
        <v>7666</v>
      </c>
      <c r="C28264" s="1" t="s">
        <v>23490</v>
      </c>
      <c r="D28264" s="1" t="str">
        <f>HYPERLINK("https://rhld.insurance.arkansas.gov/NPILookup?Npi=1770504458","1770504458")</f>
        <v>1770504458</v>
      </c>
      <c r="E28264" t="s">
        <v>8134</v>
      </c>
    </row>
    <row r="28265" spans="1:5" x14ac:dyDescent="0.25">
      <c r="A28265" t="s">
        <v>16</v>
      </c>
      <c r="B28265" t="s">
        <v>7666</v>
      </c>
      <c r="C28265" s="1" t="s">
        <v>23490</v>
      </c>
      <c r="D28265" s="1" t="str">
        <f>HYPERLINK("https://rhld.insurance.arkansas.gov/NPILookup?Npi=1770529125","1770529125")</f>
        <v>1770529125</v>
      </c>
      <c r="E28265" t="s">
        <v>1075</v>
      </c>
    </row>
    <row r="28266" spans="1:5" x14ac:dyDescent="0.25">
      <c r="A28266" t="s">
        <v>16</v>
      </c>
      <c r="B28266" t="s">
        <v>7666</v>
      </c>
      <c r="C28266" s="1" t="s">
        <v>23490</v>
      </c>
      <c r="D28266" s="1" t="str">
        <f>HYPERLINK("https://rhld.insurance.arkansas.gov/NPILookup?Npi=1770540544","1770540544")</f>
        <v>1770540544</v>
      </c>
      <c r="E28266" t="s">
        <v>12153</v>
      </c>
    </row>
    <row r="28267" spans="1:5" x14ac:dyDescent="0.25">
      <c r="A28267" t="s">
        <v>16</v>
      </c>
      <c r="B28267" t="s">
        <v>7666</v>
      </c>
      <c r="C28267" s="1" t="s">
        <v>23490</v>
      </c>
      <c r="D28267" s="1" t="str">
        <f>HYPERLINK("https://rhld.insurance.arkansas.gov/NPILookup?Npi=1770542508","1770542508")</f>
        <v>1770542508</v>
      </c>
      <c r="E28267" t="s">
        <v>8135</v>
      </c>
    </row>
    <row r="28268" spans="1:5" x14ac:dyDescent="0.25">
      <c r="A28268" t="s">
        <v>16</v>
      </c>
      <c r="B28268" t="s">
        <v>7666</v>
      </c>
      <c r="C28268" s="1" t="s">
        <v>23490</v>
      </c>
      <c r="D28268" s="1" t="str">
        <f>HYPERLINK("https://rhld.insurance.arkansas.gov/NPILookup?Npi=1770559403","1770559403")</f>
        <v>1770559403</v>
      </c>
      <c r="E28268" t="s">
        <v>4483</v>
      </c>
    </row>
    <row r="28269" spans="1:5" x14ac:dyDescent="0.25">
      <c r="A28269" t="s">
        <v>16</v>
      </c>
      <c r="B28269" t="s">
        <v>7666</v>
      </c>
      <c r="C28269" s="1" t="s">
        <v>23490</v>
      </c>
      <c r="D28269" s="1" t="str">
        <f>HYPERLINK("https://rhld.insurance.arkansas.gov/NPILookup?Npi=1770579179","1770579179")</f>
        <v>1770579179</v>
      </c>
      <c r="E28269" t="s">
        <v>8136</v>
      </c>
    </row>
    <row r="28270" spans="1:5" x14ac:dyDescent="0.25">
      <c r="A28270" t="s">
        <v>16</v>
      </c>
      <c r="B28270" t="s">
        <v>7666</v>
      </c>
      <c r="C28270" s="1" t="s">
        <v>23490</v>
      </c>
      <c r="D28270" s="1" t="str">
        <f>HYPERLINK("https://rhld.insurance.arkansas.gov/NPILookup?Npi=1770586521","1770586521")</f>
        <v>1770586521</v>
      </c>
      <c r="E28270" t="s">
        <v>8137</v>
      </c>
    </row>
    <row r="28271" spans="1:5" x14ac:dyDescent="0.25">
      <c r="A28271" t="s">
        <v>16</v>
      </c>
      <c r="B28271" t="s">
        <v>7666</v>
      </c>
      <c r="C28271" s="1" t="s">
        <v>23490</v>
      </c>
      <c r="D28271" s="1" t="str">
        <f>HYPERLINK("https://rhld.insurance.arkansas.gov/NPILookup?Npi=1770597288","1770597288")</f>
        <v>1770597288</v>
      </c>
      <c r="E28271" t="s">
        <v>16730</v>
      </c>
    </row>
    <row r="28272" spans="1:5" x14ac:dyDescent="0.25">
      <c r="A28272" t="s">
        <v>16</v>
      </c>
      <c r="B28272" t="s">
        <v>7666</v>
      </c>
      <c r="C28272" s="1" t="s">
        <v>23490</v>
      </c>
      <c r="D28272" s="1" t="str">
        <f>HYPERLINK("https://rhld.insurance.arkansas.gov/NPILookup?Npi=1770660748","1770660748")</f>
        <v>1770660748</v>
      </c>
      <c r="E28272" t="s">
        <v>12154</v>
      </c>
    </row>
    <row r="28273" spans="1:5" x14ac:dyDescent="0.25">
      <c r="A28273" t="s">
        <v>16</v>
      </c>
      <c r="B28273" t="s">
        <v>7666</v>
      </c>
      <c r="C28273" s="1" t="s">
        <v>23490</v>
      </c>
      <c r="D28273" s="1" t="str">
        <f>HYPERLINK("https://rhld.insurance.arkansas.gov/NPILookup?Npi=1770701690","1770701690")</f>
        <v>1770701690</v>
      </c>
      <c r="E28273" t="s">
        <v>8138</v>
      </c>
    </row>
    <row r="28274" spans="1:5" x14ac:dyDescent="0.25">
      <c r="A28274" t="s">
        <v>16</v>
      </c>
      <c r="B28274" t="s">
        <v>7666</v>
      </c>
      <c r="C28274" s="1" t="s">
        <v>23490</v>
      </c>
      <c r="D28274" s="1" t="str">
        <f>HYPERLINK("https://rhld.insurance.arkansas.gov/NPILookup?Npi=1770736720","1770736720")</f>
        <v>1770736720</v>
      </c>
      <c r="E28274" t="s">
        <v>8139</v>
      </c>
    </row>
    <row r="28275" spans="1:5" x14ac:dyDescent="0.25">
      <c r="A28275" t="s">
        <v>16</v>
      </c>
      <c r="B28275" t="s">
        <v>7666</v>
      </c>
      <c r="C28275" s="1" t="s">
        <v>23490</v>
      </c>
      <c r="D28275" s="1" t="str">
        <f>HYPERLINK("https://rhld.insurance.arkansas.gov/NPILookup?Npi=1770740896","1770740896")</f>
        <v>1770740896</v>
      </c>
      <c r="E28275" t="s">
        <v>8140</v>
      </c>
    </row>
    <row r="28276" spans="1:5" x14ac:dyDescent="0.25">
      <c r="A28276" t="s">
        <v>16</v>
      </c>
      <c r="B28276" t="s">
        <v>7666</v>
      </c>
      <c r="C28276" s="1" t="s">
        <v>23490</v>
      </c>
      <c r="D28276" s="1" t="str">
        <f>HYPERLINK("https://rhld.insurance.arkansas.gov/NPILookup?Npi=1770821324","1770821324")</f>
        <v>1770821324</v>
      </c>
      <c r="E28276" t="s">
        <v>8141</v>
      </c>
    </row>
    <row r="28277" spans="1:5" x14ac:dyDescent="0.25">
      <c r="A28277" t="s">
        <v>16</v>
      </c>
      <c r="B28277" t="s">
        <v>7666</v>
      </c>
      <c r="C28277" s="1" t="s">
        <v>23490</v>
      </c>
      <c r="D28277" s="1" t="str">
        <f>HYPERLINK("https://rhld.insurance.arkansas.gov/NPILookup?Npi=1770838401","1770838401")</f>
        <v>1770838401</v>
      </c>
      <c r="E28277" t="s">
        <v>12756</v>
      </c>
    </row>
    <row r="28278" spans="1:5" x14ac:dyDescent="0.25">
      <c r="A28278" t="s">
        <v>16</v>
      </c>
      <c r="B28278" t="s">
        <v>7666</v>
      </c>
      <c r="C28278" s="1" t="s">
        <v>23490</v>
      </c>
      <c r="D28278" s="1" t="str">
        <f>HYPERLINK("https://rhld.insurance.arkansas.gov/NPILookup?Npi=1770897076","1770897076")</f>
        <v>1770897076</v>
      </c>
      <c r="E28278" t="s">
        <v>8142</v>
      </c>
    </row>
    <row r="28279" spans="1:5" x14ac:dyDescent="0.25">
      <c r="A28279" t="s">
        <v>16</v>
      </c>
      <c r="B28279" t="s">
        <v>7666</v>
      </c>
      <c r="C28279" s="1" t="s">
        <v>23490</v>
      </c>
      <c r="D28279" s="1" t="str">
        <f>HYPERLINK("https://rhld.insurance.arkansas.gov/NPILookup?Npi=1770995201","1770995201")</f>
        <v>1770995201</v>
      </c>
      <c r="E28279" t="s">
        <v>12155</v>
      </c>
    </row>
    <row r="28280" spans="1:5" x14ac:dyDescent="0.25">
      <c r="A28280" t="s">
        <v>16</v>
      </c>
      <c r="B28280" t="s">
        <v>7666</v>
      </c>
      <c r="C28280" s="1" t="s">
        <v>23490</v>
      </c>
      <c r="D28280" s="1" t="str">
        <f>HYPERLINK("https://rhld.insurance.arkansas.gov/NPILookup?Npi=1770996845","1770996845")</f>
        <v>1770996845</v>
      </c>
      <c r="E28280" t="s">
        <v>14560</v>
      </c>
    </row>
    <row r="28281" spans="1:5" x14ac:dyDescent="0.25">
      <c r="A28281" t="s">
        <v>16</v>
      </c>
      <c r="B28281" t="s">
        <v>7666</v>
      </c>
      <c r="C28281" s="1" t="s">
        <v>23490</v>
      </c>
      <c r="D28281" s="1" t="str">
        <f>HYPERLINK("https://rhld.insurance.arkansas.gov/NPILookup?Npi=1780007427","1780007427")</f>
        <v>1780007427</v>
      </c>
      <c r="E28281" t="s">
        <v>12156</v>
      </c>
    </row>
    <row r="28282" spans="1:5" x14ac:dyDescent="0.25">
      <c r="A28282" t="s">
        <v>16</v>
      </c>
      <c r="B28282" t="s">
        <v>7666</v>
      </c>
      <c r="C28282" s="1" t="s">
        <v>23490</v>
      </c>
      <c r="D28282" s="1" t="str">
        <f>HYPERLINK("https://rhld.insurance.arkansas.gov/NPILookup?Npi=1780067587","1780067587")</f>
        <v>1780067587</v>
      </c>
      <c r="E28282" t="s">
        <v>16731</v>
      </c>
    </row>
    <row r="28283" spans="1:5" x14ac:dyDescent="0.25">
      <c r="A28283" t="s">
        <v>16</v>
      </c>
      <c r="B28283" t="s">
        <v>7666</v>
      </c>
      <c r="C28283" s="1" t="s">
        <v>23490</v>
      </c>
      <c r="D28283" s="1" t="str">
        <f>HYPERLINK("https://rhld.insurance.arkansas.gov/NPILookup?Npi=1780188193","1780188193")</f>
        <v>1780188193</v>
      </c>
      <c r="E28283" t="s">
        <v>16732</v>
      </c>
    </row>
    <row r="28284" spans="1:5" x14ac:dyDescent="0.25">
      <c r="A28284" t="s">
        <v>16</v>
      </c>
      <c r="B28284" t="s">
        <v>7666</v>
      </c>
      <c r="C28284" s="1" t="s">
        <v>8427</v>
      </c>
      <c r="D28284" s="1" t="str">
        <f>HYPERLINK("https://rhld.insurance.arkansas.gov/NPILookup?Npi=1780362939","1780362939")</f>
        <v>1780362939</v>
      </c>
      <c r="E28284" t="s">
        <v>23332</v>
      </c>
    </row>
    <row r="28285" spans="1:5" x14ac:dyDescent="0.25">
      <c r="A28285" t="s">
        <v>16</v>
      </c>
      <c r="B28285" t="s">
        <v>7666</v>
      </c>
      <c r="C28285" s="1" t="s">
        <v>23490</v>
      </c>
      <c r="D28285" s="1" t="str">
        <f>HYPERLINK("https://rhld.insurance.arkansas.gov/NPILookup?Npi=1780601716","1780601716")</f>
        <v>1780601716</v>
      </c>
      <c r="E28285" t="s">
        <v>8143</v>
      </c>
    </row>
    <row r="28286" spans="1:5" x14ac:dyDescent="0.25">
      <c r="A28286" t="s">
        <v>16</v>
      </c>
      <c r="B28286" t="s">
        <v>7666</v>
      </c>
      <c r="C28286" s="1" t="s">
        <v>23490</v>
      </c>
      <c r="D28286" s="1" t="str">
        <f>HYPERLINK("https://rhld.insurance.arkansas.gov/NPILookup?Npi=1780612499","1780612499")</f>
        <v>1780612499</v>
      </c>
      <c r="E28286" t="s">
        <v>17758</v>
      </c>
    </row>
    <row r="28287" spans="1:5" x14ac:dyDescent="0.25">
      <c r="A28287" t="s">
        <v>16</v>
      </c>
      <c r="B28287" t="s">
        <v>7666</v>
      </c>
      <c r="C28287" s="1" t="s">
        <v>23490</v>
      </c>
      <c r="D28287" s="1" t="str">
        <f>HYPERLINK("https://rhld.insurance.arkansas.gov/NPILookup?Npi=1780619718","1780619718")</f>
        <v>1780619718</v>
      </c>
      <c r="E28287" t="s">
        <v>8144</v>
      </c>
    </row>
    <row r="28288" spans="1:5" x14ac:dyDescent="0.25">
      <c r="A28288" t="s">
        <v>16</v>
      </c>
      <c r="B28288" t="s">
        <v>7666</v>
      </c>
      <c r="C28288" s="1" t="s">
        <v>23490</v>
      </c>
      <c r="D28288" s="1" t="str">
        <f>HYPERLINK("https://rhld.insurance.arkansas.gov/NPILookup?Npi=1780640219","1780640219")</f>
        <v>1780640219</v>
      </c>
      <c r="E28288" t="s">
        <v>8145</v>
      </c>
    </row>
    <row r="28289" spans="1:5" x14ac:dyDescent="0.25">
      <c r="A28289" t="s">
        <v>16</v>
      </c>
      <c r="B28289" t="s">
        <v>7666</v>
      </c>
      <c r="C28289" s="1" t="s">
        <v>23490</v>
      </c>
      <c r="D28289" s="1" t="str">
        <f>HYPERLINK("https://rhld.insurance.arkansas.gov/NPILookup?Npi=1780668491","1780668491")</f>
        <v>1780668491</v>
      </c>
      <c r="E28289" t="s">
        <v>8146</v>
      </c>
    </row>
    <row r="28290" spans="1:5" x14ac:dyDescent="0.25">
      <c r="A28290" t="s">
        <v>16</v>
      </c>
      <c r="B28290" t="s">
        <v>7666</v>
      </c>
      <c r="C28290" s="1" t="s">
        <v>23490</v>
      </c>
      <c r="D28290" s="1" t="str">
        <f>HYPERLINK("https://rhld.insurance.arkansas.gov/NPILookup?Npi=1780674101","1780674101")</f>
        <v>1780674101</v>
      </c>
      <c r="E28290" t="s">
        <v>12157</v>
      </c>
    </row>
    <row r="28291" spans="1:5" x14ac:dyDescent="0.25">
      <c r="A28291" t="s">
        <v>16</v>
      </c>
      <c r="B28291" t="s">
        <v>7666</v>
      </c>
      <c r="C28291" s="1" t="s">
        <v>23490</v>
      </c>
      <c r="D28291" s="1" t="str">
        <f>HYPERLINK("https://rhld.insurance.arkansas.gov/NPILookup?Npi=1780687525","1780687525")</f>
        <v>1780687525</v>
      </c>
      <c r="E28291" t="s">
        <v>8147</v>
      </c>
    </row>
    <row r="28292" spans="1:5" x14ac:dyDescent="0.25">
      <c r="A28292" t="s">
        <v>16</v>
      </c>
      <c r="B28292" t="s">
        <v>7666</v>
      </c>
      <c r="C28292" s="1" t="s">
        <v>23490</v>
      </c>
      <c r="D28292" s="1" t="str">
        <f>HYPERLINK("https://rhld.insurance.arkansas.gov/NPILookup?Npi=1780752022","1780752022")</f>
        <v>1780752022</v>
      </c>
      <c r="E28292" t="s">
        <v>8148</v>
      </c>
    </row>
    <row r="28293" spans="1:5" x14ac:dyDescent="0.25">
      <c r="A28293" t="s">
        <v>16</v>
      </c>
      <c r="B28293" t="s">
        <v>7666</v>
      </c>
      <c r="C28293" s="1" t="s">
        <v>23490</v>
      </c>
      <c r="D28293" s="1" t="str">
        <f>HYPERLINK("https://rhld.insurance.arkansas.gov/NPILookup?Npi=1780860551","1780860551")</f>
        <v>1780860551</v>
      </c>
      <c r="E28293" t="s">
        <v>8149</v>
      </c>
    </row>
    <row r="28294" spans="1:5" x14ac:dyDescent="0.25">
      <c r="A28294" t="s">
        <v>16</v>
      </c>
      <c r="B28294" t="s">
        <v>7666</v>
      </c>
      <c r="C28294" s="1" t="s">
        <v>23490</v>
      </c>
      <c r="D28294" s="1" t="str">
        <f>HYPERLINK("https://rhld.insurance.arkansas.gov/NPILookup?Npi=1790147155","1790147155")</f>
        <v>1790147155</v>
      </c>
      <c r="E28294" t="s">
        <v>17759</v>
      </c>
    </row>
    <row r="28295" spans="1:5" x14ac:dyDescent="0.25">
      <c r="A28295" t="s">
        <v>16</v>
      </c>
      <c r="B28295" t="s">
        <v>7666</v>
      </c>
      <c r="C28295" s="1" t="s">
        <v>23490</v>
      </c>
      <c r="D28295" s="1" t="str">
        <f>HYPERLINK("https://rhld.insurance.arkansas.gov/NPILookup?Npi=1790734499","1790734499")</f>
        <v>1790734499</v>
      </c>
      <c r="E28295" t="s">
        <v>5577</v>
      </c>
    </row>
    <row r="28296" spans="1:5" x14ac:dyDescent="0.25">
      <c r="A28296" t="s">
        <v>16</v>
      </c>
      <c r="B28296" t="s">
        <v>7666</v>
      </c>
      <c r="C28296" s="1" t="s">
        <v>23490</v>
      </c>
      <c r="D28296" s="1" t="str">
        <f>HYPERLINK("https://rhld.insurance.arkansas.gov/NPILookup?Npi=1790754471","1790754471")</f>
        <v>1790754471</v>
      </c>
      <c r="E28296" t="s">
        <v>8150</v>
      </c>
    </row>
    <row r="28297" spans="1:5" x14ac:dyDescent="0.25">
      <c r="A28297" t="s">
        <v>16</v>
      </c>
      <c r="B28297" t="s">
        <v>7666</v>
      </c>
      <c r="C28297" s="1" t="s">
        <v>23490</v>
      </c>
      <c r="D28297" s="1" t="str">
        <f>HYPERLINK("https://rhld.insurance.arkansas.gov/NPILookup?Npi=1790760197","1790760197")</f>
        <v>1790760197</v>
      </c>
      <c r="E28297" t="s">
        <v>20784</v>
      </c>
    </row>
    <row r="28298" spans="1:5" x14ac:dyDescent="0.25">
      <c r="A28298" t="s">
        <v>16</v>
      </c>
      <c r="B28298" t="s">
        <v>7666</v>
      </c>
      <c r="C28298" s="1" t="s">
        <v>23490</v>
      </c>
      <c r="D28298" s="1" t="str">
        <f>HYPERLINK("https://rhld.insurance.arkansas.gov/NPILookup?Npi=1790764454","1790764454")</f>
        <v>1790764454</v>
      </c>
      <c r="E28298" t="s">
        <v>8151</v>
      </c>
    </row>
    <row r="28299" spans="1:5" x14ac:dyDescent="0.25">
      <c r="A28299" t="s">
        <v>16</v>
      </c>
      <c r="B28299" t="s">
        <v>7666</v>
      </c>
      <c r="C28299" s="1" t="s">
        <v>23490</v>
      </c>
      <c r="D28299" s="1" t="str">
        <f>HYPERLINK("https://rhld.insurance.arkansas.gov/NPILookup?Npi=1790779676","1790779676")</f>
        <v>1790779676</v>
      </c>
      <c r="E28299" t="s">
        <v>8152</v>
      </c>
    </row>
    <row r="28300" spans="1:5" x14ac:dyDescent="0.25">
      <c r="A28300" t="s">
        <v>16</v>
      </c>
      <c r="B28300" t="s">
        <v>7666</v>
      </c>
      <c r="C28300" s="1" t="s">
        <v>23490</v>
      </c>
      <c r="D28300" s="1" t="str">
        <f>HYPERLINK("https://rhld.insurance.arkansas.gov/NPILookup?Npi=1801184098","1801184098")</f>
        <v>1801184098</v>
      </c>
      <c r="E28300" t="s">
        <v>8153</v>
      </c>
    </row>
    <row r="28301" spans="1:5" x14ac:dyDescent="0.25">
      <c r="A28301" t="s">
        <v>16</v>
      </c>
      <c r="B28301" t="s">
        <v>7666</v>
      </c>
      <c r="C28301" s="1" t="s">
        <v>23490</v>
      </c>
      <c r="D28301" s="1" t="str">
        <f>HYPERLINK("https://rhld.insurance.arkansas.gov/NPILookup?Npi=1801201264","1801201264")</f>
        <v>1801201264</v>
      </c>
      <c r="E28301" t="s">
        <v>8154</v>
      </c>
    </row>
    <row r="28302" spans="1:5" x14ac:dyDescent="0.25">
      <c r="A28302" t="s">
        <v>16</v>
      </c>
      <c r="B28302" t="s">
        <v>7666</v>
      </c>
      <c r="C28302" s="1" t="s">
        <v>23490</v>
      </c>
      <c r="D28302" s="1" t="str">
        <f>HYPERLINK("https://rhld.insurance.arkansas.gov/NPILookup?Npi=1801515879","1801515879")</f>
        <v>1801515879</v>
      </c>
      <c r="E28302" t="s">
        <v>22730</v>
      </c>
    </row>
    <row r="28303" spans="1:5" x14ac:dyDescent="0.25">
      <c r="A28303" t="s">
        <v>16</v>
      </c>
      <c r="B28303" t="s">
        <v>7666</v>
      </c>
      <c r="C28303" s="1" t="s">
        <v>23490</v>
      </c>
      <c r="D28303" s="1" t="str">
        <f>HYPERLINK("https://rhld.insurance.arkansas.gov/NPILookup?Npi=1801838073","1801838073")</f>
        <v>1801838073</v>
      </c>
      <c r="E28303" t="s">
        <v>20785</v>
      </c>
    </row>
    <row r="28304" spans="1:5" x14ac:dyDescent="0.25">
      <c r="A28304" t="s">
        <v>16</v>
      </c>
      <c r="B28304" t="s">
        <v>7666</v>
      </c>
      <c r="C28304" s="1" t="s">
        <v>23490</v>
      </c>
      <c r="D28304" s="1" t="str">
        <f>HYPERLINK("https://rhld.insurance.arkansas.gov/NPILookup?Npi=1801871595","1801871595")</f>
        <v>1801871595</v>
      </c>
      <c r="E28304" t="s">
        <v>8155</v>
      </c>
    </row>
    <row r="28305" spans="1:5" x14ac:dyDescent="0.25">
      <c r="A28305" t="s">
        <v>16</v>
      </c>
      <c r="B28305" t="s">
        <v>7666</v>
      </c>
      <c r="C28305" s="1" t="s">
        <v>23490</v>
      </c>
      <c r="D28305" s="1" t="str">
        <f>HYPERLINK("https://rhld.insurance.arkansas.gov/NPILookup?Npi=1801875794","1801875794")</f>
        <v>1801875794</v>
      </c>
      <c r="E28305" t="s">
        <v>8156</v>
      </c>
    </row>
    <row r="28306" spans="1:5" x14ac:dyDescent="0.25">
      <c r="A28306" t="s">
        <v>16</v>
      </c>
      <c r="B28306" t="s">
        <v>7666</v>
      </c>
      <c r="C28306" s="1" t="s">
        <v>23490</v>
      </c>
      <c r="D28306" s="1" t="str">
        <f>HYPERLINK("https://rhld.insurance.arkansas.gov/NPILookup?Npi=1801903638","1801903638")</f>
        <v>1801903638</v>
      </c>
      <c r="E28306" t="s">
        <v>8157</v>
      </c>
    </row>
    <row r="28307" spans="1:5" x14ac:dyDescent="0.25">
      <c r="A28307" t="s">
        <v>16</v>
      </c>
      <c r="B28307" t="s">
        <v>7666</v>
      </c>
      <c r="C28307" s="1" t="s">
        <v>23490</v>
      </c>
      <c r="D28307" s="1" t="str">
        <f>HYPERLINK("https://rhld.insurance.arkansas.gov/NPILookup?Npi=1801907779","1801907779")</f>
        <v>1801907779</v>
      </c>
      <c r="E28307" t="s">
        <v>16733</v>
      </c>
    </row>
    <row r="28308" spans="1:5" x14ac:dyDescent="0.25">
      <c r="A28308" t="s">
        <v>16</v>
      </c>
      <c r="B28308" t="s">
        <v>7666</v>
      </c>
      <c r="C28308" s="1" t="s">
        <v>23490</v>
      </c>
      <c r="D28308" s="1" t="str">
        <f>HYPERLINK("https://rhld.insurance.arkansas.gov/NPILookup?Npi=1801915244","1801915244")</f>
        <v>1801915244</v>
      </c>
      <c r="E28308" t="s">
        <v>8158</v>
      </c>
    </row>
    <row r="28309" spans="1:5" x14ac:dyDescent="0.25">
      <c r="A28309" t="s">
        <v>16</v>
      </c>
      <c r="B28309" t="s">
        <v>7666</v>
      </c>
      <c r="C28309" s="1" t="s">
        <v>23490</v>
      </c>
      <c r="D28309" s="1" t="str">
        <f>HYPERLINK("https://rhld.insurance.arkansas.gov/NPILookup?Npi=1801968011","1801968011")</f>
        <v>1801968011</v>
      </c>
      <c r="E28309" t="s">
        <v>8159</v>
      </c>
    </row>
    <row r="28310" spans="1:5" x14ac:dyDescent="0.25">
      <c r="A28310" t="s">
        <v>16</v>
      </c>
      <c r="B28310" t="s">
        <v>7666</v>
      </c>
      <c r="C28310" s="1" t="s">
        <v>23490</v>
      </c>
      <c r="D28310" s="1" t="str">
        <f>HYPERLINK("https://rhld.insurance.arkansas.gov/NPILookup?Npi=1801994579","1801994579")</f>
        <v>1801994579</v>
      </c>
      <c r="E28310" t="s">
        <v>8160</v>
      </c>
    </row>
    <row r="28311" spans="1:5" x14ac:dyDescent="0.25">
      <c r="A28311" t="s">
        <v>16</v>
      </c>
      <c r="B28311" t="s">
        <v>7666</v>
      </c>
      <c r="C28311" s="1" t="s">
        <v>23490</v>
      </c>
      <c r="D28311" s="1" t="str">
        <f>HYPERLINK("https://rhld.insurance.arkansas.gov/NPILookup?Npi=1811052640","1811052640")</f>
        <v>1811052640</v>
      </c>
      <c r="E28311" t="s">
        <v>8161</v>
      </c>
    </row>
    <row r="28312" spans="1:5" x14ac:dyDescent="0.25">
      <c r="A28312" t="s">
        <v>16</v>
      </c>
      <c r="B28312" t="s">
        <v>7666</v>
      </c>
      <c r="C28312" s="1" t="s">
        <v>23490</v>
      </c>
      <c r="D28312" s="1" t="str">
        <f>HYPERLINK("https://rhld.insurance.arkansas.gov/NPILookup?Npi=1811300841","1811300841")</f>
        <v>1811300841</v>
      </c>
      <c r="E28312" t="s">
        <v>9302</v>
      </c>
    </row>
    <row r="28313" spans="1:5" x14ac:dyDescent="0.25">
      <c r="A28313" t="s">
        <v>16</v>
      </c>
      <c r="B28313" t="s">
        <v>7666</v>
      </c>
      <c r="C28313" s="1" t="s">
        <v>23490</v>
      </c>
      <c r="D28313" s="1" t="str">
        <f>HYPERLINK("https://rhld.insurance.arkansas.gov/NPILookup?Npi=1811345077","1811345077")</f>
        <v>1811345077</v>
      </c>
      <c r="E28313" t="s">
        <v>14561</v>
      </c>
    </row>
    <row r="28314" spans="1:5" x14ac:dyDescent="0.25">
      <c r="A28314" t="s">
        <v>16</v>
      </c>
      <c r="B28314" t="s">
        <v>7666</v>
      </c>
      <c r="C28314" s="1" t="s">
        <v>23490</v>
      </c>
      <c r="D28314" s="1" t="str">
        <f>HYPERLINK("https://rhld.insurance.arkansas.gov/NPILookup?Npi=1811371693","1811371693")</f>
        <v>1811371693</v>
      </c>
      <c r="E28314" t="s">
        <v>22731</v>
      </c>
    </row>
    <row r="28315" spans="1:5" x14ac:dyDescent="0.25">
      <c r="A28315" t="s">
        <v>16</v>
      </c>
      <c r="B28315" t="s">
        <v>7666</v>
      </c>
      <c r="C28315" s="1" t="s">
        <v>8427</v>
      </c>
      <c r="D28315" s="1" t="str">
        <f>HYPERLINK("https://rhld.insurance.arkansas.gov/NPILookup?Npi=1811552045","1811552045")</f>
        <v>1811552045</v>
      </c>
      <c r="E28315" t="s">
        <v>23333</v>
      </c>
    </row>
    <row r="28316" spans="1:5" x14ac:dyDescent="0.25">
      <c r="A28316" t="s">
        <v>16</v>
      </c>
      <c r="B28316" t="s">
        <v>7666</v>
      </c>
      <c r="C28316" s="1" t="s">
        <v>23490</v>
      </c>
      <c r="D28316" s="1" t="str">
        <f>HYPERLINK("https://rhld.insurance.arkansas.gov/NPILookup?Npi=1811578602","1811578602")</f>
        <v>1811578602</v>
      </c>
      <c r="E28316" t="s">
        <v>21316</v>
      </c>
    </row>
    <row r="28317" spans="1:5" x14ac:dyDescent="0.25">
      <c r="A28317" t="s">
        <v>16</v>
      </c>
      <c r="B28317" t="s">
        <v>7666</v>
      </c>
      <c r="C28317" s="1" t="s">
        <v>23490</v>
      </c>
      <c r="D28317" s="1" t="str">
        <f>HYPERLINK("https://rhld.insurance.arkansas.gov/NPILookup?Npi=1811939770","1811939770")</f>
        <v>1811939770</v>
      </c>
      <c r="E28317" t="s">
        <v>8162</v>
      </c>
    </row>
    <row r="28318" spans="1:5" x14ac:dyDescent="0.25">
      <c r="A28318" t="s">
        <v>16</v>
      </c>
      <c r="B28318" t="s">
        <v>7666</v>
      </c>
      <c r="C28318" s="1" t="s">
        <v>23490</v>
      </c>
      <c r="D28318" s="1" t="str">
        <f>HYPERLINK("https://rhld.insurance.arkansas.gov/NPILookup?Npi=1811971518","1811971518")</f>
        <v>1811971518</v>
      </c>
      <c r="E28318" t="s">
        <v>8163</v>
      </c>
    </row>
    <row r="28319" spans="1:5" x14ac:dyDescent="0.25">
      <c r="A28319" t="s">
        <v>16</v>
      </c>
      <c r="B28319" t="s">
        <v>7666</v>
      </c>
      <c r="C28319" s="1" t="s">
        <v>23490</v>
      </c>
      <c r="D28319" s="1" t="str">
        <f>HYPERLINK("https://rhld.insurance.arkansas.gov/NPILookup?Npi=1811973779","1811973779")</f>
        <v>1811973779</v>
      </c>
      <c r="E28319" t="s">
        <v>8164</v>
      </c>
    </row>
    <row r="28320" spans="1:5" x14ac:dyDescent="0.25">
      <c r="A28320" t="s">
        <v>16</v>
      </c>
      <c r="B28320" t="s">
        <v>7666</v>
      </c>
      <c r="C28320" s="1" t="s">
        <v>23490</v>
      </c>
      <c r="D28320" s="1" t="str">
        <f>HYPERLINK("https://rhld.insurance.arkansas.gov/NPILookup?Npi=1811980097","1811980097")</f>
        <v>1811980097</v>
      </c>
      <c r="E28320" t="s">
        <v>8165</v>
      </c>
    </row>
    <row r="28321" spans="1:5" x14ac:dyDescent="0.25">
      <c r="A28321" t="s">
        <v>16</v>
      </c>
      <c r="B28321" t="s">
        <v>7666</v>
      </c>
      <c r="C28321" s="1" t="s">
        <v>23490</v>
      </c>
      <c r="D28321" s="1" t="str">
        <f>HYPERLINK("https://rhld.insurance.arkansas.gov/NPILookup?Npi=1811995368","1811995368")</f>
        <v>1811995368</v>
      </c>
      <c r="E28321" t="s">
        <v>8166</v>
      </c>
    </row>
    <row r="28322" spans="1:5" x14ac:dyDescent="0.25">
      <c r="A28322" t="s">
        <v>16</v>
      </c>
      <c r="B28322" t="s">
        <v>7666</v>
      </c>
      <c r="C28322" s="1" t="s">
        <v>23490</v>
      </c>
      <c r="D28322" s="1" t="str">
        <f>HYPERLINK("https://rhld.insurance.arkansas.gov/NPILookup?Npi=1811998032","1811998032")</f>
        <v>1811998032</v>
      </c>
      <c r="E28322" t="s">
        <v>14562</v>
      </c>
    </row>
    <row r="28323" spans="1:5" x14ac:dyDescent="0.25">
      <c r="A28323" t="s">
        <v>16</v>
      </c>
      <c r="B28323" t="s">
        <v>7666</v>
      </c>
      <c r="C28323" s="1" t="s">
        <v>23490</v>
      </c>
      <c r="D28323" s="1" t="str">
        <f>HYPERLINK("https://rhld.insurance.arkansas.gov/NPILookup?Npi=1821035569","1821035569")</f>
        <v>1821035569</v>
      </c>
      <c r="E28323" t="s">
        <v>8167</v>
      </c>
    </row>
    <row r="28324" spans="1:5" x14ac:dyDescent="0.25">
      <c r="A28324" t="s">
        <v>16</v>
      </c>
      <c r="B28324" t="s">
        <v>7666</v>
      </c>
      <c r="C28324" s="1" t="s">
        <v>23490</v>
      </c>
      <c r="D28324" s="1" t="str">
        <f>HYPERLINK("https://rhld.insurance.arkansas.gov/NPILookup?Npi=1821057399","1821057399")</f>
        <v>1821057399</v>
      </c>
      <c r="E28324" t="s">
        <v>8168</v>
      </c>
    </row>
    <row r="28325" spans="1:5" x14ac:dyDescent="0.25">
      <c r="A28325" t="s">
        <v>16</v>
      </c>
      <c r="B28325" t="s">
        <v>7666</v>
      </c>
      <c r="C28325" s="1" t="s">
        <v>23490</v>
      </c>
      <c r="D28325" s="1" t="str">
        <f>HYPERLINK("https://rhld.insurance.arkansas.gov/NPILookup?Npi=1821094418","1821094418")</f>
        <v>1821094418</v>
      </c>
      <c r="E28325" t="s">
        <v>8169</v>
      </c>
    </row>
    <row r="28326" spans="1:5" x14ac:dyDescent="0.25">
      <c r="A28326" t="s">
        <v>16</v>
      </c>
      <c r="B28326" t="s">
        <v>7666</v>
      </c>
      <c r="C28326" s="1" t="s">
        <v>23490</v>
      </c>
      <c r="D28326" s="1" t="str">
        <f>HYPERLINK("https://rhld.insurance.arkansas.gov/NPILookup?Npi=1821185091","1821185091")</f>
        <v>1821185091</v>
      </c>
      <c r="E28326" t="s">
        <v>8170</v>
      </c>
    </row>
    <row r="28327" spans="1:5" x14ac:dyDescent="0.25">
      <c r="A28327" t="s">
        <v>16</v>
      </c>
      <c r="B28327" t="s">
        <v>7666</v>
      </c>
      <c r="C28327" s="1" t="s">
        <v>23490</v>
      </c>
      <c r="D28327" s="1" t="str">
        <f>HYPERLINK("https://rhld.insurance.arkansas.gov/NPILookup?Npi=1821188319","1821188319")</f>
        <v>1821188319</v>
      </c>
      <c r="E28327" t="s">
        <v>8171</v>
      </c>
    </row>
    <row r="28328" spans="1:5" x14ac:dyDescent="0.25">
      <c r="A28328" t="s">
        <v>16</v>
      </c>
      <c r="B28328" t="s">
        <v>7666</v>
      </c>
      <c r="C28328" s="1" t="s">
        <v>23490</v>
      </c>
      <c r="D28328" s="1" t="str">
        <f>HYPERLINK("https://rhld.insurance.arkansas.gov/NPILookup?Npi=1821228552","1821228552")</f>
        <v>1821228552</v>
      </c>
      <c r="E28328" t="s">
        <v>8162</v>
      </c>
    </row>
    <row r="28329" spans="1:5" x14ac:dyDescent="0.25">
      <c r="A28329" t="s">
        <v>16</v>
      </c>
      <c r="B28329" t="s">
        <v>7666</v>
      </c>
      <c r="C28329" s="1" t="s">
        <v>23490</v>
      </c>
      <c r="D28329" s="1" t="str">
        <f>HYPERLINK("https://rhld.insurance.arkansas.gov/NPILookup?Npi=1821344912","1821344912")</f>
        <v>1821344912</v>
      </c>
      <c r="E28329" t="s">
        <v>8172</v>
      </c>
    </row>
    <row r="28330" spans="1:5" x14ac:dyDescent="0.25">
      <c r="A28330" t="s">
        <v>16</v>
      </c>
      <c r="B28330" t="s">
        <v>7666</v>
      </c>
      <c r="C28330" s="1" t="s">
        <v>23490</v>
      </c>
      <c r="D28330" s="1" t="str">
        <f>HYPERLINK("https://rhld.insurance.arkansas.gov/NPILookup?Npi=1821345562","1821345562")</f>
        <v>1821345562</v>
      </c>
      <c r="E28330" t="s">
        <v>8173</v>
      </c>
    </row>
    <row r="28331" spans="1:5" x14ac:dyDescent="0.25">
      <c r="A28331" t="s">
        <v>16</v>
      </c>
      <c r="B28331" t="s">
        <v>7666</v>
      </c>
      <c r="C28331" s="1" t="s">
        <v>23490</v>
      </c>
      <c r="D28331" s="1" t="str">
        <f>HYPERLINK("https://rhld.insurance.arkansas.gov/NPILookup?Npi=1821420902","1821420902")</f>
        <v>1821420902</v>
      </c>
      <c r="E28331" t="s">
        <v>12158</v>
      </c>
    </row>
    <row r="28332" spans="1:5" x14ac:dyDescent="0.25">
      <c r="A28332" t="s">
        <v>16</v>
      </c>
      <c r="B28332" t="s">
        <v>7666</v>
      </c>
      <c r="C28332" s="1" t="s">
        <v>8427</v>
      </c>
      <c r="D28332" s="1" t="str">
        <f>HYPERLINK("https://rhld.insurance.arkansas.gov/NPILookup?Npi=1821452681","1821452681")</f>
        <v>1821452681</v>
      </c>
      <c r="E28332" t="s">
        <v>23334</v>
      </c>
    </row>
    <row r="28333" spans="1:5" x14ac:dyDescent="0.25">
      <c r="A28333" t="s">
        <v>16</v>
      </c>
      <c r="B28333" t="s">
        <v>7666</v>
      </c>
      <c r="C28333" s="1" t="s">
        <v>23490</v>
      </c>
      <c r="D28333" s="1" t="str">
        <f>HYPERLINK("https://rhld.insurance.arkansas.gov/NPILookup?Npi=1821511361","1821511361")</f>
        <v>1821511361</v>
      </c>
      <c r="E28333" t="s">
        <v>16734</v>
      </c>
    </row>
    <row r="28334" spans="1:5" x14ac:dyDescent="0.25">
      <c r="A28334" t="s">
        <v>16</v>
      </c>
      <c r="B28334" t="s">
        <v>7666</v>
      </c>
      <c r="C28334" s="1" t="s">
        <v>23490</v>
      </c>
      <c r="D28334" s="1" t="str">
        <f>HYPERLINK("https://rhld.insurance.arkansas.gov/NPILookup?Npi=1821531252","1821531252")</f>
        <v>1821531252</v>
      </c>
      <c r="E28334" t="s">
        <v>22732</v>
      </c>
    </row>
    <row r="28335" spans="1:5" x14ac:dyDescent="0.25">
      <c r="A28335" t="s">
        <v>16</v>
      </c>
      <c r="B28335" t="s">
        <v>7666</v>
      </c>
      <c r="C28335" s="1" t="s">
        <v>23490</v>
      </c>
      <c r="D28335" s="1" t="str">
        <f>HYPERLINK("https://rhld.insurance.arkansas.gov/NPILookup?Npi=1831106996","1831106996")</f>
        <v>1831106996</v>
      </c>
      <c r="E28335" t="s">
        <v>8174</v>
      </c>
    </row>
    <row r="28336" spans="1:5" x14ac:dyDescent="0.25">
      <c r="A28336" t="s">
        <v>16</v>
      </c>
      <c r="B28336" t="s">
        <v>7666</v>
      </c>
      <c r="C28336" s="1" t="s">
        <v>23490</v>
      </c>
      <c r="D28336" s="1" t="str">
        <f>HYPERLINK("https://rhld.insurance.arkansas.gov/NPILookup?Npi=1831160951","1831160951")</f>
        <v>1831160951</v>
      </c>
      <c r="E28336" t="s">
        <v>8175</v>
      </c>
    </row>
    <row r="28337" spans="1:5" x14ac:dyDescent="0.25">
      <c r="A28337" t="s">
        <v>16</v>
      </c>
      <c r="B28337" t="s">
        <v>7666</v>
      </c>
      <c r="C28337" s="1" t="s">
        <v>23490</v>
      </c>
      <c r="D28337" s="1" t="str">
        <f>HYPERLINK("https://rhld.insurance.arkansas.gov/NPILookup?Npi=1831192137","1831192137")</f>
        <v>1831192137</v>
      </c>
      <c r="E28337" t="s">
        <v>8176</v>
      </c>
    </row>
    <row r="28338" spans="1:5" x14ac:dyDescent="0.25">
      <c r="A28338" t="s">
        <v>16</v>
      </c>
      <c r="B28338" t="s">
        <v>7666</v>
      </c>
      <c r="C28338" s="1" t="s">
        <v>23490</v>
      </c>
      <c r="D28338" s="1" t="str">
        <f>HYPERLINK("https://rhld.insurance.arkansas.gov/NPILookup?Npi=1831354919","1831354919")</f>
        <v>1831354919</v>
      </c>
      <c r="E28338" t="s">
        <v>8177</v>
      </c>
    </row>
    <row r="28339" spans="1:5" x14ac:dyDescent="0.25">
      <c r="A28339" t="s">
        <v>16</v>
      </c>
      <c r="B28339" t="s">
        <v>7666</v>
      </c>
      <c r="C28339" s="1" t="s">
        <v>23490</v>
      </c>
      <c r="D28339" s="1" t="str">
        <f>HYPERLINK("https://rhld.insurance.arkansas.gov/NPILookup?Npi=1831482603","1831482603")</f>
        <v>1831482603</v>
      </c>
      <c r="E28339" t="s">
        <v>8178</v>
      </c>
    </row>
    <row r="28340" spans="1:5" x14ac:dyDescent="0.25">
      <c r="A28340" t="s">
        <v>16</v>
      </c>
      <c r="B28340" t="s">
        <v>7666</v>
      </c>
      <c r="C28340" s="1" t="s">
        <v>23490</v>
      </c>
      <c r="D28340" s="1" t="str">
        <f>HYPERLINK("https://rhld.insurance.arkansas.gov/NPILookup?Npi=1831505460","1831505460")</f>
        <v>1831505460</v>
      </c>
      <c r="E28340" t="s">
        <v>3670</v>
      </c>
    </row>
    <row r="28341" spans="1:5" x14ac:dyDescent="0.25">
      <c r="A28341" t="s">
        <v>16</v>
      </c>
      <c r="B28341" t="s">
        <v>7666</v>
      </c>
      <c r="C28341" s="1" t="s">
        <v>23490</v>
      </c>
      <c r="D28341" s="1" t="str">
        <f>HYPERLINK("https://rhld.insurance.arkansas.gov/NPILookup?Npi=1831541978","1831541978")</f>
        <v>1831541978</v>
      </c>
      <c r="E28341" t="s">
        <v>12159</v>
      </c>
    </row>
    <row r="28342" spans="1:5" x14ac:dyDescent="0.25">
      <c r="A28342" t="s">
        <v>16</v>
      </c>
      <c r="B28342" t="s">
        <v>7666</v>
      </c>
      <c r="C28342" s="1" t="s">
        <v>23490</v>
      </c>
      <c r="D28342" s="1" t="str">
        <f>HYPERLINK("https://rhld.insurance.arkansas.gov/NPILookup?Npi=1831768407","1831768407")</f>
        <v>1831768407</v>
      </c>
      <c r="E28342" t="s">
        <v>22733</v>
      </c>
    </row>
    <row r="28343" spans="1:5" x14ac:dyDescent="0.25">
      <c r="A28343" t="s">
        <v>16</v>
      </c>
      <c r="B28343" t="s">
        <v>7666</v>
      </c>
      <c r="C28343" s="1" t="s">
        <v>23490</v>
      </c>
      <c r="D28343" s="1" t="str">
        <f>HYPERLINK("https://rhld.insurance.arkansas.gov/NPILookup?Npi=1831769728","1831769728")</f>
        <v>1831769728</v>
      </c>
      <c r="E28343" t="s">
        <v>19168</v>
      </c>
    </row>
    <row r="28344" spans="1:5" x14ac:dyDescent="0.25">
      <c r="A28344" t="s">
        <v>16</v>
      </c>
      <c r="B28344" t="s">
        <v>7666</v>
      </c>
      <c r="C28344" s="1" t="s">
        <v>23490</v>
      </c>
      <c r="D28344" s="1" t="str">
        <f>HYPERLINK("https://rhld.insurance.arkansas.gov/NPILookup?Npi=1841257870","1841257870")</f>
        <v>1841257870</v>
      </c>
      <c r="E28344" t="s">
        <v>1008</v>
      </c>
    </row>
    <row r="28345" spans="1:5" x14ac:dyDescent="0.25">
      <c r="A28345" t="s">
        <v>16</v>
      </c>
      <c r="B28345" t="s">
        <v>7666</v>
      </c>
      <c r="C28345" s="1" t="s">
        <v>23490</v>
      </c>
      <c r="D28345" s="1" t="str">
        <f>HYPERLINK("https://rhld.insurance.arkansas.gov/NPILookup?Npi=1841259116","1841259116")</f>
        <v>1841259116</v>
      </c>
      <c r="E28345" t="s">
        <v>8179</v>
      </c>
    </row>
    <row r="28346" spans="1:5" x14ac:dyDescent="0.25">
      <c r="A28346" t="s">
        <v>16</v>
      </c>
      <c r="B28346" t="s">
        <v>7666</v>
      </c>
      <c r="C28346" s="1" t="s">
        <v>23490</v>
      </c>
      <c r="D28346" s="1" t="str">
        <f>HYPERLINK("https://rhld.insurance.arkansas.gov/NPILookup?Npi=1841262730","1841262730")</f>
        <v>1841262730</v>
      </c>
      <c r="E28346" t="s">
        <v>8180</v>
      </c>
    </row>
    <row r="28347" spans="1:5" x14ac:dyDescent="0.25">
      <c r="A28347" t="s">
        <v>16</v>
      </c>
      <c r="B28347" t="s">
        <v>7666</v>
      </c>
      <c r="C28347" s="1" t="s">
        <v>23490</v>
      </c>
      <c r="D28347" s="1" t="str">
        <f>HYPERLINK("https://rhld.insurance.arkansas.gov/NPILookup?Npi=1841455052","1841455052")</f>
        <v>1841455052</v>
      </c>
      <c r="E28347" t="s">
        <v>8181</v>
      </c>
    </row>
    <row r="28348" spans="1:5" x14ac:dyDescent="0.25">
      <c r="A28348" t="s">
        <v>16</v>
      </c>
      <c r="B28348" t="s">
        <v>7666</v>
      </c>
      <c r="C28348" s="1" t="s">
        <v>23490</v>
      </c>
      <c r="D28348" s="1" t="str">
        <f>HYPERLINK("https://rhld.insurance.arkansas.gov/NPILookup?Npi=1841481405","1841481405")</f>
        <v>1841481405</v>
      </c>
      <c r="E28348" t="s">
        <v>14563</v>
      </c>
    </row>
    <row r="28349" spans="1:5" x14ac:dyDescent="0.25">
      <c r="A28349" t="s">
        <v>16</v>
      </c>
      <c r="B28349" t="s">
        <v>7666</v>
      </c>
      <c r="C28349" s="1" t="s">
        <v>23490</v>
      </c>
      <c r="D28349" s="1" t="str">
        <f>HYPERLINK("https://rhld.insurance.arkansas.gov/NPILookup?Npi=1841491826","1841491826")</f>
        <v>1841491826</v>
      </c>
      <c r="E28349" t="s">
        <v>8182</v>
      </c>
    </row>
    <row r="28350" spans="1:5" x14ac:dyDescent="0.25">
      <c r="A28350" t="s">
        <v>16</v>
      </c>
      <c r="B28350" t="s">
        <v>7666</v>
      </c>
      <c r="C28350" s="1" t="s">
        <v>23490</v>
      </c>
      <c r="D28350" s="1" t="str">
        <f>HYPERLINK("https://rhld.insurance.arkansas.gov/NPILookup?Npi=1841646494","1841646494")</f>
        <v>1841646494</v>
      </c>
      <c r="E28350" t="s">
        <v>9303</v>
      </c>
    </row>
    <row r="28351" spans="1:5" x14ac:dyDescent="0.25">
      <c r="A28351" t="s">
        <v>16</v>
      </c>
      <c r="B28351" t="s">
        <v>7666</v>
      </c>
      <c r="C28351" s="1" t="s">
        <v>23490</v>
      </c>
      <c r="D28351" s="1" t="str">
        <f>HYPERLINK("https://rhld.insurance.arkansas.gov/NPILookup?Npi=1841672128","1841672128")</f>
        <v>1841672128</v>
      </c>
      <c r="E28351" t="s">
        <v>12160</v>
      </c>
    </row>
    <row r="28352" spans="1:5" x14ac:dyDescent="0.25">
      <c r="A28352" t="s">
        <v>16</v>
      </c>
      <c r="B28352" t="s">
        <v>7666</v>
      </c>
      <c r="C28352" s="1" t="s">
        <v>23490</v>
      </c>
      <c r="D28352" s="1" t="str">
        <f>HYPERLINK("https://rhld.insurance.arkansas.gov/NPILookup?Npi=1841678901","1841678901")</f>
        <v>1841678901</v>
      </c>
      <c r="E28352" t="s">
        <v>16735</v>
      </c>
    </row>
    <row r="28353" spans="1:5" x14ac:dyDescent="0.25">
      <c r="A28353" t="s">
        <v>16</v>
      </c>
      <c r="B28353" t="s">
        <v>7666</v>
      </c>
      <c r="C28353" s="1" t="s">
        <v>23490</v>
      </c>
      <c r="D28353" s="1" t="str">
        <f>HYPERLINK("https://rhld.insurance.arkansas.gov/NPILookup?Npi=1841786571","1841786571")</f>
        <v>1841786571</v>
      </c>
      <c r="E28353" t="s">
        <v>14564</v>
      </c>
    </row>
    <row r="28354" spans="1:5" x14ac:dyDescent="0.25">
      <c r="A28354" t="s">
        <v>16</v>
      </c>
      <c r="B28354" t="s">
        <v>7666</v>
      </c>
      <c r="C28354" s="1" t="s">
        <v>23490</v>
      </c>
      <c r="D28354" s="1" t="str">
        <f>HYPERLINK("https://rhld.insurance.arkansas.gov/NPILookup?Npi=1851373484","1851373484")</f>
        <v>1851373484</v>
      </c>
      <c r="E28354" t="s">
        <v>8183</v>
      </c>
    </row>
    <row r="28355" spans="1:5" x14ac:dyDescent="0.25">
      <c r="A28355" t="s">
        <v>16</v>
      </c>
      <c r="B28355" t="s">
        <v>7666</v>
      </c>
      <c r="C28355" s="1" t="s">
        <v>23490</v>
      </c>
      <c r="D28355" s="1" t="str">
        <f>HYPERLINK("https://rhld.insurance.arkansas.gov/NPILookup?Npi=1851395446","1851395446")</f>
        <v>1851395446</v>
      </c>
      <c r="E28355" t="s">
        <v>8184</v>
      </c>
    </row>
    <row r="28356" spans="1:5" x14ac:dyDescent="0.25">
      <c r="A28356" t="s">
        <v>16</v>
      </c>
      <c r="B28356" t="s">
        <v>7666</v>
      </c>
      <c r="C28356" s="1" t="s">
        <v>23490</v>
      </c>
      <c r="D28356" s="1" t="str">
        <f>HYPERLINK("https://rhld.insurance.arkansas.gov/NPILookup?Npi=1851555106","1851555106")</f>
        <v>1851555106</v>
      </c>
      <c r="E28356" t="s">
        <v>16736</v>
      </c>
    </row>
    <row r="28357" spans="1:5" x14ac:dyDescent="0.25">
      <c r="A28357" t="s">
        <v>16</v>
      </c>
      <c r="B28357" t="s">
        <v>7666</v>
      </c>
      <c r="C28357" s="1" t="s">
        <v>23490</v>
      </c>
      <c r="D28357" s="1" t="str">
        <f>HYPERLINK("https://rhld.insurance.arkansas.gov/NPILookup?Npi=1851602114","1851602114")</f>
        <v>1851602114</v>
      </c>
      <c r="E28357" t="s">
        <v>8185</v>
      </c>
    </row>
    <row r="28358" spans="1:5" x14ac:dyDescent="0.25">
      <c r="A28358" t="s">
        <v>16</v>
      </c>
      <c r="B28358" t="s">
        <v>7666</v>
      </c>
      <c r="C28358" s="1" t="s">
        <v>23490</v>
      </c>
      <c r="D28358" s="1" t="str">
        <f>HYPERLINK("https://rhld.insurance.arkansas.gov/NPILookup?Npi=1851731145","1851731145")</f>
        <v>1851731145</v>
      </c>
      <c r="E28358" t="s">
        <v>14565</v>
      </c>
    </row>
    <row r="28359" spans="1:5" x14ac:dyDescent="0.25">
      <c r="A28359" t="s">
        <v>16</v>
      </c>
      <c r="B28359" t="s">
        <v>7666</v>
      </c>
      <c r="C28359" s="1" t="s">
        <v>23490</v>
      </c>
      <c r="D28359" s="1" t="str">
        <f>HYPERLINK("https://rhld.insurance.arkansas.gov/NPILookup?Npi=1851777445","1851777445")</f>
        <v>1851777445</v>
      </c>
      <c r="E28359" t="s">
        <v>8186</v>
      </c>
    </row>
    <row r="28360" spans="1:5" x14ac:dyDescent="0.25">
      <c r="A28360" t="s">
        <v>16</v>
      </c>
      <c r="B28360" t="s">
        <v>7666</v>
      </c>
      <c r="C28360" s="1" t="s">
        <v>23490</v>
      </c>
      <c r="D28360" s="1" t="str">
        <f>HYPERLINK("https://rhld.insurance.arkansas.gov/NPILookup?Npi=1851858252","1851858252")</f>
        <v>1851858252</v>
      </c>
      <c r="E28360" t="s">
        <v>16737</v>
      </c>
    </row>
    <row r="28361" spans="1:5" x14ac:dyDescent="0.25">
      <c r="A28361" t="s">
        <v>16</v>
      </c>
      <c r="B28361" t="s">
        <v>7666</v>
      </c>
      <c r="C28361" s="1" t="s">
        <v>23490</v>
      </c>
      <c r="D28361" s="1" t="str">
        <f>HYPERLINK("https://rhld.insurance.arkansas.gov/NPILookup?Npi=1861130304","1861130304")</f>
        <v>1861130304</v>
      </c>
      <c r="E28361" t="s">
        <v>22734</v>
      </c>
    </row>
    <row r="28362" spans="1:5" x14ac:dyDescent="0.25">
      <c r="A28362" t="s">
        <v>16</v>
      </c>
      <c r="B28362" t="s">
        <v>7666</v>
      </c>
      <c r="C28362" s="1" t="s">
        <v>23490</v>
      </c>
      <c r="D28362" s="1" t="str">
        <f>HYPERLINK("https://rhld.insurance.arkansas.gov/NPILookup?Npi=1861405243","1861405243")</f>
        <v>1861405243</v>
      </c>
      <c r="E28362" t="s">
        <v>8187</v>
      </c>
    </row>
    <row r="28363" spans="1:5" x14ac:dyDescent="0.25">
      <c r="A28363" t="s">
        <v>16</v>
      </c>
      <c r="B28363" t="s">
        <v>7666</v>
      </c>
      <c r="C28363" s="1" t="s">
        <v>23490</v>
      </c>
      <c r="D28363" s="1" t="str">
        <f>HYPERLINK("https://rhld.insurance.arkansas.gov/NPILookup?Npi=1861424228","1861424228")</f>
        <v>1861424228</v>
      </c>
      <c r="E28363" t="s">
        <v>8188</v>
      </c>
    </row>
    <row r="28364" spans="1:5" x14ac:dyDescent="0.25">
      <c r="A28364" t="s">
        <v>16</v>
      </c>
      <c r="B28364" t="s">
        <v>7666</v>
      </c>
      <c r="C28364" s="1" t="s">
        <v>23490</v>
      </c>
      <c r="D28364" s="1" t="str">
        <f>HYPERLINK("https://rhld.insurance.arkansas.gov/NPILookup?Npi=1861476707","1861476707")</f>
        <v>1861476707</v>
      </c>
      <c r="E28364" t="s">
        <v>8189</v>
      </c>
    </row>
    <row r="28365" spans="1:5" x14ac:dyDescent="0.25">
      <c r="A28365" t="s">
        <v>16</v>
      </c>
      <c r="B28365" t="s">
        <v>7666</v>
      </c>
      <c r="C28365" s="1" t="s">
        <v>23490</v>
      </c>
      <c r="D28365" s="1" t="str">
        <f>HYPERLINK("https://rhld.insurance.arkansas.gov/NPILookup?Npi=1861485427","1861485427")</f>
        <v>1861485427</v>
      </c>
      <c r="E28365" t="s">
        <v>8190</v>
      </c>
    </row>
    <row r="28366" spans="1:5" x14ac:dyDescent="0.25">
      <c r="A28366" t="s">
        <v>16</v>
      </c>
      <c r="B28366" t="s">
        <v>7666</v>
      </c>
      <c r="C28366" s="1" t="s">
        <v>23490</v>
      </c>
      <c r="D28366" s="1" t="str">
        <f>HYPERLINK("https://rhld.insurance.arkansas.gov/NPILookup?Npi=1861495780","1861495780")</f>
        <v>1861495780</v>
      </c>
      <c r="E28366" t="s">
        <v>8191</v>
      </c>
    </row>
    <row r="28367" spans="1:5" x14ac:dyDescent="0.25">
      <c r="A28367" t="s">
        <v>16</v>
      </c>
      <c r="B28367" t="s">
        <v>7666</v>
      </c>
      <c r="C28367" s="1" t="s">
        <v>23490</v>
      </c>
      <c r="D28367" s="1" t="str">
        <f>HYPERLINK("https://rhld.insurance.arkansas.gov/NPILookup?Npi=1861500175","1861500175")</f>
        <v>1861500175</v>
      </c>
      <c r="E28367" t="s">
        <v>8192</v>
      </c>
    </row>
    <row r="28368" spans="1:5" x14ac:dyDescent="0.25">
      <c r="A28368" t="s">
        <v>16</v>
      </c>
      <c r="B28368" t="s">
        <v>7666</v>
      </c>
      <c r="C28368" s="1" t="s">
        <v>23490</v>
      </c>
      <c r="D28368" s="1" t="str">
        <f>HYPERLINK("https://rhld.insurance.arkansas.gov/NPILookup?Npi=1861636342","1861636342")</f>
        <v>1861636342</v>
      </c>
      <c r="E28368" t="s">
        <v>7805</v>
      </c>
    </row>
    <row r="28369" spans="1:5" x14ac:dyDescent="0.25">
      <c r="A28369" t="s">
        <v>16</v>
      </c>
      <c r="B28369" t="s">
        <v>7666</v>
      </c>
      <c r="C28369" s="1" t="s">
        <v>23490</v>
      </c>
      <c r="D28369" s="1" t="str">
        <f>HYPERLINK("https://rhld.insurance.arkansas.gov/NPILookup?Npi=1861655979","1861655979")</f>
        <v>1861655979</v>
      </c>
      <c r="E28369" t="s">
        <v>12161</v>
      </c>
    </row>
    <row r="28370" spans="1:5" x14ac:dyDescent="0.25">
      <c r="A28370" t="s">
        <v>16</v>
      </c>
      <c r="B28370" t="s">
        <v>7666</v>
      </c>
      <c r="C28370" s="1" t="s">
        <v>23490</v>
      </c>
      <c r="D28370" s="1" t="str">
        <f>HYPERLINK("https://rhld.insurance.arkansas.gov/NPILookup?Npi=1861704454","1861704454")</f>
        <v>1861704454</v>
      </c>
      <c r="E28370" t="s">
        <v>8193</v>
      </c>
    </row>
    <row r="28371" spans="1:5" x14ac:dyDescent="0.25">
      <c r="A28371" t="s">
        <v>16</v>
      </c>
      <c r="B28371" t="s">
        <v>7666</v>
      </c>
      <c r="C28371" s="1" t="s">
        <v>23490</v>
      </c>
      <c r="D28371" s="1" t="str">
        <f>HYPERLINK("https://rhld.insurance.arkansas.gov/NPILookup?Npi=1861916991","1861916991")</f>
        <v>1861916991</v>
      </c>
      <c r="E28371" t="s">
        <v>16738</v>
      </c>
    </row>
    <row r="28372" spans="1:5" x14ac:dyDescent="0.25">
      <c r="A28372" t="s">
        <v>16</v>
      </c>
      <c r="B28372" t="s">
        <v>7666</v>
      </c>
      <c r="C28372" s="1" t="s">
        <v>23490</v>
      </c>
      <c r="D28372" s="1" t="str">
        <f>HYPERLINK("https://rhld.insurance.arkansas.gov/NPILookup?Npi=1861986358","1861986358")</f>
        <v>1861986358</v>
      </c>
      <c r="E28372" t="s">
        <v>14566</v>
      </c>
    </row>
    <row r="28373" spans="1:5" x14ac:dyDescent="0.25">
      <c r="A28373" t="s">
        <v>16</v>
      </c>
      <c r="B28373" t="s">
        <v>7666</v>
      </c>
      <c r="C28373" s="1" t="s">
        <v>23490</v>
      </c>
      <c r="D28373" s="1" t="str">
        <f>HYPERLINK("https://rhld.insurance.arkansas.gov/NPILookup?Npi=1871547786","1871547786")</f>
        <v>1871547786</v>
      </c>
      <c r="E28373" t="s">
        <v>8194</v>
      </c>
    </row>
    <row r="28374" spans="1:5" x14ac:dyDescent="0.25">
      <c r="A28374" t="s">
        <v>16</v>
      </c>
      <c r="B28374" t="s">
        <v>7666</v>
      </c>
      <c r="C28374" s="1" t="s">
        <v>23490</v>
      </c>
      <c r="D28374" s="1" t="str">
        <f>HYPERLINK("https://rhld.insurance.arkansas.gov/NPILookup?Npi=1871596130","1871596130")</f>
        <v>1871596130</v>
      </c>
      <c r="E28374" t="s">
        <v>16739</v>
      </c>
    </row>
    <row r="28375" spans="1:5" x14ac:dyDescent="0.25">
      <c r="A28375" t="s">
        <v>16</v>
      </c>
      <c r="B28375" t="s">
        <v>7666</v>
      </c>
      <c r="C28375" s="1" t="s">
        <v>23490</v>
      </c>
      <c r="D28375" s="1" t="str">
        <f>HYPERLINK("https://rhld.insurance.arkansas.gov/NPILookup?Npi=1871685065","1871685065")</f>
        <v>1871685065</v>
      </c>
      <c r="E28375" t="s">
        <v>8195</v>
      </c>
    </row>
    <row r="28376" spans="1:5" x14ac:dyDescent="0.25">
      <c r="A28376" t="s">
        <v>16</v>
      </c>
      <c r="B28376" t="s">
        <v>7666</v>
      </c>
      <c r="C28376" s="1" t="s">
        <v>23490</v>
      </c>
      <c r="D28376" s="1" t="str">
        <f>HYPERLINK("https://rhld.insurance.arkansas.gov/NPILookup?Npi=1871694877","1871694877")</f>
        <v>1871694877</v>
      </c>
      <c r="E28376" t="s">
        <v>8196</v>
      </c>
    </row>
    <row r="28377" spans="1:5" x14ac:dyDescent="0.25">
      <c r="A28377" t="s">
        <v>16</v>
      </c>
      <c r="B28377" t="s">
        <v>7666</v>
      </c>
      <c r="C28377" s="1" t="s">
        <v>23490</v>
      </c>
      <c r="D28377" s="1" t="str">
        <f>HYPERLINK("https://rhld.insurance.arkansas.gov/NPILookup?Npi=1871702340","1871702340")</f>
        <v>1871702340</v>
      </c>
      <c r="E28377" t="s">
        <v>22736</v>
      </c>
    </row>
    <row r="28378" spans="1:5" x14ac:dyDescent="0.25">
      <c r="A28378" t="s">
        <v>16</v>
      </c>
      <c r="B28378" t="s">
        <v>7666</v>
      </c>
      <c r="C28378" s="1" t="s">
        <v>23490</v>
      </c>
      <c r="D28378" s="1" t="str">
        <f>HYPERLINK("https://rhld.insurance.arkansas.gov/NPILookup?Npi=1871743195","1871743195")</f>
        <v>1871743195</v>
      </c>
      <c r="E28378" t="s">
        <v>8197</v>
      </c>
    </row>
    <row r="28379" spans="1:5" x14ac:dyDescent="0.25">
      <c r="A28379" t="s">
        <v>16</v>
      </c>
      <c r="B28379" t="s">
        <v>7666</v>
      </c>
      <c r="C28379" s="1" t="s">
        <v>23490</v>
      </c>
      <c r="D28379" s="1" t="str">
        <f>HYPERLINK("https://rhld.insurance.arkansas.gov/NPILookup?Npi=1871749929","1871749929")</f>
        <v>1871749929</v>
      </c>
      <c r="E28379" t="s">
        <v>4814</v>
      </c>
    </row>
    <row r="28380" spans="1:5" x14ac:dyDescent="0.25">
      <c r="A28380" t="s">
        <v>16</v>
      </c>
      <c r="B28380" t="s">
        <v>7666</v>
      </c>
      <c r="C28380" s="1" t="s">
        <v>23490</v>
      </c>
      <c r="D28380" s="1" t="str">
        <f>HYPERLINK("https://rhld.insurance.arkansas.gov/NPILookup?Npi=1871762963","1871762963")</f>
        <v>1871762963</v>
      </c>
      <c r="E28380" t="s">
        <v>8198</v>
      </c>
    </row>
    <row r="28381" spans="1:5" x14ac:dyDescent="0.25">
      <c r="A28381" t="s">
        <v>16</v>
      </c>
      <c r="B28381" t="s">
        <v>7666</v>
      </c>
      <c r="C28381" s="1" t="s">
        <v>23490</v>
      </c>
      <c r="D28381" s="1" t="str">
        <f>HYPERLINK("https://rhld.insurance.arkansas.gov/NPILookup?Npi=1871810606","1871810606")</f>
        <v>1871810606</v>
      </c>
      <c r="E28381" t="s">
        <v>8199</v>
      </c>
    </row>
    <row r="28382" spans="1:5" x14ac:dyDescent="0.25">
      <c r="A28382" t="s">
        <v>16</v>
      </c>
      <c r="B28382" t="s">
        <v>7666</v>
      </c>
      <c r="C28382" s="1" t="s">
        <v>23490</v>
      </c>
      <c r="D28382" s="1" t="str">
        <f>HYPERLINK("https://rhld.insurance.arkansas.gov/NPILookup?Npi=1871889428","1871889428")</f>
        <v>1871889428</v>
      </c>
      <c r="E28382" t="s">
        <v>14567</v>
      </c>
    </row>
    <row r="28383" spans="1:5" x14ac:dyDescent="0.25">
      <c r="A28383" t="s">
        <v>16</v>
      </c>
      <c r="B28383" t="s">
        <v>7666</v>
      </c>
      <c r="C28383" s="1" t="s">
        <v>23490</v>
      </c>
      <c r="D28383" s="1" t="str">
        <f>HYPERLINK("https://rhld.insurance.arkansas.gov/NPILookup?Npi=1871912204","1871912204")</f>
        <v>1871912204</v>
      </c>
      <c r="E28383" t="s">
        <v>20786</v>
      </c>
    </row>
    <row r="28384" spans="1:5" x14ac:dyDescent="0.25">
      <c r="A28384" t="s">
        <v>16</v>
      </c>
      <c r="B28384" t="s">
        <v>7666</v>
      </c>
      <c r="C28384" s="1" t="s">
        <v>23490</v>
      </c>
      <c r="D28384" s="1" t="str">
        <f>HYPERLINK("https://rhld.insurance.arkansas.gov/NPILookup?Npi=1871933473","1871933473")</f>
        <v>1871933473</v>
      </c>
      <c r="E28384" t="s">
        <v>8200</v>
      </c>
    </row>
    <row r="28385" spans="1:5" x14ac:dyDescent="0.25">
      <c r="A28385" t="s">
        <v>16</v>
      </c>
      <c r="B28385" t="s">
        <v>7666</v>
      </c>
      <c r="C28385" s="1" t="s">
        <v>23490</v>
      </c>
      <c r="D28385" s="1" t="str">
        <f>HYPERLINK("https://rhld.insurance.arkansas.gov/NPILookup?Npi=1871935122","1871935122")</f>
        <v>1871935122</v>
      </c>
      <c r="E28385" t="s">
        <v>8201</v>
      </c>
    </row>
    <row r="28386" spans="1:5" x14ac:dyDescent="0.25">
      <c r="A28386" t="s">
        <v>16</v>
      </c>
      <c r="B28386" t="s">
        <v>7666</v>
      </c>
      <c r="C28386" s="1" t="s">
        <v>23490</v>
      </c>
      <c r="D28386" s="1" t="str">
        <f>HYPERLINK("https://rhld.insurance.arkansas.gov/NPILookup?Npi=1871937870","1871937870")</f>
        <v>1871937870</v>
      </c>
      <c r="E28386" t="s">
        <v>20787</v>
      </c>
    </row>
    <row r="28387" spans="1:5" x14ac:dyDescent="0.25">
      <c r="A28387" t="s">
        <v>16</v>
      </c>
      <c r="B28387" t="s">
        <v>7666</v>
      </c>
      <c r="C28387" s="1" t="s">
        <v>23490</v>
      </c>
      <c r="D28387" s="1" t="str">
        <f>HYPERLINK("https://rhld.insurance.arkansas.gov/NPILookup?Npi=1871944793","1871944793")</f>
        <v>1871944793</v>
      </c>
      <c r="E28387" t="s">
        <v>9304</v>
      </c>
    </row>
    <row r="28388" spans="1:5" x14ac:dyDescent="0.25">
      <c r="A28388" t="s">
        <v>16</v>
      </c>
      <c r="B28388" t="s">
        <v>7666</v>
      </c>
      <c r="C28388" s="1" t="s">
        <v>23490</v>
      </c>
      <c r="D28388" s="1" t="str">
        <f>HYPERLINK("https://rhld.insurance.arkansas.gov/NPILookup?Npi=1881076651","1881076651")</f>
        <v>1881076651</v>
      </c>
      <c r="E28388" t="s">
        <v>8202</v>
      </c>
    </row>
    <row r="28389" spans="1:5" x14ac:dyDescent="0.25">
      <c r="A28389" t="s">
        <v>16</v>
      </c>
      <c r="B28389" t="s">
        <v>7666</v>
      </c>
      <c r="C28389" s="1" t="s">
        <v>23490</v>
      </c>
      <c r="D28389" s="1" t="str">
        <f>HYPERLINK("https://rhld.insurance.arkansas.gov/NPILookup?Npi=1881077675","1881077675")</f>
        <v>1881077675</v>
      </c>
      <c r="E28389" t="s">
        <v>8203</v>
      </c>
    </row>
    <row r="28390" spans="1:5" x14ac:dyDescent="0.25">
      <c r="A28390" t="s">
        <v>16</v>
      </c>
      <c r="B28390" t="s">
        <v>7666</v>
      </c>
      <c r="C28390" s="1" t="s">
        <v>23490</v>
      </c>
      <c r="D28390" s="1" t="str">
        <f>HYPERLINK("https://rhld.insurance.arkansas.gov/NPILookup?Npi=1881612059","1881612059")</f>
        <v>1881612059</v>
      </c>
      <c r="E28390" t="s">
        <v>8204</v>
      </c>
    </row>
    <row r="28391" spans="1:5" x14ac:dyDescent="0.25">
      <c r="A28391" t="s">
        <v>16</v>
      </c>
      <c r="B28391" t="s">
        <v>7666</v>
      </c>
      <c r="C28391" s="1" t="s">
        <v>23490</v>
      </c>
      <c r="D28391" s="1" t="str">
        <f>HYPERLINK("https://rhld.insurance.arkansas.gov/NPILookup?Npi=1881638328","1881638328")</f>
        <v>1881638328</v>
      </c>
      <c r="E28391" t="s">
        <v>8205</v>
      </c>
    </row>
    <row r="28392" spans="1:5" x14ac:dyDescent="0.25">
      <c r="A28392" t="s">
        <v>16</v>
      </c>
      <c r="B28392" t="s">
        <v>7666</v>
      </c>
      <c r="C28392" s="1" t="s">
        <v>23490</v>
      </c>
      <c r="D28392" s="1" t="str">
        <f>HYPERLINK("https://rhld.insurance.arkansas.gov/NPILookup?Npi=1881646198","1881646198")</f>
        <v>1881646198</v>
      </c>
      <c r="E28392" t="s">
        <v>8206</v>
      </c>
    </row>
    <row r="28393" spans="1:5" x14ac:dyDescent="0.25">
      <c r="A28393" t="s">
        <v>16</v>
      </c>
      <c r="B28393" t="s">
        <v>7666</v>
      </c>
      <c r="C28393" s="1" t="s">
        <v>23490</v>
      </c>
      <c r="D28393" s="1" t="str">
        <f>HYPERLINK("https://rhld.insurance.arkansas.gov/NPILookup?Npi=1881679033","1881679033")</f>
        <v>1881679033</v>
      </c>
      <c r="E28393" t="s">
        <v>8207</v>
      </c>
    </row>
    <row r="28394" spans="1:5" x14ac:dyDescent="0.25">
      <c r="A28394" t="s">
        <v>16</v>
      </c>
      <c r="B28394" t="s">
        <v>7666</v>
      </c>
      <c r="C28394" s="1" t="s">
        <v>23490</v>
      </c>
      <c r="D28394" s="1" t="str">
        <f>HYPERLINK("https://rhld.insurance.arkansas.gov/NPILookup?Npi=1881687077","1881687077")</f>
        <v>1881687077</v>
      </c>
      <c r="E28394" t="s">
        <v>8208</v>
      </c>
    </row>
    <row r="28395" spans="1:5" x14ac:dyDescent="0.25">
      <c r="A28395" t="s">
        <v>16</v>
      </c>
      <c r="B28395" t="s">
        <v>7666</v>
      </c>
      <c r="C28395" s="1" t="s">
        <v>23490</v>
      </c>
      <c r="D28395" s="1" t="str">
        <f>HYPERLINK("https://rhld.insurance.arkansas.gov/NPILookup?Npi=1881688216","1881688216")</f>
        <v>1881688216</v>
      </c>
      <c r="E28395" t="s">
        <v>16740</v>
      </c>
    </row>
    <row r="28396" spans="1:5" x14ac:dyDescent="0.25">
      <c r="A28396" t="s">
        <v>16</v>
      </c>
      <c r="B28396" t="s">
        <v>7666</v>
      </c>
      <c r="C28396" s="1" t="s">
        <v>23490</v>
      </c>
      <c r="D28396" s="1" t="str">
        <f>HYPERLINK("https://rhld.insurance.arkansas.gov/NPILookup?Npi=1881691335","1881691335")</f>
        <v>1881691335</v>
      </c>
      <c r="E28396" t="s">
        <v>17760</v>
      </c>
    </row>
    <row r="28397" spans="1:5" x14ac:dyDescent="0.25">
      <c r="A28397" t="s">
        <v>16</v>
      </c>
      <c r="B28397" t="s">
        <v>7666</v>
      </c>
      <c r="C28397" s="1" t="s">
        <v>23490</v>
      </c>
      <c r="D28397" s="1" t="str">
        <f>HYPERLINK("https://rhld.insurance.arkansas.gov/NPILookup?Npi=1881897817","1881897817")</f>
        <v>1881897817</v>
      </c>
      <c r="E28397" t="s">
        <v>8210</v>
      </c>
    </row>
    <row r="28398" spans="1:5" x14ac:dyDescent="0.25">
      <c r="A28398" t="s">
        <v>16</v>
      </c>
      <c r="B28398" t="s">
        <v>7666</v>
      </c>
      <c r="C28398" s="1" t="s">
        <v>23490</v>
      </c>
      <c r="D28398" s="1" t="str">
        <f>HYPERLINK("https://rhld.insurance.arkansas.gov/NPILookup?Npi=1881958437","1881958437")</f>
        <v>1881958437</v>
      </c>
      <c r="E28398" t="s">
        <v>8211</v>
      </c>
    </row>
    <row r="28399" spans="1:5" x14ac:dyDescent="0.25">
      <c r="A28399" t="s">
        <v>16</v>
      </c>
      <c r="B28399" t="s">
        <v>7666</v>
      </c>
      <c r="C28399" s="1" t="s">
        <v>23490</v>
      </c>
      <c r="D28399" s="1" t="str">
        <f>HYPERLINK("https://rhld.insurance.arkansas.gov/NPILookup?Npi=1891145827","1891145827")</f>
        <v>1891145827</v>
      </c>
      <c r="E28399" t="s">
        <v>9305</v>
      </c>
    </row>
    <row r="28400" spans="1:5" x14ac:dyDescent="0.25">
      <c r="A28400" t="s">
        <v>16</v>
      </c>
      <c r="B28400" t="s">
        <v>7666</v>
      </c>
      <c r="C28400" s="1" t="s">
        <v>23490</v>
      </c>
      <c r="D28400" s="1" t="str">
        <f>HYPERLINK("https://rhld.insurance.arkansas.gov/NPILookup?Npi=1891211025","1891211025")</f>
        <v>1891211025</v>
      </c>
      <c r="E28400" t="s">
        <v>14568</v>
      </c>
    </row>
    <row r="28401" spans="1:5" x14ac:dyDescent="0.25">
      <c r="A28401" t="s">
        <v>16</v>
      </c>
      <c r="B28401" t="s">
        <v>7666</v>
      </c>
      <c r="C28401" s="1" t="s">
        <v>8427</v>
      </c>
      <c r="D28401" s="1" t="str">
        <f>HYPERLINK("https://rhld.insurance.arkansas.gov/NPILookup?Npi=1891471140","1891471140")</f>
        <v>1891471140</v>
      </c>
      <c r="E28401" t="s">
        <v>23335</v>
      </c>
    </row>
    <row r="28402" spans="1:5" x14ac:dyDescent="0.25">
      <c r="A28402" t="s">
        <v>16</v>
      </c>
      <c r="B28402" t="s">
        <v>7666</v>
      </c>
      <c r="C28402" s="1" t="s">
        <v>23490</v>
      </c>
      <c r="D28402" s="1" t="str">
        <f>HYPERLINK("https://rhld.insurance.arkansas.gov/NPILookup?Npi=1891757399","1891757399")</f>
        <v>1891757399</v>
      </c>
      <c r="E28402" t="s">
        <v>8212</v>
      </c>
    </row>
    <row r="28403" spans="1:5" x14ac:dyDescent="0.25">
      <c r="A28403" t="s">
        <v>16</v>
      </c>
      <c r="B28403" t="s">
        <v>7666</v>
      </c>
      <c r="C28403" s="1" t="s">
        <v>23490</v>
      </c>
      <c r="D28403" s="1" t="str">
        <f>HYPERLINK("https://rhld.insurance.arkansas.gov/NPILookup?Npi=1891760773","1891760773")</f>
        <v>1891760773</v>
      </c>
      <c r="E28403" t="s">
        <v>8213</v>
      </c>
    </row>
    <row r="28404" spans="1:5" x14ac:dyDescent="0.25">
      <c r="A28404" t="s">
        <v>16</v>
      </c>
      <c r="B28404" t="s">
        <v>7666</v>
      </c>
      <c r="C28404" s="1" t="s">
        <v>23490</v>
      </c>
      <c r="D28404" s="1" t="str">
        <f>HYPERLINK("https://rhld.insurance.arkansas.gov/NPILookup?Npi=1891788956","1891788956")</f>
        <v>1891788956</v>
      </c>
      <c r="E28404" t="s">
        <v>8214</v>
      </c>
    </row>
    <row r="28405" spans="1:5" x14ac:dyDescent="0.25">
      <c r="A28405" t="s">
        <v>16</v>
      </c>
      <c r="B28405" t="s">
        <v>7666</v>
      </c>
      <c r="C28405" s="1" t="s">
        <v>23490</v>
      </c>
      <c r="D28405" s="1" t="str">
        <f>HYPERLINK("https://rhld.insurance.arkansas.gov/NPILookup?Npi=1891789780","1891789780")</f>
        <v>1891789780</v>
      </c>
      <c r="E28405" t="s">
        <v>5256</v>
      </c>
    </row>
    <row r="28406" spans="1:5" x14ac:dyDescent="0.25">
      <c r="A28406" t="s">
        <v>16</v>
      </c>
      <c r="B28406" t="s">
        <v>7666</v>
      </c>
      <c r="C28406" s="1" t="s">
        <v>23490</v>
      </c>
      <c r="D28406" s="1" t="str">
        <f>HYPERLINK("https://rhld.insurance.arkansas.gov/NPILookup?Npi=1891806659","1891806659")</f>
        <v>1891806659</v>
      </c>
      <c r="E28406" t="s">
        <v>8215</v>
      </c>
    </row>
    <row r="28407" spans="1:5" x14ac:dyDescent="0.25">
      <c r="A28407" t="s">
        <v>16</v>
      </c>
      <c r="B28407" t="s">
        <v>7666</v>
      </c>
      <c r="C28407" s="1" t="s">
        <v>23490</v>
      </c>
      <c r="D28407" s="1" t="str">
        <f>HYPERLINK("https://rhld.insurance.arkansas.gov/NPILookup?Npi=1891809406","1891809406")</f>
        <v>1891809406</v>
      </c>
      <c r="E28407" t="s">
        <v>12162</v>
      </c>
    </row>
    <row r="28408" spans="1:5" x14ac:dyDescent="0.25">
      <c r="A28408" t="s">
        <v>16</v>
      </c>
      <c r="B28408" t="s">
        <v>7666</v>
      </c>
      <c r="C28408" s="1" t="s">
        <v>23490</v>
      </c>
      <c r="D28408" s="1" t="str">
        <f>HYPERLINK("https://rhld.insurance.arkansas.gov/NPILookup?Npi=1891823258","1891823258")</f>
        <v>1891823258</v>
      </c>
      <c r="E28408" t="s">
        <v>8216</v>
      </c>
    </row>
    <row r="28409" spans="1:5" x14ac:dyDescent="0.25">
      <c r="A28409" t="s">
        <v>16</v>
      </c>
      <c r="B28409" t="s">
        <v>7666</v>
      </c>
      <c r="C28409" s="1" t="s">
        <v>23490</v>
      </c>
      <c r="D28409" s="1" t="str">
        <f>HYPERLINK("https://rhld.insurance.arkansas.gov/NPILookup?Npi=1902096589","1902096589")</f>
        <v>1902096589</v>
      </c>
      <c r="E28409" t="s">
        <v>8217</v>
      </c>
    </row>
    <row r="28410" spans="1:5" x14ac:dyDescent="0.25">
      <c r="A28410" t="s">
        <v>16</v>
      </c>
      <c r="B28410" t="s">
        <v>7666</v>
      </c>
      <c r="C28410" s="1" t="s">
        <v>23490</v>
      </c>
      <c r="D28410" s="1" t="str">
        <f>HYPERLINK("https://rhld.insurance.arkansas.gov/NPILookup?Npi=1902104227","1902104227")</f>
        <v>1902104227</v>
      </c>
      <c r="E28410" t="s">
        <v>14569</v>
      </c>
    </row>
    <row r="28411" spans="1:5" x14ac:dyDescent="0.25">
      <c r="A28411" t="s">
        <v>16</v>
      </c>
      <c r="B28411" t="s">
        <v>7666</v>
      </c>
      <c r="C28411" s="1" t="s">
        <v>23490</v>
      </c>
      <c r="D28411" s="1" t="str">
        <f>HYPERLINK("https://rhld.insurance.arkansas.gov/NPILookup?Npi=1902805534","1902805534")</f>
        <v>1902805534</v>
      </c>
      <c r="E28411" t="s">
        <v>8218</v>
      </c>
    </row>
    <row r="28412" spans="1:5" x14ac:dyDescent="0.25">
      <c r="A28412" t="s">
        <v>16</v>
      </c>
      <c r="B28412" t="s">
        <v>7666</v>
      </c>
      <c r="C28412" s="1" t="s">
        <v>23490</v>
      </c>
      <c r="D28412" s="1" t="str">
        <f>HYPERLINK("https://rhld.insurance.arkansas.gov/NPILookup?Npi=1902805823","1902805823")</f>
        <v>1902805823</v>
      </c>
      <c r="E28412" t="s">
        <v>8219</v>
      </c>
    </row>
    <row r="28413" spans="1:5" x14ac:dyDescent="0.25">
      <c r="A28413" t="s">
        <v>16</v>
      </c>
      <c r="B28413" t="s">
        <v>7666</v>
      </c>
      <c r="C28413" s="1" t="s">
        <v>23490</v>
      </c>
      <c r="D28413" s="1" t="str">
        <f>HYPERLINK("https://rhld.insurance.arkansas.gov/NPILookup?Npi=1902813314","1902813314")</f>
        <v>1902813314</v>
      </c>
      <c r="E28413" t="s">
        <v>8220</v>
      </c>
    </row>
    <row r="28414" spans="1:5" x14ac:dyDescent="0.25">
      <c r="A28414" t="s">
        <v>16</v>
      </c>
      <c r="B28414" t="s">
        <v>7666</v>
      </c>
      <c r="C28414" s="1" t="s">
        <v>23490</v>
      </c>
      <c r="D28414" s="1" t="str">
        <f>HYPERLINK("https://rhld.insurance.arkansas.gov/NPILookup?Npi=1902840861","1902840861")</f>
        <v>1902840861</v>
      </c>
      <c r="E28414" t="s">
        <v>16741</v>
      </c>
    </row>
    <row r="28415" spans="1:5" x14ac:dyDescent="0.25">
      <c r="A28415" t="s">
        <v>16</v>
      </c>
      <c r="B28415" t="s">
        <v>7666</v>
      </c>
      <c r="C28415" s="1" t="s">
        <v>23490</v>
      </c>
      <c r="D28415" s="1" t="str">
        <f>HYPERLINK("https://rhld.insurance.arkansas.gov/NPILookup?Npi=1902853393","1902853393")</f>
        <v>1902853393</v>
      </c>
      <c r="E28415" t="s">
        <v>8221</v>
      </c>
    </row>
    <row r="28416" spans="1:5" x14ac:dyDescent="0.25">
      <c r="A28416" t="s">
        <v>16</v>
      </c>
      <c r="B28416" t="s">
        <v>7666</v>
      </c>
      <c r="C28416" s="1" t="s">
        <v>23490</v>
      </c>
      <c r="D28416" s="1" t="str">
        <f>HYPERLINK("https://rhld.insurance.arkansas.gov/NPILookup?Npi=1902880214","1902880214")</f>
        <v>1902880214</v>
      </c>
      <c r="E28416" t="s">
        <v>8222</v>
      </c>
    </row>
    <row r="28417" spans="1:5" x14ac:dyDescent="0.25">
      <c r="A28417" t="s">
        <v>16</v>
      </c>
      <c r="B28417" t="s">
        <v>7666</v>
      </c>
      <c r="C28417" s="1" t="s">
        <v>23490</v>
      </c>
      <c r="D28417" s="1" t="str">
        <f>HYPERLINK("https://rhld.insurance.arkansas.gov/NPILookup?Npi=1912056342","1912056342")</f>
        <v>1912056342</v>
      </c>
      <c r="E28417" t="s">
        <v>8223</v>
      </c>
    </row>
    <row r="28418" spans="1:5" x14ac:dyDescent="0.25">
      <c r="A28418" t="s">
        <v>16</v>
      </c>
      <c r="B28418" t="s">
        <v>7666</v>
      </c>
      <c r="C28418" s="1" t="s">
        <v>23490</v>
      </c>
      <c r="D28418" s="1" t="str">
        <f>HYPERLINK("https://rhld.insurance.arkansas.gov/NPILookup?Npi=1912266404","1912266404")</f>
        <v>1912266404</v>
      </c>
      <c r="E28418" t="s">
        <v>12163</v>
      </c>
    </row>
    <row r="28419" spans="1:5" x14ac:dyDescent="0.25">
      <c r="A28419" t="s">
        <v>16</v>
      </c>
      <c r="B28419" t="s">
        <v>7666</v>
      </c>
      <c r="C28419" s="1" t="s">
        <v>23490</v>
      </c>
      <c r="D28419" s="1" t="str">
        <f>HYPERLINK("https://rhld.insurance.arkansas.gov/NPILookup?Npi=1912429630","1912429630")</f>
        <v>1912429630</v>
      </c>
      <c r="E28419" t="s">
        <v>16742</v>
      </c>
    </row>
    <row r="28420" spans="1:5" x14ac:dyDescent="0.25">
      <c r="A28420" t="s">
        <v>16</v>
      </c>
      <c r="B28420" t="s">
        <v>7666</v>
      </c>
      <c r="C28420" s="1" t="s">
        <v>23490</v>
      </c>
      <c r="D28420" s="1" t="str">
        <f>HYPERLINK("https://rhld.insurance.arkansas.gov/NPILookup?Npi=1912639261","1912639261")</f>
        <v>1912639261</v>
      </c>
      <c r="E28420" t="s">
        <v>21317</v>
      </c>
    </row>
    <row r="28421" spans="1:5" x14ac:dyDescent="0.25">
      <c r="A28421" t="s">
        <v>16</v>
      </c>
      <c r="B28421" t="s">
        <v>7666</v>
      </c>
      <c r="C28421" s="1" t="s">
        <v>23490</v>
      </c>
      <c r="D28421" s="1" t="str">
        <f>HYPERLINK("https://rhld.insurance.arkansas.gov/NPILookup?Npi=1912906876","1912906876")</f>
        <v>1912906876</v>
      </c>
      <c r="E28421" t="s">
        <v>8224</v>
      </c>
    </row>
    <row r="28422" spans="1:5" x14ac:dyDescent="0.25">
      <c r="A28422" t="s">
        <v>16</v>
      </c>
      <c r="B28422" t="s">
        <v>7666</v>
      </c>
      <c r="C28422" s="1" t="s">
        <v>23490</v>
      </c>
      <c r="D28422" s="1" t="str">
        <f>HYPERLINK("https://rhld.insurance.arkansas.gov/NPILookup?Npi=1912911645","1912911645")</f>
        <v>1912911645</v>
      </c>
      <c r="E28422" t="s">
        <v>8225</v>
      </c>
    </row>
    <row r="28423" spans="1:5" x14ac:dyDescent="0.25">
      <c r="A28423" t="s">
        <v>16</v>
      </c>
      <c r="B28423" t="s">
        <v>7666</v>
      </c>
      <c r="C28423" s="1" t="s">
        <v>23490</v>
      </c>
      <c r="D28423" s="1" t="str">
        <f>HYPERLINK("https://rhld.insurance.arkansas.gov/NPILookup?Npi=1912937574","1912937574")</f>
        <v>1912937574</v>
      </c>
      <c r="E28423" t="s">
        <v>8226</v>
      </c>
    </row>
    <row r="28424" spans="1:5" x14ac:dyDescent="0.25">
      <c r="A28424" t="s">
        <v>16</v>
      </c>
      <c r="B28424" t="s">
        <v>7666</v>
      </c>
      <c r="C28424" s="1" t="s">
        <v>23490</v>
      </c>
      <c r="D28424" s="1" t="str">
        <f>HYPERLINK("https://rhld.insurance.arkansas.gov/NPILookup?Npi=1912951187","1912951187")</f>
        <v>1912951187</v>
      </c>
      <c r="E28424" t="s">
        <v>14570</v>
      </c>
    </row>
    <row r="28425" spans="1:5" x14ac:dyDescent="0.25">
      <c r="A28425" t="s">
        <v>16</v>
      </c>
      <c r="B28425" t="s">
        <v>7666</v>
      </c>
      <c r="C28425" s="1" t="s">
        <v>23490</v>
      </c>
      <c r="D28425" s="1" t="str">
        <f>HYPERLINK("https://rhld.insurance.arkansas.gov/NPILookup?Npi=1912978735","1912978735")</f>
        <v>1912978735</v>
      </c>
      <c r="E28425" t="s">
        <v>14571</v>
      </c>
    </row>
    <row r="28426" spans="1:5" x14ac:dyDescent="0.25">
      <c r="A28426" t="s">
        <v>16</v>
      </c>
      <c r="B28426" t="s">
        <v>7666</v>
      </c>
      <c r="C28426" s="1" t="s">
        <v>23490</v>
      </c>
      <c r="D28426" s="1" t="str">
        <f>HYPERLINK("https://rhld.insurance.arkansas.gov/NPILookup?Npi=1912988577","1912988577")</f>
        <v>1912988577</v>
      </c>
      <c r="E28426" t="s">
        <v>8227</v>
      </c>
    </row>
    <row r="28427" spans="1:5" x14ac:dyDescent="0.25">
      <c r="A28427" t="s">
        <v>16</v>
      </c>
      <c r="B28427" t="s">
        <v>7666</v>
      </c>
      <c r="C28427" s="1" t="s">
        <v>23490</v>
      </c>
      <c r="D28427" s="1" t="str">
        <f>HYPERLINK("https://rhld.insurance.arkansas.gov/NPILookup?Npi=1912990086","1912990086")</f>
        <v>1912990086</v>
      </c>
      <c r="E28427" t="s">
        <v>8228</v>
      </c>
    </row>
    <row r="28428" spans="1:5" x14ac:dyDescent="0.25">
      <c r="A28428" t="s">
        <v>16</v>
      </c>
      <c r="B28428" t="s">
        <v>7666</v>
      </c>
      <c r="C28428" s="1" t="s">
        <v>23490</v>
      </c>
      <c r="D28428" s="1" t="str">
        <f>HYPERLINK("https://rhld.insurance.arkansas.gov/NPILookup?Npi=1912990102","1912990102")</f>
        <v>1912990102</v>
      </c>
      <c r="E28428" t="s">
        <v>22737</v>
      </c>
    </row>
    <row r="28429" spans="1:5" x14ac:dyDescent="0.25">
      <c r="A28429" t="s">
        <v>16</v>
      </c>
      <c r="B28429" t="s">
        <v>7666</v>
      </c>
      <c r="C28429" s="1" t="s">
        <v>23490</v>
      </c>
      <c r="D28429" s="1" t="str">
        <f>HYPERLINK("https://rhld.insurance.arkansas.gov/NPILookup?Npi=1922065184","1922065184")</f>
        <v>1922065184</v>
      </c>
      <c r="E28429" t="s">
        <v>8229</v>
      </c>
    </row>
    <row r="28430" spans="1:5" x14ac:dyDescent="0.25">
      <c r="A28430" t="s">
        <v>16</v>
      </c>
      <c r="B28430" t="s">
        <v>7666</v>
      </c>
      <c r="C28430" s="1" t="s">
        <v>23490</v>
      </c>
      <c r="D28430" s="1" t="str">
        <f>HYPERLINK("https://rhld.insurance.arkansas.gov/NPILookup?Npi=1922067115","1922067115")</f>
        <v>1922067115</v>
      </c>
      <c r="E28430" t="s">
        <v>14572</v>
      </c>
    </row>
    <row r="28431" spans="1:5" x14ac:dyDescent="0.25">
      <c r="A28431" t="s">
        <v>16</v>
      </c>
      <c r="B28431" t="s">
        <v>7666</v>
      </c>
      <c r="C28431" s="1" t="s">
        <v>23490</v>
      </c>
      <c r="D28431" s="1" t="str">
        <f>HYPERLINK("https://rhld.insurance.arkansas.gov/NPILookup?Npi=1922118892","1922118892")</f>
        <v>1922118892</v>
      </c>
      <c r="E28431" t="s">
        <v>8230</v>
      </c>
    </row>
    <row r="28432" spans="1:5" x14ac:dyDescent="0.25">
      <c r="A28432" t="s">
        <v>16</v>
      </c>
      <c r="B28432" t="s">
        <v>7666</v>
      </c>
      <c r="C28432" s="1" t="s">
        <v>23490</v>
      </c>
      <c r="D28432" s="1" t="str">
        <f>HYPERLINK("https://rhld.insurance.arkansas.gov/NPILookup?Npi=1922232347","1922232347")</f>
        <v>1922232347</v>
      </c>
      <c r="E28432" t="s">
        <v>8231</v>
      </c>
    </row>
    <row r="28433" spans="1:5" x14ac:dyDescent="0.25">
      <c r="A28433" t="s">
        <v>16</v>
      </c>
      <c r="B28433" t="s">
        <v>7666</v>
      </c>
      <c r="C28433" s="1" t="s">
        <v>23490</v>
      </c>
      <c r="D28433" s="1" t="str">
        <f>HYPERLINK("https://rhld.insurance.arkansas.gov/NPILookup?Npi=1922238765","1922238765")</f>
        <v>1922238765</v>
      </c>
      <c r="E28433" t="s">
        <v>16743</v>
      </c>
    </row>
    <row r="28434" spans="1:5" x14ac:dyDescent="0.25">
      <c r="A28434" t="s">
        <v>16</v>
      </c>
      <c r="B28434" t="s">
        <v>7666</v>
      </c>
      <c r="C28434" s="1" t="s">
        <v>23490</v>
      </c>
      <c r="D28434" s="1" t="str">
        <f>HYPERLINK("https://rhld.insurance.arkansas.gov/NPILookup?Npi=1922257864","1922257864")</f>
        <v>1922257864</v>
      </c>
      <c r="E28434" t="s">
        <v>14573</v>
      </c>
    </row>
    <row r="28435" spans="1:5" x14ac:dyDescent="0.25">
      <c r="A28435" t="s">
        <v>16</v>
      </c>
      <c r="B28435" t="s">
        <v>7666</v>
      </c>
      <c r="C28435" s="1" t="s">
        <v>23490</v>
      </c>
      <c r="D28435" s="1" t="str">
        <f>HYPERLINK("https://rhld.insurance.arkansas.gov/NPILookup?Npi=1922447853","1922447853")</f>
        <v>1922447853</v>
      </c>
      <c r="E28435" t="s">
        <v>16744</v>
      </c>
    </row>
    <row r="28436" spans="1:5" x14ac:dyDescent="0.25">
      <c r="A28436" t="s">
        <v>16</v>
      </c>
      <c r="B28436" t="s">
        <v>7666</v>
      </c>
      <c r="C28436" s="1" t="s">
        <v>23490</v>
      </c>
      <c r="D28436" s="1" t="str">
        <f>HYPERLINK("https://rhld.insurance.arkansas.gov/NPILookup?Npi=1932108859","1932108859")</f>
        <v>1932108859</v>
      </c>
      <c r="E28436" t="s">
        <v>8232</v>
      </c>
    </row>
    <row r="28437" spans="1:5" x14ac:dyDescent="0.25">
      <c r="A28437" t="s">
        <v>16</v>
      </c>
      <c r="B28437" t="s">
        <v>7666</v>
      </c>
      <c r="C28437" s="1" t="s">
        <v>23490</v>
      </c>
      <c r="D28437" s="1" t="str">
        <f>HYPERLINK("https://rhld.insurance.arkansas.gov/NPILookup?Npi=1932177318","1932177318")</f>
        <v>1932177318</v>
      </c>
      <c r="E28437" t="s">
        <v>8233</v>
      </c>
    </row>
    <row r="28438" spans="1:5" x14ac:dyDescent="0.25">
      <c r="A28438" t="s">
        <v>16</v>
      </c>
      <c r="B28438" t="s">
        <v>7666</v>
      </c>
      <c r="C28438" s="1" t="s">
        <v>23490</v>
      </c>
      <c r="D28438" s="1" t="str">
        <f>HYPERLINK("https://rhld.insurance.arkansas.gov/NPILookup?Npi=1932179942","1932179942")</f>
        <v>1932179942</v>
      </c>
      <c r="E28438" t="s">
        <v>8234</v>
      </c>
    </row>
    <row r="28439" spans="1:5" x14ac:dyDescent="0.25">
      <c r="A28439" t="s">
        <v>16</v>
      </c>
      <c r="B28439" t="s">
        <v>7666</v>
      </c>
      <c r="C28439" s="1" t="s">
        <v>23490</v>
      </c>
      <c r="D28439" s="1" t="str">
        <f>HYPERLINK("https://rhld.insurance.arkansas.gov/NPILookup?Npi=1932245248","1932245248")</f>
        <v>1932245248</v>
      </c>
      <c r="E28439" t="s">
        <v>8235</v>
      </c>
    </row>
    <row r="28440" spans="1:5" x14ac:dyDescent="0.25">
      <c r="A28440" t="s">
        <v>16</v>
      </c>
      <c r="B28440" t="s">
        <v>7666</v>
      </c>
      <c r="C28440" s="1" t="s">
        <v>23490</v>
      </c>
      <c r="D28440" s="1" t="str">
        <f>HYPERLINK("https://rhld.insurance.arkansas.gov/NPILookup?Npi=1932328994","1932328994")</f>
        <v>1932328994</v>
      </c>
      <c r="E28440" t="s">
        <v>8236</v>
      </c>
    </row>
    <row r="28441" spans="1:5" x14ac:dyDescent="0.25">
      <c r="A28441" t="s">
        <v>16</v>
      </c>
      <c r="B28441" t="s">
        <v>7666</v>
      </c>
      <c r="C28441" s="1" t="s">
        <v>23490</v>
      </c>
      <c r="D28441" s="1" t="str">
        <f>HYPERLINK("https://rhld.insurance.arkansas.gov/NPILookup?Npi=1932368099","1932368099")</f>
        <v>1932368099</v>
      </c>
      <c r="E28441" t="s">
        <v>8237</v>
      </c>
    </row>
    <row r="28442" spans="1:5" x14ac:dyDescent="0.25">
      <c r="A28442" t="s">
        <v>16</v>
      </c>
      <c r="B28442" t="s">
        <v>7666</v>
      </c>
      <c r="C28442" s="1" t="s">
        <v>23490</v>
      </c>
      <c r="D28442" s="1" t="str">
        <f>HYPERLINK("https://rhld.insurance.arkansas.gov/NPILookup?Npi=1932463916","1932463916")</f>
        <v>1932463916</v>
      </c>
      <c r="E28442" t="s">
        <v>16745</v>
      </c>
    </row>
    <row r="28443" spans="1:5" x14ac:dyDescent="0.25">
      <c r="A28443" t="s">
        <v>16</v>
      </c>
      <c r="B28443" t="s">
        <v>7666</v>
      </c>
      <c r="C28443" s="1" t="s">
        <v>23490</v>
      </c>
      <c r="D28443" s="1" t="str">
        <f>HYPERLINK("https://rhld.insurance.arkansas.gov/NPILookup?Npi=1932494143","1932494143")</f>
        <v>1932494143</v>
      </c>
      <c r="E28443" t="s">
        <v>12164</v>
      </c>
    </row>
    <row r="28444" spans="1:5" x14ac:dyDescent="0.25">
      <c r="A28444" t="s">
        <v>16</v>
      </c>
      <c r="B28444" t="s">
        <v>7666</v>
      </c>
      <c r="C28444" s="1" t="s">
        <v>23490</v>
      </c>
      <c r="D28444" s="1" t="str">
        <f>HYPERLINK("https://rhld.insurance.arkansas.gov/NPILookup?Npi=1932511482","1932511482")</f>
        <v>1932511482</v>
      </c>
      <c r="E28444" t="s">
        <v>9306</v>
      </c>
    </row>
    <row r="28445" spans="1:5" x14ac:dyDescent="0.25">
      <c r="A28445" t="s">
        <v>16</v>
      </c>
      <c r="B28445" t="s">
        <v>7666</v>
      </c>
      <c r="C28445" s="1" t="s">
        <v>23490</v>
      </c>
      <c r="D28445" s="1" t="str">
        <f>HYPERLINK("https://rhld.insurance.arkansas.gov/NPILookup?Npi=1932637774","1932637774")</f>
        <v>1932637774</v>
      </c>
      <c r="E28445" t="s">
        <v>20788</v>
      </c>
    </row>
    <row r="28446" spans="1:5" x14ac:dyDescent="0.25">
      <c r="A28446" t="s">
        <v>16</v>
      </c>
      <c r="B28446" t="s">
        <v>7666</v>
      </c>
      <c r="C28446" s="1" t="s">
        <v>23490</v>
      </c>
      <c r="D28446" s="1" t="str">
        <f>HYPERLINK("https://rhld.insurance.arkansas.gov/NPILookup?Npi=1932733185","1932733185")</f>
        <v>1932733185</v>
      </c>
      <c r="E28446" t="s">
        <v>22738</v>
      </c>
    </row>
    <row r="28447" spans="1:5" x14ac:dyDescent="0.25">
      <c r="A28447" t="s">
        <v>16</v>
      </c>
      <c r="B28447" t="s">
        <v>7666</v>
      </c>
      <c r="C28447" s="1" t="s">
        <v>23490</v>
      </c>
      <c r="D28447" s="1" t="str">
        <f>HYPERLINK("https://rhld.insurance.arkansas.gov/NPILookup?Npi=1942209572","1942209572")</f>
        <v>1942209572</v>
      </c>
      <c r="E28447" t="s">
        <v>8238</v>
      </c>
    </row>
    <row r="28448" spans="1:5" x14ac:dyDescent="0.25">
      <c r="A28448" t="s">
        <v>16</v>
      </c>
      <c r="B28448" t="s">
        <v>7666</v>
      </c>
      <c r="C28448" s="1" t="s">
        <v>23490</v>
      </c>
      <c r="D28448" s="1" t="str">
        <f>HYPERLINK("https://rhld.insurance.arkansas.gov/NPILookup?Npi=1942219498","1942219498")</f>
        <v>1942219498</v>
      </c>
      <c r="E28448" t="s">
        <v>16746</v>
      </c>
    </row>
    <row r="28449" spans="1:5" x14ac:dyDescent="0.25">
      <c r="A28449" t="s">
        <v>16</v>
      </c>
      <c r="B28449" t="s">
        <v>7666</v>
      </c>
      <c r="C28449" s="1" t="s">
        <v>23490</v>
      </c>
      <c r="D28449" s="1" t="str">
        <f>HYPERLINK("https://rhld.insurance.arkansas.gov/NPILookup?Npi=1942224324","1942224324")</f>
        <v>1942224324</v>
      </c>
      <c r="E28449" t="s">
        <v>8239</v>
      </c>
    </row>
    <row r="28450" spans="1:5" x14ac:dyDescent="0.25">
      <c r="A28450" t="s">
        <v>16</v>
      </c>
      <c r="B28450" t="s">
        <v>7666</v>
      </c>
      <c r="C28450" s="1" t="s">
        <v>23490</v>
      </c>
      <c r="D28450" s="1" t="str">
        <f>HYPERLINK("https://rhld.insurance.arkansas.gov/NPILookup?Npi=1942229190","1942229190")</f>
        <v>1942229190</v>
      </c>
      <c r="E28450" t="s">
        <v>8240</v>
      </c>
    </row>
    <row r="28451" spans="1:5" x14ac:dyDescent="0.25">
      <c r="A28451" t="s">
        <v>16</v>
      </c>
      <c r="B28451" t="s">
        <v>7666</v>
      </c>
      <c r="C28451" s="1" t="s">
        <v>23490</v>
      </c>
      <c r="D28451" s="1" t="str">
        <f>HYPERLINK("https://rhld.insurance.arkansas.gov/NPILookup?Npi=1942238340","1942238340")</f>
        <v>1942238340</v>
      </c>
      <c r="E28451" t="s">
        <v>8241</v>
      </c>
    </row>
    <row r="28452" spans="1:5" x14ac:dyDescent="0.25">
      <c r="A28452" t="s">
        <v>16</v>
      </c>
      <c r="B28452" t="s">
        <v>7666</v>
      </c>
      <c r="C28452" s="1" t="s">
        <v>23490</v>
      </c>
      <c r="D28452" s="1" t="str">
        <f>HYPERLINK("https://rhld.insurance.arkansas.gov/NPILookup?Npi=1942244389","1942244389")</f>
        <v>1942244389</v>
      </c>
      <c r="E28452" t="s">
        <v>8242</v>
      </c>
    </row>
    <row r="28453" spans="1:5" x14ac:dyDescent="0.25">
      <c r="A28453" t="s">
        <v>16</v>
      </c>
      <c r="B28453" t="s">
        <v>7666</v>
      </c>
      <c r="C28453" s="1" t="s">
        <v>23490</v>
      </c>
      <c r="D28453" s="1" t="str">
        <f>HYPERLINK("https://rhld.insurance.arkansas.gov/NPILookup?Npi=1942274816","1942274816")</f>
        <v>1942274816</v>
      </c>
      <c r="E28453" t="s">
        <v>8243</v>
      </c>
    </row>
    <row r="28454" spans="1:5" x14ac:dyDescent="0.25">
      <c r="A28454" t="s">
        <v>16</v>
      </c>
      <c r="B28454" t="s">
        <v>7666</v>
      </c>
      <c r="C28454" s="1" t="s">
        <v>23490</v>
      </c>
      <c r="D28454" s="1" t="str">
        <f>HYPERLINK("https://rhld.insurance.arkansas.gov/NPILookup?Npi=1942444211","1942444211")</f>
        <v>1942444211</v>
      </c>
      <c r="E28454" t="s">
        <v>12165</v>
      </c>
    </row>
    <row r="28455" spans="1:5" x14ac:dyDescent="0.25">
      <c r="A28455" t="s">
        <v>16</v>
      </c>
      <c r="B28455" t="s">
        <v>7666</v>
      </c>
      <c r="C28455" s="1" t="s">
        <v>23490</v>
      </c>
      <c r="D28455" s="1" t="str">
        <f>HYPERLINK("https://rhld.insurance.arkansas.gov/NPILookup?Npi=1942490263","1942490263")</f>
        <v>1942490263</v>
      </c>
      <c r="E28455" t="s">
        <v>8244</v>
      </c>
    </row>
    <row r="28456" spans="1:5" x14ac:dyDescent="0.25">
      <c r="A28456" t="s">
        <v>16</v>
      </c>
      <c r="B28456" t="s">
        <v>7666</v>
      </c>
      <c r="C28456" s="1" t="s">
        <v>23490</v>
      </c>
      <c r="D28456" s="1" t="str">
        <f>HYPERLINK("https://rhld.insurance.arkansas.gov/NPILookup?Npi=1942493234","1942493234")</f>
        <v>1942493234</v>
      </c>
      <c r="E28456" t="s">
        <v>8245</v>
      </c>
    </row>
    <row r="28457" spans="1:5" x14ac:dyDescent="0.25">
      <c r="A28457" t="s">
        <v>16</v>
      </c>
      <c r="B28457" t="s">
        <v>7666</v>
      </c>
      <c r="C28457" s="1" t="s">
        <v>23490</v>
      </c>
      <c r="D28457" s="1" t="str">
        <f>HYPERLINK("https://rhld.insurance.arkansas.gov/NPILookup?Npi=1942532486","1942532486")</f>
        <v>1942532486</v>
      </c>
      <c r="E28457" t="s">
        <v>8246</v>
      </c>
    </row>
    <row r="28458" spans="1:5" x14ac:dyDescent="0.25">
      <c r="A28458" t="s">
        <v>16</v>
      </c>
      <c r="B28458" t="s">
        <v>7666</v>
      </c>
      <c r="C28458" s="1" t="s">
        <v>23490</v>
      </c>
      <c r="D28458" s="1" t="str">
        <f>HYPERLINK("https://rhld.insurance.arkansas.gov/NPILookup?Npi=1942573639","1942573639")</f>
        <v>1942573639</v>
      </c>
      <c r="E28458" t="s">
        <v>12185</v>
      </c>
    </row>
    <row r="28459" spans="1:5" x14ac:dyDescent="0.25">
      <c r="A28459" t="s">
        <v>16</v>
      </c>
      <c r="B28459" t="s">
        <v>7666</v>
      </c>
      <c r="C28459" s="1" t="s">
        <v>23490</v>
      </c>
      <c r="D28459" s="1" t="str">
        <f>HYPERLINK("https://rhld.insurance.arkansas.gov/NPILookup?Npi=1942642285","1942642285")</f>
        <v>1942642285</v>
      </c>
      <c r="E28459" t="s">
        <v>8247</v>
      </c>
    </row>
    <row r="28460" spans="1:5" x14ac:dyDescent="0.25">
      <c r="A28460" t="s">
        <v>16</v>
      </c>
      <c r="B28460" t="s">
        <v>7666</v>
      </c>
      <c r="C28460" s="1" t="s">
        <v>23490</v>
      </c>
      <c r="D28460" s="1" t="str">
        <f>HYPERLINK("https://rhld.insurance.arkansas.gov/NPILookup?Npi=1942817275","1942817275")</f>
        <v>1942817275</v>
      </c>
      <c r="E28460" t="s">
        <v>19169</v>
      </c>
    </row>
    <row r="28461" spans="1:5" x14ac:dyDescent="0.25">
      <c r="A28461" t="s">
        <v>16</v>
      </c>
      <c r="B28461" t="s">
        <v>7666</v>
      </c>
      <c r="C28461" s="1" t="s">
        <v>23490</v>
      </c>
      <c r="D28461" s="1" t="str">
        <f>HYPERLINK("https://rhld.insurance.arkansas.gov/NPILookup?Npi=1952308769","1952308769")</f>
        <v>1952308769</v>
      </c>
      <c r="E28461" t="s">
        <v>14574</v>
      </c>
    </row>
    <row r="28462" spans="1:5" x14ac:dyDescent="0.25">
      <c r="A28462" t="s">
        <v>16</v>
      </c>
      <c r="B28462" t="s">
        <v>7666</v>
      </c>
      <c r="C28462" s="1" t="s">
        <v>23490</v>
      </c>
      <c r="D28462" s="1" t="str">
        <f>HYPERLINK("https://rhld.insurance.arkansas.gov/NPILookup?Npi=1952352106","1952352106")</f>
        <v>1952352106</v>
      </c>
      <c r="E28462" t="s">
        <v>8248</v>
      </c>
    </row>
    <row r="28463" spans="1:5" x14ac:dyDescent="0.25">
      <c r="A28463" t="s">
        <v>16</v>
      </c>
      <c r="B28463" t="s">
        <v>7666</v>
      </c>
      <c r="C28463" s="1" t="s">
        <v>23490</v>
      </c>
      <c r="D28463" s="1" t="str">
        <f>HYPERLINK("https://rhld.insurance.arkansas.gov/NPILookup?Npi=1952389520","1952389520")</f>
        <v>1952389520</v>
      </c>
      <c r="E28463" t="s">
        <v>8249</v>
      </c>
    </row>
    <row r="28464" spans="1:5" x14ac:dyDescent="0.25">
      <c r="A28464" t="s">
        <v>16</v>
      </c>
      <c r="B28464" t="s">
        <v>7666</v>
      </c>
      <c r="C28464" s="1" t="s">
        <v>23490</v>
      </c>
      <c r="D28464" s="1" t="str">
        <f>HYPERLINK("https://rhld.insurance.arkansas.gov/NPILookup?Npi=1952395543","1952395543")</f>
        <v>1952395543</v>
      </c>
      <c r="E28464" t="s">
        <v>8250</v>
      </c>
    </row>
    <row r="28465" spans="1:5" x14ac:dyDescent="0.25">
      <c r="A28465" t="s">
        <v>16</v>
      </c>
      <c r="B28465" t="s">
        <v>7666</v>
      </c>
      <c r="C28465" s="1" t="s">
        <v>23490</v>
      </c>
      <c r="D28465" s="1" t="str">
        <f>HYPERLINK("https://rhld.insurance.arkansas.gov/NPILookup?Npi=1952399156","1952399156")</f>
        <v>1952399156</v>
      </c>
      <c r="E28465" t="s">
        <v>8251</v>
      </c>
    </row>
    <row r="28466" spans="1:5" x14ac:dyDescent="0.25">
      <c r="A28466" t="s">
        <v>16</v>
      </c>
      <c r="B28466" t="s">
        <v>7666</v>
      </c>
      <c r="C28466" s="1" t="s">
        <v>23490</v>
      </c>
      <c r="D28466" s="1" t="str">
        <f>HYPERLINK("https://rhld.insurance.arkansas.gov/NPILookup?Npi=1952404352","1952404352")</f>
        <v>1952404352</v>
      </c>
      <c r="E28466" t="s">
        <v>8252</v>
      </c>
    </row>
    <row r="28467" spans="1:5" x14ac:dyDescent="0.25">
      <c r="A28467" t="s">
        <v>16</v>
      </c>
      <c r="B28467" t="s">
        <v>7666</v>
      </c>
      <c r="C28467" s="1" t="s">
        <v>23490</v>
      </c>
      <c r="D28467" s="1" t="str">
        <f>HYPERLINK("https://rhld.insurance.arkansas.gov/NPILookup?Npi=1952500373","1952500373")</f>
        <v>1952500373</v>
      </c>
      <c r="E28467" t="s">
        <v>8253</v>
      </c>
    </row>
    <row r="28468" spans="1:5" x14ac:dyDescent="0.25">
      <c r="A28468" t="s">
        <v>16</v>
      </c>
      <c r="B28468" t="s">
        <v>7666</v>
      </c>
      <c r="C28468" s="1" t="s">
        <v>23490</v>
      </c>
      <c r="D28468" s="1" t="str">
        <f>HYPERLINK("https://rhld.insurance.arkansas.gov/NPILookup?Npi=1952614869","1952614869")</f>
        <v>1952614869</v>
      </c>
      <c r="E28468" t="s">
        <v>14575</v>
      </c>
    </row>
    <row r="28469" spans="1:5" x14ac:dyDescent="0.25">
      <c r="A28469" t="s">
        <v>16</v>
      </c>
      <c r="B28469" t="s">
        <v>7666</v>
      </c>
      <c r="C28469" s="1" t="s">
        <v>23490</v>
      </c>
      <c r="D28469" s="1" t="str">
        <f>HYPERLINK("https://rhld.insurance.arkansas.gov/NPILookup?Npi=1952684821","1952684821")</f>
        <v>1952684821</v>
      </c>
      <c r="E28469" t="s">
        <v>1728</v>
      </c>
    </row>
    <row r="28470" spans="1:5" x14ac:dyDescent="0.25">
      <c r="A28470" t="s">
        <v>16</v>
      </c>
      <c r="B28470" t="s">
        <v>7666</v>
      </c>
      <c r="C28470" s="1" t="s">
        <v>23490</v>
      </c>
      <c r="D28470" s="1" t="str">
        <f>HYPERLINK("https://rhld.insurance.arkansas.gov/NPILookup?Npi=1962029587","1962029587")</f>
        <v>1962029587</v>
      </c>
      <c r="E28470" t="s">
        <v>17761</v>
      </c>
    </row>
    <row r="28471" spans="1:5" x14ac:dyDescent="0.25">
      <c r="A28471" t="s">
        <v>16</v>
      </c>
      <c r="B28471" t="s">
        <v>7666</v>
      </c>
      <c r="C28471" s="1" t="s">
        <v>23490</v>
      </c>
      <c r="D28471" s="1" t="str">
        <f>HYPERLINK("https://rhld.insurance.arkansas.gov/NPILookup?Npi=1962407791","1962407791")</f>
        <v>1962407791</v>
      </c>
      <c r="E28471" t="s">
        <v>8254</v>
      </c>
    </row>
    <row r="28472" spans="1:5" x14ac:dyDescent="0.25">
      <c r="A28472" t="s">
        <v>16</v>
      </c>
      <c r="B28472" t="s">
        <v>7666</v>
      </c>
      <c r="C28472" s="1" t="s">
        <v>23490</v>
      </c>
      <c r="D28472" s="1" t="str">
        <f>HYPERLINK("https://rhld.insurance.arkansas.gov/NPILookup?Npi=1962449892","1962449892")</f>
        <v>1962449892</v>
      </c>
      <c r="E28472" t="s">
        <v>8255</v>
      </c>
    </row>
    <row r="28473" spans="1:5" x14ac:dyDescent="0.25">
      <c r="A28473" t="s">
        <v>16</v>
      </c>
      <c r="B28473" t="s">
        <v>7666</v>
      </c>
      <c r="C28473" s="1" t="s">
        <v>23490</v>
      </c>
      <c r="D28473" s="1" t="str">
        <f>HYPERLINK("https://rhld.insurance.arkansas.gov/NPILookup?Npi=1962497826","1962497826")</f>
        <v>1962497826</v>
      </c>
      <c r="E28473" t="s">
        <v>8256</v>
      </c>
    </row>
    <row r="28474" spans="1:5" x14ac:dyDescent="0.25">
      <c r="A28474" t="s">
        <v>16</v>
      </c>
      <c r="B28474" t="s">
        <v>7666</v>
      </c>
      <c r="C28474" s="1" t="s">
        <v>23490</v>
      </c>
      <c r="D28474" s="1" t="str">
        <f>HYPERLINK("https://rhld.insurance.arkansas.gov/NPILookup?Npi=1962517896","1962517896")</f>
        <v>1962517896</v>
      </c>
      <c r="E28474" t="s">
        <v>8257</v>
      </c>
    </row>
    <row r="28475" spans="1:5" x14ac:dyDescent="0.25">
      <c r="A28475" t="s">
        <v>16</v>
      </c>
      <c r="B28475" t="s">
        <v>7666</v>
      </c>
      <c r="C28475" s="1" t="s">
        <v>23490</v>
      </c>
      <c r="D28475" s="1" t="str">
        <f>HYPERLINK("https://rhld.insurance.arkansas.gov/NPILookup?Npi=1962631150","1962631150")</f>
        <v>1962631150</v>
      </c>
      <c r="E28475" t="s">
        <v>16747</v>
      </c>
    </row>
    <row r="28476" spans="1:5" x14ac:dyDescent="0.25">
      <c r="A28476" t="s">
        <v>16</v>
      </c>
      <c r="B28476" t="s">
        <v>7666</v>
      </c>
      <c r="C28476" s="1" t="s">
        <v>23490</v>
      </c>
      <c r="D28476" s="1" t="str">
        <f>HYPERLINK("https://rhld.insurance.arkansas.gov/NPILookup?Npi=1962813303","1962813303")</f>
        <v>1962813303</v>
      </c>
      <c r="E28476" t="s">
        <v>22739</v>
      </c>
    </row>
    <row r="28477" spans="1:5" x14ac:dyDescent="0.25">
      <c r="A28477" t="s">
        <v>16</v>
      </c>
      <c r="B28477" t="s">
        <v>7666</v>
      </c>
      <c r="C28477" s="1" t="s">
        <v>23490</v>
      </c>
      <c r="D28477" s="1" t="str">
        <f>HYPERLINK("https://rhld.insurance.arkansas.gov/NPILookup?Npi=1962854315","1962854315")</f>
        <v>1962854315</v>
      </c>
      <c r="E28477" t="s">
        <v>12166</v>
      </c>
    </row>
    <row r="28478" spans="1:5" x14ac:dyDescent="0.25">
      <c r="A28478" t="s">
        <v>16</v>
      </c>
      <c r="B28478" t="s">
        <v>7666</v>
      </c>
      <c r="C28478" s="1" t="s">
        <v>23490</v>
      </c>
      <c r="D28478" s="1" t="str">
        <f>HYPERLINK("https://rhld.insurance.arkansas.gov/NPILookup?Npi=1962998773","1962998773")</f>
        <v>1962998773</v>
      </c>
      <c r="E28478" t="s">
        <v>14576</v>
      </c>
    </row>
    <row r="28479" spans="1:5" x14ac:dyDescent="0.25">
      <c r="A28479" t="s">
        <v>16</v>
      </c>
      <c r="B28479" t="s">
        <v>7666</v>
      </c>
      <c r="C28479" s="1" t="s">
        <v>23490</v>
      </c>
      <c r="D28479" s="1" t="str">
        <f>HYPERLINK("https://rhld.insurance.arkansas.gov/NPILookup?Npi=1972502763","1972502763")</f>
        <v>1972502763</v>
      </c>
      <c r="E28479" t="s">
        <v>8258</v>
      </c>
    </row>
    <row r="28480" spans="1:5" x14ac:dyDescent="0.25">
      <c r="A28480" t="s">
        <v>16</v>
      </c>
      <c r="B28480" t="s">
        <v>7666</v>
      </c>
      <c r="C28480" s="1" t="s">
        <v>23490</v>
      </c>
      <c r="D28480" s="1" t="str">
        <f>HYPERLINK("https://rhld.insurance.arkansas.gov/NPILookup?Npi=1972517662","1972517662")</f>
        <v>1972517662</v>
      </c>
      <c r="E28480" t="s">
        <v>8259</v>
      </c>
    </row>
    <row r="28481" spans="1:5" x14ac:dyDescent="0.25">
      <c r="A28481" t="s">
        <v>16</v>
      </c>
      <c r="B28481" t="s">
        <v>7666</v>
      </c>
      <c r="C28481" s="1" t="s">
        <v>23490</v>
      </c>
      <c r="D28481" s="1" t="str">
        <f>HYPERLINK("https://rhld.insurance.arkansas.gov/NPILookup?Npi=1972519783","1972519783")</f>
        <v>1972519783</v>
      </c>
      <c r="E28481" t="s">
        <v>8260</v>
      </c>
    </row>
    <row r="28482" spans="1:5" x14ac:dyDescent="0.25">
      <c r="A28482" t="s">
        <v>16</v>
      </c>
      <c r="B28482" t="s">
        <v>7666</v>
      </c>
      <c r="C28482" s="1" t="s">
        <v>23490</v>
      </c>
      <c r="D28482" s="1" t="str">
        <f>HYPERLINK("https://rhld.insurance.arkansas.gov/NPILookup?Npi=1972542579","1972542579")</f>
        <v>1972542579</v>
      </c>
      <c r="E28482" t="s">
        <v>8261</v>
      </c>
    </row>
    <row r="28483" spans="1:5" x14ac:dyDescent="0.25">
      <c r="A28483" t="s">
        <v>16</v>
      </c>
      <c r="B28483" t="s">
        <v>7666</v>
      </c>
      <c r="C28483" s="1" t="s">
        <v>23490</v>
      </c>
      <c r="D28483" s="1" t="str">
        <f>HYPERLINK("https://rhld.insurance.arkansas.gov/NPILookup?Npi=1972569036","1972569036")</f>
        <v>1972569036</v>
      </c>
      <c r="E28483" t="s">
        <v>8262</v>
      </c>
    </row>
    <row r="28484" spans="1:5" x14ac:dyDescent="0.25">
      <c r="A28484" t="s">
        <v>16</v>
      </c>
      <c r="B28484" t="s">
        <v>7666</v>
      </c>
      <c r="C28484" s="1" t="s">
        <v>23490</v>
      </c>
      <c r="D28484" s="1" t="str">
        <f>HYPERLINK("https://rhld.insurance.arkansas.gov/NPILookup?Npi=1972569382","1972569382")</f>
        <v>1972569382</v>
      </c>
      <c r="E28484" t="s">
        <v>8263</v>
      </c>
    </row>
    <row r="28485" spans="1:5" x14ac:dyDescent="0.25">
      <c r="A28485" t="s">
        <v>16</v>
      </c>
      <c r="B28485" t="s">
        <v>7666</v>
      </c>
      <c r="C28485" s="1" t="s">
        <v>23490</v>
      </c>
      <c r="D28485" s="1" t="str">
        <f>HYPERLINK("https://rhld.insurance.arkansas.gov/NPILookup?Npi=1972571289","1972571289")</f>
        <v>1972571289</v>
      </c>
      <c r="E28485" t="s">
        <v>8264</v>
      </c>
    </row>
    <row r="28486" spans="1:5" x14ac:dyDescent="0.25">
      <c r="A28486" t="s">
        <v>16</v>
      </c>
      <c r="B28486" t="s">
        <v>7666</v>
      </c>
      <c r="C28486" s="1" t="s">
        <v>23490</v>
      </c>
      <c r="D28486" s="1" t="str">
        <f>HYPERLINK("https://rhld.insurance.arkansas.gov/NPILookup?Npi=1972575702","1972575702")</f>
        <v>1972575702</v>
      </c>
      <c r="E28486" t="s">
        <v>8265</v>
      </c>
    </row>
    <row r="28487" spans="1:5" x14ac:dyDescent="0.25">
      <c r="A28487" t="s">
        <v>16</v>
      </c>
      <c r="B28487" t="s">
        <v>7666</v>
      </c>
      <c r="C28487" s="1" t="s">
        <v>23490</v>
      </c>
      <c r="D28487" s="1" t="str">
        <f>HYPERLINK("https://rhld.insurance.arkansas.gov/NPILookup?Npi=1972583524","1972583524")</f>
        <v>1972583524</v>
      </c>
      <c r="E28487" t="s">
        <v>16748</v>
      </c>
    </row>
    <row r="28488" spans="1:5" x14ac:dyDescent="0.25">
      <c r="A28488" t="s">
        <v>16</v>
      </c>
      <c r="B28488" t="s">
        <v>7666</v>
      </c>
      <c r="C28488" s="1" t="s">
        <v>23490</v>
      </c>
      <c r="D28488" s="1" t="str">
        <f>HYPERLINK("https://rhld.insurance.arkansas.gov/NPILookup?Npi=1972588184","1972588184")</f>
        <v>1972588184</v>
      </c>
      <c r="E28488" t="s">
        <v>20789</v>
      </c>
    </row>
    <row r="28489" spans="1:5" x14ac:dyDescent="0.25">
      <c r="A28489" t="s">
        <v>16</v>
      </c>
      <c r="B28489" t="s">
        <v>7666</v>
      </c>
      <c r="C28489" s="1" t="s">
        <v>23490</v>
      </c>
      <c r="D28489" s="1" t="str">
        <f>HYPERLINK("https://rhld.insurance.arkansas.gov/NPILookup?Npi=1972590859","1972590859")</f>
        <v>1972590859</v>
      </c>
      <c r="E28489" t="s">
        <v>16749</v>
      </c>
    </row>
    <row r="28490" spans="1:5" x14ac:dyDescent="0.25">
      <c r="A28490" t="s">
        <v>16</v>
      </c>
      <c r="B28490" t="s">
        <v>7666</v>
      </c>
      <c r="C28490" s="1" t="s">
        <v>23490</v>
      </c>
      <c r="D28490" s="1" t="str">
        <f>HYPERLINK("https://rhld.insurance.arkansas.gov/NPILookup?Npi=1972594323","1972594323")</f>
        <v>1972594323</v>
      </c>
      <c r="E28490" t="s">
        <v>17762</v>
      </c>
    </row>
    <row r="28491" spans="1:5" x14ac:dyDescent="0.25">
      <c r="A28491" t="s">
        <v>16</v>
      </c>
      <c r="B28491" t="s">
        <v>7666</v>
      </c>
      <c r="C28491" s="1" t="s">
        <v>23490</v>
      </c>
      <c r="D28491" s="1" t="str">
        <f>HYPERLINK("https://rhld.insurance.arkansas.gov/NPILookup?Npi=1972596161","1972596161")</f>
        <v>1972596161</v>
      </c>
      <c r="E28491" t="s">
        <v>8266</v>
      </c>
    </row>
    <row r="28492" spans="1:5" x14ac:dyDescent="0.25">
      <c r="A28492" t="s">
        <v>16</v>
      </c>
      <c r="B28492" t="s">
        <v>7666</v>
      </c>
      <c r="C28492" s="1" t="s">
        <v>23490</v>
      </c>
      <c r="D28492" s="1" t="str">
        <f>HYPERLINK("https://rhld.insurance.arkansas.gov/NPILookup?Npi=1972642635","1972642635")</f>
        <v>1972642635</v>
      </c>
      <c r="E28492" t="s">
        <v>16750</v>
      </c>
    </row>
    <row r="28493" spans="1:5" x14ac:dyDescent="0.25">
      <c r="A28493" t="s">
        <v>16</v>
      </c>
      <c r="B28493" t="s">
        <v>7666</v>
      </c>
      <c r="C28493" s="1" t="s">
        <v>23490</v>
      </c>
      <c r="D28493" s="1" t="str">
        <f>HYPERLINK("https://rhld.insurance.arkansas.gov/NPILookup?Npi=1972647519","1972647519")</f>
        <v>1972647519</v>
      </c>
      <c r="E28493" t="s">
        <v>8267</v>
      </c>
    </row>
    <row r="28494" spans="1:5" x14ac:dyDescent="0.25">
      <c r="A28494" t="s">
        <v>16</v>
      </c>
      <c r="B28494" t="s">
        <v>7666</v>
      </c>
      <c r="C28494" s="1" t="s">
        <v>23490</v>
      </c>
      <c r="D28494" s="1" t="str">
        <f>HYPERLINK("https://rhld.insurance.arkansas.gov/NPILookup?Npi=1972673432","1972673432")</f>
        <v>1972673432</v>
      </c>
      <c r="E28494" t="s">
        <v>8268</v>
      </c>
    </row>
    <row r="28495" spans="1:5" x14ac:dyDescent="0.25">
      <c r="A28495" t="s">
        <v>16</v>
      </c>
      <c r="B28495" t="s">
        <v>7666</v>
      </c>
      <c r="C28495" s="1" t="s">
        <v>23490</v>
      </c>
      <c r="D28495" s="1" t="str">
        <f>HYPERLINK("https://rhld.insurance.arkansas.gov/NPILookup?Npi=1982047643","1982047643")</f>
        <v>1982047643</v>
      </c>
      <c r="E28495" t="s">
        <v>12167</v>
      </c>
    </row>
    <row r="28496" spans="1:5" x14ac:dyDescent="0.25">
      <c r="A28496" t="s">
        <v>16</v>
      </c>
      <c r="B28496" t="s">
        <v>7666</v>
      </c>
      <c r="C28496" s="1" t="s">
        <v>23490</v>
      </c>
      <c r="D28496" s="1" t="str">
        <f>HYPERLINK("https://rhld.insurance.arkansas.gov/NPILookup?Npi=1982266342","1982266342")</f>
        <v>1982266342</v>
      </c>
      <c r="E28496" t="s">
        <v>22740</v>
      </c>
    </row>
    <row r="28497" spans="1:5" x14ac:dyDescent="0.25">
      <c r="A28497" t="s">
        <v>16</v>
      </c>
      <c r="B28497" t="s">
        <v>7666</v>
      </c>
      <c r="C28497" s="1" t="s">
        <v>23490</v>
      </c>
      <c r="D28497" s="1" t="str">
        <f>HYPERLINK("https://rhld.insurance.arkansas.gov/NPILookup?Npi=1982609665","1982609665")</f>
        <v>1982609665</v>
      </c>
      <c r="E28497" t="s">
        <v>8269</v>
      </c>
    </row>
    <row r="28498" spans="1:5" x14ac:dyDescent="0.25">
      <c r="A28498" t="s">
        <v>16</v>
      </c>
      <c r="B28498" t="s">
        <v>7666</v>
      </c>
      <c r="C28498" s="1" t="s">
        <v>23490</v>
      </c>
      <c r="D28498" s="1" t="str">
        <f>HYPERLINK("https://rhld.insurance.arkansas.gov/NPILookup?Npi=1982615977","1982615977")</f>
        <v>1982615977</v>
      </c>
      <c r="E28498" t="s">
        <v>8270</v>
      </c>
    </row>
    <row r="28499" spans="1:5" x14ac:dyDescent="0.25">
      <c r="A28499" t="s">
        <v>16</v>
      </c>
      <c r="B28499" t="s">
        <v>7666</v>
      </c>
      <c r="C28499" s="1" t="s">
        <v>23490</v>
      </c>
      <c r="D28499" s="1" t="str">
        <f>HYPERLINK("https://rhld.insurance.arkansas.gov/NPILookup?Npi=1982662375","1982662375")</f>
        <v>1982662375</v>
      </c>
      <c r="E28499" t="s">
        <v>8271</v>
      </c>
    </row>
    <row r="28500" spans="1:5" x14ac:dyDescent="0.25">
      <c r="A28500" t="s">
        <v>16</v>
      </c>
      <c r="B28500" t="s">
        <v>7666</v>
      </c>
      <c r="C28500" s="1" t="s">
        <v>23490</v>
      </c>
      <c r="D28500" s="1" t="str">
        <f>HYPERLINK("https://rhld.insurance.arkansas.gov/NPILookup?Npi=1982689139","1982689139")</f>
        <v>1982689139</v>
      </c>
      <c r="E28500" t="s">
        <v>8272</v>
      </c>
    </row>
    <row r="28501" spans="1:5" x14ac:dyDescent="0.25">
      <c r="A28501" t="s">
        <v>16</v>
      </c>
      <c r="B28501" t="s">
        <v>7666</v>
      </c>
      <c r="C28501" s="1" t="s">
        <v>23490</v>
      </c>
      <c r="D28501" s="1" t="str">
        <f>HYPERLINK("https://rhld.insurance.arkansas.gov/NPILookup?Npi=1982691812","1982691812")</f>
        <v>1982691812</v>
      </c>
      <c r="E28501" t="s">
        <v>16751</v>
      </c>
    </row>
    <row r="28502" spans="1:5" x14ac:dyDescent="0.25">
      <c r="A28502" t="s">
        <v>16</v>
      </c>
      <c r="B28502" t="s">
        <v>7666</v>
      </c>
      <c r="C28502" s="1" t="s">
        <v>23490</v>
      </c>
      <c r="D28502" s="1" t="str">
        <f>HYPERLINK("https://rhld.insurance.arkansas.gov/NPILookup?Npi=1982697058","1982697058")</f>
        <v>1982697058</v>
      </c>
      <c r="E28502" t="s">
        <v>8273</v>
      </c>
    </row>
    <row r="28503" spans="1:5" x14ac:dyDescent="0.25">
      <c r="A28503" t="s">
        <v>16</v>
      </c>
      <c r="B28503" t="s">
        <v>7666</v>
      </c>
      <c r="C28503" s="1" t="s">
        <v>23490</v>
      </c>
      <c r="D28503" s="1" t="str">
        <f>HYPERLINK("https://rhld.insurance.arkansas.gov/NPILookup?Npi=1982705919","1982705919")</f>
        <v>1982705919</v>
      </c>
      <c r="E28503" t="s">
        <v>8274</v>
      </c>
    </row>
    <row r="28504" spans="1:5" x14ac:dyDescent="0.25">
      <c r="A28504" t="s">
        <v>16</v>
      </c>
      <c r="B28504" t="s">
        <v>7666</v>
      </c>
      <c r="C28504" s="1" t="s">
        <v>23490</v>
      </c>
      <c r="D28504" s="1" t="str">
        <f>HYPERLINK("https://rhld.insurance.arkansas.gov/NPILookup?Npi=1982719688","1982719688")</f>
        <v>1982719688</v>
      </c>
      <c r="E28504" t="s">
        <v>8275</v>
      </c>
    </row>
    <row r="28505" spans="1:5" x14ac:dyDescent="0.25">
      <c r="A28505" t="s">
        <v>16</v>
      </c>
      <c r="B28505" t="s">
        <v>7666</v>
      </c>
      <c r="C28505" s="1" t="s">
        <v>23490</v>
      </c>
      <c r="D28505" s="1" t="str">
        <f>HYPERLINK("https://rhld.insurance.arkansas.gov/NPILookup?Npi=1982748851","1982748851")</f>
        <v>1982748851</v>
      </c>
      <c r="E28505" t="s">
        <v>20790</v>
      </c>
    </row>
    <row r="28506" spans="1:5" x14ac:dyDescent="0.25">
      <c r="A28506" t="s">
        <v>16</v>
      </c>
      <c r="B28506" t="s">
        <v>7666</v>
      </c>
      <c r="C28506" s="1" t="s">
        <v>23490</v>
      </c>
      <c r="D28506" s="1" t="str">
        <f>HYPERLINK("https://rhld.insurance.arkansas.gov/NPILookup?Npi=1982757985","1982757985")</f>
        <v>1982757985</v>
      </c>
      <c r="E28506" t="s">
        <v>8276</v>
      </c>
    </row>
    <row r="28507" spans="1:5" x14ac:dyDescent="0.25">
      <c r="A28507" t="s">
        <v>16</v>
      </c>
      <c r="B28507" t="s">
        <v>7666</v>
      </c>
      <c r="C28507" s="1" t="s">
        <v>23490</v>
      </c>
      <c r="D28507" s="1" t="str">
        <f>HYPERLINK("https://rhld.insurance.arkansas.gov/NPILookup?Npi=1982782306","1982782306")</f>
        <v>1982782306</v>
      </c>
      <c r="E28507" t="s">
        <v>16752</v>
      </c>
    </row>
    <row r="28508" spans="1:5" x14ac:dyDescent="0.25">
      <c r="A28508" t="s">
        <v>16</v>
      </c>
      <c r="B28508" t="s">
        <v>7666</v>
      </c>
      <c r="C28508" s="1" t="s">
        <v>23490</v>
      </c>
      <c r="D28508" s="1" t="str">
        <f>HYPERLINK("https://rhld.insurance.arkansas.gov/NPILookup?Npi=1982787552","1982787552")</f>
        <v>1982787552</v>
      </c>
      <c r="E28508" t="s">
        <v>8277</v>
      </c>
    </row>
    <row r="28509" spans="1:5" x14ac:dyDescent="0.25">
      <c r="A28509" t="s">
        <v>16</v>
      </c>
      <c r="B28509" t="s">
        <v>7666</v>
      </c>
      <c r="C28509" s="1" t="s">
        <v>23490</v>
      </c>
      <c r="D28509" s="1" t="str">
        <f>HYPERLINK("https://rhld.insurance.arkansas.gov/NPILookup?Npi=1982798997","1982798997")</f>
        <v>1982798997</v>
      </c>
      <c r="E28509" t="s">
        <v>8278</v>
      </c>
    </row>
    <row r="28510" spans="1:5" x14ac:dyDescent="0.25">
      <c r="A28510" t="s">
        <v>16</v>
      </c>
      <c r="B28510" t="s">
        <v>7666</v>
      </c>
      <c r="C28510" s="1" t="s">
        <v>23490</v>
      </c>
      <c r="D28510" s="1" t="str">
        <f>HYPERLINK("https://rhld.insurance.arkansas.gov/NPILookup?Npi=1982853149","1982853149")</f>
        <v>1982853149</v>
      </c>
      <c r="E28510" t="s">
        <v>16753</v>
      </c>
    </row>
    <row r="28511" spans="1:5" x14ac:dyDescent="0.25">
      <c r="A28511" t="s">
        <v>16</v>
      </c>
      <c r="B28511" t="s">
        <v>7666</v>
      </c>
      <c r="C28511" s="1" t="s">
        <v>23490</v>
      </c>
      <c r="D28511" s="1" t="str">
        <f>HYPERLINK("https://rhld.insurance.arkansas.gov/NPILookup?Npi=1982860144","1982860144")</f>
        <v>1982860144</v>
      </c>
      <c r="E28511" t="s">
        <v>3580</v>
      </c>
    </row>
    <row r="28512" spans="1:5" x14ac:dyDescent="0.25">
      <c r="A28512" t="s">
        <v>16</v>
      </c>
      <c r="B28512" t="s">
        <v>7666</v>
      </c>
      <c r="C28512" s="1" t="s">
        <v>23490</v>
      </c>
      <c r="D28512" s="1" t="str">
        <f>HYPERLINK("https://rhld.insurance.arkansas.gov/NPILookup?Npi=1992022800","1992022800")</f>
        <v>1992022800</v>
      </c>
      <c r="E28512" t="s">
        <v>8279</v>
      </c>
    </row>
    <row r="28513" spans="1:5" x14ac:dyDescent="0.25">
      <c r="A28513" t="s">
        <v>16</v>
      </c>
      <c r="B28513" t="s">
        <v>7666</v>
      </c>
      <c r="C28513" s="1" t="s">
        <v>23490</v>
      </c>
      <c r="D28513" s="1" t="str">
        <f>HYPERLINK("https://rhld.insurance.arkansas.gov/NPILookup?Npi=1992068050","1992068050")</f>
        <v>1992068050</v>
      </c>
      <c r="E28513" t="s">
        <v>8280</v>
      </c>
    </row>
    <row r="28514" spans="1:5" x14ac:dyDescent="0.25">
      <c r="A28514" t="s">
        <v>16</v>
      </c>
      <c r="B28514" t="s">
        <v>7666</v>
      </c>
      <c r="C28514" s="1" t="s">
        <v>23490</v>
      </c>
      <c r="D28514" s="1" t="str">
        <f>HYPERLINK("https://rhld.insurance.arkansas.gov/NPILookup?Npi=1992106942","1992106942")</f>
        <v>1992106942</v>
      </c>
      <c r="E28514" t="s">
        <v>9307</v>
      </c>
    </row>
    <row r="28515" spans="1:5" x14ac:dyDescent="0.25">
      <c r="A28515" t="s">
        <v>16</v>
      </c>
      <c r="B28515" t="s">
        <v>7666</v>
      </c>
      <c r="C28515" s="1" t="s">
        <v>23490</v>
      </c>
      <c r="D28515" s="1" t="str">
        <f>HYPERLINK("https://rhld.insurance.arkansas.gov/NPILookup?Npi=1992232235","1992232235")</f>
        <v>1992232235</v>
      </c>
      <c r="E28515" t="s">
        <v>14577</v>
      </c>
    </row>
    <row r="28516" spans="1:5" x14ac:dyDescent="0.25">
      <c r="A28516" t="s">
        <v>16</v>
      </c>
      <c r="B28516" t="s">
        <v>7666</v>
      </c>
      <c r="C28516" s="1" t="s">
        <v>23490</v>
      </c>
      <c r="D28516" s="1" t="str">
        <f>HYPERLINK("https://rhld.insurance.arkansas.gov/NPILookup?Npi=1992385009","1992385009")</f>
        <v>1992385009</v>
      </c>
      <c r="E28516" t="s">
        <v>22741</v>
      </c>
    </row>
    <row r="28517" spans="1:5" x14ac:dyDescent="0.25">
      <c r="A28517" t="s">
        <v>16</v>
      </c>
      <c r="B28517" t="s">
        <v>7666</v>
      </c>
      <c r="C28517" s="1" t="s">
        <v>23490</v>
      </c>
      <c r="D28517" s="1" t="str">
        <f>HYPERLINK("https://rhld.insurance.arkansas.gov/NPILookup?Npi=1992709745","1992709745")</f>
        <v>1992709745</v>
      </c>
      <c r="E28517" t="s">
        <v>8281</v>
      </c>
    </row>
    <row r="28518" spans="1:5" x14ac:dyDescent="0.25">
      <c r="A28518" t="s">
        <v>16</v>
      </c>
      <c r="B28518" t="s">
        <v>7666</v>
      </c>
      <c r="C28518" s="1" t="s">
        <v>23490</v>
      </c>
      <c r="D28518" s="1" t="str">
        <f>HYPERLINK("https://rhld.insurance.arkansas.gov/NPILookup?Npi=1992716286","1992716286")</f>
        <v>1992716286</v>
      </c>
      <c r="E28518" t="s">
        <v>8282</v>
      </c>
    </row>
    <row r="28519" spans="1:5" x14ac:dyDescent="0.25">
      <c r="A28519" t="s">
        <v>16</v>
      </c>
      <c r="B28519" t="s">
        <v>7666</v>
      </c>
      <c r="C28519" s="1" t="s">
        <v>23490</v>
      </c>
      <c r="D28519" s="1" t="str">
        <f>HYPERLINK("https://rhld.insurance.arkansas.gov/NPILookup?Npi=1992729859","1992729859")</f>
        <v>1992729859</v>
      </c>
      <c r="E28519" t="s">
        <v>8283</v>
      </c>
    </row>
    <row r="28520" spans="1:5" x14ac:dyDescent="0.25">
      <c r="A28520" t="s">
        <v>16</v>
      </c>
      <c r="B28520" t="s">
        <v>7666</v>
      </c>
      <c r="C28520" s="1" t="s">
        <v>23490</v>
      </c>
      <c r="D28520" s="1" t="str">
        <f>HYPERLINK("https://rhld.insurance.arkansas.gov/NPILookup?Npi=1992733562","1992733562")</f>
        <v>1992733562</v>
      </c>
      <c r="E28520" t="s">
        <v>8284</v>
      </c>
    </row>
    <row r="28521" spans="1:5" x14ac:dyDescent="0.25">
      <c r="A28521" t="s">
        <v>16</v>
      </c>
      <c r="B28521" t="s">
        <v>7666</v>
      </c>
      <c r="C28521" s="1" t="s">
        <v>23490</v>
      </c>
      <c r="D28521" s="1" t="str">
        <f>HYPERLINK("https://rhld.insurance.arkansas.gov/NPILookup?Npi=1992779722","1992779722")</f>
        <v>1992779722</v>
      </c>
      <c r="E28521" t="s">
        <v>8285</v>
      </c>
    </row>
    <row r="28522" spans="1:5" x14ac:dyDescent="0.25">
      <c r="A28522" t="s">
        <v>16</v>
      </c>
      <c r="B28522" t="s">
        <v>7666</v>
      </c>
      <c r="C28522" s="1" t="s">
        <v>23490</v>
      </c>
      <c r="D28522" s="1" t="str">
        <f>HYPERLINK("https://rhld.insurance.arkansas.gov/NPILookup?Npi=1992779938","1992779938")</f>
        <v>1992779938</v>
      </c>
      <c r="E28522" t="s">
        <v>8286</v>
      </c>
    </row>
    <row r="28523" spans="1:5" x14ac:dyDescent="0.25">
      <c r="A28523" t="s">
        <v>16</v>
      </c>
      <c r="B28523" t="s">
        <v>7666</v>
      </c>
      <c r="C28523" s="1" t="s">
        <v>23490</v>
      </c>
      <c r="D28523" s="1" t="str">
        <f>HYPERLINK("https://rhld.insurance.arkansas.gov/NPILookup?Npi=1992798185","1992798185")</f>
        <v>1992798185</v>
      </c>
      <c r="E28523" t="s">
        <v>8287</v>
      </c>
    </row>
    <row r="28524" spans="1:5" x14ac:dyDescent="0.25">
      <c r="A28524" t="s">
        <v>16</v>
      </c>
      <c r="B28524" t="s">
        <v>7666</v>
      </c>
      <c r="C28524" s="1" t="s">
        <v>23490</v>
      </c>
      <c r="D28524" s="1" t="str">
        <f>HYPERLINK("https://rhld.insurance.arkansas.gov/NPILookup?Npi=1992798193","1992798193")</f>
        <v>1992798193</v>
      </c>
      <c r="E28524" t="s">
        <v>3455</v>
      </c>
    </row>
    <row r="28525" spans="1:5" x14ac:dyDescent="0.25">
      <c r="A28525" t="s">
        <v>16</v>
      </c>
      <c r="B28525" t="s">
        <v>7666</v>
      </c>
      <c r="C28525" s="1" t="s">
        <v>23490</v>
      </c>
      <c r="D28525" s="1" t="str">
        <f>HYPERLINK("https://rhld.insurance.arkansas.gov/NPILookup?Npi=1992817597","1992817597")</f>
        <v>1992817597</v>
      </c>
      <c r="E28525" t="s">
        <v>16754</v>
      </c>
    </row>
    <row r="28526" spans="1:5" x14ac:dyDescent="0.25">
      <c r="A28526" t="s">
        <v>16</v>
      </c>
      <c r="B28526" t="s">
        <v>7666</v>
      </c>
      <c r="C28526" s="1" t="s">
        <v>23490</v>
      </c>
      <c r="D28526" s="1" t="str">
        <f>HYPERLINK("https://rhld.insurance.arkansas.gov/NPILookup?Npi=1992871214","1992871214")</f>
        <v>1992871214</v>
      </c>
      <c r="E28526" t="s">
        <v>8288</v>
      </c>
    </row>
    <row r="28527" spans="1:5" x14ac:dyDescent="0.25">
      <c r="A28527" t="s">
        <v>16</v>
      </c>
      <c r="B28527" t="s">
        <v>7666</v>
      </c>
      <c r="C28527" s="1" t="s">
        <v>23490</v>
      </c>
      <c r="D28527" s="1" t="str">
        <f>HYPERLINK("https://rhld.insurance.arkansas.gov/NPILookup?Npi=1992937718","1992937718")</f>
        <v>1992937718</v>
      </c>
      <c r="E28527" t="s">
        <v>8289</v>
      </c>
    </row>
    <row r="28528" spans="1:5" x14ac:dyDescent="0.25">
      <c r="A28528" t="s">
        <v>16</v>
      </c>
      <c r="B28528" t="s">
        <v>7666</v>
      </c>
      <c r="C28528" s="1" t="s">
        <v>23490</v>
      </c>
      <c r="D28528" s="1" t="str">
        <f>HYPERLINK("https://rhld.insurance.arkansas.gov/NPILookup?Npi=1992963821","1992963821")</f>
        <v>1992963821</v>
      </c>
      <c r="E28528" t="s">
        <v>9308</v>
      </c>
    </row>
    <row r="28529" spans="1:5" x14ac:dyDescent="0.25">
      <c r="A28529" t="s">
        <v>16</v>
      </c>
      <c r="B28529" t="s">
        <v>7666</v>
      </c>
      <c r="C28529" s="1" t="s">
        <v>23490</v>
      </c>
      <c r="D28529" s="1" t="str">
        <f>HYPERLINK("https://rhld.insurance.arkansas.gov/NPILookup?Npi=1992997969","1992997969")</f>
        <v>1992997969</v>
      </c>
      <c r="E28529" t="s">
        <v>8290</v>
      </c>
    </row>
    <row r="28530" spans="1:5" x14ac:dyDescent="0.25">
      <c r="A28530" t="s">
        <v>17</v>
      </c>
      <c r="B28530" t="s">
        <v>8291</v>
      </c>
      <c r="C28530" s="1" t="s">
        <v>23490</v>
      </c>
      <c r="D28530" s="1" t="str">
        <f>HYPERLINK("https://rhld.insurance.arkansas.gov/NPILookup?Npi=1003816901","1003816901")</f>
        <v>1003816901</v>
      </c>
      <c r="E28530" t="s">
        <v>8293</v>
      </c>
    </row>
    <row r="28531" spans="1:5" x14ac:dyDescent="0.25">
      <c r="A28531" t="s">
        <v>17</v>
      </c>
      <c r="B28531" t="s">
        <v>8291</v>
      </c>
      <c r="C28531" s="1" t="s">
        <v>23490</v>
      </c>
      <c r="D28531" s="1" t="str">
        <f>HYPERLINK("https://rhld.insurance.arkansas.gov/NPILookup?Npi=1003873050","1003873050")</f>
        <v>1003873050</v>
      </c>
      <c r="E28531" t="s">
        <v>19170</v>
      </c>
    </row>
    <row r="28532" spans="1:5" x14ac:dyDescent="0.25">
      <c r="A28532" t="s">
        <v>17</v>
      </c>
      <c r="B28532" t="s">
        <v>8291</v>
      </c>
      <c r="C28532" s="1" t="s">
        <v>23490</v>
      </c>
      <c r="D28532" s="1" t="str">
        <f>HYPERLINK("https://rhld.insurance.arkansas.gov/NPILookup?Npi=1003881749","1003881749")</f>
        <v>1003881749</v>
      </c>
      <c r="E28532" t="s">
        <v>8294</v>
      </c>
    </row>
    <row r="28533" spans="1:5" x14ac:dyDescent="0.25">
      <c r="A28533" t="s">
        <v>17</v>
      </c>
      <c r="B28533" t="s">
        <v>8291</v>
      </c>
      <c r="C28533" s="1" t="s">
        <v>23490</v>
      </c>
      <c r="D28533" s="1" t="str">
        <f>HYPERLINK("https://rhld.insurance.arkansas.gov/NPILookup?Npi=1003985235","1003985235")</f>
        <v>1003985235</v>
      </c>
      <c r="E28533" t="s">
        <v>22742</v>
      </c>
    </row>
    <row r="28534" spans="1:5" x14ac:dyDescent="0.25">
      <c r="A28534" t="s">
        <v>17</v>
      </c>
      <c r="B28534" t="s">
        <v>8291</v>
      </c>
      <c r="C28534" s="1" t="s">
        <v>23490</v>
      </c>
      <c r="D28534" s="1" t="str">
        <f>HYPERLINK("https://rhld.insurance.arkansas.gov/NPILookup?Npi=1013909316","1013909316")</f>
        <v>1013909316</v>
      </c>
      <c r="E28534" t="s">
        <v>8295</v>
      </c>
    </row>
    <row r="28535" spans="1:5" x14ac:dyDescent="0.25">
      <c r="A28535" t="s">
        <v>17</v>
      </c>
      <c r="B28535" t="s">
        <v>8291</v>
      </c>
      <c r="C28535" s="1" t="s">
        <v>23490</v>
      </c>
      <c r="D28535" s="1" t="str">
        <f>HYPERLINK("https://rhld.insurance.arkansas.gov/NPILookup?Npi=1013917103","1013917103")</f>
        <v>1013917103</v>
      </c>
      <c r="E28535" t="s">
        <v>16755</v>
      </c>
    </row>
    <row r="28536" spans="1:5" x14ac:dyDescent="0.25">
      <c r="A28536" t="s">
        <v>17</v>
      </c>
      <c r="B28536" t="s">
        <v>8291</v>
      </c>
      <c r="C28536" s="1" t="s">
        <v>23490</v>
      </c>
      <c r="D28536" s="1" t="str">
        <f>HYPERLINK("https://rhld.insurance.arkansas.gov/NPILookup?Npi=1013936749","1013936749")</f>
        <v>1013936749</v>
      </c>
      <c r="E28536" t="s">
        <v>12168</v>
      </c>
    </row>
    <row r="28537" spans="1:5" x14ac:dyDescent="0.25">
      <c r="A28537" t="s">
        <v>17</v>
      </c>
      <c r="B28537" t="s">
        <v>8291</v>
      </c>
      <c r="C28537" s="1" t="s">
        <v>23490</v>
      </c>
      <c r="D28537" s="1" t="str">
        <f>HYPERLINK("https://rhld.insurance.arkansas.gov/NPILookup?Npi=1013983741","1013983741")</f>
        <v>1013983741</v>
      </c>
      <c r="E28537" t="s">
        <v>8296</v>
      </c>
    </row>
    <row r="28538" spans="1:5" x14ac:dyDescent="0.25">
      <c r="A28538" t="s">
        <v>17</v>
      </c>
      <c r="B28538" t="s">
        <v>8291</v>
      </c>
      <c r="C28538" s="1" t="s">
        <v>23490</v>
      </c>
      <c r="D28538" s="1" t="str">
        <f>HYPERLINK("https://rhld.insurance.arkansas.gov/NPILookup?Npi=1023064235","1023064235")</f>
        <v>1023064235</v>
      </c>
      <c r="E28538" t="s">
        <v>16756</v>
      </c>
    </row>
    <row r="28539" spans="1:5" x14ac:dyDescent="0.25">
      <c r="A28539" t="s">
        <v>17</v>
      </c>
      <c r="B28539" t="s">
        <v>8291</v>
      </c>
      <c r="C28539" s="1" t="s">
        <v>8427</v>
      </c>
      <c r="D28539" s="1" t="str">
        <f>HYPERLINK("https://rhld.insurance.arkansas.gov/NPILookup?Npi=1023508231","1023508231")</f>
        <v>1023508231</v>
      </c>
      <c r="E28539" t="s">
        <v>23336</v>
      </c>
    </row>
    <row r="28540" spans="1:5" x14ac:dyDescent="0.25">
      <c r="A28540" t="s">
        <v>17</v>
      </c>
      <c r="B28540" t="s">
        <v>8291</v>
      </c>
      <c r="C28540" s="1" t="s">
        <v>23490</v>
      </c>
      <c r="D28540" s="1" t="str">
        <f>HYPERLINK("https://rhld.insurance.arkansas.gov/NPILookup?Npi=1033176458","1033176458")</f>
        <v>1033176458</v>
      </c>
      <c r="E28540" t="s">
        <v>8297</v>
      </c>
    </row>
    <row r="28541" spans="1:5" x14ac:dyDescent="0.25">
      <c r="A28541" t="s">
        <v>17</v>
      </c>
      <c r="B28541" t="s">
        <v>8291</v>
      </c>
      <c r="C28541" s="1" t="s">
        <v>23490</v>
      </c>
      <c r="D28541" s="1" t="str">
        <f>HYPERLINK("https://rhld.insurance.arkansas.gov/NPILookup?Npi=1033277108","1033277108")</f>
        <v>1033277108</v>
      </c>
      <c r="E28541" t="s">
        <v>8298</v>
      </c>
    </row>
    <row r="28542" spans="1:5" x14ac:dyDescent="0.25">
      <c r="A28542" t="s">
        <v>17</v>
      </c>
      <c r="B28542" t="s">
        <v>8291</v>
      </c>
      <c r="C28542" s="1" t="s">
        <v>23490</v>
      </c>
      <c r="D28542" s="1" t="str">
        <f>HYPERLINK("https://rhld.insurance.arkansas.gov/NPILookup?Npi=1043573355","1043573355")</f>
        <v>1043573355</v>
      </c>
      <c r="E28542" t="s">
        <v>12169</v>
      </c>
    </row>
    <row r="28543" spans="1:5" x14ac:dyDescent="0.25">
      <c r="A28543" t="s">
        <v>17</v>
      </c>
      <c r="B28543" t="s">
        <v>8291</v>
      </c>
      <c r="C28543" s="1" t="s">
        <v>23490</v>
      </c>
      <c r="D28543" s="1" t="str">
        <f>HYPERLINK("https://rhld.insurance.arkansas.gov/NPILookup?Npi=1053381467","1053381467")</f>
        <v>1053381467</v>
      </c>
      <c r="E28543" t="s">
        <v>21318</v>
      </c>
    </row>
    <row r="28544" spans="1:5" x14ac:dyDescent="0.25">
      <c r="A28544" t="s">
        <v>17</v>
      </c>
      <c r="B28544" t="s">
        <v>8291</v>
      </c>
      <c r="C28544" s="1" t="s">
        <v>23490</v>
      </c>
      <c r="D28544" s="1" t="str">
        <f>HYPERLINK("https://rhld.insurance.arkansas.gov/NPILookup?Npi=1053383174","1053383174")</f>
        <v>1053383174</v>
      </c>
      <c r="E28544" t="s">
        <v>8299</v>
      </c>
    </row>
    <row r="28545" spans="1:5" x14ac:dyDescent="0.25">
      <c r="A28545" t="s">
        <v>17</v>
      </c>
      <c r="B28545" t="s">
        <v>8291</v>
      </c>
      <c r="C28545" s="1" t="s">
        <v>23490</v>
      </c>
      <c r="D28545" s="1" t="str">
        <f>HYPERLINK("https://rhld.insurance.arkansas.gov/NPILookup?Npi=1053491811","1053491811")</f>
        <v>1053491811</v>
      </c>
      <c r="E28545" t="s">
        <v>8300</v>
      </c>
    </row>
    <row r="28546" spans="1:5" x14ac:dyDescent="0.25">
      <c r="A28546" t="s">
        <v>17</v>
      </c>
      <c r="B28546" t="s">
        <v>8291</v>
      </c>
      <c r="C28546" s="1" t="s">
        <v>23490</v>
      </c>
      <c r="D28546" s="1" t="str">
        <f>HYPERLINK("https://rhld.insurance.arkansas.gov/NPILookup?Npi=1073682035","1073682035")</f>
        <v>1073682035</v>
      </c>
      <c r="E28546" t="s">
        <v>22743</v>
      </c>
    </row>
    <row r="28547" spans="1:5" x14ac:dyDescent="0.25">
      <c r="A28547" t="s">
        <v>17</v>
      </c>
      <c r="B28547" t="s">
        <v>8291</v>
      </c>
      <c r="C28547" s="1" t="s">
        <v>23490</v>
      </c>
      <c r="D28547" s="1" t="str">
        <f>HYPERLINK("https://rhld.insurance.arkansas.gov/NPILookup?Npi=1083637524","1083637524")</f>
        <v>1083637524</v>
      </c>
      <c r="E28547" t="s">
        <v>16757</v>
      </c>
    </row>
    <row r="28548" spans="1:5" x14ac:dyDescent="0.25">
      <c r="A28548" t="s">
        <v>17</v>
      </c>
      <c r="B28548" t="s">
        <v>8291</v>
      </c>
      <c r="C28548" s="1" t="s">
        <v>23490</v>
      </c>
      <c r="D28548" s="1" t="str">
        <f>HYPERLINK("https://rhld.insurance.arkansas.gov/NPILookup?Npi=1093732646","1093732646")</f>
        <v>1093732646</v>
      </c>
      <c r="E28548" t="s">
        <v>8301</v>
      </c>
    </row>
    <row r="28549" spans="1:5" x14ac:dyDescent="0.25">
      <c r="A28549" t="s">
        <v>17</v>
      </c>
      <c r="B28549" t="s">
        <v>8291</v>
      </c>
      <c r="C28549" s="1" t="s">
        <v>23490</v>
      </c>
      <c r="D28549" s="1" t="str">
        <f>HYPERLINK("https://rhld.insurance.arkansas.gov/NPILookup?Npi=1093735110","1093735110")</f>
        <v>1093735110</v>
      </c>
      <c r="E28549" t="s">
        <v>8302</v>
      </c>
    </row>
    <row r="28550" spans="1:5" x14ac:dyDescent="0.25">
      <c r="A28550" t="s">
        <v>17</v>
      </c>
      <c r="B28550" t="s">
        <v>8291</v>
      </c>
      <c r="C28550" s="1" t="s">
        <v>23490</v>
      </c>
      <c r="D28550" s="1" t="str">
        <f>HYPERLINK("https://rhld.insurance.arkansas.gov/NPILookup?Npi=1093737538","1093737538")</f>
        <v>1093737538</v>
      </c>
      <c r="E28550" t="s">
        <v>12170</v>
      </c>
    </row>
    <row r="28551" spans="1:5" x14ac:dyDescent="0.25">
      <c r="A28551" t="s">
        <v>17</v>
      </c>
      <c r="B28551" t="s">
        <v>8291</v>
      </c>
      <c r="C28551" s="1" t="s">
        <v>23490</v>
      </c>
      <c r="D28551" s="1" t="str">
        <f>HYPERLINK("https://rhld.insurance.arkansas.gov/NPILookup?Npi=1104811876","1104811876")</f>
        <v>1104811876</v>
      </c>
      <c r="E28551" t="s">
        <v>9309</v>
      </c>
    </row>
    <row r="28552" spans="1:5" x14ac:dyDescent="0.25">
      <c r="A28552" t="s">
        <v>17</v>
      </c>
      <c r="B28552" t="s">
        <v>8291</v>
      </c>
      <c r="C28552" s="1" t="s">
        <v>23490</v>
      </c>
      <c r="D28552" s="1" t="str">
        <f>HYPERLINK("https://rhld.insurance.arkansas.gov/NPILookup?Npi=1124061890","1124061890")</f>
        <v>1124061890</v>
      </c>
      <c r="E28552" t="s">
        <v>22744</v>
      </c>
    </row>
    <row r="28553" spans="1:5" x14ac:dyDescent="0.25">
      <c r="A28553" t="s">
        <v>17</v>
      </c>
      <c r="B28553" t="s">
        <v>8291</v>
      </c>
      <c r="C28553" s="1" t="s">
        <v>23490</v>
      </c>
      <c r="D28553" s="1" t="str">
        <f>HYPERLINK("https://rhld.insurance.arkansas.gov/NPILookup?Npi=1124085634","1124085634")</f>
        <v>1124085634</v>
      </c>
      <c r="E28553" t="s">
        <v>8304</v>
      </c>
    </row>
    <row r="28554" spans="1:5" x14ac:dyDescent="0.25">
      <c r="A28554" t="s">
        <v>17</v>
      </c>
      <c r="B28554" t="s">
        <v>8291</v>
      </c>
      <c r="C28554" s="1" t="s">
        <v>23490</v>
      </c>
      <c r="D28554" s="1" t="str">
        <f>HYPERLINK("https://rhld.insurance.arkansas.gov/NPILookup?Npi=1134236276","1134236276")</f>
        <v>1134236276</v>
      </c>
      <c r="E28554" t="s">
        <v>19171</v>
      </c>
    </row>
    <row r="28555" spans="1:5" x14ac:dyDescent="0.25">
      <c r="A28555" t="s">
        <v>17</v>
      </c>
      <c r="B28555" t="s">
        <v>8291</v>
      </c>
      <c r="C28555" s="1" t="s">
        <v>23490</v>
      </c>
      <c r="D28555" s="1" t="str">
        <f>HYPERLINK("https://rhld.insurance.arkansas.gov/NPILookup?Npi=1144222100","1144222100")</f>
        <v>1144222100</v>
      </c>
      <c r="E28555" t="s">
        <v>8305</v>
      </c>
    </row>
    <row r="28556" spans="1:5" x14ac:dyDescent="0.25">
      <c r="A28556" t="s">
        <v>17</v>
      </c>
      <c r="B28556" t="s">
        <v>8291</v>
      </c>
      <c r="C28556" s="1" t="s">
        <v>23490</v>
      </c>
      <c r="D28556" s="1" t="str">
        <f>HYPERLINK("https://rhld.insurance.arkansas.gov/NPILookup?Npi=1144229477","1144229477")</f>
        <v>1144229477</v>
      </c>
      <c r="E28556" t="s">
        <v>8306</v>
      </c>
    </row>
    <row r="28557" spans="1:5" x14ac:dyDescent="0.25">
      <c r="A28557" t="s">
        <v>17</v>
      </c>
      <c r="B28557" t="s">
        <v>8291</v>
      </c>
      <c r="C28557" s="1" t="s">
        <v>23490</v>
      </c>
      <c r="D28557" s="1" t="str">
        <f>HYPERLINK("https://rhld.insurance.arkansas.gov/NPILookup?Npi=1144431883","1144431883")</f>
        <v>1144431883</v>
      </c>
      <c r="E28557" t="s">
        <v>20792</v>
      </c>
    </row>
    <row r="28558" spans="1:5" x14ac:dyDescent="0.25">
      <c r="A28558" t="s">
        <v>17</v>
      </c>
      <c r="B28558" t="s">
        <v>8291</v>
      </c>
      <c r="C28558" s="1" t="s">
        <v>23490</v>
      </c>
      <c r="D28558" s="1" t="str">
        <f>HYPERLINK("https://rhld.insurance.arkansas.gov/NPILookup?Npi=1144662875","1144662875")</f>
        <v>1144662875</v>
      </c>
      <c r="E28558" t="s">
        <v>18566</v>
      </c>
    </row>
    <row r="28559" spans="1:5" x14ac:dyDescent="0.25">
      <c r="A28559" t="s">
        <v>17</v>
      </c>
      <c r="B28559" t="s">
        <v>8291</v>
      </c>
      <c r="C28559" s="1" t="s">
        <v>23490</v>
      </c>
      <c r="D28559" s="1" t="str">
        <f>HYPERLINK("https://rhld.insurance.arkansas.gov/NPILookup?Npi=1154855401","1154855401")</f>
        <v>1154855401</v>
      </c>
      <c r="E28559" t="s">
        <v>21319</v>
      </c>
    </row>
    <row r="28560" spans="1:5" x14ac:dyDescent="0.25">
      <c r="A28560" t="s">
        <v>17</v>
      </c>
      <c r="B28560" t="s">
        <v>8291</v>
      </c>
      <c r="C28560" s="1" t="s">
        <v>23490</v>
      </c>
      <c r="D28560" s="1" t="str">
        <f>HYPERLINK("https://rhld.insurance.arkansas.gov/NPILookup?Npi=1164427621","1164427621")</f>
        <v>1164427621</v>
      </c>
      <c r="E28560" t="s">
        <v>8308</v>
      </c>
    </row>
    <row r="28561" spans="1:5" x14ac:dyDescent="0.25">
      <c r="A28561" t="s">
        <v>17</v>
      </c>
      <c r="B28561" t="s">
        <v>8291</v>
      </c>
      <c r="C28561" s="1" t="s">
        <v>23490</v>
      </c>
      <c r="D28561" s="1" t="str">
        <f>HYPERLINK("https://rhld.insurance.arkansas.gov/NPILookup?Npi=1164462412","1164462412")</f>
        <v>1164462412</v>
      </c>
      <c r="E28561" t="s">
        <v>8309</v>
      </c>
    </row>
    <row r="28562" spans="1:5" x14ac:dyDescent="0.25">
      <c r="A28562" t="s">
        <v>17</v>
      </c>
      <c r="B28562" t="s">
        <v>8291</v>
      </c>
      <c r="C28562" s="1" t="s">
        <v>23490</v>
      </c>
      <c r="D28562" s="1" t="str">
        <f>HYPERLINK("https://rhld.insurance.arkansas.gov/NPILookup?Npi=1174541429","1174541429")</f>
        <v>1174541429</v>
      </c>
      <c r="E28562" t="s">
        <v>8310</v>
      </c>
    </row>
    <row r="28563" spans="1:5" x14ac:dyDescent="0.25">
      <c r="A28563" t="s">
        <v>17</v>
      </c>
      <c r="B28563" t="s">
        <v>8291</v>
      </c>
      <c r="C28563" s="1" t="s">
        <v>23490</v>
      </c>
      <c r="D28563" s="1" t="str">
        <f>HYPERLINK("https://rhld.insurance.arkansas.gov/NPILookup?Npi=1184609729","1184609729")</f>
        <v>1184609729</v>
      </c>
      <c r="E28563" t="s">
        <v>8311</v>
      </c>
    </row>
    <row r="28564" spans="1:5" x14ac:dyDescent="0.25">
      <c r="A28564" t="s">
        <v>17</v>
      </c>
      <c r="B28564" t="s">
        <v>8291</v>
      </c>
      <c r="C28564" s="1" t="s">
        <v>23490</v>
      </c>
      <c r="D28564" s="1" t="str">
        <f>HYPERLINK("https://rhld.insurance.arkansas.gov/NPILookup?Npi=1184739401","1184739401")</f>
        <v>1184739401</v>
      </c>
      <c r="E28564" t="s">
        <v>8312</v>
      </c>
    </row>
    <row r="28565" spans="1:5" x14ac:dyDescent="0.25">
      <c r="A28565" t="s">
        <v>17</v>
      </c>
      <c r="B28565" t="s">
        <v>8291</v>
      </c>
      <c r="C28565" s="1" t="s">
        <v>23490</v>
      </c>
      <c r="D28565" s="1" t="str">
        <f>HYPERLINK("https://rhld.insurance.arkansas.gov/NPILookup?Npi=1184818551","1184818551")</f>
        <v>1184818551</v>
      </c>
      <c r="E28565" t="s">
        <v>8313</v>
      </c>
    </row>
    <row r="28566" spans="1:5" x14ac:dyDescent="0.25">
      <c r="A28566" t="s">
        <v>17</v>
      </c>
      <c r="B28566" t="s">
        <v>8291</v>
      </c>
      <c r="C28566" s="1" t="s">
        <v>23490</v>
      </c>
      <c r="D28566" s="1" t="str">
        <f>HYPERLINK("https://rhld.insurance.arkansas.gov/NPILookup?Npi=1184867533","1184867533")</f>
        <v>1184867533</v>
      </c>
      <c r="E28566" t="s">
        <v>8314</v>
      </c>
    </row>
    <row r="28567" spans="1:5" x14ac:dyDescent="0.25">
      <c r="A28567" t="s">
        <v>17</v>
      </c>
      <c r="B28567" t="s">
        <v>8291</v>
      </c>
      <c r="C28567" s="1" t="s">
        <v>23490</v>
      </c>
      <c r="D28567" s="1" t="str">
        <f>HYPERLINK("https://rhld.insurance.arkansas.gov/NPILookup?Npi=1194921486","1194921486")</f>
        <v>1194921486</v>
      </c>
      <c r="E28567" t="s">
        <v>8315</v>
      </c>
    </row>
    <row r="28568" spans="1:5" x14ac:dyDescent="0.25">
      <c r="A28568" t="s">
        <v>17</v>
      </c>
      <c r="B28568" t="s">
        <v>8291</v>
      </c>
      <c r="C28568" s="1" t="s">
        <v>23490</v>
      </c>
      <c r="D28568" s="1" t="str">
        <f>HYPERLINK("https://rhld.insurance.arkansas.gov/NPILookup?Npi=1205039807","1205039807")</f>
        <v>1205039807</v>
      </c>
      <c r="E28568" t="s">
        <v>8316</v>
      </c>
    </row>
    <row r="28569" spans="1:5" x14ac:dyDescent="0.25">
      <c r="A28569" t="s">
        <v>17</v>
      </c>
      <c r="B28569" t="s">
        <v>8291</v>
      </c>
      <c r="C28569" s="1" t="s">
        <v>23490</v>
      </c>
      <c r="D28569" s="1" t="str">
        <f>HYPERLINK("https://rhld.insurance.arkansas.gov/NPILookup?Npi=1205803608","1205803608")</f>
        <v>1205803608</v>
      </c>
      <c r="E28569" t="s">
        <v>8317</v>
      </c>
    </row>
    <row r="28570" spans="1:5" x14ac:dyDescent="0.25">
      <c r="A28570" t="s">
        <v>17</v>
      </c>
      <c r="B28570" t="s">
        <v>8291</v>
      </c>
      <c r="C28570" s="1" t="s">
        <v>23490</v>
      </c>
      <c r="D28570" s="1" t="str">
        <f>HYPERLINK("https://rhld.insurance.arkansas.gov/NPILookup?Npi=1205834074","1205834074")</f>
        <v>1205834074</v>
      </c>
      <c r="E28570" t="s">
        <v>12171</v>
      </c>
    </row>
    <row r="28571" spans="1:5" x14ac:dyDescent="0.25">
      <c r="A28571" t="s">
        <v>17</v>
      </c>
      <c r="B28571" t="s">
        <v>8291</v>
      </c>
      <c r="C28571" s="1" t="s">
        <v>23490</v>
      </c>
      <c r="D28571" s="1" t="str">
        <f>HYPERLINK("https://rhld.insurance.arkansas.gov/NPILookup?Npi=1205836764","1205836764")</f>
        <v>1205836764</v>
      </c>
      <c r="E28571" t="s">
        <v>16758</v>
      </c>
    </row>
    <row r="28572" spans="1:5" x14ac:dyDescent="0.25">
      <c r="A28572" t="s">
        <v>17</v>
      </c>
      <c r="B28572" t="s">
        <v>8291</v>
      </c>
      <c r="C28572" s="1" t="s">
        <v>23490</v>
      </c>
      <c r="D28572" s="1" t="str">
        <f>HYPERLINK("https://rhld.insurance.arkansas.gov/NPILookup?Npi=1205975224","1205975224")</f>
        <v>1205975224</v>
      </c>
      <c r="E28572" t="s">
        <v>8318</v>
      </c>
    </row>
    <row r="28573" spans="1:5" x14ac:dyDescent="0.25">
      <c r="A28573" t="s">
        <v>17</v>
      </c>
      <c r="B28573" t="s">
        <v>8291</v>
      </c>
      <c r="C28573" s="1" t="s">
        <v>23490</v>
      </c>
      <c r="D28573" s="1" t="str">
        <f>HYPERLINK("https://rhld.insurance.arkansas.gov/NPILookup?Npi=1215370861","1215370861")</f>
        <v>1215370861</v>
      </c>
      <c r="E28573" t="s">
        <v>14578</v>
      </c>
    </row>
    <row r="28574" spans="1:5" x14ac:dyDescent="0.25">
      <c r="A28574" t="s">
        <v>17</v>
      </c>
      <c r="B28574" t="s">
        <v>8291</v>
      </c>
      <c r="C28574" s="1" t="s">
        <v>23490</v>
      </c>
      <c r="D28574" s="1" t="str">
        <f>HYPERLINK("https://rhld.insurance.arkansas.gov/NPILookup?Npi=1215929104","1215929104")</f>
        <v>1215929104</v>
      </c>
      <c r="E28574" t="s">
        <v>8319</v>
      </c>
    </row>
    <row r="28575" spans="1:5" x14ac:dyDescent="0.25">
      <c r="A28575" t="s">
        <v>17</v>
      </c>
      <c r="B28575" t="s">
        <v>8291</v>
      </c>
      <c r="C28575" s="1" t="s">
        <v>23490</v>
      </c>
      <c r="D28575" s="1" t="str">
        <f>HYPERLINK("https://rhld.insurance.arkansas.gov/NPILookup?Npi=1235108432","1235108432")</f>
        <v>1235108432</v>
      </c>
      <c r="E28575" t="s">
        <v>16759</v>
      </c>
    </row>
    <row r="28576" spans="1:5" x14ac:dyDescent="0.25">
      <c r="A28576" t="s">
        <v>17</v>
      </c>
      <c r="B28576" t="s">
        <v>8291</v>
      </c>
      <c r="C28576" s="1" t="s">
        <v>23490</v>
      </c>
      <c r="D28576" s="1" t="str">
        <f>HYPERLINK("https://rhld.insurance.arkansas.gov/NPILookup?Npi=1235164286","1235164286")</f>
        <v>1235164286</v>
      </c>
      <c r="E28576" t="s">
        <v>8320</v>
      </c>
    </row>
    <row r="28577" spans="1:5" x14ac:dyDescent="0.25">
      <c r="A28577" t="s">
        <v>17</v>
      </c>
      <c r="B28577" t="s">
        <v>8291</v>
      </c>
      <c r="C28577" s="1" t="s">
        <v>23490</v>
      </c>
      <c r="D28577" s="1" t="str">
        <f>HYPERLINK("https://rhld.insurance.arkansas.gov/NPILookup?Npi=1245222553","1245222553")</f>
        <v>1245222553</v>
      </c>
      <c r="E28577" t="s">
        <v>8321</v>
      </c>
    </row>
    <row r="28578" spans="1:5" x14ac:dyDescent="0.25">
      <c r="A28578" t="s">
        <v>17</v>
      </c>
      <c r="B28578" t="s">
        <v>8291</v>
      </c>
      <c r="C28578" s="1" t="s">
        <v>23490</v>
      </c>
      <c r="D28578" s="1" t="str">
        <f>HYPERLINK("https://rhld.insurance.arkansas.gov/NPILookup?Npi=1245322957","1245322957")</f>
        <v>1245322957</v>
      </c>
      <c r="E28578" t="s">
        <v>8322</v>
      </c>
    </row>
    <row r="28579" spans="1:5" x14ac:dyDescent="0.25">
      <c r="A28579" t="s">
        <v>17</v>
      </c>
      <c r="B28579" t="s">
        <v>8291</v>
      </c>
      <c r="C28579" s="1" t="s">
        <v>8427</v>
      </c>
      <c r="D28579" s="1" t="str">
        <f>HYPERLINK("https://rhld.insurance.arkansas.gov/NPILookup?Npi=1245763325","1245763325")</f>
        <v>1245763325</v>
      </c>
      <c r="E28579" t="s">
        <v>23337</v>
      </c>
    </row>
    <row r="28580" spans="1:5" x14ac:dyDescent="0.25">
      <c r="A28580" t="s">
        <v>17</v>
      </c>
      <c r="B28580" t="s">
        <v>8291</v>
      </c>
      <c r="C28580" s="1" t="s">
        <v>23490</v>
      </c>
      <c r="D28580" s="1" t="str">
        <f>HYPERLINK("https://rhld.insurance.arkansas.gov/NPILookup?Npi=1255591285","1255591285")</f>
        <v>1255591285</v>
      </c>
      <c r="E28580" t="s">
        <v>22745</v>
      </c>
    </row>
    <row r="28581" spans="1:5" x14ac:dyDescent="0.25">
      <c r="A28581" t="s">
        <v>17</v>
      </c>
      <c r="B28581" t="s">
        <v>8291</v>
      </c>
      <c r="C28581" s="1" t="s">
        <v>23490</v>
      </c>
      <c r="D28581" s="1" t="str">
        <f>HYPERLINK("https://rhld.insurance.arkansas.gov/NPILookup?Npi=1255659082","1255659082")</f>
        <v>1255659082</v>
      </c>
      <c r="E28581" t="s">
        <v>2526</v>
      </c>
    </row>
    <row r="28582" spans="1:5" x14ac:dyDescent="0.25">
      <c r="A28582" t="s">
        <v>17</v>
      </c>
      <c r="B28582" t="s">
        <v>8291</v>
      </c>
      <c r="C28582" s="1" t="s">
        <v>23490</v>
      </c>
      <c r="D28582" s="1" t="str">
        <f>HYPERLINK("https://rhld.insurance.arkansas.gov/NPILookup?Npi=1275508897","1275508897")</f>
        <v>1275508897</v>
      </c>
      <c r="E28582" t="s">
        <v>8323</v>
      </c>
    </row>
    <row r="28583" spans="1:5" x14ac:dyDescent="0.25">
      <c r="A28583" t="s">
        <v>17</v>
      </c>
      <c r="B28583" t="s">
        <v>8291</v>
      </c>
      <c r="C28583" s="1" t="s">
        <v>23490</v>
      </c>
      <c r="D28583" s="1" t="str">
        <f>HYPERLINK("https://rhld.insurance.arkansas.gov/NPILookup?Npi=1275508939","1275508939")</f>
        <v>1275508939</v>
      </c>
      <c r="E28583" t="s">
        <v>8324</v>
      </c>
    </row>
    <row r="28584" spans="1:5" x14ac:dyDescent="0.25">
      <c r="A28584" t="s">
        <v>17</v>
      </c>
      <c r="B28584" t="s">
        <v>8291</v>
      </c>
      <c r="C28584" s="1" t="s">
        <v>23490</v>
      </c>
      <c r="D28584" s="1" t="str">
        <f>HYPERLINK("https://rhld.insurance.arkansas.gov/NPILookup?Npi=1275533481","1275533481")</f>
        <v>1275533481</v>
      </c>
      <c r="E28584" t="s">
        <v>14579</v>
      </c>
    </row>
    <row r="28585" spans="1:5" x14ac:dyDescent="0.25">
      <c r="A28585" t="s">
        <v>17</v>
      </c>
      <c r="B28585" t="s">
        <v>8291</v>
      </c>
      <c r="C28585" s="1" t="s">
        <v>23490</v>
      </c>
      <c r="D28585" s="1" t="str">
        <f>HYPERLINK("https://rhld.insurance.arkansas.gov/NPILookup?Npi=1275590606","1275590606")</f>
        <v>1275590606</v>
      </c>
      <c r="E28585" t="s">
        <v>8325</v>
      </c>
    </row>
    <row r="28586" spans="1:5" x14ac:dyDescent="0.25">
      <c r="A28586" t="s">
        <v>17</v>
      </c>
      <c r="B28586" t="s">
        <v>8291</v>
      </c>
      <c r="C28586" s="1" t="s">
        <v>23490</v>
      </c>
      <c r="D28586" s="1" t="str">
        <f>HYPERLINK("https://rhld.insurance.arkansas.gov/NPILookup?Npi=1275613408","1275613408")</f>
        <v>1275613408</v>
      </c>
      <c r="E28586" t="s">
        <v>8326</v>
      </c>
    </row>
    <row r="28587" spans="1:5" x14ac:dyDescent="0.25">
      <c r="A28587" t="s">
        <v>17</v>
      </c>
      <c r="B28587" t="s">
        <v>8291</v>
      </c>
      <c r="C28587" s="1" t="s">
        <v>23490</v>
      </c>
      <c r="D28587" s="1" t="str">
        <f>HYPERLINK("https://rhld.insurance.arkansas.gov/NPILookup?Npi=1275654246","1275654246")</f>
        <v>1275654246</v>
      </c>
      <c r="E28587" t="s">
        <v>8327</v>
      </c>
    </row>
    <row r="28588" spans="1:5" x14ac:dyDescent="0.25">
      <c r="A28588" t="s">
        <v>17</v>
      </c>
      <c r="B28588" t="s">
        <v>8291</v>
      </c>
      <c r="C28588" s="1" t="s">
        <v>23490</v>
      </c>
      <c r="D28588" s="1" t="str">
        <f>HYPERLINK("https://rhld.insurance.arkansas.gov/NPILookup?Npi=1295122315","1295122315")</f>
        <v>1295122315</v>
      </c>
      <c r="E28588" t="s">
        <v>6904</v>
      </c>
    </row>
    <row r="28589" spans="1:5" x14ac:dyDescent="0.25">
      <c r="A28589" t="s">
        <v>17</v>
      </c>
      <c r="B28589" t="s">
        <v>8291</v>
      </c>
      <c r="C28589" s="1" t="s">
        <v>23490</v>
      </c>
      <c r="D28589" s="1" t="str">
        <f>HYPERLINK("https://rhld.insurance.arkansas.gov/NPILookup?Npi=1295259406","1295259406")</f>
        <v>1295259406</v>
      </c>
      <c r="E28589" t="s">
        <v>12172</v>
      </c>
    </row>
    <row r="28590" spans="1:5" x14ac:dyDescent="0.25">
      <c r="A28590" t="s">
        <v>17</v>
      </c>
      <c r="B28590" t="s">
        <v>8291</v>
      </c>
      <c r="C28590" s="1" t="s">
        <v>23490</v>
      </c>
      <c r="D28590" s="1" t="str">
        <f>HYPERLINK("https://rhld.insurance.arkansas.gov/NPILookup?Npi=1295757607","1295757607")</f>
        <v>1295757607</v>
      </c>
      <c r="E28590" t="s">
        <v>12173</v>
      </c>
    </row>
    <row r="28591" spans="1:5" x14ac:dyDescent="0.25">
      <c r="A28591" t="s">
        <v>17</v>
      </c>
      <c r="B28591" t="s">
        <v>8291</v>
      </c>
      <c r="C28591" s="1" t="s">
        <v>23490</v>
      </c>
      <c r="D28591" s="1" t="str">
        <f>HYPERLINK("https://rhld.insurance.arkansas.gov/NPILookup?Npi=1295762797","1295762797")</f>
        <v>1295762797</v>
      </c>
      <c r="E28591" t="s">
        <v>12509</v>
      </c>
    </row>
    <row r="28592" spans="1:5" x14ac:dyDescent="0.25">
      <c r="A28592" t="s">
        <v>17</v>
      </c>
      <c r="B28592" t="s">
        <v>8291</v>
      </c>
      <c r="C28592" s="1" t="s">
        <v>23490</v>
      </c>
      <c r="D28592" s="1" t="str">
        <f>HYPERLINK("https://rhld.insurance.arkansas.gov/NPILookup?Npi=1295805190","1295805190")</f>
        <v>1295805190</v>
      </c>
      <c r="E28592" t="s">
        <v>16760</v>
      </c>
    </row>
    <row r="28593" spans="1:5" x14ac:dyDescent="0.25">
      <c r="A28593" t="s">
        <v>17</v>
      </c>
      <c r="B28593" t="s">
        <v>8291</v>
      </c>
      <c r="C28593" s="1" t="s">
        <v>23490</v>
      </c>
      <c r="D28593" s="1" t="str">
        <f>HYPERLINK("https://rhld.insurance.arkansas.gov/NPILookup?Npi=1295840510","1295840510")</f>
        <v>1295840510</v>
      </c>
      <c r="E28593" t="s">
        <v>8328</v>
      </c>
    </row>
    <row r="28594" spans="1:5" x14ac:dyDescent="0.25">
      <c r="A28594" t="s">
        <v>17</v>
      </c>
      <c r="B28594" t="s">
        <v>8291</v>
      </c>
      <c r="C28594" s="1" t="s">
        <v>23490</v>
      </c>
      <c r="D28594" s="1" t="str">
        <f>HYPERLINK("https://rhld.insurance.arkansas.gov/NPILookup?Npi=1306959861","1306959861")</f>
        <v>1306959861</v>
      </c>
      <c r="E28594" t="s">
        <v>8329</v>
      </c>
    </row>
    <row r="28595" spans="1:5" x14ac:dyDescent="0.25">
      <c r="A28595" t="s">
        <v>17</v>
      </c>
      <c r="B28595" t="s">
        <v>8291</v>
      </c>
      <c r="C28595" s="1" t="s">
        <v>23490</v>
      </c>
      <c r="D28595" s="1" t="str">
        <f>HYPERLINK("https://rhld.insurance.arkansas.gov/NPILookup?Npi=1326087354","1326087354")</f>
        <v>1326087354</v>
      </c>
      <c r="E28595" t="s">
        <v>8330</v>
      </c>
    </row>
    <row r="28596" spans="1:5" x14ac:dyDescent="0.25">
      <c r="A28596" t="s">
        <v>17</v>
      </c>
      <c r="B28596" t="s">
        <v>8291</v>
      </c>
      <c r="C28596" s="1" t="s">
        <v>23490</v>
      </c>
      <c r="D28596" s="1" t="str">
        <f>HYPERLINK("https://rhld.insurance.arkansas.gov/NPILookup?Npi=1326201567","1326201567")</f>
        <v>1326201567</v>
      </c>
      <c r="E28596" t="s">
        <v>8331</v>
      </c>
    </row>
    <row r="28597" spans="1:5" x14ac:dyDescent="0.25">
      <c r="A28597" t="s">
        <v>17</v>
      </c>
      <c r="B28597" t="s">
        <v>8291</v>
      </c>
      <c r="C28597" s="1" t="s">
        <v>23490</v>
      </c>
      <c r="D28597" s="1" t="str">
        <f>HYPERLINK("https://rhld.insurance.arkansas.gov/NPILookup?Npi=1326257304","1326257304")</f>
        <v>1326257304</v>
      </c>
      <c r="E28597" t="s">
        <v>8332</v>
      </c>
    </row>
    <row r="28598" spans="1:5" x14ac:dyDescent="0.25">
      <c r="A28598" t="s">
        <v>17</v>
      </c>
      <c r="B28598" t="s">
        <v>8291</v>
      </c>
      <c r="C28598" s="1" t="s">
        <v>23490</v>
      </c>
      <c r="D28598" s="1" t="str">
        <f>HYPERLINK("https://rhld.insurance.arkansas.gov/NPILookup?Npi=1336247899","1336247899")</f>
        <v>1336247899</v>
      </c>
      <c r="E28598" t="s">
        <v>8333</v>
      </c>
    </row>
    <row r="28599" spans="1:5" x14ac:dyDescent="0.25">
      <c r="A28599" t="s">
        <v>17</v>
      </c>
      <c r="B28599" t="s">
        <v>8291</v>
      </c>
      <c r="C28599" s="1" t="s">
        <v>23490</v>
      </c>
      <c r="D28599" s="1" t="str">
        <f>HYPERLINK("https://rhld.insurance.arkansas.gov/NPILookup?Npi=1336347392","1336347392")</f>
        <v>1336347392</v>
      </c>
      <c r="E28599" t="s">
        <v>19172</v>
      </c>
    </row>
    <row r="28600" spans="1:5" x14ac:dyDescent="0.25">
      <c r="A28600" t="s">
        <v>17</v>
      </c>
      <c r="B28600" t="s">
        <v>8291</v>
      </c>
      <c r="C28600" s="1" t="s">
        <v>23490</v>
      </c>
      <c r="D28600" s="1" t="str">
        <f>HYPERLINK("https://rhld.insurance.arkansas.gov/NPILookup?Npi=1336433713","1336433713")</f>
        <v>1336433713</v>
      </c>
      <c r="E28600" t="s">
        <v>14580</v>
      </c>
    </row>
    <row r="28601" spans="1:5" x14ac:dyDescent="0.25">
      <c r="A28601" t="s">
        <v>17</v>
      </c>
      <c r="B28601" t="s">
        <v>8291</v>
      </c>
      <c r="C28601" s="1" t="s">
        <v>23490</v>
      </c>
      <c r="D28601" s="1" t="str">
        <f>HYPERLINK("https://rhld.insurance.arkansas.gov/NPILookup?Npi=1346240611","1346240611")</f>
        <v>1346240611</v>
      </c>
      <c r="E28601" t="s">
        <v>8334</v>
      </c>
    </row>
    <row r="28602" spans="1:5" x14ac:dyDescent="0.25">
      <c r="A28602" t="s">
        <v>17</v>
      </c>
      <c r="B28602" t="s">
        <v>8291</v>
      </c>
      <c r="C28602" s="1" t="s">
        <v>23490</v>
      </c>
      <c r="D28602" s="1" t="str">
        <f>HYPERLINK("https://rhld.insurance.arkansas.gov/NPILookup?Npi=1346260361","1346260361")</f>
        <v>1346260361</v>
      </c>
      <c r="E28602" t="s">
        <v>8335</v>
      </c>
    </row>
    <row r="28603" spans="1:5" x14ac:dyDescent="0.25">
      <c r="A28603" t="s">
        <v>17</v>
      </c>
      <c r="B28603" t="s">
        <v>8291</v>
      </c>
      <c r="C28603" s="1" t="s">
        <v>23490</v>
      </c>
      <c r="D28603" s="1" t="str">
        <f>HYPERLINK("https://rhld.insurance.arkansas.gov/NPILookup?Npi=1356432702","1356432702")</f>
        <v>1356432702</v>
      </c>
      <c r="E28603" t="s">
        <v>8336</v>
      </c>
    </row>
    <row r="28604" spans="1:5" x14ac:dyDescent="0.25">
      <c r="A28604" t="s">
        <v>17</v>
      </c>
      <c r="B28604" t="s">
        <v>8291</v>
      </c>
      <c r="C28604" s="1" t="s">
        <v>23490</v>
      </c>
      <c r="D28604" s="1" t="str">
        <f>HYPERLINK("https://rhld.insurance.arkansas.gov/NPILookup?Npi=1356725055","1356725055")</f>
        <v>1356725055</v>
      </c>
      <c r="E28604" t="s">
        <v>17763</v>
      </c>
    </row>
    <row r="28605" spans="1:5" x14ac:dyDescent="0.25">
      <c r="A28605" t="s">
        <v>17</v>
      </c>
      <c r="B28605" t="s">
        <v>8291</v>
      </c>
      <c r="C28605" s="1" t="s">
        <v>23490</v>
      </c>
      <c r="D28605" s="1" t="str">
        <f>HYPERLINK("https://rhld.insurance.arkansas.gov/NPILookup?Npi=1356760144","1356760144")</f>
        <v>1356760144</v>
      </c>
      <c r="E28605" t="s">
        <v>19173</v>
      </c>
    </row>
    <row r="28606" spans="1:5" x14ac:dyDescent="0.25">
      <c r="A28606" t="s">
        <v>17</v>
      </c>
      <c r="B28606" t="s">
        <v>8291</v>
      </c>
      <c r="C28606" s="1" t="s">
        <v>23490</v>
      </c>
      <c r="D28606" s="1" t="str">
        <f>HYPERLINK("https://rhld.insurance.arkansas.gov/NPILookup?Npi=1366403800","1366403800")</f>
        <v>1366403800</v>
      </c>
      <c r="E28606" t="s">
        <v>16761</v>
      </c>
    </row>
    <row r="28607" spans="1:5" x14ac:dyDescent="0.25">
      <c r="A28607" t="s">
        <v>17</v>
      </c>
      <c r="B28607" t="s">
        <v>8291</v>
      </c>
      <c r="C28607" s="1" t="s">
        <v>23490</v>
      </c>
      <c r="D28607" s="1" t="str">
        <f>HYPERLINK("https://rhld.insurance.arkansas.gov/NPILookup?Npi=1366739971","1366739971")</f>
        <v>1366739971</v>
      </c>
      <c r="E28607" t="s">
        <v>12174</v>
      </c>
    </row>
    <row r="28608" spans="1:5" x14ac:dyDescent="0.25">
      <c r="A28608" t="s">
        <v>17</v>
      </c>
      <c r="B28608" t="s">
        <v>8291</v>
      </c>
      <c r="C28608" s="1" t="s">
        <v>23490</v>
      </c>
      <c r="D28608" s="1" t="str">
        <f>HYPERLINK("https://rhld.insurance.arkansas.gov/NPILookup?Npi=1386609808","1386609808")</f>
        <v>1386609808</v>
      </c>
      <c r="E28608" t="s">
        <v>20793</v>
      </c>
    </row>
    <row r="28609" spans="1:5" x14ac:dyDescent="0.25">
      <c r="A28609" t="s">
        <v>17</v>
      </c>
      <c r="B28609" t="s">
        <v>8291</v>
      </c>
      <c r="C28609" s="1" t="s">
        <v>23490</v>
      </c>
      <c r="D28609" s="1" t="str">
        <f>HYPERLINK("https://rhld.insurance.arkansas.gov/NPILookup?Npi=1386908762","1386908762")</f>
        <v>1386908762</v>
      </c>
      <c r="E28609" t="s">
        <v>12175</v>
      </c>
    </row>
    <row r="28610" spans="1:5" x14ac:dyDescent="0.25">
      <c r="A28610" t="s">
        <v>17</v>
      </c>
      <c r="B28610" t="s">
        <v>8291</v>
      </c>
      <c r="C28610" s="1" t="s">
        <v>23490</v>
      </c>
      <c r="D28610" s="1" t="str">
        <f>HYPERLINK("https://rhld.insurance.arkansas.gov/NPILookup?Npi=1396852216","1396852216")</f>
        <v>1396852216</v>
      </c>
      <c r="E28610" t="s">
        <v>8337</v>
      </c>
    </row>
    <row r="28611" spans="1:5" x14ac:dyDescent="0.25">
      <c r="A28611" t="s">
        <v>17</v>
      </c>
      <c r="B28611" t="s">
        <v>8291</v>
      </c>
      <c r="C28611" s="1" t="s">
        <v>23490</v>
      </c>
      <c r="D28611" s="1" t="str">
        <f>HYPERLINK("https://rhld.insurance.arkansas.gov/NPILookup?Npi=1396963658","1396963658")</f>
        <v>1396963658</v>
      </c>
      <c r="E28611" t="s">
        <v>16762</v>
      </c>
    </row>
    <row r="28612" spans="1:5" x14ac:dyDescent="0.25">
      <c r="A28612" t="s">
        <v>17</v>
      </c>
      <c r="B28612" t="s">
        <v>8291</v>
      </c>
      <c r="C28612" s="1" t="s">
        <v>23490</v>
      </c>
      <c r="D28612" s="1" t="str">
        <f>HYPERLINK("https://rhld.insurance.arkansas.gov/NPILookup?Npi=1396974382","1396974382")</f>
        <v>1396974382</v>
      </c>
      <c r="E28612" t="s">
        <v>8338</v>
      </c>
    </row>
    <row r="28613" spans="1:5" x14ac:dyDescent="0.25">
      <c r="A28613" t="s">
        <v>17</v>
      </c>
      <c r="B28613" t="s">
        <v>8291</v>
      </c>
      <c r="C28613" s="1" t="s">
        <v>23490</v>
      </c>
      <c r="D28613" s="1" t="str">
        <f>HYPERLINK("https://rhld.insurance.arkansas.gov/NPILookup?Npi=1407801707","1407801707")</f>
        <v>1407801707</v>
      </c>
      <c r="E28613" t="s">
        <v>12176</v>
      </c>
    </row>
    <row r="28614" spans="1:5" x14ac:dyDescent="0.25">
      <c r="A28614" t="s">
        <v>17</v>
      </c>
      <c r="B28614" t="s">
        <v>8291</v>
      </c>
      <c r="C28614" s="1" t="s">
        <v>23490</v>
      </c>
      <c r="D28614" s="1" t="str">
        <f>HYPERLINK("https://rhld.insurance.arkansas.gov/NPILookup?Npi=1407856958","1407856958")</f>
        <v>1407856958</v>
      </c>
      <c r="E28614" t="s">
        <v>16763</v>
      </c>
    </row>
    <row r="28615" spans="1:5" x14ac:dyDescent="0.25">
      <c r="A28615" t="s">
        <v>17</v>
      </c>
      <c r="B28615" t="s">
        <v>8291</v>
      </c>
      <c r="C28615" s="1" t="s">
        <v>23490</v>
      </c>
      <c r="D28615" s="1" t="str">
        <f>HYPERLINK("https://rhld.insurance.arkansas.gov/NPILookup?Npi=1407877970","1407877970")</f>
        <v>1407877970</v>
      </c>
      <c r="E28615" t="s">
        <v>12177</v>
      </c>
    </row>
    <row r="28616" spans="1:5" x14ac:dyDescent="0.25">
      <c r="A28616" t="s">
        <v>17</v>
      </c>
      <c r="B28616" t="s">
        <v>8291</v>
      </c>
      <c r="C28616" s="1" t="s">
        <v>23490</v>
      </c>
      <c r="D28616" s="1" t="str">
        <f>HYPERLINK("https://rhld.insurance.arkansas.gov/NPILookup?Npi=1407887391","1407887391")</f>
        <v>1407887391</v>
      </c>
      <c r="E28616" t="s">
        <v>8339</v>
      </c>
    </row>
    <row r="28617" spans="1:5" x14ac:dyDescent="0.25">
      <c r="A28617" t="s">
        <v>17</v>
      </c>
      <c r="B28617" t="s">
        <v>8291</v>
      </c>
      <c r="C28617" s="1" t="s">
        <v>23490</v>
      </c>
      <c r="D28617" s="1" t="str">
        <f>HYPERLINK("https://rhld.insurance.arkansas.gov/NPILookup?Npi=1417272063","1417272063")</f>
        <v>1417272063</v>
      </c>
      <c r="E28617" t="s">
        <v>8340</v>
      </c>
    </row>
    <row r="28618" spans="1:5" x14ac:dyDescent="0.25">
      <c r="A28618" t="s">
        <v>17</v>
      </c>
      <c r="B28618" t="s">
        <v>8291</v>
      </c>
      <c r="C28618" s="1" t="s">
        <v>23490</v>
      </c>
      <c r="D28618" s="1" t="str">
        <f>HYPERLINK("https://rhld.insurance.arkansas.gov/NPILookup?Npi=1417914813","1417914813")</f>
        <v>1417914813</v>
      </c>
      <c r="E28618" t="s">
        <v>353</v>
      </c>
    </row>
    <row r="28619" spans="1:5" x14ac:dyDescent="0.25">
      <c r="A28619" t="s">
        <v>17</v>
      </c>
      <c r="B28619" t="s">
        <v>8291</v>
      </c>
      <c r="C28619" s="1" t="s">
        <v>23490</v>
      </c>
      <c r="D28619" s="1" t="str">
        <f>HYPERLINK("https://rhld.insurance.arkansas.gov/NPILookup?Npi=1427076777","1427076777")</f>
        <v>1427076777</v>
      </c>
      <c r="E28619" t="s">
        <v>8341</v>
      </c>
    </row>
    <row r="28620" spans="1:5" x14ac:dyDescent="0.25">
      <c r="A28620" t="s">
        <v>17</v>
      </c>
      <c r="B28620" t="s">
        <v>8291</v>
      </c>
      <c r="C28620" s="1" t="s">
        <v>23490</v>
      </c>
      <c r="D28620" s="1" t="str">
        <f>HYPERLINK("https://rhld.insurance.arkansas.gov/NPILookup?Npi=1437114824","1437114824")</f>
        <v>1437114824</v>
      </c>
      <c r="E28620" t="s">
        <v>8342</v>
      </c>
    </row>
    <row r="28621" spans="1:5" x14ac:dyDescent="0.25">
      <c r="A28621" t="s">
        <v>17</v>
      </c>
      <c r="B28621" t="s">
        <v>8291</v>
      </c>
      <c r="C28621" s="1" t="s">
        <v>23490</v>
      </c>
      <c r="D28621" s="1" t="str">
        <f>HYPERLINK("https://rhld.insurance.arkansas.gov/NPILookup?Npi=1437117561","1437117561")</f>
        <v>1437117561</v>
      </c>
      <c r="E28621" t="s">
        <v>8343</v>
      </c>
    </row>
    <row r="28622" spans="1:5" x14ac:dyDescent="0.25">
      <c r="A28622" t="s">
        <v>17</v>
      </c>
      <c r="B28622" t="s">
        <v>8291</v>
      </c>
      <c r="C28622" s="1" t="s">
        <v>23490</v>
      </c>
      <c r="D28622" s="1" t="str">
        <f>HYPERLINK("https://rhld.insurance.arkansas.gov/NPILookup?Npi=1437246147","1437246147")</f>
        <v>1437246147</v>
      </c>
      <c r="E28622" t="s">
        <v>1202</v>
      </c>
    </row>
    <row r="28623" spans="1:5" x14ac:dyDescent="0.25">
      <c r="A28623" t="s">
        <v>17</v>
      </c>
      <c r="B28623" t="s">
        <v>8291</v>
      </c>
      <c r="C28623" s="1" t="s">
        <v>23490</v>
      </c>
      <c r="D28623" s="1" t="str">
        <f>HYPERLINK("https://rhld.insurance.arkansas.gov/NPILookup?Npi=1437343845","1437343845")</f>
        <v>1437343845</v>
      </c>
      <c r="E28623" t="s">
        <v>8344</v>
      </c>
    </row>
    <row r="28624" spans="1:5" x14ac:dyDescent="0.25">
      <c r="A28624" t="s">
        <v>17</v>
      </c>
      <c r="B28624" t="s">
        <v>8291</v>
      </c>
      <c r="C28624" s="1" t="s">
        <v>23490</v>
      </c>
      <c r="D28624" s="1" t="str">
        <f>HYPERLINK("https://rhld.insurance.arkansas.gov/NPILookup?Npi=1437622750","1437622750")</f>
        <v>1437622750</v>
      </c>
      <c r="E28624" t="s">
        <v>18567</v>
      </c>
    </row>
    <row r="28625" spans="1:5" x14ac:dyDescent="0.25">
      <c r="A28625" t="s">
        <v>17</v>
      </c>
      <c r="B28625" t="s">
        <v>8291</v>
      </c>
      <c r="C28625" s="1" t="s">
        <v>8427</v>
      </c>
      <c r="D28625" s="1" t="str">
        <f>HYPERLINK("https://rhld.insurance.arkansas.gov/NPILookup?Npi=1447756374","1447756374")</f>
        <v>1447756374</v>
      </c>
      <c r="E28625" t="s">
        <v>23338</v>
      </c>
    </row>
    <row r="28626" spans="1:5" x14ac:dyDescent="0.25">
      <c r="A28626" t="s">
        <v>17</v>
      </c>
      <c r="B28626" t="s">
        <v>8291</v>
      </c>
      <c r="C28626" s="1" t="s">
        <v>23490</v>
      </c>
      <c r="D28626" s="1" t="str">
        <f>HYPERLINK("https://rhld.insurance.arkansas.gov/NPILookup?Npi=1457356933","1457356933")</f>
        <v>1457356933</v>
      </c>
      <c r="E28626" t="s">
        <v>8345</v>
      </c>
    </row>
    <row r="28627" spans="1:5" x14ac:dyDescent="0.25">
      <c r="A28627" t="s">
        <v>17</v>
      </c>
      <c r="B28627" t="s">
        <v>8291</v>
      </c>
      <c r="C28627" s="1" t="s">
        <v>8427</v>
      </c>
      <c r="D28627" s="1" t="str">
        <f>HYPERLINK("https://rhld.insurance.arkansas.gov/NPILookup?Npi=1457858508","1457858508")</f>
        <v>1457858508</v>
      </c>
      <c r="E28627" t="s">
        <v>23339</v>
      </c>
    </row>
    <row r="28628" spans="1:5" x14ac:dyDescent="0.25">
      <c r="A28628" t="s">
        <v>17</v>
      </c>
      <c r="B28628" t="s">
        <v>8291</v>
      </c>
      <c r="C28628" s="1" t="s">
        <v>23490</v>
      </c>
      <c r="D28628" s="1" t="str">
        <f>HYPERLINK("https://rhld.insurance.arkansas.gov/NPILookup?Npi=1467424580","1467424580")</f>
        <v>1467424580</v>
      </c>
      <c r="E28628" t="s">
        <v>8346</v>
      </c>
    </row>
    <row r="28629" spans="1:5" x14ac:dyDescent="0.25">
      <c r="A28629" t="s">
        <v>17</v>
      </c>
      <c r="B28629" t="s">
        <v>8291</v>
      </c>
      <c r="C28629" s="1" t="s">
        <v>23490</v>
      </c>
      <c r="D28629" s="1" t="str">
        <f>HYPERLINK("https://rhld.insurance.arkansas.gov/NPILookup?Npi=1467427146","1467427146")</f>
        <v>1467427146</v>
      </c>
      <c r="E28629" t="s">
        <v>8347</v>
      </c>
    </row>
    <row r="28630" spans="1:5" x14ac:dyDescent="0.25">
      <c r="A28630" t="s">
        <v>17</v>
      </c>
      <c r="B28630" t="s">
        <v>8291</v>
      </c>
      <c r="C28630" s="1" t="s">
        <v>23490</v>
      </c>
      <c r="D28630" s="1" t="str">
        <f>HYPERLINK("https://rhld.insurance.arkansas.gov/NPILookup?Npi=1487972527","1487972527")</f>
        <v>1487972527</v>
      </c>
      <c r="E28630" t="s">
        <v>14581</v>
      </c>
    </row>
    <row r="28631" spans="1:5" x14ac:dyDescent="0.25">
      <c r="A28631" t="s">
        <v>17</v>
      </c>
      <c r="B28631" t="s">
        <v>8291</v>
      </c>
      <c r="C28631" s="1" t="s">
        <v>23490</v>
      </c>
      <c r="D28631" s="1" t="str">
        <f>HYPERLINK("https://rhld.insurance.arkansas.gov/NPILookup?Npi=1497073944","1497073944")</f>
        <v>1497073944</v>
      </c>
      <c r="E28631" t="s">
        <v>14582</v>
      </c>
    </row>
    <row r="28632" spans="1:5" x14ac:dyDescent="0.25">
      <c r="A28632" t="s">
        <v>17</v>
      </c>
      <c r="B28632" t="s">
        <v>8291</v>
      </c>
      <c r="C28632" s="1" t="s">
        <v>23490</v>
      </c>
      <c r="D28632" s="1" t="str">
        <f>HYPERLINK("https://rhld.insurance.arkansas.gov/NPILookup?Npi=1497750970","1497750970")</f>
        <v>1497750970</v>
      </c>
      <c r="E28632" t="s">
        <v>8348</v>
      </c>
    </row>
    <row r="28633" spans="1:5" x14ac:dyDescent="0.25">
      <c r="A28633" t="s">
        <v>17</v>
      </c>
      <c r="B28633" t="s">
        <v>8291</v>
      </c>
      <c r="C28633" s="1" t="s">
        <v>23490</v>
      </c>
      <c r="D28633" s="1" t="str">
        <f>HYPERLINK("https://rhld.insurance.arkansas.gov/NPILookup?Npi=1497810139","1497810139")</f>
        <v>1497810139</v>
      </c>
      <c r="E28633" t="s">
        <v>8349</v>
      </c>
    </row>
    <row r="28634" spans="1:5" x14ac:dyDescent="0.25">
      <c r="A28634" t="s">
        <v>17</v>
      </c>
      <c r="B28634" t="s">
        <v>8291</v>
      </c>
      <c r="C28634" s="1" t="s">
        <v>23490</v>
      </c>
      <c r="D28634" s="1" t="str">
        <f>HYPERLINK("https://rhld.insurance.arkansas.gov/NPILookup?Npi=1497860720","1497860720")</f>
        <v>1497860720</v>
      </c>
      <c r="E28634" t="s">
        <v>8350</v>
      </c>
    </row>
    <row r="28635" spans="1:5" x14ac:dyDescent="0.25">
      <c r="A28635" t="s">
        <v>17</v>
      </c>
      <c r="B28635" t="s">
        <v>8291</v>
      </c>
      <c r="C28635" s="1" t="s">
        <v>23490</v>
      </c>
      <c r="D28635" s="1" t="str">
        <f>HYPERLINK("https://rhld.insurance.arkansas.gov/NPILookup?Npi=1508862905","1508862905")</f>
        <v>1508862905</v>
      </c>
      <c r="E28635" t="s">
        <v>8351</v>
      </c>
    </row>
    <row r="28636" spans="1:5" x14ac:dyDescent="0.25">
      <c r="A28636" t="s">
        <v>17</v>
      </c>
      <c r="B28636" t="s">
        <v>8291</v>
      </c>
      <c r="C28636" s="1" t="s">
        <v>23490</v>
      </c>
      <c r="D28636" s="1" t="str">
        <f>HYPERLINK("https://rhld.insurance.arkansas.gov/NPILookup?Npi=1508867029","1508867029")</f>
        <v>1508867029</v>
      </c>
      <c r="E28636" t="s">
        <v>8352</v>
      </c>
    </row>
    <row r="28637" spans="1:5" x14ac:dyDescent="0.25">
      <c r="A28637" t="s">
        <v>17</v>
      </c>
      <c r="B28637" t="s">
        <v>8291</v>
      </c>
      <c r="C28637" s="1" t="s">
        <v>23490</v>
      </c>
      <c r="D28637" s="1" t="str">
        <f>HYPERLINK("https://rhld.insurance.arkansas.gov/NPILookup?Npi=1508889817","1508889817")</f>
        <v>1508889817</v>
      </c>
      <c r="E28637" t="s">
        <v>8353</v>
      </c>
    </row>
    <row r="28638" spans="1:5" x14ac:dyDescent="0.25">
      <c r="A28638" t="s">
        <v>17</v>
      </c>
      <c r="B28638" t="s">
        <v>8291</v>
      </c>
      <c r="C28638" s="1" t="s">
        <v>23490</v>
      </c>
      <c r="D28638" s="1" t="str">
        <f>HYPERLINK("https://rhld.insurance.arkansas.gov/NPILookup?Npi=1518915008","1518915008")</f>
        <v>1518915008</v>
      </c>
      <c r="E28638" t="s">
        <v>16764</v>
      </c>
    </row>
    <row r="28639" spans="1:5" x14ac:dyDescent="0.25">
      <c r="A28639" t="s">
        <v>17</v>
      </c>
      <c r="B28639" t="s">
        <v>8291</v>
      </c>
      <c r="C28639" s="1" t="s">
        <v>23490</v>
      </c>
      <c r="D28639" s="1" t="str">
        <f>HYPERLINK("https://rhld.insurance.arkansas.gov/NPILookup?Npi=1528083003","1528083003")</f>
        <v>1528083003</v>
      </c>
      <c r="E28639" t="s">
        <v>16765</v>
      </c>
    </row>
    <row r="28640" spans="1:5" x14ac:dyDescent="0.25">
      <c r="A28640" t="s">
        <v>17</v>
      </c>
      <c r="B28640" t="s">
        <v>8291</v>
      </c>
      <c r="C28640" s="1" t="s">
        <v>23490</v>
      </c>
      <c r="D28640" s="1" t="str">
        <f>HYPERLINK("https://rhld.insurance.arkansas.gov/NPILookup?Npi=1528262318","1528262318")</f>
        <v>1528262318</v>
      </c>
      <c r="E28640" t="s">
        <v>8354</v>
      </c>
    </row>
    <row r="28641" spans="1:5" x14ac:dyDescent="0.25">
      <c r="A28641" t="s">
        <v>17</v>
      </c>
      <c r="B28641" t="s">
        <v>8291</v>
      </c>
      <c r="C28641" s="1" t="s">
        <v>23490</v>
      </c>
      <c r="D28641" s="1" t="str">
        <f>HYPERLINK("https://rhld.insurance.arkansas.gov/NPILookup?Npi=1538134283","1538134283")</f>
        <v>1538134283</v>
      </c>
      <c r="E28641" t="s">
        <v>8355</v>
      </c>
    </row>
    <row r="28642" spans="1:5" x14ac:dyDescent="0.25">
      <c r="A28642" t="s">
        <v>17</v>
      </c>
      <c r="B28642" t="s">
        <v>8291</v>
      </c>
      <c r="C28642" s="1" t="s">
        <v>23490</v>
      </c>
      <c r="D28642" s="1" t="str">
        <f>HYPERLINK("https://rhld.insurance.arkansas.gov/NPILookup?Npi=1538163910","1538163910")</f>
        <v>1538163910</v>
      </c>
      <c r="E28642" t="s">
        <v>8356</v>
      </c>
    </row>
    <row r="28643" spans="1:5" x14ac:dyDescent="0.25">
      <c r="A28643" t="s">
        <v>17</v>
      </c>
      <c r="B28643" t="s">
        <v>8291</v>
      </c>
      <c r="C28643" s="1" t="s">
        <v>23490</v>
      </c>
      <c r="D28643" s="1" t="str">
        <f>HYPERLINK("https://rhld.insurance.arkansas.gov/NPILookup?Npi=1538363577","1538363577")</f>
        <v>1538363577</v>
      </c>
      <c r="E28643" t="s">
        <v>19174</v>
      </c>
    </row>
    <row r="28644" spans="1:5" x14ac:dyDescent="0.25">
      <c r="A28644" t="s">
        <v>17</v>
      </c>
      <c r="B28644" t="s">
        <v>8291</v>
      </c>
      <c r="C28644" s="1" t="s">
        <v>23490</v>
      </c>
      <c r="D28644" s="1" t="str">
        <f>HYPERLINK("https://rhld.insurance.arkansas.gov/NPILookup?Npi=1548225055","1548225055")</f>
        <v>1548225055</v>
      </c>
      <c r="E28644" t="s">
        <v>6258</v>
      </c>
    </row>
    <row r="28645" spans="1:5" x14ac:dyDescent="0.25">
      <c r="A28645" t="s">
        <v>17</v>
      </c>
      <c r="B28645" t="s">
        <v>8291</v>
      </c>
      <c r="C28645" s="1" t="s">
        <v>23490</v>
      </c>
      <c r="D28645" s="1" t="str">
        <f>HYPERLINK("https://rhld.insurance.arkansas.gov/NPILookup?Npi=1558363507","1558363507")</f>
        <v>1558363507</v>
      </c>
      <c r="E28645" t="s">
        <v>8357</v>
      </c>
    </row>
    <row r="28646" spans="1:5" x14ac:dyDescent="0.25">
      <c r="A28646" t="s">
        <v>17</v>
      </c>
      <c r="B28646" t="s">
        <v>8291</v>
      </c>
      <c r="C28646" s="1" t="s">
        <v>23490</v>
      </c>
      <c r="D28646" s="1" t="str">
        <f>HYPERLINK("https://rhld.insurance.arkansas.gov/NPILookup?Npi=1558382028","1558382028")</f>
        <v>1558382028</v>
      </c>
      <c r="E28646" t="s">
        <v>14583</v>
      </c>
    </row>
    <row r="28647" spans="1:5" x14ac:dyDescent="0.25">
      <c r="A28647" t="s">
        <v>17</v>
      </c>
      <c r="B28647" t="s">
        <v>8291</v>
      </c>
      <c r="C28647" s="1" t="s">
        <v>23490</v>
      </c>
      <c r="D28647" s="1" t="str">
        <f>HYPERLINK("https://rhld.insurance.arkansas.gov/NPILookup?Npi=1558673889","1558673889")</f>
        <v>1558673889</v>
      </c>
      <c r="E28647" t="s">
        <v>8358</v>
      </c>
    </row>
    <row r="28648" spans="1:5" x14ac:dyDescent="0.25">
      <c r="A28648" t="s">
        <v>17</v>
      </c>
      <c r="B28648" t="s">
        <v>8291</v>
      </c>
      <c r="C28648" s="1" t="s">
        <v>23490</v>
      </c>
      <c r="D28648" s="1" t="str">
        <f>HYPERLINK("https://rhld.insurance.arkansas.gov/NPILookup?Npi=1568487627","1568487627")</f>
        <v>1568487627</v>
      </c>
      <c r="E28648" t="s">
        <v>22746</v>
      </c>
    </row>
    <row r="28649" spans="1:5" x14ac:dyDescent="0.25">
      <c r="A28649" t="s">
        <v>17</v>
      </c>
      <c r="B28649" t="s">
        <v>8291</v>
      </c>
      <c r="C28649" s="1" t="s">
        <v>23490</v>
      </c>
      <c r="D28649" s="1" t="str">
        <f>HYPERLINK("https://rhld.insurance.arkansas.gov/NPILookup?Npi=1568505543","1568505543")</f>
        <v>1568505543</v>
      </c>
      <c r="E28649" t="s">
        <v>8359</v>
      </c>
    </row>
    <row r="28650" spans="1:5" x14ac:dyDescent="0.25">
      <c r="A28650" t="s">
        <v>17</v>
      </c>
      <c r="B28650" t="s">
        <v>8291</v>
      </c>
      <c r="C28650" s="1" t="s">
        <v>23490</v>
      </c>
      <c r="D28650" s="1" t="str">
        <f>HYPERLINK("https://rhld.insurance.arkansas.gov/NPILookup?Npi=1568669448","1568669448")</f>
        <v>1568669448</v>
      </c>
      <c r="E28650" t="s">
        <v>14584</v>
      </c>
    </row>
    <row r="28651" spans="1:5" x14ac:dyDescent="0.25">
      <c r="A28651" t="s">
        <v>17</v>
      </c>
      <c r="B28651" t="s">
        <v>8291</v>
      </c>
      <c r="C28651" s="1" t="s">
        <v>23490</v>
      </c>
      <c r="D28651" s="1" t="str">
        <f>HYPERLINK("https://rhld.insurance.arkansas.gov/NPILookup?Npi=1578538229","1578538229")</f>
        <v>1578538229</v>
      </c>
      <c r="E28651" t="s">
        <v>8360</v>
      </c>
    </row>
    <row r="28652" spans="1:5" x14ac:dyDescent="0.25">
      <c r="A28652" t="s">
        <v>17</v>
      </c>
      <c r="B28652" t="s">
        <v>8291</v>
      </c>
      <c r="C28652" s="1" t="s">
        <v>23490</v>
      </c>
      <c r="D28652" s="1" t="str">
        <f>HYPERLINK("https://rhld.insurance.arkansas.gov/NPILookup?Npi=1578538252","1578538252")</f>
        <v>1578538252</v>
      </c>
      <c r="E28652" t="s">
        <v>8361</v>
      </c>
    </row>
    <row r="28653" spans="1:5" x14ac:dyDescent="0.25">
      <c r="A28653" t="s">
        <v>17</v>
      </c>
      <c r="B28653" t="s">
        <v>8291</v>
      </c>
      <c r="C28653" s="1" t="s">
        <v>23490</v>
      </c>
      <c r="D28653" s="1" t="str">
        <f>HYPERLINK("https://rhld.insurance.arkansas.gov/NPILookup?Npi=1578538963","1578538963")</f>
        <v>1578538963</v>
      </c>
      <c r="E28653" t="s">
        <v>8362</v>
      </c>
    </row>
    <row r="28654" spans="1:5" x14ac:dyDescent="0.25">
      <c r="A28654" t="s">
        <v>17</v>
      </c>
      <c r="B28654" t="s">
        <v>8291</v>
      </c>
      <c r="C28654" s="1" t="s">
        <v>23490</v>
      </c>
      <c r="D28654" s="1" t="str">
        <f>HYPERLINK("https://rhld.insurance.arkansas.gov/NPILookup?Npi=1578583423","1578583423")</f>
        <v>1578583423</v>
      </c>
      <c r="E28654" t="s">
        <v>12178</v>
      </c>
    </row>
    <row r="28655" spans="1:5" x14ac:dyDescent="0.25">
      <c r="A28655" t="s">
        <v>17</v>
      </c>
      <c r="B28655" t="s">
        <v>8291</v>
      </c>
      <c r="C28655" s="1" t="s">
        <v>23490</v>
      </c>
      <c r="D28655" s="1" t="str">
        <f>HYPERLINK("https://rhld.insurance.arkansas.gov/NPILookup?Npi=1578606109","1578606109")</f>
        <v>1578606109</v>
      </c>
      <c r="E28655" t="s">
        <v>8363</v>
      </c>
    </row>
    <row r="28656" spans="1:5" x14ac:dyDescent="0.25">
      <c r="A28656" t="s">
        <v>17</v>
      </c>
      <c r="B28656" t="s">
        <v>8291</v>
      </c>
      <c r="C28656" s="1" t="s">
        <v>23490</v>
      </c>
      <c r="D28656" s="1" t="str">
        <f>HYPERLINK("https://rhld.insurance.arkansas.gov/NPILookup?Npi=1578670477","1578670477")</f>
        <v>1578670477</v>
      </c>
      <c r="E28656" t="s">
        <v>8364</v>
      </c>
    </row>
    <row r="28657" spans="1:5" x14ac:dyDescent="0.25">
      <c r="A28657" t="s">
        <v>17</v>
      </c>
      <c r="B28657" t="s">
        <v>8291</v>
      </c>
      <c r="C28657" s="1" t="s">
        <v>23490</v>
      </c>
      <c r="D28657" s="1" t="str">
        <f>HYPERLINK("https://rhld.insurance.arkansas.gov/NPILookup?Npi=1588621254","1588621254")</f>
        <v>1588621254</v>
      </c>
      <c r="E28657" t="s">
        <v>8365</v>
      </c>
    </row>
    <row r="28658" spans="1:5" x14ac:dyDescent="0.25">
      <c r="A28658" t="s">
        <v>17</v>
      </c>
      <c r="B28658" t="s">
        <v>8291</v>
      </c>
      <c r="C28658" s="1" t="s">
        <v>23490</v>
      </c>
      <c r="D28658" s="1" t="str">
        <f>HYPERLINK("https://rhld.insurance.arkansas.gov/NPILookup?Npi=1588733992","1588733992")</f>
        <v>1588733992</v>
      </c>
      <c r="E28658" t="s">
        <v>8353</v>
      </c>
    </row>
    <row r="28659" spans="1:5" x14ac:dyDescent="0.25">
      <c r="A28659" t="s">
        <v>17</v>
      </c>
      <c r="B28659" t="s">
        <v>8291</v>
      </c>
      <c r="C28659" s="1" t="s">
        <v>23490</v>
      </c>
      <c r="D28659" s="1" t="str">
        <f>HYPERLINK("https://rhld.insurance.arkansas.gov/NPILookup?Npi=1598921892","1598921892")</f>
        <v>1598921892</v>
      </c>
      <c r="E28659" t="s">
        <v>16766</v>
      </c>
    </row>
    <row r="28660" spans="1:5" x14ac:dyDescent="0.25">
      <c r="A28660" t="s">
        <v>17</v>
      </c>
      <c r="B28660" t="s">
        <v>8291</v>
      </c>
      <c r="C28660" s="1" t="s">
        <v>23490</v>
      </c>
      <c r="D28660" s="1" t="str">
        <f>HYPERLINK("https://rhld.insurance.arkansas.gov/NPILookup?Npi=1609816719","1609816719")</f>
        <v>1609816719</v>
      </c>
      <c r="E28660" t="s">
        <v>5229</v>
      </c>
    </row>
    <row r="28661" spans="1:5" x14ac:dyDescent="0.25">
      <c r="A28661" t="s">
        <v>17</v>
      </c>
      <c r="B28661" t="s">
        <v>8291</v>
      </c>
      <c r="C28661" s="1" t="s">
        <v>23490</v>
      </c>
      <c r="D28661" s="1" t="str">
        <f>HYPERLINK("https://rhld.insurance.arkansas.gov/NPILookup?Npi=1619929346","1619929346")</f>
        <v>1619929346</v>
      </c>
      <c r="E28661" t="s">
        <v>8366</v>
      </c>
    </row>
    <row r="28662" spans="1:5" x14ac:dyDescent="0.25">
      <c r="A28662" t="s">
        <v>17</v>
      </c>
      <c r="B28662" t="s">
        <v>8291</v>
      </c>
      <c r="C28662" s="1" t="s">
        <v>23490</v>
      </c>
      <c r="D28662" s="1" t="str">
        <f>HYPERLINK("https://rhld.insurance.arkansas.gov/NPILookup?Npi=1619945714","1619945714")</f>
        <v>1619945714</v>
      </c>
      <c r="E28662" t="s">
        <v>8367</v>
      </c>
    </row>
    <row r="28663" spans="1:5" x14ac:dyDescent="0.25">
      <c r="A28663" t="s">
        <v>17</v>
      </c>
      <c r="B28663" t="s">
        <v>8291</v>
      </c>
      <c r="C28663" s="1" t="s">
        <v>23490</v>
      </c>
      <c r="D28663" s="1" t="str">
        <f>HYPERLINK("https://rhld.insurance.arkansas.gov/NPILookup?Npi=1629042247","1629042247")</f>
        <v>1629042247</v>
      </c>
      <c r="E28663" t="s">
        <v>22747</v>
      </c>
    </row>
    <row r="28664" spans="1:5" x14ac:dyDescent="0.25">
      <c r="A28664" t="s">
        <v>17</v>
      </c>
      <c r="B28664" t="s">
        <v>8291</v>
      </c>
      <c r="C28664" s="1" t="s">
        <v>23490</v>
      </c>
      <c r="D28664" s="1" t="str">
        <f>HYPERLINK("https://rhld.insurance.arkansas.gov/NPILookup?Npi=1649275116","1649275116")</f>
        <v>1649275116</v>
      </c>
      <c r="E28664" t="s">
        <v>8368</v>
      </c>
    </row>
    <row r="28665" spans="1:5" x14ac:dyDescent="0.25">
      <c r="A28665" t="s">
        <v>17</v>
      </c>
      <c r="B28665" t="s">
        <v>8291</v>
      </c>
      <c r="C28665" s="1" t="s">
        <v>23490</v>
      </c>
      <c r="D28665" s="1" t="str">
        <f>HYPERLINK("https://rhld.insurance.arkansas.gov/NPILookup?Npi=1649536350","1649536350")</f>
        <v>1649536350</v>
      </c>
      <c r="E28665" t="s">
        <v>19175</v>
      </c>
    </row>
    <row r="28666" spans="1:5" x14ac:dyDescent="0.25">
      <c r="A28666" t="s">
        <v>17</v>
      </c>
      <c r="B28666" t="s">
        <v>8291</v>
      </c>
      <c r="C28666" s="1" t="s">
        <v>23490</v>
      </c>
      <c r="D28666" s="1" t="str">
        <f>HYPERLINK("https://rhld.insurance.arkansas.gov/NPILookup?Npi=1659364339","1659364339")</f>
        <v>1659364339</v>
      </c>
      <c r="E28666" t="s">
        <v>8369</v>
      </c>
    </row>
    <row r="28667" spans="1:5" x14ac:dyDescent="0.25">
      <c r="A28667" t="s">
        <v>17</v>
      </c>
      <c r="B28667" t="s">
        <v>8291</v>
      </c>
      <c r="C28667" s="1" t="s">
        <v>23490</v>
      </c>
      <c r="D28667" s="1" t="str">
        <f>HYPERLINK("https://rhld.insurance.arkansas.gov/NPILookup?Npi=1659457455","1659457455")</f>
        <v>1659457455</v>
      </c>
      <c r="E28667" t="s">
        <v>8370</v>
      </c>
    </row>
    <row r="28668" spans="1:5" x14ac:dyDescent="0.25">
      <c r="A28668" t="s">
        <v>17</v>
      </c>
      <c r="B28668" t="s">
        <v>8291</v>
      </c>
      <c r="C28668" s="1" t="s">
        <v>23490</v>
      </c>
      <c r="D28668" s="1" t="str">
        <f>HYPERLINK("https://rhld.insurance.arkansas.gov/NPILookup?Npi=1659544385","1659544385")</f>
        <v>1659544385</v>
      </c>
      <c r="E28668" t="s">
        <v>8371</v>
      </c>
    </row>
    <row r="28669" spans="1:5" x14ac:dyDescent="0.25">
      <c r="A28669" t="s">
        <v>17</v>
      </c>
      <c r="B28669" t="s">
        <v>8291</v>
      </c>
      <c r="C28669" s="1" t="s">
        <v>23490</v>
      </c>
      <c r="D28669" s="1" t="str">
        <f>HYPERLINK("https://rhld.insurance.arkansas.gov/NPILookup?Npi=1659844702","1659844702")</f>
        <v>1659844702</v>
      </c>
      <c r="E28669" t="s">
        <v>16767</v>
      </c>
    </row>
    <row r="28670" spans="1:5" x14ac:dyDescent="0.25">
      <c r="A28670" t="s">
        <v>17</v>
      </c>
      <c r="B28670" t="s">
        <v>8291</v>
      </c>
      <c r="C28670" s="1" t="s">
        <v>23490</v>
      </c>
      <c r="D28670" s="1" t="str">
        <f>HYPERLINK("https://rhld.insurance.arkansas.gov/NPILookup?Npi=1669420931","1669420931")</f>
        <v>1669420931</v>
      </c>
      <c r="E28670" t="s">
        <v>8372</v>
      </c>
    </row>
    <row r="28671" spans="1:5" x14ac:dyDescent="0.25">
      <c r="A28671" t="s">
        <v>17</v>
      </c>
      <c r="B28671" t="s">
        <v>8291</v>
      </c>
      <c r="C28671" s="1" t="s">
        <v>23490</v>
      </c>
      <c r="D28671" s="1" t="str">
        <f>HYPERLINK("https://rhld.insurance.arkansas.gov/NPILookup?Npi=1669615225","1669615225")</f>
        <v>1669615225</v>
      </c>
      <c r="E28671" t="s">
        <v>8303</v>
      </c>
    </row>
    <row r="28672" spans="1:5" x14ac:dyDescent="0.25">
      <c r="A28672" t="s">
        <v>17</v>
      </c>
      <c r="B28672" t="s">
        <v>8291</v>
      </c>
      <c r="C28672" s="1" t="s">
        <v>23490</v>
      </c>
      <c r="D28672" s="1" t="str">
        <f>HYPERLINK("https://rhld.insurance.arkansas.gov/NPILookup?Npi=1679694822","1679694822")</f>
        <v>1679694822</v>
      </c>
      <c r="E28672" t="s">
        <v>8373</v>
      </c>
    </row>
    <row r="28673" spans="1:5" x14ac:dyDescent="0.25">
      <c r="A28673" t="s">
        <v>17</v>
      </c>
      <c r="B28673" t="s">
        <v>8291</v>
      </c>
      <c r="C28673" s="1" t="s">
        <v>23490</v>
      </c>
      <c r="D28673" s="1" t="str">
        <f>HYPERLINK("https://rhld.insurance.arkansas.gov/NPILookup?Npi=1689037186","1689037186")</f>
        <v>1689037186</v>
      </c>
      <c r="E28673" t="s">
        <v>19176</v>
      </c>
    </row>
    <row r="28674" spans="1:5" x14ac:dyDescent="0.25">
      <c r="A28674" t="s">
        <v>17</v>
      </c>
      <c r="B28674" t="s">
        <v>8291</v>
      </c>
      <c r="C28674" s="1" t="s">
        <v>23490</v>
      </c>
      <c r="D28674" s="1" t="str">
        <f>HYPERLINK("https://rhld.insurance.arkansas.gov/NPILookup?Npi=1689773020","1689773020")</f>
        <v>1689773020</v>
      </c>
      <c r="E28674" t="s">
        <v>14585</v>
      </c>
    </row>
    <row r="28675" spans="1:5" x14ac:dyDescent="0.25">
      <c r="A28675" t="s">
        <v>17</v>
      </c>
      <c r="B28675" t="s">
        <v>8291</v>
      </c>
      <c r="C28675" s="1" t="s">
        <v>23490</v>
      </c>
      <c r="D28675" s="1" t="str">
        <f>HYPERLINK("https://rhld.insurance.arkansas.gov/NPILookup?Npi=1699770107","1699770107")</f>
        <v>1699770107</v>
      </c>
      <c r="E28675" t="s">
        <v>8374</v>
      </c>
    </row>
    <row r="28676" spans="1:5" x14ac:dyDescent="0.25">
      <c r="A28676" t="s">
        <v>17</v>
      </c>
      <c r="B28676" t="s">
        <v>8291</v>
      </c>
      <c r="C28676" s="1" t="s">
        <v>23490</v>
      </c>
      <c r="D28676" s="1" t="str">
        <f>HYPERLINK("https://rhld.insurance.arkansas.gov/NPILookup?Npi=1700057106","1700057106")</f>
        <v>1700057106</v>
      </c>
      <c r="E28676" t="s">
        <v>16768</v>
      </c>
    </row>
    <row r="28677" spans="1:5" x14ac:dyDescent="0.25">
      <c r="A28677" t="s">
        <v>17</v>
      </c>
      <c r="B28677" t="s">
        <v>8291</v>
      </c>
      <c r="C28677" s="1" t="s">
        <v>23490</v>
      </c>
      <c r="D28677" s="1" t="str">
        <f>HYPERLINK("https://rhld.insurance.arkansas.gov/NPILookup?Npi=1700101441","1700101441")</f>
        <v>1700101441</v>
      </c>
      <c r="E28677" t="s">
        <v>9311</v>
      </c>
    </row>
    <row r="28678" spans="1:5" x14ac:dyDescent="0.25">
      <c r="A28678" t="s">
        <v>17</v>
      </c>
      <c r="B28678" t="s">
        <v>8291</v>
      </c>
      <c r="C28678" s="1" t="s">
        <v>23490</v>
      </c>
      <c r="D28678" s="1" t="str">
        <f>HYPERLINK("https://rhld.insurance.arkansas.gov/NPILookup?Npi=1700960812","1700960812")</f>
        <v>1700960812</v>
      </c>
      <c r="E28678" t="s">
        <v>13287</v>
      </c>
    </row>
    <row r="28679" spans="1:5" x14ac:dyDescent="0.25">
      <c r="A28679" t="s">
        <v>17</v>
      </c>
      <c r="B28679" t="s">
        <v>8291</v>
      </c>
      <c r="C28679" s="1" t="s">
        <v>23490</v>
      </c>
      <c r="D28679" s="1" t="str">
        <f>HYPERLINK("https://rhld.insurance.arkansas.gov/NPILookup?Npi=1710902440","1710902440")</f>
        <v>1710902440</v>
      </c>
      <c r="E28679" t="s">
        <v>8376</v>
      </c>
    </row>
    <row r="28680" spans="1:5" x14ac:dyDescent="0.25">
      <c r="A28680" t="s">
        <v>17</v>
      </c>
      <c r="B28680" t="s">
        <v>8291</v>
      </c>
      <c r="C28680" s="1" t="s">
        <v>23490</v>
      </c>
      <c r="D28680" s="1" t="str">
        <f>HYPERLINK("https://rhld.insurance.arkansas.gov/NPILookup?Npi=1710945522","1710945522")</f>
        <v>1710945522</v>
      </c>
      <c r="E28680" t="s">
        <v>8377</v>
      </c>
    </row>
    <row r="28681" spans="1:5" x14ac:dyDescent="0.25">
      <c r="A28681" t="s">
        <v>17</v>
      </c>
      <c r="B28681" t="s">
        <v>8291</v>
      </c>
      <c r="C28681" s="1" t="s">
        <v>23490</v>
      </c>
      <c r="D28681" s="1" t="str">
        <f>HYPERLINK("https://rhld.insurance.arkansas.gov/NPILookup?Npi=1710945860","1710945860")</f>
        <v>1710945860</v>
      </c>
      <c r="E28681" t="s">
        <v>8378</v>
      </c>
    </row>
    <row r="28682" spans="1:5" x14ac:dyDescent="0.25">
      <c r="A28682" t="s">
        <v>17</v>
      </c>
      <c r="B28682" t="s">
        <v>8291</v>
      </c>
      <c r="C28682" s="1" t="s">
        <v>23490</v>
      </c>
      <c r="D28682" s="1" t="str">
        <f>HYPERLINK("https://rhld.insurance.arkansas.gov/NPILookup?Npi=1730105818","1730105818")</f>
        <v>1730105818</v>
      </c>
      <c r="E28682" t="s">
        <v>8379</v>
      </c>
    </row>
    <row r="28683" spans="1:5" x14ac:dyDescent="0.25">
      <c r="A28683" t="s">
        <v>17</v>
      </c>
      <c r="B28683" t="s">
        <v>8291</v>
      </c>
      <c r="C28683" s="1" t="s">
        <v>23490</v>
      </c>
      <c r="D28683" s="1" t="str">
        <f>HYPERLINK("https://rhld.insurance.arkansas.gov/NPILookup?Npi=1730145954","1730145954")</f>
        <v>1730145954</v>
      </c>
      <c r="E28683" t="s">
        <v>8380</v>
      </c>
    </row>
    <row r="28684" spans="1:5" x14ac:dyDescent="0.25">
      <c r="A28684" t="s">
        <v>17</v>
      </c>
      <c r="B28684" t="s">
        <v>8291</v>
      </c>
      <c r="C28684" s="1" t="s">
        <v>23490</v>
      </c>
      <c r="D28684" s="1" t="str">
        <f>HYPERLINK("https://rhld.insurance.arkansas.gov/NPILookup?Npi=1730147877","1730147877")</f>
        <v>1730147877</v>
      </c>
      <c r="E28684" t="s">
        <v>8381</v>
      </c>
    </row>
    <row r="28685" spans="1:5" x14ac:dyDescent="0.25">
      <c r="A28685" t="s">
        <v>17</v>
      </c>
      <c r="B28685" t="s">
        <v>8291</v>
      </c>
      <c r="C28685" s="1" t="s">
        <v>23490</v>
      </c>
      <c r="D28685" s="1" t="str">
        <f>HYPERLINK("https://rhld.insurance.arkansas.gov/NPILookup?Npi=1730150640","1730150640")</f>
        <v>1730150640</v>
      </c>
      <c r="E28685" t="s">
        <v>16769</v>
      </c>
    </row>
    <row r="28686" spans="1:5" x14ac:dyDescent="0.25">
      <c r="A28686" t="s">
        <v>17</v>
      </c>
      <c r="B28686" t="s">
        <v>8291</v>
      </c>
      <c r="C28686" s="1" t="s">
        <v>23490</v>
      </c>
      <c r="D28686" s="1" t="str">
        <f>HYPERLINK("https://rhld.insurance.arkansas.gov/NPILookup?Npi=1730183534","1730183534")</f>
        <v>1730183534</v>
      </c>
      <c r="E28686" t="s">
        <v>8382</v>
      </c>
    </row>
    <row r="28687" spans="1:5" x14ac:dyDescent="0.25">
      <c r="A28687" t="s">
        <v>17</v>
      </c>
      <c r="B28687" t="s">
        <v>8291</v>
      </c>
      <c r="C28687" s="1" t="s">
        <v>23490</v>
      </c>
      <c r="D28687" s="1" t="str">
        <f>HYPERLINK("https://rhld.insurance.arkansas.gov/NPILookup?Npi=1730193459","1730193459")</f>
        <v>1730193459</v>
      </c>
      <c r="E28687" t="s">
        <v>12179</v>
      </c>
    </row>
    <row r="28688" spans="1:5" x14ac:dyDescent="0.25">
      <c r="A28688" t="s">
        <v>17</v>
      </c>
      <c r="B28688" t="s">
        <v>8291</v>
      </c>
      <c r="C28688" s="1" t="s">
        <v>23490</v>
      </c>
      <c r="D28688" s="1" t="str">
        <f>HYPERLINK("https://rhld.insurance.arkansas.gov/NPILookup?Npi=1730287913","1730287913")</f>
        <v>1730287913</v>
      </c>
      <c r="E28688" t="s">
        <v>19177</v>
      </c>
    </row>
    <row r="28689" spans="1:5" x14ac:dyDescent="0.25">
      <c r="A28689" t="s">
        <v>17</v>
      </c>
      <c r="B28689" t="s">
        <v>8291</v>
      </c>
      <c r="C28689" s="1" t="s">
        <v>23490</v>
      </c>
      <c r="D28689" s="1" t="str">
        <f>HYPERLINK("https://rhld.insurance.arkansas.gov/NPILookup?Npi=1730322744","1730322744")</f>
        <v>1730322744</v>
      </c>
      <c r="E28689" t="s">
        <v>8383</v>
      </c>
    </row>
    <row r="28690" spans="1:5" x14ac:dyDescent="0.25">
      <c r="A28690" t="s">
        <v>17</v>
      </c>
      <c r="B28690" t="s">
        <v>8291</v>
      </c>
      <c r="C28690" s="1" t="s">
        <v>23490</v>
      </c>
      <c r="D28690" s="1" t="str">
        <f>HYPERLINK("https://rhld.insurance.arkansas.gov/NPILookup?Npi=1730380304","1730380304")</f>
        <v>1730380304</v>
      </c>
      <c r="E28690" t="s">
        <v>8384</v>
      </c>
    </row>
    <row r="28691" spans="1:5" x14ac:dyDescent="0.25">
      <c r="A28691" t="s">
        <v>17</v>
      </c>
      <c r="B28691" t="s">
        <v>8291</v>
      </c>
      <c r="C28691" s="1" t="s">
        <v>23490</v>
      </c>
      <c r="D28691" s="1" t="str">
        <f>HYPERLINK("https://rhld.insurance.arkansas.gov/NPILookup?Npi=1730575432","1730575432")</f>
        <v>1730575432</v>
      </c>
      <c r="E28691" t="s">
        <v>17764</v>
      </c>
    </row>
    <row r="28692" spans="1:5" x14ac:dyDescent="0.25">
      <c r="A28692" t="s">
        <v>17</v>
      </c>
      <c r="B28692" t="s">
        <v>8291</v>
      </c>
      <c r="C28692" s="1" t="s">
        <v>23490</v>
      </c>
      <c r="D28692" s="1" t="str">
        <f>HYPERLINK("https://rhld.insurance.arkansas.gov/NPILookup?Npi=1740356153","1740356153")</f>
        <v>1740356153</v>
      </c>
      <c r="E28692" t="s">
        <v>8385</v>
      </c>
    </row>
    <row r="28693" spans="1:5" x14ac:dyDescent="0.25">
      <c r="A28693" t="s">
        <v>17</v>
      </c>
      <c r="B28693" t="s">
        <v>8291</v>
      </c>
      <c r="C28693" s="1" t="s">
        <v>23490</v>
      </c>
      <c r="D28693" s="1" t="str">
        <f>HYPERLINK("https://rhld.insurance.arkansas.gov/NPILookup?Npi=1740496686","1740496686")</f>
        <v>1740496686</v>
      </c>
      <c r="E28693" t="s">
        <v>8386</v>
      </c>
    </row>
    <row r="28694" spans="1:5" x14ac:dyDescent="0.25">
      <c r="A28694" t="s">
        <v>17</v>
      </c>
      <c r="B28694" t="s">
        <v>8291</v>
      </c>
      <c r="C28694" s="1" t="s">
        <v>23490</v>
      </c>
      <c r="D28694" s="1" t="str">
        <f>HYPERLINK("https://rhld.insurance.arkansas.gov/NPILookup?Npi=1750309001","1750309001")</f>
        <v>1750309001</v>
      </c>
      <c r="E28694" t="s">
        <v>8387</v>
      </c>
    </row>
    <row r="28695" spans="1:5" x14ac:dyDescent="0.25">
      <c r="A28695" t="s">
        <v>17</v>
      </c>
      <c r="B28695" t="s">
        <v>8291</v>
      </c>
      <c r="C28695" s="1" t="s">
        <v>23490</v>
      </c>
      <c r="D28695" s="1" t="str">
        <f>HYPERLINK("https://rhld.insurance.arkansas.gov/NPILookup?Npi=1750331195","1750331195")</f>
        <v>1750331195</v>
      </c>
      <c r="E28695" t="s">
        <v>8388</v>
      </c>
    </row>
    <row r="28696" spans="1:5" x14ac:dyDescent="0.25">
      <c r="A28696" t="s">
        <v>17</v>
      </c>
      <c r="B28696" t="s">
        <v>8291</v>
      </c>
      <c r="C28696" s="1" t="s">
        <v>23490</v>
      </c>
      <c r="D28696" s="1" t="str">
        <f>HYPERLINK("https://rhld.insurance.arkansas.gov/NPILookup?Npi=1760587778","1760587778")</f>
        <v>1760587778</v>
      </c>
      <c r="E28696" t="s">
        <v>14586</v>
      </c>
    </row>
    <row r="28697" spans="1:5" x14ac:dyDescent="0.25">
      <c r="A28697" t="s">
        <v>17</v>
      </c>
      <c r="B28697" t="s">
        <v>8291</v>
      </c>
      <c r="C28697" s="1" t="s">
        <v>23490</v>
      </c>
      <c r="D28697" s="1" t="str">
        <f>HYPERLINK("https://rhld.insurance.arkansas.gov/NPILookup?Npi=1760669808","1760669808")</f>
        <v>1760669808</v>
      </c>
      <c r="E28697" t="s">
        <v>8389</v>
      </c>
    </row>
    <row r="28698" spans="1:5" x14ac:dyDescent="0.25">
      <c r="A28698" t="s">
        <v>17</v>
      </c>
      <c r="B28698" t="s">
        <v>8291</v>
      </c>
      <c r="C28698" s="1" t="s">
        <v>23490</v>
      </c>
      <c r="D28698" s="1" t="str">
        <f>HYPERLINK("https://rhld.insurance.arkansas.gov/NPILookup?Npi=1760691752","1760691752")</f>
        <v>1760691752</v>
      </c>
      <c r="E28698" t="s">
        <v>3626</v>
      </c>
    </row>
    <row r="28699" spans="1:5" x14ac:dyDescent="0.25">
      <c r="A28699" t="s">
        <v>17</v>
      </c>
      <c r="B28699" t="s">
        <v>8291</v>
      </c>
      <c r="C28699" s="1" t="s">
        <v>23490</v>
      </c>
      <c r="D28699" s="1" t="str">
        <f>HYPERLINK("https://rhld.insurance.arkansas.gov/NPILookup?Npi=1760822548","1760822548")</f>
        <v>1760822548</v>
      </c>
      <c r="E28699" t="s">
        <v>19178</v>
      </c>
    </row>
    <row r="28700" spans="1:5" x14ac:dyDescent="0.25">
      <c r="A28700" t="s">
        <v>17</v>
      </c>
      <c r="B28700" t="s">
        <v>8291</v>
      </c>
      <c r="C28700" s="1" t="s">
        <v>23490</v>
      </c>
      <c r="D28700" s="1" t="str">
        <f>HYPERLINK("https://rhld.insurance.arkansas.gov/NPILookup?Npi=1770771743","1770771743")</f>
        <v>1770771743</v>
      </c>
      <c r="E28700" t="s">
        <v>16770</v>
      </c>
    </row>
    <row r="28701" spans="1:5" x14ac:dyDescent="0.25">
      <c r="A28701" t="s">
        <v>17</v>
      </c>
      <c r="B28701" t="s">
        <v>8291</v>
      </c>
      <c r="C28701" s="1" t="s">
        <v>23490</v>
      </c>
      <c r="D28701" s="1" t="str">
        <f>HYPERLINK("https://rhld.insurance.arkansas.gov/NPILookup?Npi=1780628321","1780628321")</f>
        <v>1780628321</v>
      </c>
      <c r="E28701" t="s">
        <v>8390</v>
      </c>
    </row>
    <row r="28702" spans="1:5" x14ac:dyDescent="0.25">
      <c r="A28702" t="s">
        <v>17</v>
      </c>
      <c r="B28702" t="s">
        <v>8291</v>
      </c>
      <c r="C28702" s="1" t="s">
        <v>23490</v>
      </c>
      <c r="D28702" s="1" t="str">
        <f>HYPERLINK("https://rhld.insurance.arkansas.gov/NPILookup?Npi=1790105898","1790105898")</f>
        <v>1790105898</v>
      </c>
      <c r="E28702" t="s">
        <v>16771</v>
      </c>
    </row>
    <row r="28703" spans="1:5" x14ac:dyDescent="0.25">
      <c r="A28703" t="s">
        <v>17</v>
      </c>
      <c r="B28703" t="s">
        <v>8291</v>
      </c>
      <c r="C28703" s="1" t="s">
        <v>23490</v>
      </c>
      <c r="D28703" s="1" t="str">
        <f>HYPERLINK("https://rhld.insurance.arkansas.gov/NPILookup?Npi=1790735918","1790735918")</f>
        <v>1790735918</v>
      </c>
      <c r="E28703" t="s">
        <v>22748</v>
      </c>
    </row>
    <row r="28704" spans="1:5" x14ac:dyDescent="0.25">
      <c r="A28704" t="s">
        <v>17</v>
      </c>
      <c r="B28704" t="s">
        <v>8291</v>
      </c>
      <c r="C28704" s="1" t="s">
        <v>23490</v>
      </c>
      <c r="D28704" s="1" t="str">
        <f>HYPERLINK("https://rhld.insurance.arkansas.gov/NPILookup?Npi=1801010921","1801010921")</f>
        <v>1801010921</v>
      </c>
      <c r="E28704" t="s">
        <v>8391</v>
      </c>
    </row>
    <row r="28705" spans="1:5" x14ac:dyDescent="0.25">
      <c r="A28705" t="s">
        <v>17</v>
      </c>
      <c r="B28705" t="s">
        <v>8291</v>
      </c>
      <c r="C28705" s="1" t="s">
        <v>23490</v>
      </c>
      <c r="D28705" s="1" t="str">
        <f>HYPERLINK("https://rhld.insurance.arkansas.gov/NPILookup?Npi=1801903737","1801903737")</f>
        <v>1801903737</v>
      </c>
      <c r="E28705" t="s">
        <v>8392</v>
      </c>
    </row>
    <row r="28706" spans="1:5" x14ac:dyDescent="0.25">
      <c r="A28706" t="s">
        <v>17</v>
      </c>
      <c r="B28706" t="s">
        <v>8291</v>
      </c>
      <c r="C28706" s="1" t="s">
        <v>23490</v>
      </c>
      <c r="D28706" s="1" t="str">
        <f>HYPERLINK("https://rhld.insurance.arkansas.gov/NPILookup?Npi=1811382906","1811382906")</f>
        <v>1811382906</v>
      </c>
      <c r="E28706" t="s">
        <v>17765</v>
      </c>
    </row>
    <row r="28707" spans="1:5" x14ac:dyDescent="0.25">
      <c r="A28707" t="s">
        <v>17</v>
      </c>
      <c r="B28707" t="s">
        <v>8291</v>
      </c>
      <c r="C28707" s="1" t="s">
        <v>23490</v>
      </c>
      <c r="D28707" s="1" t="str">
        <f>HYPERLINK("https://rhld.insurance.arkansas.gov/NPILookup?Npi=1811962582","1811962582")</f>
        <v>1811962582</v>
      </c>
      <c r="E28707" t="s">
        <v>8393</v>
      </c>
    </row>
    <row r="28708" spans="1:5" x14ac:dyDescent="0.25">
      <c r="A28708" t="s">
        <v>17</v>
      </c>
      <c r="B28708" t="s">
        <v>8291</v>
      </c>
      <c r="C28708" s="1" t="s">
        <v>23490</v>
      </c>
      <c r="D28708" s="1" t="str">
        <f>HYPERLINK("https://rhld.insurance.arkansas.gov/NPILookup?Npi=1811992373","1811992373")</f>
        <v>1811992373</v>
      </c>
      <c r="E28708" t="s">
        <v>2433</v>
      </c>
    </row>
    <row r="28709" spans="1:5" x14ac:dyDescent="0.25">
      <c r="A28709" t="s">
        <v>17</v>
      </c>
      <c r="B28709" t="s">
        <v>8291</v>
      </c>
      <c r="C28709" s="1" t="s">
        <v>23490</v>
      </c>
      <c r="D28709" s="1" t="str">
        <f>HYPERLINK("https://rhld.insurance.arkansas.gov/NPILookup?Npi=1821103151","1821103151")</f>
        <v>1821103151</v>
      </c>
      <c r="E28709" t="s">
        <v>8394</v>
      </c>
    </row>
    <row r="28710" spans="1:5" x14ac:dyDescent="0.25">
      <c r="A28710" t="s">
        <v>17</v>
      </c>
      <c r="B28710" t="s">
        <v>8291</v>
      </c>
      <c r="C28710" s="1" t="s">
        <v>23490</v>
      </c>
      <c r="D28710" s="1" t="str">
        <f>HYPERLINK("https://rhld.insurance.arkansas.gov/NPILookup?Npi=1831168913","1831168913")</f>
        <v>1831168913</v>
      </c>
      <c r="E28710" t="s">
        <v>8395</v>
      </c>
    </row>
    <row r="28711" spans="1:5" x14ac:dyDescent="0.25">
      <c r="A28711" t="s">
        <v>17</v>
      </c>
      <c r="B28711" t="s">
        <v>8291</v>
      </c>
      <c r="C28711" s="1" t="s">
        <v>23490</v>
      </c>
      <c r="D28711" s="1" t="str">
        <f>HYPERLINK("https://rhld.insurance.arkansas.gov/NPILookup?Npi=1831241504","1831241504")</f>
        <v>1831241504</v>
      </c>
      <c r="E28711" t="s">
        <v>16772</v>
      </c>
    </row>
    <row r="28712" spans="1:5" x14ac:dyDescent="0.25">
      <c r="A28712" t="s">
        <v>17</v>
      </c>
      <c r="B28712" t="s">
        <v>8291</v>
      </c>
      <c r="C28712" s="1" t="s">
        <v>23490</v>
      </c>
      <c r="D28712" s="1" t="str">
        <f>HYPERLINK("https://rhld.insurance.arkansas.gov/NPILookup?Npi=1831577873","1831577873")</f>
        <v>1831577873</v>
      </c>
      <c r="E28712" t="s">
        <v>17766</v>
      </c>
    </row>
    <row r="28713" spans="1:5" x14ac:dyDescent="0.25">
      <c r="A28713" t="s">
        <v>17</v>
      </c>
      <c r="B28713" t="s">
        <v>8291</v>
      </c>
      <c r="C28713" s="1" t="s">
        <v>23490</v>
      </c>
      <c r="D28713" s="1" t="str">
        <f>HYPERLINK("https://rhld.insurance.arkansas.gov/NPILookup?Npi=1841290392","1841290392")</f>
        <v>1841290392</v>
      </c>
      <c r="E28713" t="s">
        <v>16773</v>
      </c>
    </row>
    <row r="28714" spans="1:5" x14ac:dyDescent="0.25">
      <c r="A28714" t="s">
        <v>17</v>
      </c>
      <c r="B28714" t="s">
        <v>8291</v>
      </c>
      <c r="C28714" s="1" t="s">
        <v>23490</v>
      </c>
      <c r="D28714" s="1" t="str">
        <f>HYPERLINK("https://rhld.insurance.arkansas.gov/NPILookup?Npi=1841330412","1841330412")</f>
        <v>1841330412</v>
      </c>
      <c r="E28714" t="s">
        <v>6095</v>
      </c>
    </row>
    <row r="28715" spans="1:5" x14ac:dyDescent="0.25">
      <c r="A28715" t="s">
        <v>17</v>
      </c>
      <c r="B28715" t="s">
        <v>8291</v>
      </c>
      <c r="C28715" s="1" t="s">
        <v>23490</v>
      </c>
      <c r="D28715" s="1" t="str">
        <f>HYPERLINK("https://rhld.insurance.arkansas.gov/NPILookup?Npi=1841345709","1841345709")</f>
        <v>1841345709</v>
      </c>
      <c r="E28715" t="s">
        <v>8396</v>
      </c>
    </row>
    <row r="28716" spans="1:5" x14ac:dyDescent="0.25">
      <c r="A28716" t="s">
        <v>17</v>
      </c>
      <c r="B28716" t="s">
        <v>8291</v>
      </c>
      <c r="C28716" s="1" t="s">
        <v>23490</v>
      </c>
      <c r="D28716" s="1" t="str">
        <f>HYPERLINK("https://rhld.insurance.arkansas.gov/NPILookup?Npi=1851345128","1851345128")</f>
        <v>1851345128</v>
      </c>
      <c r="E28716" t="s">
        <v>16774</v>
      </c>
    </row>
    <row r="28717" spans="1:5" x14ac:dyDescent="0.25">
      <c r="A28717" t="s">
        <v>17</v>
      </c>
      <c r="B28717" t="s">
        <v>8291</v>
      </c>
      <c r="C28717" s="1" t="s">
        <v>23490</v>
      </c>
      <c r="D28717" s="1" t="str">
        <f>HYPERLINK("https://rhld.insurance.arkansas.gov/NPILookup?Npi=1861414302","1861414302")</f>
        <v>1861414302</v>
      </c>
      <c r="E28717" t="s">
        <v>8397</v>
      </c>
    </row>
    <row r="28718" spans="1:5" x14ac:dyDescent="0.25">
      <c r="A28718" t="s">
        <v>17</v>
      </c>
      <c r="B28718" t="s">
        <v>8291</v>
      </c>
      <c r="C28718" s="1" t="s">
        <v>23490</v>
      </c>
      <c r="D28718" s="1" t="str">
        <f>HYPERLINK("https://rhld.insurance.arkansas.gov/NPILookup?Npi=1861476897","1861476897")</f>
        <v>1861476897</v>
      </c>
      <c r="E28718" t="s">
        <v>8398</v>
      </c>
    </row>
    <row r="28719" spans="1:5" x14ac:dyDescent="0.25">
      <c r="A28719" t="s">
        <v>17</v>
      </c>
      <c r="B28719" t="s">
        <v>8291</v>
      </c>
      <c r="C28719" s="1" t="s">
        <v>23490</v>
      </c>
      <c r="D28719" s="1" t="str">
        <f>HYPERLINK("https://rhld.insurance.arkansas.gov/NPILookup?Npi=1861832289","1861832289")</f>
        <v>1861832289</v>
      </c>
      <c r="E28719" t="s">
        <v>16775</v>
      </c>
    </row>
    <row r="28720" spans="1:5" x14ac:dyDescent="0.25">
      <c r="A28720" t="s">
        <v>17</v>
      </c>
      <c r="B28720" t="s">
        <v>8291</v>
      </c>
      <c r="C28720" s="1" t="s">
        <v>23490</v>
      </c>
      <c r="D28720" s="1" t="str">
        <f>HYPERLINK("https://rhld.insurance.arkansas.gov/NPILookup?Npi=1871560573","1871560573")</f>
        <v>1871560573</v>
      </c>
      <c r="E28720" t="s">
        <v>8399</v>
      </c>
    </row>
    <row r="28721" spans="1:5" x14ac:dyDescent="0.25">
      <c r="A28721" t="s">
        <v>17</v>
      </c>
      <c r="B28721" t="s">
        <v>8291</v>
      </c>
      <c r="C28721" s="1" t="s">
        <v>23490</v>
      </c>
      <c r="D28721" s="1" t="str">
        <f>HYPERLINK("https://rhld.insurance.arkansas.gov/NPILookup?Npi=1871598342","1871598342")</f>
        <v>1871598342</v>
      </c>
      <c r="E28721" t="s">
        <v>8400</v>
      </c>
    </row>
    <row r="28722" spans="1:5" x14ac:dyDescent="0.25">
      <c r="A28722" t="s">
        <v>17</v>
      </c>
      <c r="B28722" t="s">
        <v>8291</v>
      </c>
      <c r="C28722" s="1" t="s">
        <v>23490</v>
      </c>
      <c r="D28722" s="1" t="str">
        <f>HYPERLINK("https://rhld.insurance.arkansas.gov/NPILookup?Npi=1881669513","1881669513")</f>
        <v>1881669513</v>
      </c>
      <c r="E28722" t="s">
        <v>8401</v>
      </c>
    </row>
    <row r="28723" spans="1:5" x14ac:dyDescent="0.25">
      <c r="A28723" t="s">
        <v>17</v>
      </c>
      <c r="B28723" t="s">
        <v>8291</v>
      </c>
      <c r="C28723" s="1" t="s">
        <v>23490</v>
      </c>
      <c r="D28723" s="1" t="str">
        <f>HYPERLINK("https://rhld.insurance.arkansas.gov/NPILookup?Npi=1881694347","1881694347")</f>
        <v>1881694347</v>
      </c>
      <c r="E28723" t="s">
        <v>16776</v>
      </c>
    </row>
    <row r="28724" spans="1:5" x14ac:dyDescent="0.25">
      <c r="A28724" t="s">
        <v>17</v>
      </c>
      <c r="B28724" t="s">
        <v>8291</v>
      </c>
      <c r="C28724" s="1" t="s">
        <v>23490</v>
      </c>
      <c r="D28724" s="1" t="str">
        <f>HYPERLINK("https://rhld.insurance.arkansas.gov/NPILookup?Npi=1891718060","1891718060")</f>
        <v>1891718060</v>
      </c>
      <c r="E28724" t="s">
        <v>8402</v>
      </c>
    </row>
    <row r="28725" spans="1:5" x14ac:dyDescent="0.25">
      <c r="A28725" t="s">
        <v>17</v>
      </c>
      <c r="B28725" t="s">
        <v>8291</v>
      </c>
      <c r="C28725" s="1" t="s">
        <v>23490</v>
      </c>
      <c r="D28725" s="1" t="str">
        <f>HYPERLINK("https://rhld.insurance.arkansas.gov/NPILookup?Npi=1891752218","1891752218")</f>
        <v>1891752218</v>
      </c>
      <c r="E28725" t="s">
        <v>8403</v>
      </c>
    </row>
    <row r="28726" spans="1:5" x14ac:dyDescent="0.25">
      <c r="A28726" t="s">
        <v>17</v>
      </c>
      <c r="B28726" t="s">
        <v>8291</v>
      </c>
      <c r="C28726" s="1" t="s">
        <v>23490</v>
      </c>
      <c r="D28726" s="1" t="str">
        <f>HYPERLINK("https://rhld.insurance.arkansas.gov/NPILookup?Npi=1891760583","1891760583")</f>
        <v>1891760583</v>
      </c>
      <c r="E28726" t="s">
        <v>8404</v>
      </c>
    </row>
    <row r="28727" spans="1:5" x14ac:dyDescent="0.25">
      <c r="A28727" t="s">
        <v>17</v>
      </c>
      <c r="B28727" t="s">
        <v>8291</v>
      </c>
      <c r="C28727" s="1" t="s">
        <v>23490</v>
      </c>
      <c r="D28727" s="1" t="str">
        <f>HYPERLINK("https://rhld.insurance.arkansas.gov/NPILookup?Npi=1902801467","1902801467")</f>
        <v>1902801467</v>
      </c>
      <c r="E28727" t="s">
        <v>8405</v>
      </c>
    </row>
    <row r="28728" spans="1:5" x14ac:dyDescent="0.25">
      <c r="A28728" t="s">
        <v>17</v>
      </c>
      <c r="B28728" t="s">
        <v>8291</v>
      </c>
      <c r="C28728" s="1" t="s">
        <v>23490</v>
      </c>
      <c r="D28728" s="1" t="str">
        <f>HYPERLINK("https://rhld.insurance.arkansas.gov/NPILookup?Npi=1902871627","1902871627")</f>
        <v>1902871627</v>
      </c>
      <c r="E28728" t="s">
        <v>8406</v>
      </c>
    </row>
    <row r="28729" spans="1:5" x14ac:dyDescent="0.25">
      <c r="A28729" t="s">
        <v>17</v>
      </c>
      <c r="B28729" t="s">
        <v>8291</v>
      </c>
      <c r="C28729" s="1" t="s">
        <v>23490</v>
      </c>
      <c r="D28729" s="1" t="str">
        <f>HYPERLINK("https://rhld.insurance.arkansas.gov/NPILookup?Npi=1912142787","1912142787")</f>
        <v>1912142787</v>
      </c>
      <c r="E28729" t="s">
        <v>19179</v>
      </c>
    </row>
    <row r="28730" spans="1:5" x14ac:dyDescent="0.25">
      <c r="A28730" t="s">
        <v>17</v>
      </c>
      <c r="B28730" t="s">
        <v>8291</v>
      </c>
      <c r="C28730" s="1" t="s">
        <v>23490</v>
      </c>
      <c r="D28730" s="1" t="str">
        <f>HYPERLINK("https://rhld.insurance.arkansas.gov/NPILookup?Npi=1912918764","1912918764")</f>
        <v>1912918764</v>
      </c>
      <c r="E28730" t="s">
        <v>8407</v>
      </c>
    </row>
    <row r="28731" spans="1:5" x14ac:dyDescent="0.25">
      <c r="A28731" t="s">
        <v>17</v>
      </c>
      <c r="B28731" t="s">
        <v>8291</v>
      </c>
      <c r="C28731" s="1" t="s">
        <v>23490</v>
      </c>
      <c r="D28731" s="1" t="str">
        <f>HYPERLINK("https://rhld.insurance.arkansas.gov/NPILookup?Npi=1912978511","1912978511")</f>
        <v>1912978511</v>
      </c>
      <c r="E28731" t="s">
        <v>8408</v>
      </c>
    </row>
    <row r="28732" spans="1:5" x14ac:dyDescent="0.25">
      <c r="A28732" t="s">
        <v>17</v>
      </c>
      <c r="B28732" t="s">
        <v>8291</v>
      </c>
      <c r="C28732" s="1" t="s">
        <v>23490</v>
      </c>
      <c r="D28732" s="1" t="str">
        <f>HYPERLINK("https://rhld.insurance.arkansas.gov/NPILookup?Npi=1922028828","1922028828")</f>
        <v>1922028828</v>
      </c>
      <c r="E28732" t="s">
        <v>8409</v>
      </c>
    </row>
    <row r="28733" spans="1:5" x14ac:dyDescent="0.25">
      <c r="A28733" t="s">
        <v>17</v>
      </c>
      <c r="B28733" t="s">
        <v>8291</v>
      </c>
      <c r="C28733" s="1" t="s">
        <v>23490</v>
      </c>
      <c r="D28733" s="1" t="str">
        <f>HYPERLINK("https://rhld.insurance.arkansas.gov/NPILookup?Npi=1922065333","1922065333")</f>
        <v>1922065333</v>
      </c>
      <c r="E28733" t="s">
        <v>8410</v>
      </c>
    </row>
    <row r="28734" spans="1:5" x14ac:dyDescent="0.25">
      <c r="A28734" t="s">
        <v>17</v>
      </c>
      <c r="B28734" t="s">
        <v>8291</v>
      </c>
      <c r="C28734" s="1" t="s">
        <v>23490</v>
      </c>
      <c r="D28734" s="1" t="str">
        <f>HYPERLINK("https://rhld.insurance.arkansas.gov/NPILookup?Npi=1922068105","1922068105")</f>
        <v>1922068105</v>
      </c>
      <c r="E28734" t="s">
        <v>14587</v>
      </c>
    </row>
    <row r="28735" spans="1:5" x14ac:dyDescent="0.25">
      <c r="A28735" t="s">
        <v>17</v>
      </c>
      <c r="B28735" t="s">
        <v>8291</v>
      </c>
      <c r="C28735" s="1" t="s">
        <v>23490</v>
      </c>
      <c r="D28735" s="1" t="str">
        <f>HYPERLINK("https://rhld.insurance.arkansas.gov/NPILookup?Npi=1932216231","1932216231")</f>
        <v>1932216231</v>
      </c>
      <c r="E28735" t="s">
        <v>22749</v>
      </c>
    </row>
    <row r="28736" spans="1:5" x14ac:dyDescent="0.25">
      <c r="A28736" t="s">
        <v>17</v>
      </c>
      <c r="B28736" t="s">
        <v>8291</v>
      </c>
      <c r="C28736" s="1" t="s">
        <v>23490</v>
      </c>
      <c r="D28736" s="1" t="str">
        <f>HYPERLINK("https://rhld.insurance.arkansas.gov/NPILookup?Npi=1932299500","1932299500")</f>
        <v>1932299500</v>
      </c>
      <c r="E28736" t="s">
        <v>8411</v>
      </c>
    </row>
    <row r="28737" spans="1:5" x14ac:dyDescent="0.25">
      <c r="A28737" t="s">
        <v>17</v>
      </c>
      <c r="B28737" t="s">
        <v>8291</v>
      </c>
      <c r="C28737" s="1" t="s">
        <v>23490</v>
      </c>
      <c r="D28737" s="1" t="str">
        <f>HYPERLINK("https://rhld.insurance.arkansas.gov/NPILookup?Npi=1932463940","1932463940")</f>
        <v>1932463940</v>
      </c>
      <c r="E28737" t="s">
        <v>16777</v>
      </c>
    </row>
    <row r="28738" spans="1:5" x14ac:dyDescent="0.25">
      <c r="A28738" t="s">
        <v>17</v>
      </c>
      <c r="B28738" t="s">
        <v>8291</v>
      </c>
      <c r="C28738" s="1" t="s">
        <v>23490</v>
      </c>
      <c r="D28738" s="1" t="str">
        <f>HYPERLINK("https://rhld.insurance.arkansas.gov/NPILookup?Npi=1942267984","1942267984")</f>
        <v>1942267984</v>
      </c>
      <c r="E28738" t="s">
        <v>9312</v>
      </c>
    </row>
    <row r="28739" spans="1:5" x14ac:dyDescent="0.25">
      <c r="A28739" t="s">
        <v>17</v>
      </c>
      <c r="B28739" t="s">
        <v>8291</v>
      </c>
      <c r="C28739" s="1" t="s">
        <v>23490</v>
      </c>
      <c r="D28739" s="1" t="str">
        <f>HYPERLINK("https://rhld.insurance.arkansas.gov/NPILookup?Npi=1942276316","1942276316")</f>
        <v>1942276316</v>
      </c>
      <c r="E28739" t="s">
        <v>8412</v>
      </c>
    </row>
    <row r="28740" spans="1:5" x14ac:dyDescent="0.25">
      <c r="A28740" t="s">
        <v>17</v>
      </c>
      <c r="B28740" t="s">
        <v>8291</v>
      </c>
      <c r="C28740" s="1" t="s">
        <v>23490</v>
      </c>
      <c r="D28740" s="1" t="str">
        <f>HYPERLINK("https://rhld.insurance.arkansas.gov/NPILookup?Npi=1942282090","1942282090")</f>
        <v>1942282090</v>
      </c>
      <c r="E28740" t="s">
        <v>16778</v>
      </c>
    </row>
    <row r="28741" spans="1:5" x14ac:dyDescent="0.25">
      <c r="A28741" t="s">
        <v>17</v>
      </c>
      <c r="B28741" t="s">
        <v>8291</v>
      </c>
      <c r="C28741" s="1" t="s">
        <v>23490</v>
      </c>
      <c r="D28741" s="1" t="str">
        <f>HYPERLINK("https://rhld.insurance.arkansas.gov/NPILookup?Npi=1952323362","1952323362")</f>
        <v>1952323362</v>
      </c>
      <c r="E28741" t="s">
        <v>8413</v>
      </c>
    </row>
    <row r="28742" spans="1:5" x14ac:dyDescent="0.25">
      <c r="A28742" t="s">
        <v>17</v>
      </c>
      <c r="B28742" t="s">
        <v>8291</v>
      </c>
      <c r="C28742" s="1" t="s">
        <v>23490</v>
      </c>
      <c r="D28742" s="1" t="str">
        <f>HYPERLINK("https://rhld.insurance.arkansas.gov/NPILookup?Npi=1952527384","1952527384")</f>
        <v>1952527384</v>
      </c>
      <c r="E28742" t="s">
        <v>8414</v>
      </c>
    </row>
    <row r="28743" spans="1:5" x14ac:dyDescent="0.25">
      <c r="A28743" t="s">
        <v>17</v>
      </c>
      <c r="B28743" t="s">
        <v>8291</v>
      </c>
      <c r="C28743" s="1" t="s">
        <v>8427</v>
      </c>
      <c r="D28743" s="1" t="str">
        <f>HYPERLINK("https://rhld.insurance.arkansas.gov/NPILookup?Npi=1952544793","1952544793")</f>
        <v>1952544793</v>
      </c>
      <c r="E28743" t="s">
        <v>23340</v>
      </c>
    </row>
    <row r="28744" spans="1:5" x14ac:dyDescent="0.25">
      <c r="A28744" t="s">
        <v>17</v>
      </c>
      <c r="B28744" t="s">
        <v>8291</v>
      </c>
      <c r="C28744" s="1" t="s">
        <v>23490</v>
      </c>
      <c r="D28744" s="1" t="str">
        <f>HYPERLINK("https://rhld.insurance.arkansas.gov/NPILookup?Npi=1962454710","1962454710")</f>
        <v>1962454710</v>
      </c>
      <c r="E28744" t="s">
        <v>8415</v>
      </c>
    </row>
    <row r="28745" spans="1:5" x14ac:dyDescent="0.25">
      <c r="A28745" t="s">
        <v>17</v>
      </c>
      <c r="B28745" t="s">
        <v>8291</v>
      </c>
      <c r="C28745" s="1" t="s">
        <v>23490</v>
      </c>
      <c r="D28745" s="1" t="str">
        <f>HYPERLINK("https://rhld.insurance.arkansas.gov/NPILookup?Npi=1962469023","1962469023")</f>
        <v>1962469023</v>
      </c>
      <c r="E28745" t="s">
        <v>1625</v>
      </c>
    </row>
    <row r="28746" spans="1:5" x14ac:dyDescent="0.25">
      <c r="A28746" t="s">
        <v>17</v>
      </c>
      <c r="B28746" t="s">
        <v>8291</v>
      </c>
      <c r="C28746" s="1" t="s">
        <v>23490</v>
      </c>
      <c r="D28746" s="1" t="str">
        <f>HYPERLINK("https://rhld.insurance.arkansas.gov/NPILookup?Npi=1962548149","1962548149")</f>
        <v>1962548149</v>
      </c>
      <c r="E28746" t="s">
        <v>8416</v>
      </c>
    </row>
    <row r="28747" spans="1:5" x14ac:dyDescent="0.25">
      <c r="A28747" t="s">
        <v>17</v>
      </c>
      <c r="B28747" t="s">
        <v>8291</v>
      </c>
      <c r="C28747" s="1" t="s">
        <v>23490</v>
      </c>
      <c r="D28747" s="1" t="str">
        <f>HYPERLINK("https://rhld.insurance.arkansas.gov/NPILookup?Npi=1972764496","1972764496")</f>
        <v>1972764496</v>
      </c>
      <c r="E28747" t="s">
        <v>8417</v>
      </c>
    </row>
    <row r="28748" spans="1:5" x14ac:dyDescent="0.25">
      <c r="A28748" t="s">
        <v>17</v>
      </c>
      <c r="B28748" t="s">
        <v>8291</v>
      </c>
      <c r="C28748" s="1" t="s">
        <v>23490</v>
      </c>
      <c r="D28748" s="1" t="str">
        <f>HYPERLINK("https://rhld.insurance.arkansas.gov/NPILookup?Npi=1982661088","1982661088")</f>
        <v>1982661088</v>
      </c>
      <c r="E28748" t="s">
        <v>8418</v>
      </c>
    </row>
    <row r="28749" spans="1:5" x14ac:dyDescent="0.25">
      <c r="A28749" t="s">
        <v>17</v>
      </c>
      <c r="B28749" t="s">
        <v>8291</v>
      </c>
      <c r="C28749" s="1" t="s">
        <v>23490</v>
      </c>
      <c r="D28749" s="1" t="str">
        <f>HYPERLINK("https://rhld.insurance.arkansas.gov/NPILookup?Npi=1982787768","1982787768")</f>
        <v>1982787768</v>
      </c>
      <c r="E28749" t="s">
        <v>22750</v>
      </c>
    </row>
    <row r="28750" spans="1:5" x14ac:dyDescent="0.25">
      <c r="A28750" t="s">
        <v>17</v>
      </c>
      <c r="B28750" t="s">
        <v>8291</v>
      </c>
      <c r="C28750" s="1" t="s">
        <v>23490</v>
      </c>
      <c r="D28750" s="1" t="str">
        <f>HYPERLINK("https://rhld.insurance.arkansas.gov/NPILookup?Npi=1992095541","1992095541")</f>
        <v>1992095541</v>
      </c>
      <c r="E28750" t="s">
        <v>14588</v>
      </c>
    </row>
    <row r="28751" spans="1:5" x14ac:dyDescent="0.25">
      <c r="A28751" t="s">
        <v>17</v>
      </c>
      <c r="B28751" t="s">
        <v>8291</v>
      </c>
      <c r="C28751" s="1" t="s">
        <v>23490</v>
      </c>
      <c r="D28751" s="1" t="str">
        <f>HYPERLINK("https://rhld.insurance.arkansas.gov/NPILookup?Npi=1992797161","1992797161")</f>
        <v>1992797161</v>
      </c>
      <c r="E28751" t="s">
        <v>16779</v>
      </c>
    </row>
    <row r="28752" spans="1:5" x14ac:dyDescent="0.25">
      <c r="A28752" t="s">
        <v>17</v>
      </c>
      <c r="B28752" t="s">
        <v>8291</v>
      </c>
      <c r="C28752" s="1" t="s">
        <v>23490</v>
      </c>
      <c r="D28752" s="1" t="str">
        <f>HYPERLINK("https://rhld.insurance.arkansas.gov/NPILookup?Npi=1992908297","1992908297")</f>
        <v>1992908297</v>
      </c>
      <c r="E28752" t="s">
        <v>8419</v>
      </c>
    </row>
    <row r="28753" spans="1:5" x14ac:dyDescent="0.25">
      <c r="A28753" t="s">
        <v>9313</v>
      </c>
      <c r="B28753" t="s">
        <v>9314</v>
      </c>
      <c r="C28753" s="1" t="s">
        <v>23490</v>
      </c>
      <c r="D28753" s="1" t="str">
        <f>HYPERLINK("https://rhld.insurance.arkansas.gov/NPILookup?Npi=1003124397","1003124397")</f>
        <v>1003124397</v>
      </c>
      <c r="E28753" t="s">
        <v>12180</v>
      </c>
    </row>
    <row r="28754" spans="1:5" x14ac:dyDescent="0.25">
      <c r="A28754" t="s">
        <v>9313</v>
      </c>
      <c r="B28754" t="s">
        <v>9314</v>
      </c>
      <c r="C28754" s="1" t="s">
        <v>23490</v>
      </c>
      <c r="D28754" s="1" t="str">
        <f>HYPERLINK("https://rhld.insurance.arkansas.gov/NPILookup?Npi=1003179334","1003179334")</f>
        <v>1003179334</v>
      </c>
      <c r="E28754" t="s">
        <v>12181</v>
      </c>
    </row>
    <row r="28755" spans="1:5" x14ac:dyDescent="0.25">
      <c r="A28755" t="s">
        <v>9313</v>
      </c>
      <c r="B28755" t="s">
        <v>9314</v>
      </c>
      <c r="C28755" s="1" t="s">
        <v>23490</v>
      </c>
      <c r="D28755" s="1" t="str">
        <f>HYPERLINK("https://rhld.insurance.arkansas.gov/NPILookup?Npi=1003392218","1003392218")</f>
        <v>1003392218</v>
      </c>
      <c r="E28755" t="s">
        <v>14589</v>
      </c>
    </row>
    <row r="28756" spans="1:5" x14ac:dyDescent="0.25">
      <c r="A28756" t="s">
        <v>9313</v>
      </c>
      <c r="B28756" t="s">
        <v>9314</v>
      </c>
      <c r="C28756" s="1" t="s">
        <v>23490</v>
      </c>
      <c r="D28756" s="1" t="str">
        <f>HYPERLINK("https://rhld.insurance.arkansas.gov/NPILookup?Npi=1003477746","1003477746")</f>
        <v>1003477746</v>
      </c>
      <c r="E28756" t="s">
        <v>16780</v>
      </c>
    </row>
    <row r="28757" spans="1:5" x14ac:dyDescent="0.25">
      <c r="A28757" t="s">
        <v>9313</v>
      </c>
      <c r="B28757" t="s">
        <v>9314</v>
      </c>
      <c r="C28757" s="1" t="s">
        <v>23490</v>
      </c>
      <c r="D28757" s="1" t="str">
        <f>HYPERLINK("https://rhld.insurance.arkansas.gov/NPILookup?Npi=1003554973","1003554973")</f>
        <v>1003554973</v>
      </c>
      <c r="E28757" t="s">
        <v>22751</v>
      </c>
    </row>
    <row r="28758" spans="1:5" x14ac:dyDescent="0.25">
      <c r="A28758" t="s">
        <v>9313</v>
      </c>
      <c r="B28758" t="s">
        <v>9314</v>
      </c>
      <c r="C28758" s="1" t="s">
        <v>23490</v>
      </c>
      <c r="D28758" s="1" t="str">
        <f>HYPERLINK("https://rhld.insurance.arkansas.gov/NPILookup?Npi=1003851189","1003851189")</f>
        <v>1003851189</v>
      </c>
      <c r="E28758" t="s">
        <v>9316</v>
      </c>
    </row>
    <row r="28759" spans="1:5" x14ac:dyDescent="0.25">
      <c r="A28759" t="s">
        <v>9313</v>
      </c>
      <c r="B28759" t="s">
        <v>9314</v>
      </c>
      <c r="C28759" s="1" t="s">
        <v>23490</v>
      </c>
      <c r="D28759" s="1" t="str">
        <f>HYPERLINK("https://rhld.insurance.arkansas.gov/NPILookup?Npi=1003910159","1003910159")</f>
        <v>1003910159</v>
      </c>
      <c r="E28759" t="s">
        <v>19180</v>
      </c>
    </row>
    <row r="28760" spans="1:5" x14ac:dyDescent="0.25">
      <c r="A28760" t="s">
        <v>9313</v>
      </c>
      <c r="B28760" t="s">
        <v>9314</v>
      </c>
      <c r="C28760" s="1" t="s">
        <v>23490</v>
      </c>
      <c r="D28760" s="1" t="str">
        <f>HYPERLINK("https://rhld.insurance.arkansas.gov/NPILookup?Npi=1003941857","1003941857")</f>
        <v>1003941857</v>
      </c>
      <c r="E28760" t="s">
        <v>9318</v>
      </c>
    </row>
    <row r="28761" spans="1:5" x14ac:dyDescent="0.25">
      <c r="A28761" t="s">
        <v>9313</v>
      </c>
      <c r="B28761" t="s">
        <v>9314</v>
      </c>
      <c r="C28761" s="1" t="s">
        <v>23490</v>
      </c>
      <c r="D28761" s="1" t="str">
        <f>HYPERLINK("https://rhld.insurance.arkansas.gov/NPILookup?Npi=1003963075","1003963075")</f>
        <v>1003963075</v>
      </c>
      <c r="E28761" t="s">
        <v>9319</v>
      </c>
    </row>
    <row r="28762" spans="1:5" x14ac:dyDescent="0.25">
      <c r="A28762" t="s">
        <v>9313</v>
      </c>
      <c r="B28762" t="s">
        <v>9314</v>
      </c>
      <c r="C28762" s="1" t="s">
        <v>23490</v>
      </c>
      <c r="D28762" s="1" t="str">
        <f>HYPERLINK("https://rhld.insurance.arkansas.gov/NPILookup?Npi=1003984360","1003984360")</f>
        <v>1003984360</v>
      </c>
      <c r="E28762" t="s">
        <v>9321</v>
      </c>
    </row>
    <row r="28763" spans="1:5" x14ac:dyDescent="0.25">
      <c r="A28763" t="s">
        <v>9313</v>
      </c>
      <c r="B28763" t="s">
        <v>9314</v>
      </c>
      <c r="C28763" s="1" t="s">
        <v>23490</v>
      </c>
      <c r="D28763" s="1" t="str">
        <f>HYPERLINK("https://rhld.insurance.arkansas.gov/NPILookup?Npi=1013015338","1013015338")</f>
        <v>1013015338</v>
      </c>
      <c r="E28763" t="s">
        <v>9322</v>
      </c>
    </row>
    <row r="28764" spans="1:5" x14ac:dyDescent="0.25">
      <c r="A28764" t="s">
        <v>9313</v>
      </c>
      <c r="B28764" t="s">
        <v>9314</v>
      </c>
      <c r="C28764" s="1" t="s">
        <v>23490</v>
      </c>
      <c r="D28764" s="1" t="str">
        <f>HYPERLINK("https://rhld.insurance.arkansas.gov/NPILookup?Npi=1013062249","1013062249")</f>
        <v>1013062249</v>
      </c>
      <c r="E28764" t="s">
        <v>12182</v>
      </c>
    </row>
    <row r="28765" spans="1:5" x14ac:dyDescent="0.25">
      <c r="A28765" t="s">
        <v>9313</v>
      </c>
      <c r="B28765" t="s">
        <v>9314</v>
      </c>
      <c r="C28765" s="1" t="s">
        <v>23490</v>
      </c>
      <c r="D28765" s="1" t="str">
        <f>HYPERLINK("https://rhld.insurance.arkansas.gov/NPILookup?Npi=1013076397","1013076397")</f>
        <v>1013076397</v>
      </c>
      <c r="E28765" t="s">
        <v>6238</v>
      </c>
    </row>
    <row r="28766" spans="1:5" x14ac:dyDescent="0.25">
      <c r="A28766" t="s">
        <v>9313</v>
      </c>
      <c r="B28766" t="s">
        <v>9314</v>
      </c>
      <c r="C28766" s="1" t="s">
        <v>23490</v>
      </c>
      <c r="D28766" s="1" t="str">
        <f>HYPERLINK("https://rhld.insurance.arkansas.gov/NPILookup?Npi=1013079656","1013079656")</f>
        <v>1013079656</v>
      </c>
      <c r="E28766" t="s">
        <v>9323</v>
      </c>
    </row>
    <row r="28767" spans="1:5" x14ac:dyDescent="0.25">
      <c r="A28767" t="s">
        <v>9313</v>
      </c>
      <c r="B28767" t="s">
        <v>9314</v>
      </c>
      <c r="C28767" s="1" t="s">
        <v>23490</v>
      </c>
      <c r="D28767" s="1" t="str">
        <f>HYPERLINK("https://rhld.insurance.arkansas.gov/NPILookup?Npi=1013117274","1013117274")</f>
        <v>1013117274</v>
      </c>
      <c r="E28767" t="s">
        <v>12101</v>
      </c>
    </row>
    <row r="28768" spans="1:5" x14ac:dyDescent="0.25">
      <c r="A28768" t="s">
        <v>9313</v>
      </c>
      <c r="B28768" t="s">
        <v>9314</v>
      </c>
      <c r="C28768" s="1" t="s">
        <v>23490</v>
      </c>
      <c r="D28768" s="1" t="str">
        <f>HYPERLINK("https://rhld.insurance.arkansas.gov/NPILookup?Npi=1013119676","1013119676")</f>
        <v>1013119676</v>
      </c>
      <c r="E28768" t="s">
        <v>9324</v>
      </c>
    </row>
    <row r="28769" spans="1:5" x14ac:dyDescent="0.25">
      <c r="A28769" t="s">
        <v>9313</v>
      </c>
      <c r="B28769" t="s">
        <v>9314</v>
      </c>
      <c r="C28769" s="1" t="s">
        <v>23490</v>
      </c>
      <c r="D28769" s="1" t="str">
        <f>HYPERLINK("https://rhld.insurance.arkansas.gov/NPILookup?Npi=1013159557","1013159557")</f>
        <v>1013159557</v>
      </c>
      <c r="E28769" t="s">
        <v>9325</v>
      </c>
    </row>
    <row r="28770" spans="1:5" x14ac:dyDescent="0.25">
      <c r="A28770" t="s">
        <v>9313</v>
      </c>
      <c r="B28770" t="s">
        <v>9314</v>
      </c>
      <c r="C28770" s="1" t="s">
        <v>23490</v>
      </c>
      <c r="D28770" s="1" t="str">
        <f>HYPERLINK("https://rhld.insurance.arkansas.gov/NPILookup?Npi=1013190404","1013190404")</f>
        <v>1013190404</v>
      </c>
      <c r="E28770" t="s">
        <v>12183</v>
      </c>
    </row>
    <row r="28771" spans="1:5" x14ac:dyDescent="0.25">
      <c r="A28771" t="s">
        <v>9313</v>
      </c>
      <c r="B28771" t="s">
        <v>9314</v>
      </c>
      <c r="C28771" s="1" t="s">
        <v>23490</v>
      </c>
      <c r="D28771" s="1" t="str">
        <f>HYPERLINK("https://rhld.insurance.arkansas.gov/NPILookup?Npi=1013358316","1013358316")</f>
        <v>1013358316</v>
      </c>
      <c r="E28771" t="s">
        <v>12184</v>
      </c>
    </row>
    <row r="28772" spans="1:5" x14ac:dyDescent="0.25">
      <c r="A28772" t="s">
        <v>9313</v>
      </c>
      <c r="B28772" t="s">
        <v>9314</v>
      </c>
      <c r="C28772" s="1" t="s">
        <v>23490</v>
      </c>
      <c r="D28772" s="1" t="str">
        <f>HYPERLINK("https://rhld.insurance.arkansas.gov/NPILookup?Npi=1013366434","1013366434")</f>
        <v>1013366434</v>
      </c>
      <c r="E28772" t="s">
        <v>12185</v>
      </c>
    </row>
    <row r="28773" spans="1:5" x14ac:dyDescent="0.25">
      <c r="A28773" t="s">
        <v>9313</v>
      </c>
      <c r="B28773" t="s">
        <v>9314</v>
      </c>
      <c r="C28773" s="1" t="s">
        <v>23490</v>
      </c>
      <c r="D28773" s="1" t="str">
        <f>HYPERLINK("https://rhld.insurance.arkansas.gov/NPILookup?Npi=1013401900","1013401900")</f>
        <v>1013401900</v>
      </c>
      <c r="E28773" t="s">
        <v>14590</v>
      </c>
    </row>
    <row r="28774" spans="1:5" x14ac:dyDescent="0.25">
      <c r="A28774" t="s">
        <v>9313</v>
      </c>
      <c r="B28774" t="s">
        <v>9314</v>
      </c>
      <c r="C28774" s="1" t="s">
        <v>23490</v>
      </c>
      <c r="D28774" s="1" t="str">
        <f>HYPERLINK("https://rhld.insurance.arkansas.gov/NPILookup?Npi=1013490218","1013490218")</f>
        <v>1013490218</v>
      </c>
      <c r="E28774" t="s">
        <v>14591</v>
      </c>
    </row>
    <row r="28775" spans="1:5" x14ac:dyDescent="0.25">
      <c r="A28775" t="s">
        <v>9313</v>
      </c>
      <c r="B28775" t="s">
        <v>9314</v>
      </c>
      <c r="C28775" s="1" t="s">
        <v>23490</v>
      </c>
      <c r="D28775" s="1" t="str">
        <f>HYPERLINK("https://rhld.insurance.arkansas.gov/NPILookup?Npi=1013588052","1013588052")</f>
        <v>1013588052</v>
      </c>
      <c r="E28775" t="s">
        <v>19181</v>
      </c>
    </row>
    <row r="28776" spans="1:5" x14ac:dyDescent="0.25">
      <c r="A28776" t="s">
        <v>9313</v>
      </c>
      <c r="B28776" t="s">
        <v>9314</v>
      </c>
      <c r="C28776" s="1" t="s">
        <v>23490</v>
      </c>
      <c r="D28776" s="1" t="str">
        <f>HYPERLINK("https://rhld.insurance.arkansas.gov/NPILookup?Npi=1013930163","1013930163")</f>
        <v>1013930163</v>
      </c>
      <c r="E28776" t="s">
        <v>9326</v>
      </c>
    </row>
    <row r="28777" spans="1:5" x14ac:dyDescent="0.25">
      <c r="A28777" t="s">
        <v>9313</v>
      </c>
      <c r="B28777" t="s">
        <v>9314</v>
      </c>
      <c r="C28777" s="1" t="s">
        <v>23490</v>
      </c>
      <c r="D28777" s="1" t="str">
        <f>HYPERLINK("https://rhld.insurance.arkansas.gov/NPILookup?Npi=1013934686","1013934686")</f>
        <v>1013934686</v>
      </c>
      <c r="E28777" t="s">
        <v>13288</v>
      </c>
    </row>
    <row r="28778" spans="1:5" x14ac:dyDescent="0.25">
      <c r="A28778" t="s">
        <v>9313</v>
      </c>
      <c r="B28778" t="s">
        <v>9314</v>
      </c>
      <c r="C28778" s="1" t="s">
        <v>23490</v>
      </c>
      <c r="D28778" s="1" t="str">
        <f>HYPERLINK("https://rhld.insurance.arkansas.gov/NPILookup?Npi=1013959089","1013959089")</f>
        <v>1013959089</v>
      </c>
      <c r="E28778" t="s">
        <v>19182</v>
      </c>
    </row>
    <row r="28779" spans="1:5" x14ac:dyDescent="0.25">
      <c r="A28779" t="s">
        <v>9313</v>
      </c>
      <c r="B28779" t="s">
        <v>9314</v>
      </c>
      <c r="C28779" s="1" t="s">
        <v>23490</v>
      </c>
      <c r="D28779" s="1" t="str">
        <f>HYPERLINK("https://rhld.insurance.arkansas.gov/NPILookup?Npi=1013993492","1013993492")</f>
        <v>1013993492</v>
      </c>
      <c r="E28779" t="s">
        <v>9327</v>
      </c>
    </row>
    <row r="28780" spans="1:5" x14ac:dyDescent="0.25">
      <c r="A28780" t="s">
        <v>9313</v>
      </c>
      <c r="B28780" t="s">
        <v>9314</v>
      </c>
      <c r="C28780" s="1" t="s">
        <v>23490</v>
      </c>
      <c r="D28780" s="1" t="str">
        <f>HYPERLINK("https://rhld.insurance.arkansas.gov/NPILookup?Npi=1023026630","1023026630")</f>
        <v>1023026630</v>
      </c>
      <c r="E28780" t="s">
        <v>19183</v>
      </c>
    </row>
    <row r="28781" spans="1:5" x14ac:dyDescent="0.25">
      <c r="A28781" t="s">
        <v>9313</v>
      </c>
      <c r="B28781" t="s">
        <v>9314</v>
      </c>
      <c r="C28781" s="1" t="s">
        <v>23490</v>
      </c>
      <c r="D28781" s="1" t="str">
        <f>HYPERLINK("https://rhld.insurance.arkansas.gov/NPILookup?Npi=1023032802","1023032802")</f>
        <v>1023032802</v>
      </c>
      <c r="E28781" t="s">
        <v>9329</v>
      </c>
    </row>
    <row r="28782" spans="1:5" x14ac:dyDescent="0.25">
      <c r="A28782" t="s">
        <v>9313</v>
      </c>
      <c r="B28782" t="s">
        <v>9314</v>
      </c>
      <c r="C28782" s="1" t="s">
        <v>23490</v>
      </c>
      <c r="D28782" s="1" t="str">
        <f>HYPERLINK("https://rhld.insurance.arkansas.gov/NPILookup?Npi=1023126653","1023126653")</f>
        <v>1023126653</v>
      </c>
      <c r="E28782" t="s">
        <v>12187</v>
      </c>
    </row>
    <row r="28783" spans="1:5" x14ac:dyDescent="0.25">
      <c r="A28783" t="s">
        <v>9313</v>
      </c>
      <c r="B28783" t="s">
        <v>9314</v>
      </c>
      <c r="C28783" s="1" t="s">
        <v>23490</v>
      </c>
      <c r="D28783" s="1" t="str">
        <f>HYPERLINK("https://rhld.insurance.arkansas.gov/NPILookup?Npi=1023136462","1023136462")</f>
        <v>1023136462</v>
      </c>
      <c r="E28783" t="s">
        <v>16781</v>
      </c>
    </row>
    <row r="28784" spans="1:5" x14ac:dyDescent="0.25">
      <c r="A28784" t="s">
        <v>9313</v>
      </c>
      <c r="B28784" t="s">
        <v>9314</v>
      </c>
      <c r="C28784" s="1" t="s">
        <v>23490</v>
      </c>
      <c r="D28784" s="1" t="str">
        <f>HYPERLINK("https://rhld.insurance.arkansas.gov/NPILookup?Npi=1023150810","1023150810")</f>
        <v>1023150810</v>
      </c>
      <c r="E28784" t="s">
        <v>12188</v>
      </c>
    </row>
    <row r="28785" spans="1:5" x14ac:dyDescent="0.25">
      <c r="A28785" t="s">
        <v>9313</v>
      </c>
      <c r="B28785" t="s">
        <v>9314</v>
      </c>
      <c r="C28785" s="1" t="s">
        <v>23490</v>
      </c>
      <c r="D28785" s="1" t="str">
        <f>HYPERLINK("https://rhld.insurance.arkansas.gov/NPILookup?Npi=1023171808","1023171808")</f>
        <v>1023171808</v>
      </c>
      <c r="E28785" t="s">
        <v>9330</v>
      </c>
    </row>
    <row r="28786" spans="1:5" x14ac:dyDescent="0.25">
      <c r="A28786" t="s">
        <v>9313</v>
      </c>
      <c r="B28786" t="s">
        <v>9314</v>
      </c>
      <c r="C28786" s="1" t="s">
        <v>23490</v>
      </c>
      <c r="D28786" s="1" t="str">
        <f>HYPERLINK("https://rhld.insurance.arkansas.gov/NPILookup?Npi=1023183050","1023183050")</f>
        <v>1023183050</v>
      </c>
      <c r="E28786" t="s">
        <v>9331</v>
      </c>
    </row>
    <row r="28787" spans="1:5" x14ac:dyDescent="0.25">
      <c r="A28787" t="s">
        <v>9313</v>
      </c>
      <c r="B28787" t="s">
        <v>9314</v>
      </c>
      <c r="C28787" s="1" t="s">
        <v>23490</v>
      </c>
      <c r="D28787" s="1" t="str">
        <f>HYPERLINK("https://rhld.insurance.arkansas.gov/NPILookup?Npi=1023196086","1023196086")</f>
        <v>1023196086</v>
      </c>
      <c r="E28787" t="s">
        <v>9332</v>
      </c>
    </row>
    <row r="28788" spans="1:5" x14ac:dyDescent="0.25">
      <c r="A28788" t="s">
        <v>9313</v>
      </c>
      <c r="B28788" t="s">
        <v>9314</v>
      </c>
      <c r="C28788" s="1" t="s">
        <v>23490</v>
      </c>
      <c r="D28788" s="1" t="str">
        <f>HYPERLINK("https://rhld.insurance.arkansas.gov/NPILookup?Npi=1023246253","1023246253")</f>
        <v>1023246253</v>
      </c>
      <c r="E28788" t="s">
        <v>12189</v>
      </c>
    </row>
    <row r="28789" spans="1:5" x14ac:dyDescent="0.25">
      <c r="A28789" t="s">
        <v>9313</v>
      </c>
      <c r="B28789" t="s">
        <v>9314</v>
      </c>
      <c r="C28789" s="1" t="s">
        <v>23490</v>
      </c>
      <c r="D28789" s="1" t="str">
        <f>HYPERLINK("https://rhld.insurance.arkansas.gov/NPILookup?Npi=1023265493","1023265493")</f>
        <v>1023265493</v>
      </c>
      <c r="E28789" t="s">
        <v>12190</v>
      </c>
    </row>
    <row r="28790" spans="1:5" x14ac:dyDescent="0.25">
      <c r="A28790" t="s">
        <v>9313</v>
      </c>
      <c r="B28790" t="s">
        <v>9314</v>
      </c>
      <c r="C28790" s="1" t="s">
        <v>8427</v>
      </c>
      <c r="D28790" s="1" t="str">
        <f>HYPERLINK("https://rhld.insurance.arkansas.gov/NPILookup?Npi=1023311065","1023311065")</f>
        <v>1023311065</v>
      </c>
      <c r="E28790" t="s">
        <v>23341</v>
      </c>
    </row>
    <row r="28791" spans="1:5" x14ac:dyDescent="0.25">
      <c r="A28791" t="s">
        <v>9313</v>
      </c>
      <c r="B28791" t="s">
        <v>9314</v>
      </c>
      <c r="C28791" s="1" t="s">
        <v>23490</v>
      </c>
      <c r="D28791" s="1" t="str">
        <f>HYPERLINK("https://rhld.insurance.arkansas.gov/NPILookup?Npi=1023322765","1023322765")</f>
        <v>1023322765</v>
      </c>
      <c r="E28791" t="s">
        <v>12191</v>
      </c>
    </row>
    <row r="28792" spans="1:5" x14ac:dyDescent="0.25">
      <c r="A28792" t="s">
        <v>9313</v>
      </c>
      <c r="B28792" t="s">
        <v>9314</v>
      </c>
      <c r="C28792" s="1" t="s">
        <v>8427</v>
      </c>
      <c r="D28792" s="1" t="str">
        <f>HYPERLINK("https://rhld.insurance.arkansas.gov/NPILookup?Npi=1023334315","1023334315")</f>
        <v>1023334315</v>
      </c>
      <c r="E28792" t="s">
        <v>23342</v>
      </c>
    </row>
    <row r="28793" spans="1:5" x14ac:dyDescent="0.25">
      <c r="A28793" t="s">
        <v>9313</v>
      </c>
      <c r="B28793" t="s">
        <v>9314</v>
      </c>
      <c r="C28793" s="1" t="s">
        <v>23490</v>
      </c>
      <c r="D28793" s="1" t="str">
        <f>HYPERLINK("https://rhld.insurance.arkansas.gov/NPILookup?Npi=1023468659","1023468659")</f>
        <v>1023468659</v>
      </c>
      <c r="E28793" t="s">
        <v>12192</v>
      </c>
    </row>
    <row r="28794" spans="1:5" x14ac:dyDescent="0.25">
      <c r="A28794" t="s">
        <v>9313</v>
      </c>
      <c r="B28794" t="s">
        <v>9314</v>
      </c>
      <c r="C28794" s="1" t="s">
        <v>23490</v>
      </c>
      <c r="D28794" s="1" t="str">
        <f>HYPERLINK("https://rhld.insurance.arkansas.gov/NPILookup?Npi=1023498359","1023498359")</f>
        <v>1023498359</v>
      </c>
      <c r="E28794" t="s">
        <v>9333</v>
      </c>
    </row>
    <row r="28795" spans="1:5" x14ac:dyDescent="0.25">
      <c r="A28795" t="s">
        <v>9313</v>
      </c>
      <c r="B28795" t="s">
        <v>9314</v>
      </c>
      <c r="C28795" s="1" t="s">
        <v>23490</v>
      </c>
      <c r="D28795" s="1" t="str">
        <f>HYPERLINK("https://rhld.insurance.arkansas.gov/NPILookup?Npi=1023498482","1023498482")</f>
        <v>1023498482</v>
      </c>
      <c r="E28795" t="s">
        <v>9334</v>
      </c>
    </row>
    <row r="28796" spans="1:5" x14ac:dyDescent="0.25">
      <c r="A28796" t="s">
        <v>9313</v>
      </c>
      <c r="B28796" t="s">
        <v>9314</v>
      </c>
      <c r="C28796" s="1" t="s">
        <v>23490</v>
      </c>
      <c r="D28796" s="1" t="str">
        <f>HYPERLINK("https://rhld.insurance.arkansas.gov/NPILookup?Npi=1023756251","1023756251")</f>
        <v>1023756251</v>
      </c>
      <c r="E28796" t="s">
        <v>20794</v>
      </c>
    </row>
    <row r="28797" spans="1:5" x14ac:dyDescent="0.25">
      <c r="A28797" t="s">
        <v>9313</v>
      </c>
      <c r="B28797" t="s">
        <v>9314</v>
      </c>
      <c r="C28797" s="1" t="s">
        <v>23490</v>
      </c>
      <c r="D28797" s="1" t="str">
        <f>HYPERLINK("https://rhld.insurance.arkansas.gov/NPILookup?Npi=1033121512","1033121512")</f>
        <v>1033121512</v>
      </c>
      <c r="E28797" t="s">
        <v>9335</v>
      </c>
    </row>
    <row r="28798" spans="1:5" x14ac:dyDescent="0.25">
      <c r="A28798" t="s">
        <v>9313</v>
      </c>
      <c r="B28798" t="s">
        <v>9314</v>
      </c>
      <c r="C28798" s="1" t="s">
        <v>23490</v>
      </c>
      <c r="D28798" s="1" t="str">
        <f>HYPERLINK("https://rhld.insurance.arkansas.gov/NPILookup?Npi=1033157995","1033157995")</f>
        <v>1033157995</v>
      </c>
      <c r="E28798" t="s">
        <v>9336</v>
      </c>
    </row>
    <row r="28799" spans="1:5" x14ac:dyDescent="0.25">
      <c r="A28799" t="s">
        <v>9313</v>
      </c>
      <c r="B28799" t="s">
        <v>9314</v>
      </c>
      <c r="C28799" s="1" t="s">
        <v>23490</v>
      </c>
      <c r="D28799" s="1" t="str">
        <f>HYPERLINK("https://rhld.insurance.arkansas.gov/NPILookup?Npi=1033230032","1033230032")</f>
        <v>1033230032</v>
      </c>
      <c r="E28799" t="s">
        <v>12193</v>
      </c>
    </row>
    <row r="28800" spans="1:5" x14ac:dyDescent="0.25">
      <c r="A28800" t="s">
        <v>9313</v>
      </c>
      <c r="B28800" t="s">
        <v>9314</v>
      </c>
      <c r="C28800" s="1" t="s">
        <v>23490</v>
      </c>
      <c r="D28800" s="1" t="str">
        <f>HYPERLINK("https://rhld.insurance.arkansas.gov/NPILookup?Npi=1033300348","1033300348")</f>
        <v>1033300348</v>
      </c>
      <c r="E28800" t="s">
        <v>12194</v>
      </c>
    </row>
    <row r="28801" spans="1:5" x14ac:dyDescent="0.25">
      <c r="A28801" t="s">
        <v>9313</v>
      </c>
      <c r="B28801" t="s">
        <v>9314</v>
      </c>
      <c r="C28801" s="1" t="s">
        <v>23490</v>
      </c>
      <c r="D28801" s="1" t="str">
        <f>HYPERLINK("https://rhld.insurance.arkansas.gov/NPILookup?Npi=1033366539","1033366539")</f>
        <v>1033366539</v>
      </c>
      <c r="E28801" t="s">
        <v>20795</v>
      </c>
    </row>
    <row r="28802" spans="1:5" x14ac:dyDescent="0.25">
      <c r="A28802" t="s">
        <v>9313</v>
      </c>
      <c r="B28802" t="s">
        <v>9314</v>
      </c>
      <c r="C28802" s="1" t="s">
        <v>23490</v>
      </c>
      <c r="D28802" s="1" t="str">
        <f>HYPERLINK("https://rhld.insurance.arkansas.gov/NPILookup?Npi=1033392337","1033392337")</f>
        <v>1033392337</v>
      </c>
      <c r="E28802" t="s">
        <v>12195</v>
      </c>
    </row>
    <row r="28803" spans="1:5" x14ac:dyDescent="0.25">
      <c r="A28803" t="s">
        <v>9313</v>
      </c>
      <c r="B28803" t="s">
        <v>9314</v>
      </c>
      <c r="C28803" s="1" t="s">
        <v>23490</v>
      </c>
      <c r="D28803" s="1" t="str">
        <f>HYPERLINK("https://rhld.insurance.arkansas.gov/NPILookup?Npi=1033412325","1033412325")</f>
        <v>1033412325</v>
      </c>
      <c r="E28803" t="s">
        <v>12196</v>
      </c>
    </row>
    <row r="28804" spans="1:5" x14ac:dyDescent="0.25">
      <c r="A28804" t="s">
        <v>9313</v>
      </c>
      <c r="B28804" t="s">
        <v>9314</v>
      </c>
      <c r="C28804" s="1" t="s">
        <v>23490</v>
      </c>
      <c r="D28804" s="1" t="str">
        <f>HYPERLINK("https://rhld.insurance.arkansas.gov/NPILookup?Npi=1033472535","1033472535")</f>
        <v>1033472535</v>
      </c>
      <c r="E28804" t="s">
        <v>9338</v>
      </c>
    </row>
    <row r="28805" spans="1:5" x14ac:dyDescent="0.25">
      <c r="A28805" t="s">
        <v>9313</v>
      </c>
      <c r="B28805" t="s">
        <v>9314</v>
      </c>
      <c r="C28805" s="1" t="s">
        <v>23490</v>
      </c>
      <c r="D28805" s="1" t="str">
        <f>HYPERLINK("https://rhld.insurance.arkansas.gov/NPILookup?Npi=1033529037","1033529037")</f>
        <v>1033529037</v>
      </c>
      <c r="E28805" t="s">
        <v>12197</v>
      </c>
    </row>
    <row r="28806" spans="1:5" x14ac:dyDescent="0.25">
      <c r="A28806" t="s">
        <v>9313</v>
      </c>
      <c r="B28806" t="s">
        <v>9314</v>
      </c>
      <c r="C28806" s="1" t="s">
        <v>23490</v>
      </c>
      <c r="D28806" s="1" t="str">
        <f>HYPERLINK("https://rhld.insurance.arkansas.gov/NPILookup?Npi=1033559737","1033559737")</f>
        <v>1033559737</v>
      </c>
      <c r="E28806" t="s">
        <v>9340</v>
      </c>
    </row>
    <row r="28807" spans="1:5" x14ac:dyDescent="0.25">
      <c r="A28807" t="s">
        <v>9313</v>
      </c>
      <c r="B28807" t="s">
        <v>9314</v>
      </c>
      <c r="C28807" s="1" t="s">
        <v>23490</v>
      </c>
      <c r="D28807" s="1" t="str">
        <f>HYPERLINK("https://rhld.insurance.arkansas.gov/NPILookup?Npi=1033560370","1033560370")</f>
        <v>1033560370</v>
      </c>
      <c r="E28807" t="s">
        <v>12198</v>
      </c>
    </row>
    <row r="28808" spans="1:5" x14ac:dyDescent="0.25">
      <c r="A28808" t="s">
        <v>9313</v>
      </c>
      <c r="B28808" t="s">
        <v>9314</v>
      </c>
      <c r="C28808" s="1" t="s">
        <v>23490</v>
      </c>
      <c r="D28808" s="1" t="str">
        <f>HYPERLINK("https://rhld.insurance.arkansas.gov/NPILookup?Npi=1033560412","1033560412")</f>
        <v>1033560412</v>
      </c>
      <c r="E28808" t="s">
        <v>14592</v>
      </c>
    </row>
    <row r="28809" spans="1:5" x14ac:dyDescent="0.25">
      <c r="A28809" t="s">
        <v>9313</v>
      </c>
      <c r="B28809" t="s">
        <v>9314</v>
      </c>
      <c r="C28809" s="1" t="s">
        <v>23490</v>
      </c>
      <c r="D28809" s="1" t="str">
        <f>HYPERLINK("https://rhld.insurance.arkansas.gov/NPILookup?Npi=1033593793","1033593793")</f>
        <v>1033593793</v>
      </c>
      <c r="E28809" t="s">
        <v>9341</v>
      </c>
    </row>
    <row r="28810" spans="1:5" x14ac:dyDescent="0.25">
      <c r="A28810" t="s">
        <v>9313</v>
      </c>
      <c r="B28810" t="s">
        <v>9314</v>
      </c>
      <c r="C28810" s="1" t="s">
        <v>23490</v>
      </c>
      <c r="D28810" s="1" t="str">
        <f>HYPERLINK("https://rhld.insurance.arkansas.gov/NPILookup?Npi=1033737507","1033737507")</f>
        <v>1033737507</v>
      </c>
      <c r="E28810" t="s">
        <v>17767</v>
      </c>
    </row>
    <row r="28811" spans="1:5" x14ac:dyDescent="0.25">
      <c r="A28811" t="s">
        <v>9313</v>
      </c>
      <c r="B28811" t="s">
        <v>9314</v>
      </c>
      <c r="C28811" s="1" t="s">
        <v>23490</v>
      </c>
      <c r="D28811" s="1" t="str">
        <f>HYPERLINK("https://rhld.insurance.arkansas.gov/NPILookup?Npi=1033779897","1033779897")</f>
        <v>1033779897</v>
      </c>
      <c r="E28811" t="s">
        <v>18568</v>
      </c>
    </row>
    <row r="28812" spans="1:5" x14ac:dyDescent="0.25">
      <c r="A28812" t="s">
        <v>9313</v>
      </c>
      <c r="B28812" t="s">
        <v>9314</v>
      </c>
      <c r="C28812" s="1" t="s">
        <v>23490</v>
      </c>
      <c r="D28812" s="1" t="str">
        <f>HYPERLINK("https://rhld.insurance.arkansas.gov/NPILookup?Npi=1033782495","1033782495")</f>
        <v>1033782495</v>
      </c>
      <c r="E28812" t="s">
        <v>19185</v>
      </c>
    </row>
    <row r="28813" spans="1:5" x14ac:dyDescent="0.25">
      <c r="A28813" t="s">
        <v>9313</v>
      </c>
      <c r="B28813" t="s">
        <v>9314</v>
      </c>
      <c r="C28813" s="1" t="s">
        <v>23490</v>
      </c>
      <c r="D28813" s="1" t="str">
        <f>HYPERLINK("https://rhld.insurance.arkansas.gov/NPILookup?Npi=1033802269","1033802269")</f>
        <v>1033802269</v>
      </c>
      <c r="E28813" t="s">
        <v>22753</v>
      </c>
    </row>
    <row r="28814" spans="1:5" x14ac:dyDescent="0.25">
      <c r="A28814" t="s">
        <v>9313</v>
      </c>
      <c r="B28814" t="s">
        <v>9314</v>
      </c>
      <c r="C28814" s="1" t="s">
        <v>23490</v>
      </c>
      <c r="D28814" s="1" t="str">
        <f>HYPERLINK("https://rhld.insurance.arkansas.gov/NPILookup?Npi=1043233950","1043233950")</f>
        <v>1043233950</v>
      </c>
      <c r="E28814" t="s">
        <v>9342</v>
      </c>
    </row>
    <row r="28815" spans="1:5" x14ac:dyDescent="0.25">
      <c r="A28815" t="s">
        <v>9313</v>
      </c>
      <c r="B28815" t="s">
        <v>9314</v>
      </c>
      <c r="C28815" s="1" t="s">
        <v>23490</v>
      </c>
      <c r="D28815" s="1" t="str">
        <f>HYPERLINK("https://rhld.insurance.arkansas.gov/NPILookup?Npi=1043284888","1043284888")</f>
        <v>1043284888</v>
      </c>
      <c r="E28815" t="s">
        <v>9343</v>
      </c>
    </row>
    <row r="28816" spans="1:5" x14ac:dyDescent="0.25">
      <c r="A28816" t="s">
        <v>9313</v>
      </c>
      <c r="B28816" t="s">
        <v>9314</v>
      </c>
      <c r="C28816" s="1" t="s">
        <v>23490</v>
      </c>
      <c r="D28816" s="1" t="str">
        <f>HYPERLINK("https://rhld.insurance.arkansas.gov/NPILookup?Npi=1043320831","1043320831")</f>
        <v>1043320831</v>
      </c>
      <c r="E28816" t="s">
        <v>12199</v>
      </c>
    </row>
    <row r="28817" spans="1:5" x14ac:dyDescent="0.25">
      <c r="A28817" t="s">
        <v>9313</v>
      </c>
      <c r="B28817" t="s">
        <v>9314</v>
      </c>
      <c r="C28817" s="1" t="s">
        <v>23490</v>
      </c>
      <c r="D28817" s="1" t="str">
        <f>HYPERLINK("https://rhld.insurance.arkansas.gov/NPILookup?Npi=1043325145","1043325145")</f>
        <v>1043325145</v>
      </c>
      <c r="E28817" t="s">
        <v>9344</v>
      </c>
    </row>
    <row r="28818" spans="1:5" x14ac:dyDescent="0.25">
      <c r="A28818" t="s">
        <v>9313</v>
      </c>
      <c r="B28818" t="s">
        <v>9314</v>
      </c>
      <c r="C28818" s="1" t="s">
        <v>23490</v>
      </c>
      <c r="D28818" s="1" t="str">
        <f>HYPERLINK("https://rhld.insurance.arkansas.gov/NPILookup?Npi=1043370331","1043370331")</f>
        <v>1043370331</v>
      </c>
      <c r="E28818" t="s">
        <v>9345</v>
      </c>
    </row>
    <row r="28819" spans="1:5" x14ac:dyDescent="0.25">
      <c r="A28819" t="s">
        <v>9313</v>
      </c>
      <c r="B28819" t="s">
        <v>9314</v>
      </c>
      <c r="C28819" s="1" t="s">
        <v>23490</v>
      </c>
      <c r="D28819" s="1" t="str">
        <f>HYPERLINK("https://rhld.insurance.arkansas.gov/NPILookup?Npi=1043396823","1043396823")</f>
        <v>1043396823</v>
      </c>
      <c r="E28819" t="s">
        <v>9346</v>
      </c>
    </row>
    <row r="28820" spans="1:5" x14ac:dyDescent="0.25">
      <c r="A28820" t="s">
        <v>9313</v>
      </c>
      <c r="B28820" t="s">
        <v>9314</v>
      </c>
      <c r="C28820" s="1" t="s">
        <v>23490</v>
      </c>
      <c r="D28820" s="1" t="str">
        <f>HYPERLINK("https://rhld.insurance.arkansas.gov/NPILookup?Npi=1043396948","1043396948")</f>
        <v>1043396948</v>
      </c>
      <c r="E28820" t="s">
        <v>18636</v>
      </c>
    </row>
    <row r="28821" spans="1:5" x14ac:dyDescent="0.25">
      <c r="A28821" t="s">
        <v>9313</v>
      </c>
      <c r="B28821" t="s">
        <v>9314</v>
      </c>
      <c r="C28821" s="1" t="s">
        <v>23490</v>
      </c>
      <c r="D28821" s="1" t="str">
        <f>HYPERLINK("https://rhld.insurance.arkansas.gov/NPILookup?Npi=1043447550","1043447550")</f>
        <v>1043447550</v>
      </c>
      <c r="E28821" t="s">
        <v>9347</v>
      </c>
    </row>
    <row r="28822" spans="1:5" x14ac:dyDescent="0.25">
      <c r="A28822" t="s">
        <v>9313</v>
      </c>
      <c r="B28822" t="s">
        <v>9314</v>
      </c>
      <c r="C28822" s="1" t="s">
        <v>23490</v>
      </c>
      <c r="D28822" s="1" t="str">
        <f>HYPERLINK("https://rhld.insurance.arkansas.gov/NPILookup?Npi=1043658669","1043658669")</f>
        <v>1043658669</v>
      </c>
      <c r="E28822" t="s">
        <v>9348</v>
      </c>
    </row>
    <row r="28823" spans="1:5" x14ac:dyDescent="0.25">
      <c r="A28823" t="s">
        <v>9313</v>
      </c>
      <c r="B28823" t="s">
        <v>9314</v>
      </c>
      <c r="C28823" s="1" t="s">
        <v>23490</v>
      </c>
      <c r="D28823" s="1" t="str">
        <f>HYPERLINK("https://rhld.insurance.arkansas.gov/NPILookup?Npi=1043828221","1043828221")</f>
        <v>1043828221</v>
      </c>
      <c r="E28823" t="s">
        <v>17768</v>
      </c>
    </row>
    <row r="28824" spans="1:5" x14ac:dyDescent="0.25">
      <c r="A28824" t="s">
        <v>9313</v>
      </c>
      <c r="B28824" t="s">
        <v>9314</v>
      </c>
      <c r="C28824" s="1" t="s">
        <v>23490</v>
      </c>
      <c r="D28824" s="1" t="str">
        <f>HYPERLINK("https://rhld.insurance.arkansas.gov/NPILookup?Npi=1043986359","1043986359")</f>
        <v>1043986359</v>
      </c>
      <c r="E28824" t="s">
        <v>19186</v>
      </c>
    </row>
    <row r="28825" spans="1:5" x14ac:dyDescent="0.25">
      <c r="A28825" t="s">
        <v>9313</v>
      </c>
      <c r="B28825" t="s">
        <v>9314</v>
      </c>
      <c r="C28825" s="1" t="s">
        <v>23490</v>
      </c>
      <c r="D28825" s="1" t="str">
        <f>HYPERLINK("https://rhld.insurance.arkansas.gov/NPILookup?Npi=1053040600","1053040600")</f>
        <v>1053040600</v>
      </c>
      <c r="E28825" t="s">
        <v>20796</v>
      </c>
    </row>
    <row r="28826" spans="1:5" x14ac:dyDescent="0.25">
      <c r="A28826" t="s">
        <v>9313</v>
      </c>
      <c r="B28826" t="s">
        <v>9314</v>
      </c>
      <c r="C28826" s="1" t="s">
        <v>23490</v>
      </c>
      <c r="D28826" s="1" t="str">
        <f>HYPERLINK("https://rhld.insurance.arkansas.gov/NPILookup?Npi=1053040667","1053040667")</f>
        <v>1053040667</v>
      </c>
      <c r="E28826" t="s">
        <v>21320</v>
      </c>
    </row>
    <row r="28827" spans="1:5" x14ac:dyDescent="0.25">
      <c r="A28827" t="s">
        <v>9313</v>
      </c>
      <c r="B28827" t="s">
        <v>9314</v>
      </c>
      <c r="C28827" s="1" t="s">
        <v>23490</v>
      </c>
      <c r="D28827" s="1" t="str">
        <f>HYPERLINK("https://rhld.insurance.arkansas.gov/NPILookup?Npi=1053429613","1053429613")</f>
        <v>1053429613</v>
      </c>
      <c r="E28827" t="s">
        <v>8667</v>
      </c>
    </row>
    <row r="28828" spans="1:5" x14ac:dyDescent="0.25">
      <c r="A28828" t="s">
        <v>9313</v>
      </c>
      <c r="B28828" t="s">
        <v>9314</v>
      </c>
      <c r="C28828" s="1" t="s">
        <v>23490</v>
      </c>
      <c r="D28828" s="1" t="str">
        <f>HYPERLINK("https://rhld.insurance.arkansas.gov/NPILookup?Npi=1053460790","1053460790")</f>
        <v>1053460790</v>
      </c>
      <c r="E28828" t="s">
        <v>1363</v>
      </c>
    </row>
    <row r="28829" spans="1:5" x14ac:dyDescent="0.25">
      <c r="A28829" t="s">
        <v>9313</v>
      </c>
      <c r="B28829" t="s">
        <v>9314</v>
      </c>
      <c r="C28829" s="1" t="s">
        <v>8427</v>
      </c>
      <c r="D28829" s="1" t="str">
        <f>HYPERLINK("https://rhld.insurance.arkansas.gov/NPILookup?Npi=1053500975","1053500975")</f>
        <v>1053500975</v>
      </c>
      <c r="E28829" t="s">
        <v>22874</v>
      </c>
    </row>
    <row r="28830" spans="1:5" x14ac:dyDescent="0.25">
      <c r="A28830" t="s">
        <v>9313</v>
      </c>
      <c r="B28830" t="s">
        <v>9314</v>
      </c>
      <c r="C28830" s="1" t="s">
        <v>23490</v>
      </c>
      <c r="D28830" s="1" t="str">
        <f>HYPERLINK("https://rhld.insurance.arkansas.gov/NPILookup?Npi=1053533968","1053533968")</f>
        <v>1053533968</v>
      </c>
      <c r="E28830" t="s">
        <v>9349</v>
      </c>
    </row>
    <row r="28831" spans="1:5" x14ac:dyDescent="0.25">
      <c r="A28831" t="s">
        <v>9313</v>
      </c>
      <c r="B28831" t="s">
        <v>9314</v>
      </c>
      <c r="C28831" s="1" t="s">
        <v>23490</v>
      </c>
      <c r="D28831" s="1" t="str">
        <f>HYPERLINK("https://rhld.insurance.arkansas.gov/NPILookup?Npi=1053606624","1053606624")</f>
        <v>1053606624</v>
      </c>
      <c r="E28831" t="s">
        <v>12200</v>
      </c>
    </row>
    <row r="28832" spans="1:5" x14ac:dyDescent="0.25">
      <c r="A28832" t="s">
        <v>9313</v>
      </c>
      <c r="B28832" t="s">
        <v>9314</v>
      </c>
      <c r="C28832" s="1" t="s">
        <v>23490</v>
      </c>
      <c r="D28832" s="1" t="str">
        <f>HYPERLINK("https://rhld.insurance.arkansas.gov/NPILookup?Npi=1053620864","1053620864")</f>
        <v>1053620864</v>
      </c>
      <c r="E28832" t="s">
        <v>9351</v>
      </c>
    </row>
    <row r="28833" spans="1:5" x14ac:dyDescent="0.25">
      <c r="A28833" t="s">
        <v>9313</v>
      </c>
      <c r="B28833" t="s">
        <v>9314</v>
      </c>
      <c r="C28833" s="1" t="s">
        <v>23490</v>
      </c>
      <c r="D28833" s="1" t="str">
        <f>HYPERLINK("https://rhld.insurance.arkansas.gov/NPILookup?Npi=1053842716","1053842716")</f>
        <v>1053842716</v>
      </c>
      <c r="E28833" t="s">
        <v>14593</v>
      </c>
    </row>
    <row r="28834" spans="1:5" x14ac:dyDescent="0.25">
      <c r="A28834" t="s">
        <v>9313</v>
      </c>
      <c r="B28834" t="s">
        <v>9314</v>
      </c>
      <c r="C28834" s="1" t="s">
        <v>23490</v>
      </c>
      <c r="D28834" s="1" t="str">
        <f>HYPERLINK("https://rhld.insurance.arkansas.gov/NPILookup?Npi=1053964445","1053964445")</f>
        <v>1053964445</v>
      </c>
      <c r="E28834" t="s">
        <v>17769</v>
      </c>
    </row>
    <row r="28835" spans="1:5" x14ac:dyDescent="0.25">
      <c r="A28835" t="s">
        <v>9313</v>
      </c>
      <c r="B28835" t="s">
        <v>9314</v>
      </c>
      <c r="C28835" s="1" t="s">
        <v>23490</v>
      </c>
      <c r="D28835" s="1" t="str">
        <f>HYPERLINK("https://rhld.insurance.arkansas.gov/NPILookup?Npi=1063023554","1063023554")</f>
        <v>1063023554</v>
      </c>
      <c r="E28835" t="s">
        <v>17770</v>
      </c>
    </row>
    <row r="28836" spans="1:5" x14ac:dyDescent="0.25">
      <c r="A28836" t="s">
        <v>9313</v>
      </c>
      <c r="B28836" t="s">
        <v>9314</v>
      </c>
      <c r="C28836" s="1" t="s">
        <v>23490</v>
      </c>
      <c r="D28836" s="1" t="str">
        <f>HYPERLINK("https://rhld.insurance.arkansas.gov/NPILookup?Npi=1063449528","1063449528")</f>
        <v>1063449528</v>
      </c>
      <c r="E28836" t="s">
        <v>4421</v>
      </c>
    </row>
    <row r="28837" spans="1:5" x14ac:dyDescent="0.25">
      <c r="A28837" t="s">
        <v>9313</v>
      </c>
      <c r="B28837" t="s">
        <v>9314</v>
      </c>
      <c r="C28837" s="1" t="s">
        <v>23490</v>
      </c>
      <c r="D28837" s="1" t="str">
        <f>HYPERLINK("https://rhld.insurance.arkansas.gov/NPILookup?Npi=1063499986","1063499986")</f>
        <v>1063499986</v>
      </c>
      <c r="E28837" t="s">
        <v>16782</v>
      </c>
    </row>
    <row r="28838" spans="1:5" x14ac:dyDescent="0.25">
      <c r="A28838" t="s">
        <v>9313</v>
      </c>
      <c r="B28838" t="s">
        <v>9314</v>
      </c>
      <c r="C28838" s="1" t="s">
        <v>23490</v>
      </c>
      <c r="D28838" s="1" t="str">
        <f>HYPERLINK("https://rhld.insurance.arkansas.gov/NPILookup?Npi=1063540193","1063540193")</f>
        <v>1063540193</v>
      </c>
      <c r="E28838" t="s">
        <v>9353</v>
      </c>
    </row>
    <row r="28839" spans="1:5" x14ac:dyDescent="0.25">
      <c r="A28839" t="s">
        <v>9313</v>
      </c>
      <c r="B28839" t="s">
        <v>9314</v>
      </c>
      <c r="C28839" s="1" t="s">
        <v>23490</v>
      </c>
      <c r="D28839" s="1" t="str">
        <f>HYPERLINK("https://rhld.insurance.arkansas.gov/NPILookup?Npi=1063555415","1063555415")</f>
        <v>1063555415</v>
      </c>
      <c r="E28839" t="s">
        <v>9354</v>
      </c>
    </row>
    <row r="28840" spans="1:5" x14ac:dyDescent="0.25">
      <c r="A28840" t="s">
        <v>9313</v>
      </c>
      <c r="B28840" t="s">
        <v>9314</v>
      </c>
      <c r="C28840" s="1" t="s">
        <v>23490</v>
      </c>
      <c r="D28840" s="1" t="str">
        <f>HYPERLINK("https://rhld.insurance.arkansas.gov/NPILookup?Npi=1063627560","1063627560")</f>
        <v>1063627560</v>
      </c>
      <c r="E28840" t="s">
        <v>18569</v>
      </c>
    </row>
    <row r="28841" spans="1:5" x14ac:dyDescent="0.25">
      <c r="A28841" t="s">
        <v>9313</v>
      </c>
      <c r="B28841" t="s">
        <v>9314</v>
      </c>
      <c r="C28841" s="1" t="s">
        <v>23490</v>
      </c>
      <c r="D28841" s="1" t="str">
        <f>HYPERLINK("https://rhld.insurance.arkansas.gov/NPILookup?Npi=1063641736","1063641736")</f>
        <v>1063641736</v>
      </c>
      <c r="E28841" t="s">
        <v>9356</v>
      </c>
    </row>
    <row r="28842" spans="1:5" x14ac:dyDescent="0.25">
      <c r="A28842" t="s">
        <v>9313</v>
      </c>
      <c r="B28842" t="s">
        <v>9314</v>
      </c>
      <c r="C28842" s="1" t="s">
        <v>23490</v>
      </c>
      <c r="D28842" s="1" t="str">
        <f>HYPERLINK("https://rhld.insurance.arkansas.gov/NPILookup?Npi=1063856912","1063856912")</f>
        <v>1063856912</v>
      </c>
      <c r="E28842" t="s">
        <v>20797</v>
      </c>
    </row>
    <row r="28843" spans="1:5" x14ac:dyDescent="0.25">
      <c r="A28843" t="s">
        <v>9313</v>
      </c>
      <c r="B28843" t="s">
        <v>9314</v>
      </c>
      <c r="C28843" s="1" t="s">
        <v>23490</v>
      </c>
      <c r="D28843" s="1" t="str">
        <f>HYPERLINK("https://rhld.insurance.arkansas.gov/NPILookup?Npi=1063861086","1063861086")</f>
        <v>1063861086</v>
      </c>
      <c r="E28843" t="s">
        <v>12201</v>
      </c>
    </row>
    <row r="28844" spans="1:5" x14ac:dyDescent="0.25">
      <c r="A28844" t="s">
        <v>9313</v>
      </c>
      <c r="B28844" t="s">
        <v>9314</v>
      </c>
      <c r="C28844" s="1" t="s">
        <v>23490</v>
      </c>
      <c r="D28844" s="1" t="str">
        <f>HYPERLINK("https://rhld.insurance.arkansas.gov/NPILookup?Npi=1063863009","1063863009")</f>
        <v>1063863009</v>
      </c>
      <c r="E28844" t="s">
        <v>18570</v>
      </c>
    </row>
    <row r="28845" spans="1:5" x14ac:dyDescent="0.25">
      <c r="A28845" t="s">
        <v>9313</v>
      </c>
      <c r="B28845" t="s">
        <v>9314</v>
      </c>
      <c r="C28845" s="1" t="s">
        <v>23490</v>
      </c>
      <c r="D28845" s="1" t="str">
        <f>HYPERLINK("https://rhld.insurance.arkansas.gov/NPILookup?Npi=1063867604","1063867604")</f>
        <v>1063867604</v>
      </c>
      <c r="E28845" t="s">
        <v>22754</v>
      </c>
    </row>
    <row r="28846" spans="1:5" x14ac:dyDescent="0.25">
      <c r="A28846" t="s">
        <v>9313</v>
      </c>
      <c r="B28846" t="s">
        <v>9314</v>
      </c>
      <c r="C28846" s="1" t="s">
        <v>23490</v>
      </c>
      <c r="D28846" s="1" t="str">
        <f>HYPERLINK("https://rhld.insurance.arkansas.gov/NPILookup?Npi=1063932655","1063932655")</f>
        <v>1063932655</v>
      </c>
      <c r="E28846" t="s">
        <v>12202</v>
      </c>
    </row>
    <row r="28847" spans="1:5" x14ac:dyDescent="0.25">
      <c r="A28847" t="s">
        <v>9313</v>
      </c>
      <c r="B28847" t="s">
        <v>9314</v>
      </c>
      <c r="C28847" s="1" t="s">
        <v>23490</v>
      </c>
      <c r="D28847" s="1" t="str">
        <f>HYPERLINK("https://rhld.insurance.arkansas.gov/NPILookup?Npi=1063954139","1063954139")</f>
        <v>1063954139</v>
      </c>
      <c r="E28847" t="s">
        <v>12203</v>
      </c>
    </row>
    <row r="28848" spans="1:5" x14ac:dyDescent="0.25">
      <c r="A28848" t="s">
        <v>9313</v>
      </c>
      <c r="B28848" t="s">
        <v>9314</v>
      </c>
      <c r="C28848" s="1" t="s">
        <v>23490</v>
      </c>
      <c r="D28848" s="1" t="str">
        <f>HYPERLINK("https://rhld.insurance.arkansas.gov/NPILookup?Npi=1073139143","1073139143")</f>
        <v>1073139143</v>
      </c>
      <c r="E28848" t="s">
        <v>17771</v>
      </c>
    </row>
    <row r="28849" spans="1:5" x14ac:dyDescent="0.25">
      <c r="A28849" t="s">
        <v>9313</v>
      </c>
      <c r="B28849" t="s">
        <v>9314</v>
      </c>
      <c r="C28849" s="1" t="s">
        <v>23490</v>
      </c>
      <c r="D28849" s="1" t="str">
        <f>HYPERLINK("https://rhld.insurance.arkansas.gov/NPILookup?Npi=1073182143","1073182143")</f>
        <v>1073182143</v>
      </c>
      <c r="E28849" t="s">
        <v>9387</v>
      </c>
    </row>
    <row r="28850" spans="1:5" x14ac:dyDescent="0.25">
      <c r="A28850" t="s">
        <v>9313</v>
      </c>
      <c r="B28850" t="s">
        <v>9314</v>
      </c>
      <c r="C28850" s="1" t="s">
        <v>23490</v>
      </c>
      <c r="D28850" s="1" t="str">
        <f>HYPERLINK("https://rhld.insurance.arkansas.gov/NPILookup?Npi=1073520300","1073520300")</f>
        <v>1073520300</v>
      </c>
      <c r="E28850" t="s">
        <v>9357</v>
      </c>
    </row>
    <row r="28851" spans="1:5" x14ac:dyDescent="0.25">
      <c r="A28851" t="s">
        <v>9313</v>
      </c>
      <c r="B28851" t="s">
        <v>9314</v>
      </c>
      <c r="C28851" s="1" t="s">
        <v>23490</v>
      </c>
      <c r="D28851" s="1" t="str">
        <f>HYPERLINK("https://rhld.insurance.arkansas.gov/NPILookup?Npi=1073523049","1073523049")</f>
        <v>1073523049</v>
      </c>
      <c r="E28851" t="s">
        <v>12204</v>
      </c>
    </row>
    <row r="28852" spans="1:5" x14ac:dyDescent="0.25">
      <c r="A28852" t="s">
        <v>9313</v>
      </c>
      <c r="B28852" t="s">
        <v>9314</v>
      </c>
      <c r="C28852" s="1" t="s">
        <v>23490</v>
      </c>
      <c r="D28852" s="1" t="str">
        <f>HYPERLINK("https://rhld.insurance.arkansas.gov/NPILookup?Npi=1073601795","1073601795")</f>
        <v>1073601795</v>
      </c>
      <c r="E28852" t="s">
        <v>9358</v>
      </c>
    </row>
    <row r="28853" spans="1:5" x14ac:dyDescent="0.25">
      <c r="A28853" t="s">
        <v>9313</v>
      </c>
      <c r="B28853" t="s">
        <v>9314</v>
      </c>
      <c r="C28853" s="1" t="s">
        <v>23490</v>
      </c>
      <c r="D28853" s="1" t="str">
        <f>HYPERLINK("https://rhld.insurance.arkansas.gov/NPILookup?Npi=1073601969","1073601969")</f>
        <v>1073601969</v>
      </c>
      <c r="E28853" t="s">
        <v>9359</v>
      </c>
    </row>
    <row r="28854" spans="1:5" x14ac:dyDescent="0.25">
      <c r="A28854" t="s">
        <v>9313</v>
      </c>
      <c r="B28854" t="s">
        <v>9314</v>
      </c>
      <c r="C28854" s="1" t="s">
        <v>23490</v>
      </c>
      <c r="D28854" s="1" t="str">
        <f>HYPERLINK("https://rhld.insurance.arkansas.gov/NPILookup?Npi=1073616298","1073616298")</f>
        <v>1073616298</v>
      </c>
      <c r="E28854" t="s">
        <v>3120</v>
      </c>
    </row>
    <row r="28855" spans="1:5" x14ac:dyDescent="0.25">
      <c r="A28855" t="s">
        <v>9313</v>
      </c>
      <c r="B28855" t="s">
        <v>9314</v>
      </c>
      <c r="C28855" s="1" t="s">
        <v>23490</v>
      </c>
      <c r="D28855" s="1" t="str">
        <f>HYPERLINK("https://rhld.insurance.arkansas.gov/NPILookup?Npi=1073620043","1073620043")</f>
        <v>1073620043</v>
      </c>
      <c r="E28855" t="s">
        <v>9360</v>
      </c>
    </row>
    <row r="28856" spans="1:5" x14ac:dyDescent="0.25">
      <c r="A28856" t="s">
        <v>9313</v>
      </c>
      <c r="B28856" t="s">
        <v>9314</v>
      </c>
      <c r="C28856" s="1" t="s">
        <v>23490</v>
      </c>
      <c r="D28856" s="1" t="str">
        <f>HYPERLINK("https://rhld.insurance.arkansas.gov/NPILookup?Npi=1073632220","1073632220")</f>
        <v>1073632220</v>
      </c>
      <c r="E28856" t="s">
        <v>22755</v>
      </c>
    </row>
    <row r="28857" spans="1:5" x14ac:dyDescent="0.25">
      <c r="A28857" t="s">
        <v>9313</v>
      </c>
      <c r="B28857" t="s">
        <v>9314</v>
      </c>
      <c r="C28857" s="1" t="s">
        <v>23490</v>
      </c>
      <c r="D28857" s="1" t="str">
        <f>HYPERLINK("https://rhld.insurance.arkansas.gov/NPILookup?Npi=1073644753","1073644753")</f>
        <v>1073644753</v>
      </c>
      <c r="E28857" t="s">
        <v>9361</v>
      </c>
    </row>
    <row r="28858" spans="1:5" x14ac:dyDescent="0.25">
      <c r="A28858" t="s">
        <v>9313</v>
      </c>
      <c r="B28858" t="s">
        <v>9314</v>
      </c>
      <c r="C28858" s="1" t="s">
        <v>23490</v>
      </c>
      <c r="D28858" s="1" t="str">
        <f>HYPERLINK("https://rhld.insurance.arkansas.gov/NPILookup?Npi=1073676359","1073676359")</f>
        <v>1073676359</v>
      </c>
      <c r="E28858" t="s">
        <v>9363</v>
      </c>
    </row>
    <row r="28859" spans="1:5" x14ac:dyDescent="0.25">
      <c r="A28859" t="s">
        <v>9313</v>
      </c>
      <c r="B28859" t="s">
        <v>9314</v>
      </c>
      <c r="C28859" s="1" t="s">
        <v>23490</v>
      </c>
      <c r="D28859" s="1" t="str">
        <f>HYPERLINK("https://rhld.insurance.arkansas.gov/NPILookup?Npi=1073684825","1073684825")</f>
        <v>1073684825</v>
      </c>
      <c r="E28859" t="s">
        <v>9364</v>
      </c>
    </row>
    <row r="28860" spans="1:5" x14ac:dyDescent="0.25">
      <c r="A28860" t="s">
        <v>9313</v>
      </c>
      <c r="B28860" t="s">
        <v>9314</v>
      </c>
      <c r="C28860" s="1" t="s">
        <v>23490</v>
      </c>
      <c r="D28860" s="1" t="str">
        <f>HYPERLINK("https://rhld.insurance.arkansas.gov/NPILookup?Npi=1073687141","1073687141")</f>
        <v>1073687141</v>
      </c>
      <c r="E28860" t="s">
        <v>12205</v>
      </c>
    </row>
    <row r="28861" spans="1:5" x14ac:dyDescent="0.25">
      <c r="A28861" t="s">
        <v>9313</v>
      </c>
      <c r="B28861" t="s">
        <v>9314</v>
      </c>
      <c r="C28861" s="1" t="s">
        <v>23490</v>
      </c>
      <c r="D28861" s="1" t="str">
        <f>HYPERLINK("https://rhld.insurance.arkansas.gov/NPILookup?Npi=1073698379","1073698379")</f>
        <v>1073698379</v>
      </c>
      <c r="E28861" t="s">
        <v>9365</v>
      </c>
    </row>
    <row r="28862" spans="1:5" x14ac:dyDescent="0.25">
      <c r="A28862" t="s">
        <v>9313</v>
      </c>
      <c r="B28862" t="s">
        <v>9314</v>
      </c>
      <c r="C28862" s="1" t="s">
        <v>23490</v>
      </c>
      <c r="D28862" s="1" t="str">
        <f>HYPERLINK("https://rhld.insurance.arkansas.gov/NPILookup?Npi=1073699542","1073699542")</f>
        <v>1073699542</v>
      </c>
      <c r="E28862" t="s">
        <v>9366</v>
      </c>
    </row>
    <row r="28863" spans="1:5" x14ac:dyDescent="0.25">
      <c r="A28863" t="s">
        <v>9313</v>
      </c>
      <c r="B28863" t="s">
        <v>9314</v>
      </c>
      <c r="C28863" s="1" t="s">
        <v>23490</v>
      </c>
      <c r="D28863" s="1" t="str">
        <f>HYPERLINK("https://rhld.insurance.arkansas.gov/NPILookup?Npi=1073714770","1073714770")</f>
        <v>1073714770</v>
      </c>
      <c r="E28863" t="s">
        <v>9367</v>
      </c>
    </row>
    <row r="28864" spans="1:5" x14ac:dyDescent="0.25">
      <c r="A28864" t="s">
        <v>9313</v>
      </c>
      <c r="B28864" t="s">
        <v>9314</v>
      </c>
      <c r="C28864" s="1" t="s">
        <v>23490</v>
      </c>
      <c r="D28864" s="1" t="str">
        <f>HYPERLINK("https://rhld.insurance.arkansas.gov/NPILookup?Npi=1073718706","1073718706")</f>
        <v>1073718706</v>
      </c>
      <c r="E28864" t="s">
        <v>12206</v>
      </c>
    </row>
    <row r="28865" spans="1:5" x14ac:dyDescent="0.25">
      <c r="A28865" t="s">
        <v>9313</v>
      </c>
      <c r="B28865" t="s">
        <v>9314</v>
      </c>
      <c r="C28865" s="1" t="s">
        <v>23490</v>
      </c>
      <c r="D28865" s="1" t="str">
        <f>HYPERLINK("https://rhld.insurance.arkansas.gov/NPILookup?Npi=1073734000","1073734000")</f>
        <v>1073734000</v>
      </c>
      <c r="E28865" t="s">
        <v>9368</v>
      </c>
    </row>
    <row r="28866" spans="1:5" x14ac:dyDescent="0.25">
      <c r="A28866" t="s">
        <v>9313</v>
      </c>
      <c r="B28866" t="s">
        <v>9314</v>
      </c>
      <c r="C28866" s="1" t="s">
        <v>23490</v>
      </c>
      <c r="D28866" s="1" t="str">
        <f>HYPERLINK("https://rhld.insurance.arkansas.gov/NPILookup?Npi=1073743878","1073743878")</f>
        <v>1073743878</v>
      </c>
      <c r="E28866" t="s">
        <v>9369</v>
      </c>
    </row>
    <row r="28867" spans="1:5" x14ac:dyDescent="0.25">
      <c r="A28867" t="s">
        <v>9313</v>
      </c>
      <c r="B28867" t="s">
        <v>9314</v>
      </c>
      <c r="C28867" s="1" t="s">
        <v>23490</v>
      </c>
      <c r="D28867" s="1" t="str">
        <f>HYPERLINK("https://rhld.insurance.arkansas.gov/NPILookup?Npi=1073770178","1073770178")</f>
        <v>1073770178</v>
      </c>
      <c r="E28867" t="s">
        <v>12207</v>
      </c>
    </row>
    <row r="28868" spans="1:5" x14ac:dyDescent="0.25">
      <c r="A28868" t="s">
        <v>9313</v>
      </c>
      <c r="B28868" t="s">
        <v>9314</v>
      </c>
      <c r="C28868" s="1" t="s">
        <v>23490</v>
      </c>
      <c r="D28868" s="1" t="str">
        <f>HYPERLINK("https://rhld.insurance.arkansas.gov/NPILookup?Npi=1073775045","1073775045")</f>
        <v>1073775045</v>
      </c>
      <c r="E28868" t="s">
        <v>1720</v>
      </c>
    </row>
    <row r="28869" spans="1:5" x14ac:dyDescent="0.25">
      <c r="A28869" t="s">
        <v>9313</v>
      </c>
      <c r="B28869" t="s">
        <v>9314</v>
      </c>
      <c r="C28869" s="1" t="s">
        <v>23490</v>
      </c>
      <c r="D28869" s="1" t="str">
        <f>HYPERLINK("https://rhld.insurance.arkansas.gov/NPILookup?Npi=1073995585","1073995585")</f>
        <v>1073995585</v>
      </c>
      <c r="E28869" t="s">
        <v>12208</v>
      </c>
    </row>
    <row r="28870" spans="1:5" x14ac:dyDescent="0.25">
      <c r="A28870" t="s">
        <v>9313</v>
      </c>
      <c r="B28870" t="s">
        <v>9314</v>
      </c>
      <c r="C28870" s="1" t="s">
        <v>23490</v>
      </c>
      <c r="D28870" s="1" t="str">
        <f>HYPERLINK("https://rhld.insurance.arkansas.gov/NPILookup?Npi=1083055701","1083055701")</f>
        <v>1083055701</v>
      </c>
      <c r="E28870" t="s">
        <v>9370</v>
      </c>
    </row>
    <row r="28871" spans="1:5" x14ac:dyDescent="0.25">
      <c r="A28871" t="s">
        <v>9313</v>
      </c>
      <c r="B28871" t="s">
        <v>9314</v>
      </c>
      <c r="C28871" s="1" t="s">
        <v>23490</v>
      </c>
      <c r="D28871" s="1" t="str">
        <f>HYPERLINK("https://rhld.insurance.arkansas.gov/NPILookup?Npi=1083160980","1083160980")</f>
        <v>1083160980</v>
      </c>
      <c r="E28871" t="s">
        <v>13289</v>
      </c>
    </row>
    <row r="28872" spans="1:5" x14ac:dyDescent="0.25">
      <c r="A28872" t="s">
        <v>9313</v>
      </c>
      <c r="B28872" t="s">
        <v>9314</v>
      </c>
      <c r="C28872" s="1" t="s">
        <v>23490</v>
      </c>
      <c r="D28872" s="1" t="str">
        <f>HYPERLINK("https://rhld.insurance.arkansas.gov/NPILookup?Npi=1083266225","1083266225")</f>
        <v>1083266225</v>
      </c>
      <c r="E28872" t="s">
        <v>20798</v>
      </c>
    </row>
    <row r="28873" spans="1:5" x14ac:dyDescent="0.25">
      <c r="A28873" t="s">
        <v>9313</v>
      </c>
      <c r="B28873" t="s">
        <v>9314</v>
      </c>
      <c r="C28873" s="1" t="s">
        <v>23490</v>
      </c>
      <c r="D28873" s="1" t="str">
        <f>HYPERLINK("https://rhld.insurance.arkansas.gov/NPILookup?Npi=1083274823","1083274823")</f>
        <v>1083274823</v>
      </c>
      <c r="E28873" t="s">
        <v>21321</v>
      </c>
    </row>
    <row r="28874" spans="1:5" x14ac:dyDescent="0.25">
      <c r="A28874" t="s">
        <v>9313</v>
      </c>
      <c r="B28874" t="s">
        <v>9314</v>
      </c>
      <c r="C28874" s="1" t="s">
        <v>23490</v>
      </c>
      <c r="D28874" s="1" t="str">
        <f>HYPERLINK("https://rhld.insurance.arkansas.gov/NPILookup?Npi=1083628796","1083628796")</f>
        <v>1083628796</v>
      </c>
      <c r="E28874" t="s">
        <v>9371</v>
      </c>
    </row>
    <row r="28875" spans="1:5" x14ac:dyDescent="0.25">
      <c r="A28875" t="s">
        <v>9313</v>
      </c>
      <c r="B28875" t="s">
        <v>9314</v>
      </c>
      <c r="C28875" s="1" t="s">
        <v>23490</v>
      </c>
      <c r="D28875" s="1" t="str">
        <f>HYPERLINK("https://rhld.insurance.arkansas.gov/NPILookup?Npi=1083728232","1083728232")</f>
        <v>1083728232</v>
      </c>
      <c r="E28875" t="s">
        <v>9372</v>
      </c>
    </row>
    <row r="28876" spans="1:5" x14ac:dyDescent="0.25">
      <c r="A28876" t="s">
        <v>9313</v>
      </c>
      <c r="B28876" t="s">
        <v>9314</v>
      </c>
      <c r="C28876" s="1" t="s">
        <v>23490</v>
      </c>
      <c r="D28876" s="1" t="str">
        <f>HYPERLINK("https://rhld.insurance.arkansas.gov/NPILookup?Npi=1083742928","1083742928")</f>
        <v>1083742928</v>
      </c>
      <c r="E28876" t="s">
        <v>9373</v>
      </c>
    </row>
    <row r="28877" spans="1:5" x14ac:dyDescent="0.25">
      <c r="A28877" t="s">
        <v>9313</v>
      </c>
      <c r="B28877" t="s">
        <v>9314</v>
      </c>
      <c r="C28877" s="1" t="s">
        <v>23490</v>
      </c>
      <c r="D28877" s="1" t="str">
        <f>HYPERLINK("https://rhld.insurance.arkansas.gov/NPILookup?Npi=1083771638","1083771638")</f>
        <v>1083771638</v>
      </c>
      <c r="E28877" t="s">
        <v>9375</v>
      </c>
    </row>
    <row r="28878" spans="1:5" x14ac:dyDescent="0.25">
      <c r="A28878" t="s">
        <v>9313</v>
      </c>
      <c r="B28878" t="s">
        <v>9314</v>
      </c>
      <c r="C28878" s="1" t="s">
        <v>23490</v>
      </c>
      <c r="D28878" s="1" t="str">
        <f>HYPERLINK("https://rhld.insurance.arkansas.gov/NPILookup?Npi=1083787550","1083787550")</f>
        <v>1083787550</v>
      </c>
      <c r="E28878" t="s">
        <v>9376</v>
      </c>
    </row>
    <row r="28879" spans="1:5" x14ac:dyDescent="0.25">
      <c r="A28879" t="s">
        <v>9313</v>
      </c>
      <c r="B28879" t="s">
        <v>9314</v>
      </c>
      <c r="C28879" s="1" t="s">
        <v>23490</v>
      </c>
      <c r="D28879" s="1" t="str">
        <f>HYPERLINK("https://rhld.insurance.arkansas.gov/NPILookup?Npi=1083787683","1083787683")</f>
        <v>1083787683</v>
      </c>
      <c r="E28879" t="s">
        <v>9377</v>
      </c>
    </row>
    <row r="28880" spans="1:5" x14ac:dyDescent="0.25">
      <c r="A28880" t="s">
        <v>9313</v>
      </c>
      <c r="B28880" t="s">
        <v>9314</v>
      </c>
      <c r="C28880" s="1" t="s">
        <v>23490</v>
      </c>
      <c r="D28880" s="1" t="str">
        <f>HYPERLINK("https://rhld.insurance.arkansas.gov/NPILookup?Npi=1093026031","1093026031")</f>
        <v>1093026031</v>
      </c>
      <c r="E28880" t="s">
        <v>9378</v>
      </c>
    </row>
    <row r="28881" spans="1:5" x14ac:dyDescent="0.25">
      <c r="A28881" t="s">
        <v>9313</v>
      </c>
      <c r="B28881" t="s">
        <v>9314</v>
      </c>
      <c r="C28881" s="1" t="s">
        <v>23490</v>
      </c>
      <c r="D28881" s="1" t="str">
        <f>HYPERLINK("https://rhld.insurance.arkansas.gov/NPILookup?Npi=1093086043","1093086043")</f>
        <v>1093086043</v>
      </c>
      <c r="E28881" t="s">
        <v>9379</v>
      </c>
    </row>
    <row r="28882" spans="1:5" x14ac:dyDescent="0.25">
      <c r="A28882" t="s">
        <v>9313</v>
      </c>
      <c r="B28882" t="s">
        <v>9314</v>
      </c>
      <c r="C28882" s="1" t="s">
        <v>23490</v>
      </c>
      <c r="D28882" s="1" t="str">
        <f>HYPERLINK("https://rhld.insurance.arkansas.gov/NPILookup?Npi=1093120727","1093120727")</f>
        <v>1093120727</v>
      </c>
      <c r="E28882" t="s">
        <v>9380</v>
      </c>
    </row>
    <row r="28883" spans="1:5" x14ac:dyDescent="0.25">
      <c r="A28883" t="s">
        <v>9313</v>
      </c>
      <c r="B28883" t="s">
        <v>9314</v>
      </c>
      <c r="C28883" s="1" t="s">
        <v>23490</v>
      </c>
      <c r="D28883" s="1" t="str">
        <f>HYPERLINK("https://rhld.insurance.arkansas.gov/NPILookup?Npi=1093136327","1093136327")</f>
        <v>1093136327</v>
      </c>
      <c r="E28883" t="s">
        <v>18571</v>
      </c>
    </row>
    <row r="28884" spans="1:5" x14ac:dyDescent="0.25">
      <c r="A28884" t="s">
        <v>9313</v>
      </c>
      <c r="B28884" t="s">
        <v>9314</v>
      </c>
      <c r="C28884" s="1" t="s">
        <v>23490</v>
      </c>
      <c r="D28884" s="1" t="str">
        <f>HYPERLINK("https://rhld.insurance.arkansas.gov/NPILookup?Npi=1093332728","1093332728")</f>
        <v>1093332728</v>
      </c>
      <c r="E28884" t="s">
        <v>17772</v>
      </c>
    </row>
    <row r="28885" spans="1:5" x14ac:dyDescent="0.25">
      <c r="A28885" t="s">
        <v>9313</v>
      </c>
      <c r="B28885" t="s">
        <v>9314</v>
      </c>
      <c r="C28885" s="1" t="s">
        <v>23490</v>
      </c>
      <c r="D28885" s="1" t="str">
        <f>HYPERLINK("https://rhld.insurance.arkansas.gov/NPILookup?Npi=1093375321","1093375321")</f>
        <v>1093375321</v>
      </c>
      <c r="E28885" t="s">
        <v>17315</v>
      </c>
    </row>
    <row r="28886" spans="1:5" x14ac:dyDescent="0.25">
      <c r="A28886" t="s">
        <v>9313</v>
      </c>
      <c r="B28886" t="s">
        <v>9314</v>
      </c>
      <c r="C28886" s="1" t="s">
        <v>23490</v>
      </c>
      <c r="D28886" s="1" t="str">
        <f>HYPERLINK("https://rhld.insurance.arkansas.gov/NPILookup?Npi=1093454639","1093454639")</f>
        <v>1093454639</v>
      </c>
      <c r="E28886" t="s">
        <v>21322</v>
      </c>
    </row>
    <row r="28887" spans="1:5" x14ac:dyDescent="0.25">
      <c r="A28887" t="s">
        <v>9313</v>
      </c>
      <c r="B28887" t="s">
        <v>9314</v>
      </c>
      <c r="C28887" s="1" t="s">
        <v>23490</v>
      </c>
      <c r="D28887" s="1" t="str">
        <f>HYPERLINK("https://rhld.insurance.arkansas.gov/NPILookup?Npi=1093841868","1093841868")</f>
        <v>1093841868</v>
      </c>
      <c r="E28887" t="s">
        <v>9381</v>
      </c>
    </row>
    <row r="28888" spans="1:5" x14ac:dyDescent="0.25">
      <c r="A28888" t="s">
        <v>9313</v>
      </c>
      <c r="B28888" t="s">
        <v>9314</v>
      </c>
      <c r="C28888" s="1" t="s">
        <v>23490</v>
      </c>
      <c r="D28888" s="1" t="str">
        <f>HYPERLINK("https://rhld.insurance.arkansas.gov/NPILookup?Npi=1104009364","1104009364")</f>
        <v>1104009364</v>
      </c>
      <c r="E28888" t="s">
        <v>12212</v>
      </c>
    </row>
    <row r="28889" spans="1:5" x14ac:dyDescent="0.25">
      <c r="A28889" t="s">
        <v>9313</v>
      </c>
      <c r="B28889" t="s">
        <v>9314</v>
      </c>
      <c r="C28889" s="1" t="s">
        <v>23490</v>
      </c>
      <c r="D28889" s="1" t="str">
        <f>HYPERLINK("https://rhld.insurance.arkansas.gov/NPILookup?Npi=1104038074","1104038074")</f>
        <v>1104038074</v>
      </c>
      <c r="E28889" t="s">
        <v>12213</v>
      </c>
    </row>
    <row r="28890" spans="1:5" x14ac:dyDescent="0.25">
      <c r="A28890" t="s">
        <v>9313</v>
      </c>
      <c r="B28890" t="s">
        <v>9314</v>
      </c>
      <c r="C28890" s="1" t="s">
        <v>23490</v>
      </c>
      <c r="D28890" s="1" t="str">
        <f>HYPERLINK("https://rhld.insurance.arkansas.gov/NPILookup?Npi=1104041763","1104041763")</f>
        <v>1104041763</v>
      </c>
      <c r="E28890" t="s">
        <v>12214</v>
      </c>
    </row>
    <row r="28891" spans="1:5" x14ac:dyDescent="0.25">
      <c r="A28891" t="s">
        <v>9313</v>
      </c>
      <c r="B28891" t="s">
        <v>9314</v>
      </c>
      <c r="C28891" s="1" t="s">
        <v>23490</v>
      </c>
      <c r="D28891" s="1" t="str">
        <f>HYPERLINK("https://rhld.insurance.arkansas.gov/NPILookup?Npi=1104044767","1104044767")</f>
        <v>1104044767</v>
      </c>
      <c r="E28891" t="s">
        <v>12215</v>
      </c>
    </row>
    <row r="28892" spans="1:5" x14ac:dyDescent="0.25">
      <c r="A28892" t="s">
        <v>9313</v>
      </c>
      <c r="B28892" t="s">
        <v>9314</v>
      </c>
      <c r="C28892" s="1" t="s">
        <v>23490</v>
      </c>
      <c r="D28892" s="1" t="str">
        <f>HYPERLINK("https://rhld.insurance.arkansas.gov/NPILookup?Npi=1104048941","1104048941")</f>
        <v>1104048941</v>
      </c>
      <c r="E28892" t="s">
        <v>12216</v>
      </c>
    </row>
    <row r="28893" spans="1:5" x14ac:dyDescent="0.25">
      <c r="A28893" t="s">
        <v>9313</v>
      </c>
      <c r="B28893" t="s">
        <v>9314</v>
      </c>
      <c r="C28893" s="1" t="s">
        <v>23490</v>
      </c>
      <c r="D28893" s="1" t="str">
        <f>HYPERLINK("https://rhld.insurance.arkansas.gov/NPILookup?Npi=1104154145","1104154145")</f>
        <v>1104154145</v>
      </c>
      <c r="E28893" t="s">
        <v>12217</v>
      </c>
    </row>
    <row r="28894" spans="1:5" x14ac:dyDescent="0.25">
      <c r="A28894" t="s">
        <v>9313</v>
      </c>
      <c r="B28894" t="s">
        <v>9314</v>
      </c>
      <c r="C28894" s="1" t="s">
        <v>23490</v>
      </c>
      <c r="D28894" s="1" t="str">
        <f>HYPERLINK("https://rhld.insurance.arkansas.gov/NPILookup?Npi=1104188366","1104188366")</f>
        <v>1104188366</v>
      </c>
      <c r="E28894" t="s">
        <v>9384</v>
      </c>
    </row>
    <row r="28895" spans="1:5" x14ac:dyDescent="0.25">
      <c r="A28895" t="s">
        <v>9313</v>
      </c>
      <c r="B28895" t="s">
        <v>9314</v>
      </c>
      <c r="C28895" s="1" t="s">
        <v>23490</v>
      </c>
      <c r="D28895" s="1" t="str">
        <f>HYPERLINK("https://rhld.insurance.arkansas.gov/NPILookup?Npi=1104355122","1104355122")</f>
        <v>1104355122</v>
      </c>
      <c r="E28895" t="s">
        <v>12218</v>
      </c>
    </row>
    <row r="28896" spans="1:5" x14ac:dyDescent="0.25">
      <c r="A28896" t="s">
        <v>9313</v>
      </c>
      <c r="B28896" t="s">
        <v>9314</v>
      </c>
      <c r="C28896" s="1" t="s">
        <v>23490</v>
      </c>
      <c r="D28896" s="1" t="str">
        <f>HYPERLINK("https://rhld.insurance.arkansas.gov/NPILookup?Npi=1104815091","1104815091")</f>
        <v>1104815091</v>
      </c>
      <c r="E28896" t="s">
        <v>12219</v>
      </c>
    </row>
    <row r="28897" spans="1:5" x14ac:dyDescent="0.25">
      <c r="A28897" t="s">
        <v>9313</v>
      </c>
      <c r="B28897" t="s">
        <v>9314</v>
      </c>
      <c r="C28897" s="1" t="s">
        <v>23490</v>
      </c>
      <c r="D28897" s="1" t="str">
        <f>HYPERLINK("https://rhld.insurance.arkansas.gov/NPILookup?Npi=1104816560","1104816560")</f>
        <v>1104816560</v>
      </c>
      <c r="E28897" t="s">
        <v>12220</v>
      </c>
    </row>
    <row r="28898" spans="1:5" x14ac:dyDescent="0.25">
      <c r="A28898" t="s">
        <v>9313</v>
      </c>
      <c r="B28898" t="s">
        <v>9314</v>
      </c>
      <c r="C28898" s="1" t="s">
        <v>23490</v>
      </c>
      <c r="D28898" s="1" t="str">
        <f>HYPERLINK("https://rhld.insurance.arkansas.gov/NPILookup?Npi=1104845163","1104845163")</f>
        <v>1104845163</v>
      </c>
      <c r="E28898" t="s">
        <v>12221</v>
      </c>
    </row>
    <row r="28899" spans="1:5" x14ac:dyDescent="0.25">
      <c r="A28899" t="s">
        <v>9313</v>
      </c>
      <c r="B28899" t="s">
        <v>9314</v>
      </c>
      <c r="C28899" s="1" t="s">
        <v>23490</v>
      </c>
      <c r="D28899" s="1" t="str">
        <f>HYPERLINK("https://rhld.insurance.arkansas.gov/NPILookup?Npi=1104874866","1104874866")</f>
        <v>1104874866</v>
      </c>
      <c r="E28899" t="s">
        <v>9385</v>
      </c>
    </row>
    <row r="28900" spans="1:5" x14ac:dyDescent="0.25">
      <c r="A28900" t="s">
        <v>9313</v>
      </c>
      <c r="B28900" t="s">
        <v>9314</v>
      </c>
      <c r="C28900" s="1" t="s">
        <v>23490</v>
      </c>
      <c r="D28900" s="1" t="str">
        <f>HYPERLINK("https://rhld.insurance.arkansas.gov/NPILookup?Npi=1104908128","1104908128")</f>
        <v>1104908128</v>
      </c>
      <c r="E28900" t="s">
        <v>9386</v>
      </c>
    </row>
    <row r="28901" spans="1:5" x14ac:dyDescent="0.25">
      <c r="A28901" t="s">
        <v>9313</v>
      </c>
      <c r="B28901" t="s">
        <v>9314</v>
      </c>
      <c r="C28901" s="1" t="s">
        <v>23490</v>
      </c>
      <c r="D28901" s="1" t="str">
        <f>HYPERLINK("https://rhld.insurance.arkansas.gov/NPILookup?Npi=1104914431","1104914431")</f>
        <v>1104914431</v>
      </c>
      <c r="E28901" t="s">
        <v>12222</v>
      </c>
    </row>
    <row r="28902" spans="1:5" x14ac:dyDescent="0.25">
      <c r="A28902" t="s">
        <v>9313</v>
      </c>
      <c r="B28902" t="s">
        <v>9314</v>
      </c>
      <c r="C28902" s="1" t="s">
        <v>23490</v>
      </c>
      <c r="D28902" s="1" t="str">
        <f>HYPERLINK("https://rhld.insurance.arkansas.gov/NPILookup?Npi=1104923648","1104923648")</f>
        <v>1104923648</v>
      </c>
      <c r="E28902" t="s">
        <v>17316</v>
      </c>
    </row>
    <row r="28903" spans="1:5" x14ac:dyDescent="0.25">
      <c r="A28903" t="s">
        <v>9313</v>
      </c>
      <c r="B28903" t="s">
        <v>9314</v>
      </c>
      <c r="C28903" s="1" t="s">
        <v>23490</v>
      </c>
      <c r="D28903" s="1" t="str">
        <f>HYPERLINK("https://rhld.insurance.arkansas.gov/NPILookup?Npi=1104931534","1104931534")</f>
        <v>1104931534</v>
      </c>
      <c r="E28903" t="s">
        <v>12223</v>
      </c>
    </row>
    <row r="28904" spans="1:5" x14ac:dyDescent="0.25">
      <c r="A28904" t="s">
        <v>9313</v>
      </c>
      <c r="B28904" t="s">
        <v>9314</v>
      </c>
      <c r="C28904" s="1" t="s">
        <v>23490</v>
      </c>
      <c r="D28904" s="1" t="str">
        <f>HYPERLINK("https://rhld.insurance.arkansas.gov/NPILookup?Npi=1104936491","1104936491")</f>
        <v>1104936491</v>
      </c>
      <c r="E28904" t="s">
        <v>9388</v>
      </c>
    </row>
    <row r="28905" spans="1:5" x14ac:dyDescent="0.25">
      <c r="A28905" t="s">
        <v>9313</v>
      </c>
      <c r="B28905" t="s">
        <v>9314</v>
      </c>
      <c r="C28905" s="1" t="s">
        <v>23490</v>
      </c>
      <c r="D28905" s="1" t="str">
        <f>HYPERLINK("https://rhld.insurance.arkansas.gov/NPILookup?Npi=1104991389","1104991389")</f>
        <v>1104991389</v>
      </c>
      <c r="E28905" t="s">
        <v>12224</v>
      </c>
    </row>
    <row r="28906" spans="1:5" x14ac:dyDescent="0.25">
      <c r="A28906" t="s">
        <v>9313</v>
      </c>
      <c r="B28906" t="s">
        <v>9314</v>
      </c>
      <c r="C28906" s="1" t="s">
        <v>23490</v>
      </c>
      <c r="D28906" s="1" t="str">
        <f>HYPERLINK("https://rhld.insurance.arkansas.gov/NPILookup?Npi=1104995786","1104995786")</f>
        <v>1104995786</v>
      </c>
      <c r="E28906" t="s">
        <v>9389</v>
      </c>
    </row>
    <row r="28907" spans="1:5" x14ac:dyDescent="0.25">
      <c r="A28907" t="s">
        <v>9313</v>
      </c>
      <c r="B28907" t="s">
        <v>9314</v>
      </c>
      <c r="C28907" s="1" t="s">
        <v>23490</v>
      </c>
      <c r="D28907" s="1" t="str">
        <f>HYPERLINK("https://rhld.insurance.arkansas.gov/NPILookup?Npi=1114009636","1114009636")</f>
        <v>1114009636</v>
      </c>
      <c r="E28907" t="s">
        <v>9390</v>
      </c>
    </row>
    <row r="28908" spans="1:5" x14ac:dyDescent="0.25">
      <c r="A28908" t="s">
        <v>9313</v>
      </c>
      <c r="B28908" t="s">
        <v>9314</v>
      </c>
      <c r="C28908" s="1" t="s">
        <v>23490</v>
      </c>
      <c r="D28908" s="1" t="str">
        <f>HYPERLINK("https://rhld.insurance.arkansas.gov/NPILookup?Npi=1114013067","1114013067")</f>
        <v>1114013067</v>
      </c>
      <c r="E28908" t="s">
        <v>9391</v>
      </c>
    </row>
    <row r="28909" spans="1:5" x14ac:dyDescent="0.25">
      <c r="A28909" t="s">
        <v>9313</v>
      </c>
      <c r="B28909" t="s">
        <v>9314</v>
      </c>
      <c r="C28909" s="1" t="s">
        <v>23490</v>
      </c>
      <c r="D28909" s="1" t="str">
        <f>HYPERLINK("https://rhld.insurance.arkansas.gov/NPILookup?Npi=1114035706","1114035706")</f>
        <v>1114035706</v>
      </c>
      <c r="E28909" t="s">
        <v>9392</v>
      </c>
    </row>
    <row r="28910" spans="1:5" x14ac:dyDescent="0.25">
      <c r="A28910" t="s">
        <v>9313</v>
      </c>
      <c r="B28910" t="s">
        <v>9314</v>
      </c>
      <c r="C28910" s="1" t="s">
        <v>23490</v>
      </c>
      <c r="D28910" s="1" t="str">
        <f>HYPERLINK("https://rhld.insurance.arkansas.gov/NPILookup?Npi=1114085024","1114085024")</f>
        <v>1114085024</v>
      </c>
      <c r="E28910" t="s">
        <v>9393</v>
      </c>
    </row>
    <row r="28911" spans="1:5" x14ac:dyDescent="0.25">
      <c r="A28911" t="s">
        <v>9313</v>
      </c>
      <c r="B28911" t="s">
        <v>9314</v>
      </c>
      <c r="C28911" s="1" t="s">
        <v>23490</v>
      </c>
      <c r="D28911" s="1" t="str">
        <f>HYPERLINK("https://rhld.insurance.arkansas.gov/NPILookup?Npi=1114128139","1114128139")</f>
        <v>1114128139</v>
      </c>
      <c r="E28911" t="s">
        <v>12225</v>
      </c>
    </row>
    <row r="28912" spans="1:5" x14ac:dyDescent="0.25">
      <c r="A28912" t="s">
        <v>9313</v>
      </c>
      <c r="B28912" t="s">
        <v>9314</v>
      </c>
      <c r="C28912" s="1" t="s">
        <v>23490</v>
      </c>
      <c r="D28912" s="1" t="str">
        <f>HYPERLINK("https://rhld.insurance.arkansas.gov/NPILookup?Npi=1114309408","1114309408")</f>
        <v>1114309408</v>
      </c>
      <c r="E28912" t="s">
        <v>12226</v>
      </c>
    </row>
    <row r="28913" spans="1:5" x14ac:dyDescent="0.25">
      <c r="A28913" t="s">
        <v>9313</v>
      </c>
      <c r="B28913" t="s">
        <v>9314</v>
      </c>
      <c r="C28913" s="1" t="s">
        <v>23490</v>
      </c>
      <c r="D28913" s="1" t="str">
        <f>HYPERLINK("https://rhld.insurance.arkansas.gov/NPILookup?Npi=1114362043","1114362043")</f>
        <v>1114362043</v>
      </c>
      <c r="E28913" t="s">
        <v>9394</v>
      </c>
    </row>
    <row r="28914" spans="1:5" x14ac:dyDescent="0.25">
      <c r="A28914" t="s">
        <v>9313</v>
      </c>
      <c r="B28914" t="s">
        <v>9314</v>
      </c>
      <c r="C28914" s="1" t="s">
        <v>23490</v>
      </c>
      <c r="D28914" s="1" t="str">
        <f>HYPERLINK("https://rhld.insurance.arkansas.gov/NPILookup?Npi=1114419744","1114419744")</f>
        <v>1114419744</v>
      </c>
      <c r="E28914" t="s">
        <v>13290</v>
      </c>
    </row>
    <row r="28915" spans="1:5" x14ac:dyDescent="0.25">
      <c r="A28915" t="s">
        <v>9313</v>
      </c>
      <c r="B28915" t="s">
        <v>9314</v>
      </c>
      <c r="C28915" s="1" t="s">
        <v>23490</v>
      </c>
      <c r="D28915" s="1" t="str">
        <f>HYPERLINK("https://rhld.insurance.arkansas.gov/NPILookup?Npi=1114445517","1114445517")</f>
        <v>1114445517</v>
      </c>
      <c r="E28915" t="s">
        <v>18572</v>
      </c>
    </row>
    <row r="28916" spans="1:5" x14ac:dyDescent="0.25">
      <c r="A28916" t="s">
        <v>9313</v>
      </c>
      <c r="B28916" t="s">
        <v>9314</v>
      </c>
      <c r="C28916" s="1" t="s">
        <v>23490</v>
      </c>
      <c r="D28916" s="1" t="str">
        <f>HYPERLINK("https://rhld.insurance.arkansas.gov/NPILookup?Npi=1114447216","1114447216")</f>
        <v>1114447216</v>
      </c>
      <c r="E28916" t="s">
        <v>13291</v>
      </c>
    </row>
    <row r="28917" spans="1:5" x14ac:dyDescent="0.25">
      <c r="A28917" t="s">
        <v>9313</v>
      </c>
      <c r="B28917" t="s">
        <v>9314</v>
      </c>
      <c r="C28917" s="1" t="s">
        <v>23490</v>
      </c>
      <c r="D28917" s="1" t="str">
        <f>HYPERLINK("https://rhld.insurance.arkansas.gov/NPILookup?Npi=1114666948","1114666948")</f>
        <v>1114666948</v>
      </c>
      <c r="E28917" t="s">
        <v>20799</v>
      </c>
    </row>
    <row r="28918" spans="1:5" x14ac:dyDescent="0.25">
      <c r="A28918" t="s">
        <v>9313</v>
      </c>
      <c r="B28918" t="s">
        <v>9314</v>
      </c>
      <c r="C28918" s="1" t="s">
        <v>23490</v>
      </c>
      <c r="D28918" s="1" t="str">
        <f>HYPERLINK("https://rhld.insurance.arkansas.gov/NPILookup?Npi=1114916244","1114916244")</f>
        <v>1114916244</v>
      </c>
      <c r="E28918" t="s">
        <v>12227</v>
      </c>
    </row>
    <row r="28919" spans="1:5" x14ac:dyDescent="0.25">
      <c r="A28919" t="s">
        <v>9313</v>
      </c>
      <c r="B28919" t="s">
        <v>9314</v>
      </c>
      <c r="C28919" s="1" t="s">
        <v>23490</v>
      </c>
      <c r="D28919" s="1" t="str">
        <f>HYPERLINK("https://rhld.insurance.arkansas.gov/NPILookup?Npi=1114935541","1114935541")</f>
        <v>1114935541</v>
      </c>
      <c r="E28919" t="s">
        <v>12228</v>
      </c>
    </row>
    <row r="28920" spans="1:5" x14ac:dyDescent="0.25">
      <c r="A28920" t="s">
        <v>9313</v>
      </c>
      <c r="B28920" t="s">
        <v>9314</v>
      </c>
      <c r="C28920" s="1" t="s">
        <v>23490</v>
      </c>
      <c r="D28920" s="1" t="str">
        <f>HYPERLINK("https://rhld.insurance.arkansas.gov/NPILookup?Npi=1114946811","1114946811")</f>
        <v>1114946811</v>
      </c>
      <c r="E28920" t="s">
        <v>9395</v>
      </c>
    </row>
    <row r="28921" spans="1:5" x14ac:dyDescent="0.25">
      <c r="A28921" t="s">
        <v>9313</v>
      </c>
      <c r="B28921" t="s">
        <v>9314</v>
      </c>
      <c r="C28921" s="1" t="s">
        <v>23490</v>
      </c>
      <c r="D28921" s="1" t="str">
        <f>HYPERLINK("https://rhld.insurance.arkansas.gov/NPILookup?Npi=1114997160","1114997160")</f>
        <v>1114997160</v>
      </c>
      <c r="E28921" t="s">
        <v>12229</v>
      </c>
    </row>
    <row r="28922" spans="1:5" x14ac:dyDescent="0.25">
      <c r="A28922" t="s">
        <v>9313</v>
      </c>
      <c r="B28922" t="s">
        <v>9314</v>
      </c>
      <c r="C28922" s="1" t="s">
        <v>23490</v>
      </c>
      <c r="D28922" s="1" t="str">
        <f>HYPERLINK("https://rhld.insurance.arkansas.gov/NPILookup?Npi=1124026471","1124026471")</f>
        <v>1124026471</v>
      </c>
      <c r="E28922" t="s">
        <v>12230</v>
      </c>
    </row>
    <row r="28923" spans="1:5" x14ac:dyDescent="0.25">
      <c r="A28923" t="s">
        <v>9313</v>
      </c>
      <c r="B28923" t="s">
        <v>9314</v>
      </c>
      <c r="C28923" s="1" t="s">
        <v>23490</v>
      </c>
      <c r="D28923" s="1" t="str">
        <f>HYPERLINK("https://rhld.insurance.arkansas.gov/NPILookup?Npi=1124049119","1124049119")</f>
        <v>1124049119</v>
      </c>
      <c r="E28923" t="s">
        <v>12231</v>
      </c>
    </row>
    <row r="28924" spans="1:5" x14ac:dyDescent="0.25">
      <c r="A28924" t="s">
        <v>9313</v>
      </c>
      <c r="B28924" t="s">
        <v>9314</v>
      </c>
      <c r="C28924" s="1" t="s">
        <v>23490</v>
      </c>
      <c r="D28924" s="1" t="str">
        <f>HYPERLINK("https://rhld.insurance.arkansas.gov/NPILookup?Npi=1124096755","1124096755")</f>
        <v>1124096755</v>
      </c>
      <c r="E28924" t="s">
        <v>613</v>
      </c>
    </row>
    <row r="28925" spans="1:5" x14ac:dyDescent="0.25">
      <c r="A28925" t="s">
        <v>9313</v>
      </c>
      <c r="B28925" t="s">
        <v>9314</v>
      </c>
      <c r="C28925" s="1" t="s">
        <v>23490</v>
      </c>
      <c r="D28925" s="1" t="str">
        <f>HYPERLINK("https://rhld.insurance.arkansas.gov/NPILookup?Npi=1124100243","1124100243")</f>
        <v>1124100243</v>
      </c>
      <c r="E28925" t="s">
        <v>12232</v>
      </c>
    </row>
    <row r="28926" spans="1:5" x14ac:dyDescent="0.25">
      <c r="A28926" t="s">
        <v>9313</v>
      </c>
      <c r="B28926" t="s">
        <v>9314</v>
      </c>
      <c r="C28926" s="1" t="s">
        <v>23490</v>
      </c>
      <c r="D28926" s="1" t="str">
        <f>HYPERLINK("https://rhld.insurance.arkansas.gov/NPILookup?Npi=1124119656","1124119656")</f>
        <v>1124119656</v>
      </c>
      <c r="E28926" t="s">
        <v>9396</v>
      </c>
    </row>
    <row r="28927" spans="1:5" x14ac:dyDescent="0.25">
      <c r="A28927" t="s">
        <v>9313</v>
      </c>
      <c r="B28927" t="s">
        <v>9314</v>
      </c>
      <c r="C28927" s="1" t="s">
        <v>23490</v>
      </c>
      <c r="D28927" s="1" t="str">
        <f>HYPERLINK("https://rhld.insurance.arkansas.gov/NPILookup?Npi=1124225230","1124225230")</f>
        <v>1124225230</v>
      </c>
      <c r="E28927" t="s">
        <v>12233</v>
      </c>
    </row>
    <row r="28928" spans="1:5" x14ac:dyDescent="0.25">
      <c r="A28928" t="s">
        <v>9313</v>
      </c>
      <c r="B28928" t="s">
        <v>9314</v>
      </c>
      <c r="C28928" s="1" t="s">
        <v>23490</v>
      </c>
      <c r="D28928" s="1" t="str">
        <f>HYPERLINK("https://rhld.insurance.arkansas.gov/NPILookup?Npi=1124287693","1124287693")</f>
        <v>1124287693</v>
      </c>
      <c r="E28928" t="s">
        <v>9397</v>
      </c>
    </row>
    <row r="28929" spans="1:5" x14ac:dyDescent="0.25">
      <c r="A28929" t="s">
        <v>9313</v>
      </c>
      <c r="B28929" t="s">
        <v>9314</v>
      </c>
      <c r="C28929" s="1" t="s">
        <v>23490</v>
      </c>
      <c r="D28929" s="1" t="str">
        <f>HYPERLINK("https://rhld.insurance.arkansas.gov/NPILookup?Npi=1124289210","1124289210")</f>
        <v>1124289210</v>
      </c>
      <c r="E28929" t="s">
        <v>9398</v>
      </c>
    </row>
    <row r="28930" spans="1:5" x14ac:dyDescent="0.25">
      <c r="A28930" t="s">
        <v>9313</v>
      </c>
      <c r="B28930" t="s">
        <v>9314</v>
      </c>
      <c r="C28930" s="1" t="s">
        <v>23490</v>
      </c>
      <c r="D28930" s="1" t="str">
        <f>HYPERLINK("https://rhld.insurance.arkansas.gov/NPILookup?Npi=1124342803","1124342803")</f>
        <v>1124342803</v>
      </c>
      <c r="E28930" t="s">
        <v>12234</v>
      </c>
    </row>
    <row r="28931" spans="1:5" x14ac:dyDescent="0.25">
      <c r="A28931" t="s">
        <v>9313</v>
      </c>
      <c r="B28931" t="s">
        <v>9314</v>
      </c>
      <c r="C28931" s="1" t="s">
        <v>23490</v>
      </c>
      <c r="D28931" s="1" t="str">
        <f>HYPERLINK("https://rhld.insurance.arkansas.gov/NPILookup?Npi=1124401336","1124401336")</f>
        <v>1124401336</v>
      </c>
      <c r="E28931" t="s">
        <v>9399</v>
      </c>
    </row>
    <row r="28932" spans="1:5" x14ac:dyDescent="0.25">
      <c r="A28932" t="s">
        <v>9313</v>
      </c>
      <c r="B28932" t="s">
        <v>9314</v>
      </c>
      <c r="C28932" s="1" t="s">
        <v>23490</v>
      </c>
      <c r="D28932" s="1" t="str">
        <f>HYPERLINK("https://rhld.insurance.arkansas.gov/NPILookup?Npi=1124434709","1124434709")</f>
        <v>1124434709</v>
      </c>
      <c r="E28932" t="s">
        <v>9400</v>
      </c>
    </row>
    <row r="28933" spans="1:5" x14ac:dyDescent="0.25">
      <c r="A28933" t="s">
        <v>9313</v>
      </c>
      <c r="B28933" t="s">
        <v>9314</v>
      </c>
      <c r="C28933" s="1" t="s">
        <v>23490</v>
      </c>
      <c r="D28933" s="1" t="str">
        <f>HYPERLINK("https://rhld.insurance.arkansas.gov/NPILookup?Npi=1124540828","1124540828")</f>
        <v>1124540828</v>
      </c>
      <c r="E28933" t="s">
        <v>20800</v>
      </c>
    </row>
    <row r="28934" spans="1:5" x14ac:dyDescent="0.25">
      <c r="A28934" t="s">
        <v>9313</v>
      </c>
      <c r="B28934" t="s">
        <v>9314</v>
      </c>
      <c r="C28934" s="1" t="s">
        <v>8427</v>
      </c>
      <c r="D28934" s="1" t="str">
        <f>HYPERLINK("https://rhld.insurance.arkansas.gov/NPILookup?Npi=1124711148","1124711148")</f>
        <v>1124711148</v>
      </c>
      <c r="E28934" t="s">
        <v>23343</v>
      </c>
    </row>
    <row r="28935" spans="1:5" x14ac:dyDescent="0.25">
      <c r="A28935" t="s">
        <v>9313</v>
      </c>
      <c r="B28935" t="s">
        <v>9314</v>
      </c>
      <c r="C28935" s="1" t="s">
        <v>23490</v>
      </c>
      <c r="D28935" s="1" t="str">
        <f>HYPERLINK("https://rhld.insurance.arkansas.gov/NPILookup?Npi=1134117179","1134117179")</f>
        <v>1134117179</v>
      </c>
      <c r="E28935" t="s">
        <v>12235</v>
      </c>
    </row>
    <row r="28936" spans="1:5" x14ac:dyDescent="0.25">
      <c r="A28936" t="s">
        <v>9313</v>
      </c>
      <c r="B28936" t="s">
        <v>9314</v>
      </c>
      <c r="C28936" s="1" t="s">
        <v>23490</v>
      </c>
      <c r="D28936" s="1" t="str">
        <f>HYPERLINK("https://rhld.insurance.arkansas.gov/NPILookup?Npi=1134165335","1134165335")</f>
        <v>1134165335</v>
      </c>
      <c r="E28936" t="s">
        <v>9401</v>
      </c>
    </row>
    <row r="28937" spans="1:5" x14ac:dyDescent="0.25">
      <c r="A28937" t="s">
        <v>9313</v>
      </c>
      <c r="B28937" t="s">
        <v>9314</v>
      </c>
      <c r="C28937" s="1" t="s">
        <v>23490</v>
      </c>
      <c r="D28937" s="1" t="str">
        <f>HYPERLINK("https://rhld.insurance.arkansas.gov/NPILookup?Npi=1134174428","1134174428")</f>
        <v>1134174428</v>
      </c>
      <c r="E28937" t="s">
        <v>9402</v>
      </c>
    </row>
    <row r="28938" spans="1:5" x14ac:dyDescent="0.25">
      <c r="A28938" t="s">
        <v>9313</v>
      </c>
      <c r="B28938" t="s">
        <v>9314</v>
      </c>
      <c r="C28938" s="1" t="s">
        <v>23490</v>
      </c>
      <c r="D28938" s="1" t="str">
        <f>HYPERLINK("https://rhld.insurance.arkansas.gov/NPILookup?Npi=1134174733","1134174733")</f>
        <v>1134174733</v>
      </c>
      <c r="E28938" t="s">
        <v>9403</v>
      </c>
    </row>
    <row r="28939" spans="1:5" x14ac:dyDescent="0.25">
      <c r="A28939" t="s">
        <v>9313</v>
      </c>
      <c r="B28939" t="s">
        <v>9314</v>
      </c>
      <c r="C28939" s="1" t="s">
        <v>23490</v>
      </c>
      <c r="D28939" s="1" t="str">
        <f>HYPERLINK("https://rhld.insurance.arkansas.gov/NPILookup?Npi=1134240468","1134240468")</f>
        <v>1134240468</v>
      </c>
      <c r="E28939" t="s">
        <v>12236</v>
      </c>
    </row>
    <row r="28940" spans="1:5" x14ac:dyDescent="0.25">
      <c r="A28940" t="s">
        <v>9313</v>
      </c>
      <c r="B28940" t="s">
        <v>9314</v>
      </c>
      <c r="C28940" s="1" t="s">
        <v>23490</v>
      </c>
      <c r="D28940" s="1" t="str">
        <f>HYPERLINK("https://rhld.insurance.arkansas.gov/NPILookup?Npi=1134262058","1134262058")</f>
        <v>1134262058</v>
      </c>
      <c r="E28940" t="s">
        <v>12237</v>
      </c>
    </row>
    <row r="28941" spans="1:5" x14ac:dyDescent="0.25">
      <c r="A28941" t="s">
        <v>9313</v>
      </c>
      <c r="B28941" t="s">
        <v>9314</v>
      </c>
      <c r="C28941" s="1" t="s">
        <v>23490</v>
      </c>
      <c r="D28941" s="1" t="str">
        <f>HYPERLINK("https://rhld.insurance.arkansas.gov/NPILookup?Npi=1134264336","1134264336")</f>
        <v>1134264336</v>
      </c>
      <c r="E28941" t="s">
        <v>12238</v>
      </c>
    </row>
    <row r="28942" spans="1:5" x14ac:dyDescent="0.25">
      <c r="A28942" t="s">
        <v>9313</v>
      </c>
      <c r="B28942" t="s">
        <v>9314</v>
      </c>
      <c r="C28942" s="1" t="s">
        <v>23490</v>
      </c>
      <c r="D28942" s="1" t="str">
        <f>HYPERLINK("https://rhld.insurance.arkansas.gov/NPILookup?Npi=1134281512","1134281512")</f>
        <v>1134281512</v>
      </c>
      <c r="E28942" t="s">
        <v>12239</v>
      </c>
    </row>
    <row r="28943" spans="1:5" x14ac:dyDescent="0.25">
      <c r="A28943" t="s">
        <v>9313</v>
      </c>
      <c r="B28943" t="s">
        <v>9314</v>
      </c>
      <c r="C28943" s="1" t="s">
        <v>23490</v>
      </c>
      <c r="D28943" s="1" t="str">
        <f>HYPERLINK("https://rhld.insurance.arkansas.gov/NPILookup?Npi=1134298680","1134298680")</f>
        <v>1134298680</v>
      </c>
      <c r="E28943" t="s">
        <v>12240</v>
      </c>
    </row>
    <row r="28944" spans="1:5" x14ac:dyDescent="0.25">
      <c r="A28944" t="s">
        <v>9313</v>
      </c>
      <c r="B28944" t="s">
        <v>9314</v>
      </c>
      <c r="C28944" s="1" t="s">
        <v>23490</v>
      </c>
      <c r="D28944" s="1" t="str">
        <f>HYPERLINK("https://rhld.insurance.arkansas.gov/NPILookup?Npi=1134398944","1134398944")</f>
        <v>1134398944</v>
      </c>
      <c r="E28944" t="s">
        <v>12241</v>
      </c>
    </row>
    <row r="28945" spans="1:5" x14ac:dyDescent="0.25">
      <c r="A28945" t="s">
        <v>9313</v>
      </c>
      <c r="B28945" t="s">
        <v>9314</v>
      </c>
      <c r="C28945" s="1" t="s">
        <v>23490</v>
      </c>
      <c r="D28945" s="1" t="str">
        <f>HYPERLINK("https://rhld.insurance.arkansas.gov/NPILookup?Npi=1134416407","1134416407")</f>
        <v>1134416407</v>
      </c>
      <c r="E28945" t="s">
        <v>12242</v>
      </c>
    </row>
    <row r="28946" spans="1:5" x14ac:dyDescent="0.25">
      <c r="A28946" t="s">
        <v>9313</v>
      </c>
      <c r="B28946" t="s">
        <v>9314</v>
      </c>
      <c r="C28946" s="1" t="s">
        <v>23490</v>
      </c>
      <c r="D28946" s="1" t="str">
        <f>HYPERLINK("https://rhld.insurance.arkansas.gov/NPILookup?Npi=1134502206","1134502206")</f>
        <v>1134502206</v>
      </c>
      <c r="E28946" t="s">
        <v>14594</v>
      </c>
    </row>
    <row r="28947" spans="1:5" x14ac:dyDescent="0.25">
      <c r="A28947" t="s">
        <v>9313</v>
      </c>
      <c r="B28947" t="s">
        <v>9314</v>
      </c>
      <c r="C28947" s="1" t="s">
        <v>23490</v>
      </c>
      <c r="D28947" s="1" t="str">
        <f>HYPERLINK("https://rhld.insurance.arkansas.gov/NPILookup?Npi=1134502628","1134502628")</f>
        <v>1134502628</v>
      </c>
      <c r="E28947" t="s">
        <v>16783</v>
      </c>
    </row>
    <row r="28948" spans="1:5" x14ac:dyDescent="0.25">
      <c r="A28948" t="s">
        <v>9313</v>
      </c>
      <c r="B28948" t="s">
        <v>9314</v>
      </c>
      <c r="C28948" s="1" t="s">
        <v>23490</v>
      </c>
      <c r="D28948" s="1" t="str">
        <f>HYPERLINK("https://rhld.insurance.arkansas.gov/NPILookup?Npi=1134567316","1134567316")</f>
        <v>1134567316</v>
      </c>
      <c r="E28948" t="s">
        <v>12243</v>
      </c>
    </row>
    <row r="28949" spans="1:5" x14ac:dyDescent="0.25">
      <c r="A28949" t="s">
        <v>9313</v>
      </c>
      <c r="B28949" t="s">
        <v>9314</v>
      </c>
      <c r="C28949" s="1" t="s">
        <v>23490</v>
      </c>
      <c r="D28949" s="1" t="str">
        <f>HYPERLINK("https://rhld.insurance.arkansas.gov/NPILookup?Npi=1134610975","1134610975")</f>
        <v>1134610975</v>
      </c>
      <c r="E28949" t="s">
        <v>17773</v>
      </c>
    </row>
    <row r="28950" spans="1:5" x14ac:dyDescent="0.25">
      <c r="A28950" t="s">
        <v>9313</v>
      </c>
      <c r="B28950" t="s">
        <v>9314</v>
      </c>
      <c r="C28950" s="1" t="s">
        <v>23490</v>
      </c>
      <c r="D28950" s="1" t="str">
        <f>HYPERLINK("https://rhld.insurance.arkansas.gov/NPILookup?Npi=1134744477","1134744477")</f>
        <v>1134744477</v>
      </c>
      <c r="E28950" t="s">
        <v>18573</v>
      </c>
    </row>
    <row r="28951" spans="1:5" x14ac:dyDescent="0.25">
      <c r="A28951" t="s">
        <v>9313</v>
      </c>
      <c r="B28951" t="s">
        <v>9314</v>
      </c>
      <c r="C28951" s="1" t="s">
        <v>23490</v>
      </c>
      <c r="D28951" s="1" t="str">
        <f>HYPERLINK("https://rhld.insurance.arkansas.gov/NPILookup?Npi=1134780307","1134780307")</f>
        <v>1134780307</v>
      </c>
      <c r="E28951" t="s">
        <v>18574</v>
      </c>
    </row>
    <row r="28952" spans="1:5" x14ac:dyDescent="0.25">
      <c r="A28952" t="s">
        <v>9313</v>
      </c>
      <c r="B28952" t="s">
        <v>9314</v>
      </c>
      <c r="C28952" s="1" t="s">
        <v>8427</v>
      </c>
      <c r="D28952" s="1" t="str">
        <f>HYPERLINK("https://rhld.insurance.arkansas.gov/NPILookup?Npi=1134806524","1134806524")</f>
        <v>1134806524</v>
      </c>
      <c r="E28952" t="s">
        <v>23344</v>
      </c>
    </row>
    <row r="28953" spans="1:5" x14ac:dyDescent="0.25">
      <c r="A28953" t="s">
        <v>9313</v>
      </c>
      <c r="B28953" t="s">
        <v>9314</v>
      </c>
      <c r="C28953" s="1" t="s">
        <v>23490</v>
      </c>
      <c r="D28953" s="1" t="str">
        <f>HYPERLINK("https://rhld.insurance.arkansas.gov/NPILookup?Npi=1144211947","1144211947")</f>
        <v>1144211947</v>
      </c>
      <c r="E28953" t="s">
        <v>12244</v>
      </c>
    </row>
    <row r="28954" spans="1:5" x14ac:dyDescent="0.25">
      <c r="A28954" t="s">
        <v>9313</v>
      </c>
      <c r="B28954" t="s">
        <v>9314</v>
      </c>
      <c r="C28954" s="1" t="s">
        <v>23490</v>
      </c>
      <c r="D28954" s="1" t="str">
        <f>HYPERLINK("https://rhld.insurance.arkansas.gov/NPILookup?Npi=1144234261","1144234261")</f>
        <v>1144234261</v>
      </c>
      <c r="E28954" t="s">
        <v>12245</v>
      </c>
    </row>
    <row r="28955" spans="1:5" x14ac:dyDescent="0.25">
      <c r="A28955" t="s">
        <v>9313</v>
      </c>
      <c r="B28955" t="s">
        <v>9314</v>
      </c>
      <c r="C28955" s="1" t="s">
        <v>23490</v>
      </c>
      <c r="D28955" s="1" t="str">
        <f>HYPERLINK("https://rhld.insurance.arkansas.gov/NPILookup?Npi=1144260209","1144260209")</f>
        <v>1144260209</v>
      </c>
      <c r="E28955" t="s">
        <v>9405</v>
      </c>
    </row>
    <row r="28956" spans="1:5" x14ac:dyDescent="0.25">
      <c r="A28956" t="s">
        <v>9313</v>
      </c>
      <c r="B28956" t="s">
        <v>9314</v>
      </c>
      <c r="C28956" s="1" t="s">
        <v>23490</v>
      </c>
      <c r="D28956" s="1" t="str">
        <f>HYPERLINK("https://rhld.insurance.arkansas.gov/NPILookup?Npi=1144312950","1144312950")</f>
        <v>1144312950</v>
      </c>
      <c r="E28956" t="s">
        <v>9406</v>
      </c>
    </row>
    <row r="28957" spans="1:5" x14ac:dyDescent="0.25">
      <c r="A28957" t="s">
        <v>9313</v>
      </c>
      <c r="B28957" t="s">
        <v>9314</v>
      </c>
      <c r="C28957" s="1" t="s">
        <v>23490</v>
      </c>
      <c r="D28957" s="1" t="str">
        <f>HYPERLINK("https://rhld.insurance.arkansas.gov/NPILookup?Npi=1144337445","1144337445")</f>
        <v>1144337445</v>
      </c>
      <c r="E28957" t="s">
        <v>9407</v>
      </c>
    </row>
    <row r="28958" spans="1:5" x14ac:dyDescent="0.25">
      <c r="A28958" t="s">
        <v>9313</v>
      </c>
      <c r="B28958" t="s">
        <v>9314</v>
      </c>
      <c r="C28958" s="1" t="s">
        <v>23490</v>
      </c>
      <c r="D28958" s="1" t="str">
        <f>HYPERLINK("https://rhld.insurance.arkansas.gov/NPILookup?Npi=1144347725","1144347725")</f>
        <v>1144347725</v>
      </c>
      <c r="E28958" t="s">
        <v>12246</v>
      </c>
    </row>
    <row r="28959" spans="1:5" x14ac:dyDescent="0.25">
      <c r="A28959" t="s">
        <v>9313</v>
      </c>
      <c r="B28959" t="s">
        <v>9314</v>
      </c>
      <c r="C28959" s="1" t="s">
        <v>23490</v>
      </c>
      <c r="D28959" s="1" t="str">
        <f>HYPERLINK("https://rhld.insurance.arkansas.gov/NPILookup?Npi=1144348582","1144348582")</f>
        <v>1144348582</v>
      </c>
      <c r="E28959" t="s">
        <v>21323</v>
      </c>
    </row>
    <row r="28960" spans="1:5" x14ac:dyDescent="0.25">
      <c r="A28960" t="s">
        <v>9313</v>
      </c>
      <c r="B28960" t="s">
        <v>9314</v>
      </c>
      <c r="C28960" s="1" t="s">
        <v>23490</v>
      </c>
      <c r="D28960" s="1" t="str">
        <f>HYPERLINK("https://rhld.insurance.arkansas.gov/NPILookup?Npi=1144359829","1144359829")</f>
        <v>1144359829</v>
      </c>
      <c r="E28960" t="s">
        <v>9408</v>
      </c>
    </row>
    <row r="28961" spans="1:5" x14ac:dyDescent="0.25">
      <c r="A28961" t="s">
        <v>9313</v>
      </c>
      <c r="B28961" t="s">
        <v>9314</v>
      </c>
      <c r="C28961" s="1" t="s">
        <v>23490</v>
      </c>
      <c r="D28961" s="1" t="str">
        <f>HYPERLINK("https://rhld.insurance.arkansas.gov/NPILookup?Npi=1144365446","1144365446")</f>
        <v>1144365446</v>
      </c>
      <c r="E28961" t="s">
        <v>9409</v>
      </c>
    </row>
    <row r="28962" spans="1:5" x14ac:dyDescent="0.25">
      <c r="A28962" t="s">
        <v>9313</v>
      </c>
      <c r="B28962" t="s">
        <v>9314</v>
      </c>
      <c r="C28962" s="1" t="s">
        <v>23490</v>
      </c>
      <c r="D28962" s="1" t="str">
        <f>HYPERLINK("https://rhld.insurance.arkansas.gov/NPILookup?Npi=1144476250","1144476250")</f>
        <v>1144476250</v>
      </c>
      <c r="E28962" t="s">
        <v>9411</v>
      </c>
    </row>
    <row r="28963" spans="1:5" x14ac:dyDescent="0.25">
      <c r="A28963" t="s">
        <v>9313</v>
      </c>
      <c r="B28963" t="s">
        <v>9314</v>
      </c>
      <c r="C28963" s="1" t="s">
        <v>23490</v>
      </c>
      <c r="D28963" s="1" t="str">
        <f>HYPERLINK("https://rhld.insurance.arkansas.gov/NPILookup?Npi=1144524810","1144524810")</f>
        <v>1144524810</v>
      </c>
      <c r="E28963" t="s">
        <v>20801</v>
      </c>
    </row>
    <row r="28964" spans="1:5" x14ac:dyDescent="0.25">
      <c r="A28964" t="s">
        <v>9313</v>
      </c>
      <c r="B28964" t="s">
        <v>9314</v>
      </c>
      <c r="C28964" s="1" t="s">
        <v>23490</v>
      </c>
      <c r="D28964" s="1" t="str">
        <f>HYPERLINK("https://rhld.insurance.arkansas.gov/NPILookup?Npi=1144634429","1144634429")</f>
        <v>1144634429</v>
      </c>
      <c r="E28964" t="s">
        <v>9412</v>
      </c>
    </row>
    <row r="28965" spans="1:5" x14ac:dyDescent="0.25">
      <c r="A28965" t="s">
        <v>9313</v>
      </c>
      <c r="B28965" t="s">
        <v>9314</v>
      </c>
      <c r="C28965" s="1" t="s">
        <v>23490</v>
      </c>
      <c r="D28965" s="1" t="str">
        <f>HYPERLINK("https://rhld.insurance.arkansas.gov/NPILookup?Npi=1144670126","1144670126")</f>
        <v>1144670126</v>
      </c>
      <c r="E28965" t="s">
        <v>9413</v>
      </c>
    </row>
    <row r="28966" spans="1:5" x14ac:dyDescent="0.25">
      <c r="A28966" t="s">
        <v>9313</v>
      </c>
      <c r="B28966" t="s">
        <v>9314</v>
      </c>
      <c r="C28966" s="1" t="s">
        <v>23490</v>
      </c>
      <c r="D28966" s="1" t="str">
        <f>HYPERLINK("https://rhld.insurance.arkansas.gov/NPILookup?Npi=1144848490","1144848490")</f>
        <v>1144848490</v>
      </c>
      <c r="E28966" t="s">
        <v>20802</v>
      </c>
    </row>
    <row r="28967" spans="1:5" x14ac:dyDescent="0.25">
      <c r="A28967" t="s">
        <v>9313</v>
      </c>
      <c r="B28967" t="s">
        <v>9314</v>
      </c>
      <c r="C28967" s="1" t="s">
        <v>23490</v>
      </c>
      <c r="D28967" s="1" t="str">
        <f>HYPERLINK("https://rhld.insurance.arkansas.gov/NPILookup?Npi=1144880154","1144880154")</f>
        <v>1144880154</v>
      </c>
      <c r="E28967" t="s">
        <v>16784</v>
      </c>
    </row>
    <row r="28968" spans="1:5" x14ac:dyDescent="0.25">
      <c r="A28968" t="s">
        <v>9313</v>
      </c>
      <c r="B28968" t="s">
        <v>9314</v>
      </c>
      <c r="C28968" s="1" t="s">
        <v>23490</v>
      </c>
      <c r="D28968" s="1" t="str">
        <f>HYPERLINK("https://rhld.insurance.arkansas.gov/NPILookup?Npi=1144920471","1144920471")</f>
        <v>1144920471</v>
      </c>
      <c r="E28968" t="s">
        <v>22757</v>
      </c>
    </row>
    <row r="28969" spans="1:5" x14ac:dyDescent="0.25">
      <c r="A28969" t="s">
        <v>9313</v>
      </c>
      <c r="B28969" t="s">
        <v>9314</v>
      </c>
      <c r="C28969" s="1" t="s">
        <v>23490</v>
      </c>
      <c r="D28969" s="1" t="str">
        <f>HYPERLINK("https://rhld.insurance.arkansas.gov/NPILookup?Npi=1154015808","1154015808")</f>
        <v>1154015808</v>
      </c>
      <c r="E28969" t="s">
        <v>22758</v>
      </c>
    </row>
    <row r="28970" spans="1:5" x14ac:dyDescent="0.25">
      <c r="A28970" t="s">
        <v>9313</v>
      </c>
      <c r="B28970" t="s">
        <v>9314</v>
      </c>
      <c r="C28970" s="1" t="s">
        <v>23490</v>
      </c>
      <c r="D28970" s="1" t="str">
        <f>HYPERLINK("https://rhld.insurance.arkansas.gov/NPILookup?Npi=1154328441","1154328441")</f>
        <v>1154328441</v>
      </c>
      <c r="E28970" t="s">
        <v>9414</v>
      </c>
    </row>
    <row r="28971" spans="1:5" x14ac:dyDescent="0.25">
      <c r="A28971" t="s">
        <v>9313</v>
      </c>
      <c r="B28971" t="s">
        <v>9314</v>
      </c>
      <c r="C28971" s="1" t="s">
        <v>23490</v>
      </c>
      <c r="D28971" s="1" t="str">
        <f>HYPERLINK("https://rhld.insurance.arkansas.gov/NPILookup?Npi=1154338960","1154338960")</f>
        <v>1154338960</v>
      </c>
      <c r="E28971" t="s">
        <v>9415</v>
      </c>
    </row>
    <row r="28972" spans="1:5" x14ac:dyDescent="0.25">
      <c r="A28972" t="s">
        <v>9313</v>
      </c>
      <c r="B28972" t="s">
        <v>9314</v>
      </c>
      <c r="C28972" s="1" t="s">
        <v>23490</v>
      </c>
      <c r="D28972" s="1" t="str">
        <f>HYPERLINK("https://rhld.insurance.arkansas.gov/NPILookup?Npi=1154384063","1154384063")</f>
        <v>1154384063</v>
      </c>
      <c r="E28972" t="s">
        <v>12248</v>
      </c>
    </row>
    <row r="28973" spans="1:5" x14ac:dyDescent="0.25">
      <c r="A28973" t="s">
        <v>9313</v>
      </c>
      <c r="B28973" t="s">
        <v>9314</v>
      </c>
      <c r="C28973" s="1" t="s">
        <v>23490</v>
      </c>
      <c r="D28973" s="1" t="str">
        <f>HYPERLINK("https://rhld.insurance.arkansas.gov/NPILookup?Npi=1154434710","1154434710")</f>
        <v>1154434710</v>
      </c>
      <c r="E28973" t="s">
        <v>9416</v>
      </c>
    </row>
    <row r="28974" spans="1:5" x14ac:dyDescent="0.25">
      <c r="A28974" t="s">
        <v>9313</v>
      </c>
      <c r="B28974" t="s">
        <v>9314</v>
      </c>
      <c r="C28974" s="1" t="s">
        <v>23490</v>
      </c>
      <c r="D28974" s="1" t="str">
        <f>HYPERLINK("https://rhld.insurance.arkansas.gov/NPILookup?Npi=1154434926","1154434926")</f>
        <v>1154434926</v>
      </c>
      <c r="E28974" t="s">
        <v>12250</v>
      </c>
    </row>
    <row r="28975" spans="1:5" x14ac:dyDescent="0.25">
      <c r="A28975" t="s">
        <v>9313</v>
      </c>
      <c r="B28975" t="s">
        <v>9314</v>
      </c>
      <c r="C28975" s="1" t="s">
        <v>23490</v>
      </c>
      <c r="D28975" s="1" t="str">
        <f>HYPERLINK("https://rhld.insurance.arkansas.gov/NPILookup?Npi=1154437788","1154437788")</f>
        <v>1154437788</v>
      </c>
      <c r="E28975" t="s">
        <v>9417</v>
      </c>
    </row>
    <row r="28976" spans="1:5" x14ac:dyDescent="0.25">
      <c r="A28976" t="s">
        <v>9313</v>
      </c>
      <c r="B28976" t="s">
        <v>9314</v>
      </c>
      <c r="C28976" s="1" t="s">
        <v>23490</v>
      </c>
      <c r="D28976" s="1" t="str">
        <f>HYPERLINK("https://rhld.insurance.arkansas.gov/NPILookup?Npi=1154481109","1154481109")</f>
        <v>1154481109</v>
      </c>
      <c r="E28976" t="s">
        <v>18575</v>
      </c>
    </row>
    <row r="28977" spans="1:5" x14ac:dyDescent="0.25">
      <c r="A28977" t="s">
        <v>9313</v>
      </c>
      <c r="B28977" t="s">
        <v>9314</v>
      </c>
      <c r="C28977" s="1" t="s">
        <v>23490</v>
      </c>
      <c r="D28977" s="1" t="str">
        <f>HYPERLINK("https://rhld.insurance.arkansas.gov/NPILookup?Npi=1154499382","1154499382")</f>
        <v>1154499382</v>
      </c>
      <c r="E28977" t="s">
        <v>12251</v>
      </c>
    </row>
    <row r="28978" spans="1:5" x14ac:dyDescent="0.25">
      <c r="A28978" t="s">
        <v>9313</v>
      </c>
      <c r="B28978" t="s">
        <v>9314</v>
      </c>
      <c r="C28978" s="1" t="s">
        <v>23490</v>
      </c>
      <c r="D28978" s="1" t="str">
        <f>HYPERLINK("https://rhld.insurance.arkansas.gov/NPILookup?Npi=1154524817","1154524817")</f>
        <v>1154524817</v>
      </c>
      <c r="E28978" t="s">
        <v>12252</v>
      </c>
    </row>
    <row r="28979" spans="1:5" x14ac:dyDescent="0.25">
      <c r="A28979" t="s">
        <v>9313</v>
      </c>
      <c r="B28979" t="s">
        <v>9314</v>
      </c>
      <c r="C28979" s="1" t="s">
        <v>23490</v>
      </c>
      <c r="D28979" s="1" t="str">
        <f>HYPERLINK("https://rhld.insurance.arkansas.gov/NPILookup?Npi=1154540912","1154540912")</f>
        <v>1154540912</v>
      </c>
      <c r="E28979" t="s">
        <v>12253</v>
      </c>
    </row>
    <row r="28980" spans="1:5" x14ac:dyDescent="0.25">
      <c r="A28980" t="s">
        <v>9313</v>
      </c>
      <c r="B28980" t="s">
        <v>9314</v>
      </c>
      <c r="C28980" s="1" t="s">
        <v>23490</v>
      </c>
      <c r="D28980" s="1" t="str">
        <f>HYPERLINK("https://rhld.insurance.arkansas.gov/NPILookup?Npi=1154542033","1154542033")</f>
        <v>1154542033</v>
      </c>
      <c r="E28980" t="s">
        <v>9418</v>
      </c>
    </row>
    <row r="28981" spans="1:5" x14ac:dyDescent="0.25">
      <c r="A28981" t="s">
        <v>9313</v>
      </c>
      <c r="B28981" t="s">
        <v>9314</v>
      </c>
      <c r="C28981" s="1" t="s">
        <v>23490</v>
      </c>
      <c r="D28981" s="1" t="str">
        <f>HYPERLINK("https://rhld.insurance.arkansas.gov/NPILookup?Npi=1154550382","1154550382")</f>
        <v>1154550382</v>
      </c>
      <c r="E28981" t="s">
        <v>12254</v>
      </c>
    </row>
    <row r="28982" spans="1:5" x14ac:dyDescent="0.25">
      <c r="A28982" t="s">
        <v>9313</v>
      </c>
      <c r="B28982" t="s">
        <v>9314</v>
      </c>
      <c r="C28982" s="1" t="s">
        <v>23490</v>
      </c>
      <c r="D28982" s="1" t="str">
        <f>HYPERLINK("https://rhld.insurance.arkansas.gov/NPILookup?Npi=1154580066","1154580066")</f>
        <v>1154580066</v>
      </c>
      <c r="E28982" t="s">
        <v>9419</v>
      </c>
    </row>
    <row r="28983" spans="1:5" x14ac:dyDescent="0.25">
      <c r="A28983" t="s">
        <v>9313</v>
      </c>
      <c r="B28983" t="s">
        <v>9314</v>
      </c>
      <c r="C28983" s="1" t="s">
        <v>23490</v>
      </c>
      <c r="D28983" s="1" t="str">
        <f>HYPERLINK("https://rhld.insurance.arkansas.gov/NPILookup?Npi=1154684165","1154684165")</f>
        <v>1154684165</v>
      </c>
      <c r="E28983" t="s">
        <v>9420</v>
      </c>
    </row>
    <row r="28984" spans="1:5" x14ac:dyDescent="0.25">
      <c r="A28984" t="s">
        <v>9313</v>
      </c>
      <c r="B28984" t="s">
        <v>9314</v>
      </c>
      <c r="C28984" s="1" t="s">
        <v>23490</v>
      </c>
      <c r="D28984" s="1" t="str">
        <f>HYPERLINK("https://rhld.insurance.arkansas.gov/NPILookup?Npi=1154761393","1154761393")</f>
        <v>1154761393</v>
      </c>
      <c r="E28984" t="s">
        <v>20803</v>
      </c>
    </row>
    <row r="28985" spans="1:5" x14ac:dyDescent="0.25">
      <c r="A28985" t="s">
        <v>9313</v>
      </c>
      <c r="B28985" t="s">
        <v>9314</v>
      </c>
      <c r="C28985" s="1" t="s">
        <v>23490</v>
      </c>
      <c r="D28985" s="1" t="str">
        <f>HYPERLINK("https://rhld.insurance.arkansas.gov/NPILookup?Npi=1154841252","1154841252")</f>
        <v>1154841252</v>
      </c>
      <c r="E28985" t="s">
        <v>12255</v>
      </c>
    </row>
    <row r="28986" spans="1:5" x14ac:dyDescent="0.25">
      <c r="A28986" t="s">
        <v>9313</v>
      </c>
      <c r="B28986" t="s">
        <v>9314</v>
      </c>
      <c r="C28986" s="1" t="s">
        <v>23490</v>
      </c>
      <c r="D28986" s="1" t="str">
        <f>HYPERLINK("https://rhld.insurance.arkansas.gov/NPILookup?Npi=1154851863","1154851863")</f>
        <v>1154851863</v>
      </c>
      <c r="E28986" t="s">
        <v>17774</v>
      </c>
    </row>
    <row r="28987" spans="1:5" x14ac:dyDescent="0.25">
      <c r="A28987" t="s">
        <v>9313</v>
      </c>
      <c r="B28987" t="s">
        <v>9314</v>
      </c>
      <c r="C28987" s="1" t="s">
        <v>23490</v>
      </c>
      <c r="D28987" s="1" t="str">
        <f>HYPERLINK("https://rhld.insurance.arkansas.gov/NPILookup?Npi=1154973303","1154973303")</f>
        <v>1154973303</v>
      </c>
      <c r="E28987" t="s">
        <v>16785</v>
      </c>
    </row>
    <row r="28988" spans="1:5" x14ac:dyDescent="0.25">
      <c r="A28988" t="s">
        <v>9313</v>
      </c>
      <c r="B28988" t="s">
        <v>9314</v>
      </c>
      <c r="C28988" s="1" t="s">
        <v>23490</v>
      </c>
      <c r="D28988" s="1" t="str">
        <f>HYPERLINK("https://rhld.insurance.arkansas.gov/NPILookup?Npi=1154982338","1154982338")</f>
        <v>1154982338</v>
      </c>
      <c r="E28988" t="s">
        <v>16786</v>
      </c>
    </row>
    <row r="28989" spans="1:5" x14ac:dyDescent="0.25">
      <c r="A28989" t="s">
        <v>9313</v>
      </c>
      <c r="B28989" t="s">
        <v>9314</v>
      </c>
      <c r="C28989" s="1" t="s">
        <v>23490</v>
      </c>
      <c r="D28989" s="1" t="str">
        <f>HYPERLINK("https://rhld.insurance.arkansas.gov/NPILookup?Npi=1164093043","1164093043")</f>
        <v>1164093043</v>
      </c>
      <c r="E28989" t="s">
        <v>20804</v>
      </c>
    </row>
    <row r="28990" spans="1:5" x14ac:dyDescent="0.25">
      <c r="A28990" t="s">
        <v>9313</v>
      </c>
      <c r="B28990" t="s">
        <v>9314</v>
      </c>
      <c r="C28990" s="1" t="s">
        <v>23490</v>
      </c>
      <c r="D28990" s="1" t="str">
        <f>HYPERLINK("https://rhld.insurance.arkansas.gov/NPILookup?Npi=1164432340","1164432340")</f>
        <v>1164432340</v>
      </c>
      <c r="E28990" t="s">
        <v>9421</v>
      </c>
    </row>
    <row r="28991" spans="1:5" x14ac:dyDescent="0.25">
      <c r="A28991" t="s">
        <v>9313</v>
      </c>
      <c r="B28991" t="s">
        <v>9314</v>
      </c>
      <c r="C28991" s="1" t="s">
        <v>23490</v>
      </c>
      <c r="D28991" s="1" t="str">
        <f>HYPERLINK("https://rhld.insurance.arkansas.gov/NPILookup?Npi=1164465399","1164465399")</f>
        <v>1164465399</v>
      </c>
      <c r="E28991" t="s">
        <v>12256</v>
      </c>
    </row>
    <row r="28992" spans="1:5" x14ac:dyDescent="0.25">
      <c r="A28992" t="s">
        <v>9313</v>
      </c>
      <c r="B28992" t="s">
        <v>9314</v>
      </c>
      <c r="C28992" s="1" t="s">
        <v>23490</v>
      </c>
      <c r="D28992" s="1" t="str">
        <f>HYPERLINK("https://rhld.insurance.arkansas.gov/NPILookup?Npi=1164505764","1164505764")</f>
        <v>1164505764</v>
      </c>
      <c r="E28992" t="s">
        <v>9422</v>
      </c>
    </row>
    <row r="28993" spans="1:5" x14ac:dyDescent="0.25">
      <c r="A28993" t="s">
        <v>9313</v>
      </c>
      <c r="B28993" t="s">
        <v>9314</v>
      </c>
      <c r="C28993" s="1" t="s">
        <v>23490</v>
      </c>
      <c r="D28993" s="1" t="str">
        <f>HYPERLINK("https://rhld.insurance.arkansas.gov/NPILookup?Npi=1164530580","1164530580")</f>
        <v>1164530580</v>
      </c>
      <c r="E28993" t="s">
        <v>9424</v>
      </c>
    </row>
    <row r="28994" spans="1:5" x14ac:dyDescent="0.25">
      <c r="A28994" t="s">
        <v>9313</v>
      </c>
      <c r="B28994" t="s">
        <v>9314</v>
      </c>
      <c r="C28994" s="1" t="s">
        <v>23490</v>
      </c>
      <c r="D28994" s="1" t="str">
        <f>HYPERLINK("https://rhld.insurance.arkansas.gov/NPILookup?Npi=1164541348","1164541348")</f>
        <v>1164541348</v>
      </c>
      <c r="E28994" t="s">
        <v>9425</v>
      </c>
    </row>
    <row r="28995" spans="1:5" x14ac:dyDescent="0.25">
      <c r="A28995" t="s">
        <v>9313</v>
      </c>
      <c r="B28995" t="s">
        <v>9314</v>
      </c>
      <c r="C28995" s="1" t="s">
        <v>23490</v>
      </c>
      <c r="D28995" s="1" t="str">
        <f>HYPERLINK("https://rhld.insurance.arkansas.gov/NPILookup?Npi=1164643011","1164643011")</f>
        <v>1164643011</v>
      </c>
      <c r="E28995" t="s">
        <v>9426</v>
      </c>
    </row>
    <row r="28996" spans="1:5" x14ac:dyDescent="0.25">
      <c r="A28996" t="s">
        <v>9313</v>
      </c>
      <c r="B28996" t="s">
        <v>9314</v>
      </c>
      <c r="C28996" s="1" t="s">
        <v>23490</v>
      </c>
      <c r="D28996" s="1" t="str">
        <f>HYPERLINK("https://rhld.insurance.arkansas.gov/NPILookup?Npi=1164734182","1164734182")</f>
        <v>1164734182</v>
      </c>
      <c r="E28996" t="s">
        <v>12257</v>
      </c>
    </row>
    <row r="28997" spans="1:5" x14ac:dyDescent="0.25">
      <c r="A28997" t="s">
        <v>9313</v>
      </c>
      <c r="B28997" t="s">
        <v>9314</v>
      </c>
      <c r="C28997" s="1" t="s">
        <v>23490</v>
      </c>
      <c r="D28997" s="1" t="str">
        <f>HYPERLINK("https://rhld.insurance.arkansas.gov/NPILookup?Npi=1164805511","1164805511")</f>
        <v>1164805511</v>
      </c>
      <c r="E28997" t="s">
        <v>9427</v>
      </c>
    </row>
    <row r="28998" spans="1:5" x14ac:dyDescent="0.25">
      <c r="A28998" t="s">
        <v>9313</v>
      </c>
      <c r="B28998" t="s">
        <v>9314</v>
      </c>
      <c r="C28998" s="1" t="s">
        <v>23490</v>
      </c>
      <c r="D28998" s="1" t="str">
        <f>HYPERLINK("https://rhld.insurance.arkansas.gov/NPILookup?Npi=1164928883","1164928883")</f>
        <v>1164928883</v>
      </c>
      <c r="E28998" t="s">
        <v>16787</v>
      </c>
    </row>
    <row r="28999" spans="1:5" x14ac:dyDescent="0.25">
      <c r="A28999" t="s">
        <v>9313</v>
      </c>
      <c r="B28999" t="s">
        <v>9314</v>
      </c>
      <c r="C28999" s="1" t="s">
        <v>23490</v>
      </c>
      <c r="D28999" s="1" t="str">
        <f>HYPERLINK("https://rhld.insurance.arkansas.gov/NPILookup?Npi=1174141667","1174141667")</f>
        <v>1174141667</v>
      </c>
      <c r="E28999" t="s">
        <v>22759</v>
      </c>
    </row>
    <row r="29000" spans="1:5" x14ac:dyDescent="0.25">
      <c r="A29000" t="s">
        <v>9313</v>
      </c>
      <c r="B29000" t="s">
        <v>9314</v>
      </c>
      <c r="C29000" s="1" t="s">
        <v>23490</v>
      </c>
      <c r="D29000" s="1" t="str">
        <f>HYPERLINK("https://rhld.insurance.arkansas.gov/NPILookup?Npi=1174184923","1174184923")</f>
        <v>1174184923</v>
      </c>
      <c r="E29000" t="s">
        <v>16788</v>
      </c>
    </row>
    <row r="29001" spans="1:5" x14ac:dyDescent="0.25">
      <c r="A29001" t="s">
        <v>9313</v>
      </c>
      <c r="B29001" t="s">
        <v>9314</v>
      </c>
      <c r="C29001" s="1" t="s">
        <v>23490</v>
      </c>
      <c r="D29001" s="1" t="str">
        <f>HYPERLINK("https://rhld.insurance.arkansas.gov/NPILookup?Npi=1174193809","1174193809")</f>
        <v>1174193809</v>
      </c>
      <c r="E29001" t="s">
        <v>19187</v>
      </c>
    </row>
    <row r="29002" spans="1:5" x14ac:dyDescent="0.25">
      <c r="A29002" t="s">
        <v>9313</v>
      </c>
      <c r="B29002" t="s">
        <v>9314</v>
      </c>
      <c r="C29002" s="1" t="s">
        <v>23490</v>
      </c>
      <c r="D29002" s="1" t="str">
        <f>HYPERLINK("https://rhld.insurance.arkansas.gov/NPILookup?Npi=1174213474","1174213474")</f>
        <v>1174213474</v>
      </c>
      <c r="E29002" t="s">
        <v>22760</v>
      </c>
    </row>
    <row r="29003" spans="1:5" x14ac:dyDescent="0.25">
      <c r="A29003" t="s">
        <v>9313</v>
      </c>
      <c r="B29003" t="s">
        <v>9314</v>
      </c>
      <c r="C29003" s="1" t="s">
        <v>23490</v>
      </c>
      <c r="D29003" s="1" t="str">
        <f>HYPERLINK("https://rhld.insurance.arkansas.gov/NPILookup?Npi=1174502736","1174502736")</f>
        <v>1174502736</v>
      </c>
      <c r="E29003" t="s">
        <v>21324</v>
      </c>
    </row>
    <row r="29004" spans="1:5" x14ac:dyDescent="0.25">
      <c r="A29004" t="s">
        <v>9313</v>
      </c>
      <c r="B29004" t="s">
        <v>9314</v>
      </c>
      <c r="C29004" s="1" t="s">
        <v>23490</v>
      </c>
      <c r="D29004" s="1" t="str">
        <f>HYPERLINK("https://rhld.insurance.arkansas.gov/NPILookup?Npi=1174600225","1174600225")</f>
        <v>1174600225</v>
      </c>
      <c r="E29004" t="s">
        <v>12258</v>
      </c>
    </row>
    <row r="29005" spans="1:5" x14ac:dyDescent="0.25">
      <c r="A29005" t="s">
        <v>9313</v>
      </c>
      <c r="B29005" t="s">
        <v>9314</v>
      </c>
      <c r="C29005" s="1" t="s">
        <v>23490</v>
      </c>
      <c r="D29005" s="1" t="str">
        <f>HYPERLINK("https://rhld.insurance.arkansas.gov/NPILookup?Npi=1174631097","1174631097")</f>
        <v>1174631097</v>
      </c>
      <c r="E29005" t="s">
        <v>9428</v>
      </c>
    </row>
    <row r="29006" spans="1:5" x14ac:dyDescent="0.25">
      <c r="A29006" t="s">
        <v>9313</v>
      </c>
      <c r="B29006" t="s">
        <v>9314</v>
      </c>
      <c r="C29006" s="1" t="s">
        <v>23490</v>
      </c>
      <c r="D29006" s="1" t="str">
        <f>HYPERLINK("https://rhld.insurance.arkansas.gov/NPILookup?Npi=1174636971","1174636971")</f>
        <v>1174636971</v>
      </c>
      <c r="E29006" t="s">
        <v>12259</v>
      </c>
    </row>
    <row r="29007" spans="1:5" x14ac:dyDescent="0.25">
      <c r="A29007" t="s">
        <v>9313</v>
      </c>
      <c r="B29007" t="s">
        <v>9314</v>
      </c>
      <c r="C29007" s="1" t="s">
        <v>23490</v>
      </c>
      <c r="D29007" s="1" t="str">
        <f>HYPERLINK("https://rhld.insurance.arkansas.gov/NPILookup?Npi=1174698823","1174698823")</f>
        <v>1174698823</v>
      </c>
      <c r="E29007" t="s">
        <v>9431</v>
      </c>
    </row>
    <row r="29008" spans="1:5" x14ac:dyDescent="0.25">
      <c r="A29008" t="s">
        <v>9313</v>
      </c>
      <c r="B29008" t="s">
        <v>9314</v>
      </c>
      <c r="C29008" s="1" t="s">
        <v>23490</v>
      </c>
      <c r="D29008" s="1" t="str">
        <f>HYPERLINK("https://rhld.insurance.arkansas.gov/NPILookup?Npi=1174717805","1174717805")</f>
        <v>1174717805</v>
      </c>
      <c r="E29008" t="s">
        <v>12260</v>
      </c>
    </row>
    <row r="29009" spans="1:5" x14ac:dyDescent="0.25">
      <c r="A29009" t="s">
        <v>9313</v>
      </c>
      <c r="B29009" t="s">
        <v>9314</v>
      </c>
      <c r="C29009" s="1" t="s">
        <v>23490</v>
      </c>
      <c r="D29009" s="1" t="str">
        <f>HYPERLINK("https://rhld.insurance.arkansas.gov/NPILookup?Npi=1174836159","1174836159")</f>
        <v>1174836159</v>
      </c>
      <c r="E29009" t="s">
        <v>9433</v>
      </c>
    </row>
    <row r="29010" spans="1:5" x14ac:dyDescent="0.25">
      <c r="A29010" t="s">
        <v>9313</v>
      </c>
      <c r="B29010" t="s">
        <v>9314</v>
      </c>
      <c r="C29010" s="1" t="s">
        <v>23490</v>
      </c>
      <c r="D29010" s="1" t="str">
        <f>HYPERLINK("https://rhld.insurance.arkansas.gov/NPILookup?Npi=1174852164","1174852164")</f>
        <v>1174852164</v>
      </c>
      <c r="E29010" t="s">
        <v>12261</v>
      </c>
    </row>
    <row r="29011" spans="1:5" x14ac:dyDescent="0.25">
      <c r="A29011" t="s">
        <v>9313</v>
      </c>
      <c r="B29011" t="s">
        <v>9314</v>
      </c>
      <c r="C29011" s="1" t="s">
        <v>23490</v>
      </c>
      <c r="D29011" s="1" t="str">
        <f>HYPERLINK("https://rhld.insurance.arkansas.gov/NPILookup?Npi=1174875249","1174875249")</f>
        <v>1174875249</v>
      </c>
      <c r="E29011" t="s">
        <v>9434</v>
      </c>
    </row>
    <row r="29012" spans="1:5" x14ac:dyDescent="0.25">
      <c r="A29012" t="s">
        <v>9313</v>
      </c>
      <c r="B29012" t="s">
        <v>9314</v>
      </c>
      <c r="C29012" s="1" t="s">
        <v>23490</v>
      </c>
      <c r="D29012" s="1" t="str">
        <f>HYPERLINK("https://rhld.insurance.arkansas.gov/NPILookup?Npi=1174907323","1174907323")</f>
        <v>1174907323</v>
      </c>
      <c r="E29012" t="s">
        <v>19188</v>
      </c>
    </row>
    <row r="29013" spans="1:5" x14ac:dyDescent="0.25">
      <c r="A29013" t="s">
        <v>9313</v>
      </c>
      <c r="B29013" t="s">
        <v>9314</v>
      </c>
      <c r="C29013" s="1" t="s">
        <v>23490</v>
      </c>
      <c r="D29013" s="1" t="str">
        <f>HYPERLINK("https://rhld.insurance.arkansas.gov/NPILookup?Npi=1184039174","1184039174")</f>
        <v>1184039174</v>
      </c>
      <c r="E29013" t="s">
        <v>9435</v>
      </c>
    </row>
    <row r="29014" spans="1:5" x14ac:dyDescent="0.25">
      <c r="A29014" t="s">
        <v>9313</v>
      </c>
      <c r="B29014" t="s">
        <v>9314</v>
      </c>
      <c r="C29014" s="1" t="s">
        <v>23490</v>
      </c>
      <c r="D29014" s="1" t="str">
        <f>HYPERLINK("https://rhld.insurance.arkansas.gov/NPILookup?Npi=1184072191","1184072191")</f>
        <v>1184072191</v>
      </c>
      <c r="E29014" t="s">
        <v>12262</v>
      </c>
    </row>
    <row r="29015" spans="1:5" x14ac:dyDescent="0.25">
      <c r="A29015" t="s">
        <v>9313</v>
      </c>
      <c r="B29015" t="s">
        <v>9314</v>
      </c>
      <c r="C29015" s="1" t="s">
        <v>23490</v>
      </c>
      <c r="D29015" s="1" t="str">
        <f>HYPERLINK("https://rhld.insurance.arkansas.gov/NPILookup?Npi=1184172124","1184172124")</f>
        <v>1184172124</v>
      </c>
      <c r="E29015" t="s">
        <v>14595</v>
      </c>
    </row>
    <row r="29016" spans="1:5" x14ac:dyDescent="0.25">
      <c r="A29016" t="s">
        <v>9313</v>
      </c>
      <c r="B29016" t="s">
        <v>9314</v>
      </c>
      <c r="C29016" s="1" t="s">
        <v>23490</v>
      </c>
      <c r="D29016" s="1" t="str">
        <f>HYPERLINK("https://rhld.insurance.arkansas.gov/NPILookup?Npi=1184186777","1184186777")</f>
        <v>1184186777</v>
      </c>
      <c r="E29016" t="s">
        <v>20805</v>
      </c>
    </row>
    <row r="29017" spans="1:5" x14ac:dyDescent="0.25">
      <c r="A29017" t="s">
        <v>9313</v>
      </c>
      <c r="B29017" t="s">
        <v>9314</v>
      </c>
      <c r="C29017" s="1" t="s">
        <v>23490</v>
      </c>
      <c r="D29017" s="1" t="str">
        <f>HYPERLINK("https://rhld.insurance.arkansas.gov/NPILookup?Npi=1184632762","1184632762")</f>
        <v>1184632762</v>
      </c>
      <c r="E29017" t="s">
        <v>9328</v>
      </c>
    </row>
    <row r="29018" spans="1:5" x14ac:dyDescent="0.25">
      <c r="A29018" t="s">
        <v>9313</v>
      </c>
      <c r="B29018" t="s">
        <v>9314</v>
      </c>
      <c r="C29018" s="1" t="s">
        <v>23490</v>
      </c>
      <c r="D29018" s="1" t="str">
        <f>HYPERLINK("https://rhld.insurance.arkansas.gov/NPILookup?Npi=1184662140","1184662140")</f>
        <v>1184662140</v>
      </c>
      <c r="E29018" t="s">
        <v>9436</v>
      </c>
    </row>
    <row r="29019" spans="1:5" x14ac:dyDescent="0.25">
      <c r="A29019" t="s">
        <v>9313</v>
      </c>
      <c r="B29019" t="s">
        <v>9314</v>
      </c>
      <c r="C29019" s="1" t="s">
        <v>23490</v>
      </c>
      <c r="D29019" s="1" t="str">
        <f>HYPERLINK("https://rhld.insurance.arkansas.gov/NPILookup?Npi=1184700494","1184700494")</f>
        <v>1184700494</v>
      </c>
      <c r="E29019" t="s">
        <v>9438</v>
      </c>
    </row>
    <row r="29020" spans="1:5" x14ac:dyDescent="0.25">
      <c r="A29020" t="s">
        <v>9313</v>
      </c>
      <c r="B29020" t="s">
        <v>9314</v>
      </c>
      <c r="C29020" s="1" t="s">
        <v>23490</v>
      </c>
      <c r="D29020" s="1" t="str">
        <f>HYPERLINK("https://rhld.insurance.arkansas.gov/NPILookup?Npi=1184701310","1184701310")</f>
        <v>1184701310</v>
      </c>
      <c r="E29020" t="s">
        <v>12263</v>
      </c>
    </row>
    <row r="29021" spans="1:5" x14ac:dyDescent="0.25">
      <c r="A29021" t="s">
        <v>9313</v>
      </c>
      <c r="B29021" t="s">
        <v>9314</v>
      </c>
      <c r="C29021" s="1" t="s">
        <v>23490</v>
      </c>
      <c r="D29021" s="1" t="str">
        <f>HYPERLINK("https://rhld.insurance.arkansas.gov/NPILookup?Npi=1184702052","1184702052")</f>
        <v>1184702052</v>
      </c>
      <c r="E29021" t="s">
        <v>17318</v>
      </c>
    </row>
    <row r="29022" spans="1:5" x14ac:dyDescent="0.25">
      <c r="A29022" t="s">
        <v>9313</v>
      </c>
      <c r="B29022" t="s">
        <v>9314</v>
      </c>
      <c r="C29022" s="1" t="s">
        <v>23490</v>
      </c>
      <c r="D29022" s="1" t="str">
        <f>HYPERLINK("https://rhld.insurance.arkansas.gov/NPILookup?Npi=1184713133","1184713133")</f>
        <v>1184713133</v>
      </c>
      <c r="E29022" t="s">
        <v>9439</v>
      </c>
    </row>
    <row r="29023" spans="1:5" x14ac:dyDescent="0.25">
      <c r="A29023" t="s">
        <v>9313</v>
      </c>
      <c r="B29023" t="s">
        <v>9314</v>
      </c>
      <c r="C29023" s="1" t="s">
        <v>23490</v>
      </c>
      <c r="D29023" s="1" t="str">
        <f>HYPERLINK("https://rhld.insurance.arkansas.gov/NPILookup?Npi=1184715807","1184715807")</f>
        <v>1184715807</v>
      </c>
      <c r="E29023" t="s">
        <v>9440</v>
      </c>
    </row>
    <row r="29024" spans="1:5" x14ac:dyDescent="0.25">
      <c r="A29024" t="s">
        <v>9313</v>
      </c>
      <c r="B29024" t="s">
        <v>9314</v>
      </c>
      <c r="C29024" s="1" t="s">
        <v>23490</v>
      </c>
      <c r="D29024" s="1" t="str">
        <f>HYPERLINK("https://rhld.insurance.arkansas.gov/NPILookup?Npi=1184721516","1184721516")</f>
        <v>1184721516</v>
      </c>
      <c r="E29024" t="s">
        <v>12264</v>
      </c>
    </row>
    <row r="29025" spans="1:5" x14ac:dyDescent="0.25">
      <c r="A29025" t="s">
        <v>9313</v>
      </c>
      <c r="B29025" t="s">
        <v>9314</v>
      </c>
      <c r="C29025" s="1" t="s">
        <v>23490</v>
      </c>
      <c r="D29025" s="1" t="str">
        <f>HYPERLINK("https://rhld.insurance.arkansas.gov/NPILookup?Npi=1184725822","1184725822")</f>
        <v>1184725822</v>
      </c>
      <c r="E29025" t="s">
        <v>12265</v>
      </c>
    </row>
    <row r="29026" spans="1:5" x14ac:dyDescent="0.25">
      <c r="A29026" t="s">
        <v>9313</v>
      </c>
      <c r="B29026" t="s">
        <v>9314</v>
      </c>
      <c r="C29026" s="1" t="s">
        <v>23490</v>
      </c>
      <c r="D29026" s="1" t="str">
        <f>HYPERLINK("https://rhld.insurance.arkansas.gov/NPILookup?Npi=1184730285","1184730285")</f>
        <v>1184730285</v>
      </c>
      <c r="E29026" t="s">
        <v>9441</v>
      </c>
    </row>
    <row r="29027" spans="1:5" x14ac:dyDescent="0.25">
      <c r="A29027" t="s">
        <v>9313</v>
      </c>
      <c r="B29027" t="s">
        <v>9314</v>
      </c>
      <c r="C29027" s="1" t="s">
        <v>23490</v>
      </c>
      <c r="D29027" s="1" t="str">
        <f>HYPERLINK("https://rhld.insurance.arkansas.gov/NPILookup?Npi=1184732638","1184732638")</f>
        <v>1184732638</v>
      </c>
      <c r="E29027" t="s">
        <v>5067</v>
      </c>
    </row>
    <row r="29028" spans="1:5" x14ac:dyDescent="0.25">
      <c r="A29028" t="s">
        <v>9313</v>
      </c>
      <c r="B29028" t="s">
        <v>9314</v>
      </c>
      <c r="C29028" s="1" t="s">
        <v>23490</v>
      </c>
      <c r="D29028" s="1" t="str">
        <f>HYPERLINK("https://rhld.insurance.arkansas.gov/NPILookup?Npi=1184732737","1184732737")</f>
        <v>1184732737</v>
      </c>
      <c r="E29028" t="s">
        <v>12266</v>
      </c>
    </row>
    <row r="29029" spans="1:5" x14ac:dyDescent="0.25">
      <c r="A29029" t="s">
        <v>9313</v>
      </c>
      <c r="B29029" t="s">
        <v>9314</v>
      </c>
      <c r="C29029" s="1" t="s">
        <v>23490</v>
      </c>
      <c r="D29029" s="1" t="str">
        <f>HYPERLINK("https://rhld.insurance.arkansas.gov/NPILookup?Npi=1184761470","1184761470")</f>
        <v>1184761470</v>
      </c>
      <c r="E29029" t="s">
        <v>9443</v>
      </c>
    </row>
    <row r="29030" spans="1:5" x14ac:dyDescent="0.25">
      <c r="A29030" t="s">
        <v>9313</v>
      </c>
      <c r="B29030" t="s">
        <v>9314</v>
      </c>
      <c r="C29030" s="1" t="s">
        <v>23490</v>
      </c>
      <c r="D29030" s="1" t="str">
        <f>HYPERLINK("https://rhld.insurance.arkansas.gov/NPILookup?Npi=1184789398","1184789398")</f>
        <v>1184789398</v>
      </c>
      <c r="E29030" t="s">
        <v>22761</v>
      </c>
    </row>
    <row r="29031" spans="1:5" x14ac:dyDescent="0.25">
      <c r="A29031" t="s">
        <v>9313</v>
      </c>
      <c r="B29031" t="s">
        <v>9314</v>
      </c>
      <c r="C29031" s="1" t="s">
        <v>23490</v>
      </c>
      <c r="D29031" s="1" t="str">
        <f>HYPERLINK("https://rhld.insurance.arkansas.gov/NPILookup?Npi=1184839391","1184839391")</f>
        <v>1184839391</v>
      </c>
      <c r="E29031" t="s">
        <v>12267</v>
      </c>
    </row>
    <row r="29032" spans="1:5" x14ac:dyDescent="0.25">
      <c r="A29032" t="s">
        <v>9313</v>
      </c>
      <c r="B29032" t="s">
        <v>9314</v>
      </c>
      <c r="C29032" s="1" t="s">
        <v>23490</v>
      </c>
      <c r="D29032" s="1" t="str">
        <f>HYPERLINK("https://rhld.insurance.arkansas.gov/NPILookup?Npi=1184944290","1184944290")</f>
        <v>1184944290</v>
      </c>
      <c r="E29032" t="s">
        <v>12268</v>
      </c>
    </row>
    <row r="29033" spans="1:5" x14ac:dyDescent="0.25">
      <c r="A29033" t="s">
        <v>9313</v>
      </c>
      <c r="B29033" t="s">
        <v>9314</v>
      </c>
      <c r="C29033" s="1" t="s">
        <v>23490</v>
      </c>
      <c r="D29033" s="1" t="str">
        <f>HYPERLINK("https://rhld.insurance.arkansas.gov/NPILookup?Npi=1194138503","1194138503")</f>
        <v>1194138503</v>
      </c>
      <c r="E29033" t="s">
        <v>12269</v>
      </c>
    </row>
    <row r="29034" spans="1:5" x14ac:dyDescent="0.25">
      <c r="A29034" t="s">
        <v>9313</v>
      </c>
      <c r="B29034" t="s">
        <v>9314</v>
      </c>
      <c r="C29034" s="1" t="s">
        <v>23490</v>
      </c>
      <c r="D29034" s="1" t="str">
        <f>HYPERLINK("https://rhld.insurance.arkansas.gov/NPILookup?Npi=1194165480","1194165480")</f>
        <v>1194165480</v>
      </c>
      <c r="E29034" t="s">
        <v>404</v>
      </c>
    </row>
    <row r="29035" spans="1:5" x14ac:dyDescent="0.25">
      <c r="A29035" t="s">
        <v>9313</v>
      </c>
      <c r="B29035" t="s">
        <v>9314</v>
      </c>
      <c r="C29035" s="1" t="s">
        <v>8427</v>
      </c>
      <c r="D29035" s="1" t="str">
        <f>HYPERLINK("https://rhld.insurance.arkansas.gov/NPILookup?Npi=1194418830","1194418830")</f>
        <v>1194418830</v>
      </c>
      <c r="E29035" t="s">
        <v>23345</v>
      </c>
    </row>
    <row r="29036" spans="1:5" x14ac:dyDescent="0.25">
      <c r="A29036" t="s">
        <v>9313</v>
      </c>
      <c r="B29036" t="s">
        <v>9314</v>
      </c>
      <c r="C29036" s="1" t="s">
        <v>23490</v>
      </c>
      <c r="D29036" s="1" t="str">
        <f>HYPERLINK("https://rhld.insurance.arkansas.gov/NPILookup?Npi=1194464818","1194464818")</f>
        <v>1194464818</v>
      </c>
      <c r="E29036" t="s">
        <v>20806</v>
      </c>
    </row>
    <row r="29037" spans="1:5" x14ac:dyDescent="0.25">
      <c r="A29037" t="s">
        <v>9313</v>
      </c>
      <c r="B29037" t="s">
        <v>9314</v>
      </c>
      <c r="C29037" s="1" t="s">
        <v>23490</v>
      </c>
      <c r="D29037" s="1" t="str">
        <f>HYPERLINK("https://rhld.insurance.arkansas.gov/NPILookup?Npi=1194706697","1194706697")</f>
        <v>1194706697</v>
      </c>
      <c r="E29037" t="s">
        <v>12270</v>
      </c>
    </row>
    <row r="29038" spans="1:5" x14ac:dyDescent="0.25">
      <c r="A29038" t="s">
        <v>9313</v>
      </c>
      <c r="B29038" t="s">
        <v>9314</v>
      </c>
      <c r="C29038" s="1" t="s">
        <v>23490</v>
      </c>
      <c r="D29038" s="1" t="str">
        <f>HYPERLINK("https://rhld.insurance.arkansas.gov/NPILookup?Npi=1194715615","1194715615")</f>
        <v>1194715615</v>
      </c>
      <c r="E29038" t="s">
        <v>12271</v>
      </c>
    </row>
    <row r="29039" spans="1:5" x14ac:dyDescent="0.25">
      <c r="A29039" t="s">
        <v>9313</v>
      </c>
      <c r="B29039" t="s">
        <v>9314</v>
      </c>
      <c r="C29039" s="1" t="s">
        <v>23490</v>
      </c>
      <c r="D29039" s="1" t="str">
        <f>HYPERLINK("https://rhld.insurance.arkansas.gov/NPILookup?Npi=1194744961","1194744961")</f>
        <v>1194744961</v>
      </c>
      <c r="E29039" t="s">
        <v>9444</v>
      </c>
    </row>
    <row r="29040" spans="1:5" x14ac:dyDescent="0.25">
      <c r="A29040" t="s">
        <v>9313</v>
      </c>
      <c r="B29040" t="s">
        <v>9314</v>
      </c>
      <c r="C29040" s="1" t="s">
        <v>23490</v>
      </c>
      <c r="D29040" s="1" t="str">
        <f>HYPERLINK("https://rhld.insurance.arkansas.gov/NPILookup?Npi=1194745745","1194745745")</f>
        <v>1194745745</v>
      </c>
      <c r="E29040" t="s">
        <v>9445</v>
      </c>
    </row>
    <row r="29041" spans="1:5" x14ac:dyDescent="0.25">
      <c r="A29041" t="s">
        <v>9313</v>
      </c>
      <c r="B29041" t="s">
        <v>9314</v>
      </c>
      <c r="C29041" s="1" t="s">
        <v>23490</v>
      </c>
      <c r="D29041" s="1" t="str">
        <f>HYPERLINK("https://rhld.insurance.arkansas.gov/NPILookup?Npi=1194770362","1194770362")</f>
        <v>1194770362</v>
      </c>
      <c r="E29041" t="s">
        <v>9446</v>
      </c>
    </row>
    <row r="29042" spans="1:5" x14ac:dyDescent="0.25">
      <c r="A29042" t="s">
        <v>9313</v>
      </c>
      <c r="B29042" t="s">
        <v>9314</v>
      </c>
      <c r="C29042" s="1" t="s">
        <v>23490</v>
      </c>
      <c r="D29042" s="1" t="str">
        <f>HYPERLINK("https://rhld.insurance.arkansas.gov/NPILookup?Npi=1194803148","1194803148")</f>
        <v>1194803148</v>
      </c>
      <c r="E29042" t="s">
        <v>9447</v>
      </c>
    </row>
    <row r="29043" spans="1:5" x14ac:dyDescent="0.25">
      <c r="A29043" t="s">
        <v>9313</v>
      </c>
      <c r="B29043" t="s">
        <v>9314</v>
      </c>
      <c r="C29043" s="1" t="s">
        <v>23490</v>
      </c>
      <c r="D29043" s="1" t="str">
        <f>HYPERLINK("https://rhld.insurance.arkansas.gov/NPILookup?Npi=1194809517","1194809517")</f>
        <v>1194809517</v>
      </c>
      <c r="E29043" t="s">
        <v>9448</v>
      </c>
    </row>
    <row r="29044" spans="1:5" x14ac:dyDescent="0.25">
      <c r="A29044" t="s">
        <v>9313</v>
      </c>
      <c r="B29044" t="s">
        <v>9314</v>
      </c>
      <c r="C29044" s="1" t="s">
        <v>23490</v>
      </c>
      <c r="D29044" s="1" t="str">
        <f>HYPERLINK("https://rhld.insurance.arkansas.gov/NPILookup?Npi=1194814897","1194814897")</f>
        <v>1194814897</v>
      </c>
      <c r="E29044" t="s">
        <v>9449</v>
      </c>
    </row>
    <row r="29045" spans="1:5" x14ac:dyDescent="0.25">
      <c r="A29045" t="s">
        <v>9313</v>
      </c>
      <c r="B29045" t="s">
        <v>9314</v>
      </c>
      <c r="C29045" s="1" t="s">
        <v>23490</v>
      </c>
      <c r="D29045" s="1" t="str">
        <f>HYPERLINK("https://rhld.insurance.arkansas.gov/NPILookup?Npi=1194839340","1194839340")</f>
        <v>1194839340</v>
      </c>
      <c r="E29045" t="s">
        <v>9450</v>
      </c>
    </row>
    <row r="29046" spans="1:5" x14ac:dyDescent="0.25">
      <c r="A29046" t="s">
        <v>9313</v>
      </c>
      <c r="B29046" t="s">
        <v>9314</v>
      </c>
      <c r="C29046" s="1" t="s">
        <v>23490</v>
      </c>
      <c r="D29046" s="1" t="str">
        <f>HYPERLINK("https://rhld.insurance.arkansas.gov/NPILookup?Npi=1194848556","1194848556")</f>
        <v>1194848556</v>
      </c>
      <c r="E29046" t="s">
        <v>12272</v>
      </c>
    </row>
    <row r="29047" spans="1:5" x14ac:dyDescent="0.25">
      <c r="A29047" t="s">
        <v>9313</v>
      </c>
      <c r="B29047" t="s">
        <v>9314</v>
      </c>
      <c r="C29047" s="1" t="s">
        <v>23490</v>
      </c>
      <c r="D29047" s="1" t="str">
        <f>HYPERLINK("https://rhld.insurance.arkansas.gov/NPILookup?Npi=1194868513","1194868513")</f>
        <v>1194868513</v>
      </c>
      <c r="E29047" t="s">
        <v>12273</v>
      </c>
    </row>
    <row r="29048" spans="1:5" x14ac:dyDescent="0.25">
      <c r="A29048" t="s">
        <v>9313</v>
      </c>
      <c r="B29048" t="s">
        <v>9314</v>
      </c>
      <c r="C29048" s="1" t="s">
        <v>23490</v>
      </c>
      <c r="D29048" s="1" t="str">
        <f>HYPERLINK("https://rhld.insurance.arkansas.gov/NPILookup?Npi=1205099975","1205099975")</f>
        <v>1205099975</v>
      </c>
      <c r="E29048" t="s">
        <v>12274</v>
      </c>
    </row>
    <row r="29049" spans="1:5" x14ac:dyDescent="0.25">
      <c r="A29049" t="s">
        <v>9313</v>
      </c>
      <c r="B29049" t="s">
        <v>9314</v>
      </c>
      <c r="C29049" s="1" t="s">
        <v>23490</v>
      </c>
      <c r="D29049" s="1" t="str">
        <f>HYPERLINK("https://rhld.insurance.arkansas.gov/NPILookup?Npi=1205197886","1205197886")</f>
        <v>1205197886</v>
      </c>
      <c r="E29049" t="s">
        <v>9451</v>
      </c>
    </row>
    <row r="29050" spans="1:5" x14ac:dyDescent="0.25">
      <c r="A29050" t="s">
        <v>9313</v>
      </c>
      <c r="B29050" t="s">
        <v>9314</v>
      </c>
      <c r="C29050" s="1" t="s">
        <v>23490</v>
      </c>
      <c r="D29050" s="1" t="str">
        <f>HYPERLINK("https://rhld.insurance.arkansas.gov/NPILookup?Npi=1205240157","1205240157")</f>
        <v>1205240157</v>
      </c>
      <c r="E29050" t="s">
        <v>20807</v>
      </c>
    </row>
    <row r="29051" spans="1:5" x14ac:dyDescent="0.25">
      <c r="A29051" t="s">
        <v>9313</v>
      </c>
      <c r="B29051" t="s">
        <v>9314</v>
      </c>
      <c r="C29051" s="1" t="s">
        <v>23490</v>
      </c>
      <c r="D29051" s="1" t="str">
        <f>HYPERLINK("https://rhld.insurance.arkansas.gov/NPILookup?Npi=1205270360","1205270360")</f>
        <v>1205270360</v>
      </c>
      <c r="E29051" t="s">
        <v>9452</v>
      </c>
    </row>
    <row r="29052" spans="1:5" x14ac:dyDescent="0.25">
      <c r="A29052" t="s">
        <v>9313</v>
      </c>
      <c r="B29052" t="s">
        <v>9314</v>
      </c>
      <c r="C29052" s="1" t="s">
        <v>23490</v>
      </c>
      <c r="D29052" s="1" t="str">
        <f>HYPERLINK("https://rhld.insurance.arkansas.gov/NPILookup?Npi=1205276391","1205276391")</f>
        <v>1205276391</v>
      </c>
      <c r="E29052" t="s">
        <v>9453</v>
      </c>
    </row>
    <row r="29053" spans="1:5" x14ac:dyDescent="0.25">
      <c r="A29053" t="s">
        <v>9313</v>
      </c>
      <c r="B29053" t="s">
        <v>9314</v>
      </c>
      <c r="C29053" s="1" t="s">
        <v>23490</v>
      </c>
      <c r="D29053" s="1" t="str">
        <f>HYPERLINK("https://rhld.insurance.arkansas.gov/NPILookup?Npi=1205313889","1205313889")</f>
        <v>1205313889</v>
      </c>
      <c r="E29053" t="s">
        <v>18576</v>
      </c>
    </row>
    <row r="29054" spans="1:5" x14ac:dyDescent="0.25">
      <c r="A29054" t="s">
        <v>9313</v>
      </c>
      <c r="B29054" t="s">
        <v>9314</v>
      </c>
      <c r="C29054" s="1" t="s">
        <v>23490</v>
      </c>
      <c r="D29054" s="1" t="str">
        <f>HYPERLINK("https://rhld.insurance.arkansas.gov/NPILookup?Npi=1205409125","1205409125")</f>
        <v>1205409125</v>
      </c>
      <c r="E29054" t="s">
        <v>21325</v>
      </c>
    </row>
    <row r="29055" spans="1:5" x14ac:dyDescent="0.25">
      <c r="A29055" t="s">
        <v>9313</v>
      </c>
      <c r="B29055" t="s">
        <v>9314</v>
      </c>
      <c r="C29055" s="1" t="s">
        <v>23490</v>
      </c>
      <c r="D29055" s="1" t="str">
        <f>HYPERLINK("https://rhld.insurance.arkansas.gov/NPILookup?Npi=1205830130","1205830130")</f>
        <v>1205830130</v>
      </c>
      <c r="E29055" t="s">
        <v>9455</v>
      </c>
    </row>
    <row r="29056" spans="1:5" x14ac:dyDescent="0.25">
      <c r="A29056" t="s">
        <v>9313</v>
      </c>
      <c r="B29056" t="s">
        <v>9314</v>
      </c>
      <c r="C29056" s="1" t="s">
        <v>23490</v>
      </c>
      <c r="D29056" s="1" t="str">
        <f>HYPERLINK("https://rhld.insurance.arkansas.gov/NPILookup?Npi=1215001839","1215001839")</f>
        <v>1215001839</v>
      </c>
      <c r="E29056" t="s">
        <v>18577</v>
      </c>
    </row>
    <row r="29057" spans="1:5" x14ac:dyDescent="0.25">
      <c r="A29057" t="s">
        <v>9313</v>
      </c>
      <c r="B29057" t="s">
        <v>9314</v>
      </c>
      <c r="C29057" s="1" t="s">
        <v>23490</v>
      </c>
      <c r="D29057" s="1" t="str">
        <f>HYPERLINK("https://rhld.insurance.arkansas.gov/NPILookup?Npi=1215010764","1215010764")</f>
        <v>1215010764</v>
      </c>
      <c r="E29057" t="s">
        <v>12275</v>
      </c>
    </row>
    <row r="29058" spans="1:5" x14ac:dyDescent="0.25">
      <c r="A29058" t="s">
        <v>9313</v>
      </c>
      <c r="B29058" t="s">
        <v>9314</v>
      </c>
      <c r="C29058" s="1" t="s">
        <v>23490</v>
      </c>
      <c r="D29058" s="1" t="str">
        <f>HYPERLINK("https://rhld.insurance.arkansas.gov/NPILookup?Npi=1215035076","1215035076")</f>
        <v>1215035076</v>
      </c>
      <c r="E29058" t="s">
        <v>9456</v>
      </c>
    </row>
    <row r="29059" spans="1:5" x14ac:dyDescent="0.25">
      <c r="A29059" t="s">
        <v>9313</v>
      </c>
      <c r="B29059" t="s">
        <v>9314</v>
      </c>
      <c r="C29059" s="1" t="s">
        <v>23490</v>
      </c>
      <c r="D29059" s="1" t="str">
        <f>HYPERLINK("https://rhld.insurance.arkansas.gov/NPILookup?Npi=1215043328","1215043328")</f>
        <v>1215043328</v>
      </c>
      <c r="E29059" t="s">
        <v>9457</v>
      </c>
    </row>
    <row r="29060" spans="1:5" x14ac:dyDescent="0.25">
      <c r="A29060" t="s">
        <v>9313</v>
      </c>
      <c r="B29060" t="s">
        <v>9314</v>
      </c>
      <c r="C29060" s="1" t="s">
        <v>23490</v>
      </c>
      <c r="D29060" s="1" t="str">
        <f>HYPERLINK("https://rhld.insurance.arkansas.gov/NPILookup?Npi=1215078589","1215078589")</f>
        <v>1215078589</v>
      </c>
      <c r="E29060" t="s">
        <v>12276</v>
      </c>
    </row>
    <row r="29061" spans="1:5" x14ac:dyDescent="0.25">
      <c r="A29061" t="s">
        <v>9313</v>
      </c>
      <c r="B29061" t="s">
        <v>9314</v>
      </c>
      <c r="C29061" s="1" t="s">
        <v>23490</v>
      </c>
      <c r="D29061" s="1" t="str">
        <f>HYPERLINK("https://rhld.insurance.arkansas.gov/NPILookup?Npi=1215082250","1215082250")</f>
        <v>1215082250</v>
      </c>
      <c r="E29061" t="s">
        <v>17775</v>
      </c>
    </row>
    <row r="29062" spans="1:5" x14ac:dyDescent="0.25">
      <c r="A29062" t="s">
        <v>9313</v>
      </c>
      <c r="B29062" t="s">
        <v>9314</v>
      </c>
      <c r="C29062" s="1" t="s">
        <v>23490</v>
      </c>
      <c r="D29062" s="1" t="str">
        <f>HYPERLINK("https://rhld.insurance.arkansas.gov/NPILookup?Npi=1215140777","1215140777")</f>
        <v>1215140777</v>
      </c>
      <c r="E29062" t="s">
        <v>23346</v>
      </c>
    </row>
    <row r="29063" spans="1:5" x14ac:dyDescent="0.25">
      <c r="A29063" t="s">
        <v>9313</v>
      </c>
      <c r="B29063" t="s">
        <v>9314</v>
      </c>
      <c r="C29063" s="1" t="s">
        <v>23490</v>
      </c>
      <c r="D29063" s="1" t="str">
        <f>HYPERLINK("https://rhld.insurance.arkansas.gov/NPILookup?Npi=1215142161","1215142161")</f>
        <v>1215142161</v>
      </c>
      <c r="E29063" t="s">
        <v>12277</v>
      </c>
    </row>
    <row r="29064" spans="1:5" x14ac:dyDescent="0.25">
      <c r="A29064" t="s">
        <v>9313</v>
      </c>
      <c r="B29064" t="s">
        <v>9314</v>
      </c>
      <c r="C29064" s="1" t="s">
        <v>23490</v>
      </c>
      <c r="D29064" s="1" t="str">
        <f>HYPERLINK("https://rhld.insurance.arkansas.gov/NPILookup?Npi=1215245667","1215245667")</f>
        <v>1215245667</v>
      </c>
      <c r="E29064" t="s">
        <v>12279</v>
      </c>
    </row>
    <row r="29065" spans="1:5" x14ac:dyDescent="0.25">
      <c r="A29065" t="s">
        <v>9313</v>
      </c>
      <c r="B29065" t="s">
        <v>9314</v>
      </c>
      <c r="C29065" s="1" t="s">
        <v>23490</v>
      </c>
      <c r="D29065" s="1" t="str">
        <f>HYPERLINK("https://rhld.insurance.arkansas.gov/NPILookup?Npi=1215310289","1215310289")</f>
        <v>1215310289</v>
      </c>
      <c r="E29065" t="s">
        <v>9458</v>
      </c>
    </row>
    <row r="29066" spans="1:5" x14ac:dyDescent="0.25">
      <c r="A29066" t="s">
        <v>9313</v>
      </c>
      <c r="B29066" t="s">
        <v>9314</v>
      </c>
      <c r="C29066" s="1" t="s">
        <v>23490</v>
      </c>
      <c r="D29066" s="1" t="str">
        <f>HYPERLINK("https://rhld.insurance.arkansas.gov/NPILookup?Npi=1215317920","1215317920")</f>
        <v>1215317920</v>
      </c>
      <c r="E29066" t="s">
        <v>12280</v>
      </c>
    </row>
    <row r="29067" spans="1:5" x14ac:dyDescent="0.25">
      <c r="A29067" t="s">
        <v>9313</v>
      </c>
      <c r="B29067" t="s">
        <v>9314</v>
      </c>
      <c r="C29067" s="1" t="s">
        <v>23490</v>
      </c>
      <c r="D29067" s="1" t="str">
        <f>HYPERLINK("https://rhld.insurance.arkansas.gov/NPILookup?Npi=1215422019","1215422019")</f>
        <v>1215422019</v>
      </c>
      <c r="E29067" t="s">
        <v>14596</v>
      </c>
    </row>
    <row r="29068" spans="1:5" x14ac:dyDescent="0.25">
      <c r="A29068" t="s">
        <v>9313</v>
      </c>
      <c r="B29068" t="s">
        <v>9314</v>
      </c>
      <c r="C29068" s="1" t="s">
        <v>23490</v>
      </c>
      <c r="D29068" s="1" t="str">
        <f>HYPERLINK("https://rhld.insurance.arkansas.gov/NPILookup?Npi=1215458823","1215458823")</f>
        <v>1215458823</v>
      </c>
      <c r="E29068" t="s">
        <v>22762</v>
      </c>
    </row>
    <row r="29069" spans="1:5" x14ac:dyDescent="0.25">
      <c r="A29069" t="s">
        <v>9313</v>
      </c>
      <c r="B29069" t="s">
        <v>9314</v>
      </c>
      <c r="C29069" s="1" t="s">
        <v>23490</v>
      </c>
      <c r="D29069" s="1" t="str">
        <f>HYPERLINK("https://rhld.insurance.arkansas.gov/NPILookup?Npi=1215541677","1215541677")</f>
        <v>1215541677</v>
      </c>
      <c r="E29069" t="s">
        <v>17776</v>
      </c>
    </row>
    <row r="29070" spans="1:5" x14ac:dyDescent="0.25">
      <c r="A29070" t="s">
        <v>9313</v>
      </c>
      <c r="B29070" t="s">
        <v>9314</v>
      </c>
      <c r="C29070" s="1" t="s">
        <v>23490</v>
      </c>
      <c r="D29070" s="1" t="str">
        <f>HYPERLINK("https://rhld.insurance.arkansas.gov/NPILookup?Npi=1215545710","1215545710")</f>
        <v>1215545710</v>
      </c>
      <c r="E29070" t="s">
        <v>17777</v>
      </c>
    </row>
    <row r="29071" spans="1:5" x14ac:dyDescent="0.25">
      <c r="A29071" t="s">
        <v>9313</v>
      </c>
      <c r="B29071" t="s">
        <v>9314</v>
      </c>
      <c r="C29071" s="1" t="s">
        <v>23490</v>
      </c>
      <c r="D29071" s="1" t="str">
        <f>HYPERLINK("https://rhld.insurance.arkansas.gov/NPILookup?Npi=1215552286","1215552286")</f>
        <v>1215552286</v>
      </c>
      <c r="E29071" t="s">
        <v>21326</v>
      </c>
    </row>
    <row r="29072" spans="1:5" x14ac:dyDescent="0.25">
      <c r="A29072" t="s">
        <v>9313</v>
      </c>
      <c r="B29072" t="s">
        <v>9314</v>
      </c>
      <c r="C29072" s="1" t="s">
        <v>23490</v>
      </c>
      <c r="D29072" s="1" t="str">
        <f>HYPERLINK("https://rhld.insurance.arkansas.gov/NPILookup?Npi=1215964580","1215964580")</f>
        <v>1215964580</v>
      </c>
      <c r="E29072" t="s">
        <v>9459</v>
      </c>
    </row>
    <row r="29073" spans="1:5" x14ac:dyDescent="0.25">
      <c r="A29073" t="s">
        <v>9313</v>
      </c>
      <c r="B29073" t="s">
        <v>9314</v>
      </c>
      <c r="C29073" s="1" t="s">
        <v>23490</v>
      </c>
      <c r="D29073" s="1" t="str">
        <f>HYPERLINK("https://rhld.insurance.arkansas.gov/NPILookup?Npi=1225037963","1225037963")</f>
        <v>1225037963</v>
      </c>
      <c r="E29073" t="s">
        <v>12281</v>
      </c>
    </row>
    <row r="29074" spans="1:5" x14ac:dyDescent="0.25">
      <c r="A29074" t="s">
        <v>9313</v>
      </c>
      <c r="B29074" t="s">
        <v>9314</v>
      </c>
      <c r="C29074" s="1" t="s">
        <v>23490</v>
      </c>
      <c r="D29074" s="1" t="str">
        <f>HYPERLINK("https://rhld.insurance.arkansas.gov/NPILookup?Npi=1225048911","1225048911")</f>
        <v>1225048911</v>
      </c>
      <c r="E29074" t="s">
        <v>12282</v>
      </c>
    </row>
    <row r="29075" spans="1:5" x14ac:dyDescent="0.25">
      <c r="A29075" t="s">
        <v>9313</v>
      </c>
      <c r="B29075" t="s">
        <v>9314</v>
      </c>
      <c r="C29075" s="1" t="s">
        <v>23490</v>
      </c>
      <c r="D29075" s="1" t="str">
        <f>HYPERLINK("https://rhld.insurance.arkansas.gov/NPILookup?Npi=1225052392","1225052392")</f>
        <v>1225052392</v>
      </c>
      <c r="E29075" t="s">
        <v>20808</v>
      </c>
    </row>
    <row r="29076" spans="1:5" x14ac:dyDescent="0.25">
      <c r="A29076" t="s">
        <v>9313</v>
      </c>
      <c r="B29076" t="s">
        <v>9314</v>
      </c>
      <c r="C29076" s="1" t="s">
        <v>23490</v>
      </c>
      <c r="D29076" s="1" t="str">
        <f>HYPERLINK("https://rhld.insurance.arkansas.gov/NPILookup?Npi=1225053531","1225053531")</f>
        <v>1225053531</v>
      </c>
      <c r="E29076" t="s">
        <v>12283</v>
      </c>
    </row>
    <row r="29077" spans="1:5" x14ac:dyDescent="0.25">
      <c r="A29077" t="s">
        <v>9313</v>
      </c>
      <c r="B29077" t="s">
        <v>9314</v>
      </c>
      <c r="C29077" s="1" t="s">
        <v>23490</v>
      </c>
      <c r="D29077" s="1" t="str">
        <f>HYPERLINK("https://rhld.insurance.arkansas.gov/NPILookup?Npi=1225124035","1225124035")</f>
        <v>1225124035</v>
      </c>
      <c r="E29077" t="s">
        <v>9460</v>
      </c>
    </row>
    <row r="29078" spans="1:5" x14ac:dyDescent="0.25">
      <c r="A29078" t="s">
        <v>9313</v>
      </c>
      <c r="B29078" t="s">
        <v>9314</v>
      </c>
      <c r="C29078" s="1" t="s">
        <v>23490</v>
      </c>
      <c r="D29078" s="1" t="str">
        <f>HYPERLINK("https://rhld.insurance.arkansas.gov/NPILookup?Npi=1225124761","1225124761")</f>
        <v>1225124761</v>
      </c>
      <c r="E29078" t="s">
        <v>12284</v>
      </c>
    </row>
    <row r="29079" spans="1:5" x14ac:dyDescent="0.25">
      <c r="A29079" t="s">
        <v>9313</v>
      </c>
      <c r="B29079" t="s">
        <v>9314</v>
      </c>
      <c r="C29079" s="1" t="s">
        <v>23490</v>
      </c>
      <c r="D29079" s="1" t="str">
        <f>HYPERLINK("https://rhld.insurance.arkansas.gov/NPILookup?Npi=1225136823","1225136823")</f>
        <v>1225136823</v>
      </c>
      <c r="E29079" t="s">
        <v>9461</v>
      </c>
    </row>
    <row r="29080" spans="1:5" x14ac:dyDescent="0.25">
      <c r="A29080" t="s">
        <v>9313</v>
      </c>
      <c r="B29080" t="s">
        <v>9314</v>
      </c>
      <c r="C29080" s="1" t="s">
        <v>23490</v>
      </c>
      <c r="D29080" s="1" t="str">
        <f>HYPERLINK("https://rhld.insurance.arkansas.gov/NPILookup?Npi=1225137318","1225137318")</f>
        <v>1225137318</v>
      </c>
      <c r="E29080" t="s">
        <v>9462</v>
      </c>
    </row>
    <row r="29081" spans="1:5" x14ac:dyDescent="0.25">
      <c r="A29081" t="s">
        <v>9313</v>
      </c>
      <c r="B29081" t="s">
        <v>9314</v>
      </c>
      <c r="C29081" s="1" t="s">
        <v>23490</v>
      </c>
      <c r="D29081" s="1" t="str">
        <f>HYPERLINK("https://rhld.insurance.arkansas.gov/NPILookup?Npi=1225141880","1225141880")</f>
        <v>1225141880</v>
      </c>
      <c r="E29081" t="s">
        <v>9463</v>
      </c>
    </row>
    <row r="29082" spans="1:5" x14ac:dyDescent="0.25">
      <c r="A29082" t="s">
        <v>9313</v>
      </c>
      <c r="B29082" t="s">
        <v>9314</v>
      </c>
      <c r="C29082" s="1" t="s">
        <v>23490</v>
      </c>
      <c r="D29082" s="1" t="str">
        <f>HYPERLINK("https://rhld.insurance.arkansas.gov/NPILookup?Npi=1225168925","1225168925")</f>
        <v>1225168925</v>
      </c>
      <c r="E29082" t="s">
        <v>12285</v>
      </c>
    </row>
    <row r="29083" spans="1:5" x14ac:dyDescent="0.25">
      <c r="A29083" t="s">
        <v>9313</v>
      </c>
      <c r="B29083" t="s">
        <v>9314</v>
      </c>
      <c r="C29083" s="1" t="s">
        <v>23490</v>
      </c>
      <c r="D29083" s="1" t="str">
        <f>HYPERLINK("https://rhld.insurance.arkansas.gov/NPILookup?Npi=1225219439","1225219439")</f>
        <v>1225219439</v>
      </c>
      <c r="E29083" t="s">
        <v>12286</v>
      </c>
    </row>
    <row r="29084" spans="1:5" x14ac:dyDescent="0.25">
      <c r="A29084" t="s">
        <v>9313</v>
      </c>
      <c r="B29084" t="s">
        <v>9314</v>
      </c>
      <c r="C29084" s="1" t="s">
        <v>23490</v>
      </c>
      <c r="D29084" s="1" t="str">
        <f>HYPERLINK("https://rhld.insurance.arkansas.gov/NPILookup?Npi=1225221567","1225221567")</f>
        <v>1225221567</v>
      </c>
      <c r="E29084" t="s">
        <v>9466</v>
      </c>
    </row>
    <row r="29085" spans="1:5" x14ac:dyDescent="0.25">
      <c r="A29085" t="s">
        <v>9313</v>
      </c>
      <c r="B29085" t="s">
        <v>9314</v>
      </c>
      <c r="C29085" s="1" t="s">
        <v>23490</v>
      </c>
      <c r="D29085" s="1" t="str">
        <f>HYPERLINK("https://rhld.insurance.arkansas.gov/NPILookup?Npi=1225568264","1225568264")</f>
        <v>1225568264</v>
      </c>
      <c r="E29085" t="s">
        <v>12287</v>
      </c>
    </row>
    <row r="29086" spans="1:5" x14ac:dyDescent="0.25">
      <c r="A29086" t="s">
        <v>9313</v>
      </c>
      <c r="B29086" t="s">
        <v>9314</v>
      </c>
      <c r="C29086" s="1" t="s">
        <v>23490</v>
      </c>
      <c r="D29086" s="1" t="str">
        <f>HYPERLINK("https://rhld.insurance.arkansas.gov/NPILookup?Npi=1225568363","1225568363")</f>
        <v>1225568363</v>
      </c>
      <c r="E29086" t="s">
        <v>12288</v>
      </c>
    </row>
    <row r="29087" spans="1:5" x14ac:dyDescent="0.25">
      <c r="A29087" t="s">
        <v>9313</v>
      </c>
      <c r="B29087" t="s">
        <v>9314</v>
      </c>
      <c r="C29087" s="1" t="s">
        <v>23490</v>
      </c>
      <c r="D29087" s="1" t="str">
        <f>HYPERLINK("https://rhld.insurance.arkansas.gov/NPILookup?Npi=1225581606","1225581606")</f>
        <v>1225581606</v>
      </c>
      <c r="E29087" t="s">
        <v>12289</v>
      </c>
    </row>
    <row r="29088" spans="1:5" x14ac:dyDescent="0.25">
      <c r="A29088" t="s">
        <v>9313</v>
      </c>
      <c r="B29088" t="s">
        <v>9314</v>
      </c>
      <c r="C29088" s="1" t="s">
        <v>23490</v>
      </c>
      <c r="D29088" s="1" t="str">
        <f>HYPERLINK("https://rhld.insurance.arkansas.gov/NPILookup?Npi=1225652670","1225652670")</f>
        <v>1225652670</v>
      </c>
      <c r="E29088" t="s">
        <v>17778</v>
      </c>
    </row>
    <row r="29089" spans="1:5" x14ac:dyDescent="0.25">
      <c r="A29089" t="s">
        <v>9313</v>
      </c>
      <c r="B29089" t="s">
        <v>9314</v>
      </c>
      <c r="C29089" s="1" t="s">
        <v>8427</v>
      </c>
      <c r="D29089" s="1" t="str">
        <f>HYPERLINK("https://rhld.insurance.arkansas.gov/NPILookup?Npi=1225714686","1225714686")</f>
        <v>1225714686</v>
      </c>
      <c r="E29089" t="s">
        <v>23347</v>
      </c>
    </row>
    <row r="29090" spans="1:5" x14ac:dyDescent="0.25">
      <c r="A29090" t="s">
        <v>9313</v>
      </c>
      <c r="B29090" t="s">
        <v>9314</v>
      </c>
      <c r="C29090" s="1" t="s">
        <v>23490</v>
      </c>
      <c r="D29090" s="1" t="str">
        <f>HYPERLINK("https://rhld.insurance.arkansas.gov/NPILookup?Npi=1235146382","1235146382")</f>
        <v>1235146382</v>
      </c>
      <c r="E29090" t="s">
        <v>9467</v>
      </c>
    </row>
    <row r="29091" spans="1:5" x14ac:dyDescent="0.25">
      <c r="A29091" t="s">
        <v>9313</v>
      </c>
      <c r="B29091" t="s">
        <v>9314</v>
      </c>
      <c r="C29091" s="1" t="s">
        <v>23490</v>
      </c>
      <c r="D29091" s="1" t="str">
        <f>HYPERLINK("https://rhld.insurance.arkansas.gov/NPILookup?Npi=1235205568","1235205568")</f>
        <v>1235205568</v>
      </c>
      <c r="E29091" t="s">
        <v>9468</v>
      </c>
    </row>
    <row r="29092" spans="1:5" x14ac:dyDescent="0.25">
      <c r="A29092" t="s">
        <v>9313</v>
      </c>
      <c r="B29092" t="s">
        <v>9314</v>
      </c>
      <c r="C29092" s="1" t="s">
        <v>23490</v>
      </c>
      <c r="D29092" s="1" t="str">
        <f>HYPERLINK("https://rhld.insurance.arkansas.gov/NPILookup?Npi=1235227224","1235227224")</f>
        <v>1235227224</v>
      </c>
      <c r="E29092" t="s">
        <v>12291</v>
      </c>
    </row>
    <row r="29093" spans="1:5" x14ac:dyDescent="0.25">
      <c r="A29093" t="s">
        <v>9313</v>
      </c>
      <c r="B29093" t="s">
        <v>9314</v>
      </c>
      <c r="C29093" s="1" t="s">
        <v>23490</v>
      </c>
      <c r="D29093" s="1" t="str">
        <f>HYPERLINK("https://rhld.insurance.arkansas.gov/NPILookup?Npi=1235231580","1235231580")</f>
        <v>1235231580</v>
      </c>
      <c r="E29093" t="s">
        <v>12292</v>
      </c>
    </row>
    <row r="29094" spans="1:5" x14ac:dyDescent="0.25">
      <c r="A29094" t="s">
        <v>9313</v>
      </c>
      <c r="B29094" t="s">
        <v>9314</v>
      </c>
      <c r="C29094" s="1" t="s">
        <v>8427</v>
      </c>
      <c r="D29094" s="1" t="str">
        <f>HYPERLINK("https://rhld.insurance.arkansas.gov/NPILookup?Npi=1235242421","1235242421")</f>
        <v>1235242421</v>
      </c>
      <c r="E29094" t="s">
        <v>9469</v>
      </c>
    </row>
    <row r="29095" spans="1:5" x14ac:dyDescent="0.25">
      <c r="A29095" t="s">
        <v>9313</v>
      </c>
      <c r="B29095" t="s">
        <v>9314</v>
      </c>
      <c r="C29095" s="1" t="s">
        <v>23490</v>
      </c>
      <c r="D29095" s="1" t="str">
        <f>HYPERLINK("https://rhld.insurance.arkansas.gov/NPILookup?Npi=1235249640","1235249640")</f>
        <v>1235249640</v>
      </c>
      <c r="E29095" t="s">
        <v>9470</v>
      </c>
    </row>
    <row r="29096" spans="1:5" x14ac:dyDescent="0.25">
      <c r="A29096" t="s">
        <v>9313</v>
      </c>
      <c r="B29096" t="s">
        <v>9314</v>
      </c>
      <c r="C29096" s="1" t="s">
        <v>23490</v>
      </c>
      <c r="D29096" s="1" t="str">
        <f>HYPERLINK("https://rhld.insurance.arkansas.gov/NPILookup?Npi=1235250689","1235250689")</f>
        <v>1235250689</v>
      </c>
      <c r="E29096" t="s">
        <v>12293</v>
      </c>
    </row>
    <row r="29097" spans="1:5" x14ac:dyDescent="0.25">
      <c r="A29097" t="s">
        <v>9313</v>
      </c>
      <c r="B29097" t="s">
        <v>9314</v>
      </c>
      <c r="C29097" s="1" t="s">
        <v>23490</v>
      </c>
      <c r="D29097" s="1" t="str">
        <f>HYPERLINK("https://rhld.insurance.arkansas.gov/NPILookup?Npi=1235328469","1235328469")</f>
        <v>1235328469</v>
      </c>
      <c r="E29097" t="s">
        <v>22763</v>
      </c>
    </row>
    <row r="29098" spans="1:5" x14ac:dyDescent="0.25">
      <c r="A29098" t="s">
        <v>9313</v>
      </c>
      <c r="B29098" t="s">
        <v>9314</v>
      </c>
      <c r="C29098" s="1" t="s">
        <v>23490</v>
      </c>
      <c r="D29098" s="1" t="str">
        <f>HYPERLINK("https://rhld.insurance.arkansas.gov/NPILookup?Npi=1235335761","1235335761")</f>
        <v>1235335761</v>
      </c>
      <c r="E29098" t="s">
        <v>9471</v>
      </c>
    </row>
    <row r="29099" spans="1:5" x14ac:dyDescent="0.25">
      <c r="A29099" t="s">
        <v>9313</v>
      </c>
      <c r="B29099" t="s">
        <v>9314</v>
      </c>
      <c r="C29099" s="1" t="s">
        <v>23490</v>
      </c>
      <c r="D29099" s="1" t="str">
        <f>HYPERLINK("https://rhld.insurance.arkansas.gov/NPILookup?Npi=1235338971","1235338971")</f>
        <v>1235338971</v>
      </c>
      <c r="E29099" t="s">
        <v>12294</v>
      </c>
    </row>
    <row r="29100" spans="1:5" x14ac:dyDescent="0.25">
      <c r="A29100" t="s">
        <v>9313</v>
      </c>
      <c r="B29100" t="s">
        <v>9314</v>
      </c>
      <c r="C29100" s="1" t="s">
        <v>23490</v>
      </c>
      <c r="D29100" s="1" t="str">
        <f>HYPERLINK("https://rhld.insurance.arkansas.gov/NPILookup?Npi=1235385428","1235385428")</f>
        <v>1235385428</v>
      </c>
      <c r="E29100" t="s">
        <v>12295</v>
      </c>
    </row>
    <row r="29101" spans="1:5" x14ac:dyDescent="0.25">
      <c r="A29101" t="s">
        <v>9313</v>
      </c>
      <c r="B29101" t="s">
        <v>9314</v>
      </c>
      <c r="C29101" s="1" t="s">
        <v>23490</v>
      </c>
      <c r="D29101" s="1" t="str">
        <f>HYPERLINK("https://rhld.insurance.arkansas.gov/NPILookup?Npi=1235589961","1235589961")</f>
        <v>1235589961</v>
      </c>
      <c r="E29101" t="s">
        <v>17779</v>
      </c>
    </row>
    <row r="29102" spans="1:5" x14ac:dyDescent="0.25">
      <c r="A29102" t="s">
        <v>9313</v>
      </c>
      <c r="B29102" t="s">
        <v>9314</v>
      </c>
      <c r="C29102" s="1" t="s">
        <v>23490</v>
      </c>
      <c r="D29102" s="1" t="str">
        <f>HYPERLINK("https://rhld.insurance.arkansas.gov/NPILookup?Npi=1235743352","1235743352")</f>
        <v>1235743352</v>
      </c>
      <c r="E29102" t="s">
        <v>18578</v>
      </c>
    </row>
    <row r="29103" spans="1:5" x14ac:dyDescent="0.25">
      <c r="A29103" t="s">
        <v>9313</v>
      </c>
      <c r="B29103" t="s">
        <v>9314</v>
      </c>
      <c r="C29103" s="1" t="s">
        <v>23490</v>
      </c>
      <c r="D29103" s="1" t="str">
        <f>HYPERLINK("https://rhld.insurance.arkansas.gov/NPILookup?Npi=1245305721","1245305721")</f>
        <v>1245305721</v>
      </c>
      <c r="E29103" t="s">
        <v>1952</v>
      </c>
    </row>
    <row r="29104" spans="1:5" x14ac:dyDescent="0.25">
      <c r="A29104" t="s">
        <v>9313</v>
      </c>
      <c r="B29104" t="s">
        <v>9314</v>
      </c>
      <c r="C29104" s="1" t="s">
        <v>23490</v>
      </c>
      <c r="D29104" s="1" t="str">
        <f>HYPERLINK("https://rhld.insurance.arkansas.gov/NPILookup?Npi=1245306828","1245306828")</f>
        <v>1245306828</v>
      </c>
      <c r="E29104" t="s">
        <v>12296</v>
      </c>
    </row>
    <row r="29105" spans="1:5" x14ac:dyDescent="0.25">
      <c r="A29105" t="s">
        <v>9313</v>
      </c>
      <c r="B29105" t="s">
        <v>9314</v>
      </c>
      <c r="C29105" s="1" t="s">
        <v>23490</v>
      </c>
      <c r="D29105" s="1" t="str">
        <f>HYPERLINK("https://rhld.insurance.arkansas.gov/NPILookup?Npi=1245309160","1245309160")</f>
        <v>1245309160</v>
      </c>
      <c r="E29105" t="s">
        <v>9473</v>
      </c>
    </row>
    <row r="29106" spans="1:5" x14ac:dyDescent="0.25">
      <c r="A29106" t="s">
        <v>9313</v>
      </c>
      <c r="B29106" t="s">
        <v>9314</v>
      </c>
      <c r="C29106" s="1" t="s">
        <v>23490</v>
      </c>
      <c r="D29106" s="1" t="str">
        <f>HYPERLINK("https://rhld.insurance.arkansas.gov/NPILookup?Npi=1245329531","1245329531")</f>
        <v>1245329531</v>
      </c>
      <c r="E29106" t="s">
        <v>9474</v>
      </c>
    </row>
    <row r="29107" spans="1:5" x14ac:dyDescent="0.25">
      <c r="A29107" t="s">
        <v>9313</v>
      </c>
      <c r="B29107" t="s">
        <v>9314</v>
      </c>
      <c r="C29107" s="1" t="s">
        <v>23490</v>
      </c>
      <c r="D29107" s="1" t="str">
        <f>HYPERLINK("https://rhld.insurance.arkansas.gov/NPILookup?Npi=1245385285","1245385285")</f>
        <v>1245385285</v>
      </c>
      <c r="E29107" t="s">
        <v>9475</v>
      </c>
    </row>
    <row r="29108" spans="1:5" x14ac:dyDescent="0.25">
      <c r="A29108" t="s">
        <v>9313</v>
      </c>
      <c r="B29108" t="s">
        <v>9314</v>
      </c>
      <c r="C29108" s="1" t="s">
        <v>23490</v>
      </c>
      <c r="D29108" s="1" t="str">
        <f>HYPERLINK("https://rhld.insurance.arkansas.gov/NPILookup?Npi=1245392653","1245392653")</f>
        <v>1245392653</v>
      </c>
      <c r="E29108" t="s">
        <v>9476</v>
      </c>
    </row>
    <row r="29109" spans="1:5" x14ac:dyDescent="0.25">
      <c r="A29109" t="s">
        <v>9313</v>
      </c>
      <c r="B29109" t="s">
        <v>9314</v>
      </c>
      <c r="C29109" s="1" t="s">
        <v>23490</v>
      </c>
      <c r="D29109" s="1" t="str">
        <f>HYPERLINK("https://rhld.insurance.arkansas.gov/NPILookup?Npi=1245474402","1245474402")</f>
        <v>1245474402</v>
      </c>
      <c r="E29109" t="s">
        <v>14597</v>
      </c>
    </row>
    <row r="29110" spans="1:5" x14ac:dyDescent="0.25">
      <c r="A29110" t="s">
        <v>9313</v>
      </c>
      <c r="B29110" t="s">
        <v>9314</v>
      </c>
      <c r="C29110" s="1" t="s">
        <v>23490</v>
      </c>
      <c r="D29110" s="1" t="str">
        <f>HYPERLINK("https://rhld.insurance.arkansas.gov/NPILookup?Npi=1245488576","1245488576")</f>
        <v>1245488576</v>
      </c>
      <c r="E29110" t="s">
        <v>12297</v>
      </c>
    </row>
    <row r="29111" spans="1:5" x14ac:dyDescent="0.25">
      <c r="A29111" t="s">
        <v>9313</v>
      </c>
      <c r="B29111" t="s">
        <v>9314</v>
      </c>
      <c r="C29111" s="1" t="s">
        <v>23490</v>
      </c>
      <c r="D29111" s="1" t="str">
        <f>HYPERLINK("https://rhld.insurance.arkansas.gov/NPILookup?Npi=1245491547","1245491547")</f>
        <v>1245491547</v>
      </c>
      <c r="E29111" t="s">
        <v>12298</v>
      </c>
    </row>
    <row r="29112" spans="1:5" x14ac:dyDescent="0.25">
      <c r="A29112" t="s">
        <v>9313</v>
      </c>
      <c r="B29112" t="s">
        <v>9314</v>
      </c>
      <c r="C29112" s="1" t="s">
        <v>23490</v>
      </c>
      <c r="D29112" s="1" t="str">
        <f>HYPERLINK("https://rhld.insurance.arkansas.gov/NPILookup?Npi=1245634773","1245634773")</f>
        <v>1245634773</v>
      </c>
      <c r="E29112" t="s">
        <v>12299</v>
      </c>
    </row>
    <row r="29113" spans="1:5" x14ac:dyDescent="0.25">
      <c r="A29113" t="s">
        <v>9313</v>
      </c>
      <c r="B29113" t="s">
        <v>9314</v>
      </c>
      <c r="C29113" s="1" t="s">
        <v>23490</v>
      </c>
      <c r="D29113" s="1" t="str">
        <f>HYPERLINK("https://rhld.insurance.arkansas.gov/NPILookup?Npi=1245687177","1245687177")</f>
        <v>1245687177</v>
      </c>
      <c r="E29113" t="s">
        <v>12300</v>
      </c>
    </row>
    <row r="29114" spans="1:5" x14ac:dyDescent="0.25">
      <c r="A29114" t="s">
        <v>9313</v>
      </c>
      <c r="B29114" t="s">
        <v>9314</v>
      </c>
      <c r="C29114" s="1" t="s">
        <v>23490</v>
      </c>
      <c r="D29114" s="1" t="str">
        <f>HYPERLINK("https://rhld.insurance.arkansas.gov/NPILookup?Npi=1245978287","1245978287")</f>
        <v>1245978287</v>
      </c>
      <c r="E29114" t="s">
        <v>22764</v>
      </c>
    </row>
    <row r="29115" spans="1:5" x14ac:dyDescent="0.25">
      <c r="A29115" t="s">
        <v>9313</v>
      </c>
      <c r="B29115" t="s">
        <v>9314</v>
      </c>
      <c r="C29115" s="1" t="s">
        <v>8427</v>
      </c>
      <c r="D29115" s="1" t="str">
        <f>HYPERLINK("https://rhld.insurance.arkansas.gov/NPILookup?Npi=1255018883","1255018883")</f>
        <v>1255018883</v>
      </c>
      <c r="E29115" t="s">
        <v>23348</v>
      </c>
    </row>
    <row r="29116" spans="1:5" x14ac:dyDescent="0.25">
      <c r="A29116" t="s">
        <v>9313</v>
      </c>
      <c r="B29116" t="s">
        <v>9314</v>
      </c>
      <c r="C29116" s="1" t="s">
        <v>23490</v>
      </c>
      <c r="D29116" s="1" t="str">
        <f>HYPERLINK("https://rhld.insurance.arkansas.gov/NPILookup?Npi=1255342028","1255342028")</f>
        <v>1255342028</v>
      </c>
      <c r="E29116" t="s">
        <v>9478</v>
      </c>
    </row>
    <row r="29117" spans="1:5" x14ac:dyDescent="0.25">
      <c r="A29117" t="s">
        <v>9313</v>
      </c>
      <c r="B29117" t="s">
        <v>9314</v>
      </c>
      <c r="C29117" s="1" t="s">
        <v>23490</v>
      </c>
      <c r="D29117" s="1" t="str">
        <f>HYPERLINK("https://rhld.insurance.arkansas.gov/NPILookup?Npi=1255414884","1255414884")</f>
        <v>1255414884</v>
      </c>
      <c r="E29117" t="s">
        <v>9479</v>
      </c>
    </row>
    <row r="29118" spans="1:5" x14ac:dyDescent="0.25">
      <c r="A29118" t="s">
        <v>9313</v>
      </c>
      <c r="B29118" t="s">
        <v>9314</v>
      </c>
      <c r="C29118" s="1" t="s">
        <v>23490</v>
      </c>
      <c r="D29118" s="1" t="str">
        <f>HYPERLINK("https://rhld.insurance.arkansas.gov/NPILookup?Npi=1255415568","1255415568")</f>
        <v>1255415568</v>
      </c>
      <c r="E29118" t="s">
        <v>9480</v>
      </c>
    </row>
    <row r="29119" spans="1:5" x14ac:dyDescent="0.25">
      <c r="A29119" t="s">
        <v>9313</v>
      </c>
      <c r="B29119" t="s">
        <v>9314</v>
      </c>
      <c r="C29119" s="1" t="s">
        <v>23490</v>
      </c>
      <c r="D29119" s="1" t="str">
        <f>HYPERLINK("https://rhld.insurance.arkansas.gov/NPILookup?Npi=1255423059","1255423059")</f>
        <v>1255423059</v>
      </c>
      <c r="E29119" t="s">
        <v>9481</v>
      </c>
    </row>
    <row r="29120" spans="1:5" x14ac:dyDescent="0.25">
      <c r="A29120" t="s">
        <v>9313</v>
      </c>
      <c r="B29120" t="s">
        <v>9314</v>
      </c>
      <c r="C29120" s="1" t="s">
        <v>23490</v>
      </c>
      <c r="D29120" s="1" t="str">
        <f>HYPERLINK("https://rhld.insurance.arkansas.gov/NPILookup?Npi=1255439055","1255439055")</f>
        <v>1255439055</v>
      </c>
      <c r="E29120" t="s">
        <v>9482</v>
      </c>
    </row>
    <row r="29121" spans="1:5" x14ac:dyDescent="0.25">
      <c r="A29121" t="s">
        <v>9313</v>
      </c>
      <c r="B29121" t="s">
        <v>9314</v>
      </c>
      <c r="C29121" s="1" t="s">
        <v>23490</v>
      </c>
      <c r="D29121" s="1" t="str">
        <f>HYPERLINK("https://rhld.insurance.arkansas.gov/NPILookup?Npi=1255462925","1255462925")</f>
        <v>1255462925</v>
      </c>
      <c r="E29121" t="s">
        <v>17822</v>
      </c>
    </row>
    <row r="29122" spans="1:5" x14ac:dyDescent="0.25">
      <c r="A29122" t="s">
        <v>9313</v>
      </c>
      <c r="B29122" t="s">
        <v>9314</v>
      </c>
      <c r="C29122" s="1" t="s">
        <v>23490</v>
      </c>
      <c r="D29122" s="1" t="str">
        <f>HYPERLINK("https://rhld.insurance.arkansas.gov/NPILookup?Npi=1255497715","1255497715")</f>
        <v>1255497715</v>
      </c>
      <c r="E29122" t="s">
        <v>17780</v>
      </c>
    </row>
    <row r="29123" spans="1:5" x14ac:dyDescent="0.25">
      <c r="A29123" t="s">
        <v>9313</v>
      </c>
      <c r="B29123" t="s">
        <v>9314</v>
      </c>
      <c r="C29123" s="1" t="s">
        <v>23490</v>
      </c>
      <c r="D29123" s="1" t="str">
        <f>HYPERLINK("https://rhld.insurance.arkansas.gov/NPILookup?Npi=1255545554","1255545554")</f>
        <v>1255545554</v>
      </c>
      <c r="E29123" t="s">
        <v>12301</v>
      </c>
    </row>
    <row r="29124" spans="1:5" x14ac:dyDescent="0.25">
      <c r="A29124" t="s">
        <v>9313</v>
      </c>
      <c r="B29124" t="s">
        <v>9314</v>
      </c>
      <c r="C29124" s="1" t="s">
        <v>23490</v>
      </c>
      <c r="D29124" s="1" t="str">
        <f>HYPERLINK("https://rhld.insurance.arkansas.gov/NPILookup?Npi=1255662680","1255662680")</f>
        <v>1255662680</v>
      </c>
      <c r="E29124" t="s">
        <v>9483</v>
      </c>
    </row>
    <row r="29125" spans="1:5" x14ac:dyDescent="0.25">
      <c r="A29125" t="s">
        <v>9313</v>
      </c>
      <c r="B29125" t="s">
        <v>9314</v>
      </c>
      <c r="C29125" s="1" t="s">
        <v>23490</v>
      </c>
      <c r="D29125" s="1" t="str">
        <f>HYPERLINK("https://rhld.insurance.arkansas.gov/NPILookup?Npi=1255693875","1255693875")</f>
        <v>1255693875</v>
      </c>
      <c r="E29125" t="s">
        <v>12302</v>
      </c>
    </row>
    <row r="29126" spans="1:5" x14ac:dyDescent="0.25">
      <c r="A29126" t="s">
        <v>9313</v>
      </c>
      <c r="B29126" t="s">
        <v>9314</v>
      </c>
      <c r="C29126" s="1" t="s">
        <v>23490</v>
      </c>
      <c r="D29126" s="1" t="str">
        <f>HYPERLINK("https://rhld.insurance.arkansas.gov/NPILookup?Npi=1255746806","1255746806")</f>
        <v>1255746806</v>
      </c>
      <c r="E29126" t="s">
        <v>20809</v>
      </c>
    </row>
    <row r="29127" spans="1:5" x14ac:dyDescent="0.25">
      <c r="A29127" t="s">
        <v>9313</v>
      </c>
      <c r="B29127" t="s">
        <v>9314</v>
      </c>
      <c r="C29127" s="1" t="s">
        <v>23490</v>
      </c>
      <c r="D29127" s="1" t="str">
        <f>HYPERLINK("https://rhld.insurance.arkansas.gov/NPILookup?Npi=1255782108","1255782108")</f>
        <v>1255782108</v>
      </c>
      <c r="E29127" t="s">
        <v>12303</v>
      </c>
    </row>
    <row r="29128" spans="1:5" x14ac:dyDescent="0.25">
      <c r="A29128" t="s">
        <v>9313</v>
      </c>
      <c r="B29128" t="s">
        <v>9314</v>
      </c>
      <c r="C29128" s="1" t="s">
        <v>23490</v>
      </c>
      <c r="D29128" s="1" t="str">
        <f>HYPERLINK("https://rhld.insurance.arkansas.gov/NPILookup?Npi=1255851846","1255851846")</f>
        <v>1255851846</v>
      </c>
      <c r="E29128" t="s">
        <v>12304</v>
      </c>
    </row>
    <row r="29129" spans="1:5" x14ac:dyDescent="0.25">
      <c r="A29129" t="s">
        <v>9313</v>
      </c>
      <c r="B29129" t="s">
        <v>9314</v>
      </c>
      <c r="C29129" s="1" t="s">
        <v>23490</v>
      </c>
      <c r="D29129" s="1" t="str">
        <f>HYPERLINK("https://rhld.insurance.arkansas.gov/NPILookup?Npi=1255991832","1255991832")</f>
        <v>1255991832</v>
      </c>
      <c r="E29129" t="s">
        <v>16789</v>
      </c>
    </row>
    <row r="29130" spans="1:5" x14ac:dyDescent="0.25">
      <c r="A29130" t="s">
        <v>9313</v>
      </c>
      <c r="B29130" t="s">
        <v>9314</v>
      </c>
      <c r="C29130" s="1" t="s">
        <v>23490</v>
      </c>
      <c r="D29130" s="1" t="str">
        <f>HYPERLINK("https://rhld.insurance.arkansas.gov/NPILookup?Npi=1265001382","1265001382")</f>
        <v>1265001382</v>
      </c>
      <c r="E29130" t="s">
        <v>20810</v>
      </c>
    </row>
    <row r="29131" spans="1:5" x14ac:dyDescent="0.25">
      <c r="A29131" t="s">
        <v>9313</v>
      </c>
      <c r="B29131" t="s">
        <v>9314</v>
      </c>
      <c r="C29131" s="1" t="s">
        <v>23490</v>
      </c>
      <c r="D29131" s="1" t="str">
        <f>HYPERLINK("https://rhld.insurance.arkansas.gov/NPILookup?Npi=1265001606","1265001606")</f>
        <v>1265001606</v>
      </c>
      <c r="E29131" t="s">
        <v>19190</v>
      </c>
    </row>
    <row r="29132" spans="1:5" x14ac:dyDescent="0.25">
      <c r="A29132" t="s">
        <v>9313</v>
      </c>
      <c r="B29132" t="s">
        <v>9314</v>
      </c>
      <c r="C29132" s="1" t="s">
        <v>23490</v>
      </c>
      <c r="D29132" s="1" t="str">
        <f>HYPERLINK("https://rhld.insurance.arkansas.gov/NPILookup?Npi=1265448070","1265448070")</f>
        <v>1265448070</v>
      </c>
      <c r="E29132" t="s">
        <v>9484</v>
      </c>
    </row>
    <row r="29133" spans="1:5" x14ac:dyDescent="0.25">
      <c r="A29133" t="s">
        <v>9313</v>
      </c>
      <c r="B29133" t="s">
        <v>9314</v>
      </c>
      <c r="C29133" s="1" t="s">
        <v>23490</v>
      </c>
      <c r="D29133" s="1" t="str">
        <f>HYPERLINK("https://rhld.insurance.arkansas.gov/NPILookup?Npi=1265448484","1265448484")</f>
        <v>1265448484</v>
      </c>
      <c r="E29133" t="s">
        <v>9485</v>
      </c>
    </row>
    <row r="29134" spans="1:5" x14ac:dyDescent="0.25">
      <c r="A29134" t="s">
        <v>9313</v>
      </c>
      <c r="B29134" t="s">
        <v>9314</v>
      </c>
      <c r="C29134" s="1" t="s">
        <v>23490</v>
      </c>
      <c r="D29134" s="1" t="str">
        <f>HYPERLINK("https://rhld.insurance.arkansas.gov/NPILookup?Npi=1265517684","1265517684")</f>
        <v>1265517684</v>
      </c>
      <c r="E29134" t="s">
        <v>12305</v>
      </c>
    </row>
    <row r="29135" spans="1:5" x14ac:dyDescent="0.25">
      <c r="A29135" t="s">
        <v>9313</v>
      </c>
      <c r="B29135" t="s">
        <v>9314</v>
      </c>
      <c r="C29135" s="1" t="s">
        <v>23490</v>
      </c>
      <c r="D29135" s="1" t="str">
        <f>HYPERLINK("https://rhld.insurance.arkansas.gov/NPILookup?Npi=1265536452","1265536452")</f>
        <v>1265536452</v>
      </c>
      <c r="E29135" t="s">
        <v>19191</v>
      </c>
    </row>
    <row r="29136" spans="1:5" x14ac:dyDescent="0.25">
      <c r="A29136" t="s">
        <v>9313</v>
      </c>
      <c r="B29136" t="s">
        <v>9314</v>
      </c>
      <c r="C29136" s="1" t="s">
        <v>23490</v>
      </c>
      <c r="D29136" s="1" t="str">
        <f>HYPERLINK("https://rhld.insurance.arkansas.gov/NPILookup?Npi=1265549802","1265549802")</f>
        <v>1265549802</v>
      </c>
      <c r="E29136" t="s">
        <v>9486</v>
      </c>
    </row>
    <row r="29137" spans="1:5" x14ac:dyDescent="0.25">
      <c r="A29137" t="s">
        <v>9313</v>
      </c>
      <c r="B29137" t="s">
        <v>9314</v>
      </c>
      <c r="C29137" s="1" t="s">
        <v>23490</v>
      </c>
      <c r="D29137" s="1" t="str">
        <f>HYPERLINK("https://rhld.insurance.arkansas.gov/NPILookup?Npi=1265557425","1265557425")</f>
        <v>1265557425</v>
      </c>
      <c r="E29137" t="s">
        <v>12306</v>
      </c>
    </row>
    <row r="29138" spans="1:5" x14ac:dyDescent="0.25">
      <c r="A29138" t="s">
        <v>9313</v>
      </c>
      <c r="B29138" t="s">
        <v>9314</v>
      </c>
      <c r="C29138" s="1" t="s">
        <v>23490</v>
      </c>
      <c r="D29138" s="1" t="str">
        <f>HYPERLINK("https://rhld.insurance.arkansas.gov/NPILookup?Npi=1265567366","1265567366")</f>
        <v>1265567366</v>
      </c>
      <c r="E29138" t="s">
        <v>9487</v>
      </c>
    </row>
    <row r="29139" spans="1:5" x14ac:dyDescent="0.25">
      <c r="A29139" t="s">
        <v>9313</v>
      </c>
      <c r="B29139" t="s">
        <v>9314</v>
      </c>
      <c r="C29139" s="1" t="s">
        <v>23490</v>
      </c>
      <c r="D29139" s="1" t="str">
        <f>HYPERLINK("https://rhld.insurance.arkansas.gov/NPILookup?Npi=1265569750","1265569750")</f>
        <v>1265569750</v>
      </c>
      <c r="E29139" t="s">
        <v>9488</v>
      </c>
    </row>
    <row r="29140" spans="1:5" x14ac:dyDescent="0.25">
      <c r="A29140" t="s">
        <v>9313</v>
      </c>
      <c r="B29140" t="s">
        <v>9314</v>
      </c>
      <c r="C29140" s="1" t="s">
        <v>23490</v>
      </c>
      <c r="D29140" s="1" t="str">
        <f>HYPERLINK("https://rhld.insurance.arkansas.gov/NPILookup?Npi=1265620603","1265620603")</f>
        <v>1265620603</v>
      </c>
      <c r="E29140" t="s">
        <v>9489</v>
      </c>
    </row>
    <row r="29141" spans="1:5" x14ac:dyDescent="0.25">
      <c r="A29141" t="s">
        <v>9313</v>
      </c>
      <c r="B29141" t="s">
        <v>9314</v>
      </c>
      <c r="C29141" s="1" t="s">
        <v>23490</v>
      </c>
      <c r="D29141" s="1" t="str">
        <f>HYPERLINK("https://rhld.insurance.arkansas.gov/NPILookup?Npi=1265729644","1265729644")</f>
        <v>1265729644</v>
      </c>
      <c r="E29141" t="s">
        <v>9491</v>
      </c>
    </row>
    <row r="29142" spans="1:5" x14ac:dyDescent="0.25">
      <c r="A29142" t="s">
        <v>9313</v>
      </c>
      <c r="B29142" t="s">
        <v>9314</v>
      </c>
      <c r="C29142" s="1" t="s">
        <v>23490</v>
      </c>
      <c r="D29142" s="1" t="str">
        <f>HYPERLINK("https://rhld.insurance.arkansas.gov/NPILookup?Npi=1265729735","1265729735")</f>
        <v>1265729735</v>
      </c>
      <c r="E29142" t="s">
        <v>9492</v>
      </c>
    </row>
    <row r="29143" spans="1:5" x14ac:dyDescent="0.25">
      <c r="A29143" t="s">
        <v>9313</v>
      </c>
      <c r="B29143" t="s">
        <v>9314</v>
      </c>
      <c r="C29143" s="1" t="s">
        <v>23490</v>
      </c>
      <c r="D29143" s="1" t="str">
        <f>HYPERLINK("https://rhld.insurance.arkansas.gov/NPILookup?Npi=1265793228","1265793228")</f>
        <v>1265793228</v>
      </c>
      <c r="E29143" t="s">
        <v>12307</v>
      </c>
    </row>
    <row r="29144" spans="1:5" x14ac:dyDescent="0.25">
      <c r="A29144" t="s">
        <v>9313</v>
      </c>
      <c r="B29144" t="s">
        <v>9314</v>
      </c>
      <c r="C29144" s="1" t="s">
        <v>23490</v>
      </c>
      <c r="D29144" s="1" t="str">
        <f>HYPERLINK("https://rhld.insurance.arkansas.gov/NPILookup?Npi=1265808349","1265808349")</f>
        <v>1265808349</v>
      </c>
      <c r="E29144" t="s">
        <v>12309</v>
      </c>
    </row>
    <row r="29145" spans="1:5" x14ac:dyDescent="0.25">
      <c r="A29145" t="s">
        <v>9313</v>
      </c>
      <c r="B29145" t="s">
        <v>9314</v>
      </c>
      <c r="C29145" s="1" t="s">
        <v>23490</v>
      </c>
      <c r="D29145" s="1" t="str">
        <f>HYPERLINK("https://rhld.insurance.arkansas.gov/NPILookup?Npi=1265812911","1265812911")</f>
        <v>1265812911</v>
      </c>
      <c r="E29145" t="s">
        <v>1955</v>
      </c>
    </row>
    <row r="29146" spans="1:5" x14ac:dyDescent="0.25">
      <c r="A29146" t="s">
        <v>9313</v>
      </c>
      <c r="B29146" t="s">
        <v>9314</v>
      </c>
      <c r="C29146" s="1" t="s">
        <v>23490</v>
      </c>
      <c r="D29146" s="1" t="str">
        <f>HYPERLINK("https://rhld.insurance.arkansas.gov/NPILookup?Npi=1275056640","1275056640")</f>
        <v>1275056640</v>
      </c>
      <c r="E29146" t="s">
        <v>14598</v>
      </c>
    </row>
    <row r="29147" spans="1:5" x14ac:dyDescent="0.25">
      <c r="A29147" t="s">
        <v>9313</v>
      </c>
      <c r="B29147" t="s">
        <v>9314</v>
      </c>
      <c r="C29147" s="1" t="s">
        <v>23490</v>
      </c>
      <c r="D29147" s="1" t="str">
        <f>HYPERLINK("https://rhld.insurance.arkansas.gov/NPILookup?Npi=1275161432","1275161432")</f>
        <v>1275161432</v>
      </c>
      <c r="E29147" t="s">
        <v>18580</v>
      </c>
    </row>
    <row r="29148" spans="1:5" x14ac:dyDescent="0.25">
      <c r="A29148" t="s">
        <v>9313</v>
      </c>
      <c r="B29148" t="s">
        <v>9314</v>
      </c>
      <c r="C29148" s="1" t="s">
        <v>8427</v>
      </c>
      <c r="D29148" s="1" t="str">
        <f>HYPERLINK("https://rhld.insurance.arkansas.gov/NPILookup?Npi=1275233785","1275233785")</f>
        <v>1275233785</v>
      </c>
      <c r="E29148" t="s">
        <v>23349</v>
      </c>
    </row>
    <row r="29149" spans="1:5" x14ac:dyDescent="0.25">
      <c r="A29149" t="s">
        <v>9313</v>
      </c>
      <c r="B29149" t="s">
        <v>9314</v>
      </c>
      <c r="C29149" s="1" t="s">
        <v>8427</v>
      </c>
      <c r="D29149" s="1" t="str">
        <f>HYPERLINK("https://rhld.insurance.arkansas.gov/NPILookup?Npi=1275559577","1275559577")</f>
        <v>1275559577</v>
      </c>
      <c r="E29149" t="s">
        <v>23350</v>
      </c>
    </row>
    <row r="29150" spans="1:5" x14ac:dyDescent="0.25">
      <c r="A29150" t="s">
        <v>9313</v>
      </c>
      <c r="B29150" t="s">
        <v>9314</v>
      </c>
      <c r="C29150" s="1" t="s">
        <v>8427</v>
      </c>
      <c r="D29150" s="1" t="str">
        <f>HYPERLINK("https://rhld.insurance.arkansas.gov/NPILookup?Npi=1275573917","1275573917")</f>
        <v>1275573917</v>
      </c>
      <c r="E29150" t="s">
        <v>23351</v>
      </c>
    </row>
    <row r="29151" spans="1:5" x14ac:dyDescent="0.25">
      <c r="A29151" t="s">
        <v>9313</v>
      </c>
      <c r="B29151" t="s">
        <v>9314</v>
      </c>
      <c r="C29151" s="1" t="s">
        <v>23490</v>
      </c>
      <c r="D29151" s="1" t="str">
        <f>HYPERLINK("https://rhld.insurance.arkansas.gov/NPILookup?Npi=1275602716","1275602716")</f>
        <v>1275602716</v>
      </c>
      <c r="E29151" t="s">
        <v>12310</v>
      </c>
    </row>
    <row r="29152" spans="1:5" x14ac:dyDescent="0.25">
      <c r="A29152" t="s">
        <v>9313</v>
      </c>
      <c r="B29152" t="s">
        <v>9314</v>
      </c>
      <c r="C29152" s="1" t="s">
        <v>23490</v>
      </c>
      <c r="D29152" s="1" t="str">
        <f>HYPERLINK("https://rhld.insurance.arkansas.gov/NPILookup?Npi=1275611428","1275611428")</f>
        <v>1275611428</v>
      </c>
      <c r="E29152" t="s">
        <v>12311</v>
      </c>
    </row>
    <row r="29153" spans="1:5" x14ac:dyDescent="0.25">
      <c r="A29153" t="s">
        <v>9313</v>
      </c>
      <c r="B29153" t="s">
        <v>9314</v>
      </c>
      <c r="C29153" s="1" t="s">
        <v>23490</v>
      </c>
      <c r="D29153" s="1" t="str">
        <f>HYPERLINK("https://rhld.insurance.arkansas.gov/NPILookup?Npi=1275619405","1275619405")</f>
        <v>1275619405</v>
      </c>
      <c r="E29153" t="s">
        <v>12312</v>
      </c>
    </row>
    <row r="29154" spans="1:5" x14ac:dyDescent="0.25">
      <c r="A29154" t="s">
        <v>9313</v>
      </c>
      <c r="B29154" t="s">
        <v>9314</v>
      </c>
      <c r="C29154" s="1" t="s">
        <v>23490</v>
      </c>
      <c r="D29154" s="1" t="str">
        <f>HYPERLINK("https://rhld.insurance.arkansas.gov/NPILookup?Npi=1275636417","1275636417")</f>
        <v>1275636417</v>
      </c>
      <c r="E29154" t="s">
        <v>9493</v>
      </c>
    </row>
    <row r="29155" spans="1:5" x14ac:dyDescent="0.25">
      <c r="A29155" t="s">
        <v>9313</v>
      </c>
      <c r="B29155" t="s">
        <v>9314</v>
      </c>
      <c r="C29155" s="1" t="s">
        <v>23490</v>
      </c>
      <c r="D29155" s="1" t="str">
        <f>HYPERLINK("https://rhld.insurance.arkansas.gov/NPILookup?Npi=1275695207","1275695207")</f>
        <v>1275695207</v>
      </c>
      <c r="E29155" t="s">
        <v>3003</v>
      </c>
    </row>
    <row r="29156" spans="1:5" x14ac:dyDescent="0.25">
      <c r="A29156" t="s">
        <v>9313</v>
      </c>
      <c r="B29156" t="s">
        <v>9314</v>
      </c>
      <c r="C29156" s="1" t="s">
        <v>23490</v>
      </c>
      <c r="D29156" s="1" t="str">
        <f>HYPERLINK("https://rhld.insurance.arkansas.gov/NPILookup?Npi=1275697203","1275697203")</f>
        <v>1275697203</v>
      </c>
      <c r="E29156" t="s">
        <v>12313</v>
      </c>
    </row>
    <row r="29157" spans="1:5" x14ac:dyDescent="0.25">
      <c r="A29157" t="s">
        <v>9313</v>
      </c>
      <c r="B29157" t="s">
        <v>9314</v>
      </c>
      <c r="C29157" s="1" t="s">
        <v>23490</v>
      </c>
      <c r="D29157" s="1" t="str">
        <f>HYPERLINK("https://rhld.insurance.arkansas.gov/NPILookup?Npi=1275793390","1275793390")</f>
        <v>1275793390</v>
      </c>
      <c r="E29157" t="s">
        <v>9494</v>
      </c>
    </row>
    <row r="29158" spans="1:5" x14ac:dyDescent="0.25">
      <c r="A29158" t="s">
        <v>9313</v>
      </c>
      <c r="B29158" t="s">
        <v>9314</v>
      </c>
      <c r="C29158" s="1" t="s">
        <v>23490</v>
      </c>
      <c r="D29158" s="1" t="str">
        <f>HYPERLINK("https://rhld.insurance.arkansas.gov/NPILookup?Npi=1275973067","1275973067")</f>
        <v>1275973067</v>
      </c>
      <c r="E29158" t="s">
        <v>12315</v>
      </c>
    </row>
    <row r="29159" spans="1:5" x14ac:dyDescent="0.25">
      <c r="A29159" t="s">
        <v>9313</v>
      </c>
      <c r="B29159" t="s">
        <v>9314</v>
      </c>
      <c r="C29159" s="1" t="s">
        <v>23490</v>
      </c>
      <c r="D29159" s="1" t="str">
        <f>HYPERLINK("https://rhld.insurance.arkansas.gov/NPILookup?Npi=1285073635","1285073635")</f>
        <v>1285073635</v>
      </c>
      <c r="E29159" t="s">
        <v>9495</v>
      </c>
    </row>
    <row r="29160" spans="1:5" x14ac:dyDescent="0.25">
      <c r="A29160" t="s">
        <v>9313</v>
      </c>
      <c r="B29160" t="s">
        <v>9314</v>
      </c>
      <c r="C29160" s="1" t="s">
        <v>23490</v>
      </c>
      <c r="D29160" s="1" t="str">
        <f>HYPERLINK("https://rhld.insurance.arkansas.gov/NPILookup?Npi=1285636027","1285636027")</f>
        <v>1285636027</v>
      </c>
      <c r="E29160" t="s">
        <v>9496</v>
      </c>
    </row>
    <row r="29161" spans="1:5" x14ac:dyDescent="0.25">
      <c r="A29161" t="s">
        <v>9313</v>
      </c>
      <c r="B29161" t="s">
        <v>9314</v>
      </c>
      <c r="C29161" s="1" t="s">
        <v>23490</v>
      </c>
      <c r="D29161" s="1" t="str">
        <f>HYPERLINK("https://rhld.insurance.arkansas.gov/NPILookup?Npi=1285642819","1285642819")</f>
        <v>1285642819</v>
      </c>
      <c r="E29161" t="s">
        <v>9497</v>
      </c>
    </row>
    <row r="29162" spans="1:5" x14ac:dyDescent="0.25">
      <c r="A29162" t="s">
        <v>9313</v>
      </c>
      <c r="B29162" t="s">
        <v>9314</v>
      </c>
      <c r="C29162" s="1" t="s">
        <v>23490</v>
      </c>
      <c r="D29162" s="1" t="str">
        <f>HYPERLINK("https://rhld.insurance.arkansas.gov/NPILookup?Npi=1285704361","1285704361")</f>
        <v>1285704361</v>
      </c>
      <c r="E29162" t="s">
        <v>12316</v>
      </c>
    </row>
    <row r="29163" spans="1:5" x14ac:dyDescent="0.25">
      <c r="A29163" t="s">
        <v>9313</v>
      </c>
      <c r="B29163" t="s">
        <v>9314</v>
      </c>
      <c r="C29163" s="1" t="s">
        <v>23490</v>
      </c>
      <c r="D29163" s="1" t="str">
        <f>HYPERLINK("https://rhld.insurance.arkansas.gov/NPILookup?Npi=1285711234","1285711234")</f>
        <v>1285711234</v>
      </c>
      <c r="E29163" t="s">
        <v>12317</v>
      </c>
    </row>
    <row r="29164" spans="1:5" x14ac:dyDescent="0.25">
      <c r="A29164" t="s">
        <v>9313</v>
      </c>
      <c r="B29164" t="s">
        <v>9314</v>
      </c>
      <c r="C29164" s="1" t="s">
        <v>23490</v>
      </c>
      <c r="D29164" s="1" t="str">
        <f>HYPERLINK("https://rhld.insurance.arkansas.gov/NPILookup?Npi=1285729194","1285729194")</f>
        <v>1285729194</v>
      </c>
      <c r="E29164" t="s">
        <v>9498</v>
      </c>
    </row>
    <row r="29165" spans="1:5" x14ac:dyDescent="0.25">
      <c r="A29165" t="s">
        <v>9313</v>
      </c>
      <c r="B29165" t="s">
        <v>9314</v>
      </c>
      <c r="C29165" s="1" t="s">
        <v>23490</v>
      </c>
      <c r="D29165" s="1" t="str">
        <f>HYPERLINK("https://rhld.insurance.arkansas.gov/NPILookup?Npi=1285734640","1285734640")</f>
        <v>1285734640</v>
      </c>
      <c r="E29165" t="s">
        <v>12318</v>
      </c>
    </row>
    <row r="29166" spans="1:5" x14ac:dyDescent="0.25">
      <c r="A29166" t="s">
        <v>9313</v>
      </c>
      <c r="B29166" t="s">
        <v>9314</v>
      </c>
      <c r="C29166" s="1" t="s">
        <v>23490</v>
      </c>
      <c r="D29166" s="1" t="str">
        <f>HYPERLINK("https://rhld.insurance.arkansas.gov/NPILookup?Npi=1285735704","1285735704")</f>
        <v>1285735704</v>
      </c>
      <c r="E29166" t="s">
        <v>9499</v>
      </c>
    </row>
    <row r="29167" spans="1:5" x14ac:dyDescent="0.25">
      <c r="A29167" t="s">
        <v>9313</v>
      </c>
      <c r="B29167" t="s">
        <v>9314</v>
      </c>
      <c r="C29167" s="1" t="s">
        <v>23490</v>
      </c>
      <c r="D29167" s="1" t="str">
        <f>HYPERLINK("https://rhld.insurance.arkansas.gov/NPILookup?Npi=1285808360","1285808360")</f>
        <v>1285808360</v>
      </c>
      <c r="E29167" t="s">
        <v>12319</v>
      </c>
    </row>
    <row r="29168" spans="1:5" x14ac:dyDescent="0.25">
      <c r="A29168" t="s">
        <v>9313</v>
      </c>
      <c r="B29168" t="s">
        <v>9314</v>
      </c>
      <c r="C29168" s="1" t="s">
        <v>23490</v>
      </c>
      <c r="D29168" s="1" t="str">
        <f>HYPERLINK("https://rhld.insurance.arkansas.gov/NPILookup?Npi=1285848697","1285848697")</f>
        <v>1285848697</v>
      </c>
      <c r="E29168" t="s">
        <v>9500</v>
      </c>
    </row>
    <row r="29169" spans="1:5" x14ac:dyDescent="0.25">
      <c r="A29169" t="s">
        <v>9313</v>
      </c>
      <c r="B29169" t="s">
        <v>9314</v>
      </c>
      <c r="C29169" s="1" t="s">
        <v>23490</v>
      </c>
      <c r="D29169" s="1" t="str">
        <f>HYPERLINK("https://rhld.insurance.arkansas.gov/NPILookup?Npi=1295029056","1295029056")</f>
        <v>1295029056</v>
      </c>
      <c r="E29169" t="s">
        <v>16790</v>
      </c>
    </row>
    <row r="29170" spans="1:5" x14ac:dyDescent="0.25">
      <c r="A29170" t="s">
        <v>9313</v>
      </c>
      <c r="B29170" t="s">
        <v>9314</v>
      </c>
      <c r="C29170" s="1" t="s">
        <v>23490</v>
      </c>
      <c r="D29170" s="1" t="str">
        <f>HYPERLINK("https://rhld.insurance.arkansas.gov/NPILookup?Npi=1295099224","1295099224")</f>
        <v>1295099224</v>
      </c>
      <c r="E29170" t="s">
        <v>12322</v>
      </c>
    </row>
    <row r="29171" spans="1:5" x14ac:dyDescent="0.25">
      <c r="A29171" t="s">
        <v>9313</v>
      </c>
      <c r="B29171" t="s">
        <v>9314</v>
      </c>
      <c r="C29171" s="1" t="s">
        <v>23490</v>
      </c>
      <c r="D29171" s="1" t="str">
        <f>HYPERLINK("https://rhld.insurance.arkansas.gov/NPILookup?Npi=1295121341","1295121341")</f>
        <v>1295121341</v>
      </c>
      <c r="E29171" t="s">
        <v>20811</v>
      </c>
    </row>
    <row r="29172" spans="1:5" x14ac:dyDescent="0.25">
      <c r="A29172" t="s">
        <v>9313</v>
      </c>
      <c r="B29172" t="s">
        <v>9314</v>
      </c>
      <c r="C29172" s="1" t="s">
        <v>23490</v>
      </c>
      <c r="D29172" s="1" t="str">
        <f>HYPERLINK("https://rhld.insurance.arkansas.gov/NPILookup?Npi=1295178119","1295178119")</f>
        <v>1295178119</v>
      </c>
      <c r="E29172" t="s">
        <v>9501</v>
      </c>
    </row>
    <row r="29173" spans="1:5" x14ac:dyDescent="0.25">
      <c r="A29173" t="s">
        <v>9313</v>
      </c>
      <c r="B29173" t="s">
        <v>9314</v>
      </c>
      <c r="C29173" s="1" t="s">
        <v>23490</v>
      </c>
      <c r="D29173" s="1" t="str">
        <f>HYPERLINK("https://rhld.insurance.arkansas.gov/NPILookup?Npi=1295184026","1295184026")</f>
        <v>1295184026</v>
      </c>
      <c r="E29173" t="s">
        <v>12323</v>
      </c>
    </row>
    <row r="29174" spans="1:5" x14ac:dyDescent="0.25">
      <c r="A29174" t="s">
        <v>9313</v>
      </c>
      <c r="B29174" t="s">
        <v>9314</v>
      </c>
      <c r="C29174" s="1" t="s">
        <v>23490</v>
      </c>
      <c r="D29174" s="1" t="str">
        <f>HYPERLINK("https://rhld.insurance.arkansas.gov/NPILookup?Npi=1295184448","1295184448")</f>
        <v>1295184448</v>
      </c>
      <c r="E29174" t="s">
        <v>12324</v>
      </c>
    </row>
    <row r="29175" spans="1:5" x14ac:dyDescent="0.25">
      <c r="A29175" t="s">
        <v>9313</v>
      </c>
      <c r="B29175" t="s">
        <v>9314</v>
      </c>
      <c r="C29175" s="1" t="s">
        <v>23490</v>
      </c>
      <c r="D29175" s="1" t="str">
        <f>HYPERLINK("https://rhld.insurance.arkansas.gov/NPILookup?Npi=1295226959","1295226959")</f>
        <v>1295226959</v>
      </c>
      <c r="E29175" t="s">
        <v>18581</v>
      </c>
    </row>
    <row r="29176" spans="1:5" x14ac:dyDescent="0.25">
      <c r="A29176" t="s">
        <v>9313</v>
      </c>
      <c r="B29176" t="s">
        <v>9314</v>
      </c>
      <c r="C29176" s="1" t="s">
        <v>23490</v>
      </c>
      <c r="D29176" s="1" t="str">
        <f>HYPERLINK("https://rhld.insurance.arkansas.gov/NPILookup?Npi=1295430304","1295430304")</f>
        <v>1295430304</v>
      </c>
      <c r="E29176" t="s">
        <v>23352</v>
      </c>
    </row>
    <row r="29177" spans="1:5" x14ac:dyDescent="0.25">
      <c r="A29177" t="s">
        <v>9313</v>
      </c>
      <c r="B29177" t="s">
        <v>9314</v>
      </c>
      <c r="C29177" s="1" t="s">
        <v>23490</v>
      </c>
      <c r="D29177" s="1" t="str">
        <f>HYPERLINK("https://rhld.insurance.arkansas.gov/NPILookup?Npi=1295702207","1295702207")</f>
        <v>1295702207</v>
      </c>
      <c r="E29177" t="s">
        <v>9502</v>
      </c>
    </row>
    <row r="29178" spans="1:5" x14ac:dyDescent="0.25">
      <c r="A29178" t="s">
        <v>9313</v>
      </c>
      <c r="B29178" t="s">
        <v>9314</v>
      </c>
      <c r="C29178" s="1" t="s">
        <v>23490</v>
      </c>
      <c r="D29178" s="1" t="str">
        <f>HYPERLINK("https://rhld.insurance.arkansas.gov/NPILookup?Npi=1295719532","1295719532")</f>
        <v>1295719532</v>
      </c>
      <c r="E29178" t="s">
        <v>9503</v>
      </c>
    </row>
    <row r="29179" spans="1:5" x14ac:dyDescent="0.25">
      <c r="A29179" t="s">
        <v>9313</v>
      </c>
      <c r="B29179" t="s">
        <v>9314</v>
      </c>
      <c r="C29179" s="1" t="s">
        <v>23490</v>
      </c>
      <c r="D29179" s="1" t="str">
        <f>HYPERLINK("https://rhld.insurance.arkansas.gov/NPILookup?Npi=1295806768","1295806768")</f>
        <v>1295806768</v>
      </c>
      <c r="E29179" t="s">
        <v>9504</v>
      </c>
    </row>
    <row r="29180" spans="1:5" x14ac:dyDescent="0.25">
      <c r="A29180" t="s">
        <v>9313</v>
      </c>
      <c r="B29180" t="s">
        <v>9314</v>
      </c>
      <c r="C29180" s="1" t="s">
        <v>23490</v>
      </c>
      <c r="D29180" s="1" t="str">
        <f>HYPERLINK("https://rhld.insurance.arkansas.gov/NPILookup?Npi=1295845139","1295845139")</f>
        <v>1295845139</v>
      </c>
      <c r="E29180" t="s">
        <v>9505</v>
      </c>
    </row>
    <row r="29181" spans="1:5" x14ac:dyDescent="0.25">
      <c r="A29181" t="s">
        <v>9313</v>
      </c>
      <c r="B29181" t="s">
        <v>9314</v>
      </c>
      <c r="C29181" s="1" t="s">
        <v>23490</v>
      </c>
      <c r="D29181" s="1" t="str">
        <f>HYPERLINK("https://rhld.insurance.arkansas.gov/NPILookup?Npi=1295854917","1295854917")</f>
        <v>1295854917</v>
      </c>
      <c r="E29181" t="s">
        <v>12325</v>
      </c>
    </row>
    <row r="29182" spans="1:5" x14ac:dyDescent="0.25">
      <c r="A29182" t="s">
        <v>9313</v>
      </c>
      <c r="B29182" t="s">
        <v>9314</v>
      </c>
      <c r="C29182" s="1" t="s">
        <v>23490</v>
      </c>
      <c r="D29182" s="1" t="str">
        <f>HYPERLINK("https://rhld.insurance.arkansas.gov/NPILookup?Npi=1295865269","1295865269")</f>
        <v>1295865269</v>
      </c>
      <c r="E29182" t="s">
        <v>12326</v>
      </c>
    </row>
    <row r="29183" spans="1:5" x14ac:dyDescent="0.25">
      <c r="A29183" t="s">
        <v>9313</v>
      </c>
      <c r="B29183" t="s">
        <v>9314</v>
      </c>
      <c r="C29183" s="1" t="s">
        <v>23490</v>
      </c>
      <c r="D29183" s="1" t="str">
        <f>HYPERLINK("https://rhld.insurance.arkansas.gov/NPILookup?Npi=1295883411","1295883411")</f>
        <v>1295883411</v>
      </c>
      <c r="E29183" t="s">
        <v>9506</v>
      </c>
    </row>
    <row r="29184" spans="1:5" x14ac:dyDescent="0.25">
      <c r="A29184" t="s">
        <v>9313</v>
      </c>
      <c r="B29184" t="s">
        <v>9314</v>
      </c>
      <c r="C29184" s="1" t="s">
        <v>23490</v>
      </c>
      <c r="D29184" s="1" t="str">
        <f>HYPERLINK("https://rhld.insurance.arkansas.gov/NPILookup?Npi=1295963726","1295963726")</f>
        <v>1295963726</v>
      </c>
      <c r="E29184" t="s">
        <v>9507</v>
      </c>
    </row>
    <row r="29185" spans="1:5" x14ac:dyDescent="0.25">
      <c r="A29185" t="s">
        <v>9313</v>
      </c>
      <c r="B29185" t="s">
        <v>9314</v>
      </c>
      <c r="C29185" s="1" t="s">
        <v>8427</v>
      </c>
      <c r="D29185" s="1" t="str">
        <f>HYPERLINK("https://rhld.insurance.arkansas.gov/NPILookup?Npi=1295998326","1295998326")</f>
        <v>1295998326</v>
      </c>
      <c r="E29185" t="s">
        <v>1666</v>
      </c>
    </row>
    <row r="29186" spans="1:5" x14ac:dyDescent="0.25">
      <c r="A29186" t="s">
        <v>9313</v>
      </c>
      <c r="B29186" t="s">
        <v>9314</v>
      </c>
      <c r="C29186" s="1" t="s">
        <v>23490</v>
      </c>
      <c r="D29186" s="1" t="str">
        <f>HYPERLINK("https://rhld.insurance.arkansas.gov/NPILookup?Npi=1306133202","1306133202")</f>
        <v>1306133202</v>
      </c>
      <c r="E29186" t="s">
        <v>9508</v>
      </c>
    </row>
    <row r="29187" spans="1:5" x14ac:dyDescent="0.25">
      <c r="A29187" t="s">
        <v>9313</v>
      </c>
      <c r="B29187" t="s">
        <v>9314</v>
      </c>
      <c r="C29187" s="1" t="s">
        <v>23490</v>
      </c>
      <c r="D29187" s="1" t="str">
        <f>HYPERLINK("https://rhld.insurance.arkansas.gov/NPILookup?Npi=1306152434","1306152434")</f>
        <v>1306152434</v>
      </c>
      <c r="E29187" t="s">
        <v>9509</v>
      </c>
    </row>
    <row r="29188" spans="1:5" x14ac:dyDescent="0.25">
      <c r="A29188" t="s">
        <v>9313</v>
      </c>
      <c r="B29188" t="s">
        <v>9314</v>
      </c>
      <c r="C29188" s="1" t="s">
        <v>23490</v>
      </c>
      <c r="D29188" s="1" t="str">
        <f>HYPERLINK("https://rhld.insurance.arkansas.gov/NPILookup?Npi=1306250295","1306250295")</f>
        <v>1306250295</v>
      </c>
      <c r="E29188" t="s">
        <v>12327</v>
      </c>
    </row>
    <row r="29189" spans="1:5" x14ac:dyDescent="0.25">
      <c r="A29189" t="s">
        <v>9313</v>
      </c>
      <c r="B29189" t="s">
        <v>9314</v>
      </c>
      <c r="C29189" s="1" t="s">
        <v>23490</v>
      </c>
      <c r="D29189" s="1" t="str">
        <f>HYPERLINK("https://rhld.insurance.arkansas.gov/NPILookup?Npi=1306403704","1306403704")</f>
        <v>1306403704</v>
      </c>
      <c r="E29189" t="s">
        <v>18582</v>
      </c>
    </row>
    <row r="29190" spans="1:5" x14ac:dyDescent="0.25">
      <c r="A29190" t="s">
        <v>9313</v>
      </c>
      <c r="B29190" t="s">
        <v>9314</v>
      </c>
      <c r="C29190" s="1" t="s">
        <v>23490</v>
      </c>
      <c r="D29190" s="1" t="str">
        <f>HYPERLINK("https://rhld.insurance.arkansas.gov/NPILookup?Npi=1306475157","1306475157")</f>
        <v>1306475157</v>
      </c>
      <c r="E29190" t="s">
        <v>20812</v>
      </c>
    </row>
    <row r="29191" spans="1:5" x14ac:dyDescent="0.25">
      <c r="A29191" t="s">
        <v>9313</v>
      </c>
      <c r="B29191" t="s">
        <v>9314</v>
      </c>
      <c r="C29191" s="1" t="s">
        <v>23490</v>
      </c>
      <c r="D29191" s="1" t="str">
        <f>HYPERLINK("https://rhld.insurance.arkansas.gov/NPILookup?Npi=1306857644","1306857644")</f>
        <v>1306857644</v>
      </c>
      <c r="E29191" t="s">
        <v>9511</v>
      </c>
    </row>
    <row r="29192" spans="1:5" x14ac:dyDescent="0.25">
      <c r="A29192" t="s">
        <v>9313</v>
      </c>
      <c r="B29192" t="s">
        <v>9314</v>
      </c>
      <c r="C29192" s="1" t="s">
        <v>23490</v>
      </c>
      <c r="D29192" s="1" t="str">
        <f>HYPERLINK("https://rhld.insurance.arkansas.gov/NPILookup?Npi=1306860234","1306860234")</f>
        <v>1306860234</v>
      </c>
      <c r="E29192" t="s">
        <v>12329</v>
      </c>
    </row>
    <row r="29193" spans="1:5" x14ac:dyDescent="0.25">
      <c r="A29193" t="s">
        <v>9313</v>
      </c>
      <c r="B29193" t="s">
        <v>9314</v>
      </c>
      <c r="C29193" s="1" t="s">
        <v>23490</v>
      </c>
      <c r="D29193" s="1" t="str">
        <f>HYPERLINK("https://rhld.insurance.arkansas.gov/NPILookup?Npi=1306867767","1306867767")</f>
        <v>1306867767</v>
      </c>
      <c r="E29193" t="s">
        <v>9512</v>
      </c>
    </row>
    <row r="29194" spans="1:5" x14ac:dyDescent="0.25">
      <c r="A29194" t="s">
        <v>9313</v>
      </c>
      <c r="B29194" t="s">
        <v>9314</v>
      </c>
      <c r="C29194" s="1" t="s">
        <v>23490</v>
      </c>
      <c r="D29194" s="1" t="str">
        <f>HYPERLINK("https://rhld.insurance.arkansas.gov/NPILookup?Npi=1306912373","1306912373")</f>
        <v>1306912373</v>
      </c>
      <c r="E29194" t="s">
        <v>9513</v>
      </c>
    </row>
    <row r="29195" spans="1:5" x14ac:dyDescent="0.25">
      <c r="A29195" t="s">
        <v>9313</v>
      </c>
      <c r="B29195" t="s">
        <v>9314</v>
      </c>
      <c r="C29195" s="1" t="s">
        <v>23490</v>
      </c>
      <c r="D29195" s="1" t="str">
        <f>HYPERLINK("https://rhld.insurance.arkansas.gov/NPILookup?Npi=1306932686","1306932686")</f>
        <v>1306932686</v>
      </c>
      <c r="E29195" t="s">
        <v>12330</v>
      </c>
    </row>
    <row r="29196" spans="1:5" x14ac:dyDescent="0.25">
      <c r="A29196" t="s">
        <v>9313</v>
      </c>
      <c r="B29196" t="s">
        <v>9314</v>
      </c>
      <c r="C29196" s="1" t="s">
        <v>23490</v>
      </c>
      <c r="D29196" s="1" t="str">
        <f>HYPERLINK("https://rhld.insurance.arkansas.gov/NPILookup?Npi=1306935788","1306935788")</f>
        <v>1306935788</v>
      </c>
      <c r="E29196" t="s">
        <v>9514</v>
      </c>
    </row>
    <row r="29197" spans="1:5" x14ac:dyDescent="0.25">
      <c r="A29197" t="s">
        <v>9313</v>
      </c>
      <c r="B29197" t="s">
        <v>9314</v>
      </c>
      <c r="C29197" s="1" t="s">
        <v>23490</v>
      </c>
      <c r="D29197" s="1" t="str">
        <f>HYPERLINK("https://rhld.insurance.arkansas.gov/NPILookup?Npi=1306960737","1306960737")</f>
        <v>1306960737</v>
      </c>
      <c r="E29197" t="s">
        <v>20813</v>
      </c>
    </row>
    <row r="29198" spans="1:5" x14ac:dyDescent="0.25">
      <c r="A29198" t="s">
        <v>9313</v>
      </c>
      <c r="B29198" t="s">
        <v>9314</v>
      </c>
      <c r="C29198" s="1" t="s">
        <v>23490</v>
      </c>
      <c r="D29198" s="1" t="str">
        <f>HYPERLINK("https://rhld.insurance.arkansas.gov/NPILookup?Npi=1306979125","1306979125")</f>
        <v>1306979125</v>
      </c>
      <c r="E29198" t="s">
        <v>9516</v>
      </c>
    </row>
    <row r="29199" spans="1:5" x14ac:dyDescent="0.25">
      <c r="A29199" t="s">
        <v>9313</v>
      </c>
      <c r="B29199" t="s">
        <v>9314</v>
      </c>
      <c r="C29199" s="1" t="s">
        <v>23490</v>
      </c>
      <c r="D29199" s="1" t="str">
        <f>HYPERLINK("https://rhld.insurance.arkansas.gov/NPILookup?Npi=1316003155","1316003155")</f>
        <v>1316003155</v>
      </c>
      <c r="E29199" t="s">
        <v>12331</v>
      </c>
    </row>
    <row r="29200" spans="1:5" x14ac:dyDescent="0.25">
      <c r="A29200" t="s">
        <v>9313</v>
      </c>
      <c r="B29200" t="s">
        <v>9314</v>
      </c>
      <c r="C29200" s="1" t="s">
        <v>23490</v>
      </c>
      <c r="D29200" s="1" t="str">
        <f>HYPERLINK("https://rhld.insurance.arkansas.gov/NPILookup?Npi=1316015126","1316015126")</f>
        <v>1316015126</v>
      </c>
      <c r="E29200" t="s">
        <v>9517</v>
      </c>
    </row>
    <row r="29201" spans="1:5" x14ac:dyDescent="0.25">
      <c r="A29201" t="s">
        <v>9313</v>
      </c>
      <c r="B29201" t="s">
        <v>9314</v>
      </c>
      <c r="C29201" s="1" t="s">
        <v>23490</v>
      </c>
      <c r="D29201" s="1" t="str">
        <f>HYPERLINK("https://rhld.insurance.arkansas.gov/NPILookup?Npi=1316025281","1316025281")</f>
        <v>1316025281</v>
      </c>
      <c r="E29201" t="s">
        <v>21327</v>
      </c>
    </row>
    <row r="29202" spans="1:5" x14ac:dyDescent="0.25">
      <c r="A29202" t="s">
        <v>9313</v>
      </c>
      <c r="B29202" t="s">
        <v>9314</v>
      </c>
      <c r="C29202" s="1" t="s">
        <v>23490</v>
      </c>
      <c r="D29202" s="1" t="str">
        <f>HYPERLINK("https://rhld.insurance.arkansas.gov/NPILookup?Npi=1316029440","1316029440")</f>
        <v>1316029440</v>
      </c>
      <c r="E29202" t="s">
        <v>12332</v>
      </c>
    </row>
    <row r="29203" spans="1:5" x14ac:dyDescent="0.25">
      <c r="A29203" t="s">
        <v>9313</v>
      </c>
      <c r="B29203" t="s">
        <v>9314</v>
      </c>
      <c r="C29203" s="1" t="s">
        <v>23490</v>
      </c>
      <c r="D29203" s="1" t="str">
        <f>HYPERLINK("https://rhld.insurance.arkansas.gov/NPILookup?Npi=1316046725","1316046725")</f>
        <v>1316046725</v>
      </c>
      <c r="E29203" t="s">
        <v>12333</v>
      </c>
    </row>
    <row r="29204" spans="1:5" x14ac:dyDescent="0.25">
      <c r="A29204" t="s">
        <v>9313</v>
      </c>
      <c r="B29204" t="s">
        <v>9314</v>
      </c>
      <c r="C29204" s="1" t="s">
        <v>23490</v>
      </c>
      <c r="D29204" s="1" t="str">
        <f>HYPERLINK("https://rhld.insurance.arkansas.gov/NPILookup?Npi=1316067473","1316067473")</f>
        <v>1316067473</v>
      </c>
      <c r="E29204" t="s">
        <v>9518</v>
      </c>
    </row>
    <row r="29205" spans="1:5" x14ac:dyDescent="0.25">
      <c r="A29205" t="s">
        <v>9313</v>
      </c>
      <c r="B29205" t="s">
        <v>9314</v>
      </c>
      <c r="C29205" s="1" t="s">
        <v>23490</v>
      </c>
      <c r="D29205" s="1" t="str">
        <f>HYPERLINK("https://rhld.insurance.arkansas.gov/NPILookup?Npi=1316087794","1316087794")</f>
        <v>1316087794</v>
      </c>
      <c r="E29205" t="s">
        <v>9519</v>
      </c>
    </row>
    <row r="29206" spans="1:5" x14ac:dyDescent="0.25">
      <c r="A29206" t="s">
        <v>9313</v>
      </c>
      <c r="B29206" t="s">
        <v>9314</v>
      </c>
      <c r="C29206" s="1" t="s">
        <v>23490</v>
      </c>
      <c r="D29206" s="1" t="str">
        <f>HYPERLINK("https://rhld.insurance.arkansas.gov/NPILookup?Npi=1316102312","1316102312")</f>
        <v>1316102312</v>
      </c>
      <c r="E29206" t="s">
        <v>11289</v>
      </c>
    </row>
    <row r="29207" spans="1:5" x14ac:dyDescent="0.25">
      <c r="A29207" t="s">
        <v>9313</v>
      </c>
      <c r="B29207" t="s">
        <v>9314</v>
      </c>
      <c r="C29207" s="1" t="s">
        <v>23490</v>
      </c>
      <c r="D29207" s="1" t="str">
        <f>HYPERLINK("https://rhld.insurance.arkansas.gov/NPILookup?Npi=1316152481","1316152481")</f>
        <v>1316152481</v>
      </c>
      <c r="E29207" t="s">
        <v>9520</v>
      </c>
    </row>
    <row r="29208" spans="1:5" x14ac:dyDescent="0.25">
      <c r="A29208" t="s">
        <v>9313</v>
      </c>
      <c r="B29208" t="s">
        <v>9314</v>
      </c>
      <c r="C29208" s="1" t="s">
        <v>23490</v>
      </c>
      <c r="D29208" s="1" t="str">
        <f>HYPERLINK("https://rhld.insurance.arkansas.gov/NPILookup?Npi=1316163686","1316163686")</f>
        <v>1316163686</v>
      </c>
      <c r="E29208" t="s">
        <v>12334</v>
      </c>
    </row>
    <row r="29209" spans="1:5" x14ac:dyDescent="0.25">
      <c r="A29209" t="s">
        <v>9313</v>
      </c>
      <c r="B29209" t="s">
        <v>9314</v>
      </c>
      <c r="C29209" s="1" t="s">
        <v>23490</v>
      </c>
      <c r="D29209" s="1" t="str">
        <f>HYPERLINK("https://rhld.insurance.arkansas.gov/NPILookup?Npi=1316326028","1316326028")</f>
        <v>1316326028</v>
      </c>
      <c r="E29209" t="s">
        <v>9521</v>
      </c>
    </row>
    <row r="29210" spans="1:5" x14ac:dyDescent="0.25">
      <c r="A29210" t="s">
        <v>9313</v>
      </c>
      <c r="B29210" t="s">
        <v>9314</v>
      </c>
      <c r="C29210" s="1" t="s">
        <v>23490</v>
      </c>
      <c r="D29210" s="1" t="str">
        <f>HYPERLINK("https://rhld.insurance.arkansas.gov/NPILookup?Npi=1316329543","1316329543")</f>
        <v>1316329543</v>
      </c>
      <c r="E29210" t="s">
        <v>9522</v>
      </c>
    </row>
    <row r="29211" spans="1:5" x14ac:dyDescent="0.25">
      <c r="A29211" t="s">
        <v>9313</v>
      </c>
      <c r="B29211" t="s">
        <v>9314</v>
      </c>
      <c r="C29211" s="1" t="s">
        <v>23490</v>
      </c>
      <c r="D29211" s="1" t="str">
        <f>HYPERLINK("https://rhld.insurance.arkansas.gov/NPILookup?Npi=1316430655","1316430655")</f>
        <v>1316430655</v>
      </c>
      <c r="E29211" t="s">
        <v>16791</v>
      </c>
    </row>
    <row r="29212" spans="1:5" x14ac:dyDescent="0.25">
      <c r="A29212" t="s">
        <v>9313</v>
      </c>
      <c r="B29212" t="s">
        <v>9314</v>
      </c>
      <c r="C29212" s="1" t="s">
        <v>23490</v>
      </c>
      <c r="D29212" s="1" t="str">
        <f>HYPERLINK("https://rhld.insurance.arkansas.gov/NPILookup?Npi=1316506884","1316506884")</f>
        <v>1316506884</v>
      </c>
      <c r="E29212" t="s">
        <v>18583</v>
      </c>
    </row>
    <row r="29213" spans="1:5" x14ac:dyDescent="0.25">
      <c r="A29213" t="s">
        <v>9313</v>
      </c>
      <c r="B29213" t="s">
        <v>9314</v>
      </c>
      <c r="C29213" s="1" t="s">
        <v>8427</v>
      </c>
      <c r="D29213" s="1" t="str">
        <f>HYPERLINK("https://rhld.insurance.arkansas.gov/NPILookup?Npi=1316559495","1316559495")</f>
        <v>1316559495</v>
      </c>
      <c r="E29213" t="s">
        <v>23353</v>
      </c>
    </row>
    <row r="29214" spans="1:5" x14ac:dyDescent="0.25">
      <c r="A29214" t="s">
        <v>9313</v>
      </c>
      <c r="B29214" t="s">
        <v>9314</v>
      </c>
      <c r="C29214" s="1" t="s">
        <v>23490</v>
      </c>
      <c r="D29214" s="1" t="str">
        <f>HYPERLINK("https://rhld.insurance.arkansas.gov/NPILookup?Npi=1316630817","1316630817")</f>
        <v>1316630817</v>
      </c>
      <c r="E29214" t="s">
        <v>22765</v>
      </c>
    </row>
    <row r="29215" spans="1:5" x14ac:dyDescent="0.25">
      <c r="A29215" t="s">
        <v>9313</v>
      </c>
      <c r="B29215" t="s">
        <v>9314</v>
      </c>
      <c r="C29215" s="1" t="s">
        <v>23490</v>
      </c>
      <c r="D29215" s="1" t="str">
        <f>HYPERLINK("https://rhld.insurance.arkansas.gov/NPILookup?Npi=1316679095","1316679095")</f>
        <v>1316679095</v>
      </c>
      <c r="E29215" t="s">
        <v>21328</v>
      </c>
    </row>
    <row r="29216" spans="1:5" x14ac:dyDescent="0.25">
      <c r="A29216" t="s">
        <v>9313</v>
      </c>
      <c r="B29216" t="s">
        <v>9314</v>
      </c>
      <c r="C29216" s="1" t="s">
        <v>23490</v>
      </c>
      <c r="D29216" s="1" t="str">
        <f>HYPERLINK("https://rhld.insurance.arkansas.gov/NPILookup?Npi=1316932353","1316932353")</f>
        <v>1316932353</v>
      </c>
      <c r="E29216" t="s">
        <v>14599</v>
      </c>
    </row>
    <row r="29217" spans="1:5" x14ac:dyDescent="0.25">
      <c r="A29217" t="s">
        <v>9313</v>
      </c>
      <c r="B29217" t="s">
        <v>9314</v>
      </c>
      <c r="C29217" s="1" t="s">
        <v>23490</v>
      </c>
      <c r="D29217" s="1" t="str">
        <f>HYPERLINK("https://rhld.insurance.arkansas.gov/NPILookup?Npi=1316954126","1316954126")</f>
        <v>1316954126</v>
      </c>
      <c r="E29217" t="s">
        <v>9523</v>
      </c>
    </row>
    <row r="29218" spans="1:5" x14ac:dyDescent="0.25">
      <c r="A29218" t="s">
        <v>9313</v>
      </c>
      <c r="B29218" t="s">
        <v>9314</v>
      </c>
      <c r="C29218" s="1" t="s">
        <v>23490</v>
      </c>
      <c r="D29218" s="1" t="str">
        <f>HYPERLINK("https://rhld.insurance.arkansas.gov/NPILookup?Npi=1316992688","1316992688")</f>
        <v>1316992688</v>
      </c>
      <c r="E29218" t="s">
        <v>9524</v>
      </c>
    </row>
    <row r="29219" spans="1:5" x14ac:dyDescent="0.25">
      <c r="A29219" t="s">
        <v>9313</v>
      </c>
      <c r="B29219" t="s">
        <v>9314</v>
      </c>
      <c r="C29219" s="1" t="s">
        <v>23490</v>
      </c>
      <c r="D29219" s="1" t="str">
        <f>HYPERLINK("https://rhld.insurance.arkansas.gov/NPILookup?Npi=1326015512","1326015512")</f>
        <v>1326015512</v>
      </c>
      <c r="E29219" t="s">
        <v>12335</v>
      </c>
    </row>
    <row r="29220" spans="1:5" x14ac:dyDescent="0.25">
      <c r="A29220" t="s">
        <v>9313</v>
      </c>
      <c r="B29220" t="s">
        <v>9314</v>
      </c>
      <c r="C29220" s="1" t="s">
        <v>23490</v>
      </c>
      <c r="D29220" s="1" t="str">
        <f>HYPERLINK("https://rhld.insurance.arkansas.gov/NPILookup?Npi=1326038852","1326038852")</f>
        <v>1326038852</v>
      </c>
      <c r="E29220" t="s">
        <v>12336</v>
      </c>
    </row>
    <row r="29221" spans="1:5" x14ac:dyDescent="0.25">
      <c r="A29221" t="s">
        <v>9313</v>
      </c>
      <c r="B29221" t="s">
        <v>9314</v>
      </c>
      <c r="C29221" s="1" t="s">
        <v>23490</v>
      </c>
      <c r="D29221" s="1" t="str">
        <f>HYPERLINK("https://rhld.insurance.arkansas.gov/NPILookup?Npi=1326059122","1326059122")</f>
        <v>1326059122</v>
      </c>
      <c r="E29221" t="s">
        <v>9525</v>
      </c>
    </row>
    <row r="29222" spans="1:5" x14ac:dyDescent="0.25">
      <c r="A29222" t="s">
        <v>9313</v>
      </c>
      <c r="B29222" t="s">
        <v>9314</v>
      </c>
      <c r="C29222" s="1" t="s">
        <v>23490</v>
      </c>
      <c r="D29222" s="1" t="str">
        <f>HYPERLINK("https://rhld.insurance.arkansas.gov/NPILookup?Npi=1326062357","1326062357")</f>
        <v>1326062357</v>
      </c>
      <c r="E29222" t="s">
        <v>9526</v>
      </c>
    </row>
    <row r="29223" spans="1:5" x14ac:dyDescent="0.25">
      <c r="A29223" t="s">
        <v>9313</v>
      </c>
      <c r="B29223" t="s">
        <v>9314</v>
      </c>
      <c r="C29223" s="1" t="s">
        <v>23490</v>
      </c>
      <c r="D29223" s="1" t="str">
        <f>HYPERLINK("https://rhld.insurance.arkansas.gov/NPILookup?Npi=1326106220","1326106220")</f>
        <v>1326106220</v>
      </c>
      <c r="E29223" t="s">
        <v>18584</v>
      </c>
    </row>
    <row r="29224" spans="1:5" x14ac:dyDescent="0.25">
      <c r="A29224" t="s">
        <v>9313</v>
      </c>
      <c r="B29224" t="s">
        <v>9314</v>
      </c>
      <c r="C29224" s="1" t="s">
        <v>23490</v>
      </c>
      <c r="D29224" s="1" t="str">
        <f>HYPERLINK("https://rhld.insurance.arkansas.gov/NPILookup?Npi=1326106428","1326106428")</f>
        <v>1326106428</v>
      </c>
      <c r="E29224" t="s">
        <v>9527</v>
      </c>
    </row>
    <row r="29225" spans="1:5" x14ac:dyDescent="0.25">
      <c r="A29225" t="s">
        <v>9313</v>
      </c>
      <c r="B29225" t="s">
        <v>9314</v>
      </c>
      <c r="C29225" s="1" t="s">
        <v>23490</v>
      </c>
      <c r="D29225" s="1" t="str">
        <f>HYPERLINK("https://rhld.insurance.arkansas.gov/NPILookup?Npi=1326137654","1326137654")</f>
        <v>1326137654</v>
      </c>
      <c r="E29225" t="s">
        <v>9528</v>
      </c>
    </row>
    <row r="29226" spans="1:5" x14ac:dyDescent="0.25">
      <c r="A29226" t="s">
        <v>9313</v>
      </c>
      <c r="B29226" t="s">
        <v>9314</v>
      </c>
      <c r="C29226" s="1" t="s">
        <v>23490</v>
      </c>
      <c r="D29226" s="1" t="str">
        <f>HYPERLINK("https://rhld.insurance.arkansas.gov/NPILookup?Npi=1326192832","1326192832")</f>
        <v>1326192832</v>
      </c>
      <c r="E29226" t="s">
        <v>9529</v>
      </c>
    </row>
    <row r="29227" spans="1:5" x14ac:dyDescent="0.25">
      <c r="A29227" t="s">
        <v>9313</v>
      </c>
      <c r="B29227" t="s">
        <v>9314</v>
      </c>
      <c r="C29227" s="1" t="s">
        <v>23490</v>
      </c>
      <c r="D29227" s="1" t="str">
        <f>HYPERLINK("https://rhld.insurance.arkansas.gov/NPILookup?Npi=1326275991","1326275991")</f>
        <v>1326275991</v>
      </c>
      <c r="E29227" t="s">
        <v>4483</v>
      </c>
    </row>
    <row r="29228" spans="1:5" x14ac:dyDescent="0.25">
      <c r="A29228" t="s">
        <v>9313</v>
      </c>
      <c r="B29228" t="s">
        <v>9314</v>
      </c>
      <c r="C29228" s="1" t="s">
        <v>23490</v>
      </c>
      <c r="D29228" s="1" t="str">
        <f>HYPERLINK("https://rhld.insurance.arkansas.gov/NPILookup?Npi=1326311903","1326311903")</f>
        <v>1326311903</v>
      </c>
      <c r="E29228" t="s">
        <v>20814</v>
      </c>
    </row>
    <row r="29229" spans="1:5" x14ac:dyDescent="0.25">
      <c r="A29229" t="s">
        <v>9313</v>
      </c>
      <c r="B29229" t="s">
        <v>9314</v>
      </c>
      <c r="C29229" s="1" t="s">
        <v>23490</v>
      </c>
      <c r="D29229" s="1" t="str">
        <f>HYPERLINK("https://rhld.insurance.arkansas.gov/NPILookup?Npi=1326499369","1326499369")</f>
        <v>1326499369</v>
      </c>
      <c r="E29229" t="s">
        <v>12337</v>
      </c>
    </row>
    <row r="29230" spans="1:5" x14ac:dyDescent="0.25">
      <c r="A29230" t="s">
        <v>9313</v>
      </c>
      <c r="B29230" t="s">
        <v>9314</v>
      </c>
      <c r="C29230" s="1" t="s">
        <v>23490</v>
      </c>
      <c r="D29230" s="1" t="str">
        <f>HYPERLINK("https://rhld.insurance.arkansas.gov/NPILookup?Npi=1326517376","1326517376")</f>
        <v>1326517376</v>
      </c>
      <c r="E29230" t="s">
        <v>14600</v>
      </c>
    </row>
    <row r="29231" spans="1:5" x14ac:dyDescent="0.25">
      <c r="A29231" t="s">
        <v>9313</v>
      </c>
      <c r="B29231" t="s">
        <v>9314</v>
      </c>
      <c r="C29231" s="1" t="s">
        <v>23490</v>
      </c>
      <c r="D29231" s="1" t="str">
        <f>HYPERLINK("https://rhld.insurance.arkansas.gov/NPILookup?Npi=1326569070","1326569070")</f>
        <v>1326569070</v>
      </c>
      <c r="E29231" t="s">
        <v>20815</v>
      </c>
    </row>
    <row r="29232" spans="1:5" x14ac:dyDescent="0.25">
      <c r="A29232" t="s">
        <v>9313</v>
      </c>
      <c r="B29232" t="s">
        <v>9314</v>
      </c>
      <c r="C29232" s="1" t="s">
        <v>23490</v>
      </c>
      <c r="D29232" s="1" t="str">
        <f>HYPERLINK("https://rhld.insurance.arkansas.gov/NPILookup?Npi=1326577347","1326577347")</f>
        <v>1326577347</v>
      </c>
      <c r="E29232" t="s">
        <v>12338</v>
      </c>
    </row>
    <row r="29233" spans="1:5" x14ac:dyDescent="0.25">
      <c r="A29233" t="s">
        <v>9313</v>
      </c>
      <c r="B29233" t="s">
        <v>9314</v>
      </c>
      <c r="C29233" s="1" t="s">
        <v>23490</v>
      </c>
      <c r="D29233" s="1" t="str">
        <f>HYPERLINK("https://rhld.insurance.arkansas.gov/NPILookup?Npi=1326580051","1326580051")</f>
        <v>1326580051</v>
      </c>
      <c r="E29233" t="s">
        <v>16792</v>
      </c>
    </row>
    <row r="29234" spans="1:5" x14ac:dyDescent="0.25">
      <c r="A29234" t="s">
        <v>9313</v>
      </c>
      <c r="B29234" t="s">
        <v>9314</v>
      </c>
      <c r="C29234" s="1" t="s">
        <v>23490</v>
      </c>
      <c r="D29234" s="1" t="str">
        <f>HYPERLINK("https://rhld.insurance.arkansas.gov/NPILookup?Npi=1326676602","1326676602")</f>
        <v>1326676602</v>
      </c>
      <c r="E29234" t="s">
        <v>19192</v>
      </c>
    </row>
    <row r="29235" spans="1:5" x14ac:dyDescent="0.25">
      <c r="A29235" t="s">
        <v>9313</v>
      </c>
      <c r="B29235" t="s">
        <v>9314</v>
      </c>
      <c r="C29235" s="1" t="s">
        <v>23490</v>
      </c>
      <c r="D29235" s="1" t="str">
        <f>HYPERLINK("https://rhld.insurance.arkansas.gov/NPILookup?Npi=1336155225","1336155225")</f>
        <v>1336155225</v>
      </c>
      <c r="E29235" t="s">
        <v>9532</v>
      </c>
    </row>
    <row r="29236" spans="1:5" x14ac:dyDescent="0.25">
      <c r="A29236" t="s">
        <v>9313</v>
      </c>
      <c r="B29236" t="s">
        <v>9314</v>
      </c>
      <c r="C29236" s="1" t="s">
        <v>23490</v>
      </c>
      <c r="D29236" s="1" t="str">
        <f>HYPERLINK("https://rhld.insurance.arkansas.gov/NPILookup?Npi=1336163542","1336163542")</f>
        <v>1336163542</v>
      </c>
      <c r="E29236" t="s">
        <v>10011</v>
      </c>
    </row>
    <row r="29237" spans="1:5" x14ac:dyDescent="0.25">
      <c r="A29237" t="s">
        <v>9313</v>
      </c>
      <c r="B29237" t="s">
        <v>9314</v>
      </c>
      <c r="C29237" s="1" t="s">
        <v>23490</v>
      </c>
      <c r="D29237" s="1" t="str">
        <f>HYPERLINK("https://rhld.insurance.arkansas.gov/NPILookup?Npi=1336236082","1336236082")</f>
        <v>1336236082</v>
      </c>
      <c r="E29237" t="s">
        <v>9382</v>
      </c>
    </row>
    <row r="29238" spans="1:5" x14ac:dyDescent="0.25">
      <c r="A29238" t="s">
        <v>9313</v>
      </c>
      <c r="B29238" t="s">
        <v>9314</v>
      </c>
      <c r="C29238" s="1" t="s">
        <v>23490</v>
      </c>
      <c r="D29238" s="1" t="str">
        <f>HYPERLINK("https://rhld.insurance.arkansas.gov/NPILookup?Npi=1336249697","1336249697")</f>
        <v>1336249697</v>
      </c>
      <c r="E29238" t="s">
        <v>12339</v>
      </c>
    </row>
    <row r="29239" spans="1:5" x14ac:dyDescent="0.25">
      <c r="A29239" t="s">
        <v>9313</v>
      </c>
      <c r="B29239" t="s">
        <v>9314</v>
      </c>
      <c r="C29239" s="1" t="s">
        <v>23490</v>
      </c>
      <c r="D29239" s="1" t="str">
        <f>HYPERLINK("https://rhld.insurance.arkansas.gov/NPILookup?Npi=1336252980","1336252980")</f>
        <v>1336252980</v>
      </c>
      <c r="E29239" t="s">
        <v>9533</v>
      </c>
    </row>
    <row r="29240" spans="1:5" x14ac:dyDescent="0.25">
      <c r="A29240" t="s">
        <v>9313</v>
      </c>
      <c r="B29240" t="s">
        <v>9314</v>
      </c>
      <c r="C29240" s="1" t="s">
        <v>23490</v>
      </c>
      <c r="D29240" s="1" t="str">
        <f>HYPERLINK("https://rhld.insurance.arkansas.gov/NPILookup?Npi=1336253582","1336253582")</f>
        <v>1336253582</v>
      </c>
      <c r="E29240" t="s">
        <v>9534</v>
      </c>
    </row>
    <row r="29241" spans="1:5" x14ac:dyDescent="0.25">
      <c r="A29241" t="s">
        <v>9313</v>
      </c>
      <c r="B29241" t="s">
        <v>9314</v>
      </c>
      <c r="C29241" s="1" t="s">
        <v>23490</v>
      </c>
      <c r="D29241" s="1" t="str">
        <f>HYPERLINK("https://rhld.insurance.arkansas.gov/NPILookup?Npi=1336260801","1336260801")</f>
        <v>1336260801</v>
      </c>
      <c r="E29241" t="s">
        <v>12340</v>
      </c>
    </row>
    <row r="29242" spans="1:5" x14ac:dyDescent="0.25">
      <c r="A29242" t="s">
        <v>9313</v>
      </c>
      <c r="B29242" t="s">
        <v>9314</v>
      </c>
      <c r="C29242" s="1" t="s">
        <v>23490</v>
      </c>
      <c r="D29242" s="1" t="str">
        <f>HYPERLINK("https://rhld.insurance.arkansas.gov/NPILookup?Npi=1336282599","1336282599")</f>
        <v>1336282599</v>
      </c>
      <c r="E29242" t="s">
        <v>9535</v>
      </c>
    </row>
    <row r="29243" spans="1:5" x14ac:dyDescent="0.25">
      <c r="A29243" t="s">
        <v>9313</v>
      </c>
      <c r="B29243" t="s">
        <v>9314</v>
      </c>
      <c r="C29243" s="1" t="s">
        <v>23490</v>
      </c>
      <c r="D29243" s="1" t="str">
        <f>HYPERLINK("https://rhld.insurance.arkansas.gov/NPILookup?Npi=1336286137","1336286137")</f>
        <v>1336286137</v>
      </c>
      <c r="E29243" t="s">
        <v>12341</v>
      </c>
    </row>
    <row r="29244" spans="1:5" x14ac:dyDescent="0.25">
      <c r="A29244" t="s">
        <v>9313</v>
      </c>
      <c r="B29244" t="s">
        <v>9314</v>
      </c>
      <c r="C29244" s="1" t="s">
        <v>23490</v>
      </c>
      <c r="D29244" s="1" t="str">
        <f>HYPERLINK("https://rhld.insurance.arkansas.gov/NPILookup?Npi=1336289040","1336289040")</f>
        <v>1336289040</v>
      </c>
      <c r="E29244" t="s">
        <v>12342</v>
      </c>
    </row>
    <row r="29245" spans="1:5" x14ac:dyDescent="0.25">
      <c r="A29245" t="s">
        <v>9313</v>
      </c>
      <c r="B29245" t="s">
        <v>9314</v>
      </c>
      <c r="C29245" s="1" t="s">
        <v>23490</v>
      </c>
      <c r="D29245" s="1" t="str">
        <f>HYPERLINK("https://rhld.insurance.arkansas.gov/NPILookup?Npi=1336294008","1336294008")</f>
        <v>1336294008</v>
      </c>
      <c r="E29245" t="s">
        <v>9536</v>
      </c>
    </row>
    <row r="29246" spans="1:5" x14ac:dyDescent="0.25">
      <c r="A29246" t="s">
        <v>9313</v>
      </c>
      <c r="B29246" t="s">
        <v>9314</v>
      </c>
      <c r="C29246" s="1" t="s">
        <v>23490</v>
      </c>
      <c r="D29246" s="1" t="str">
        <f>HYPERLINK("https://rhld.insurance.arkansas.gov/NPILookup?Npi=1336306869","1336306869")</f>
        <v>1336306869</v>
      </c>
      <c r="E29246" t="s">
        <v>9537</v>
      </c>
    </row>
    <row r="29247" spans="1:5" x14ac:dyDescent="0.25">
      <c r="A29247" t="s">
        <v>9313</v>
      </c>
      <c r="B29247" t="s">
        <v>9314</v>
      </c>
      <c r="C29247" s="1" t="s">
        <v>23490</v>
      </c>
      <c r="D29247" s="1" t="str">
        <f>HYPERLINK("https://rhld.insurance.arkansas.gov/NPILookup?Npi=1336390848","1336390848")</f>
        <v>1336390848</v>
      </c>
      <c r="E29247" t="s">
        <v>9540</v>
      </c>
    </row>
    <row r="29248" spans="1:5" x14ac:dyDescent="0.25">
      <c r="A29248" t="s">
        <v>9313</v>
      </c>
      <c r="B29248" t="s">
        <v>9314</v>
      </c>
      <c r="C29248" s="1" t="s">
        <v>23490</v>
      </c>
      <c r="D29248" s="1" t="str">
        <f>HYPERLINK("https://rhld.insurance.arkansas.gov/NPILookup?Npi=1336597186","1336597186")</f>
        <v>1336597186</v>
      </c>
      <c r="E29248" t="s">
        <v>12344</v>
      </c>
    </row>
    <row r="29249" spans="1:5" x14ac:dyDescent="0.25">
      <c r="A29249" t="s">
        <v>9313</v>
      </c>
      <c r="B29249" t="s">
        <v>9314</v>
      </c>
      <c r="C29249" s="1" t="s">
        <v>23490</v>
      </c>
      <c r="D29249" s="1" t="str">
        <f>HYPERLINK("https://rhld.insurance.arkansas.gov/NPILookup?Npi=1336631084","1336631084")</f>
        <v>1336631084</v>
      </c>
      <c r="E29249" t="s">
        <v>14601</v>
      </c>
    </row>
    <row r="29250" spans="1:5" x14ac:dyDescent="0.25">
      <c r="A29250" t="s">
        <v>9313</v>
      </c>
      <c r="B29250" t="s">
        <v>9314</v>
      </c>
      <c r="C29250" s="1" t="s">
        <v>23490</v>
      </c>
      <c r="D29250" s="1" t="str">
        <f>HYPERLINK("https://rhld.insurance.arkansas.gov/NPILookup?Npi=1336708254","1336708254")</f>
        <v>1336708254</v>
      </c>
      <c r="E29250" t="s">
        <v>16793</v>
      </c>
    </row>
    <row r="29251" spans="1:5" x14ac:dyDescent="0.25">
      <c r="A29251" t="s">
        <v>9313</v>
      </c>
      <c r="B29251" t="s">
        <v>9314</v>
      </c>
      <c r="C29251" s="1" t="s">
        <v>23490</v>
      </c>
      <c r="D29251" s="1" t="str">
        <f>HYPERLINK("https://rhld.insurance.arkansas.gov/NPILookup?Npi=1336712421","1336712421")</f>
        <v>1336712421</v>
      </c>
      <c r="E29251" t="s">
        <v>20816</v>
      </c>
    </row>
    <row r="29252" spans="1:5" x14ac:dyDescent="0.25">
      <c r="A29252" t="s">
        <v>9313</v>
      </c>
      <c r="B29252" t="s">
        <v>9314</v>
      </c>
      <c r="C29252" s="1" t="s">
        <v>23490</v>
      </c>
      <c r="D29252" s="1" t="str">
        <f>HYPERLINK("https://rhld.insurance.arkansas.gov/NPILookup?Npi=1336792746","1336792746")</f>
        <v>1336792746</v>
      </c>
      <c r="E29252" t="s">
        <v>21329</v>
      </c>
    </row>
    <row r="29253" spans="1:5" x14ac:dyDescent="0.25">
      <c r="A29253" t="s">
        <v>9313</v>
      </c>
      <c r="B29253" t="s">
        <v>9314</v>
      </c>
      <c r="C29253" s="1" t="s">
        <v>23490</v>
      </c>
      <c r="D29253" s="1" t="str">
        <f>HYPERLINK("https://rhld.insurance.arkansas.gov/NPILookup?Npi=1346248572","1346248572")</f>
        <v>1346248572</v>
      </c>
      <c r="E29253" t="s">
        <v>9542</v>
      </c>
    </row>
    <row r="29254" spans="1:5" x14ac:dyDescent="0.25">
      <c r="A29254" t="s">
        <v>9313</v>
      </c>
      <c r="B29254" t="s">
        <v>9314</v>
      </c>
      <c r="C29254" s="1" t="s">
        <v>23490</v>
      </c>
      <c r="D29254" s="1" t="str">
        <f>HYPERLINK("https://rhld.insurance.arkansas.gov/NPILookup?Npi=1346275690","1346275690")</f>
        <v>1346275690</v>
      </c>
      <c r="E29254" t="s">
        <v>9543</v>
      </c>
    </row>
    <row r="29255" spans="1:5" x14ac:dyDescent="0.25">
      <c r="A29255" t="s">
        <v>9313</v>
      </c>
      <c r="B29255" t="s">
        <v>9314</v>
      </c>
      <c r="C29255" s="1" t="s">
        <v>23490</v>
      </c>
      <c r="D29255" s="1" t="str">
        <f>HYPERLINK("https://rhld.insurance.arkansas.gov/NPILookup?Npi=1346291580","1346291580")</f>
        <v>1346291580</v>
      </c>
      <c r="E29255" t="s">
        <v>12345</v>
      </c>
    </row>
    <row r="29256" spans="1:5" x14ac:dyDescent="0.25">
      <c r="A29256" t="s">
        <v>9313</v>
      </c>
      <c r="B29256" t="s">
        <v>9314</v>
      </c>
      <c r="C29256" s="1" t="s">
        <v>23490</v>
      </c>
      <c r="D29256" s="1" t="str">
        <f>HYPERLINK("https://rhld.insurance.arkansas.gov/NPILookup?Npi=1346308129","1346308129")</f>
        <v>1346308129</v>
      </c>
      <c r="E29256" t="s">
        <v>9544</v>
      </c>
    </row>
    <row r="29257" spans="1:5" x14ac:dyDescent="0.25">
      <c r="A29257" t="s">
        <v>9313</v>
      </c>
      <c r="B29257" t="s">
        <v>9314</v>
      </c>
      <c r="C29257" s="1" t="s">
        <v>23490</v>
      </c>
      <c r="D29257" s="1" t="str">
        <f>HYPERLINK("https://rhld.insurance.arkansas.gov/NPILookup?Npi=1346320819","1346320819")</f>
        <v>1346320819</v>
      </c>
      <c r="E29257" t="s">
        <v>9545</v>
      </c>
    </row>
    <row r="29258" spans="1:5" x14ac:dyDescent="0.25">
      <c r="A29258" t="s">
        <v>9313</v>
      </c>
      <c r="B29258" t="s">
        <v>9314</v>
      </c>
      <c r="C29258" s="1" t="s">
        <v>23490</v>
      </c>
      <c r="D29258" s="1" t="str">
        <f>HYPERLINK("https://rhld.insurance.arkansas.gov/NPILookup?Npi=1346326568","1346326568")</f>
        <v>1346326568</v>
      </c>
      <c r="E29258" t="s">
        <v>9546</v>
      </c>
    </row>
    <row r="29259" spans="1:5" x14ac:dyDescent="0.25">
      <c r="A29259" t="s">
        <v>9313</v>
      </c>
      <c r="B29259" t="s">
        <v>9314</v>
      </c>
      <c r="C29259" s="1" t="s">
        <v>23490</v>
      </c>
      <c r="D29259" s="1" t="str">
        <f>HYPERLINK("https://rhld.insurance.arkansas.gov/NPILookup?Npi=1346339645","1346339645")</f>
        <v>1346339645</v>
      </c>
      <c r="E29259" t="s">
        <v>12346</v>
      </c>
    </row>
    <row r="29260" spans="1:5" x14ac:dyDescent="0.25">
      <c r="A29260" t="s">
        <v>9313</v>
      </c>
      <c r="B29260" t="s">
        <v>9314</v>
      </c>
      <c r="C29260" s="1" t="s">
        <v>23490</v>
      </c>
      <c r="D29260" s="1" t="str">
        <f>HYPERLINK("https://rhld.insurance.arkansas.gov/NPILookup?Npi=1346368180","1346368180")</f>
        <v>1346368180</v>
      </c>
      <c r="E29260" t="s">
        <v>9547</v>
      </c>
    </row>
    <row r="29261" spans="1:5" x14ac:dyDescent="0.25">
      <c r="A29261" t="s">
        <v>9313</v>
      </c>
      <c r="B29261" t="s">
        <v>9314</v>
      </c>
      <c r="C29261" s="1" t="s">
        <v>23490</v>
      </c>
      <c r="D29261" s="1" t="str">
        <f>HYPERLINK("https://rhld.insurance.arkansas.gov/NPILookup?Npi=1346448560","1346448560")</f>
        <v>1346448560</v>
      </c>
      <c r="E29261" t="s">
        <v>9548</v>
      </c>
    </row>
    <row r="29262" spans="1:5" x14ac:dyDescent="0.25">
      <c r="A29262" t="s">
        <v>9313</v>
      </c>
      <c r="B29262" t="s">
        <v>9314</v>
      </c>
      <c r="C29262" s="1" t="s">
        <v>23490</v>
      </c>
      <c r="D29262" s="1" t="str">
        <f>HYPERLINK("https://rhld.insurance.arkansas.gov/NPILookup?Npi=1346454865","1346454865")</f>
        <v>1346454865</v>
      </c>
      <c r="E29262" t="s">
        <v>9549</v>
      </c>
    </row>
    <row r="29263" spans="1:5" x14ac:dyDescent="0.25">
      <c r="A29263" t="s">
        <v>9313</v>
      </c>
      <c r="B29263" t="s">
        <v>9314</v>
      </c>
      <c r="C29263" s="1" t="s">
        <v>23490</v>
      </c>
      <c r="D29263" s="1" t="str">
        <f>HYPERLINK("https://rhld.insurance.arkansas.gov/NPILookup?Npi=1346458304","1346458304")</f>
        <v>1346458304</v>
      </c>
      <c r="E29263" t="s">
        <v>12347</v>
      </c>
    </row>
    <row r="29264" spans="1:5" x14ac:dyDescent="0.25">
      <c r="A29264" t="s">
        <v>9313</v>
      </c>
      <c r="B29264" t="s">
        <v>9314</v>
      </c>
      <c r="C29264" s="1" t="s">
        <v>23490</v>
      </c>
      <c r="D29264" s="1" t="str">
        <f>HYPERLINK("https://rhld.insurance.arkansas.gov/NPILookup?Npi=1346467131","1346467131")</f>
        <v>1346467131</v>
      </c>
      <c r="E29264" t="s">
        <v>12348</v>
      </c>
    </row>
    <row r="29265" spans="1:5" x14ac:dyDescent="0.25">
      <c r="A29265" t="s">
        <v>9313</v>
      </c>
      <c r="B29265" t="s">
        <v>9314</v>
      </c>
      <c r="C29265" s="1" t="s">
        <v>23490</v>
      </c>
      <c r="D29265" s="1" t="str">
        <f>HYPERLINK("https://rhld.insurance.arkansas.gov/NPILookup?Npi=1346478195","1346478195")</f>
        <v>1346478195</v>
      </c>
      <c r="E29265" t="s">
        <v>12349</v>
      </c>
    </row>
    <row r="29266" spans="1:5" x14ac:dyDescent="0.25">
      <c r="A29266" t="s">
        <v>9313</v>
      </c>
      <c r="B29266" t="s">
        <v>9314</v>
      </c>
      <c r="C29266" s="1" t="s">
        <v>23490</v>
      </c>
      <c r="D29266" s="1" t="str">
        <f>HYPERLINK("https://rhld.insurance.arkansas.gov/NPILookup?Npi=1346529815","1346529815")</f>
        <v>1346529815</v>
      </c>
      <c r="E29266" t="s">
        <v>5458</v>
      </c>
    </row>
    <row r="29267" spans="1:5" x14ac:dyDescent="0.25">
      <c r="A29267" t="s">
        <v>9313</v>
      </c>
      <c r="B29267" t="s">
        <v>9314</v>
      </c>
      <c r="C29267" s="1" t="s">
        <v>23490</v>
      </c>
      <c r="D29267" s="1" t="str">
        <f>HYPERLINK("https://rhld.insurance.arkansas.gov/NPILookup?Npi=1346658242","1346658242")</f>
        <v>1346658242</v>
      </c>
      <c r="E29267" t="s">
        <v>9550</v>
      </c>
    </row>
    <row r="29268" spans="1:5" x14ac:dyDescent="0.25">
      <c r="A29268" t="s">
        <v>9313</v>
      </c>
      <c r="B29268" t="s">
        <v>9314</v>
      </c>
      <c r="C29268" s="1" t="s">
        <v>23490</v>
      </c>
      <c r="D29268" s="1" t="str">
        <f>HYPERLINK("https://rhld.insurance.arkansas.gov/NPILookup?Npi=1346693249","1346693249")</f>
        <v>1346693249</v>
      </c>
      <c r="E29268" t="s">
        <v>22766</v>
      </c>
    </row>
    <row r="29269" spans="1:5" x14ac:dyDescent="0.25">
      <c r="A29269" t="s">
        <v>9313</v>
      </c>
      <c r="B29269" t="s">
        <v>9314</v>
      </c>
      <c r="C29269" s="1" t="s">
        <v>23490</v>
      </c>
      <c r="D29269" s="1" t="str">
        <f>HYPERLINK("https://rhld.insurance.arkansas.gov/NPILookup?Npi=1346807674","1346807674")</f>
        <v>1346807674</v>
      </c>
      <c r="E29269" t="s">
        <v>22767</v>
      </c>
    </row>
    <row r="29270" spans="1:5" x14ac:dyDescent="0.25">
      <c r="A29270" t="s">
        <v>9313</v>
      </c>
      <c r="B29270" t="s">
        <v>9314</v>
      </c>
      <c r="C29270" s="1" t="s">
        <v>23490</v>
      </c>
      <c r="D29270" s="1" t="str">
        <f>HYPERLINK("https://rhld.insurance.arkansas.gov/NPILookup?Npi=1356331359","1356331359")</f>
        <v>1356331359</v>
      </c>
      <c r="E29270" t="s">
        <v>22768</v>
      </c>
    </row>
    <row r="29271" spans="1:5" x14ac:dyDescent="0.25">
      <c r="A29271" t="s">
        <v>9313</v>
      </c>
      <c r="B29271" t="s">
        <v>9314</v>
      </c>
      <c r="C29271" s="1" t="s">
        <v>23490</v>
      </c>
      <c r="D29271" s="1" t="str">
        <f>HYPERLINK("https://rhld.insurance.arkansas.gov/NPILookup?Npi=1356358170","1356358170")</f>
        <v>1356358170</v>
      </c>
      <c r="E29271" t="s">
        <v>9551</v>
      </c>
    </row>
    <row r="29272" spans="1:5" x14ac:dyDescent="0.25">
      <c r="A29272" t="s">
        <v>9313</v>
      </c>
      <c r="B29272" t="s">
        <v>9314</v>
      </c>
      <c r="C29272" s="1" t="s">
        <v>23490</v>
      </c>
      <c r="D29272" s="1" t="str">
        <f>HYPERLINK("https://rhld.insurance.arkansas.gov/NPILookup?Npi=1356358691","1356358691")</f>
        <v>1356358691</v>
      </c>
      <c r="E29272" t="s">
        <v>9437</v>
      </c>
    </row>
    <row r="29273" spans="1:5" x14ac:dyDescent="0.25">
      <c r="A29273" t="s">
        <v>9313</v>
      </c>
      <c r="B29273" t="s">
        <v>9314</v>
      </c>
      <c r="C29273" s="1" t="s">
        <v>23490</v>
      </c>
      <c r="D29273" s="1" t="str">
        <f>HYPERLINK("https://rhld.insurance.arkansas.gov/NPILookup?Npi=1356408173","1356408173")</f>
        <v>1356408173</v>
      </c>
      <c r="E29273" t="s">
        <v>20817</v>
      </c>
    </row>
    <row r="29274" spans="1:5" x14ac:dyDescent="0.25">
      <c r="A29274" t="s">
        <v>9313</v>
      </c>
      <c r="B29274" t="s">
        <v>9314</v>
      </c>
      <c r="C29274" s="1" t="s">
        <v>23490</v>
      </c>
      <c r="D29274" s="1" t="str">
        <f>HYPERLINK("https://rhld.insurance.arkansas.gov/NPILookup?Npi=1356412902","1356412902")</f>
        <v>1356412902</v>
      </c>
      <c r="E29274" t="s">
        <v>12350</v>
      </c>
    </row>
    <row r="29275" spans="1:5" x14ac:dyDescent="0.25">
      <c r="A29275" t="s">
        <v>9313</v>
      </c>
      <c r="B29275" t="s">
        <v>9314</v>
      </c>
      <c r="C29275" s="1" t="s">
        <v>23490</v>
      </c>
      <c r="D29275" s="1" t="str">
        <f>HYPERLINK("https://rhld.insurance.arkansas.gov/NPILookup?Npi=1356421481","1356421481")</f>
        <v>1356421481</v>
      </c>
      <c r="E29275" t="s">
        <v>9552</v>
      </c>
    </row>
    <row r="29276" spans="1:5" x14ac:dyDescent="0.25">
      <c r="A29276" t="s">
        <v>9313</v>
      </c>
      <c r="B29276" t="s">
        <v>9314</v>
      </c>
      <c r="C29276" s="1" t="s">
        <v>23490</v>
      </c>
      <c r="D29276" s="1" t="str">
        <f>HYPERLINK("https://rhld.insurance.arkansas.gov/NPILookup?Npi=1356443410","1356443410")</f>
        <v>1356443410</v>
      </c>
      <c r="E29276" t="s">
        <v>12351</v>
      </c>
    </row>
    <row r="29277" spans="1:5" x14ac:dyDescent="0.25">
      <c r="A29277" t="s">
        <v>9313</v>
      </c>
      <c r="B29277" t="s">
        <v>9314</v>
      </c>
      <c r="C29277" s="1" t="s">
        <v>23490</v>
      </c>
      <c r="D29277" s="1" t="str">
        <f>HYPERLINK("https://rhld.insurance.arkansas.gov/NPILookup?Npi=1356443907","1356443907")</f>
        <v>1356443907</v>
      </c>
      <c r="E29277" t="s">
        <v>9553</v>
      </c>
    </row>
    <row r="29278" spans="1:5" x14ac:dyDescent="0.25">
      <c r="A29278" t="s">
        <v>9313</v>
      </c>
      <c r="B29278" t="s">
        <v>9314</v>
      </c>
      <c r="C29278" s="1" t="s">
        <v>23490</v>
      </c>
      <c r="D29278" s="1" t="str">
        <f>HYPERLINK("https://rhld.insurance.arkansas.gov/NPILookup?Npi=1356721914","1356721914")</f>
        <v>1356721914</v>
      </c>
      <c r="E29278" t="s">
        <v>12352</v>
      </c>
    </row>
    <row r="29279" spans="1:5" x14ac:dyDescent="0.25">
      <c r="A29279" t="s">
        <v>9313</v>
      </c>
      <c r="B29279" t="s">
        <v>9314</v>
      </c>
      <c r="C29279" s="1" t="s">
        <v>23490</v>
      </c>
      <c r="D29279" s="1" t="str">
        <f>HYPERLINK("https://rhld.insurance.arkansas.gov/NPILookup?Npi=1356742498","1356742498")</f>
        <v>1356742498</v>
      </c>
      <c r="E29279" t="s">
        <v>17319</v>
      </c>
    </row>
    <row r="29280" spans="1:5" x14ac:dyDescent="0.25">
      <c r="A29280" t="s">
        <v>9313</v>
      </c>
      <c r="B29280" t="s">
        <v>9314</v>
      </c>
      <c r="C29280" s="1" t="s">
        <v>8427</v>
      </c>
      <c r="D29280" s="1" t="str">
        <f>HYPERLINK("https://rhld.insurance.arkansas.gov/NPILookup?Npi=1356748784","1356748784")</f>
        <v>1356748784</v>
      </c>
      <c r="E29280" t="s">
        <v>23354</v>
      </c>
    </row>
    <row r="29281" spans="1:5" x14ac:dyDescent="0.25">
      <c r="A29281" t="s">
        <v>9313</v>
      </c>
      <c r="B29281" t="s">
        <v>9314</v>
      </c>
      <c r="C29281" s="1" t="s">
        <v>23490</v>
      </c>
      <c r="D29281" s="1" t="str">
        <f>HYPERLINK("https://rhld.insurance.arkansas.gov/NPILookup?Npi=1356780399","1356780399")</f>
        <v>1356780399</v>
      </c>
      <c r="E29281" t="s">
        <v>12353</v>
      </c>
    </row>
    <row r="29282" spans="1:5" x14ac:dyDescent="0.25">
      <c r="A29282" t="s">
        <v>9313</v>
      </c>
      <c r="B29282" t="s">
        <v>9314</v>
      </c>
      <c r="C29282" s="1" t="s">
        <v>23490</v>
      </c>
      <c r="D29282" s="1" t="str">
        <f>HYPERLINK("https://rhld.insurance.arkansas.gov/NPILookup?Npi=1356809677","1356809677")</f>
        <v>1356809677</v>
      </c>
      <c r="E29282" t="s">
        <v>18586</v>
      </c>
    </row>
    <row r="29283" spans="1:5" x14ac:dyDescent="0.25">
      <c r="A29283" t="s">
        <v>9313</v>
      </c>
      <c r="B29283" t="s">
        <v>9314</v>
      </c>
      <c r="C29283" s="1" t="s">
        <v>23490</v>
      </c>
      <c r="D29283" s="1" t="str">
        <f>HYPERLINK("https://rhld.insurance.arkansas.gov/NPILookup?Npi=1356871180","1356871180")</f>
        <v>1356871180</v>
      </c>
      <c r="E29283" t="s">
        <v>3292</v>
      </c>
    </row>
    <row r="29284" spans="1:5" x14ac:dyDescent="0.25">
      <c r="A29284" t="s">
        <v>9313</v>
      </c>
      <c r="B29284" t="s">
        <v>9314</v>
      </c>
      <c r="C29284" s="1" t="s">
        <v>23490</v>
      </c>
      <c r="D29284" s="1" t="str">
        <f>HYPERLINK("https://rhld.insurance.arkansas.gov/NPILookup?Npi=1356925986","1356925986")</f>
        <v>1356925986</v>
      </c>
      <c r="E29284" t="s">
        <v>18587</v>
      </c>
    </row>
    <row r="29285" spans="1:5" x14ac:dyDescent="0.25">
      <c r="A29285" t="s">
        <v>9313</v>
      </c>
      <c r="B29285" t="s">
        <v>9314</v>
      </c>
      <c r="C29285" s="1" t="s">
        <v>23490</v>
      </c>
      <c r="D29285" s="1" t="str">
        <f>HYPERLINK("https://rhld.insurance.arkansas.gov/NPILookup?Npi=1366015349","1366015349")</f>
        <v>1366015349</v>
      </c>
      <c r="E29285" t="s">
        <v>23355</v>
      </c>
    </row>
    <row r="29286" spans="1:5" x14ac:dyDescent="0.25">
      <c r="A29286" t="s">
        <v>9313</v>
      </c>
      <c r="B29286" t="s">
        <v>9314</v>
      </c>
      <c r="C29286" s="1" t="s">
        <v>23490</v>
      </c>
      <c r="D29286" s="1" t="str">
        <f>HYPERLINK("https://rhld.insurance.arkansas.gov/NPILookup?Npi=1366173270","1366173270")</f>
        <v>1366173270</v>
      </c>
      <c r="E29286" t="s">
        <v>21330</v>
      </c>
    </row>
    <row r="29287" spans="1:5" x14ac:dyDescent="0.25">
      <c r="A29287" t="s">
        <v>9313</v>
      </c>
      <c r="B29287" t="s">
        <v>9314</v>
      </c>
      <c r="C29287" s="1" t="s">
        <v>23490</v>
      </c>
      <c r="D29287" s="1" t="str">
        <f>HYPERLINK("https://rhld.insurance.arkansas.gov/NPILookup?Npi=1366525172","1366525172")</f>
        <v>1366525172</v>
      </c>
      <c r="E29287" t="s">
        <v>9556</v>
      </c>
    </row>
    <row r="29288" spans="1:5" x14ac:dyDescent="0.25">
      <c r="A29288" t="s">
        <v>9313</v>
      </c>
      <c r="B29288" t="s">
        <v>9314</v>
      </c>
      <c r="C29288" s="1" t="s">
        <v>23490</v>
      </c>
      <c r="D29288" s="1" t="str">
        <f>HYPERLINK("https://rhld.insurance.arkansas.gov/NPILookup?Npi=1366577504","1366577504")</f>
        <v>1366577504</v>
      </c>
      <c r="E29288" t="s">
        <v>12354</v>
      </c>
    </row>
    <row r="29289" spans="1:5" x14ac:dyDescent="0.25">
      <c r="A29289" t="s">
        <v>9313</v>
      </c>
      <c r="B29289" t="s">
        <v>9314</v>
      </c>
      <c r="C29289" s="1" t="s">
        <v>23490</v>
      </c>
      <c r="D29289" s="1" t="str">
        <f>HYPERLINK("https://rhld.insurance.arkansas.gov/NPILookup?Npi=1366599391","1366599391")</f>
        <v>1366599391</v>
      </c>
      <c r="E29289" t="s">
        <v>12355</v>
      </c>
    </row>
    <row r="29290" spans="1:5" x14ac:dyDescent="0.25">
      <c r="A29290" t="s">
        <v>9313</v>
      </c>
      <c r="B29290" t="s">
        <v>9314</v>
      </c>
      <c r="C29290" s="1" t="s">
        <v>23490</v>
      </c>
      <c r="D29290" s="1" t="str">
        <f>HYPERLINK("https://rhld.insurance.arkansas.gov/NPILookup?Npi=1366782906","1366782906")</f>
        <v>1366782906</v>
      </c>
      <c r="E29290" t="s">
        <v>12356</v>
      </c>
    </row>
    <row r="29291" spans="1:5" x14ac:dyDescent="0.25">
      <c r="A29291" t="s">
        <v>9313</v>
      </c>
      <c r="B29291" t="s">
        <v>9314</v>
      </c>
      <c r="C29291" s="1" t="s">
        <v>23490</v>
      </c>
      <c r="D29291" s="1" t="str">
        <f>HYPERLINK("https://rhld.insurance.arkansas.gov/NPILookup?Npi=1366824500","1366824500")</f>
        <v>1366824500</v>
      </c>
      <c r="E29291" t="s">
        <v>12357</v>
      </c>
    </row>
    <row r="29292" spans="1:5" x14ac:dyDescent="0.25">
      <c r="A29292" t="s">
        <v>9313</v>
      </c>
      <c r="B29292" t="s">
        <v>9314</v>
      </c>
      <c r="C29292" s="1" t="s">
        <v>23490</v>
      </c>
      <c r="D29292" s="1" t="str">
        <f>HYPERLINK("https://rhld.insurance.arkansas.gov/NPILookup?Npi=1366881906","1366881906")</f>
        <v>1366881906</v>
      </c>
      <c r="E29292" t="s">
        <v>12358</v>
      </c>
    </row>
    <row r="29293" spans="1:5" x14ac:dyDescent="0.25">
      <c r="A29293" t="s">
        <v>9313</v>
      </c>
      <c r="B29293" t="s">
        <v>9314</v>
      </c>
      <c r="C29293" s="1" t="s">
        <v>23490</v>
      </c>
      <c r="D29293" s="1" t="str">
        <f>HYPERLINK("https://rhld.insurance.arkansas.gov/NPILookup?Npi=1366937906","1366937906")</f>
        <v>1366937906</v>
      </c>
      <c r="E29293" t="s">
        <v>8960</v>
      </c>
    </row>
    <row r="29294" spans="1:5" x14ac:dyDescent="0.25">
      <c r="A29294" t="s">
        <v>9313</v>
      </c>
      <c r="B29294" t="s">
        <v>9314</v>
      </c>
      <c r="C29294" s="1" t="s">
        <v>23490</v>
      </c>
      <c r="D29294" s="1" t="str">
        <f>HYPERLINK("https://rhld.insurance.arkansas.gov/NPILookup?Npi=1366995201","1366995201")</f>
        <v>1366995201</v>
      </c>
      <c r="E29294" t="s">
        <v>12359</v>
      </c>
    </row>
    <row r="29295" spans="1:5" x14ac:dyDescent="0.25">
      <c r="A29295" t="s">
        <v>9313</v>
      </c>
      <c r="B29295" t="s">
        <v>9314</v>
      </c>
      <c r="C29295" s="1" t="s">
        <v>23490</v>
      </c>
      <c r="D29295" s="1" t="str">
        <f>HYPERLINK("https://rhld.insurance.arkansas.gov/NPILookup?Npi=1376029397","1376029397")</f>
        <v>1376029397</v>
      </c>
      <c r="E29295" t="s">
        <v>20818</v>
      </c>
    </row>
    <row r="29296" spans="1:5" x14ac:dyDescent="0.25">
      <c r="A29296" t="s">
        <v>9313</v>
      </c>
      <c r="B29296" t="s">
        <v>9314</v>
      </c>
      <c r="C29296" s="1" t="s">
        <v>23490</v>
      </c>
      <c r="D29296" s="1" t="str">
        <f>HYPERLINK("https://rhld.insurance.arkansas.gov/NPILookup?Npi=1376071498","1376071498")</f>
        <v>1376071498</v>
      </c>
      <c r="E29296" t="s">
        <v>18588</v>
      </c>
    </row>
    <row r="29297" spans="1:5" x14ac:dyDescent="0.25">
      <c r="A29297" t="s">
        <v>9313</v>
      </c>
      <c r="B29297" t="s">
        <v>9314</v>
      </c>
      <c r="C29297" s="1" t="s">
        <v>23490</v>
      </c>
      <c r="D29297" s="1" t="str">
        <f>HYPERLINK("https://rhld.insurance.arkansas.gov/NPILookup?Npi=1376102228","1376102228")</f>
        <v>1376102228</v>
      </c>
      <c r="E29297" t="s">
        <v>16794</v>
      </c>
    </row>
    <row r="29298" spans="1:5" x14ac:dyDescent="0.25">
      <c r="A29298" t="s">
        <v>9313</v>
      </c>
      <c r="B29298" t="s">
        <v>9314</v>
      </c>
      <c r="C29298" s="1" t="s">
        <v>23490</v>
      </c>
      <c r="D29298" s="1" t="str">
        <f>HYPERLINK("https://rhld.insurance.arkansas.gov/NPILookup?Npi=1376108571","1376108571")</f>
        <v>1376108571</v>
      </c>
      <c r="E29298" t="s">
        <v>18589</v>
      </c>
    </row>
    <row r="29299" spans="1:5" x14ac:dyDescent="0.25">
      <c r="A29299" t="s">
        <v>9313</v>
      </c>
      <c r="B29299" t="s">
        <v>9314</v>
      </c>
      <c r="C29299" s="1" t="s">
        <v>23490</v>
      </c>
      <c r="D29299" s="1" t="str">
        <f>HYPERLINK("https://rhld.insurance.arkansas.gov/NPILookup?Npi=1376195800","1376195800")</f>
        <v>1376195800</v>
      </c>
      <c r="E29299" t="s">
        <v>17782</v>
      </c>
    </row>
    <row r="29300" spans="1:5" x14ac:dyDescent="0.25">
      <c r="A29300" t="s">
        <v>9313</v>
      </c>
      <c r="B29300" t="s">
        <v>9314</v>
      </c>
      <c r="C29300" s="1" t="s">
        <v>23490</v>
      </c>
      <c r="D29300" s="1" t="str">
        <f>HYPERLINK("https://rhld.insurance.arkansas.gov/NPILookup?Npi=1376514356","1376514356")</f>
        <v>1376514356</v>
      </c>
      <c r="E29300" t="s">
        <v>12360</v>
      </c>
    </row>
    <row r="29301" spans="1:5" x14ac:dyDescent="0.25">
      <c r="A29301" t="s">
        <v>9313</v>
      </c>
      <c r="B29301" t="s">
        <v>9314</v>
      </c>
      <c r="C29301" s="1" t="s">
        <v>23490</v>
      </c>
      <c r="D29301" s="1" t="str">
        <f>HYPERLINK("https://rhld.insurance.arkansas.gov/NPILookup?Npi=1376562637","1376562637")</f>
        <v>1376562637</v>
      </c>
      <c r="E29301" t="s">
        <v>12361</v>
      </c>
    </row>
    <row r="29302" spans="1:5" x14ac:dyDescent="0.25">
      <c r="A29302" t="s">
        <v>9313</v>
      </c>
      <c r="B29302" t="s">
        <v>9314</v>
      </c>
      <c r="C29302" s="1" t="s">
        <v>23490</v>
      </c>
      <c r="D29302" s="1" t="str">
        <f>HYPERLINK("https://rhld.insurance.arkansas.gov/NPILookup?Npi=1376606046","1376606046")</f>
        <v>1376606046</v>
      </c>
      <c r="E29302" t="s">
        <v>9557</v>
      </c>
    </row>
    <row r="29303" spans="1:5" x14ac:dyDescent="0.25">
      <c r="A29303" t="s">
        <v>9313</v>
      </c>
      <c r="B29303" t="s">
        <v>9314</v>
      </c>
      <c r="C29303" s="1" t="s">
        <v>23490</v>
      </c>
      <c r="D29303" s="1" t="str">
        <f>HYPERLINK("https://rhld.insurance.arkansas.gov/NPILookup?Npi=1376613711","1376613711")</f>
        <v>1376613711</v>
      </c>
      <c r="E29303" t="s">
        <v>12362</v>
      </c>
    </row>
    <row r="29304" spans="1:5" x14ac:dyDescent="0.25">
      <c r="A29304" t="s">
        <v>9313</v>
      </c>
      <c r="B29304" t="s">
        <v>9314</v>
      </c>
      <c r="C29304" s="1" t="s">
        <v>23490</v>
      </c>
      <c r="D29304" s="1" t="str">
        <f>HYPERLINK("https://rhld.insurance.arkansas.gov/NPILookup?Npi=1376616664","1376616664")</f>
        <v>1376616664</v>
      </c>
      <c r="E29304" t="s">
        <v>9558</v>
      </c>
    </row>
    <row r="29305" spans="1:5" x14ac:dyDescent="0.25">
      <c r="A29305" t="s">
        <v>9313</v>
      </c>
      <c r="B29305" t="s">
        <v>9314</v>
      </c>
      <c r="C29305" s="1" t="s">
        <v>23490</v>
      </c>
      <c r="D29305" s="1" t="str">
        <f>HYPERLINK("https://rhld.insurance.arkansas.gov/NPILookup?Npi=1376616946","1376616946")</f>
        <v>1376616946</v>
      </c>
      <c r="E29305" t="s">
        <v>9559</v>
      </c>
    </row>
    <row r="29306" spans="1:5" x14ac:dyDescent="0.25">
      <c r="A29306" t="s">
        <v>9313</v>
      </c>
      <c r="B29306" t="s">
        <v>9314</v>
      </c>
      <c r="C29306" s="1" t="s">
        <v>23490</v>
      </c>
      <c r="D29306" s="1" t="str">
        <f>HYPERLINK("https://rhld.insurance.arkansas.gov/NPILookup?Npi=1376617662","1376617662")</f>
        <v>1376617662</v>
      </c>
      <c r="E29306" t="s">
        <v>9560</v>
      </c>
    </row>
    <row r="29307" spans="1:5" x14ac:dyDescent="0.25">
      <c r="A29307" t="s">
        <v>9313</v>
      </c>
      <c r="B29307" t="s">
        <v>9314</v>
      </c>
      <c r="C29307" s="1" t="s">
        <v>23490</v>
      </c>
      <c r="D29307" s="1" t="str">
        <f>HYPERLINK("https://rhld.insurance.arkansas.gov/NPILookup?Npi=1376634006","1376634006")</f>
        <v>1376634006</v>
      </c>
      <c r="E29307" t="s">
        <v>9561</v>
      </c>
    </row>
    <row r="29308" spans="1:5" x14ac:dyDescent="0.25">
      <c r="A29308" t="s">
        <v>9313</v>
      </c>
      <c r="B29308" t="s">
        <v>9314</v>
      </c>
      <c r="C29308" s="1" t="s">
        <v>23490</v>
      </c>
      <c r="D29308" s="1" t="str">
        <f>HYPERLINK("https://rhld.insurance.arkansas.gov/NPILookup?Npi=1376637546","1376637546")</f>
        <v>1376637546</v>
      </c>
      <c r="E29308" t="s">
        <v>12363</v>
      </c>
    </row>
    <row r="29309" spans="1:5" x14ac:dyDescent="0.25">
      <c r="A29309" t="s">
        <v>9313</v>
      </c>
      <c r="B29309" t="s">
        <v>9314</v>
      </c>
      <c r="C29309" s="1" t="s">
        <v>23490</v>
      </c>
      <c r="D29309" s="1" t="str">
        <f>HYPERLINK("https://rhld.insurance.arkansas.gov/NPILookup?Npi=1376637587","1376637587")</f>
        <v>1376637587</v>
      </c>
      <c r="E29309" t="s">
        <v>9563</v>
      </c>
    </row>
    <row r="29310" spans="1:5" x14ac:dyDescent="0.25">
      <c r="A29310" t="s">
        <v>9313</v>
      </c>
      <c r="B29310" t="s">
        <v>9314</v>
      </c>
      <c r="C29310" s="1" t="s">
        <v>23490</v>
      </c>
      <c r="D29310" s="1" t="str">
        <f>HYPERLINK("https://rhld.insurance.arkansas.gov/NPILookup?Npi=1376651604","1376651604")</f>
        <v>1376651604</v>
      </c>
      <c r="E29310" t="s">
        <v>12364</v>
      </c>
    </row>
    <row r="29311" spans="1:5" x14ac:dyDescent="0.25">
      <c r="A29311" t="s">
        <v>9313</v>
      </c>
      <c r="B29311" t="s">
        <v>9314</v>
      </c>
      <c r="C29311" s="1" t="s">
        <v>23490</v>
      </c>
      <c r="D29311" s="1" t="str">
        <f>HYPERLINK("https://rhld.insurance.arkansas.gov/NPILookup?Npi=1376685859","1376685859")</f>
        <v>1376685859</v>
      </c>
      <c r="E29311" t="s">
        <v>12365</v>
      </c>
    </row>
    <row r="29312" spans="1:5" x14ac:dyDescent="0.25">
      <c r="A29312" t="s">
        <v>9313</v>
      </c>
      <c r="B29312" t="s">
        <v>9314</v>
      </c>
      <c r="C29312" s="1" t="s">
        <v>23490</v>
      </c>
      <c r="D29312" s="1" t="str">
        <f>HYPERLINK("https://rhld.insurance.arkansas.gov/NPILookup?Npi=1376686899","1376686899")</f>
        <v>1376686899</v>
      </c>
      <c r="E29312" t="s">
        <v>12366</v>
      </c>
    </row>
    <row r="29313" spans="1:5" x14ac:dyDescent="0.25">
      <c r="A29313" t="s">
        <v>9313</v>
      </c>
      <c r="B29313" t="s">
        <v>9314</v>
      </c>
      <c r="C29313" s="1" t="s">
        <v>23490</v>
      </c>
      <c r="D29313" s="1" t="str">
        <f>HYPERLINK("https://rhld.insurance.arkansas.gov/NPILookup?Npi=1376740142","1376740142")</f>
        <v>1376740142</v>
      </c>
      <c r="E29313" t="s">
        <v>9564</v>
      </c>
    </row>
    <row r="29314" spans="1:5" x14ac:dyDescent="0.25">
      <c r="A29314" t="s">
        <v>9313</v>
      </c>
      <c r="B29314" t="s">
        <v>9314</v>
      </c>
      <c r="C29314" s="1" t="s">
        <v>23490</v>
      </c>
      <c r="D29314" s="1" t="str">
        <f>HYPERLINK("https://rhld.insurance.arkansas.gov/NPILookup?Npi=1376758052","1376758052")</f>
        <v>1376758052</v>
      </c>
      <c r="E29314" t="s">
        <v>12367</v>
      </c>
    </row>
    <row r="29315" spans="1:5" x14ac:dyDescent="0.25">
      <c r="A29315" t="s">
        <v>9313</v>
      </c>
      <c r="B29315" t="s">
        <v>9314</v>
      </c>
      <c r="C29315" s="1" t="s">
        <v>23490</v>
      </c>
      <c r="D29315" s="1" t="str">
        <f>HYPERLINK("https://rhld.insurance.arkansas.gov/NPILookup?Npi=1376807537","1376807537")</f>
        <v>1376807537</v>
      </c>
      <c r="E29315" t="s">
        <v>9565</v>
      </c>
    </row>
    <row r="29316" spans="1:5" x14ac:dyDescent="0.25">
      <c r="A29316" t="s">
        <v>9313</v>
      </c>
      <c r="B29316" t="s">
        <v>9314</v>
      </c>
      <c r="C29316" s="1" t="s">
        <v>23490</v>
      </c>
      <c r="D29316" s="1" t="str">
        <f>HYPERLINK("https://rhld.insurance.arkansas.gov/NPILookup?Npi=1376863035","1376863035")</f>
        <v>1376863035</v>
      </c>
      <c r="E29316" t="s">
        <v>9567</v>
      </c>
    </row>
    <row r="29317" spans="1:5" x14ac:dyDescent="0.25">
      <c r="A29317" t="s">
        <v>9313</v>
      </c>
      <c r="B29317" t="s">
        <v>9314</v>
      </c>
      <c r="C29317" s="1" t="s">
        <v>23490</v>
      </c>
      <c r="D29317" s="1" t="str">
        <f>HYPERLINK("https://rhld.insurance.arkansas.gov/NPILookup?Npi=1376994434","1376994434")</f>
        <v>1376994434</v>
      </c>
      <c r="E29317" t="s">
        <v>12368</v>
      </c>
    </row>
    <row r="29318" spans="1:5" x14ac:dyDescent="0.25">
      <c r="A29318" t="s">
        <v>9313</v>
      </c>
      <c r="B29318" t="s">
        <v>9314</v>
      </c>
      <c r="C29318" s="1" t="s">
        <v>23490</v>
      </c>
      <c r="D29318" s="1" t="str">
        <f>HYPERLINK("https://rhld.insurance.arkansas.gov/NPILookup?Npi=1386121655","1386121655")</f>
        <v>1386121655</v>
      </c>
      <c r="E29318" t="s">
        <v>17783</v>
      </c>
    </row>
    <row r="29319" spans="1:5" x14ac:dyDescent="0.25">
      <c r="A29319" t="s">
        <v>9313</v>
      </c>
      <c r="B29319" t="s">
        <v>9314</v>
      </c>
      <c r="C29319" s="1" t="s">
        <v>23490</v>
      </c>
      <c r="D29319" s="1" t="str">
        <f>HYPERLINK("https://rhld.insurance.arkansas.gov/NPILookup?Npi=1386380285","1386380285")</f>
        <v>1386380285</v>
      </c>
      <c r="E29319" t="s">
        <v>21331</v>
      </c>
    </row>
    <row r="29320" spans="1:5" x14ac:dyDescent="0.25">
      <c r="A29320" t="s">
        <v>9313</v>
      </c>
      <c r="B29320" t="s">
        <v>9314</v>
      </c>
      <c r="C29320" s="1" t="s">
        <v>23490</v>
      </c>
      <c r="D29320" s="1" t="str">
        <f>HYPERLINK("https://rhld.insurance.arkansas.gov/NPILookup?Npi=1386705044","1386705044")</f>
        <v>1386705044</v>
      </c>
      <c r="E29320" t="s">
        <v>12369</v>
      </c>
    </row>
    <row r="29321" spans="1:5" x14ac:dyDescent="0.25">
      <c r="A29321" t="s">
        <v>9313</v>
      </c>
      <c r="B29321" t="s">
        <v>9314</v>
      </c>
      <c r="C29321" s="1" t="s">
        <v>23490</v>
      </c>
      <c r="D29321" s="1" t="str">
        <f>HYPERLINK("https://rhld.insurance.arkansas.gov/NPILookup?Npi=1386706224","1386706224")</f>
        <v>1386706224</v>
      </c>
      <c r="E29321" t="s">
        <v>9568</v>
      </c>
    </row>
    <row r="29322" spans="1:5" x14ac:dyDescent="0.25">
      <c r="A29322" t="s">
        <v>9313</v>
      </c>
      <c r="B29322" t="s">
        <v>9314</v>
      </c>
      <c r="C29322" s="1" t="s">
        <v>23490</v>
      </c>
      <c r="D29322" s="1" t="str">
        <f>HYPERLINK("https://rhld.insurance.arkansas.gov/NPILookup?Npi=1386726362","1386726362")</f>
        <v>1386726362</v>
      </c>
      <c r="E29322" t="s">
        <v>9569</v>
      </c>
    </row>
    <row r="29323" spans="1:5" x14ac:dyDescent="0.25">
      <c r="A29323" t="s">
        <v>9313</v>
      </c>
      <c r="B29323" t="s">
        <v>9314</v>
      </c>
      <c r="C29323" s="1" t="s">
        <v>23490</v>
      </c>
      <c r="D29323" s="1" t="str">
        <f>HYPERLINK("https://rhld.insurance.arkansas.gov/NPILookup?Npi=1386740686","1386740686")</f>
        <v>1386740686</v>
      </c>
      <c r="E29323" t="s">
        <v>9570</v>
      </c>
    </row>
    <row r="29324" spans="1:5" x14ac:dyDescent="0.25">
      <c r="A29324" t="s">
        <v>9313</v>
      </c>
      <c r="B29324" t="s">
        <v>9314</v>
      </c>
      <c r="C29324" s="1" t="s">
        <v>23490</v>
      </c>
      <c r="D29324" s="1" t="str">
        <f>HYPERLINK("https://rhld.insurance.arkansas.gov/NPILookup?Npi=1386843050","1386843050")</f>
        <v>1386843050</v>
      </c>
      <c r="E29324" t="s">
        <v>1012</v>
      </c>
    </row>
    <row r="29325" spans="1:5" x14ac:dyDescent="0.25">
      <c r="A29325" t="s">
        <v>9313</v>
      </c>
      <c r="B29325" t="s">
        <v>9314</v>
      </c>
      <c r="C29325" s="1" t="s">
        <v>23490</v>
      </c>
      <c r="D29325" s="1" t="str">
        <f>HYPERLINK("https://rhld.insurance.arkansas.gov/NPILookup?Npi=1386863595","1386863595")</f>
        <v>1386863595</v>
      </c>
      <c r="E29325" t="s">
        <v>4333</v>
      </c>
    </row>
    <row r="29326" spans="1:5" x14ac:dyDescent="0.25">
      <c r="A29326" t="s">
        <v>9313</v>
      </c>
      <c r="B29326" t="s">
        <v>9314</v>
      </c>
      <c r="C29326" s="1" t="s">
        <v>23490</v>
      </c>
      <c r="D29326" s="1" t="str">
        <f>HYPERLINK("https://rhld.insurance.arkansas.gov/NPILookup?Npi=1386932143","1386932143")</f>
        <v>1386932143</v>
      </c>
      <c r="E29326" t="s">
        <v>9572</v>
      </c>
    </row>
    <row r="29327" spans="1:5" x14ac:dyDescent="0.25">
      <c r="A29327" t="s">
        <v>9313</v>
      </c>
      <c r="B29327" t="s">
        <v>9314</v>
      </c>
      <c r="C29327" s="1" t="s">
        <v>23490</v>
      </c>
      <c r="D29327" s="1" t="str">
        <f>HYPERLINK("https://rhld.insurance.arkansas.gov/NPILookup?Npi=1386965655","1386965655")</f>
        <v>1386965655</v>
      </c>
      <c r="E29327" t="s">
        <v>12371</v>
      </c>
    </row>
    <row r="29328" spans="1:5" x14ac:dyDescent="0.25">
      <c r="A29328" t="s">
        <v>9313</v>
      </c>
      <c r="B29328" t="s">
        <v>9314</v>
      </c>
      <c r="C29328" s="1" t="s">
        <v>23490</v>
      </c>
      <c r="D29328" s="1" t="str">
        <f>HYPERLINK("https://rhld.insurance.arkansas.gov/NPILookup?Npi=1386993525","1386993525")</f>
        <v>1386993525</v>
      </c>
      <c r="E29328" t="s">
        <v>9573</v>
      </c>
    </row>
    <row r="29329" spans="1:5" x14ac:dyDescent="0.25">
      <c r="A29329" t="s">
        <v>9313</v>
      </c>
      <c r="B29329" t="s">
        <v>9314</v>
      </c>
      <c r="C29329" s="1" t="s">
        <v>23490</v>
      </c>
      <c r="D29329" s="1" t="str">
        <f>HYPERLINK("https://rhld.insurance.arkansas.gov/NPILookup?Npi=1396024881","1396024881")</f>
        <v>1396024881</v>
      </c>
      <c r="E29329" t="s">
        <v>9574</v>
      </c>
    </row>
    <row r="29330" spans="1:5" x14ac:dyDescent="0.25">
      <c r="A29330" t="s">
        <v>9313</v>
      </c>
      <c r="B29330" t="s">
        <v>9314</v>
      </c>
      <c r="C29330" s="1" t="s">
        <v>23490</v>
      </c>
      <c r="D29330" s="1" t="str">
        <f>HYPERLINK("https://rhld.insurance.arkansas.gov/NPILookup?Npi=1396033148","1396033148")</f>
        <v>1396033148</v>
      </c>
      <c r="E29330" t="s">
        <v>12372</v>
      </c>
    </row>
    <row r="29331" spans="1:5" x14ac:dyDescent="0.25">
      <c r="A29331" t="s">
        <v>9313</v>
      </c>
      <c r="B29331" t="s">
        <v>9314</v>
      </c>
      <c r="C29331" s="1" t="s">
        <v>23490</v>
      </c>
      <c r="D29331" s="1" t="str">
        <f>HYPERLINK("https://rhld.insurance.arkansas.gov/NPILookup?Npi=1396056545","1396056545")</f>
        <v>1396056545</v>
      </c>
      <c r="E29331" t="s">
        <v>14602</v>
      </c>
    </row>
    <row r="29332" spans="1:5" x14ac:dyDescent="0.25">
      <c r="A29332" t="s">
        <v>9313</v>
      </c>
      <c r="B29332" t="s">
        <v>9314</v>
      </c>
      <c r="C29332" s="1" t="s">
        <v>23490</v>
      </c>
      <c r="D29332" s="1" t="str">
        <f>HYPERLINK("https://rhld.insurance.arkansas.gov/NPILookup?Npi=1396069878","1396069878")</f>
        <v>1396069878</v>
      </c>
      <c r="E29332" t="s">
        <v>9575</v>
      </c>
    </row>
    <row r="29333" spans="1:5" x14ac:dyDescent="0.25">
      <c r="A29333" t="s">
        <v>9313</v>
      </c>
      <c r="B29333" t="s">
        <v>9314</v>
      </c>
      <c r="C29333" s="1" t="s">
        <v>23490</v>
      </c>
      <c r="D29333" s="1" t="str">
        <f>HYPERLINK("https://rhld.insurance.arkansas.gov/NPILookup?Npi=1396435483","1396435483")</f>
        <v>1396435483</v>
      </c>
      <c r="E29333" t="s">
        <v>22769</v>
      </c>
    </row>
    <row r="29334" spans="1:5" x14ac:dyDescent="0.25">
      <c r="A29334" t="s">
        <v>9313</v>
      </c>
      <c r="B29334" t="s">
        <v>9314</v>
      </c>
      <c r="C29334" s="1" t="s">
        <v>23490</v>
      </c>
      <c r="D29334" s="1" t="str">
        <f>HYPERLINK("https://rhld.insurance.arkansas.gov/NPILookup?Npi=1396474011","1396474011")</f>
        <v>1396474011</v>
      </c>
      <c r="E29334" t="s">
        <v>20819</v>
      </c>
    </row>
    <row r="29335" spans="1:5" x14ac:dyDescent="0.25">
      <c r="A29335" t="s">
        <v>9313</v>
      </c>
      <c r="B29335" t="s">
        <v>9314</v>
      </c>
      <c r="C29335" s="1" t="s">
        <v>23490</v>
      </c>
      <c r="D29335" s="1" t="str">
        <f>HYPERLINK("https://rhld.insurance.arkansas.gov/NPILookup?Npi=1396702908","1396702908")</f>
        <v>1396702908</v>
      </c>
      <c r="E29335" t="s">
        <v>12374</v>
      </c>
    </row>
    <row r="29336" spans="1:5" x14ac:dyDescent="0.25">
      <c r="A29336" t="s">
        <v>9313</v>
      </c>
      <c r="B29336" t="s">
        <v>9314</v>
      </c>
      <c r="C29336" s="1" t="s">
        <v>23490</v>
      </c>
      <c r="D29336" s="1" t="str">
        <f>HYPERLINK("https://rhld.insurance.arkansas.gov/NPILookup?Npi=1396721882","1396721882")</f>
        <v>1396721882</v>
      </c>
      <c r="E29336" t="s">
        <v>12375</v>
      </c>
    </row>
    <row r="29337" spans="1:5" x14ac:dyDescent="0.25">
      <c r="A29337" t="s">
        <v>9313</v>
      </c>
      <c r="B29337" t="s">
        <v>9314</v>
      </c>
      <c r="C29337" s="1" t="s">
        <v>23490</v>
      </c>
      <c r="D29337" s="1" t="str">
        <f>HYPERLINK("https://rhld.insurance.arkansas.gov/NPILookup?Npi=1396756508","1396756508")</f>
        <v>1396756508</v>
      </c>
      <c r="E29337" t="s">
        <v>12376</v>
      </c>
    </row>
    <row r="29338" spans="1:5" x14ac:dyDescent="0.25">
      <c r="A29338" t="s">
        <v>9313</v>
      </c>
      <c r="B29338" t="s">
        <v>9314</v>
      </c>
      <c r="C29338" s="1" t="s">
        <v>23490</v>
      </c>
      <c r="D29338" s="1" t="str">
        <f>HYPERLINK("https://rhld.insurance.arkansas.gov/NPILookup?Npi=1396842456","1396842456")</f>
        <v>1396842456</v>
      </c>
      <c r="E29338" t="s">
        <v>9576</v>
      </c>
    </row>
    <row r="29339" spans="1:5" x14ac:dyDescent="0.25">
      <c r="A29339" t="s">
        <v>9313</v>
      </c>
      <c r="B29339" t="s">
        <v>9314</v>
      </c>
      <c r="C29339" s="1" t="s">
        <v>23490</v>
      </c>
      <c r="D29339" s="1" t="str">
        <f>HYPERLINK("https://rhld.insurance.arkansas.gov/NPILookup?Npi=1396848834","1396848834")</f>
        <v>1396848834</v>
      </c>
      <c r="E29339" t="s">
        <v>12377</v>
      </c>
    </row>
    <row r="29340" spans="1:5" x14ac:dyDescent="0.25">
      <c r="A29340" t="s">
        <v>9313</v>
      </c>
      <c r="B29340" t="s">
        <v>9314</v>
      </c>
      <c r="C29340" s="1" t="s">
        <v>23490</v>
      </c>
      <c r="D29340" s="1" t="str">
        <f>HYPERLINK("https://rhld.insurance.arkansas.gov/NPILookup?Npi=1396854014","1396854014")</f>
        <v>1396854014</v>
      </c>
      <c r="E29340" t="s">
        <v>9577</v>
      </c>
    </row>
    <row r="29341" spans="1:5" x14ac:dyDescent="0.25">
      <c r="A29341" t="s">
        <v>9313</v>
      </c>
      <c r="B29341" t="s">
        <v>9314</v>
      </c>
      <c r="C29341" s="1" t="s">
        <v>23490</v>
      </c>
      <c r="D29341" s="1" t="str">
        <f>HYPERLINK("https://rhld.insurance.arkansas.gov/NPILookup?Npi=1396881421","1396881421")</f>
        <v>1396881421</v>
      </c>
      <c r="E29341" t="s">
        <v>9578</v>
      </c>
    </row>
    <row r="29342" spans="1:5" x14ac:dyDescent="0.25">
      <c r="A29342" t="s">
        <v>9313</v>
      </c>
      <c r="B29342" t="s">
        <v>9314</v>
      </c>
      <c r="C29342" s="1" t="s">
        <v>23490</v>
      </c>
      <c r="D29342" s="1" t="str">
        <f>HYPERLINK("https://rhld.insurance.arkansas.gov/NPILookup?Npi=1396881900","1396881900")</f>
        <v>1396881900</v>
      </c>
      <c r="E29342" t="s">
        <v>12378</v>
      </c>
    </row>
    <row r="29343" spans="1:5" x14ac:dyDescent="0.25">
      <c r="A29343" t="s">
        <v>9313</v>
      </c>
      <c r="B29343" t="s">
        <v>9314</v>
      </c>
      <c r="C29343" s="1" t="s">
        <v>23490</v>
      </c>
      <c r="D29343" s="1" t="str">
        <f>HYPERLINK("https://rhld.insurance.arkansas.gov/NPILookup?Npi=1396915534","1396915534")</f>
        <v>1396915534</v>
      </c>
      <c r="E29343" t="s">
        <v>9579</v>
      </c>
    </row>
    <row r="29344" spans="1:5" x14ac:dyDescent="0.25">
      <c r="A29344" t="s">
        <v>9313</v>
      </c>
      <c r="B29344" t="s">
        <v>9314</v>
      </c>
      <c r="C29344" s="1" t="s">
        <v>23490</v>
      </c>
      <c r="D29344" s="1" t="str">
        <f>HYPERLINK("https://rhld.insurance.arkansas.gov/NPILookup?Npi=1407076144","1407076144")</f>
        <v>1407076144</v>
      </c>
      <c r="E29344" t="s">
        <v>9580</v>
      </c>
    </row>
    <row r="29345" spans="1:5" x14ac:dyDescent="0.25">
      <c r="A29345" t="s">
        <v>9313</v>
      </c>
      <c r="B29345" t="s">
        <v>9314</v>
      </c>
      <c r="C29345" s="1" t="s">
        <v>23490</v>
      </c>
      <c r="D29345" s="1" t="str">
        <f>HYPERLINK("https://rhld.insurance.arkansas.gov/NPILookup?Npi=1407086366","1407086366")</f>
        <v>1407086366</v>
      </c>
      <c r="E29345" t="s">
        <v>9581</v>
      </c>
    </row>
    <row r="29346" spans="1:5" x14ac:dyDescent="0.25">
      <c r="A29346" t="s">
        <v>9313</v>
      </c>
      <c r="B29346" t="s">
        <v>9314</v>
      </c>
      <c r="C29346" s="1" t="s">
        <v>23490</v>
      </c>
      <c r="D29346" s="1" t="str">
        <f>HYPERLINK("https://rhld.insurance.arkansas.gov/NPILookup?Npi=1407231251","1407231251")</f>
        <v>1407231251</v>
      </c>
      <c r="E29346" t="s">
        <v>9582</v>
      </c>
    </row>
    <row r="29347" spans="1:5" x14ac:dyDescent="0.25">
      <c r="A29347" t="s">
        <v>9313</v>
      </c>
      <c r="B29347" t="s">
        <v>9314</v>
      </c>
      <c r="C29347" s="1" t="s">
        <v>23490</v>
      </c>
      <c r="D29347" s="1" t="str">
        <f>HYPERLINK("https://rhld.insurance.arkansas.gov/NPILookup?Npi=1407236383","1407236383")</f>
        <v>1407236383</v>
      </c>
      <c r="E29347" t="s">
        <v>13292</v>
      </c>
    </row>
    <row r="29348" spans="1:5" x14ac:dyDescent="0.25">
      <c r="A29348" t="s">
        <v>9313</v>
      </c>
      <c r="B29348" t="s">
        <v>9314</v>
      </c>
      <c r="C29348" s="1" t="s">
        <v>23490</v>
      </c>
      <c r="D29348" s="1" t="str">
        <f>HYPERLINK("https://rhld.insurance.arkansas.gov/NPILookup?Npi=1407429376","1407429376")</f>
        <v>1407429376</v>
      </c>
      <c r="E29348" t="s">
        <v>19193</v>
      </c>
    </row>
    <row r="29349" spans="1:5" x14ac:dyDescent="0.25">
      <c r="A29349" t="s">
        <v>9313</v>
      </c>
      <c r="B29349" t="s">
        <v>9314</v>
      </c>
      <c r="C29349" s="1" t="s">
        <v>23490</v>
      </c>
      <c r="D29349" s="1" t="str">
        <f>HYPERLINK("https://rhld.insurance.arkansas.gov/NPILookup?Npi=1407878697","1407878697")</f>
        <v>1407878697</v>
      </c>
      <c r="E29349" t="s">
        <v>9584</v>
      </c>
    </row>
    <row r="29350" spans="1:5" x14ac:dyDescent="0.25">
      <c r="A29350" t="s">
        <v>9313</v>
      </c>
      <c r="B29350" t="s">
        <v>9314</v>
      </c>
      <c r="C29350" s="1" t="s">
        <v>23490</v>
      </c>
      <c r="D29350" s="1" t="str">
        <f>HYPERLINK("https://rhld.insurance.arkansas.gov/NPILookup?Npi=1407899123","1407899123")</f>
        <v>1407899123</v>
      </c>
      <c r="E29350" t="s">
        <v>12379</v>
      </c>
    </row>
    <row r="29351" spans="1:5" x14ac:dyDescent="0.25">
      <c r="A29351" t="s">
        <v>9313</v>
      </c>
      <c r="B29351" t="s">
        <v>9314</v>
      </c>
      <c r="C29351" s="1" t="s">
        <v>23490</v>
      </c>
      <c r="D29351" s="1" t="str">
        <f>HYPERLINK("https://rhld.insurance.arkansas.gov/NPILookup?Npi=1407905698","1407905698")</f>
        <v>1407905698</v>
      </c>
      <c r="E29351" t="s">
        <v>9585</v>
      </c>
    </row>
    <row r="29352" spans="1:5" x14ac:dyDescent="0.25">
      <c r="A29352" t="s">
        <v>9313</v>
      </c>
      <c r="B29352" t="s">
        <v>9314</v>
      </c>
      <c r="C29352" s="1" t="s">
        <v>8427</v>
      </c>
      <c r="D29352" s="1" t="str">
        <f>HYPERLINK("https://rhld.insurance.arkansas.gov/NPILookup?Npi=1407923717","1407923717")</f>
        <v>1407923717</v>
      </c>
      <c r="E29352" t="s">
        <v>9587</v>
      </c>
    </row>
    <row r="29353" spans="1:5" x14ac:dyDescent="0.25">
      <c r="A29353" t="s">
        <v>9313</v>
      </c>
      <c r="B29353" t="s">
        <v>9314</v>
      </c>
      <c r="C29353" s="1" t="s">
        <v>23490</v>
      </c>
      <c r="D29353" s="1" t="str">
        <f>HYPERLINK("https://rhld.insurance.arkansas.gov/NPILookup?Npi=1407942998","1407942998")</f>
        <v>1407942998</v>
      </c>
      <c r="E29353" t="s">
        <v>9588</v>
      </c>
    </row>
    <row r="29354" spans="1:5" x14ac:dyDescent="0.25">
      <c r="A29354" t="s">
        <v>9313</v>
      </c>
      <c r="B29354" t="s">
        <v>9314</v>
      </c>
      <c r="C29354" s="1" t="s">
        <v>23490</v>
      </c>
      <c r="D29354" s="1" t="str">
        <f>HYPERLINK("https://rhld.insurance.arkansas.gov/NPILookup?Npi=1407963762","1407963762")</f>
        <v>1407963762</v>
      </c>
      <c r="E29354" t="s">
        <v>21332</v>
      </c>
    </row>
    <row r="29355" spans="1:5" x14ac:dyDescent="0.25">
      <c r="A29355" t="s">
        <v>9313</v>
      </c>
      <c r="B29355" t="s">
        <v>9314</v>
      </c>
      <c r="C29355" s="1" t="s">
        <v>23490</v>
      </c>
      <c r="D29355" s="1" t="str">
        <f>HYPERLINK("https://rhld.insurance.arkansas.gov/NPILookup?Npi=1417026428","1417026428")</f>
        <v>1417026428</v>
      </c>
      <c r="E29355" t="s">
        <v>12380</v>
      </c>
    </row>
    <row r="29356" spans="1:5" x14ac:dyDescent="0.25">
      <c r="A29356" t="s">
        <v>9313</v>
      </c>
      <c r="B29356" t="s">
        <v>9314</v>
      </c>
      <c r="C29356" s="1" t="s">
        <v>23490</v>
      </c>
      <c r="D29356" s="1" t="str">
        <f>HYPERLINK("https://rhld.insurance.arkansas.gov/NPILookup?Npi=1417035395","1417035395")</f>
        <v>1417035395</v>
      </c>
      <c r="E29356" t="s">
        <v>9589</v>
      </c>
    </row>
    <row r="29357" spans="1:5" x14ac:dyDescent="0.25">
      <c r="A29357" t="s">
        <v>9313</v>
      </c>
      <c r="B29357" t="s">
        <v>9314</v>
      </c>
      <c r="C29357" s="1" t="s">
        <v>23490</v>
      </c>
      <c r="D29357" s="1" t="str">
        <f>HYPERLINK("https://rhld.insurance.arkansas.gov/NPILookup?Npi=1417048729","1417048729")</f>
        <v>1417048729</v>
      </c>
      <c r="E29357" t="s">
        <v>12381</v>
      </c>
    </row>
    <row r="29358" spans="1:5" x14ac:dyDescent="0.25">
      <c r="A29358" t="s">
        <v>9313</v>
      </c>
      <c r="B29358" t="s">
        <v>9314</v>
      </c>
      <c r="C29358" s="1" t="s">
        <v>23490</v>
      </c>
      <c r="D29358" s="1" t="str">
        <f>HYPERLINK("https://rhld.insurance.arkansas.gov/NPILookup?Npi=1417052945","1417052945")</f>
        <v>1417052945</v>
      </c>
      <c r="E29358" t="s">
        <v>9590</v>
      </c>
    </row>
    <row r="29359" spans="1:5" x14ac:dyDescent="0.25">
      <c r="A29359" t="s">
        <v>9313</v>
      </c>
      <c r="B29359" t="s">
        <v>9314</v>
      </c>
      <c r="C29359" s="1" t="s">
        <v>23490</v>
      </c>
      <c r="D29359" s="1" t="str">
        <f>HYPERLINK("https://rhld.insurance.arkansas.gov/NPILookup?Npi=1417166539","1417166539")</f>
        <v>1417166539</v>
      </c>
      <c r="E29359" t="s">
        <v>9591</v>
      </c>
    </row>
    <row r="29360" spans="1:5" x14ac:dyDescent="0.25">
      <c r="A29360" t="s">
        <v>9313</v>
      </c>
      <c r="B29360" t="s">
        <v>9314</v>
      </c>
      <c r="C29360" s="1" t="s">
        <v>23490</v>
      </c>
      <c r="D29360" s="1" t="str">
        <f>HYPERLINK("https://rhld.insurance.arkansas.gov/NPILookup?Npi=1417172206","1417172206")</f>
        <v>1417172206</v>
      </c>
      <c r="E29360" t="s">
        <v>20820</v>
      </c>
    </row>
    <row r="29361" spans="1:5" x14ac:dyDescent="0.25">
      <c r="A29361" t="s">
        <v>9313</v>
      </c>
      <c r="B29361" t="s">
        <v>9314</v>
      </c>
      <c r="C29361" s="1" t="s">
        <v>23490</v>
      </c>
      <c r="D29361" s="1" t="str">
        <f>HYPERLINK("https://rhld.insurance.arkansas.gov/NPILookup?Npi=1417211848","1417211848")</f>
        <v>1417211848</v>
      </c>
      <c r="E29361" t="s">
        <v>9592</v>
      </c>
    </row>
    <row r="29362" spans="1:5" x14ac:dyDescent="0.25">
      <c r="A29362" t="s">
        <v>9313</v>
      </c>
      <c r="B29362" t="s">
        <v>9314</v>
      </c>
      <c r="C29362" s="1" t="s">
        <v>23490</v>
      </c>
      <c r="D29362" s="1" t="str">
        <f>HYPERLINK("https://rhld.insurance.arkansas.gov/NPILookup?Npi=1417300674","1417300674")</f>
        <v>1417300674</v>
      </c>
      <c r="E29362" t="s">
        <v>12382</v>
      </c>
    </row>
    <row r="29363" spans="1:5" x14ac:dyDescent="0.25">
      <c r="A29363" t="s">
        <v>9313</v>
      </c>
      <c r="B29363" t="s">
        <v>9314</v>
      </c>
      <c r="C29363" s="1" t="s">
        <v>23490</v>
      </c>
      <c r="D29363" s="1" t="str">
        <f>HYPERLINK("https://rhld.insurance.arkansas.gov/NPILookup?Npi=1417398553","1417398553")</f>
        <v>1417398553</v>
      </c>
      <c r="E29363" t="s">
        <v>12383</v>
      </c>
    </row>
    <row r="29364" spans="1:5" x14ac:dyDescent="0.25">
      <c r="A29364" t="s">
        <v>9313</v>
      </c>
      <c r="B29364" t="s">
        <v>9314</v>
      </c>
      <c r="C29364" s="1" t="s">
        <v>23490</v>
      </c>
      <c r="D29364" s="1" t="str">
        <f>HYPERLINK("https://rhld.insurance.arkansas.gov/NPILookup?Npi=1417434739","1417434739")</f>
        <v>1417434739</v>
      </c>
      <c r="E29364" t="s">
        <v>17784</v>
      </c>
    </row>
    <row r="29365" spans="1:5" x14ac:dyDescent="0.25">
      <c r="A29365" t="s">
        <v>9313</v>
      </c>
      <c r="B29365" t="s">
        <v>9314</v>
      </c>
      <c r="C29365" s="1" t="s">
        <v>23490</v>
      </c>
      <c r="D29365" s="1" t="str">
        <f>HYPERLINK("https://rhld.insurance.arkansas.gov/NPILookup?Npi=1417486192","1417486192")</f>
        <v>1417486192</v>
      </c>
      <c r="E29365" t="s">
        <v>13293</v>
      </c>
    </row>
    <row r="29366" spans="1:5" x14ac:dyDescent="0.25">
      <c r="A29366" t="s">
        <v>9313</v>
      </c>
      <c r="B29366" t="s">
        <v>9314</v>
      </c>
      <c r="C29366" s="1" t="s">
        <v>23490</v>
      </c>
      <c r="D29366" s="1" t="str">
        <f>HYPERLINK("https://rhld.insurance.arkansas.gov/NPILookup?Npi=1417486754","1417486754")</f>
        <v>1417486754</v>
      </c>
      <c r="E29366" t="s">
        <v>12384</v>
      </c>
    </row>
    <row r="29367" spans="1:5" x14ac:dyDescent="0.25">
      <c r="A29367" t="s">
        <v>9313</v>
      </c>
      <c r="B29367" t="s">
        <v>9314</v>
      </c>
      <c r="C29367" s="1" t="s">
        <v>23490</v>
      </c>
      <c r="D29367" s="1" t="str">
        <f>HYPERLINK("https://rhld.insurance.arkansas.gov/NPILookup?Npi=1417486887","1417486887")</f>
        <v>1417486887</v>
      </c>
      <c r="E29367" t="s">
        <v>12385</v>
      </c>
    </row>
    <row r="29368" spans="1:5" x14ac:dyDescent="0.25">
      <c r="A29368" t="s">
        <v>9313</v>
      </c>
      <c r="B29368" t="s">
        <v>9314</v>
      </c>
      <c r="C29368" s="1" t="s">
        <v>8427</v>
      </c>
      <c r="D29368" s="1" t="str">
        <f>HYPERLINK("https://rhld.insurance.arkansas.gov/NPILookup?Npi=1417565482","1417565482")</f>
        <v>1417565482</v>
      </c>
      <c r="E29368" t="s">
        <v>23356</v>
      </c>
    </row>
    <row r="29369" spans="1:5" x14ac:dyDescent="0.25">
      <c r="A29369" t="s">
        <v>9313</v>
      </c>
      <c r="B29369" t="s">
        <v>9314</v>
      </c>
      <c r="C29369" s="1" t="s">
        <v>23490</v>
      </c>
      <c r="D29369" s="1" t="str">
        <f>HYPERLINK("https://rhld.insurance.arkansas.gov/NPILookup?Npi=1417570425","1417570425")</f>
        <v>1417570425</v>
      </c>
      <c r="E29369" t="s">
        <v>17320</v>
      </c>
    </row>
    <row r="29370" spans="1:5" x14ac:dyDescent="0.25">
      <c r="A29370" t="s">
        <v>9313</v>
      </c>
      <c r="B29370" t="s">
        <v>9314</v>
      </c>
      <c r="C29370" s="1" t="s">
        <v>23490</v>
      </c>
      <c r="D29370" s="1" t="str">
        <f>HYPERLINK("https://rhld.insurance.arkansas.gov/NPILookup?Npi=1417964099","1417964099")</f>
        <v>1417964099</v>
      </c>
      <c r="E29370" t="s">
        <v>9593</v>
      </c>
    </row>
    <row r="29371" spans="1:5" x14ac:dyDescent="0.25">
      <c r="A29371" t="s">
        <v>9313</v>
      </c>
      <c r="B29371" t="s">
        <v>9314</v>
      </c>
      <c r="C29371" s="1" t="s">
        <v>23490</v>
      </c>
      <c r="D29371" s="1" t="str">
        <f>HYPERLINK("https://rhld.insurance.arkansas.gov/NPILookup?Npi=1417976275","1417976275")</f>
        <v>1417976275</v>
      </c>
      <c r="E29371" t="s">
        <v>9595</v>
      </c>
    </row>
    <row r="29372" spans="1:5" x14ac:dyDescent="0.25">
      <c r="A29372" t="s">
        <v>9313</v>
      </c>
      <c r="B29372" t="s">
        <v>9314</v>
      </c>
      <c r="C29372" s="1" t="s">
        <v>23490</v>
      </c>
      <c r="D29372" s="1" t="str">
        <f>HYPERLINK("https://rhld.insurance.arkansas.gov/NPILookup?Npi=1427038116","1427038116")</f>
        <v>1427038116</v>
      </c>
      <c r="E29372" t="s">
        <v>12386</v>
      </c>
    </row>
    <row r="29373" spans="1:5" x14ac:dyDescent="0.25">
      <c r="A29373" t="s">
        <v>9313</v>
      </c>
      <c r="B29373" t="s">
        <v>9314</v>
      </c>
      <c r="C29373" s="1" t="s">
        <v>23490</v>
      </c>
      <c r="D29373" s="1" t="str">
        <f>HYPERLINK("https://rhld.insurance.arkansas.gov/NPILookup?Npi=1427060979","1427060979")</f>
        <v>1427060979</v>
      </c>
      <c r="E29373" t="s">
        <v>9597</v>
      </c>
    </row>
    <row r="29374" spans="1:5" x14ac:dyDescent="0.25">
      <c r="A29374" t="s">
        <v>9313</v>
      </c>
      <c r="B29374" t="s">
        <v>9314</v>
      </c>
      <c r="C29374" s="1" t="s">
        <v>23490</v>
      </c>
      <c r="D29374" s="1" t="str">
        <f>HYPERLINK("https://rhld.insurance.arkansas.gov/NPILookup?Npi=1427072230","1427072230")</f>
        <v>1427072230</v>
      </c>
      <c r="E29374" t="s">
        <v>22771</v>
      </c>
    </row>
    <row r="29375" spans="1:5" x14ac:dyDescent="0.25">
      <c r="A29375" t="s">
        <v>9313</v>
      </c>
      <c r="B29375" t="s">
        <v>9314</v>
      </c>
      <c r="C29375" s="1" t="s">
        <v>23490</v>
      </c>
      <c r="D29375" s="1" t="str">
        <f>HYPERLINK("https://rhld.insurance.arkansas.gov/NPILookup?Npi=1427079904","1427079904")</f>
        <v>1427079904</v>
      </c>
      <c r="E29375" t="s">
        <v>12387</v>
      </c>
    </row>
    <row r="29376" spans="1:5" x14ac:dyDescent="0.25">
      <c r="A29376" t="s">
        <v>9313</v>
      </c>
      <c r="B29376" t="s">
        <v>9314</v>
      </c>
      <c r="C29376" s="1" t="s">
        <v>23490</v>
      </c>
      <c r="D29376" s="1" t="str">
        <f>HYPERLINK("https://rhld.insurance.arkansas.gov/NPILookup?Npi=1427087352","1427087352")</f>
        <v>1427087352</v>
      </c>
      <c r="E29376" t="s">
        <v>12388</v>
      </c>
    </row>
    <row r="29377" spans="1:5" x14ac:dyDescent="0.25">
      <c r="A29377" t="s">
        <v>9313</v>
      </c>
      <c r="B29377" t="s">
        <v>9314</v>
      </c>
      <c r="C29377" s="1" t="s">
        <v>23490</v>
      </c>
      <c r="D29377" s="1" t="str">
        <f>HYPERLINK("https://rhld.insurance.arkansas.gov/NPILookup?Npi=1427106640","1427106640")</f>
        <v>1427106640</v>
      </c>
      <c r="E29377" t="s">
        <v>12389</v>
      </c>
    </row>
    <row r="29378" spans="1:5" x14ac:dyDescent="0.25">
      <c r="A29378" t="s">
        <v>9313</v>
      </c>
      <c r="B29378" t="s">
        <v>9314</v>
      </c>
      <c r="C29378" s="1" t="s">
        <v>23490</v>
      </c>
      <c r="D29378" s="1" t="str">
        <f>HYPERLINK("https://rhld.insurance.arkansas.gov/NPILookup?Npi=1427107879","1427107879")</f>
        <v>1427107879</v>
      </c>
      <c r="E29378" t="s">
        <v>9598</v>
      </c>
    </row>
    <row r="29379" spans="1:5" x14ac:dyDescent="0.25">
      <c r="A29379" t="s">
        <v>9313</v>
      </c>
      <c r="B29379" t="s">
        <v>9314</v>
      </c>
      <c r="C29379" s="1" t="s">
        <v>23490</v>
      </c>
      <c r="D29379" s="1" t="str">
        <f>HYPERLINK("https://rhld.insurance.arkansas.gov/NPILookup?Npi=1427118983","1427118983")</f>
        <v>1427118983</v>
      </c>
      <c r="E29379" t="s">
        <v>9599</v>
      </c>
    </row>
    <row r="29380" spans="1:5" x14ac:dyDescent="0.25">
      <c r="A29380" t="s">
        <v>9313</v>
      </c>
      <c r="B29380" t="s">
        <v>9314</v>
      </c>
      <c r="C29380" s="1" t="s">
        <v>23490</v>
      </c>
      <c r="D29380" s="1" t="str">
        <f>HYPERLINK("https://rhld.insurance.arkansas.gov/NPILookup?Npi=1427122522","1427122522")</f>
        <v>1427122522</v>
      </c>
      <c r="E29380" t="s">
        <v>9600</v>
      </c>
    </row>
    <row r="29381" spans="1:5" x14ac:dyDescent="0.25">
      <c r="A29381" t="s">
        <v>9313</v>
      </c>
      <c r="B29381" t="s">
        <v>9314</v>
      </c>
      <c r="C29381" s="1" t="s">
        <v>23490</v>
      </c>
      <c r="D29381" s="1" t="str">
        <f>HYPERLINK("https://rhld.insurance.arkansas.gov/NPILookup?Npi=1427126135","1427126135")</f>
        <v>1427126135</v>
      </c>
      <c r="E29381" t="s">
        <v>9601</v>
      </c>
    </row>
    <row r="29382" spans="1:5" x14ac:dyDescent="0.25">
      <c r="A29382" t="s">
        <v>9313</v>
      </c>
      <c r="B29382" t="s">
        <v>9314</v>
      </c>
      <c r="C29382" s="1" t="s">
        <v>23490</v>
      </c>
      <c r="D29382" s="1" t="str">
        <f>HYPERLINK("https://rhld.insurance.arkansas.gov/NPILookup?Npi=1427146364","1427146364")</f>
        <v>1427146364</v>
      </c>
      <c r="E29382" t="s">
        <v>9602</v>
      </c>
    </row>
    <row r="29383" spans="1:5" x14ac:dyDescent="0.25">
      <c r="A29383" t="s">
        <v>9313</v>
      </c>
      <c r="B29383" t="s">
        <v>9314</v>
      </c>
      <c r="C29383" s="1" t="s">
        <v>23490</v>
      </c>
      <c r="D29383" s="1" t="str">
        <f>HYPERLINK("https://rhld.insurance.arkansas.gov/NPILookup?Npi=1427272624","1427272624")</f>
        <v>1427272624</v>
      </c>
      <c r="E29383" t="s">
        <v>9605</v>
      </c>
    </row>
    <row r="29384" spans="1:5" x14ac:dyDescent="0.25">
      <c r="A29384" t="s">
        <v>9313</v>
      </c>
      <c r="B29384" t="s">
        <v>9314</v>
      </c>
      <c r="C29384" s="1" t="s">
        <v>23490</v>
      </c>
      <c r="D29384" s="1" t="str">
        <f>HYPERLINK("https://rhld.insurance.arkansas.gov/NPILookup?Npi=1427431261","1427431261")</f>
        <v>1427431261</v>
      </c>
      <c r="E29384" t="s">
        <v>9606</v>
      </c>
    </row>
    <row r="29385" spans="1:5" x14ac:dyDescent="0.25">
      <c r="A29385" t="s">
        <v>9313</v>
      </c>
      <c r="B29385" t="s">
        <v>9314</v>
      </c>
      <c r="C29385" s="1" t="s">
        <v>23490</v>
      </c>
      <c r="D29385" s="1" t="str">
        <f>HYPERLINK("https://rhld.insurance.arkansas.gov/NPILookup?Npi=1427540111","1427540111")</f>
        <v>1427540111</v>
      </c>
      <c r="E29385" t="s">
        <v>14603</v>
      </c>
    </row>
    <row r="29386" spans="1:5" x14ac:dyDescent="0.25">
      <c r="A29386" t="s">
        <v>9313</v>
      </c>
      <c r="B29386" t="s">
        <v>9314</v>
      </c>
      <c r="C29386" s="1" t="s">
        <v>8427</v>
      </c>
      <c r="D29386" s="1" t="str">
        <f>HYPERLINK("https://rhld.insurance.arkansas.gov/NPILookup?Npi=1427642909","1427642909")</f>
        <v>1427642909</v>
      </c>
      <c r="E29386" t="s">
        <v>23357</v>
      </c>
    </row>
    <row r="29387" spans="1:5" x14ac:dyDescent="0.25">
      <c r="A29387" t="s">
        <v>9313</v>
      </c>
      <c r="B29387" t="s">
        <v>9314</v>
      </c>
      <c r="C29387" s="1" t="s">
        <v>23490</v>
      </c>
      <c r="D29387" s="1" t="str">
        <f>HYPERLINK("https://rhld.insurance.arkansas.gov/NPILookup?Npi=1437147337","1437147337")</f>
        <v>1437147337</v>
      </c>
      <c r="E29387" t="s">
        <v>12390</v>
      </c>
    </row>
    <row r="29388" spans="1:5" x14ac:dyDescent="0.25">
      <c r="A29388" t="s">
        <v>9313</v>
      </c>
      <c r="B29388" t="s">
        <v>9314</v>
      </c>
      <c r="C29388" s="1" t="s">
        <v>23490</v>
      </c>
      <c r="D29388" s="1" t="str">
        <f>HYPERLINK("https://rhld.insurance.arkansas.gov/NPILookup?Npi=1437155660","1437155660")</f>
        <v>1437155660</v>
      </c>
      <c r="E29388" t="s">
        <v>12391</v>
      </c>
    </row>
    <row r="29389" spans="1:5" x14ac:dyDescent="0.25">
      <c r="A29389" t="s">
        <v>9313</v>
      </c>
      <c r="B29389" t="s">
        <v>9314</v>
      </c>
      <c r="C29389" s="1" t="s">
        <v>23490</v>
      </c>
      <c r="D29389" s="1" t="str">
        <f>HYPERLINK("https://rhld.insurance.arkansas.gov/NPILookup?Npi=1437163599","1437163599")</f>
        <v>1437163599</v>
      </c>
      <c r="E29389" t="s">
        <v>5682</v>
      </c>
    </row>
    <row r="29390" spans="1:5" x14ac:dyDescent="0.25">
      <c r="A29390" t="s">
        <v>9313</v>
      </c>
      <c r="B29390" t="s">
        <v>9314</v>
      </c>
      <c r="C29390" s="1" t="s">
        <v>23490</v>
      </c>
      <c r="D29390" s="1" t="str">
        <f>HYPERLINK("https://rhld.insurance.arkansas.gov/NPILookup?Npi=1437166758","1437166758")</f>
        <v>1437166758</v>
      </c>
      <c r="E29390" t="s">
        <v>9607</v>
      </c>
    </row>
    <row r="29391" spans="1:5" x14ac:dyDescent="0.25">
      <c r="A29391" t="s">
        <v>9313</v>
      </c>
      <c r="B29391" t="s">
        <v>9314</v>
      </c>
      <c r="C29391" s="1" t="s">
        <v>23490</v>
      </c>
      <c r="D29391" s="1" t="str">
        <f>HYPERLINK("https://rhld.insurance.arkansas.gov/NPILookup?Npi=1437237302","1437237302")</f>
        <v>1437237302</v>
      </c>
      <c r="E29391" t="s">
        <v>9608</v>
      </c>
    </row>
    <row r="29392" spans="1:5" x14ac:dyDescent="0.25">
      <c r="A29392" t="s">
        <v>9313</v>
      </c>
      <c r="B29392" t="s">
        <v>9314</v>
      </c>
      <c r="C29392" s="1" t="s">
        <v>23490</v>
      </c>
      <c r="D29392" s="1" t="str">
        <f>HYPERLINK("https://rhld.insurance.arkansas.gov/NPILookup?Npi=1437281235","1437281235")</f>
        <v>1437281235</v>
      </c>
      <c r="E29392" t="s">
        <v>11136</v>
      </c>
    </row>
    <row r="29393" spans="1:5" x14ac:dyDescent="0.25">
      <c r="A29393" t="s">
        <v>9313</v>
      </c>
      <c r="B29393" t="s">
        <v>9314</v>
      </c>
      <c r="C29393" s="1" t="s">
        <v>23490</v>
      </c>
      <c r="D29393" s="1" t="str">
        <f>HYPERLINK("https://rhld.insurance.arkansas.gov/NPILookup?Npi=1437292463","1437292463")</f>
        <v>1437292463</v>
      </c>
      <c r="E29393" t="s">
        <v>14604</v>
      </c>
    </row>
    <row r="29394" spans="1:5" x14ac:dyDescent="0.25">
      <c r="A29394" t="s">
        <v>9313</v>
      </c>
      <c r="B29394" t="s">
        <v>9314</v>
      </c>
      <c r="C29394" s="1" t="s">
        <v>23490</v>
      </c>
      <c r="D29394" s="1" t="str">
        <f>HYPERLINK("https://rhld.insurance.arkansas.gov/NPILookup?Npi=1437439304","1437439304")</f>
        <v>1437439304</v>
      </c>
      <c r="E29394" t="s">
        <v>20821</v>
      </c>
    </row>
    <row r="29395" spans="1:5" x14ac:dyDescent="0.25">
      <c r="A29395" t="s">
        <v>9313</v>
      </c>
      <c r="B29395" t="s">
        <v>9314</v>
      </c>
      <c r="C29395" s="1" t="s">
        <v>23490</v>
      </c>
      <c r="D29395" s="1" t="str">
        <f>HYPERLINK("https://rhld.insurance.arkansas.gov/NPILookup?Npi=1437444320","1437444320")</f>
        <v>1437444320</v>
      </c>
      <c r="E29395" t="s">
        <v>12392</v>
      </c>
    </row>
    <row r="29396" spans="1:5" x14ac:dyDescent="0.25">
      <c r="A29396" t="s">
        <v>9313</v>
      </c>
      <c r="B29396" t="s">
        <v>9314</v>
      </c>
      <c r="C29396" s="1" t="s">
        <v>23490</v>
      </c>
      <c r="D29396" s="1" t="str">
        <f>HYPERLINK("https://rhld.insurance.arkansas.gov/NPILookup?Npi=1437445400","1437445400")</f>
        <v>1437445400</v>
      </c>
      <c r="E29396" t="s">
        <v>9609</v>
      </c>
    </row>
    <row r="29397" spans="1:5" x14ac:dyDescent="0.25">
      <c r="A29397" t="s">
        <v>9313</v>
      </c>
      <c r="B29397" t="s">
        <v>9314</v>
      </c>
      <c r="C29397" s="1" t="s">
        <v>23490</v>
      </c>
      <c r="D29397" s="1" t="str">
        <f>HYPERLINK("https://rhld.insurance.arkansas.gov/NPILookup?Npi=1437602141","1437602141")</f>
        <v>1437602141</v>
      </c>
      <c r="E29397" t="s">
        <v>9610</v>
      </c>
    </row>
    <row r="29398" spans="1:5" x14ac:dyDescent="0.25">
      <c r="A29398" t="s">
        <v>9313</v>
      </c>
      <c r="B29398" t="s">
        <v>9314</v>
      </c>
      <c r="C29398" s="1" t="s">
        <v>23490</v>
      </c>
      <c r="D29398" s="1" t="str">
        <f>HYPERLINK("https://rhld.insurance.arkansas.gov/NPILookup?Npi=1437739018","1437739018")</f>
        <v>1437739018</v>
      </c>
      <c r="E29398" t="s">
        <v>22772</v>
      </c>
    </row>
    <row r="29399" spans="1:5" x14ac:dyDescent="0.25">
      <c r="A29399" t="s">
        <v>9313</v>
      </c>
      <c r="B29399" t="s">
        <v>9314</v>
      </c>
      <c r="C29399" s="1" t="s">
        <v>23490</v>
      </c>
      <c r="D29399" s="1" t="str">
        <f>HYPERLINK("https://rhld.insurance.arkansas.gov/NPILookup?Npi=1437871407","1437871407")</f>
        <v>1437871407</v>
      </c>
      <c r="E29399" t="s">
        <v>2334</v>
      </c>
    </row>
    <row r="29400" spans="1:5" x14ac:dyDescent="0.25">
      <c r="A29400" t="s">
        <v>9313</v>
      </c>
      <c r="B29400" t="s">
        <v>9314</v>
      </c>
      <c r="C29400" s="1" t="s">
        <v>23490</v>
      </c>
      <c r="D29400" s="1" t="str">
        <f>HYPERLINK("https://rhld.insurance.arkansas.gov/NPILookup?Npi=1437876943","1437876943")</f>
        <v>1437876943</v>
      </c>
      <c r="E29400" t="s">
        <v>22773</v>
      </c>
    </row>
    <row r="29401" spans="1:5" x14ac:dyDescent="0.25">
      <c r="A29401" t="s">
        <v>9313</v>
      </c>
      <c r="B29401" t="s">
        <v>9314</v>
      </c>
      <c r="C29401" s="1" t="s">
        <v>23490</v>
      </c>
      <c r="D29401" s="1" t="str">
        <f>HYPERLINK("https://rhld.insurance.arkansas.gov/NPILookup?Npi=1447276944","1447276944")</f>
        <v>1447276944</v>
      </c>
      <c r="E29401" t="s">
        <v>9612</v>
      </c>
    </row>
    <row r="29402" spans="1:5" x14ac:dyDescent="0.25">
      <c r="A29402" t="s">
        <v>9313</v>
      </c>
      <c r="B29402" t="s">
        <v>9314</v>
      </c>
      <c r="C29402" s="1" t="s">
        <v>23490</v>
      </c>
      <c r="D29402" s="1" t="str">
        <f>HYPERLINK("https://rhld.insurance.arkansas.gov/NPILookup?Npi=1447306972","1447306972")</f>
        <v>1447306972</v>
      </c>
      <c r="E29402" t="s">
        <v>9613</v>
      </c>
    </row>
    <row r="29403" spans="1:5" x14ac:dyDescent="0.25">
      <c r="A29403" t="s">
        <v>9313</v>
      </c>
      <c r="B29403" t="s">
        <v>9314</v>
      </c>
      <c r="C29403" s="1" t="s">
        <v>23490</v>
      </c>
      <c r="D29403" s="1" t="str">
        <f>HYPERLINK("https://rhld.insurance.arkansas.gov/NPILookup?Npi=1447309364","1447309364")</f>
        <v>1447309364</v>
      </c>
      <c r="E29403" t="s">
        <v>9614</v>
      </c>
    </row>
    <row r="29404" spans="1:5" x14ac:dyDescent="0.25">
      <c r="A29404" t="s">
        <v>9313</v>
      </c>
      <c r="B29404" t="s">
        <v>9314</v>
      </c>
      <c r="C29404" s="1" t="s">
        <v>23490</v>
      </c>
      <c r="D29404" s="1" t="str">
        <f>HYPERLINK("https://rhld.insurance.arkansas.gov/NPILookup?Npi=1447309968","1447309968")</f>
        <v>1447309968</v>
      </c>
      <c r="E29404" t="s">
        <v>12393</v>
      </c>
    </row>
    <row r="29405" spans="1:5" x14ac:dyDescent="0.25">
      <c r="A29405" t="s">
        <v>9313</v>
      </c>
      <c r="B29405" t="s">
        <v>9314</v>
      </c>
      <c r="C29405" s="1" t="s">
        <v>23490</v>
      </c>
      <c r="D29405" s="1" t="str">
        <f>HYPERLINK("https://rhld.insurance.arkansas.gov/NPILookup?Npi=1447318464","1447318464")</f>
        <v>1447318464</v>
      </c>
      <c r="E29405" t="s">
        <v>9615</v>
      </c>
    </row>
    <row r="29406" spans="1:5" x14ac:dyDescent="0.25">
      <c r="A29406" t="s">
        <v>9313</v>
      </c>
      <c r="B29406" t="s">
        <v>9314</v>
      </c>
      <c r="C29406" s="1" t="s">
        <v>23490</v>
      </c>
      <c r="D29406" s="1" t="str">
        <f>HYPERLINK("https://rhld.insurance.arkansas.gov/NPILookup?Npi=1447319561","1447319561")</f>
        <v>1447319561</v>
      </c>
      <c r="E29406" t="s">
        <v>23358</v>
      </c>
    </row>
    <row r="29407" spans="1:5" x14ac:dyDescent="0.25">
      <c r="A29407" t="s">
        <v>9313</v>
      </c>
      <c r="B29407" t="s">
        <v>9314</v>
      </c>
      <c r="C29407" s="1" t="s">
        <v>23490</v>
      </c>
      <c r="D29407" s="1" t="str">
        <f>HYPERLINK("https://rhld.insurance.arkansas.gov/NPILookup?Npi=1447321708","1447321708")</f>
        <v>1447321708</v>
      </c>
      <c r="E29407" t="s">
        <v>9617</v>
      </c>
    </row>
    <row r="29408" spans="1:5" x14ac:dyDescent="0.25">
      <c r="A29408" t="s">
        <v>9313</v>
      </c>
      <c r="B29408" t="s">
        <v>9314</v>
      </c>
      <c r="C29408" s="1" t="s">
        <v>23490</v>
      </c>
      <c r="D29408" s="1" t="str">
        <f>HYPERLINK("https://rhld.insurance.arkansas.gov/NPILookup?Npi=1447366547","1447366547")</f>
        <v>1447366547</v>
      </c>
      <c r="E29408" t="s">
        <v>9618</v>
      </c>
    </row>
    <row r="29409" spans="1:5" x14ac:dyDescent="0.25">
      <c r="A29409" t="s">
        <v>9313</v>
      </c>
      <c r="B29409" t="s">
        <v>9314</v>
      </c>
      <c r="C29409" s="1" t="s">
        <v>23490</v>
      </c>
      <c r="D29409" s="1" t="str">
        <f>HYPERLINK("https://rhld.insurance.arkansas.gov/NPILookup?Npi=1447383526","1447383526")</f>
        <v>1447383526</v>
      </c>
      <c r="E29409" t="s">
        <v>13294</v>
      </c>
    </row>
    <row r="29410" spans="1:5" x14ac:dyDescent="0.25">
      <c r="A29410" t="s">
        <v>9313</v>
      </c>
      <c r="B29410" t="s">
        <v>9314</v>
      </c>
      <c r="C29410" s="1" t="s">
        <v>23490</v>
      </c>
      <c r="D29410" s="1" t="str">
        <f>HYPERLINK("https://rhld.insurance.arkansas.gov/NPILookup?Npi=1447383567","1447383567")</f>
        <v>1447383567</v>
      </c>
      <c r="E29410" t="s">
        <v>13295</v>
      </c>
    </row>
    <row r="29411" spans="1:5" x14ac:dyDescent="0.25">
      <c r="A29411" t="s">
        <v>9313</v>
      </c>
      <c r="B29411" t="s">
        <v>9314</v>
      </c>
      <c r="C29411" s="1" t="s">
        <v>23490</v>
      </c>
      <c r="D29411" s="1" t="str">
        <f>HYPERLINK("https://rhld.insurance.arkansas.gov/NPILookup?Npi=1447384417","1447384417")</f>
        <v>1447384417</v>
      </c>
      <c r="E29411" t="s">
        <v>21333</v>
      </c>
    </row>
    <row r="29412" spans="1:5" x14ac:dyDescent="0.25">
      <c r="A29412" t="s">
        <v>9313</v>
      </c>
      <c r="B29412" t="s">
        <v>9314</v>
      </c>
      <c r="C29412" s="1" t="s">
        <v>23490</v>
      </c>
      <c r="D29412" s="1" t="str">
        <f>HYPERLINK("https://rhld.insurance.arkansas.gov/NPILookup?Npi=1447419080","1447419080")</f>
        <v>1447419080</v>
      </c>
      <c r="E29412" t="s">
        <v>9619</v>
      </c>
    </row>
    <row r="29413" spans="1:5" x14ac:dyDescent="0.25">
      <c r="A29413" t="s">
        <v>9313</v>
      </c>
      <c r="B29413" t="s">
        <v>9314</v>
      </c>
      <c r="C29413" s="1" t="s">
        <v>23490</v>
      </c>
      <c r="D29413" s="1" t="str">
        <f>HYPERLINK("https://rhld.insurance.arkansas.gov/NPILookup?Npi=1447441241","1447441241")</f>
        <v>1447441241</v>
      </c>
      <c r="E29413" t="s">
        <v>9620</v>
      </c>
    </row>
    <row r="29414" spans="1:5" x14ac:dyDescent="0.25">
      <c r="A29414" t="s">
        <v>9313</v>
      </c>
      <c r="B29414" t="s">
        <v>9314</v>
      </c>
      <c r="C29414" s="1" t="s">
        <v>23490</v>
      </c>
      <c r="D29414" s="1" t="str">
        <f>HYPERLINK("https://rhld.insurance.arkansas.gov/NPILookup?Npi=1447515770","1447515770")</f>
        <v>1447515770</v>
      </c>
      <c r="E29414" t="s">
        <v>9621</v>
      </c>
    </row>
    <row r="29415" spans="1:5" x14ac:dyDescent="0.25">
      <c r="A29415" t="s">
        <v>9313</v>
      </c>
      <c r="B29415" t="s">
        <v>9314</v>
      </c>
      <c r="C29415" s="1" t="s">
        <v>23490</v>
      </c>
      <c r="D29415" s="1" t="str">
        <f>HYPERLINK("https://rhld.insurance.arkansas.gov/NPILookup?Npi=1447581269","1447581269")</f>
        <v>1447581269</v>
      </c>
      <c r="E29415" t="s">
        <v>3347</v>
      </c>
    </row>
    <row r="29416" spans="1:5" x14ac:dyDescent="0.25">
      <c r="A29416" t="s">
        <v>9313</v>
      </c>
      <c r="B29416" t="s">
        <v>9314</v>
      </c>
      <c r="C29416" s="1" t="s">
        <v>23490</v>
      </c>
      <c r="D29416" s="1" t="str">
        <f>HYPERLINK("https://rhld.insurance.arkansas.gov/NPILookup?Npi=1447664347","1447664347")</f>
        <v>1447664347</v>
      </c>
      <c r="E29416" t="s">
        <v>9622</v>
      </c>
    </row>
    <row r="29417" spans="1:5" x14ac:dyDescent="0.25">
      <c r="A29417" t="s">
        <v>9313</v>
      </c>
      <c r="B29417" t="s">
        <v>9314</v>
      </c>
      <c r="C29417" s="1" t="s">
        <v>23490</v>
      </c>
      <c r="D29417" s="1" t="str">
        <f>HYPERLINK("https://rhld.insurance.arkansas.gov/NPILookup?Npi=1447692264","1447692264")</f>
        <v>1447692264</v>
      </c>
      <c r="E29417" t="s">
        <v>12394</v>
      </c>
    </row>
    <row r="29418" spans="1:5" x14ac:dyDescent="0.25">
      <c r="A29418" t="s">
        <v>9313</v>
      </c>
      <c r="B29418" t="s">
        <v>9314</v>
      </c>
      <c r="C29418" s="1" t="s">
        <v>8427</v>
      </c>
      <c r="D29418" s="1" t="str">
        <f>HYPERLINK("https://rhld.insurance.arkansas.gov/NPILookup?Npi=1447789045","1447789045")</f>
        <v>1447789045</v>
      </c>
      <c r="E29418" t="s">
        <v>22875</v>
      </c>
    </row>
    <row r="29419" spans="1:5" x14ac:dyDescent="0.25">
      <c r="A29419" t="s">
        <v>9313</v>
      </c>
      <c r="B29419" t="s">
        <v>9314</v>
      </c>
      <c r="C29419" s="1" t="s">
        <v>23490</v>
      </c>
      <c r="D29419" s="1" t="str">
        <f>HYPERLINK("https://rhld.insurance.arkansas.gov/NPILookup?Npi=1447863147","1447863147")</f>
        <v>1447863147</v>
      </c>
      <c r="E29419" t="s">
        <v>21334</v>
      </c>
    </row>
    <row r="29420" spans="1:5" x14ac:dyDescent="0.25">
      <c r="A29420" t="s">
        <v>9313</v>
      </c>
      <c r="B29420" t="s">
        <v>9314</v>
      </c>
      <c r="C29420" s="1" t="s">
        <v>23490</v>
      </c>
      <c r="D29420" s="1" t="str">
        <f>HYPERLINK("https://rhld.insurance.arkansas.gov/NPILookup?Npi=1447924691","1447924691")</f>
        <v>1447924691</v>
      </c>
      <c r="E29420" t="s">
        <v>20822</v>
      </c>
    </row>
    <row r="29421" spans="1:5" x14ac:dyDescent="0.25">
      <c r="A29421" t="s">
        <v>9313</v>
      </c>
      <c r="B29421" t="s">
        <v>9314</v>
      </c>
      <c r="C29421" s="1" t="s">
        <v>23490</v>
      </c>
      <c r="D29421" s="1" t="str">
        <f>HYPERLINK("https://rhld.insurance.arkansas.gov/NPILookup?Npi=1457342362","1457342362")</f>
        <v>1457342362</v>
      </c>
      <c r="E29421" t="s">
        <v>12395</v>
      </c>
    </row>
    <row r="29422" spans="1:5" x14ac:dyDescent="0.25">
      <c r="A29422" t="s">
        <v>9313</v>
      </c>
      <c r="B29422" t="s">
        <v>9314</v>
      </c>
      <c r="C29422" s="1" t="s">
        <v>23490</v>
      </c>
      <c r="D29422" s="1" t="str">
        <f>HYPERLINK("https://rhld.insurance.arkansas.gov/NPILookup?Npi=1457360257","1457360257")</f>
        <v>1457360257</v>
      </c>
      <c r="E29422" t="s">
        <v>9623</v>
      </c>
    </row>
    <row r="29423" spans="1:5" x14ac:dyDescent="0.25">
      <c r="A29423" t="s">
        <v>9313</v>
      </c>
      <c r="B29423" t="s">
        <v>9314</v>
      </c>
      <c r="C29423" s="1" t="s">
        <v>23490</v>
      </c>
      <c r="D29423" s="1" t="str">
        <f>HYPERLINK("https://rhld.insurance.arkansas.gov/NPILookup?Npi=1457368250","1457368250")</f>
        <v>1457368250</v>
      </c>
      <c r="E29423" t="s">
        <v>12396</v>
      </c>
    </row>
    <row r="29424" spans="1:5" x14ac:dyDescent="0.25">
      <c r="A29424" t="s">
        <v>9313</v>
      </c>
      <c r="B29424" t="s">
        <v>9314</v>
      </c>
      <c r="C29424" s="1" t="s">
        <v>23490</v>
      </c>
      <c r="D29424" s="1" t="str">
        <f>HYPERLINK("https://rhld.insurance.arkansas.gov/NPILookup?Npi=1457369092","1457369092")</f>
        <v>1457369092</v>
      </c>
      <c r="E29424" t="s">
        <v>9624</v>
      </c>
    </row>
    <row r="29425" spans="1:5" x14ac:dyDescent="0.25">
      <c r="A29425" t="s">
        <v>9313</v>
      </c>
      <c r="B29425" t="s">
        <v>9314</v>
      </c>
      <c r="C29425" s="1" t="s">
        <v>23490</v>
      </c>
      <c r="D29425" s="1" t="str">
        <f>HYPERLINK("https://rhld.insurance.arkansas.gov/NPILookup?Npi=1457375271","1457375271")</f>
        <v>1457375271</v>
      </c>
      <c r="E29425" t="s">
        <v>8621</v>
      </c>
    </row>
    <row r="29426" spans="1:5" x14ac:dyDescent="0.25">
      <c r="A29426" t="s">
        <v>9313</v>
      </c>
      <c r="B29426" t="s">
        <v>9314</v>
      </c>
      <c r="C29426" s="1" t="s">
        <v>23490</v>
      </c>
      <c r="D29426" s="1" t="str">
        <f>HYPERLINK("https://rhld.insurance.arkansas.gov/NPILookup?Npi=1457376246","1457376246")</f>
        <v>1457376246</v>
      </c>
      <c r="E29426" t="s">
        <v>9625</v>
      </c>
    </row>
    <row r="29427" spans="1:5" x14ac:dyDescent="0.25">
      <c r="A29427" t="s">
        <v>9313</v>
      </c>
      <c r="B29427" t="s">
        <v>9314</v>
      </c>
      <c r="C29427" s="1" t="s">
        <v>23490</v>
      </c>
      <c r="D29427" s="1" t="str">
        <f>HYPERLINK("https://rhld.insurance.arkansas.gov/NPILookup?Npi=1457377012","1457377012")</f>
        <v>1457377012</v>
      </c>
      <c r="E29427" t="s">
        <v>9626</v>
      </c>
    </row>
    <row r="29428" spans="1:5" x14ac:dyDescent="0.25">
      <c r="A29428" t="s">
        <v>9313</v>
      </c>
      <c r="B29428" t="s">
        <v>9314</v>
      </c>
      <c r="C29428" s="1" t="s">
        <v>23490</v>
      </c>
      <c r="D29428" s="1" t="str">
        <f>HYPERLINK("https://rhld.insurance.arkansas.gov/NPILookup?Npi=1457426991","1457426991")</f>
        <v>1457426991</v>
      </c>
      <c r="E29428" t="s">
        <v>9627</v>
      </c>
    </row>
    <row r="29429" spans="1:5" x14ac:dyDescent="0.25">
      <c r="A29429" t="s">
        <v>9313</v>
      </c>
      <c r="B29429" t="s">
        <v>9314</v>
      </c>
      <c r="C29429" s="1" t="s">
        <v>23490</v>
      </c>
      <c r="D29429" s="1" t="str">
        <f>HYPERLINK("https://rhld.insurance.arkansas.gov/NPILookup?Npi=1457437642","1457437642")</f>
        <v>1457437642</v>
      </c>
      <c r="E29429" t="s">
        <v>9628</v>
      </c>
    </row>
    <row r="29430" spans="1:5" x14ac:dyDescent="0.25">
      <c r="A29430" t="s">
        <v>9313</v>
      </c>
      <c r="B29430" t="s">
        <v>9314</v>
      </c>
      <c r="C29430" s="1" t="s">
        <v>23490</v>
      </c>
      <c r="D29430" s="1" t="str">
        <f>HYPERLINK("https://rhld.insurance.arkansas.gov/NPILookup?Npi=1457455008","1457455008")</f>
        <v>1457455008</v>
      </c>
      <c r="E29430" t="s">
        <v>12397</v>
      </c>
    </row>
    <row r="29431" spans="1:5" x14ac:dyDescent="0.25">
      <c r="A29431" t="s">
        <v>9313</v>
      </c>
      <c r="B29431" t="s">
        <v>9314</v>
      </c>
      <c r="C29431" s="1" t="s">
        <v>23490</v>
      </c>
      <c r="D29431" s="1" t="str">
        <f>HYPERLINK("https://rhld.insurance.arkansas.gov/NPILookup?Npi=1457472862","1457472862")</f>
        <v>1457472862</v>
      </c>
      <c r="E29431" t="s">
        <v>12398</v>
      </c>
    </row>
    <row r="29432" spans="1:5" x14ac:dyDescent="0.25">
      <c r="A29432" t="s">
        <v>9313</v>
      </c>
      <c r="B29432" t="s">
        <v>9314</v>
      </c>
      <c r="C29432" s="1" t="s">
        <v>23490</v>
      </c>
      <c r="D29432" s="1" t="str">
        <f>HYPERLINK("https://rhld.insurance.arkansas.gov/NPILookup?Npi=1457509887","1457509887")</f>
        <v>1457509887</v>
      </c>
      <c r="E29432" t="s">
        <v>9629</v>
      </c>
    </row>
    <row r="29433" spans="1:5" x14ac:dyDescent="0.25">
      <c r="A29433" t="s">
        <v>9313</v>
      </c>
      <c r="B29433" t="s">
        <v>9314</v>
      </c>
      <c r="C29433" s="1" t="s">
        <v>23490</v>
      </c>
      <c r="D29433" s="1" t="str">
        <f>HYPERLINK("https://rhld.insurance.arkansas.gov/NPILookup?Npi=1457517062","1457517062")</f>
        <v>1457517062</v>
      </c>
      <c r="E29433" t="s">
        <v>9630</v>
      </c>
    </row>
    <row r="29434" spans="1:5" x14ac:dyDescent="0.25">
      <c r="A29434" t="s">
        <v>9313</v>
      </c>
      <c r="B29434" t="s">
        <v>9314</v>
      </c>
      <c r="C29434" s="1" t="s">
        <v>23490</v>
      </c>
      <c r="D29434" s="1" t="str">
        <f>HYPERLINK("https://rhld.insurance.arkansas.gov/NPILookup?Npi=1457612541","1457612541")</f>
        <v>1457612541</v>
      </c>
      <c r="E29434" t="s">
        <v>12399</v>
      </c>
    </row>
    <row r="29435" spans="1:5" x14ac:dyDescent="0.25">
      <c r="A29435" t="s">
        <v>9313</v>
      </c>
      <c r="B29435" t="s">
        <v>9314</v>
      </c>
      <c r="C29435" s="1" t="s">
        <v>23490</v>
      </c>
      <c r="D29435" s="1" t="str">
        <f>HYPERLINK("https://rhld.insurance.arkansas.gov/NPILookup?Npi=1457664906","1457664906")</f>
        <v>1457664906</v>
      </c>
      <c r="E29435" t="s">
        <v>12400</v>
      </c>
    </row>
    <row r="29436" spans="1:5" x14ac:dyDescent="0.25">
      <c r="A29436" t="s">
        <v>9313</v>
      </c>
      <c r="B29436" t="s">
        <v>9314</v>
      </c>
      <c r="C29436" s="1" t="s">
        <v>23490</v>
      </c>
      <c r="D29436" s="1" t="str">
        <f>HYPERLINK("https://rhld.insurance.arkansas.gov/NPILookup?Npi=1457765349","1457765349")</f>
        <v>1457765349</v>
      </c>
      <c r="E29436" t="s">
        <v>19194</v>
      </c>
    </row>
    <row r="29437" spans="1:5" x14ac:dyDescent="0.25">
      <c r="A29437" t="s">
        <v>9313</v>
      </c>
      <c r="B29437" t="s">
        <v>9314</v>
      </c>
      <c r="C29437" s="1" t="s">
        <v>23490</v>
      </c>
      <c r="D29437" s="1" t="str">
        <f>HYPERLINK("https://rhld.insurance.arkansas.gov/NPILookup?Npi=1457880361","1457880361")</f>
        <v>1457880361</v>
      </c>
      <c r="E29437" t="s">
        <v>12401</v>
      </c>
    </row>
    <row r="29438" spans="1:5" x14ac:dyDescent="0.25">
      <c r="A29438" t="s">
        <v>9313</v>
      </c>
      <c r="B29438" t="s">
        <v>9314</v>
      </c>
      <c r="C29438" s="1" t="s">
        <v>23490</v>
      </c>
      <c r="D29438" s="1" t="str">
        <f>HYPERLINK("https://rhld.insurance.arkansas.gov/NPILookup?Npi=1457889453","1457889453")</f>
        <v>1457889453</v>
      </c>
      <c r="E29438" t="s">
        <v>12402</v>
      </c>
    </row>
    <row r="29439" spans="1:5" x14ac:dyDescent="0.25">
      <c r="A29439" t="s">
        <v>9313</v>
      </c>
      <c r="B29439" t="s">
        <v>9314</v>
      </c>
      <c r="C29439" s="1" t="s">
        <v>23490</v>
      </c>
      <c r="D29439" s="1" t="str">
        <f>HYPERLINK("https://rhld.insurance.arkansas.gov/NPILookup?Npi=1457889842","1457889842")</f>
        <v>1457889842</v>
      </c>
      <c r="E29439" t="s">
        <v>13296</v>
      </c>
    </row>
    <row r="29440" spans="1:5" x14ac:dyDescent="0.25">
      <c r="A29440" t="s">
        <v>9313</v>
      </c>
      <c r="B29440" t="s">
        <v>9314</v>
      </c>
      <c r="C29440" s="1" t="s">
        <v>23490</v>
      </c>
      <c r="D29440" s="1" t="str">
        <f>HYPERLINK("https://rhld.insurance.arkansas.gov/NPILookup?Npi=1457960239","1457960239")</f>
        <v>1457960239</v>
      </c>
      <c r="E29440" t="s">
        <v>20849</v>
      </c>
    </row>
    <row r="29441" spans="1:5" x14ac:dyDescent="0.25">
      <c r="A29441" t="s">
        <v>9313</v>
      </c>
      <c r="B29441" t="s">
        <v>9314</v>
      </c>
      <c r="C29441" s="1" t="s">
        <v>23490</v>
      </c>
      <c r="D29441" s="1" t="str">
        <f>HYPERLINK("https://rhld.insurance.arkansas.gov/NPILookup?Npi=1467021394","1467021394")</f>
        <v>1467021394</v>
      </c>
      <c r="E29441" t="s">
        <v>20823</v>
      </c>
    </row>
    <row r="29442" spans="1:5" x14ac:dyDescent="0.25">
      <c r="A29442" t="s">
        <v>9313</v>
      </c>
      <c r="B29442" t="s">
        <v>9314</v>
      </c>
      <c r="C29442" s="1" t="s">
        <v>23490</v>
      </c>
      <c r="D29442" s="1" t="str">
        <f>HYPERLINK("https://rhld.insurance.arkansas.gov/NPILookup?Npi=1467198598","1467198598")</f>
        <v>1467198598</v>
      </c>
      <c r="E29442" t="s">
        <v>21335</v>
      </c>
    </row>
    <row r="29443" spans="1:5" x14ac:dyDescent="0.25">
      <c r="A29443" t="s">
        <v>9313</v>
      </c>
      <c r="B29443" t="s">
        <v>9314</v>
      </c>
      <c r="C29443" s="1" t="s">
        <v>23490</v>
      </c>
      <c r="D29443" s="1" t="str">
        <f>HYPERLINK("https://rhld.insurance.arkansas.gov/NPILookup?Npi=1467435198","1467435198")</f>
        <v>1467435198</v>
      </c>
      <c r="E29443" t="s">
        <v>12403</v>
      </c>
    </row>
    <row r="29444" spans="1:5" x14ac:dyDescent="0.25">
      <c r="A29444" t="s">
        <v>9313</v>
      </c>
      <c r="B29444" t="s">
        <v>9314</v>
      </c>
      <c r="C29444" s="1" t="s">
        <v>23490</v>
      </c>
      <c r="D29444" s="1" t="str">
        <f>HYPERLINK("https://rhld.insurance.arkansas.gov/NPILookup?Npi=1467443390","1467443390")</f>
        <v>1467443390</v>
      </c>
      <c r="E29444" t="s">
        <v>9631</v>
      </c>
    </row>
    <row r="29445" spans="1:5" x14ac:dyDescent="0.25">
      <c r="A29445" t="s">
        <v>9313</v>
      </c>
      <c r="B29445" t="s">
        <v>9314</v>
      </c>
      <c r="C29445" s="1" t="s">
        <v>23490</v>
      </c>
      <c r="D29445" s="1" t="str">
        <f>HYPERLINK("https://rhld.insurance.arkansas.gov/NPILookup?Npi=1467476564","1467476564")</f>
        <v>1467476564</v>
      </c>
      <c r="E29445" t="s">
        <v>9632</v>
      </c>
    </row>
    <row r="29446" spans="1:5" x14ac:dyDescent="0.25">
      <c r="A29446" t="s">
        <v>9313</v>
      </c>
      <c r="B29446" t="s">
        <v>9314</v>
      </c>
      <c r="C29446" s="1" t="s">
        <v>23490</v>
      </c>
      <c r="D29446" s="1" t="str">
        <f>HYPERLINK("https://rhld.insurance.arkansas.gov/NPILookup?Npi=1467509984","1467509984")</f>
        <v>1467509984</v>
      </c>
      <c r="E29446" t="s">
        <v>9633</v>
      </c>
    </row>
    <row r="29447" spans="1:5" x14ac:dyDescent="0.25">
      <c r="A29447" t="s">
        <v>9313</v>
      </c>
      <c r="B29447" t="s">
        <v>9314</v>
      </c>
      <c r="C29447" s="1" t="s">
        <v>23490</v>
      </c>
      <c r="D29447" s="1" t="str">
        <f>HYPERLINK("https://rhld.insurance.arkansas.gov/NPILookup?Npi=1467512079","1467512079")</f>
        <v>1467512079</v>
      </c>
      <c r="E29447" t="s">
        <v>9634</v>
      </c>
    </row>
    <row r="29448" spans="1:5" x14ac:dyDescent="0.25">
      <c r="A29448" t="s">
        <v>9313</v>
      </c>
      <c r="B29448" t="s">
        <v>9314</v>
      </c>
      <c r="C29448" s="1" t="s">
        <v>23490</v>
      </c>
      <c r="D29448" s="1" t="str">
        <f>HYPERLINK("https://rhld.insurance.arkansas.gov/NPILookup?Npi=1467531731","1467531731")</f>
        <v>1467531731</v>
      </c>
      <c r="E29448" t="s">
        <v>9635</v>
      </c>
    </row>
    <row r="29449" spans="1:5" x14ac:dyDescent="0.25">
      <c r="A29449" t="s">
        <v>9313</v>
      </c>
      <c r="B29449" t="s">
        <v>9314</v>
      </c>
      <c r="C29449" s="1" t="s">
        <v>23490</v>
      </c>
      <c r="D29449" s="1" t="str">
        <f>HYPERLINK("https://rhld.insurance.arkansas.gov/NPILookup?Npi=1467585281","1467585281")</f>
        <v>1467585281</v>
      </c>
      <c r="E29449" t="s">
        <v>9636</v>
      </c>
    </row>
    <row r="29450" spans="1:5" x14ac:dyDescent="0.25">
      <c r="A29450" t="s">
        <v>9313</v>
      </c>
      <c r="B29450" t="s">
        <v>9314</v>
      </c>
      <c r="C29450" s="1" t="s">
        <v>23490</v>
      </c>
      <c r="D29450" s="1" t="str">
        <f>HYPERLINK("https://rhld.insurance.arkansas.gov/NPILookup?Npi=1467602052","1467602052")</f>
        <v>1467602052</v>
      </c>
      <c r="E29450" t="s">
        <v>12404</v>
      </c>
    </row>
    <row r="29451" spans="1:5" x14ac:dyDescent="0.25">
      <c r="A29451" t="s">
        <v>9313</v>
      </c>
      <c r="B29451" t="s">
        <v>9314</v>
      </c>
      <c r="C29451" s="1" t="s">
        <v>23490</v>
      </c>
      <c r="D29451" s="1" t="str">
        <f>HYPERLINK("https://rhld.insurance.arkansas.gov/NPILookup?Npi=1467612465","1467612465")</f>
        <v>1467612465</v>
      </c>
      <c r="E29451" t="s">
        <v>9637</v>
      </c>
    </row>
    <row r="29452" spans="1:5" x14ac:dyDescent="0.25">
      <c r="A29452" t="s">
        <v>9313</v>
      </c>
      <c r="B29452" t="s">
        <v>9314</v>
      </c>
      <c r="C29452" s="1" t="s">
        <v>23490</v>
      </c>
      <c r="D29452" s="1" t="str">
        <f>HYPERLINK("https://rhld.insurance.arkansas.gov/NPILookup?Npi=1467650747","1467650747")</f>
        <v>1467650747</v>
      </c>
      <c r="E29452" t="s">
        <v>12405</v>
      </c>
    </row>
    <row r="29453" spans="1:5" x14ac:dyDescent="0.25">
      <c r="A29453" t="s">
        <v>9313</v>
      </c>
      <c r="B29453" t="s">
        <v>9314</v>
      </c>
      <c r="C29453" s="1" t="s">
        <v>23490</v>
      </c>
      <c r="D29453" s="1" t="str">
        <f>HYPERLINK("https://rhld.insurance.arkansas.gov/NPILookup?Npi=1467664656","1467664656")</f>
        <v>1467664656</v>
      </c>
      <c r="E29453" t="s">
        <v>9638</v>
      </c>
    </row>
    <row r="29454" spans="1:5" x14ac:dyDescent="0.25">
      <c r="A29454" t="s">
        <v>9313</v>
      </c>
      <c r="B29454" t="s">
        <v>9314</v>
      </c>
      <c r="C29454" s="1" t="s">
        <v>23490</v>
      </c>
      <c r="D29454" s="1" t="str">
        <f>HYPERLINK("https://rhld.insurance.arkansas.gov/NPILookup?Npi=1467693283","1467693283")</f>
        <v>1467693283</v>
      </c>
      <c r="E29454" t="s">
        <v>18590</v>
      </c>
    </row>
    <row r="29455" spans="1:5" x14ac:dyDescent="0.25">
      <c r="A29455" t="s">
        <v>9313</v>
      </c>
      <c r="B29455" t="s">
        <v>9314</v>
      </c>
      <c r="C29455" s="1" t="s">
        <v>23490</v>
      </c>
      <c r="D29455" s="1" t="str">
        <f>HYPERLINK("https://rhld.insurance.arkansas.gov/NPILookup?Npi=1467697144","1467697144")</f>
        <v>1467697144</v>
      </c>
      <c r="E29455" t="s">
        <v>9639</v>
      </c>
    </row>
    <row r="29456" spans="1:5" x14ac:dyDescent="0.25">
      <c r="A29456" t="s">
        <v>9313</v>
      </c>
      <c r="B29456" t="s">
        <v>9314</v>
      </c>
      <c r="C29456" s="1" t="s">
        <v>23490</v>
      </c>
      <c r="D29456" s="1" t="str">
        <f>HYPERLINK("https://rhld.insurance.arkansas.gov/NPILookup?Npi=1467801233","1467801233")</f>
        <v>1467801233</v>
      </c>
      <c r="E29456" t="s">
        <v>12406</v>
      </c>
    </row>
    <row r="29457" spans="1:5" x14ac:dyDescent="0.25">
      <c r="A29457" t="s">
        <v>9313</v>
      </c>
      <c r="B29457" t="s">
        <v>9314</v>
      </c>
      <c r="C29457" s="1" t="s">
        <v>23490</v>
      </c>
      <c r="D29457" s="1" t="str">
        <f>HYPERLINK("https://rhld.insurance.arkansas.gov/NPILookup?Npi=1477064004","1477064004")</f>
        <v>1477064004</v>
      </c>
      <c r="E29457" t="s">
        <v>9472</v>
      </c>
    </row>
    <row r="29458" spans="1:5" x14ac:dyDescent="0.25">
      <c r="A29458" t="s">
        <v>9313</v>
      </c>
      <c r="B29458" t="s">
        <v>9314</v>
      </c>
      <c r="C29458" s="1" t="s">
        <v>23490</v>
      </c>
      <c r="D29458" s="1" t="str">
        <f>HYPERLINK("https://rhld.insurance.arkansas.gov/NPILookup?Npi=1477091932","1477091932")</f>
        <v>1477091932</v>
      </c>
      <c r="E29458" t="s">
        <v>18591</v>
      </c>
    </row>
    <row r="29459" spans="1:5" x14ac:dyDescent="0.25">
      <c r="A29459" t="s">
        <v>9313</v>
      </c>
      <c r="B29459" t="s">
        <v>9314</v>
      </c>
      <c r="C29459" s="1" t="s">
        <v>23490</v>
      </c>
      <c r="D29459" s="1" t="str">
        <f>HYPERLINK("https://rhld.insurance.arkansas.gov/NPILookup?Npi=1477094605","1477094605")</f>
        <v>1477094605</v>
      </c>
      <c r="E29459" t="s">
        <v>18592</v>
      </c>
    </row>
    <row r="29460" spans="1:5" x14ac:dyDescent="0.25">
      <c r="A29460" t="s">
        <v>9313</v>
      </c>
      <c r="B29460" t="s">
        <v>9314</v>
      </c>
      <c r="C29460" s="1" t="s">
        <v>23490</v>
      </c>
      <c r="D29460" s="1" t="str">
        <f>HYPERLINK("https://rhld.insurance.arkansas.gov/NPILookup?Npi=1477510246","1477510246")</f>
        <v>1477510246</v>
      </c>
      <c r="E29460" t="s">
        <v>9640</v>
      </c>
    </row>
    <row r="29461" spans="1:5" x14ac:dyDescent="0.25">
      <c r="A29461" t="s">
        <v>9313</v>
      </c>
      <c r="B29461" t="s">
        <v>9314</v>
      </c>
      <c r="C29461" s="1" t="s">
        <v>23490</v>
      </c>
      <c r="D29461" s="1" t="str">
        <f>HYPERLINK("https://rhld.insurance.arkansas.gov/NPILookup?Npi=1477542355","1477542355")</f>
        <v>1477542355</v>
      </c>
      <c r="E29461" t="s">
        <v>12407</v>
      </c>
    </row>
    <row r="29462" spans="1:5" x14ac:dyDescent="0.25">
      <c r="A29462" t="s">
        <v>9313</v>
      </c>
      <c r="B29462" t="s">
        <v>9314</v>
      </c>
      <c r="C29462" s="1" t="s">
        <v>23490</v>
      </c>
      <c r="D29462" s="1" t="str">
        <f>HYPERLINK("https://rhld.insurance.arkansas.gov/NPILookup?Npi=1477569192","1477569192")</f>
        <v>1477569192</v>
      </c>
      <c r="E29462" t="s">
        <v>12408</v>
      </c>
    </row>
    <row r="29463" spans="1:5" x14ac:dyDescent="0.25">
      <c r="A29463" t="s">
        <v>9313</v>
      </c>
      <c r="B29463" t="s">
        <v>9314</v>
      </c>
      <c r="C29463" s="1" t="s">
        <v>23490</v>
      </c>
      <c r="D29463" s="1" t="str">
        <f>HYPERLINK("https://rhld.insurance.arkansas.gov/NPILookup?Npi=1477569739","1477569739")</f>
        <v>1477569739</v>
      </c>
      <c r="E29463" t="s">
        <v>12409</v>
      </c>
    </row>
    <row r="29464" spans="1:5" x14ac:dyDescent="0.25">
      <c r="A29464" t="s">
        <v>9313</v>
      </c>
      <c r="B29464" t="s">
        <v>9314</v>
      </c>
      <c r="C29464" s="1" t="s">
        <v>23490</v>
      </c>
      <c r="D29464" s="1" t="str">
        <f>HYPERLINK("https://rhld.insurance.arkansas.gov/NPILookup?Npi=1477618114","1477618114")</f>
        <v>1477618114</v>
      </c>
      <c r="E29464" t="s">
        <v>9641</v>
      </c>
    </row>
    <row r="29465" spans="1:5" x14ac:dyDescent="0.25">
      <c r="A29465" t="s">
        <v>9313</v>
      </c>
      <c r="B29465" t="s">
        <v>9314</v>
      </c>
      <c r="C29465" s="1" t="s">
        <v>23490</v>
      </c>
      <c r="D29465" s="1" t="str">
        <f>HYPERLINK("https://rhld.insurance.arkansas.gov/NPILookup?Npi=1477619914","1477619914")</f>
        <v>1477619914</v>
      </c>
      <c r="E29465" t="s">
        <v>12410</v>
      </c>
    </row>
    <row r="29466" spans="1:5" x14ac:dyDescent="0.25">
      <c r="A29466" t="s">
        <v>9313</v>
      </c>
      <c r="B29466" t="s">
        <v>9314</v>
      </c>
      <c r="C29466" s="1" t="s">
        <v>23490</v>
      </c>
      <c r="D29466" s="1" t="str">
        <f>HYPERLINK("https://rhld.insurance.arkansas.gov/NPILookup?Npi=1477622967","1477622967")</f>
        <v>1477622967</v>
      </c>
      <c r="E29466" t="s">
        <v>9642</v>
      </c>
    </row>
    <row r="29467" spans="1:5" x14ac:dyDescent="0.25">
      <c r="A29467" t="s">
        <v>9313</v>
      </c>
      <c r="B29467" t="s">
        <v>9314</v>
      </c>
      <c r="C29467" s="1" t="s">
        <v>23490</v>
      </c>
      <c r="D29467" s="1" t="str">
        <f>HYPERLINK("https://rhld.insurance.arkansas.gov/NPILookup?Npi=1477655561","1477655561")</f>
        <v>1477655561</v>
      </c>
      <c r="E29467" t="s">
        <v>9644</v>
      </c>
    </row>
    <row r="29468" spans="1:5" x14ac:dyDescent="0.25">
      <c r="A29468" t="s">
        <v>9313</v>
      </c>
      <c r="B29468" t="s">
        <v>9314</v>
      </c>
      <c r="C29468" s="1" t="s">
        <v>23490</v>
      </c>
      <c r="D29468" s="1" t="str">
        <f>HYPERLINK("https://rhld.insurance.arkansas.gov/NPILookup?Npi=1477693018","1477693018")</f>
        <v>1477693018</v>
      </c>
      <c r="E29468" t="s">
        <v>13297</v>
      </c>
    </row>
    <row r="29469" spans="1:5" x14ac:dyDescent="0.25">
      <c r="A29469" t="s">
        <v>9313</v>
      </c>
      <c r="B29469" t="s">
        <v>9314</v>
      </c>
      <c r="C29469" s="1" t="s">
        <v>23490</v>
      </c>
      <c r="D29469" s="1" t="str">
        <f>HYPERLINK("https://rhld.insurance.arkansas.gov/NPILookup?Npi=1477707032","1477707032")</f>
        <v>1477707032</v>
      </c>
      <c r="E29469" t="s">
        <v>9645</v>
      </c>
    </row>
    <row r="29470" spans="1:5" x14ac:dyDescent="0.25">
      <c r="A29470" t="s">
        <v>9313</v>
      </c>
      <c r="B29470" t="s">
        <v>9314</v>
      </c>
      <c r="C29470" s="1" t="s">
        <v>23490</v>
      </c>
      <c r="D29470" s="1" t="str">
        <f>HYPERLINK("https://rhld.insurance.arkansas.gov/NPILookup?Npi=1477714707","1477714707")</f>
        <v>1477714707</v>
      </c>
      <c r="E29470" t="s">
        <v>12411</v>
      </c>
    </row>
    <row r="29471" spans="1:5" x14ac:dyDescent="0.25">
      <c r="A29471" t="s">
        <v>9313</v>
      </c>
      <c r="B29471" t="s">
        <v>9314</v>
      </c>
      <c r="C29471" s="1" t="s">
        <v>23490</v>
      </c>
      <c r="D29471" s="1" t="str">
        <f>HYPERLINK("https://rhld.insurance.arkansas.gov/NPILookup?Npi=1477757292","1477757292")</f>
        <v>1477757292</v>
      </c>
      <c r="E29471" t="s">
        <v>9646</v>
      </c>
    </row>
    <row r="29472" spans="1:5" x14ac:dyDescent="0.25">
      <c r="A29472" t="s">
        <v>9313</v>
      </c>
      <c r="B29472" t="s">
        <v>9314</v>
      </c>
      <c r="C29472" s="1" t="s">
        <v>23490</v>
      </c>
      <c r="D29472" s="1" t="str">
        <f>HYPERLINK("https://rhld.insurance.arkansas.gov/NPILookup?Npi=1477805836","1477805836")</f>
        <v>1477805836</v>
      </c>
      <c r="E29472" t="s">
        <v>9647</v>
      </c>
    </row>
    <row r="29473" spans="1:5" x14ac:dyDescent="0.25">
      <c r="A29473" t="s">
        <v>9313</v>
      </c>
      <c r="B29473" t="s">
        <v>9314</v>
      </c>
      <c r="C29473" s="1" t="s">
        <v>23490</v>
      </c>
      <c r="D29473" s="1" t="str">
        <f>HYPERLINK("https://rhld.insurance.arkansas.gov/NPILookup?Npi=1477902856","1477902856")</f>
        <v>1477902856</v>
      </c>
      <c r="E29473" t="s">
        <v>9648</v>
      </c>
    </row>
    <row r="29474" spans="1:5" x14ac:dyDescent="0.25">
      <c r="A29474" t="s">
        <v>9313</v>
      </c>
      <c r="B29474" t="s">
        <v>9314</v>
      </c>
      <c r="C29474" s="1" t="s">
        <v>23490</v>
      </c>
      <c r="D29474" s="1" t="str">
        <f>HYPERLINK("https://rhld.insurance.arkansas.gov/NPILookup?Npi=1477903052","1477903052")</f>
        <v>1477903052</v>
      </c>
      <c r="E29474" t="s">
        <v>12412</v>
      </c>
    </row>
    <row r="29475" spans="1:5" x14ac:dyDescent="0.25">
      <c r="A29475" t="s">
        <v>9313</v>
      </c>
      <c r="B29475" t="s">
        <v>9314</v>
      </c>
      <c r="C29475" s="1" t="s">
        <v>23490</v>
      </c>
      <c r="D29475" s="1" t="str">
        <f>HYPERLINK("https://rhld.insurance.arkansas.gov/NPILookup?Npi=1477991065","1477991065")</f>
        <v>1477991065</v>
      </c>
      <c r="E29475" t="s">
        <v>9649</v>
      </c>
    </row>
    <row r="29476" spans="1:5" x14ac:dyDescent="0.25">
      <c r="A29476" t="s">
        <v>9313</v>
      </c>
      <c r="B29476" t="s">
        <v>9314</v>
      </c>
      <c r="C29476" s="1" t="s">
        <v>23490</v>
      </c>
      <c r="D29476" s="1" t="str">
        <f>HYPERLINK("https://rhld.insurance.arkansas.gov/NPILookup?Npi=1487004925","1487004925")</f>
        <v>1487004925</v>
      </c>
      <c r="E29476" t="s">
        <v>12413</v>
      </c>
    </row>
    <row r="29477" spans="1:5" x14ac:dyDescent="0.25">
      <c r="A29477" t="s">
        <v>9313</v>
      </c>
      <c r="B29477" t="s">
        <v>9314</v>
      </c>
      <c r="C29477" s="1" t="s">
        <v>23490</v>
      </c>
      <c r="D29477" s="1" t="str">
        <f>HYPERLINK("https://rhld.insurance.arkansas.gov/NPILookup?Npi=1487063053","1487063053")</f>
        <v>1487063053</v>
      </c>
      <c r="E29477" t="s">
        <v>12414</v>
      </c>
    </row>
    <row r="29478" spans="1:5" x14ac:dyDescent="0.25">
      <c r="A29478" t="s">
        <v>9313</v>
      </c>
      <c r="B29478" t="s">
        <v>9314</v>
      </c>
      <c r="C29478" s="1" t="s">
        <v>23490</v>
      </c>
      <c r="D29478" s="1" t="str">
        <f>HYPERLINK("https://rhld.insurance.arkansas.gov/NPILookup?Npi=1487093019","1487093019")</f>
        <v>1487093019</v>
      </c>
      <c r="E29478" t="s">
        <v>9650</v>
      </c>
    </row>
    <row r="29479" spans="1:5" x14ac:dyDescent="0.25">
      <c r="A29479" t="s">
        <v>9313</v>
      </c>
      <c r="B29479" t="s">
        <v>9314</v>
      </c>
      <c r="C29479" s="1" t="s">
        <v>23490</v>
      </c>
      <c r="D29479" s="1" t="str">
        <f>HYPERLINK("https://rhld.insurance.arkansas.gov/NPILookup?Npi=1487130969","1487130969")</f>
        <v>1487130969</v>
      </c>
      <c r="E29479" t="s">
        <v>18638</v>
      </c>
    </row>
    <row r="29480" spans="1:5" x14ac:dyDescent="0.25">
      <c r="A29480" t="s">
        <v>9313</v>
      </c>
      <c r="B29480" t="s">
        <v>9314</v>
      </c>
      <c r="C29480" s="1" t="s">
        <v>23490</v>
      </c>
      <c r="D29480" s="1" t="str">
        <f>HYPERLINK("https://rhld.insurance.arkansas.gov/NPILookup?Npi=1487215828","1487215828")</f>
        <v>1487215828</v>
      </c>
      <c r="E29480" t="s">
        <v>16796</v>
      </c>
    </row>
    <row r="29481" spans="1:5" x14ac:dyDescent="0.25">
      <c r="A29481" t="s">
        <v>9313</v>
      </c>
      <c r="B29481" t="s">
        <v>9314</v>
      </c>
      <c r="C29481" s="1" t="s">
        <v>8427</v>
      </c>
      <c r="D29481" s="1" t="str">
        <f>HYPERLINK("https://rhld.insurance.arkansas.gov/NPILookup?Npi=1487282760","1487282760")</f>
        <v>1487282760</v>
      </c>
      <c r="E29481" t="s">
        <v>23359</v>
      </c>
    </row>
    <row r="29482" spans="1:5" x14ac:dyDescent="0.25">
      <c r="A29482" t="s">
        <v>9313</v>
      </c>
      <c r="B29482" t="s">
        <v>9314</v>
      </c>
      <c r="C29482" s="1" t="s">
        <v>8427</v>
      </c>
      <c r="D29482" s="1" t="str">
        <f>HYPERLINK("https://rhld.insurance.arkansas.gov/NPILookup?Npi=1487375085","1487375085")</f>
        <v>1487375085</v>
      </c>
      <c r="E29482" t="s">
        <v>23360</v>
      </c>
    </row>
    <row r="29483" spans="1:5" x14ac:dyDescent="0.25">
      <c r="A29483" t="s">
        <v>9313</v>
      </c>
      <c r="B29483" t="s">
        <v>9314</v>
      </c>
      <c r="C29483" s="1" t="s">
        <v>8427</v>
      </c>
      <c r="D29483" s="1" t="str">
        <f>HYPERLINK("https://rhld.insurance.arkansas.gov/NPILookup?Npi=1487385340","1487385340")</f>
        <v>1487385340</v>
      </c>
      <c r="E29483" t="s">
        <v>23361</v>
      </c>
    </row>
    <row r="29484" spans="1:5" x14ac:dyDescent="0.25">
      <c r="A29484" t="s">
        <v>9313</v>
      </c>
      <c r="B29484" t="s">
        <v>9314</v>
      </c>
      <c r="C29484" s="1" t="s">
        <v>23490</v>
      </c>
      <c r="D29484" s="1" t="str">
        <f>HYPERLINK("https://rhld.insurance.arkansas.gov/NPILookup?Npi=1487646022","1487646022")</f>
        <v>1487646022</v>
      </c>
      <c r="E29484" t="s">
        <v>9651</v>
      </c>
    </row>
    <row r="29485" spans="1:5" x14ac:dyDescent="0.25">
      <c r="A29485" t="s">
        <v>9313</v>
      </c>
      <c r="B29485" t="s">
        <v>9314</v>
      </c>
      <c r="C29485" s="1" t="s">
        <v>23490</v>
      </c>
      <c r="D29485" s="1" t="str">
        <f>HYPERLINK("https://rhld.insurance.arkansas.gov/NPILookup?Npi=1487702015","1487702015")</f>
        <v>1487702015</v>
      </c>
      <c r="E29485" t="s">
        <v>198</v>
      </c>
    </row>
    <row r="29486" spans="1:5" x14ac:dyDescent="0.25">
      <c r="A29486" t="s">
        <v>9313</v>
      </c>
      <c r="B29486" t="s">
        <v>9314</v>
      </c>
      <c r="C29486" s="1" t="s">
        <v>23490</v>
      </c>
      <c r="D29486" s="1" t="str">
        <f>HYPERLINK("https://rhld.insurance.arkansas.gov/NPILookup?Npi=1487717880","1487717880")</f>
        <v>1487717880</v>
      </c>
      <c r="E29486" t="s">
        <v>1190</v>
      </c>
    </row>
    <row r="29487" spans="1:5" x14ac:dyDescent="0.25">
      <c r="A29487" t="s">
        <v>9313</v>
      </c>
      <c r="B29487" t="s">
        <v>9314</v>
      </c>
      <c r="C29487" s="1" t="s">
        <v>23490</v>
      </c>
      <c r="D29487" s="1" t="str">
        <f>HYPERLINK("https://rhld.insurance.arkansas.gov/NPILookup?Npi=1487742060","1487742060")</f>
        <v>1487742060</v>
      </c>
      <c r="E29487" t="s">
        <v>9652</v>
      </c>
    </row>
    <row r="29488" spans="1:5" x14ac:dyDescent="0.25">
      <c r="A29488" t="s">
        <v>9313</v>
      </c>
      <c r="B29488" t="s">
        <v>9314</v>
      </c>
      <c r="C29488" s="1" t="s">
        <v>23490</v>
      </c>
      <c r="D29488" s="1" t="str">
        <f>HYPERLINK("https://rhld.insurance.arkansas.gov/NPILookup?Npi=1487746590","1487746590")</f>
        <v>1487746590</v>
      </c>
      <c r="E29488" t="s">
        <v>12415</v>
      </c>
    </row>
    <row r="29489" spans="1:5" x14ac:dyDescent="0.25">
      <c r="A29489" t="s">
        <v>9313</v>
      </c>
      <c r="B29489" t="s">
        <v>9314</v>
      </c>
      <c r="C29489" s="1" t="s">
        <v>23490</v>
      </c>
      <c r="D29489" s="1" t="str">
        <f>HYPERLINK("https://rhld.insurance.arkansas.gov/NPILookup?Npi=1487826806","1487826806")</f>
        <v>1487826806</v>
      </c>
      <c r="E29489" t="s">
        <v>12416</v>
      </c>
    </row>
    <row r="29490" spans="1:5" x14ac:dyDescent="0.25">
      <c r="A29490" t="s">
        <v>9313</v>
      </c>
      <c r="B29490" t="s">
        <v>9314</v>
      </c>
      <c r="C29490" s="1" t="s">
        <v>23490</v>
      </c>
      <c r="D29490" s="1" t="str">
        <f>HYPERLINK("https://rhld.insurance.arkansas.gov/NPILookup?Npi=1487880324","1487880324")</f>
        <v>1487880324</v>
      </c>
      <c r="E29490" t="s">
        <v>9653</v>
      </c>
    </row>
    <row r="29491" spans="1:5" x14ac:dyDescent="0.25">
      <c r="A29491" t="s">
        <v>9313</v>
      </c>
      <c r="B29491" t="s">
        <v>9314</v>
      </c>
      <c r="C29491" s="1" t="s">
        <v>23490</v>
      </c>
      <c r="D29491" s="1" t="str">
        <f>HYPERLINK("https://rhld.insurance.arkansas.gov/NPILookup?Npi=1487917001","1487917001")</f>
        <v>1487917001</v>
      </c>
      <c r="E29491" t="s">
        <v>9654</v>
      </c>
    </row>
    <row r="29492" spans="1:5" x14ac:dyDescent="0.25">
      <c r="A29492" t="s">
        <v>9313</v>
      </c>
      <c r="B29492" t="s">
        <v>9314</v>
      </c>
      <c r="C29492" s="1" t="s">
        <v>23490</v>
      </c>
      <c r="D29492" s="1" t="str">
        <f>HYPERLINK("https://rhld.insurance.arkansas.gov/NPILookup?Npi=1487934543","1487934543")</f>
        <v>1487934543</v>
      </c>
      <c r="E29492" t="s">
        <v>17321</v>
      </c>
    </row>
    <row r="29493" spans="1:5" x14ac:dyDescent="0.25">
      <c r="A29493" t="s">
        <v>9313</v>
      </c>
      <c r="B29493" t="s">
        <v>9314</v>
      </c>
      <c r="C29493" s="1" t="s">
        <v>23490</v>
      </c>
      <c r="D29493" s="1" t="str">
        <f>HYPERLINK("https://rhld.insurance.arkansas.gov/NPILookup?Npi=1497083471","1497083471")</f>
        <v>1497083471</v>
      </c>
      <c r="E29493" t="s">
        <v>23362</v>
      </c>
    </row>
    <row r="29494" spans="1:5" x14ac:dyDescent="0.25">
      <c r="A29494" t="s">
        <v>9313</v>
      </c>
      <c r="B29494" t="s">
        <v>9314</v>
      </c>
      <c r="C29494" s="1" t="s">
        <v>23490</v>
      </c>
      <c r="D29494" s="1" t="str">
        <f>HYPERLINK("https://rhld.insurance.arkansas.gov/NPILookup?Npi=1497138549","1497138549")</f>
        <v>1497138549</v>
      </c>
      <c r="E29494" t="s">
        <v>9656</v>
      </c>
    </row>
    <row r="29495" spans="1:5" x14ac:dyDescent="0.25">
      <c r="A29495" t="s">
        <v>9313</v>
      </c>
      <c r="B29495" t="s">
        <v>9314</v>
      </c>
      <c r="C29495" s="1" t="s">
        <v>23490</v>
      </c>
      <c r="D29495" s="1" t="str">
        <f>HYPERLINK("https://rhld.insurance.arkansas.gov/NPILookup?Npi=1497160592","1497160592")</f>
        <v>1497160592</v>
      </c>
      <c r="E29495" t="s">
        <v>12417</v>
      </c>
    </row>
    <row r="29496" spans="1:5" x14ac:dyDescent="0.25">
      <c r="A29496" t="s">
        <v>9313</v>
      </c>
      <c r="B29496" t="s">
        <v>9314</v>
      </c>
      <c r="C29496" s="1" t="s">
        <v>23490</v>
      </c>
      <c r="D29496" s="1" t="str">
        <f>HYPERLINK("https://rhld.insurance.arkansas.gov/NPILookup?Npi=1497196414","1497196414")</f>
        <v>1497196414</v>
      </c>
      <c r="E29496" t="s">
        <v>212</v>
      </c>
    </row>
    <row r="29497" spans="1:5" x14ac:dyDescent="0.25">
      <c r="A29497" t="s">
        <v>9313</v>
      </c>
      <c r="B29497" t="s">
        <v>9314</v>
      </c>
      <c r="C29497" s="1" t="s">
        <v>23490</v>
      </c>
      <c r="D29497" s="1" t="str">
        <f>HYPERLINK("https://rhld.insurance.arkansas.gov/NPILookup?Npi=1497249031","1497249031")</f>
        <v>1497249031</v>
      </c>
      <c r="E29497" t="s">
        <v>14605</v>
      </c>
    </row>
    <row r="29498" spans="1:5" x14ac:dyDescent="0.25">
      <c r="A29498" t="s">
        <v>9313</v>
      </c>
      <c r="B29498" t="s">
        <v>9314</v>
      </c>
      <c r="C29498" s="1" t="s">
        <v>23490</v>
      </c>
      <c r="D29498" s="1" t="str">
        <f>HYPERLINK("https://rhld.insurance.arkansas.gov/NPILookup?Npi=1497280358","1497280358")</f>
        <v>1497280358</v>
      </c>
      <c r="E29498" t="s">
        <v>20824</v>
      </c>
    </row>
    <row r="29499" spans="1:5" x14ac:dyDescent="0.25">
      <c r="A29499" t="s">
        <v>9313</v>
      </c>
      <c r="B29499" t="s">
        <v>9314</v>
      </c>
      <c r="C29499" s="1" t="s">
        <v>23490</v>
      </c>
      <c r="D29499" s="1" t="str">
        <f>HYPERLINK("https://rhld.insurance.arkansas.gov/NPILookup?Npi=1497287817","1497287817")</f>
        <v>1497287817</v>
      </c>
      <c r="E29499" t="s">
        <v>14606</v>
      </c>
    </row>
    <row r="29500" spans="1:5" x14ac:dyDescent="0.25">
      <c r="A29500" t="s">
        <v>9313</v>
      </c>
      <c r="B29500" t="s">
        <v>9314</v>
      </c>
      <c r="C29500" s="1" t="s">
        <v>23490</v>
      </c>
      <c r="D29500" s="1" t="str">
        <f>HYPERLINK("https://rhld.insurance.arkansas.gov/NPILookup?Npi=1497310288","1497310288")</f>
        <v>1497310288</v>
      </c>
      <c r="E29500" t="s">
        <v>16797</v>
      </c>
    </row>
    <row r="29501" spans="1:5" x14ac:dyDescent="0.25">
      <c r="A29501" t="s">
        <v>9313</v>
      </c>
      <c r="B29501" t="s">
        <v>9314</v>
      </c>
      <c r="C29501" s="1" t="s">
        <v>8427</v>
      </c>
      <c r="D29501" s="1" t="str">
        <f>HYPERLINK("https://rhld.insurance.arkansas.gov/NPILookup?Npi=1497434823","1497434823")</f>
        <v>1497434823</v>
      </c>
      <c r="E29501" t="s">
        <v>23363</v>
      </c>
    </row>
    <row r="29502" spans="1:5" x14ac:dyDescent="0.25">
      <c r="A29502" t="s">
        <v>9313</v>
      </c>
      <c r="B29502" t="s">
        <v>9314</v>
      </c>
      <c r="C29502" s="1" t="s">
        <v>23490</v>
      </c>
      <c r="D29502" s="1" t="str">
        <f>HYPERLINK("https://rhld.insurance.arkansas.gov/NPILookup?Npi=1497447197","1497447197")</f>
        <v>1497447197</v>
      </c>
      <c r="E29502" t="s">
        <v>22774</v>
      </c>
    </row>
    <row r="29503" spans="1:5" x14ac:dyDescent="0.25">
      <c r="A29503" t="s">
        <v>9313</v>
      </c>
      <c r="B29503" t="s">
        <v>9314</v>
      </c>
      <c r="C29503" s="1" t="s">
        <v>23490</v>
      </c>
      <c r="D29503" s="1" t="str">
        <f>HYPERLINK("https://rhld.insurance.arkansas.gov/NPILookup?Npi=1497485502","1497485502")</f>
        <v>1497485502</v>
      </c>
      <c r="E29503" t="s">
        <v>21336</v>
      </c>
    </row>
    <row r="29504" spans="1:5" x14ac:dyDescent="0.25">
      <c r="A29504" t="s">
        <v>9313</v>
      </c>
      <c r="B29504" t="s">
        <v>9314</v>
      </c>
      <c r="C29504" s="1" t="s">
        <v>23490</v>
      </c>
      <c r="D29504" s="1" t="str">
        <f>HYPERLINK("https://rhld.insurance.arkansas.gov/NPILookup?Npi=1497765903","1497765903")</f>
        <v>1497765903</v>
      </c>
      <c r="E29504" t="s">
        <v>9657</v>
      </c>
    </row>
    <row r="29505" spans="1:5" x14ac:dyDescent="0.25">
      <c r="A29505" t="s">
        <v>9313</v>
      </c>
      <c r="B29505" t="s">
        <v>9314</v>
      </c>
      <c r="C29505" s="1" t="s">
        <v>23490</v>
      </c>
      <c r="D29505" s="1" t="str">
        <f>HYPERLINK("https://rhld.insurance.arkansas.gov/NPILookup?Npi=1497767073","1497767073")</f>
        <v>1497767073</v>
      </c>
      <c r="E29505" t="s">
        <v>9658</v>
      </c>
    </row>
    <row r="29506" spans="1:5" x14ac:dyDescent="0.25">
      <c r="A29506" t="s">
        <v>9313</v>
      </c>
      <c r="B29506" t="s">
        <v>9314</v>
      </c>
      <c r="C29506" s="1" t="s">
        <v>23490</v>
      </c>
      <c r="D29506" s="1" t="str">
        <f>HYPERLINK("https://rhld.insurance.arkansas.gov/NPILookup?Npi=1497783906","1497783906")</f>
        <v>1497783906</v>
      </c>
      <c r="E29506" t="s">
        <v>9316</v>
      </c>
    </row>
    <row r="29507" spans="1:5" x14ac:dyDescent="0.25">
      <c r="A29507" t="s">
        <v>9313</v>
      </c>
      <c r="B29507" t="s">
        <v>9314</v>
      </c>
      <c r="C29507" s="1" t="s">
        <v>23490</v>
      </c>
      <c r="D29507" s="1" t="str">
        <f>HYPERLINK("https://rhld.insurance.arkansas.gov/NPILookup?Npi=1497815021","1497815021")</f>
        <v>1497815021</v>
      </c>
      <c r="E29507" t="s">
        <v>12418</v>
      </c>
    </row>
    <row r="29508" spans="1:5" x14ac:dyDescent="0.25">
      <c r="A29508" t="s">
        <v>9313</v>
      </c>
      <c r="B29508" t="s">
        <v>9314</v>
      </c>
      <c r="C29508" s="1" t="s">
        <v>23490</v>
      </c>
      <c r="D29508" s="1" t="str">
        <f>HYPERLINK("https://rhld.insurance.arkansas.gov/NPILookup?Npi=1497826366","1497826366")</f>
        <v>1497826366</v>
      </c>
      <c r="E29508" t="s">
        <v>9659</v>
      </c>
    </row>
    <row r="29509" spans="1:5" x14ac:dyDescent="0.25">
      <c r="A29509" t="s">
        <v>9313</v>
      </c>
      <c r="B29509" t="s">
        <v>9314</v>
      </c>
      <c r="C29509" s="1" t="s">
        <v>23490</v>
      </c>
      <c r="D29509" s="1" t="str">
        <f>HYPERLINK("https://rhld.insurance.arkansas.gov/NPILookup?Npi=1497851240","1497851240")</f>
        <v>1497851240</v>
      </c>
      <c r="E29509" t="s">
        <v>3652</v>
      </c>
    </row>
    <row r="29510" spans="1:5" x14ac:dyDescent="0.25">
      <c r="A29510" t="s">
        <v>9313</v>
      </c>
      <c r="B29510" t="s">
        <v>9314</v>
      </c>
      <c r="C29510" s="1" t="s">
        <v>23490</v>
      </c>
      <c r="D29510" s="1" t="str">
        <f>HYPERLINK("https://rhld.insurance.arkansas.gov/NPILookup?Npi=1497901417","1497901417")</f>
        <v>1497901417</v>
      </c>
      <c r="E29510" t="s">
        <v>12419</v>
      </c>
    </row>
    <row r="29511" spans="1:5" x14ac:dyDescent="0.25">
      <c r="A29511" t="s">
        <v>9313</v>
      </c>
      <c r="B29511" t="s">
        <v>9314</v>
      </c>
      <c r="C29511" s="1" t="s">
        <v>23490</v>
      </c>
      <c r="D29511" s="1" t="str">
        <f>HYPERLINK("https://rhld.insurance.arkansas.gov/NPILookup?Npi=1497912927","1497912927")</f>
        <v>1497912927</v>
      </c>
      <c r="E29511" t="s">
        <v>9661</v>
      </c>
    </row>
    <row r="29512" spans="1:5" x14ac:dyDescent="0.25">
      <c r="A29512" t="s">
        <v>9313</v>
      </c>
      <c r="B29512" t="s">
        <v>9314</v>
      </c>
      <c r="C29512" s="1" t="s">
        <v>23490</v>
      </c>
      <c r="D29512" s="1" t="str">
        <f>HYPERLINK("https://rhld.insurance.arkansas.gov/NPILookup?Npi=1497942262","1497942262")</f>
        <v>1497942262</v>
      </c>
      <c r="E29512" t="s">
        <v>12420</v>
      </c>
    </row>
    <row r="29513" spans="1:5" x14ac:dyDescent="0.25">
      <c r="A29513" t="s">
        <v>9313</v>
      </c>
      <c r="B29513" t="s">
        <v>9314</v>
      </c>
      <c r="C29513" s="1" t="s">
        <v>23490</v>
      </c>
      <c r="D29513" s="1" t="str">
        <f>HYPERLINK("https://rhld.insurance.arkansas.gov/NPILookup?Npi=1497976427","1497976427")</f>
        <v>1497976427</v>
      </c>
      <c r="E29513" t="s">
        <v>9662</v>
      </c>
    </row>
    <row r="29514" spans="1:5" x14ac:dyDescent="0.25">
      <c r="A29514" t="s">
        <v>9313</v>
      </c>
      <c r="B29514" t="s">
        <v>9314</v>
      </c>
      <c r="C29514" s="1" t="s">
        <v>23490</v>
      </c>
      <c r="D29514" s="1" t="str">
        <f>HYPERLINK("https://rhld.insurance.arkansas.gov/NPILookup?Npi=1508187626","1508187626")</f>
        <v>1508187626</v>
      </c>
      <c r="E29514" t="s">
        <v>18593</v>
      </c>
    </row>
    <row r="29515" spans="1:5" x14ac:dyDescent="0.25">
      <c r="A29515" t="s">
        <v>9313</v>
      </c>
      <c r="B29515" t="s">
        <v>9314</v>
      </c>
      <c r="C29515" s="1" t="s">
        <v>23490</v>
      </c>
      <c r="D29515" s="1" t="str">
        <f>HYPERLINK("https://rhld.insurance.arkansas.gov/NPILookup?Npi=1508207283","1508207283")</f>
        <v>1508207283</v>
      </c>
      <c r="E29515" t="s">
        <v>23364</v>
      </c>
    </row>
    <row r="29516" spans="1:5" x14ac:dyDescent="0.25">
      <c r="A29516" t="s">
        <v>9313</v>
      </c>
      <c r="B29516" t="s">
        <v>9314</v>
      </c>
      <c r="C29516" s="1" t="s">
        <v>23490</v>
      </c>
      <c r="D29516" s="1" t="str">
        <f>HYPERLINK("https://rhld.insurance.arkansas.gov/NPILookup?Npi=1508210949","1508210949")</f>
        <v>1508210949</v>
      </c>
      <c r="E29516" t="s">
        <v>5798</v>
      </c>
    </row>
    <row r="29517" spans="1:5" x14ac:dyDescent="0.25">
      <c r="A29517" t="s">
        <v>9313</v>
      </c>
      <c r="B29517" t="s">
        <v>9314</v>
      </c>
      <c r="C29517" s="1" t="s">
        <v>23490</v>
      </c>
      <c r="D29517" s="1" t="str">
        <f>HYPERLINK("https://rhld.insurance.arkansas.gov/NPILookup?Npi=1508234436","1508234436")</f>
        <v>1508234436</v>
      </c>
      <c r="E29517" t="s">
        <v>9663</v>
      </c>
    </row>
    <row r="29518" spans="1:5" x14ac:dyDescent="0.25">
      <c r="A29518" t="s">
        <v>9313</v>
      </c>
      <c r="B29518" t="s">
        <v>9314</v>
      </c>
      <c r="C29518" s="1" t="s">
        <v>23490</v>
      </c>
      <c r="D29518" s="1" t="str">
        <f>HYPERLINK("https://rhld.insurance.arkansas.gov/NPILookup?Npi=1508806605","1508806605")</f>
        <v>1508806605</v>
      </c>
      <c r="E29518" t="s">
        <v>12421</v>
      </c>
    </row>
    <row r="29519" spans="1:5" x14ac:dyDescent="0.25">
      <c r="A29519" t="s">
        <v>9313</v>
      </c>
      <c r="B29519" t="s">
        <v>9314</v>
      </c>
      <c r="C29519" s="1" t="s">
        <v>23490</v>
      </c>
      <c r="D29519" s="1" t="str">
        <f>HYPERLINK("https://rhld.insurance.arkansas.gov/NPILookup?Npi=1508824590","1508824590")</f>
        <v>1508824590</v>
      </c>
      <c r="E29519" t="s">
        <v>9665</v>
      </c>
    </row>
    <row r="29520" spans="1:5" x14ac:dyDescent="0.25">
      <c r="A29520" t="s">
        <v>9313</v>
      </c>
      <c r="B29520" t="s">
        <v>9314</v>
      </c>
      <c r="C29520" s="1" t="s">
        <v>23490</v>
      </c>
      <c r="D29520" s="1" t="str">
        <f>HYPERLINK("https://rhld.insurance.arkansas.gov/NPILookup?Npi=1508826934","1508826934")</f>
        <v>1508826934</v>
      </c>
      <c r="E29520" t="s">
        <v>9666</v>
      </c>
    </row>
    <row r="29521" spans="1:5" x14ac:dyDescent="0.25">
      <c r="A29521" t="s">
        <v>9313</v>
      </c>
      <c r="B29521" t="s">
        <v>9314</v>
      </c>
      <c r="C29521" s="1" t="s">
        <v>23490</v>
      </c>
      <c r="D29521" s="1" t="str">
        <f>HYPERLINK("https://rhld.insurance.arkansas.gov/NPILookup?Npi=1508836941","1508836941")</f>
        <v>1508836941</v>
      </c>
      <c r="E29521" t="s">
        <v>12422</v>
      </c>
    </row>
    <row r="29522" spans="1:5" x14ac:dyDescent="0.25">
      <c r="A29522" t="s">
        <v>9313</v>
      </c>
      <c r="B29522" t="s">
        <v>9314</v>
      </c>
      <c r="C29522" s="1" t="s">
        <v>23490</v>
      </c>
      <c r="D29522" s="1" t="str">
        <f>HYPERLINK("https://rhld.insurance.arkansas.gov/NPILookup?Npi=1508924903","1508924903")</f>
        <v>1508924903</v>
      </c>
      <c r="E29522" t="s">
        <v>9668</v>
      </c>
    </row>
    <row r="29523" spans="1:5" x14ac:dyDescent="0.25">
      <c r="A29523" t="s">
        <v>9313</v>
      </c>
      <c r="B29523" t="s">
        <v>9314</v>
      </c>
      <c r="C29523" s="1" t="s">
        <v>23490</v>
      </c>
      <c r="D29523" s="1" t="str">
        <f>HYPERLINK("https://rhld.insurance.arkansas.gov/NPILookup?Npi=1508927500","1508927500")</f>
        <v>1508927500</v>
      </c>
      <c r="E29523" t="s">
        <v>9669</v>
      </c>
    </row>
    <row r="29524" spans="1:5" x14ac:dyDescent="0.25">
      <c r="A29524" t="s">
        <v>9313</v>
      </c>
      <c r="B29524" t="s">
        <v>9314</v>
      </c>
      <c r="C29524" s="1" t="s">
        <v>23490</v>
      </c>
      <c r="D29524" s="1" t="str">
        <f>HYPERLINK("https://rhld.insurance.arkansas.gov/NPILookup?Npi=1508940404","1508940404")</f>
        <v>1508940404</v>
      </c>
      <c r="E29524" t="s">
        <v>9670</v>
      </c>
    </row>
    <row r="29525" spans="1:5" x14ac:dyDescent="0.25">
      <c r="A29525" t="s">
        <v>9313</v>
      </c>
      <c r="B29525" t="s">
        <v>9314</v>
      </c>
      <c r="C29525" s="1" t="s">
        <v>23490</v>
      </c>
      <c r="D29525" s="1" t="str">
        <f>HYPERLINK("https://rhld.insurance.arkansas.gov/NPILookup?Npi=1508967415","1508967415")</f>
        <v>1508967415</v>
      </c>
      <c r="E29525" t="s">
        <v>9671</v>
      </c>
    </row>
    <row r="29526" spans="1:5" x14ac:dyDescent="0.25">
      <c r="A29526" t="s">
        <v>9313</v>
      </c>
      <c r="B29526" t="s">
        <v>9314</v>
      </c>
      <c r="C29526" s="1" t="s">
        <v>23490</v>
      </c>
      <c r="D29526" s="1" t="str">
        <f>HYPERLINK("https://rhld.insurance.arkansas.gov/NPILookup?Npi=1508984188","1508984188")</f>
        <v>1508984188</v>
      </c>
      <c r="E29526" t="s">
        <v>2187</v>
      </c>
    </row>
    <row r="29527" spans="1:5" x14ac:dyDescent="0.25">
      <c r="A29527" t="s">
        <v>9313</v>
      </c>
      <c r="B29527" t="s">
        <v>9314</v>
      </c>
      <c r="C29527" s="1" t="s">
        <v>23490</v>
      </c>
      <c r="D29527" s="1" t="str">
        <f>HYPERLINK("https://rhld.insurance.arkansas.gov/NPILookup?Npi=1508986860","1508986860")</f>
        <v>1508986860</v>
      </c>
      <c r="E29527" t="s">
        <v>12423</v>
      </c>
    </row>
    <row r="29528" spans="1:5" x14ac:dyDescent="0.25">
      <c r="A29528" t="s">
        <v>9313</v>
      </c>
      <c r="B29528" t="s">
        <v>9314</v>
      </c>
      <c r="C29528" s="1" t="s">
        <v>23490</v>
      </c>
      <c r="D29528" s="1" t="str">
        <f>HYPERLINK("https://rhld.insurance.arkansas.gov/NPILookup?Npi=1508988254","1508988254")</f>
        <v>1508988254</v>
      </c>
      <c r="E29528" t="s">
        <v>12424</v>
      </c>
    </row>
    <row r="29529" spans="1:5" x14ac:dyDescent="0.25">
      <c r="A29529" t="s">
        <v>9313</v>
      </c>
      <c r="B29529" t="s">
        <v>9314</v>
      </c>
      <c r="C29529" s="1" t="s">
        <v>23490</v>
      </c>
      <c r="D29529" s="1" t="str">
        <f>HYPERLINK("https://rhld.insurance.arkansas.gov/NPILookup?Npi=1508991365","1508991365")</f>
        <v>1508991365</v>
      </c>
      <c r="E29529" t="s">
        <v>12425</v>
      </c>
    </row>
    <row r="29530" spans="1:5" x14ac:dyDescent="0.25">
      <c r="A29530" t="s">
        <v>9313</v>
      </c>
      <c r="B29530" t="s">
        <v>9314</v>
      </c>
      <c r="C29530" s="1" t="s">
        <v>23490</v>
      </c>
      <c r="D29530" s="1" t="str">
        <f>HYPERLINK("https://rhld.insurance.arkansas.gov/NPILookup?Npi=1518033018","1518033018")</f>
        <v>1518033018</v>
      </c>
      <c r="E29530" t="s">
        <v>9672</v>
      </c>
    </row>
    <row r="29531" spans="1:5" x14ac:dyDescent="0.25">
      <c r="A29531" t="s">
        <v>9313</v>
      </c>
      <c r="B29531" t="s">
        <v>9314</v>
      </c>
      <c r="C29531" s="1" t="s">
        <v>23490</v>
      </c>
      <c r="D29531" s="1" t="str">
        <f>HYPERLINK("https://rhld.insurance.arkansas.gov/NPILookup?Npi=1518080381","1518080381")</f>
        <v>1518080381</v>
      </c>
      <c r="E29531" t="s">
        <v>9673</v>
      </c>
    </row>
    <row r="29532" spans="1:5" x14ac:dyDescent="0.25">
      <c r="A29532" t="s">
        <v>9313</v>
      </c>
      <c r="B29532" t="s">
        <v>9314</v>
      </c>
      <c r="C29532" s="1" t="s">
        <v>23490</v>
      </c>
      <c r="D29532" s="1" t="str">
        <f>HYPERLINK("https://rhld.insurance.arkansas.gov/NPILookup?Npi=1518085372","1518085372")</f>
        <v>1518085372</v>
      </c>
      <c r="E29532" t="s">
        <v>12426</v>
      </c>
    </row>
    <row r="29533" spans="1:5" x14ac:dyDescent="0.25">
      <c r="A29533" t="s">
        <v>9313</v>
      </c>
      <c r="B29533" t="s">
        <v>9314</v>
      </c>
      <c r="C29533" s="1" t="s">
        <v>23490</v>
      </c>
      <c r="D29533" s="1" t="str">
        <f>HYPERLINK("https://rhld.insurance.arkansas.gov/NPILookup?Npi=1518162635","1518162635")</f>
        <v>1518162635</v>
      </c>
      <c r="E29533" t="s">
        <v>9674</v>
      </c>
    </row>
    <row r="29534" spans="1:5" x14ac:dyDescent="0.25">
      <c r="A29534" t="s">
        <v>9313</v>
      </c>
      <c r="B29534" t="s">
        <v>9314</v>
      </c>
      <c r="C29534" s="1" t="s">
        <v>23490</v>
      </c>
      <c r="D29534" s="1" t="str">
        <f>HYPERLINK("https://rhld.insurance.arkansas.gov/NPILookup?Npi=1518194885","1518194885")</f>
        <v>1518194885</v>
      </c>
      <c r="E29534" t="s">
        <v>12427</v>
      </c>
    </row>
    <row r="29535" spans="1:5" x14ac:dyDescent="0.25">
      <c r="A29535" t="s">
        <v>9313</v>
      </c>
      <c r="B29535" t="s">
        <v>9314</v>
      </c>
      <c r="C29535" s="1" t="s">
        <v>23490</v>
      </c>
      <c r="D29535" s="1" t="str">
        <f>HYPERLINK("https://rhld.insurance.arkansas.gov/NPILookup?Npi=1518196815","1518196815")</f>
        <v>1518196815</v>
      </c>
      <c r="E29535" t="s">
        <v>9675</v>
      </c>
    </row>
    <row r="29536" spans="1:5" x14ac:dyDescent="0.25">
      <c r="A29536" t="s">
        <v>9313</v>
      </c>
      <c r="B29536" t="s">
        <v>9314</v>
      </c>
      <c r="C29536" s="1" t="s">
        <v>23490</v>
      </c>
      <c r="D29536" s="1" t="str">
        <f>HYPERLINK("https://rhld.insurance.arkansas.gov/NPILookup?Npi=1518222462","1518222462")</f>
        <v>1518222462</v>
      </c>
      <c r="E29536" t="s">
        <v>12428</v>
      </c>
    </row>
    <row r="29537" spans="1:5" x14ac:dyDescent="0.25">
      <c r="A29537" t="s">
        <v>9313</v>
      </c>
      <c r="B29537" t="s">
        <v>9314</v>
      </c>
      <c r="C29537" s="1" t="s">
        <v>23490</v>
      </c>
      <c r="D29537" s="1" t="str">
        <f>HYPERLINK("https://rhld.insurance.arkansas.gov/NPILookup?Npi=1518341130","1518341130")</f>
        <v>1518341130</v>
      </c>
      <c r="E29537" t="s">
        <v>17322</v>
      </c>
    </row>
    <row r="29538" spans="1:5" x14ac:dyDescent="0.25">
      <c r="A29538" t="s">
        <v>9313</v>
      </c>
      <c r="B29538" t="s">
        <v>9314</v>
      </c>
      <c r="C29538" s="1" t="s">
        <v>23490</v>
      </c>
      <c r="D29538" s="1" t="str">
        <f>HYPERLINK("https://rhld.insurance.arkansas.gov/NPILookup?Npi=1518372861","1518372861")</f>
        <v>1518372861</v>
      </c>
      <c r="E29538" t="s">
        <v>9677</v>
      </c>
    </row>
    <row r="29539" spans="1:5" x14ac:dyDescent="0.25">
      <c r="A29539" t="s">
        <v>9313</v>
      </c>
      <c r="B29539" t="s">
        <v>9314</v>
      </c>
      <c r="C29539" s="1" t="s">
        <v>23490</v>
      </c>
      <c r="D29539" s="1" t="str">
        <f>HYPERLINK("https://rhld.insurance.arkansas.gov/NPILookup?Npi=1518496215","1518496215")</f>
        <v>1518496215</v>
      </c>
      <c r="E29539" t="s">
        <v>12429</v>
      </c>
    </row>
    <row r="29540" spans="1:5" x14ac:dyDescent="0.25">
      <c r="A29540" t="s">
        <v>9313</v>
      </c>
      <c r="B29540" t="s">
        <v>9314</v>
      </c>
      <c r="C29540" s="1" t="s">
        <v>23490</v>
      </c>
      <c r="D29540" s="1" t="str">
        <f>HYPERLINK("https://rhld.insurance.arkansas.gov/NPILookup?Npi=1518900745","1518900745")</f>
        <v>1518900745</v>
      </c>
      <c r="E29540" t="s">
        <v>12430</v>
      </c>
    </row>
    <row r="29541" spans="1:5" x14ac:dyDescent="0.25">
      <c r="A29541" t="s">
        <v>9313</v>
      </c>
      <c r="B29541" t="s">
        <v>9314</v>
      </c>
      <c r="C29541" s="1" t="s">
        <v>23490</v>
      </c>
      <c r="D29541" s="1" t="str">
        <f>HYPERLINK("https://rhld.insurance.arkansas.gov/NPILookup?Npi=1518924620","1518924620")</f>
        <v>1518924620</v>
      </c>
      <c r="E29541" t="s">
        <v>9678</v>
      </c>
    </row>
    <row r="29542" spans="1:5" x14ac:dyDescent="0.25">
      <c r="A29542" t="s">
        <v>9313</v>
      </c>
      <c r="B29542" t="s">
        <v>9314</v>
      </c>
      <c r="C29542" s="1" t="s">
        <v>23490</v>
      </c>
      <c r="D29542" s="1" t="str">
        <f>HYPERLINK("https://rhld.insurance.arkansas.gov/NPILookup?Npi=1528084829","1528084829")</f>
        <v>1528084829</v>
      </c>
      <c r="E29542" t="s">
        <v>9680</v>
      </c>
    </row>
    <row r="29543" spans="1:5" x14ac:dyDescent="0.25">
      <c r="A29543" t="s">
        <v>9313</v>
      </c>
      <c r="B29543" t="s">
        <v>9314</v>
      </c>
      <c r="C29543" s="1" t="s">
        <v>23490</v>
      </c>
      <c r="D29543" s="1" t="str">
        <f>HYPERLINK("https://rhld.insurance.arkansas.gov/NPILookup?Npi=1528101672","1528101672")</f>
        <v>1528101672</v>
      </c>
      <c r="E29543" t="s">
        <v>9681</v>
      </c>
    </row>
    <row r="29544" spans="1:5" x14ac:dyDescent="0.25">
      <c r="A29544" t="s">
        <v>9313</v>
      </c>
      <c r="B29544" t="s">
        <v>9314</v>
      </c>
      <c r="C29544" s="1" t="s">
        <v>23490</v>
      </c>
      <c r="D29544" s="1" t="str">
        <f>HYPERLINK("https://rhld.insurance.arkansas.gov/NPILookup?Npi=1528113289","1528113289")</f>
        <v>1528113289</v>
      </c>
      <c r="E29544" t="s">
        <v>9682</v>
      </c>
    </row>
    <row r="29545" spans="1:5" x14ac:dyDescent="0.25">
      <c r="A29545" t="s">
        <v>9313</v>
      </c>
      <c r="B29545" t="s">
        <v>9314</v>
      </c>
      <c r="C29545" s="1" t="s">
        <v>23490</v>
      </c>
      <c r="D29545" s="1" t="str">
        <f>HYPERLINK("https://rhld.insurance.arkansas.gov/NPILookup?Npi=1528123569","1528123569")</f>
        <v>1528123569</v>
      </c>
      <c r="E29545" t="s">
        <v>13298</v>
      </c>
    </row>
    <row r="29546" spans="1:5" x14ac:dyDescent="0.25">
      <c r="A29546" t="s">
        <v>9313</v>
      </c>
      <c r="B29546" t="s">
        <v>9314</v>
      </c>
      <c r="C29546" s="1" t="s">
        <v>23490</v>
      </c>
      <c r="D29546" s="1" t="str">
        <f>HYPERLINK("https://rhld.insurance.arkansas.gov/NPILookup?Npi=1528131414","1528131414")</f>
        <v>1528131414</v>
      </c>
      <c r="E29546" t="s">
        <v>12431</v>
      </c>
    </row>
    <row r="29547" spans="1:5" x14ac:dyDescent="0.25">
      <c r="A29547" t="s">
        <v>9313</v>
      </c>
      <c r="B29547" t="s">
        <v>9314</v>
      </c>
      <c r="C29547" s="1" t="s">
        <v>23490</v>
      </c>
      <c r="D29547" s="1" t="str">
        <f>HYPERLINK("https://rhld.insurance.arkansas.gov/NPILookup?Npi=1528137171","1528137171")</f>
        <v>1528137171</v>
      </c>
      <c r="E29547" t="s">
        <v>12432</v>
      </c>
    </row>
    <row r="29548" spans="1:5" x14ac:dyDescent="0.25">
      <c r="A29548" t="s">
        <v>9313</v>
      </c>
      <c r="B29548" t="s">
        <v>9314</v>
      </c>
      <c r="C29548" s="1" t="s">
        <v>23490</v>
      </c>
      <c r="D29548" s="1" t="str">
        <f>HYPERLINK("https://rhld.insurance.arkansas.gov/NPILookup?Npi=1528157310","1528157310")</f>
        <v>1528157310</v>
      </c>
      <c r="E29548" t="s">
        <v>9683</v>
      </c>
    </row>
    <row r="29549" spans="1:5" x14ac:dyDescent="0.25">
      <c r="A29549" t="s">
        <v>9313</v>
      </c>
      <c r="B29549" t="s">
        <v>9314</v>
      </c>
      <c r="C29549" s="1" t="s">
        <v>23490</v>
      </c>
      <c r="D29549" s="1" t="str">
        <f>HYPERLINK("https://rhld.insurance.arkansas.gov/NPILookup?Npi=1528158565","1528158565")</f>
        <v>1528158565</v>
      </c>
      <c r="E29549" t="s">
        <v>12433</v>
      </c>
    </row>
    <row r="29550" spans="1:5" x14ac:dyDescent="0.25">
      <c r="A29550" t="s">
        <v>9313</v>
      </c>
      <c r="B29550" t="s">
        <v>9314</v>
      </c>
      <c r="C29550" s="1" t="s">
        <v>23490</v>
      </c>
      <c r="D29550" s="1" t="str">
        <f>HYPERLINK("https://rhld.insurance.arkansas.gov/NPILookup?Npi=1528158607","1528158607")</f>
        <v>1528158607</v>
      </c>
      <c r="E29550" t="s">
        <v>9684</v>
      </c>
    </row>
    <row r="29551" spans="1:5" x14ac:dyDescent="0.25">
      <c r="A29551" t="s">
        <v>9313</v>
      </c>
      <c r="B29551" t="s">
        <v>9314</v>
      </c>
      <c r="C29551" s="1" t="s">
        <v>23490</v>
      </c>
      <c r="D29551" s="1" t="str">
        <f>HYPERLINK("https://rhld.insurance.arkansas.gov/NPILookup?Npi=1528168044","1528168044")</f>
        <v>1528168044</v>
      </c>
      <c r="E29551" t="s">
        <v>12434</v>
      </c>
    </row>
    <row r="29552" spans="1:5" x14ac:dyDescent="0.25">
      <c r="A29552" t="s">
        <v>9313</v>
      </c>
      <c r="B29552" t="s">
        <v>9314</v>
      </c>
      <c r="C29552" s="1" t="s">
        <v>23490</v>
      </c>
      <c r="D29552" s="1" t="str">
        <f>HYPERLINK("https://rhld.insurance.arkansas.gov/NPILookup?Npi=1528229960","1528229960")</f>
        <v>1528229960</v>
      </c>
      <c r="E29552" t="s">
        <v>9685</v>
      </c>
    </row>
    <row r="29553" spans="1:5" x14ac:dyDescent="0.25">
      <c r="A29553" t="s">
        <v>9313</v>
      </c>
      <c r="B29553" t="s">
        <v>9314</v>
      </c>
      <c r="C29553" s="1" t="s">
        <v>23490</v>
      </c>
      <c r="D29553" s="1" t="str">
        <f>HYPERLINK("https://rhld.insurance.arkansas.gov/NPILookup?Npi=1528251964","1528251964")</f>
        <v>1528251964</v>
      </c>
      <c r="E29553" t="s">
        <v>9686</v>
      </c>
    </row>
    <row r="29554" spans="1:5" x14ac:dyDescent="0.25">
      <c r="A29554" t="s">
        <v>9313</v>
      </c>
      <c r="B29554" t="s">
        <v>9314</v>
      </c>
      <c r="C29554" s="1" t="s">
        <v>23490</v>
      </c>
      <c r="D29554" s="1" t="str">
        <f>HYPERLINK("https://rhld.insurance.arkansas.gov/NPILookup?Npi=1528273190","1528273190")</f>
        <v>1528273190</v>
      </c>
      <c r="E29554" t="s">
        <v>12435</v>
      </c>
    </row>
    <row r="29555" spans="1:5" x14ac:dyDescent="0.25">
      <c r="A29555" t="s">
        <v>9313</v>
      </c>
      <c r="B29555" t="s">
        <v>9314</v>
      </c>
      <c r="C29555" s="1" t="s">
        <v>23490</v>
      </c>
      <c r="D29555" s="1" t="str">
        <f>HYPERLINK("https://rhld.insurance.arkansas.gov/NPILookup?Npi=1528322005","1528322005")</f>
        <v>1528322005</v>
      </c>
      <c r="E29555" t="s">
        <v>9688</v>
      </c>
    </row>
    <row r="29556" spans="1:5" x14ac:dyDescent="0.25">
      <c r="A29556" t="s">
        <v>9313</v>
      </c>
      <c r="B29556" t="s">
        <v>9314</v>
      </c>
      <c r="C29556" s="1" t="s">
        <v>23490</v>
      </c>
      <c r="D29556" s="1" t="str">
        <f>HYPERLINK("https://rhld.insurance.arkansas.gov/NPILookup?Npi=1528355187","1528355187")</f>
        <v>1528355187</v>
      </c>
      <c r="E29556" t="s">
        <v>9689</v>
      </c>
    </row>
    <row r="29557" spans="1:5" x14ac:dyDescent="0.25">
      <c r="A29557" t="s">
        <v>9313</v>
      </c>
      <c r="B29557" t="s">
        <v>9314</v>
      </c>
      <c r="C29557" s="1" t="s">
        <v>23490</v>
      </c>
      <c r="D29557" s="1" t="str">
        <f>HYPERLINK("https://rhld.insurance.arkansas.gov/NPILookup?Npi=1528402484","1528402484")</f>
        <v>1528402484</v>
      </c>
      <c r="E29557" t="s">
        <v>12436</v>
      </c>
    </row>
    <row r="29558" spans="1:5" x14ac:dyDescent="0.25">
      <c r="A29558" t="s">
        <v>9313</v>
      </c>
      <c r="B29558" t="s">
        <v>9314</v>
      </c>
      <c r="C29558" s="1" t="s">
        <v>23490</v>
      </c>
      <c r="D29558" s="1" t="str">
        <f>HYPERLINK("https://rhld.insurance.arkansas.gov/NPILookup?Npi=1528477536","1528477536")</f>
        <v>1528477536</v>
      </c>
      <c r="E29558" t="s">
        <v>12437</v>
      </c>
    </row>
    <row r="29559" spans="1:5" x14ac:dyDescent="0.25">
      <c r="A29559" t="s">
        <v>9313</v>
      </c>
      <c r="B29559" t="s">
        <v>9314</v>
      </c>
      <c r="C29559" s="1" t="s">
        <v>23490</v>
      </c>
      <c r="D29559" s="1" t="str">
        <f>HYPERLINK("https://rhld.insurance.arkansas.gov/NPILookup?Npi=1528648102","1528648102")</f>
        <v>1528648102</v>
      </c>
      <c r="E29559" t="s">
        <v>22775</v>
      </c>
    </row>
    <row r="29560" spans="1:5" x14ac:dyDescent="0.25">
      <c r="A29560" t="s">
        <v>9313</v>
      </c>
      <c r="B29560" t="s">
        <v>9314</v>
      </c>
      <c r="C29560" s="1" t="s">
        <v>23490</v>
      </c>
      <c r="D29560" s="1" t="str">
        <f>HYPERLINK("https://rhld.insurance.arkansas.gov/NPILookup?Npi=1528707577","1528707577")</f>
        <v>1528707577</v>
      </c>
      <c r="E29560" t="s">
        <v>2140</v>
      </c>
    </row>
    <row r="29561" spans="1:5" x14ac:dyDescent="0.25">
      <c r="A29561" t="s">
        <v>9313</v>
      </c>
      <c r="B29561" t="s">
        <v>9314</v>
      </c>
      <c r="C29561" s="1" t="s">
        <v>23490</v>
      </c>
      <c r="D29561" s="1" t="str">
        <f>HYPERLINK("https://rhld.insurance.arkansas.gov/NPILookup?Npi=1538251277","1538251277")</f>
        <v>1538251277</v>
      </c>
      <c r="E29561" t="s">
        <v>9690</v>
      </c>
    </row>
    <row r="29562" spans="1:5" x14ac:dyDescent="0.25">
      <c r="A29562" t="s">
        <v>9313</v>
      </c>
      <c r="B29562" t="s">
        <v>9314</v>
      </c>
      <c r="C29562" s="1" t="s">
        <v>23490</v>
      </c>
      <c r="D29562" s="1" t="str">
        <f>HYPERLINK("https://rhld.insurance.arkansas.gov/NPILookup?Npi=1538273362","1538273362")</f>
        <v>1538273362</v>
      </c>
      <c r="E29562" t="s">
        <v>9691</v>
      </c>
    </row>
    <row r="29563" spans="1:5" x14ac:dyDescent="0.25">
      <c r="A29563" t="s">
        <v>9313</v>
      </c>
      <c r="B29563" t="s">
        <v>9314</v>
      </c>
      <c r="C29563" s="1" t="s">
        <v>23490</v>
      </c>
      <c r="D29563" s="1" t="str">
        <f>HYPERLINK("https://rhld.insurance.arkansas.gov/NPILookup?Npi=1538288741","1538288741")</f>
        <v>1538288741</v>
      </c>
      <c r="E29563" t="s">
        <v>12438</v>
      </c>
    </row>
    <row r="29564" spans="1:5" x14ac:dyDescent="0.25">
      <c r="A29564" t="s">
        <v>9313</v>
      </c>
      <c r="B29564" t="s">
        <v>9314</v>
      </c>
      <c r="C29564" s="1" t="s">
        <v>23490</v>
      </c>
      <c r="D29564" s="1" t="str">
        <f>HYPERLINK("https://rhld.insurance.arkansas.gov/NPILookup?Npi=1538288907","1538288907")</f>
        <v>1538288907</v>
      </c>
      <c r="E29564" t="s">
        <v>9692</v>
      </c>
    </row>
    <row r="29565" spans="1:5" x14ac:dyDescent="0.25">
      <c r="A29565" t="s">
        <v>9313</v>
      </c>
      <c r="B29565" t="s">
        <v>9314</v>
      </c>
      <c r="C29565" s="1" t="s">
        <v>23490</v>
      </c>
      <c r="D29565" s="1" t="str">
        <f>HYPERLINK("https://rhld.insurance.arkansas.gov/NPILookup?Npi=1538315411","1538315411")</f>
        <v>1538315411</v>
      </c>
      <c r="E29565" t="s">
        <v>9693</v>
      </c>
    </row>
    <row r="29566" spans="1:5" x14ac:dyDescent="0.25">
      <c r="A29566" t="s">
        <v>9313</v>
      </c>
      <c r="B29566" t="s">
        <v>9314</v>
      </c>
      <c r="C29566" s="1" t="s">
        <v>23490</v>
      </c>
      <c r="D29566" s="1" t="str">
        <f>HYPERLINK("https://rhld.insurance.arkansas.gov/NPILookup?Npi=1538454715","1538454715")</f>
        <v>1538454715</v>
      </c>
      <c r="E29566" t="s">
        <v>12439</v>
      </c>
    </row>
    <row r="29567" spans="1:5" x14ac:dyDescent="0.25">
      <c r="A29567" t="s">
        <v>9313</v>
      </c>
      <c r="B29567" t="s">
        <v>9314</v>
      </c>
      <c r="C29567" s="1" t="s">
        <v>23490</v>
      </c>
      <c r="D29567" s="1" t="str">
        <f>HYPERLINK("https://rhld.insurance.arkansas.gov/NPILookup?Npi=1538720669","1538720669")</f>
        <v>1538720669</v>
      </c>
      <c r="E29567" t="s">
        <v>16798</v>
      </c>
    </row>
    <row r="29568" spans="1:5" x14ac:dyDescent="0.25">
      <c r="A29568" t="s">
        <v>9313</v>
      </c>
      <c r="B29568" t="s">
        <v>9314</v>
      </c>
      <c r="C29568" s="1" t="s">
        <v>23490</v>
      </c>
      <c r="D29568" s="1" t="str">
        <f>HYPERLINK("https://rhld.insurance.arkansas.gov/NPILookup?Npi=1538729389","1538729389")</f>
        <v>1538729389</v>
      </c>
      <c r="E29568" t="s">
        <v>18594</v>
      </c>
    </row>
    <row r="29569" spans="1:5" x14ac:dyDescent="0.25">
      <c r="A29569" t="s">
        <v>9313</v>
      </c>
      <c r="B29569" t="s">
        <v>9314</v>
      </c>
      <c r="C29569" s="1" t="s">
        <v>8427</v>
      </c>
      <c r="D29569" s="1" t="str">
        <f>HYPERLINK("https://rhld.insurance.arkansas.gov/NPILookup?Npi=1538853643","1538853643")</f>
        <v>1538853643</v>
      </c>
      <c r="E29569" t="s">
        <v>23365</v>
      </c>
    </row>
    <row r="29570" spans="1:5" x14ac:dyDescent="0.25">
      <c r="A29570" t="s">
        <v>9313</v>
      </c>
      <c r="B29570" t="s">
        <v>9314</v>
      </c>
      <c r="C29570" s="1" t="s">
        <v>23490</v>
      </c>
      <c r="D29570" s="1" t="str">
        <f>HYPERLINK("https://rhld.insurance.arkansas.gov/NPILookup?Npi=1538895966","1538895966")</f>
        <v>1538895966</v>
      </c>
      <c r="E29570" t="s">
        <v>22776</v>
      </c>
    </row>
    <row r="29571" spans="1:5" x14ac:dyDescent="0.25">
      <c r="A29571" t="s">
        <v>9313</v>
      </c>
      <c r="B29571" t="s">
        <v>9314</v>
      </c>
      <c r="C29571" s="1" t="s">
        <v>23490</v>
      </c>
      <c r="D29571" s="1" t="str">
        <f>HYPERLINK("https://rhld.insurance.arkansas.gov/NPILookup?Npi=1548296445","1548296445")</f>
        <v>1548296445</v>
      </c>
      <c r="E29571" t="s">
        <v>9694</v>
      </c>
    </row>
    <row r="29572" spans="1:5" x14ac:dyDescent="0.25">
      <c r="A29572" t="s">
        <v>9313</v>
      </c>
      <c r="B29572" t="s">
        <v>9314</v>
      </c>
      <c r="C29572" s="1" t="s">
        <v>23490</v>
      </c>
      <c r="D29572" s="1" t="str">
        <f>HYPERLINK("https://rhld.insurance.arkansas.gov/NPILookup?Npi=1548304132","1548304132")</f>
        <v>1548304132</v>
      </c>
      <c r="E29572" t="s">
        <v>12440</v>
      </c>
    </row>
    <row r="29573" spans="1:5" x14ac:dyDescent="0.25">
      <c r="A29573" t="s">
        <v>9313</v>
      </c>
      <c r="B29573" t="s">
        <v>9314</v>
      </c>
      <c r="C29573" s="1" t="s">
        <v>23490</v>
      </c>
      <c r="D29573" s="1" t="str">
        <f>HYPERLINK("https://rhld.insurance.arkansas.gov/NPILookup?Npi=1548319627","1548319627")</f>
        <v>1548319627</v>
      </c>
      <c r="E29573" t="s">
        <v>19195</v>
      </c>
    </row>
    <row r="29574" spans="1:5" x14ac:dyDescent="0.25">
      <c r="A29574" t="s">
        <v>9313</v>
      </c>
      <c r="B29574" t="s">
        <v>9314</v>
      </c>
      <c r="C29574" s="1" t="s">
        <v>23490</v>
      </c>
      <c r="D29574" s="1" t="str">
        <f>HYPERLINK("https://rhld.insurance.arkansas.gov/NPILookup?Npi=1548322936","1548322936")</f>
        <v>1548322936</v>
      </c>
      <c r="E29574" t="s">
        <v>12441</v>
      </c>
    </row>
    <row r="29575" spans="1:5" x14ac:dyDescent="0.25">
      <c r="A29575" t="s">
        <v>9313</v>
      </c>
      <c r="B29575" t="s">
        <v>9314</v>
      </c>
      <c r="C29575" s="1" t="s">
        <v>23490</v>
      </c>
      <c r="D29575" s="1" t="str">
        <f>HYPERLINK("https://rhld.insurance.arkansas.gov/NPILookup?Npi=1548328180","1548328180")</f>
        <v>1548328180</v>
      </c>
      <c r="E29575" t="s">
        <v>12442</v>
      </c>
    </row>
    <row r="29576" spans="1:5" x14ac:dyDescent="0.25">
      <c r="A29576" t="s">
        <v>9313</v>
      </c>
      <c r="B29576" t="s">
        <v>9314</v>
      </c>
      <c r="C29576" s="1" t="s">
        <v>23490</v>
      </c>
      <c r="D29576" s="1" t="str">
        <f>HYPERLINK("https://rhld.insurance.arkansas.gov/NPILookup?Npi=1548333404","1548333404")</f>
        <v>1548333404</v>
      </c>
      <c r="E29576" t="s">
        <v>9695</v>
      </c>
    </row>
    <row r="29577" spans="1:5" x14ac:dyDescent="0.25">
      <c r="A29577" t="s">
        <v>9313</v>
      </c>
      <c r="B29577" t="s">
        <v>9314</v>
      </c>
      <c r="C29577" s="1" t="s">
        <v>23490</v>
      </c>
      <c r="D29577" s="1" t="str">
        <f>HYPERLINK("https://rhld.insurance.arkansas.gov/NPILookup?Npi=1548353733","1548353733")</f>
        <v>1548353733</v>
      </c>
      <c r="E29577" t="s">
        <v>9696</v>
      </c>
    </row>
    <row r="29578" spans="1:5" x14ac:dyDescent="0.25">
      <c r="A29578" t="s">
        <v>9313</v>
      </c>
      <c r="B29578" t="s">
        <v>9314</v>
      </c>
      <c r="C29578" s="1" t="s">
        <v>23490</v>
      </c>
      <c r="D29578" s="1" t="str">
        <f>HYPERLINK("https://rhld.insurance.arkansas.gov/NPILookup?Npi=1548366107","1548366107")</f>
        <v>1548366107</v>
      </c>
      <c r="E29578" t="s">
        <v>12443</v>
      </c>
    </row>
    <row r="29579" spans="1:5" x14ac:dyDescent="0.25">
      <c r="A29579" t="s">
        <v>9313</v>
      </c>
      <c r="B29579" t="s">
        <v>9314</v>
      </c>
      <c r="C29579" s="1" t="s">
        <v>23490</v>
      </c>
      <c r="D29579" s="1" t="str">
        <f>HYPERLINK("https://rhld.insurance.arkansas.gov/NPILookup?Npi=1548397029","1548397029")</f>
        <v>1548397029</v>
      </c>
      <c r="E29579" t="s">
        <v>9697</v>
      </c>
    </row>
    <row r="29580" spans="1:5" x14ac:dyDescent="0.25">
      <c r="A29580" t="s">
        <v>9313</v>
      </c>
      <c r="B29580" t="s">
        <v>9314</v>
      </c>
      <c r="C29580" s="1" t="s">
        <v>23490</v>
      </c>
      <c r="D29580" s="1" t="str">
        <f>HYPERLINK("https://rhld.insurance.arkansas.gov/NPILookup?Npi=1548487465","1548487465")</f>
        <v>1548487465</v>
      </c>
      <c r="E29580" t="s">
        <v>9698</v>
      </c>
    </row>
    <row r="29581" spans="1:5" x14ac:dyDescent="0.25">
      <c r="A29581" t="s">
        <v>9313</v>
      </c>
      <c r="B29581" t="s">
        <v>9314</v>
      </c>
      <c r="C29581" s="1" t="s">
        <v>23490</v>
      </c>
      <c r="D29581" s="1" t="str">
        <f>HYPERLINK("https://rhld.insurance.arkansas.gov/NPILookup?Npi=1548607120","1548607120")</f>
        <v>1548607120</v>
      </c>
      <c r="E29581" t="s">
        <v>12445</v>
      </c>
    </row>
    <row r="29582" spans="1:5" x14ac:dyDescent="0.25">
      <c r="A29582" t="s">
        <v>9313</v>
      </c>
      <c r="B29582" t="s">
        <v>9314</v>
      </c>
      <c r="C29582" s="1" t="s">
        <v>23490</v>
      </c>
      <c r="D29582" s="1" t="str">
        <f>HYPERLINK("https://rhld.insurance.arkansas.gov/NPILookup?Npi=1548610942","1548610942")</f>
        <v>1548610942</v>
      </c>
      <c r="E29582" t="s">
        <v>9699</v>
      </c>
    </row>
    <row r="29583" spans="1:5" x14ac:dyDescent="0.25">
      <c r="A29583" t="s">
        <v>9313</v>
      </c>
      <c r="B29583" t="s">
        <v>9314</v>
      </c>
      <c r="C29583" s="1" t="s">
        <v>23490</v>
      </c>
      <c r="D29583" s="1" t="str">
        <f>HYPERLINK("https://rhld.insurance.arkansas.gov/NPILookup?Npi=1548674930","1548674930")</f>
        <v>1548674930</v>
      </c>
      <c r="E29583" t="s">
        <v>9700</v>
      </c>
    </row>
    <row r="29584" spans="1:5" x14ac:dyDescent="0.25">
      <c r="A29584" t="s">
        <v>9313</v>
      </c>
      <c r="B29584" t="s">
        <v>9314</v>
      </c>
      <c r="C29584" s="1" t="s">
        <v>23490</v>
      </c>
      <c r="D29584" s="1" t="str">
        <f>HYPERLINK("https://rhld.insurance.arkansas.gov/NPILookup?Npi=1548713209","1548713209")</f>
        <v>1548713209</v>
      </c>
      <c r="E29584" t="s">
        <v>18595</v>
      </c>
    </row>
    <row r="29585" spans="1:5" x14ac:dyDescent="0.25">
      <c r="A29585" t="s">
        <v>9313</v>
      </c>
      <c r="B29585" t="s">
        <v>9314</v>
      </c>
      <c r="C29585" s="1" t="s">
        <v>23490</v>
      </c>
      <c r="D29585" s="1" t="str">
        <f>HYPERLINK("https://rhld.insurance.arkansas.gov/NPILookup?Npi=1548872997","1548872997")</f>
        <v>1548872997</v>
      </c>
      <c r="E29585" t="s">
        <v>21337</v>
      </c>
    </row>
    <row r="29586" spans="1:5" x14ac:dyDescent="0.25">
      <c r="A29586" t="s">
        <v>9313</v>
      </c>
      <c r="B29586" t="s">
        <v>9314</v>
      </c>
      <c r="C29586" s="1" t="s">
        <v>23490</v>
      </c>
      <c r="D29586" s="1" t="str">
        <f>HYPERLINK("https://rhld.insurance.arkansas.gov/NPILookup?Npi=1548999873","1548999873")</f>
        <v>1548999873</v>
      </c>
      <c r="E29586" t="s">
        <v>21338</v>
      </c>
    </row>
    <row r="29587" spans="1:5" x14ac:dyDescent="0.25">
      <c r="A29587" t="s">
        <v>9313</v>
      </c>
      <c r="B29587" t="s">
        <v>9314</v>
      </c>
      <c r="C29587" s="1" t="s">
        <v>23490</v>
      </c>
      <c r="D29587" s="1" t="str">
        <f>HYPERLINK("https://rhld.insurance.arkansas.gov/NPILookup?Npi=1558092544","1558092544")</f>
        <v>1558092544</v>
      </c>
      <c r="E29587" t="s">
        <v>21339</v>
      </c>
    </row>
    <row r="29588" spans="1:5" x14ac:dyDescent="0.25">
      <c r="A29588" t="s">
        <v>9313</v>
      </c>
      <c r="B29588" t="s">
        <v>9314</v>
      </c>
      <c r="C29588" s="1" t="s">
        <v>23490</v>
      </c>
      <c r="D29588" s="1" t="str">
        <f>HYPERLINK("https://rhld.insurance.arkansas.gov/NPILookup?Npi=1558301309","1558301309")</f>
        <v>1558301309</v>
      </c>
      <c r="E29588" t="s">
        <v>9701</v>
      </c>
    </row>
    <row r="29589" spans="1:5" x14ac:dyDescent="0.25">
      <c r="A29589" t="s">
        <v>9313</v>
      </c>
      <c r="B29589" t="s">
        <v>9314</v>
      </c>
      <c r="C29589" s="1" t="s">
        <v>23490</v>
      </c>
      <c r="D29589" s="1" t="str">
        <f>HYPERLINK("https://rhld.insurance.arkansas.gov/NPILookup?Npi=1558303032","1558303032")</f>
        <v>1558303032</v>
      </c>
      <c r="E29589" t="s">
        <v>9702</v>
      </c>
    </row>
    <row r="29590" spans="1:5" x14ac:dyDescent="0.25">
      <c r="A29590" t="s">
        <v>9313</v>
      </c>
      <c r="B29590" t="s">
        <v>9314</v>
      </c>
      <c r="C29590" s="1" t="s">
        <v>23490</v>
      </c>
      <c r="D29590" s="1" t="str">
        <f>HYPERLINK("https://rhld.insurance.arkansas.gov/NPILookup?Npi=1558381962","1558381962")</f>
        <v>1558381962</v>
      </c>
      <c r="E29590" t="s">
        <v>9703</v>
      </c>
    </row>
    <row r="29591" spans="1:5" x14ac:dyDescent="0.25">
      <c r="A29591" t="s">
        <v>9313</v>
      </c>
      <c r="B29591" t="s">
        <v>9314</v>
      </c>
      <c r="C29591" s="1" t="s">
        <v>23490</v>
      </c>
      <c r="D29591" s="1" t="str">
        <f>HYPERLINK("https://rhld.insurance.arkansas.gov/NPILookup?Npi=1558390146","1558390146")</f>
        <v>1558390146</v>
      </c>
      <c r="E29591" t="s">
        <v>9704</v>
      </c>
    </row>
    <row r="29592" spans="1:5" x14ac:dyDescent="0.25">
      <c r="A29592" t="s">
        <v>9313</v>
      </c>
      <c r="B29592" t="s">
        <v>9314</v>
      </c>
      <c r="C29592" s="1" t="s">
        <v>23490</v>
      </c>
      <c r="D29592" s="1" t="str">
        <f>HYPERLINK("https://rhld.insurance.arkansas.gov/NPILookup?Npi=1558396119","1558396119")</f>
        <v>1558396119</v>
      </c>
      <c r="E29592" t="s">
        <v>9705</v>
      </c>
    </row>
    <row r="29593" spans="1:5" x14ac:dyDescent="0.25">
      <c r="A29593" t="s">
        <v>9313</v>
      </c>
      <c r="B29593" t="s">
        <v>9314</v>
      </c>
      <c r="C29593" s="1" t="s">
        <v>23490</v>
      </c>
      <c r="D29593" s="1" t="str">
        <f>HYPERLINK("https://rhld.insurance.arkansas.gov/NPILookup?Npi=1558412452","1558412452")</f>
        <v>1558412452</v>
      </c>
      <c r="E29593" t="s">
        <v>9706</v>
      </c>
    </row>
    <row r="29594" spans="1:5" x14ac:dyDescent="0.25">
      <c r="A29594" t="s">
        <v>9313</v>
      </c>
      <c r="B29594" t="s">
        <v>9314</v>
      </c>
      <c r="C29594" s="1" t="s">
        <v>23490</v>
      </c>
      <c r="D29594" s="1" t="str">
        <f>HYPERLINK("https://rhld.insurance.arkansas.gov/NPILookup?Npi=1558423061","1558423061")</f>
        <v>1558423061</v>
      </c>
      <c r="E29594" t="s">
        <v>9707</v>
      </c>
    </row>
    <row r="29595" spans="1:5" x14ac:dyDescent="0.25">
      <c r="A29595" t="s">
        <v>9313</v>
      </c>
      <c r="B29595" t="s">
        <v>9314</v>
      </c>
      <c r="C29595" s="1" t="s">
        <v>23490</v>
      </c>
      <c r="D29595" s="1" t="str">
        <f>HYPERLINK("https://rhld.insurance.arkansas.gov/NPILookup?Npi=1558454751","1558454751")</f>
        <v>1558454751</v>
      </c>
      <c r="E29595" t="s">
        <v>12446</v>
      </c>
    </row>
    <row r="29596" spans="1:5" x14ac:dyDescent="0.25">
      <c r="A29596" t="s">
        <v>9313</v>
      </c>
      <c r="B29596" t="s">
        <v>9314</v>
      </c>
      <c r="C29596" s="1" t="s">
        <v>23490</v>
      </c>
      <c r="D29596" s="1" t="str">
        <f>HYPERLINK("https://rhld.insurance.arkansas.gov/NPILookup?Npi=1558472134","1558472134")</f>
        <v>1558472134</v>
      </c>
      <c r="E29596" t="s">
        <v>12447</v>
      </c>
    </row>
    <row r="29597" spans="1:5" x14ac:dyDescent="0.25">
      <c r="A29597" t="s">
        <v>9313</v>
      </c>
      <c r="B29597" t="s">
        <v>9314</v>
      </c>
      <c r="C29597" s="1" t="s">
        <v>23490</v>
      </c>
      <c r="D29597" s="1" t="str">
        <f>HYPERLINK("https://rhld.insurance.arkansas.gov/NPILookup?Npi=1558484600","1558484600")</f>
        <v>1558484600</v>
      </c>
      <c r="E29597" t="s">
        <v>9708</v>
      </c>
    </row>
    <row r="29598" spans="1:5" x14ac:dyDescent="0.25">
      <c r="A29598" t="s">
        <v>9313</v>
      </c>
      <c r="B29598" t="s">
        <v>9314</v>
      </c>
      <c r="C29598" s="1" t="s">
        <v>23490</v>
      </c>
      <c r="D29598" s="1" t="str">
        <f>HYPERLINK("https://rhld.insurance.arkansas.gov/NPILookup?Npi=1558486274","1558486274")</f>
        <v>1558486274</v>
      </c>
      <c r="E29598" t="s">
        <v>9709</v>
      </c>
    </row>
    <row r="29599" spans="1:5" x14ac:dyDescent="0.25">
      <c r="A29599" t="s">
        <v>9313</v>
      </c>
      <c r="B29599" t="s">
        <v>9314</v>
      </c>
      <c r="C29599" s="1" t="s">
        <v>23490</v>
      </c>
      <c r="D29599" s="1" t="str">
        <f>HYPERLINK("https://rhld.insurance.arkansas.gov/NPILookup?Npi=1558488833","1558488833")</f>
        <v>1558488833</v>
      </c>
      <c r="E29599" t="s">
        <v>12448</v>
      </c>
    </row>
    <row r="29600" spans="1:5" x14ac:dyDescent="0.25">
      <c r="A29600" t="s">
        <v>9313</v>
      </c>
      <c r="B29600" t="s">
        <v>9314</v>
      </c>
      <c r="C29600" s="1" t="s">
        <v>23490</v>
      </c>
      <c r="D29600" s="1" t="str">
        <f>HYPERLINK("https://rhld.insurance.arkansas.gov/NPILookup?Npi=1558556027","1558556027")</f>
        <v>1558556027</v>
      </c>
      <c r="E29600" t="s">
        <v>12449</v>
      </c>
    </row>
    <row r="29601" spans="1:5" x14ac:dyDescent="0.25">
      <c r="A29601" t="s">
        <v>9313</v>
      </c>
      <c r="B29601" t="s">
        <v>9314</v>
      </c>
      <c r="C29601" s="1" t="s">
        <v>23490</v>
      </c>
      <c r="D29601" s="1" t="str">
        <f>HYPERLINK("https://rhld.insurance.arkansas.gov/NPILookup?Npi=1558586313","1558586313")</f>
        <v>1558586313</v>
      </c>
      <c r="E29601" t="s">
        <v>12450</v>
      </c>
    </row>
    <row r="29602" spans="1:5" x14ac:dyDescent="0.25">
      <c r="A29602" t="s">
        <v>9313</v>
      </c>
      <c r="B29602" t="s">
        <v>9314</v>
      </c>
      <c r="C29602" s="1" t="s">
        <v>23490</v>
      </c>
      <c r="D29602" s="1" t="str">
        <f>HYPERLINK("https://rhld.insurance.arkansas.gov/NPILookup?Npi=1558712166","1558712166")</f>
        <v>1558712166</v>
      </c>
      <c r="E29602" t="s">
        <v>12451</v>
      </c>
    </row>
    <row r="29603" spans="1:5" x14ac:dyDescent="0.25">
      <c r="A29603" t="s">
        <v>9313</v>
      </c>
      <c r="B29603" t="s">
        <v>9314</v>
      </c>
      <c r="C29603" s="1" t="s">
        <v>23490</v>
      </c>
      <c r="D29603" s="1" t="str">
        <f>HYPERLINK("https://rhld.insurance.arkansas.gov/NPILookup?Npi=1558742049","1558742049")</f>
        <v>1558742049</v>
      </c>
      <c r="E29603" t="s">
        <v>9710</v>
      </c>
    </row>
    <row r="29604" spans="1:5" x14ac:dyDescent="0.25">
      <c r="A29604" t="s">
        <v>9313</v>
      </c>
      <c r="B29604" t="s">
        <v>9314</v>
      </c>
      <c r="C29604" s="1" t="s">
        <v>23490</v>
      </c>
      <c r="D29604" s="1" t="str">
        <f>HYPERLINK("https://rhld.insurance.arkansas.gov/NPILookup?Npi=1558853671","1558853671")</f>
        <v>1558853671</v>
      </c>
      <c r="E29604" t="s">
        <v>19196</v>
      </c>
    </row>
    <row r="29605" spans="1:5" x14ac:dyDescent="0.25">
      <c r="A29605" t="s">
        <v>9313</v>
      </c>
      <c r="B29605" t="s">
        <v>9314</v>
      </c>
      <c r="C29605" s="1" t="s">
        <v>23490</v>
      </c>
      <c r="D29605" s="1" t="str">
        <f>HYPERLINK("https://rhld.insurance.arkansas.gov/NPILookup?Npi=1558854588","1558854588")</f>
        <v>1558854588</v>
      </c>
      <c r="E29605" t="s">
        <v>18596</v>
      </c>
    </row>
    <row r="29606" spans="1:5" x14ac:dyDescent="0.25">
      <c r="A29606" t="s">
        <v>9313</v>
      </c>
      <c r="B29606" t="s">
        <v>9314</v>
      </c>
      <c r="C29606" s="1" t="s">
        <v>23490</v>
      </c>
      <c r="D29606" s="1" t="str">
        <f>HYPERLINK("https://rhld.insurance.arkansas.gov/NPILookup?Npi=1558884197","1558884197")</f>
        <v>1558884197</v>
      </c>
      <c r="E29606" t="s">
        <v>17785</v>
      </c>
    </row>
    <row r="29607" spans="1:5" x14ac:dyDescent="0.25">
      <c r="A29607" t="s">
        <v>9313</v>
      </c>
      <c r="B29607" t="s">
        <v>9314</v>
      </c>
      <c r="C29607" s="1" t="s">
        <v>23490</v>
      </c>
      <c r="D29607" s="1" t="str">
        <f>HYPERLINK("https://rhld.insurance.arkansas.gov/NPILookup?Npi=1558906248","1558906248")</f>
        <v>1558906248</v>
      </c>
      <c r="E29607" t="s">
        <v>17323</v>
      </c>
    </row>
    <row r="29608" spans="1:5" x14ac:dyDescent="0.25">
      <c r="A29608" t="s">
        <v>9313</v>
      </c>
      <c r="B29608" t="s">
        <v>9314</v>
      </c>
      <c r="C29608" s="1" t="s">
        <v>23490</v>
      </c>
      <c r="D29608" s="1" t="str">
        <f>HYPERLINK("https://rhld.insurance.arkansas.gov/NPILookup?Npi=1558970582","1558970582")</f>
        <v>1558970582</v>
      </c>
      <c r="E29608" t="s">
        <v>17786</v>
      </c>
    </row>
    <row r="29609" spans="1:5" x14ac:dyDescent="0.25">
      <c r="A29609" t="s">
        <v>9313</v>
      </c>
      <c r="B29609" t="s">
        <v>9314</v>
      </c>
      <c r="C29609" s="1" t="s">
        <v>23490</v>
      </c>
      <c r="D29609" s="1" t="str">
        <f>HYPERLINK("https://rhld.insurance.arkansas.gov/NPILookup?Npi=1558989749","1558989749")</f>
        <v>1558989749</v>
      </c>
      <c r="E29609" t="s">
        <v>18597</v>
      </c>
    </row>
    <row r="29610" spans="1:5" x14ac:dyDescent="0.25">
      <c r="A29610" t="s">
        <v>9313</v>
      </c>
      <c r="B29610" t="s">
        <v>9314</v>
      </c>
      <c r="C29610" s="1" t="s">
        <v>23490</v>
      </c>
      <c r="D29610" s="1" t="str">
        <f>HYPERLINK("https://rhld.insurance.arkansas.gov/NPILookup?Npi=1568033355","1568033355")</f>
        <v>1568033355</v>
      </c>
      <c r="E29610" t="s">
        <v>19197</v>
      </c>
    </row>
    <row r="29611" spans="1:5" x14ac:dyDescent="0.25">
      <c r="A29611" t="s">
        <v>9313</v>
      </c>
      <c r="B29611" t="s">
        <v>9314</v>
      </c>
      <c r="C29611" s="1" t="s">
        <v>23490</v>
      </c>
      <c r="D29611" s="1" t="str">
        <f>HYPERLINK("https://rhld.insurance.arkansas.gov/NPILookup?Npi=1568071595","1568071595")</f>
        <v>1568071595</v>
      </c>
      <c r="E29611" t="s">
        <v>17787</v>
      </c>
    </row>
    <row r="29612" spans="1:5" x14ac:dyDescent="0.25">
      <c r="A29612" t="s">
        <v>9313</v>
      </c>
      <c r="B29612" t="s">
        <v>9314</v>
      </c>
      <c r="C29612" s="1" t="s">
        <v>23490</v>
      </c>
      <c r="D29612" s="1" t="str">
        <f>HYPERLINK("https://rhld.insurance.arkansas.gov/NPILookup?Npi=1568444016","1568444016")</f>
        <v>1568444016</v>
      </c>
      <c r="E29612" t="s">
        <v>12452</v>
      </c>
    </row>
    <row r="29613" spans="1:5" x14ac:dyDescent="0.25">
      <c r="A29613" t="s">
        <v>9313</v>
      </c>
      <c r="B29613" t="s">
        <v>9314</v>
      </c>
      <c r="C29613" s="1" t="s">
        <v>23490</v>
      </c>
      <c r="D29613" s="1" t="str">
        <f>HYPERLINK("https://rhld.insurance.arkansas.gov/NPILookup?Npi=1568472694","1568472694")</f>
        <v>1568472694</v>
      </c>
      <c r="E29613" t="s">
        <v>9711</v>
      </c>
    </row>
    <row r="29614" spans="1:5" x14ac:dyDescent="0.25">
      <c r="A29614" t="s">
        <v>9313</v>
      </c>
      <c r="B29614" t="s">
        <v>9314</v>
      </c>
      <c r="C29614" s="1" t="s">
        <v>23490</v>
      </c>
      <c r="D29614" s="1" t="str">
        <f>HYPERLINK("https://rhld.insurance.arkansas.gov/NPILookup?Npi=1568479004","1568479004")</f>
        <v>1568479004</v>
      </c>
      <c r="E29614" t="s">
        <v>9712</v>
      </c>
    </row>
    <row r="29615" spans="1:5" x14ac:dyDescent="0.25">
      <c r="A29615" t="s">
        <v>9313</v>
      </c>
      <c r="B29615" t="s">
        <v>9314</v>
      </c>
      <c r="C29615" s="1" t="s">
        <v>23490</v>
      </c>
      <c r="D29615" s="1" t="str">
        <f>HYPERLINK("https://rhld.insurance.arkansas.gov/NPILookup?Npi=1568507770","1568507770")</f>
        <v>1568507770</v>
      </c>
      <c r="E29615" t="s">
        <v>9713</v>
      </c>
    </row>
    <row r="29616" spans="1:5" x14ac:dyDescent="0.25">
      <c r="A29616" t="s">
        <v>9313</v>
      </c>
      <c r="B29616" t="s">
        <v>9314</v>
      </c>
      <c r="C29616" s="1" t="s">
        <v>23490</v>
      </c>
      <c r="D29616" s="1" t="str">
        <f>HYPERLINK("https://rhld.insurance.arkansas.gov/NPILookup?Npi=1568524056","1568524056")</f>
        <v>1568524056</v>
      </c>
      <c r="E29616" t="s">
        <v>9715</v>
      </c>
    </row>
    <row r="29617" spans="1:5" x14ac:dyDescent="0.25">
      <c r="A29617" t="s">
        <v>9313</v>
      </c>
      <c r="B29617" t="s">
        <v>9314</v>
      </c>
      <c r="C29617" s="1" t="s">
        <v>23490</v>
      </c>
      <c r="D29617" s="1" t="str">
        <f>HYPERLINK("https://rhld.insurance.arkansas.gov/NPILookup?Npi=1568525731","1568525731")</f>
        <v>1568525731</v>
      </c>
      <c r="E29617" t="s">
        <v>9716</v>
      </c>
    </row>
    <row r="29618" spans="1:5" x14ac:dyDescent="0.25">
      <c r="A29618" t="s">
        <v>9313</v>
      </c>
      <c r="B29618" t="s">
        <v>9314</v>
      </c>
      <c r="C29618" s="1" t="s">
        <v>8427</v>
      </c>
      <c r="D29618" s="1" t="str">
        <f>HYPERLINK("https://rhld.insurance.arkansas.gov/NPILookup?Npi=1568557247","1568557247")</f>
        <v>1568557247</v>
      </c>
      <c r="E29618" t="s">
        <v>23366</v>
      </c>
    </row>
    <row r="29619" spans="1:5" x14ac:dyDescent="0.25">
      <c r="A29619" t="s">
        <v>9313</v>
      </c>
      <c r="B29619" t="s">
        <v>9314</v>
      </c>
      <c r="C29619" s="1" t="s">
        <v>23490</v>
      </c>
      <c r="D29619" s="1" t="str">
        <f>HYPERLINK("https://rhld.insurance.arkansas.gov/NPILookup?Npi=1568625416","1568625416")</f>
        <v>1568625416</v>
      </c>
      <c r="E29619" t="s">
        <v>12453</v>
      </c>
    </row>
    <row r="29620" spans="1:5" x14ac:dyDescent="0.25">
      <c r="A29620" t="s">
        <v>9313</v>
      </c>
      <c r="B29620" t="s">
        <v>9314</v>
      </c>
      <c r="C29620" s="1" t="s">
        <v>23490</v>
      </c>
      <c r="D29620" s="1" t="str">
        <f>HYPERLINK("https://rhld.insurance.arkansas.gov/NPILookup?Npi=1568640464","1568640464")</f>
        <v>1568640464</v>
      </c>
      <c r="E29620" t="s">
        <v>12454</v>
      </c>
    </row>
    <row r="29621" spans="1:5" x14ac:dyDescent="0.25">
      <c r="A29621" t="s">
        <v>9313</v>
      </c>
      <c r="B29621" t="s">
        <v>9314</v>
      </c>
      <c r="C29621" s="1" t="s">
        <v>23490</v>
      </c>
      <c r="D29621" s="1" t="str">
        <f>HYPERLINK("https://rhld.insurance.arkansas.gov/NPILookup?Npi=1568681930","1568681930")</f>
        <v>1568681930</v>
      </c>
      <c r="E29621" t="s">
        <v>9718</v>
      </c>
    </row>
    <row r="29622" spans="1:5" x14ac:dyDescent="0.25">
      <c r="A29622" t="s">
        <v>9313</v>
      </c>
      <c r="B29622" t="s">
        <v>9314</v>
      </c>
      <c r="C29622" s="1" t="s">
        <v>23490</v>
      </c>
      <c r="D29622" s="1" t="str">
        <f>HYPERLINK("https://rhld.insurance.arkansas.gov/NPILookup?Npi=1568876530","1568876530")</f>
        <v>1568876530</v>
      </c>
      <c r="E29622" t="s">
        <v>9719</v>
      </c>
    </row>
    <row r="29623" spans="1:5" x14ac:dyDescent="0.25">
      <c r="A29623" t="s">
        <v>9313</v>
      </c>
      <c r="B29623" t="s">
        <v>9314</v>
      </c>
      <c r="C29623" s="1" t="s">
        <v>8427</v>
      </c>
      <c r="D29623" s="1" t="str">
        <f>HYPERLINK("https://rhld.insurance.arkansas.gov/NPILookup?Npi=1578292116","1578292116")</f>
        <v>1578292116</v>
      </c>
      <c r="E29623" t="s">
        <v>23367</v>
      </c>
    </row>
    <row r="29624" spans="1:5" x14ac:dyDescent="0.25">
      <c r="A29624" t="s">
        <v>9313</v>
      </c>
      <c r="B29624" t="s">
        <v>9314</v>
      </c>
      <c r="C29624" s="1" t="s">
        <v>23490</v>
      </c>
      <c r="D29624" s="1" t="str">
        <f>HYPERLINK("https://rhld.insurance.arkansas.gov/NPILookup?Npi=1578500773","1578500773")</f>
        <v>1578500773</v>
      </c>
      <c r="E29624" t="s">
        <v>9720</v>
      </c>
    </row>
    <row r="29625" spans="1:5" x14ac:dyDescent="0.25">
      <c r="A29625" t="s">
        <v>9313</v>
      </c>
      <c r="B29625" t="s">
        <v>9314</v>
      </c>
      <c r="C29625" s="1" t="s">
        <v>23490</v>
      </c>
      <c r="D29625" s="1" t="str">
        <f>HYPERLINK("https://rhld.insurance.arkansas.gov/NPILookup?Npi=1578570610","1578570610")</f>
        <v>1578570610</v>
      </c>
      <c r="E29625" t="s">
        <v>9721</v>
      </c>
    </row>
    <row r="29626" spans="1:5" x14ac:dyDescent="0.25">
      <c r="A29626" t="s">
        <v>9313</v>
      </c>
      <c r="B29626" t="s">
        <v>9314</v>
      </c>
      <c r="C29626" s="1" t="s">
        <v>23490</v>
      </c>
      <c r="D29626" s="1" t="str">
        <f>HYPERLINK("https://rhld.insurance.arkansas.gov/NPILookup?Npi=1578583407","1578583407")</f>
        <v>1578583407</v>
      </c>
      <c r="E29626" t="s">
        <v>12456</v>
      </c>
    </row>
    <row r="29627" spans="1:5" x14ac:dyDescent="0.25">
      <c r="A29627" t="s">
        <v>9313</v>
      </c>
      <c r="B29627" t="s">
        <v>9314</v>
      </c>
      <c r="C29627" s="1" t="s">
        <v>23490</v>
      </c>
      <c r="D29627" s="1" t="str">
        <f>HYPERLINK("https://rhld.insurance.arkansas.gov/NPILookup?Npi=1578614160","1578614160")</f>
        <v>1578614160</v>
      </c>
      <c r="E29627" t="s">
        <v>12457</v>
      </c>
    </row>
    <row r="29628" spans="1:5" x14ac:dyDescent="0.25">
      <c r="A29628" t="s">
        <v>9313</v>
      </c>
      <c r="B29628" t="s">
        <v>9314</v>
      </c>
      <c r="C29628" s="1" t="s">
        <v>23490</v>
      </c>
      <c r="D29628" s="1" t="str">
        <f>HYPERLINK("https://rhld.insurance.arkansas.gov/NPILookup?Npi=1578635157","1578635157")</f>
        <v>1578635157</v>
      </c>
      <c r="E29628" t="s">
        <v>12458</v>
      </c>
    </row>
    <row r="29629" spans="1:5" x14ac:dyDescent="0.25">
      <c r="A29629" t="s">
        <v>9313</v>
      </c>
      <c r="B29629" t="s">
        <v>9314</v>
      </c>
      <c r="C29629" s="1" t="s">
        <v>23490</v>
      </c>
      <c r="D29629" s="1" t="str">
        <f>HYPERLINK("https://rhld.insurance.arkansas.gov/NPILookup?Npi=1578655742","1578655742")</f>
        <v>1578655742</v>
      </c>
      <c r="E29629" t="s">
        <v>9723</v>
      </c>
    </row>
    <row r="29630" spans="1:5" x14ac:dyDescent="0.25">
      <c r="A29630" t="s">
        <v>9313</v>
      </c>
      <c r="B29630" t="s">
        <v>9314</v>
      </c>
      <c r="C29630" s="1" t="s">
        <v>23490</v>
      </c>
      <c r="D29630" s="1" t="str">
        <f>HYPERLINK("https://rhld.insurance.arkansas.gov/NPILookup?Npi=1578661476","1578661476")</f>
        <v>1578661476</v>
      </c>
      <c r="E29630" t="s">
        <v>9724</v>
      </c>
    </row>
    <row r="29631" spans="1:5" x14ac:dyDescent="0.25">
      <c r="A29631" t="s">
        <v>9313</v>
      </c>
      <c r="B29631" t="s">
        <v>9314</v>
      </c>
      <c r="C29631" s="1" t="s">
        <v>23490</v>
      </c>
      <c r="D29631" s="1" t="str">
        <f>HYPERLINK("https://rhld.insurance.arkansas.gov/NPILookup?Npi=1578676219","1578676219")</f>
        <v>1578676219</v>
      </c>
      <c r="E29631" t="s">
        <v>1955</v>
      </c>
    </row>
    <row r="29632" spans="1:5" x14ac:dyDescent="0.25">
      <c r="A29632" t="s">
        <v>9313</v>
      </c>
      <c r="B29632" t="s">
        <v>9314</v>
      </c>
      <c r="C29632" s="1" t="s">
        <v>23490</v>
      </c>
      <c r="D29632" s="1" t="str">
        <f>HYPERLINK("https://rhld.insurance.arkansas.gov/NPILookup?Npi=1578688479","1578688479")</f>
        <v>1578688479</v>
      </c>
      <c r="E29632" t="s">
        <v>12459</v>
      </c>
    </row>
    <row r="29633" spans="1:5" x14ac:dyDescent="0.25">
      <c r="A29633" t="s">
        <v>9313</v>
      </c>
      <c r="B29633" t="s">
        <v>9314</v>
      </c>
      <c r="C29633" s="1" t="s">
        <v>23490</v>
      </c>
      <c r="D29633" s="1" t="str">
        <f>HYPERLINK("https://rhld.insurance.arkansas.gov/NPILookup?Npi=1578695961","1578695961")</f>
        <v>1578695961</v>
      </c>
      <c r="E29633" t="s">
        <v>12460</v>
      </c>
    </row>
    <row r="29634" spans="1:5" x14ac:dyDescent="0.25">
      <c r="A29634" t="s">
        <v>9313</v>
      </c>
      <c r="B29634" t="s">
        <v>9314</v>
      </c>
      <c r="C29634" s="1" t="s">
        <v>23490</v>
      </c>
      <c r="D29634" s="1" t="str">
        <f>HYPERLINK("https://rhld.insurance.arkansas.gov/NPILookup?Npi=1588010433","1588010433")</f>
        <v>1588010433</v>
      </c>
      <c r="E29634" t="s">
        <v>12461</v>
      </c>
    </row>
    <row r="29635" spans="1:5" x14ac:dyDescent="0.25">
      <c r="A29635" t="s">
        <v>9313</v>
      </c>
      <c r="B29635" t="s">
        <v>9314</v>
      </c>
      <c r="C29635" s="1" t="s">
        <v>23490</v>
      </c>
      <c r="D29635" s="1" t="str">
        <f>HYPERLINK("https://rhld.insurance.arkansas.gov/NPILookup?Npi=1588193353","1588193353")</f>
        <v>1588193353</v>
      </c>
      <c r="E29635" t="s">
        <v>18598</v>
      </c>
    </row>
    <row r="29636" spans="1:5" x14ac:dyDescent="0.25">
      <c r="A29636" t="s">
        <v>9313</v>
      </c>
      <c r="B29636" t="s">
        <v>9314</v>
      </c>
      <c r="C29636" s="1" t="s">
        <v>23490</v>
      </c>
      <c r="D29636" s="1" t="str">
        <f>HYPERLINK("https://rhld.insurance.arkansas.gov/NPILookup?Npi=1588206098","1588206098")</f>
        <v>1588206098</v>
      </c>
      <c r="E29636" t="s">
        <v>17324</v>
      </c>
    </row>
    <row r="29637" spans="1:5" x14ac:dyDescent="0.25">
      <c r="A29637" t="s">
        <v>9313</v>
      </c>
      <c r="B29637" t="s">
        <v>9314</v>
      </c>
      <c r="C29637" s="1" t="s">
        <v>23490</v>
      </c>
      <c r="D29637" s="1" t="str">
        <f>HYPERLINK("https://rhld.insurance.arkansas.gov/NPILookup?Npi=1588272850","1588272850")</f>
        <v>1588272850</v>
      </c>
      <c r="E29637" t="s">
        <v>17788</v>
      </c>
    </row>
    <row r="29638" spans="1:5" x14ac:dyDescent="0.25">
      <c r="A29638" t="s">
        <v>9313</v>
      </c>
      <c r="B29638" t="s">
        <v>9314</v>
      </c>
      <c r="C29638" s="1" t="s">
        <v>23490</v>
      </c>
      <c r="D29638" s="1" t="str">
        <f>HYPERLINK("https://rhld.insurance.arkansas.gov/NPILookup?Npi=1588274757","1588274757")</f>
        <v>1588274757</v>
      </c>
      <c r="E29638" t="s">
        <v>17789</v>
      </c>
    </row>
    <row r="29639" spans="1:5" x14ac:dyDescent="0.25">
      <c r="A29639" t="s">
        <v>9313</v>
      </c>
      <c r="B29639" t="s">
        <v>9314</v>
      </c>
      <c r="C29639" s="1" t="s">
        <v>23490</v>
      </c>
      <c r="D29639" s="1" t="str">
        <f>HYPERLINK("https://rhld.insurance.arkansas.gov/NPILookup?Npi=1588656011","1588656011")</f>
        <v>1588656011</v>
      </c>
      <c r="E29639" t="s">
        <v>12462</v>
      </c>
    </row>
    <row r="29640" spans="1:5" x14ac:dyDescent="0.25">
      <c r="A29640" t="s">
        <v>9313</v>
      </c>
      <c r="B29640" t="s">
        <v>9314</v>
      </c>
      <c r="C29640" s="1" t="s">
        <v>23490</v>
      </c>
      <c r="D29640" s="1" t="str">
        <f>HYPERLINK("https://rhld.insurance.arkansas.gov/NPILookup?Npi=1588657563","1588657563")</f>
        <v>1588657563</v>
      </c>
      <c r="E29640" t="s">
        <v>12463</v>
      </c>
    </row>
    <row r="29641" spans="1:5" x14ac:dyDescent="0.25">
      <c r="A29641" t="s">
        <v>9313</v>
      </c>
      <c r="B29641" t="s">
        <v>9314</v>
      </c>
      <c r="C29641" s="1" t="s">
        <v>23490</v>
      </c>
      <c r="D29641" s="1" t="str">
        <f>HYPERLINK("https://rhld.insurance.arkansas.gov/NPILookup?Npi=1588683700","1588683700")</f>
        <v>1588683700</v>
      </c>
      <c r="E29641" t="s">
        <v>9725</v>
      </c>
    </row>
    <row r="29642" spans="1:5" x14ac:dyDescent="0.25">
      <c r="A29642" t="s">
        <v>9313</v>
      </c>
      <c r="B29642" t="s">
        <v>9314</v>
      </c>
      <c r="C29642" s="1" t="s">
        <v>23490</v>
      </c>
      <c r="D29642" s="1" t="str">
        <f>HYPERLINK("https://rhld.insurance.arkansas.gov/NPILookup?Npi=1588725204","1588725204")</f>
        <v>1588725204</v>
      </c>
      <c r="E29642" t="s">
        <v>9726</v>
      </c>
    </row>
    <row r="29643" spans="1:5" x14ac:dyDescent="0.25">
      <c r="A29643" t="s">
        <v>9313</v>
      </c>
      <c r="B29643" t="s">
        <v>9314</v>
      </c>
      <c r="C29643" s="1" t="s">
        <v>23490</v>
      </c>
      <c r="D29643" s="1" t="str">
        <f>HYPERLINK("https://rhld.insurance.arkansas.gov/NPILookup?Npi=1588770291","1588770291")</f>
        <v>1588770291</v>
      </c>
      <c r="E29643" t="s">
        <v>9727</v>
      </c>
    </row>
    <row r="29644" spans="1:5" x14ac:dyDescent="0.25">
      <c r="A29644" t="s">
        <v>9313</v>
      </c>
      <c r="B29644" t="s">
        <v>9314</v>
      </c>
      <c r="C29644" s="1" t="s">
        <v>23490</v>
      </c>
      <c r="D29644" s="1" t="str">
        <f>HYPERLINK("https://rhld.insurance.arkansas.gov/NPILookup?Npi=1588773436","1588773436")</f>
        <v>1588773436</v>
      </c>
      <c r="E29644" t="s">
        <v>9728</v>
      </c>
    </row>
    <row r="29645" spans="1:5" x14ac:dyDescent="0.25">
      <c r="A29645" t="s">
        <v>9313</v>
      </c>
      <c r="B29645" t="s">
        <v>9314</v>
      </c>
      <c r="C29645" s="1" t="s">
        <v>23490</v>
      </c>
      <c r="D29645" s="1" t="str">
        <f>HYPERLINK("https://rhld.insurance.arkansas.gov/NPILookup?Npi=1588824643","1588824643")</f>
        <v>1588824643</v>
      </c>
      <c r="E29645" t="s">
        <v>9729</v>
      </c>
    </row>
    <row r="29646" spans="1:5" x14ac:dyDescent="0.25">
      <c r="A29646" t="s">
        <v>9313</v>
      </c>
      <c r="B29646" t="s">
        <v>9314</v>
      </c>
      <c r="C29646" s="1" t="s">
        <v>23490</v>
      </c>
      <c r="D29646" s="1" t="str">
        <f>HYPERLINK("https://rhld.insurance.arkansas.gov/NPILookup?Npi=1588952949","1588952949")</f>
        <v>1588952949</v>
      </c>
      <c r="E29646" t="s">
        <v>9730</v>
      </c>
    </row>
    <row r="29647" spans="1:5" x14ac:dyDescent="0.25">
      <c r="A29647" t="s">
        <v>9313</v>
      </c>
      <c r="B29647" t="s">
        <v>9314</v>
      </c>
      <c r="C29647" s="1" t="s">
        <v>23490</v>
      </c>
      <c r="D29647" s="1" t="str">
        <f>HYPERLINK("https://rhld.insurance.arkansas.gov/NPILookup?Npi=1588984843","1588984843")</f>
        <v>1588984843</v>
      </c>
      <c r="E29647" t="s">
        <v>9731</v>
      </c>
    </row>
    <row r="29648" spans="1:5" x14ac:dyDescent="0.25">
      <c r="A29648" t="s">
        <v>9313</v>
      </c>
      <c r="B29648" t="s">
        <v>9314</v>
      </c>
      <c r="C29648" s="1" t="s">
        <v>23490</v>
      </c>
      <c r="D29648" s="1" t="str">
        <f>HYPERLINK("https://rhld.insurance.arkansas.gov/NPILookup?Npi=1598070344","1598070344")</f>
        <v>1598070344</v>
      </c>
      <c r="E29648" t="s">
        <v>12464</v>
      </c>
    </row>
    <row r="29649" spans="1:5" x14ac:dyDescent="0.25">
      <c r="A29649" t="s">
        <v>9313</v>
      </c>
      <c r="B29649" t="s">
        <v>9314</v>
      </c>
      <c r="C29649" s="1" t="s">
        <v>23490</v>
      </c>
      <c r="D29649" s="1" t="str">
        <f>HYPERLINK("https://rhld.insurance.arkansas.gov/NPILookup?Npi=1598085318","1598085318")</f>
        <v>1598085318</v>
      </c>
      <c r="E29649" t="s">
        <v>9732</v>
      </c>
    </row>
    <row r="29650" spans="1:5" x14ac:dyDescent="0.25">
      <c r="A29650" t="s">
        <v>9313</v>
      </c>
      <c r="B29650" t="s">
        <v>9314</v>
      </c>
      <c r="C29650" s="1" t="s">
        <v>23490</v>
      </c>
      <c r="D29650" s="1" t="str">
        <f>HYPERLINK("https://rhld.insurance.arkansas.gov/NPILookup?Npi=1598116667","1598116667")</f>
        <v>1598116667</v>
      </c>
      <c r="E29650" t="s">
        <v>9733</v>
      </c>
    </row>
    <row r="29651" spans="1:5" x14ac:dyDescent="0.25">
      <c r="A29651" t="s">
        <v>9313</v>
      </c>
      <c r="B29651" t="s">
        <v>9314</v>
      </c>
      <c r="C29651" s="1" t="s">
        <v>23490</v>
      </c>
      <c r="D29651" s="1" t="str">
        <f>HYPERLINK("https://rhld.insurance.arkansas.gov/NPILookup?Npi=1598190142","1598190142")</f>
        <v>1598190142</v>
      </c>
      <c r="E29651" t="s">
        <v>9734</v>
      </c>
    </row>
    <row r="29652" spans="1:5" x14ac:dyDescent="0.25">
      <c r="A29652" t="s">
        <v>9313</v>
      </c>
      <c r="B29652" t="s">
        <v>9314</v>
      </c>
      <c r="C29652" s="1" t="s">
        <v>23490</v>
      </c>
      <c r="D29652" s="1" t="str">
        <f>HYPERLINK("https://rhld.insurance.arkansas.gov/NPILookup?Npi=1598213092","1598213092")</f>
        <v>1598213092</v>
      </c>
      <c r="E29652" t="s">
        <v>14607</v>
      </c>
    </row>
    <row r="29653" spans="1:5" x14ac:dyDescent="0.25">
      <c r="A29653" t="s">
        <v>9313</v>
      </c>
      <c r="B29653" t="s">
        <v>9314</v>
      </c>
      <c r="C29653" s="1" t="s">
        <v>23490</v>
      </c>
      <c r="D29653" s="1" t="str">
        <f>HYPERLINK("https://rhld.insurance.arkansas.gov/NPILookup?Npi=1598707531","1598707531")</f>
        <v>1598707531</v>
      </c>
      <c r="E29653" t="s">
        <v>9735</v>
      </c>
    </row>
    <row r="29654" spans="1:5" x14ac:dyDescent="0.25">
      <c r="A29654" t="s">
        <v>9313</v>
      </c>
      <c r="B29654" t="s">
        <v>9314</v>
      </c>
      <c r="C29654" s="1" t="s">
        <v>23490</v>
      </c>
      <c r="D29654" s="1" t="str">
        <f>HYPERLINK("https://rhld.insurance.arkansas.gov/NPILookup?Npi=1598758591","1598758591")</f>
        <v>1598758591</v>
      </c>
      <c r="E29654" t="s">
        <v>9736</v>
      </c>
    </row>
    <row r="29655" spans="1:5" x14ac:dyDescent="0.25">
      <c r="A29655" t="s">
        <v>9313</v>
      </c>
      <c r="B29655" t="s">
        <v>9314</v>
      </c>
      <c r="C29655" s="1" t="s">
        <v>23490</v>
      </c>
      <c r="D29655" s="1" t="str">
        <f>HYPERLINK("https://rhld.insurance.arkansas.gov/NPILookup?Npi=1598771560","1598771560")</f>
        <v>1598771560</v>
      </c>
      <c r="E29655" t="s">
        <v>9737</v>
      </c>
    </row>
    <row r="29656" spans="1:5" x14ac:dyDescent="0.25">
      <c r="A29656" t="s">
        <v>9313</v>
      </c>
      <c r="B29656" t="s">
        <v>9314</v>
      </c>
      <c r="C29656" s="1" t="s">
        <v>23490</v>
      </c>
      <c r="D29656" s="1" t="str">
        <f>HYPERLINK("https://rhld.insurance.arkansas.gov/NPILookup?Npi=1598788614","1598788614")</f>
        <v>1598788614</v>
      </c>
      <c r="E29656" t="s">
        <v>12465</v>
      </c>
    </row>
    <row r="29657" spans="1:5" x14ac:dyDescent="0.25">
      <c r="A29657" t="s">
        <v>9313</v>
      </c>
      <c r="B29657" t="s">
        <v>9314</v>
      </c>
      <c r="C29657" s="1" t="s">
        <v>23490</v>
      </c>
      <c r="D29657" s="1" t="str">
        <f>HYPERLINK("https://rhld.insurance.arkansas.gov/NPILookup?Npi=1598791667","1598791667")</f>
        <v>1598791667</v>
      </c>
      <c r="E29657" t="s">
        <v>9738</v>
      </c>
    </row>
    <row r="29658" spans="1:5" x14ac:dyDescent="0.25">
      <c r="A29658" t="s">
        <v>9313</v>
      </c>
      <c r="B29658" t="s">
        <v>9314</v>
      </c>
      <c r="C29658" s="1" t="s">
        <v>23490</v>
      </c>
      <c r="D29658" s="1" t="str">
        <f>HYPERLINK("https://rhld.insurance.arkansas.gov/NPILookup?Npi=1598801268","1598801268")</f>
        <v>1598801268</v>
      </c>
      <c r="E29658" t="s">
        <v>9739</v>
      </c>
    </row>
    <row r="29659" spans="1:5" x14ac:dyDescent="0.25">
      <c r="A29659" t="s">
        <v>9313</v>
      </c>
      <c r="B29659" t="s">
        <v>9314</v>
      </c>
      <c r="C29659" s="1" t="s">
        <v>23490</v>
      </c>
      <c r="D29659" s="1" t="str">
        <f>HYPERLINK("https://rhld.insurance.arkansas.gov/NPILookup?Npi=1598821258","1598821258")</f>
        <v>1598821258</v>
      </c>
      <c r="E29659" t="s">
        <v>12466</v>
      </c>
    </row>
    <row r="29660" spans="1:5" x14ac:dyDescent="0.25">
      <c r="A29660" t="s">
        <v>9313</v>
      </c>
      <c r="B29660" t="s">
        <v>9314</v>
      </c>
      <c r="C29660" s="1" t="s">
        <v>23490</v>
      </c>
      <c r="D29660" s="1" t="str">
        <f>HYPERLINK("https://rhld.insurance.arkansas.gov/NPILookup?Npi=1598829392","1598829392")</f>
        <v>1598829392</v>
      </c>
      <c r="E29660" t="s">
        <v>9740</v>
      </c>
    </row>
    <row r="29661" spans="1:5" x14ac:dyDescent="0.25">
      <c r="A29661" t="s">
        <v>9313</v>
      </c>
      <c r="B29661" t="s">
        <v>9314</v>
      </c>
      <c r="C29661" s="1" t="s">
        <v>23490</v>
      </c>
      <c r="D29661" s="1" t="str">
        <f>HYPERLINK("https://rhld.insurance.arkansas.gov/NPILookup?Npi=1598835357","1598835357")</f>
        <v>1598835357</v>
      </c>
      <c r="E29661" t="s">
        <v>9741</v>
      </c>
    </row>
    <row r="29662" spans="1:5" x14ac:dyDescent="0.25">
      <c r="A29662" t="s">
        <v>9313</v>
      </c>
      <c r="B29662" t="s">
        <v>9314</v>
      </c>
      <c r="C29662" s="1" t="s">
        <v>23490</v>
      </c>
      <c r="D29662" s="1" t="str">
        <f>HYPERLINK("https://rhld.insurance.arkansas.gov/NPILookup?Npi=1598837908","1598837908")</f>
        <v>1598837908</v>
      </c>
      <c r="E29662" t="s">
        <v>12467</v>
      </c>
    </row>
    <row r="29663" spans="1:5" x14ac:dyDescent="0.25">
      <c r="A29663" t="s">
        <v>9313</v>
      </c>
      <c r="B29663" t="s">
        <v>9314</v>
      </c>
      <c r="C29663" s="1" t="s">
        <v>23490</v>
      </c>
      <c r="D29663" s="1" t="str">
        <f>HYPERLINK("https://rhld.insurance.arkansas.gov/NPILookup?Npi=1598840340","1598840340")</f>
        <v>1598840340</v>
      </c>
      <c r="E29663" t="s">
        <v>9742</v>
      </c>
    </row>
    <row r="29664" spans="1:5" x14ac:dyDescent="0.25">
      <c r="A29664" t="s">
        <v>9313</v>
      </c>
      <c r="B29664" t="s">
        <v>9314</v>
      </c>
      <c r="C29664" s="1" t="s">
        <v>23490</v>
      </c>
      <c r="D29664" s="1" t="str">
        <f>HYPERLINK("https://rhld.insurance.arkansas.gov/NPILookup?Npi=1598863789","1598863789")</f>
        <v>1598863789</v>
      </c>
      <c r="E29664" t="s">
        <v>9743</v>
      </c>
    </row>
    <row r="29665" spans="1:5" x14ac:dyDescent="0.25">
      <c r="A29665" t="s">
        <v>9313</v>
      </c>
      <c r="B29665" t="s">
        <v>9314</v>
      </c>
      <c r="C29665" s="1" t="s">
        <v>23490</v>
      </c>
      <c r="D29665" s="1" t="str">
        <f>HYPERLINK("https://rhld.insurance.arkansas.gov/NPILookup?Npi=1598926081","1598926081")</f>
        <v>1598926081</v>
      </c>
      <c r="E29665" t="s">
        <v>12468</v>
      </c>
    </row>
    <row r="29666" spans="1:5" x14ac:dyDescent="0.25">
      <c r="A29666" t="s">
        <v>9313</v>
      </c>
      <c r="B29666" t="s">
        <v>9314</v>
      </c>
      <c r="C29666" s="1" t="s">
        <v>23490</v>
      </c>
      <c r="D29666" s="1" t="str">
        <f>HYPERLINK("https://rhld.insurance.arkansas.gov/NPILookup?Npi=1598963449","1598963449")</f>
        <v>1598963449</v>
      </c>
      <c r="E29666" t="s">
        <v>12469</v>
      </c>
    </row>
    <row r="29667" spans="1:5" x14ac:dyDescent="0.25">
      <c r="A29667" t="s">
        <v>9313</v>
      </c>
      <c r="B29667" t="s">
        <v>9314</v>
      </c>
      <c r="C29667" s="1" t="s">
        <v>23490</v>
      </c>
      <c r="D29667" s="1" t="str">
        <f>HYPERLINK("https://rhld.insurance.arkansas.gov/NPILookup?Npi=1598977092","1598977092")</f>
        <v>1598977092</v>
      </c>
      <c r="E29667" t="s">
        <v>11404</v>
      </c>
    </row>
    <row r="29668" spans="1:5" x14ac:dyDescent="0.25">
      <c r="A29668" t="s">
        <v>9313</v>
      </c>
      <c r="B29668" t="s">
        <v>9314</v>
      </c>
      <c r="C29668" s="1" t="s">
        <v>23490</v>
      </c>
      <c r="D29668" s="1" t="str">
        <f>HYPERLINK("https://rhld.insurance.arkansas.gov/NPILookup?Npi=1598992588","1598992588")</f>
        <v>1598992588</v>
      </c>
      <c r="E29668" t="s">
        <v>12470</v>
      </c>
    </row>
    <row r="29669" spans="1:5" x14ac:dyDescent="0.25">
      <c r="A29669" t="s">
        <v>9313</v>
      </c>
      <c r="B29669" t="s">
        <v>9314</v>
      </c>
      <c r="C29669" s="1" t="s">
        <v>23490</v>
      </c>
      <c r="D29669" s="1" t="str">
        <f>HYPERLINK("https://rhld.insurance.arkansas.gov/NPILookup?Npi=1609003037","1609003037")</f>
        <v>1609003037</v>
      </c>
      <c r="E29669" t="s">
        <v>12471</v>
      </c>
    </row>
    <row r="29670" spans="1:5" x14ac:dyDescent="0.25">
      <c r="A29670" t="s">
        <v>9313</v>
      </c>
      <c r="B29670" t="s">
        <v>9314</v>
      </c>
      <c r="C29670" s="1" t="s">
        <v>23490</v>
      </c>
      <c r="D29670" s="1" t="str">
        <f>HYPERLINK("https://rhld.insurance.arkansas.gov/NPILookup?Npi=1609036789","1609036789")</f>
        <v>1609036789</v>
      </c>
      <c r="E29670" t="s">
        <v>9744</v>
      </c>
    </row>
    <row r="29671" spans="1:5" x14ac:dyDescent="0.25">
      <c r="A29671" t="s">
        <v>9313</v>
      </c>
      <c r="B29671" t="s">
        <v>9314</v>
      </c>
      <c r="C29671" s="1" t="s">
        <v>23490</v>
      </c>
      <c r="D29671" s="1" t="str">
        <f>HYPERLINK("https://rhld.insurance.arkansas.gov/NPILookup?Npi=1609101740","1609101740")</f>
        <v>1609101740</v>
      </c>
      <c r="E29671" t="s">
        <v>12472</v>
      </c>
    </row>
    <row r="29672" spans="1:5" x14ac:dyDescent="0.25">
      <c r="A29672" t="s">
        <v>9313</v>
      </c>
      <c r="B29672" t="s">
        <v>9314</v>
      </c>
      <c r="C29672" s="1" t="s">
        <v>23490</v>
      </c>
      <c r="D29672" s="1" t="str">
        <f>HYPERLINK("https://rhld.insurance.arkansas.gov/NPILookup?Npi=1609138569","1609138569")</f>
        <v>1609138569</v>
      </c>
      <c r="E29672" t="s">
        <v>9745</v>
      </c>
    </row>
    <row r="29673" spans="1:5" x14ac:dyDescent="0.25">
      <c r="A29673" t="s">
        <v>9313</v>
      </c>
      <c r="B29673" t="s">
        <v>9314</v>
      </c>
      <c r="C29673" s="1" t="s">
        <v>23490</v>
      </c>
      <c r="D29673" s="1" t="str">
        <f>HYPERLINK("https://rhld.insurance.arkansas.gov/NPILookup?Npi=1609191352","1609191352")</f>
        <v>1609191352</v>
      </c>
      <c r="E29673" t="s">
        <v>9746</v>
      </c>
    </row>
    <row r="29674" spans="1:5" x14ac:dyDescent="0.25">
      <c r="A29674" t="s">
        <v>9313</v>
      </c>
      <c r="B29674" t="s">
        <v>9314</v>
      </c>
      <c r="C29674" s="1" t="s">
        <v>23490</v>
      </c>
      <c r="D29674" s="1" t="str">
        <f>HYPERLINK("https://rhld.insurance.arkansas.gov/NPILookup?Npi=1609225697","1609225697")</f>
        <v>1609225697</v>
      </c>
      <c r="E29674" t="s">
        <v>11514</v>
      </c>
    </row>
    <row r="29675" spans="1:5" x14ac:dyDescent="0.25">
      <c r="A29675" t="s">
        <v>9313</v>
      </c>
      <c r="B29675" t="s">
        <v>9314</v>
      </c>
      <c r="C29675" s="1" t="s">
        <v>23490</v>
      </c>
      <c r="D29675" s="1" t="str">
        <f>HYPERLINK("https://rhld.insurance.arkansas.gov/NPILookup?Npi=1609238807","1609238807")</f>
        <v>1609238807</v>
      </c>
      <c r="E29675" t="s">
        <v>12474</v>
      </c>
    </row>
    <row r="29676" spans="1:5" x14ac:dyDescent="0.25">
      <c r="A29676" t="s">
        <v>9313</v>
      </c>
      <c r="B29676" t="s">
        <v>9314</v>
      </c>
      <c r="C29676" s="1" t="s">
        <v>23490</v>
      </c>
      <c r="D29676" s="1" t="str">
        <f>HYPERLINK("https://rhld.insurance.arkansas.gov/NPILookup?Npi=1609854496","1609854496")</f>
        <v>1609854496</v>
      </c>
      <c r="E29676" t="s">
        <v>12475</v>
      </c>
    </row>
    <row r="29677" spans="1:5" x14ac:dyDescent="0.25">
      <c r="A29677" t="s">
        <v>9313</v>
      </c>
      <c r="B29677" t="s">
        <v>9314</v>
      </c>
      <c r="C29677" s="1" t="s">
        <v>23490</v>
      </c>
      <c r="D29677" s="1" t="str">
        <f>HYPERLINK("https://rhld.insurance.arkansas.gov/NPILookup?Npi=1609878008","1609878008")</f>
        <v>1609878008</v>
      </c>
      <c r="E29677" t="s">
        <v>13299</v>
      </c>
    </row>
    <row r="29678" spans="1:5" x14ac:dyDescent="0.25">
      <c r="A29678" t="s">
        <v>9313</v>
      </c>
      <c r="B29678" t="s">
        <v>9314</v>
      </c>
      <c r="C29678" s="1" t="s">
        <v>23490</v>
      </c>
      <c r="D29678" s="1" t="str">
        <f>HYPERLINK("https://rhld.insurance.arkansas.gov/NPILookup?Npi=1609896729","1609896729")</f>
        <v>1609896729</v>
      </c>
      <c r="E29678" t="s">
        <v>12476</v>
      </c>
    </row>
    <row r="29679" spans="1:5" x14ac:dyDescent="0.25">
      <c r="A29679" t="s">
        <v>9313</v>
      </c>
      <c r="B29679" t="s">
        <v>9314</v>
      </c>
      <c r="C29679" s="1" t="s">
        <v>23490</v>
      </c>
      <c r="D29679" s="1" t="str">
        <f>HYPERLINK("https://rhld.insurance.arkansas.gov/NPILookup?Npi=1609938034","1609938034")</f>
        <v>1609938034</v>
      </c>
      <c r="E29679" t="s">
        <v>9747</v>
      </c>
    </row>
    <row r="29680" spans="1:5" x14ac:dyDescent="0.25">
      <c r="A29680" t="s">
        <v>9313</v>
      </c>
      <c r="B29680" t="s">
        <v>9314</v>
      </c>
      <c r="C29680" s="1" t="s">
        <v>23490</v>
      </c>
      <c r="D29680" s="1" t="str">
        <f>HYPERLINK("https://rhld.insurance.arkansas.gov/NPILookup?Npi=1609974997","1609974997")</f>
        <v>1609974997</v>
      </c>
      <c r="E29680" t="s">
        <v>12477</v>
      </c>
    </row>
    <row r="29681" spans="1:5" x14ac:dyDescent="0.25">
      <c r="A29681" t="s">
        <v>9313</v>
      </c>
      <c r="B29681" t="s">
        <v>9314</v>
      </c>
      <c r="C29681" s="1" t="s">
        <v>23490</v>
      </c>
      <c r="D29681" s="1" t="str">
        <f>HYPERLINK("https://rhld.insurance.arkansas.gov/NPILookup?Npi=1619003225","1619003225")</f>
        <v>1619003225</v>
      </c>
      <c r="E29681" t="s">
        <v>9748</v>
      </c>
    </row>
    <row r="29682" spans="1:5" x14ac:dyDescent="0.25">
      <c r="A29682" t="s">
        <v>9313</v>
      </c>
      <c r="B29682" t="s">
        <v>9314</v>
      </c>
      <c r="C29682" s="1" t="s">
        <v>23490</v>
      </c>
      <c r="D29682" s="1" t="str">
        <f>HYPERLINK("https://rhld.insurance.arkansas.gov/NPILookup?Npi=1619035649","1619035649")</f>
        <v>1619035649</v>
      </c>
      <c r="E29682" t="s">
        <v>9749</v>
      </c>
    </row>
    <row r="29683" spans="1:5" x14ac:dyDescent="0.25">
      <c r="A29683" t="s">
        <v>9313</v>
      </c>
      <c r="B29683" t="s">
        <v>9314</v>
      </c>
      <c r="C29683" s="1" t="s">
        <v>23490</v>
      </c>
      <c r="D29683" s="1" t="str">
        <f>HYPERLINK("https://rhld.insurance.arkansas.gov/NPILookup?Npi=1619038098","1619038098")</f>
        <v>1619038098</v>
      </c>
      <c r="E29683" t="s">
        <v>9750</v>
      </c>
    </row>
    <row r="29684" spans="1:5" x14ac:dyDescent="0.25">
      <c r="A29684" t="s">
        <v>9313</v>
      </c>
      <c r="B29684" t="s">
        <v>9314</v>
      </c>
      <c r="C29684" s="1" t="s">
        <v>23490</v>
      </c>
      <c r="D29684" s="1" t="str">
        <f>HYPERLINK("https://rhld.insurance.arkansas.gov/NPILookup?Npi=1619062601","1619062601")</f>
        <v>1619062601</v>
      </c>
      <c r="E29684" t="s">
        <v>9751</v>
      </c>
    </row>
    <row r="29685" spans="1:5" x14ac:dyDescent="0.25">
      <c r="A29685" t="s">
        <v>9313</v>
      </c>
      <c r="B29685" t="s">
        <v>9314</v>
      </c>
      <c r="C29685" s="1" t="s">
        <v>23490</v>
      </c>
      <c r="D29685" s="1" t="str">
        <f>HYPERLINK("https://rhld.insurance.arkansas.gov/NPILookup?Npi=1619063781","1619063781")</f>
        <v>1619063781</v>
      </c>
      <c r="E29685" t="s">
        <v>9752</v>
      </c>
    </row>
    <row r="29686" spans="1:5" x14ac:dyDescent="0.25">
      <c r="A29686" t="s">
        <v>9313</v>
      </c>
      <c r="B29686" t="s">
        <v>9314</v>
      </c>
      <c r="C29686" s="1" t="s">
        <v>23490</v>
      </c>
      <c r="D29686" s="1" t="str">
        <f>HYPERLINK("https://rhld.insurance.arkansas.gov/NPILookup?Npi=1619070752","1619070752")</f>
        <v>1619070752</v>
      </c>
      <c r="E29686" t="s">
        <v>12478</v>
      </c>
    </row>
    <row r="29687" spans="1:5" x14ac:dyDescent="0.25">
      <c r="A29687" t="s">
        <v>9313</v>
      </c>
      <c r="B29687" t="s">
        <v>9314</v>
      </c>
      <c r="C29687" s="1" t="s">
        <v>23490</v>
      </c>
      <c r="D29687" s="1" t="str">
        <f>HYPERLINK("https://rhld.insurance.arkansas.gov/NPILookup?Npi=1619076676","1619076676")</f>
        <v>1619076676</v>
      </c>
      <c r="E29687" t="s">
        <v>12479</v>
      </c>
    </row>
    <row r="29688" spans="1:5" x14ac:dyDescent="0.25">
      <c r="A29688" t="s">
        <v>9313</v>
      </c>
      <c r="B29688" t="s">
        <v>9314</v>
      </c>
      <c r="C29688" s="1" t="s">
        <v>23490</v>
      </c>
      <c r="D29688" s="1" t="str">
        <f>HYPERLINK("https://rhld.insurance.arkansas.gov/NPILookup?Npi=1619206562","1619206562")</f>
        <v>1619206562</v>
      </c>
      <c r="E29688" t="s">
        <v>17791</v>
      </c>
    </row>
    <row r="29689" spans="1:5" x14ac:dyDescent="0.25">
      <c r="A29689" t="s">
        <v>9313</v>
      </c>
      <c r="B29689" t="s">
        <v>9314</v>
      </c>
      <c r="C29689" s="1" t="s">
        <v>23490</v>
      </c>
      <c r="D29689" s="1" t="str">
        <f>HYPERLINK("https://rhld.insurance.arkansas.gov/NPILookup?Npi=1619248036","1619248036")</f>
        <v>1619248036</v>
      </c>
      <c r="E29689" t="s">
        <v>9753</v>
      </c>
    </row>
    <row r="29690" spans="1:5" x14ac:dyDescent="0.25">
      <c r="A29690" t="s">
        <v>9313</v>
      </c>
      <c r="B29690" t="s">
        <v>9314</v>
      </c>
      <c r="C29690" s="1" t="s">
        <v>23490</v>
      </c>
      <c r="D29690" s="1" t="str">
        <f>HYPERLINK("https://rhld.insurance.arkansas.gov/NPILookup?Npi=1619262318","1619262318")</f>
        <v>1619262318</v>
      </c>
      <c r="E29690" t="s">
        <v>12480</v>
      </c>
    </row>
    <row r="29691" spans="1:5" x14ac:dyDescent="0.25">
      <c r="A29691" t="s">
        <v>9313</v>
      </c>
      <c r="B29691" t="s">
        <v>9314</v>
      </c>
      <c r="C29691" s="1" t="s">
        <v>23490</v>
      </c>
      <c r="D29691" s="1" t="str">
        <f>HYPERLINK("https://rhld.insurance.arkansas.gov/NPILookup?Npi=1619319514","1619319514")</f>
        <v>1619319514</v>
      </c>
      <c r="E29691" t="s">
        <v>12481</v>
      </c>
    </row>
    <row r="29692" spans="1:5" x14ac:dyDescent="0.25">
      <c r="A29692" t="s">
        <v>9313</v>
      </c>
      <c r="B29692" t="s">
        <v>9314</v>
      </c>
      <c r="C29692" s="1" t="s">
        <v>23490</v>
      </c>
      <c r="D29692" s="1" t="str">
        <f>HYPERLINK("https://rhld.insurance.arkansas.gov/NPILookup?Npi=1619547072","1619547072")</f>
        <v>1619547072</v>
      </c>
      <c r="E29692" t="s">
        <v>19198</v>
      </c>
    </row>
    <row r="29693" spans="1:5" x14ac:dyDescent="0.25">
      <c r="A29693" t="s">
        <v>9313</v>
      </c>
      <c r="B29693" t="s">
        <v>9314</v>
      </c>
      <c r="C29693" s="1" t="s">
        <v>23490</v>
      </c>
      <c r="D29693" s="1" t="str">
        <f>HYPERLINK("https://rhld.insurance.arkansas.gov/NPILookup?Npi=1619590064","1619590064")</f>
        <v>1619590064</v>
      </c>
      <c r="E29693" t="s">
        <v>20826</v>
      </c>
    </row>
    <row r="29694" spans="1:5" x14ac:dyDescent="0.25">
      <c r="A29694" t="s">
        <v>9313</v>
      </c>
      <c r="B29694" t="s">
        <v>9314</v>
      </c>
      <c r="C29694" s="1" t="s">
        <v>8427</v>
      </c>
      <c r="D29694" s="1" t="str">
        <f>HYPERLINK("https://rhld.insurance.arkansas.gov/NPILookup?Npi=1619672631","1619672631")</f>
        <v>1619672631</v>
      </c>
      <c r="E29694" t="s">
        <v>23368</v>
      </c>
    </row>
    <row r="29695" spans="1:5" x14ac:dyDescent="0.25">
      <c r="A29695" t="s">
        <v>9313</v>
      </c>
      <c r="B29695" t="s">
        <v>9314</v>
      </c>
      <c r="C29695" s="1" t="s">
        <v>23490</v>
      </c>
      <c r="D29695" s="1" t="str">
        <f>HYPERLINK("https://rhld.insurance.arkansas.gov/NPILookup?Npi=1619972569","1619972569")</f>
        <v>1619972569</v>
      </c>
      <c r="E29695" t="s">
        <v>13300</v>
      </c>
    </row>
    <row r="29696" spans="1:5" x14ac:dyDescent="0.25">
      <c r="A29696" t="s">
        <v>9313</v>
      </c>
      <c r="B29696" t="s">
        <v>9314</v>
      </c>
      <c r="C29696" s="1" t="s">
        <v>23490</v>
      </c>
      <c r="D29696" s="1" t="str">
        <f>HYPERLINK("https://rhld.insurance.arkansas.gov/NPILookup?Npi=1619981396","1619981396")</f>
        <v>1619981396</v>
      </c>
      <c r="E29696" t="s">
        <v>9754</v>
      </c>
    </row>
    <row r="29697" spans="1:5" x14ac:dyDescent="0.25">
      <c r="A29697" t="s">
        <v>9313</v>
      </c>
      <c r="B29697" t="s">
        <v>9314</v>
      </c>
      <c r="C29697" s="1" t="s">
        <v>23490</v>
      </c>
      <c r="D29697" s="1" t="str">
        <f>HYPERLINK("https://rhld.insurance.arkansas.gov/NPILookup?Npi=1619985884","1619985884")</f>
        <v>1619985884</v>
      </c>
      <c r="E29697" t="s">
        <v>12482</v>
      </c>
    </row>
    <row r="29698" spans="1:5" x14ac:dyDescent="0.25">
      <c r="A29698" t="s">
        <v>9313</v>
      </c>
      <c r="B29698" t="s">
        <v>9314</v>
      </c>
      <c r="C29698" s="1" t="s">
        <v>23490</v>
      </c>
      <c r="D29698" s="1" t="str">
        <f>HYPERLINK("https://rhld.insurance.arkansas.gov/NPILookup?Npi=1629066873","1629066873")</f>
        <v>1629066873</v>
      </c>
      <c r="E29698" t="s">
        <v>12483</v>
      </c>
    </row>
    <row r="29699" spans="1:5" x14ac:dyDescent="0.25">
      <c r="A29699" t="s">
        <v>9313</v>
      </c>
      <c r="B29699" t="s">
        <v>9314</v>
      </c>
      <c r="C29699" s="1" t="s">
        <v>23490</v>
      </c>
      <c r="D29699" s="1" t="str">
        <f>HYPERLINK("https://rhld.insurance.arkansas.gov/NPILookup?Npi=1629076500","1629076500")</f>
        <v>1629076500</v>
      </c>
      <c r="E29699" t="s">
        <v>18599</v>
      </c>
    </row>
    <row r="29700" spans="1:5" x14ac:dyDescent="0.25">
      <c r="A29700" t="s">
        <v>9313</v>
      </c>
      <c r="B29700" t="s">
        <v>9314</v>
      </c>
      <c r="C29700" s="1" t="s">
        <v>23490</v>
      </c>
      <c r="D29700" s="1" t="str">
        <f>HYPERLINK("https://rhld.insurance.arkansas.gov/NPILookup?Npi=1629091178","1629091178")</f>
        <v>1629091178</v>
      </c>
      <c r="E29700" t="s">
        <v>9755</v>
      </c>
    </row>
    <row r="29701" spans="1:5" x14ac:dyDescent="0.25">
      <c r="A29701" t="s">
        <v>9313</v>
      </c>
      <c r="B29701" t="s">
        <v>9314</v>
      </c>
      <c r="C29701" s="1" t="s">
        <v>23490</v>
      </c>
      <c r="D29701" s="1" t="str">
        <f>HYPERLINK("https://rhld.insurance.arkansas.gov/NPILookup?Npi=1629135686","1629135686")</f>
        <v>1629135686</v>
      </c>
      <c r="E29701" t="s">
        <v>9756</v>
      </c>
    </row>
    <row r="29702" spans="1:5" x14ac:dyDescent="0.25">
      <c r="A29702" t="s">
        <v>9313</v>
      </c>
      <c r="B29702" t="s">
        <v>9314</v>
      </c>
      <c r="C29702" s="1" t="s">
        <v>23490</v>
      </c>
      <c r="D29702" s="1" t="str">
        <f>HYPERLINK("https://rhld.insurance.arkansas.gov/NPILookup?Npi=1629153945","1629153945")</f>
        <v>1629153945</v>
      </c>
      <c r="E29702" t="s">
        <v>9758</v>
      </c>
    </row>
    <row r="29703" spans="1:5" x14ac:dyDescent="0.25">
      <c r="A29703" t="s">
        <v>9313</v>
      </c>
      <c r="B29703" t="s">
        <v>9314</v>
      </c>
      <c r="C29703" s="1" t="s">
        <v>23490</v>
      </c>
      <c r="D29703" s="1" t="str">
        <f>HYPERLINK("https://rhld.insurance.arkansas.gov/NPILookup?Npi=1629332416","1629332416")</f>
        <v>1629332416</v>
      </c>
      <c r="E29703" t="s">
        <v>14608</v>
      </c>
    </row>
    <row r="29704" spans="1:5" x14ac:dyDescent="0.25">
      <c r="A29704" t="s">
        <v>9313</v>
      </c>
      <c r="B29704" t="s">
        <v>9314</v>
      </c>
      <c r="C29704" s="1" t="s">
        <v>23490</v>
      </c>
      <c r="D29704" s="1" t="str">
        <f>HYPERLINK("https://rhld.insurance.arkansas.gov/NPILookup?Npi=1629419213","1629419213")</f>
        <v>1629419213</v>
      </c>
      <c r="E29704" t="s">
        <v>9759</v>
      </c>
    </row>
    <row r="29705" spans="1:5" x14ac:dyDescent="0.25">
      <c r="A29705" t="s">
        <v>9313</v>
      </c>
      <c r="B29705" t="s">
        <v>9314</v>
      </c>
      <c r="C29705" s="1" t="s">
        <v>23490</v>
      </c>
      <c r="D29705" s="1" t="str">
        <f>HYPERLINK("https://rhld.insurance.arkansas.gov/NPILookup?Npi=1629602982","1629602982")</f>
        <v>1629602982</v>
      </c>
      <c r="E29705" t="s">
        <v>19199</v>
      </c>
    </row>
    <row r="29706" spans="1:5" x14ac:dyDescent="0.25">
      <c r="A29706" t="s">
        <v>9313</v>
      </c>
      <c r="B29706" t="s">
        <v>9314</v>
      </c>
      <c r="C29706" s="1" t="s">
        <v>23490</v>
      </c>
      <c r="D29706" s="1" t="str">
        <f>HYPERLINK("https://rhld.insurance.arkansas.gov/NPILookup?Npi=1629639448","1629639448")</f>
        <v>1629639448</v>
      </c>
      <c r="E29706" t="s">
        <v>20827</v>
      </c>
    </row>
    <row r="29707" spans="1:5" x14ac:dyDescent="0.25">
      <c r="A29707" t="s">
        <v>9313</v>
      </c>
      <c r="B29707" t="s">
        <v>9314</v>
      </c>
      <c r="C29707" s="1" t="s">
        <v>23490</v>
      </c>
      <c r="D29707" s="1" t="str">
        <f>HYPERLINK("https://rhld.insurance.arkansas.gov/NPILookup?Npi=1629717335","1629717335")</f>
        <v>1629717335</v>
      </c>
      <c r="E29707" t="s">
        <v>20828</v>
      </c>
    </row>
    <row r="29708" spans="1:5" x14ac:dyDescent="0.25">
      <c r="A29708" t="s">
        <v>9313</v>
      </c>
      <c r="B29708" t="s">
        <v>9314</v>
      </c>
      <c r="C29708" s="1" t="s">
        <v>23490</v>
      </c>
      <c r="D29708" s="1" t="str">
        <f>HYPERLINK("https://rhld.insurance.arkansas.gov/NPILookup?Npi=1639101843","1639101843")</f>
        <v>1639101843</v>
      </c>
      <c r="E29708" t="s">
        <v>9760</v>
      </c>
    </row>
    <row r="29709" spans="1:5" x14ac:dyDescent="0.25">
      <c r="A29709" t="s">
        <v>9313</v>
      </c>
      <c r="B29709" t="s">
        <v>9314</v>
      </c>
      <c r="C29709" s="1" t="s">
        <v>23490</v>
      </c>
      <c r="D29709" s="1" t="str">
        <f>HYPERLINK("https://rhld.insurance.arkansas.gov/NPILookup?Npi=1639168008","1639168008")</f>
        <v>1639168008</v>
      </c>
      <c r="E29709" t="s">
        <v>5932</v>
      </c>
    </row>
    <row r="29710" spans="1:5" x14ac:dyDescent="0.25">
      <c r="A29710" t="s">
        <v>9313</v>
      </c>
      <c r="B29710" t="s">
        <v>9314</v>
      </c>
      <c r="C29710" s="1" t="s">
        <v>23490</v>
      </c>
      <c r="D29710" s="1" t="str">
        <f>HYPERLINK("https://rhld.insurance.arkansas.gov/NPILookup?Npi=1639186984","1639186984")</f>
        <v>1639186984</v>
      </c>
      <c r="E29710" t="s">
        <v>9761</v>
      </c>
    </row>
    <row r="29711" spans="1:5" x14ac:dyDescent="0.25">
      <c r="A29711" t="s">
        <v>9313</v>
      </c>
      <c r="B29711" t="s">
        <v>9314</v>
      </c>
      <c r="C29711" s="1" t="s">
        <v>23490</v>
      </c>
      <c r="D29711" s="1" t="str">
        <f>HYPERLINK("https://rhld.insurance.arkansas.gov/NPILookup?Npi=1639207293","1639207293")</f>
        <v>1639207293</v>
      </c>
      <c r="E29711" t="s">
        <v>20829</v>
      </c>
    </row>
    <row r="29712" spans="1:5" x14ac:dyDescent="0.25">
      <c r="A29712" t="s">
        <v>9313</v>
      </c>
      <c r="B29712" t="s">
        <v>9314</v>
      </c>
      <c r="C29712" s="1" t="s">
        <v>8427</v>
      </c>
      <c r="D29712" s="1" t="str">
        <f>HYPERLINK("https://rhld.insurance.arkansas.gov/NPILookup?Npi=1639216989","1639216989")</f>
        <v>1639216989</v>
      </c>
      <c r="E29712" t="s">
        <v>23369</v>
      </c>
    </row>
    <row r="29713" spans="1:5" x14ac:dyDescent="0.25">
      <c r="A29713" t="s">
        <v>9313</v>
      </c>
      <c r="B29713" t="s">
        <v>9314</v>
      </c>
      <c r="C29713" s="1" t="s">
        <v>23490</v>
      </c>
      <c r="D29713" s="1" t="str">
        <f>HYPERLINK("https://rhld.insurance.arkansas.gov/NPILookup?Npi=1639230170","1639230170")</f>
        <v>1639230170</v>
      </c>
      <c r="E29713" t="s">
        <v>12487</v>
      </c>
    </row>
    <row r="29714" spans="1:5" x14ac:dyDescent="0.25">
      <c r="A29714" t="s">
        <v>9313</v>
      </c>
      <c r="B29714" t="s">
        <v>9314</v>
      </c>
      <c r="C29714" s="1" t="s">
        <v>23490</v>
      </c>
      <c r="D29714" s="1" t="str">
        <f>HYPERLINK("https://rhld.insurance.arkansas.gov/NPILookup?Npi=1639248024","1639248024")</f>
        <v>1639248024</v>
      </c>
      <c r="E29714" t="s">
        <v>9762</v>
      </c>
    </row>
    <row r="29715" spans="1:5" x14ac:dyDescent="0.25">
      <c r="A29715" t="s">
        <v>9313</v>
      </c>
      <c r="B29715" t="s">
        <v>9314</v>
      </c>
      <c r="C29715" s="1" t="s">
        <v>23490</v>
      </c>
      <c r="D29715" s="1" t="str">
        <f>HYPERLINK("https://rhld.insurance.arkansas.gov/NPILookup?Npi=1639289788","1639289788")</f>
        <v>1639289788</v>
      </c>
      <c r="E29715" t="s">
        <v>9763</v>
      </c>
    </row>
    <row r="29716" spans="1:5" x14ac:dyDescent="0.25">
      <c r="A29716" t="s">
        <v>9313</v>
      </c>
      <c r="B29716" t="s">
        <v>9314</v>
      </c>
      <c r="C29716" s="1" t="s">
        <v>23490</v>
      </c>
      <c r="D29716" s="1" t="str">
        <f>HYPERLINK("https://rhld.insurance.arkansas.gov/NPILookup?Npi=1639293293","1639293293")</f>
        <v>1639293293</v>
      </c>
      <c r="E29716" t="s">
        <v>12488</v>
      </c>
    </row>
    <row r="29717" spans="1:5" x14ac:dyDescent="0.25">
      <c r="A29717" t="s">
        <v>9313</v>
      </c>
      <c r="B29717" t="s">
        <v>9314</v>
      </c>
      <c r="C29717" s="1" t="s">
        <v>23490</v>
      </c>
      <c r="D29717" s="1" t="str">
        <f>HYPERLINK("https://rhld.insurance.arkansas.gov/NPILookup?Npi=1639589005","1639589005")</f>
        <v>1639589005</v>
      </c>
      <c r="E29717" t="s">
        <v>20830</v>
      </c>
    </row>
    <row r="29718" spans="1:5" x14ac:dyDescent="0.25">
      <c r="A29718" t="s">
        <v>9313</v>
      </c>
      <c r="B29718" t="s">
        <v>9314</v>
      </c>
      <c r="C29718" s="1" t="s">
        <v>23490</v>
      </c>
      <c r="D29718" s="1" t="str">
        <f>HYPERLINK("https://rhld.insurance.arkansas.gov/NPILookup?Npi=1639608607","1639608607")</f>
        <v>1639608607</v>
      </c>
      <c r="E29718" t="s">
        <v>20851</v>
      </c>
    </row>
    <row r="29719" spans="1:5" x14ac:dyDescent="0.25">
      <c r="A29719" t="s">
        <v>9313</v>
      </c>
      <c r="B29719" t="s">
        <v>9314</v>
      </c>
      <c r="C29719" s="1" t="s">
        <v>23490</v>
      </c>
      <c r="D29719" s="1" t="str">
        <f>HYPERLINK("https://rhld.insurance.arkansas.gov/NPILookup?Npi=1639666415","1639666415")</f>
        <v>1639666415</v>
      </c>
      <c r="E29719" t="s">
        <v>21340</v>
      </c>
    </row>
    <row r="29720" spans="1:5" x14ac:dyDescent="0.25">
      <c r="A29720" t="s">
        <v>9313</v>
      </c>
      <c r="B29720" t="s">
        <v>9314</v>
      </c>
      <c r="C29720" s="1" t="s">
        <v>23490</v>
      </c>
      <c r="D29720" s="1" t="str">
        <f>HYPERLINK("https://rhld.insurance.arkansas.gov/NPILookup?Npi=1639741721","1639741721")</f>
        <v>1639741721</v>
      </c>
      <c r="E29720" t="s">
        <v>22777</v>
      </c>
    </row>
    <row r="29721" spans="1:5" x14ac:dyDescent="0.25">
      <c r="A29721" t="s">
        <v>9313</v>
      </c>
      <c r="B29721" t="s">
        <v>9314</v>
      </c>
      <c r="C29721" s="1" t="s">
        <v>23490</v>
      </c>
      <c r="D29721" s="1" t="str">
        <f>HYPERLINK("https://rhld.insurance.arkansas.gov/NPILookup?Npi=1649287889","1649287889")</f>
        <v>1649287889</v>
      </c>
      <c r="E29721" t="s">
        <v>9764</v>
      </c>
    </row>
    <row r="29722" spans="1:5" x14ac:dyDescent="0.25">
      <c r="A29722" t="s">
        <v>9313</v>
      </c>
      <c r="B29722" t="s">
        <v>9314</v>
      </c>
      <c r="C29722" s="1" t="s">
        <v>23490</v>
      </c>
      <c r="D29722" s="1" t="str">
        <f>HYPERLINK("https://rhld.insurance.arkansas.gov/NPILookup?Npi=1649341975","1649341975")</f>
        <v>1649341975</v>
      </c>
      <c r="E29722" t="s">
        <v>12489</v>
      </c>
    </row>
    <row r="29723" spans="1:5" x14ac:dyDescent="0.25">
      <c r="A29723" t="s">
        <v>9313</v>
      </c>
      <c r="B29723" t="s">
        <v>9314</v>
      </c>
      <c r="C29723" s="1" t="s">
        <v>23490</v>
      </c>
      <c r="D29723" s="1" t="str">
        <f>HYPERLINK("https://rhld.insurance.arkansas.gov/NPILookup?Npi=1649356726","1649356726")</f>
        <v>1649356726</v>
      </c>
      <c r="E29723" t="s">
        <v>12490</v>
      </c>
    </row>
    <row r="29724" spans="1:5" x14ac:dyDescent="0.25">
      <c r="A29724" t="s">
        <v>9313</v>
      </c>
      <c r="B29724" t="s">
        <v>9314</v>
      </c>
      <c r="C29724" s="1" t="s">
        <v>23490</v>
      </c>
      <c r="D29724" s="1" t="str">
        <f>HYPERLINK("https://rhld.insurance.arkansas.gov/NPILookup?Npi=1649391830","1649391830")</f>
        <v>1649391830</v>
      </c>
      <c r="E29724" t="s">
        <v>9442</v>
      </c>
    </row>
    <row r="29725" spans="1:5" x14ac:dyDescent="0.25">
      <c r="A29725" t="s">
        <v>9313</v>
      </c>
      <c r="B29725" t="s">
        <v>9314</v>
      </c>
      <c r="C29725" s="1" t="s">
        <v>23490</v>
      </c>
      <c r="D29725" s="1" t="str">
        <f>HYPERLINK("https://rhld.insurance.arkansas.gov/NPILookup?Npi=1649401597","1649401597")</f>
        <v>1649401597</v>
      </c>
      <c r="E29725" t="s">
        <v>1850</v>
      </c>
    </row>
    <row r="29726" spans="1:5" x14ac:dyDescent="0.25">
      <c r="A29726" t="s">
        <v>9313</v>
      </c>
      <c r="B29726" t="s">
        <v>9314</v>
      </c>
      <c r="C29726" s="1" t="s">
        <v>23490</v>
      </c>
      <c r="D29726" s="1" t="str">
        <f>HYPERLINK("https://rhld.insurance.arkansas.gov/NPILookup?Npi=1649409103","1649409103")</f>
        <v>1649409103</v>
      </c>
      <c r="E29726" t="s">
        <v>12491</v>
      </c>
    </row>
    <row r="29727" spans="1:5" x14ac:dyDescent="0.25">
      <c r="A29727" t="s">
        <v>9313</v>
      </c>
      <c r="B29727" t="s">
        <v>9314</v>
      </c>
      <c r="C29727" s="1" t="s">
        <v>23490</v>
      </c>
      <c r="D29727" s="1" t="str">
        <f>HYPERLINK("https://rhld.insurance.arkansas.gov/NPILookup?Npi=1649420340","1649420340")</f>
        <v>1649420340</v>
      </c>
      <c r="E29727" t="s">
        <v>12492</v>
      </c>
    </row>
    <row r="29728" spans="1:5" x14ac:dyDescent="0.25">
      <c r="A29728" t="s">
        <v>9313</v>
      </c>
      <c r="B29728" t="s">
        <v>9314</v>
      </c>
      <c r="C29728" s="1" t="s">
        <v>23490</v>
      </c>
      <c r="D29728" s="1" t="str">
        <f>HYPERLINK("https://rhld.insurance.arkansas.gov/NPILookup?Npi=1649486333","1649486333")</f>
        <v>1649486333</v>
      </c>
      <c r="E29728" t="s">
        <v>12493</v>
      </c>
    </row>
    <row r="29729" spans="1:5" x14ac:dyDescent="0.25">
      <c r="A29729" t="s">
        <v>9313</v>
      </c>
      <c r="B29729" t="s">
        <v>9314</v>
      </c>
      <c r="C29729" s="1" t="s">
        <v>23490</v>
      </c>
      <c r="D29729" s="1" t="str">
        <f>HYPERLINK("https://rhld.insurance.arkansas.gov/NPILookup?Npi=1649499153","1649499153")</f>
        <v>1649499153</v>
      </c>
      <c r="E29729" t="s">
        <v>12494</v>
      </c>
    </row>
    <row r="29730" spans="1:5" x14ac:dyDescent="0.25">
      <c r="A29730" t="s">
        <v>9313</v>
      </c>
      <c r="B29730" t="s">
        <v>9314</v>
      </c>
      <c r="C29730" s="1" t="s">
        <v>23490</v>
      </c>
      <c r="D29730" s="1" t="str">
        <f>HYPERLINK("https://rhld.insurance.arkansas.gov/NPILookup?Npi=1649623281","1649623281")</f>
        <v>1649623281</v>
      </c>
      <c r="E29730" t="s">
        <v>12495</v>
      </c>
    </row>
    <row r="29731" spans="1:5" x14ac:dyDescent="0.25">
      <c r="A29731" t="s">
        <v>9313</v>
      </c>
      <c r="B29731" t="s">
        <v>9314</v>
      </c>
      <c r="C29731" s="1" t="s">
        <v>23490</v>
      </c>
      <c r="D29731" s="1" t="str">
        <f>HYPERLINK("https://rhld.insurance.arkansas.gov/NPILookup?Npi=1649763723","1649763723")</f>
        <v>1649763723</v>
      </c>
      <c r="E29731" t="s">
        <v>14609</v>
      </c>
    </row>
    <row r="29732" spans="1:5" x14ac:dyDescent="0.25">
      <c r="A29732" t="s">
        <v>9313</v>
      </c>
      <c r="B29732" t="s">
        <v>9314</v>
      </c>
      <c r="C29732" s="1" t="s">
        <v>23490</v>
      </c>
      <c r="D29732" s="1" t="str">
        <f>HYPERLINK("https://rhld.insurance.arkansas.gov/NPILookup?Npi=1649898354","1649898354")</f>
        <v>1649898354</v>
      </c>
      <c r="E29732" t="s">
        <v>18600</v>
      </c>
    </row>
    <row r="29733" spans="1:5" x14ac:dyDescent="0.25">
      <c r="A29733" t="s">
        <v>9313</v>
      </c>
      <c r="B29733" t="s">
        <v>9314</v>
      </c>
      <c r="C29733" s="1" t="s">
        <v>23490</v>
      </c>
      <c r="D29733" s="1" t="str">
        <f>HYPERLINK("https://rhld.insurance.arkansas.gov/NPILookup?Npi=1659384238","1659384238")</f>
        <v>1659384238</v>
      </c>
      <c r="E29733" t="s">
        <v>21341</v>
      </c>
    </row>
    <row r="29734" spans="1:5" x14ac:dyDescent="0.25">
      <c r="A29734" t="s">
        <v>9313</v>
      </c>
      <c r="B29734" t="s">
        <v>9314</v>
      </c>
      <c r="C29734" s="1" t="s">
        <v>23490</v>
      </c>
      <c r="D29734" s="1" t="str">
        <f>HYPERLINK("https://rhld.insurance.arkansas.gov/NPILookup?Npi=1659395648","1659395648")</f>
        <v>1659395648</v>
      </c>
      <c r="E29734" t="s">
        <v>9766</v>
      </c>
    </row>
    <row r="29735" spans="1:5" x14ac:dyDescent="0.25">
      <c r="A29735" t="s">
        <v>9313</v>
      </c>
      <c r="B29735" t="s">
        <v>9314</v>
      </c>
      <c r="C29735" s="1" t="s">
        <v>23490</v>
      </c>
      <c r="D29735" s="1" t="str">
        <f>HYPERLINK("https://rhld.insurance.arkansas.gov/NPILookup?Npi=1659418895","1659418895")</f>
        <v>1659418895</v>
      </c>
      <c r="E29735" t="s">
        <v>12496</v>
      </c>
    </row>
    <row r="29736" spans="1:5" x14ac:dyDescent="0.25">
      <c r="A29736" t="s">
        <v>9313</v>
      </c>
      <c r="B29736" t="s">
        <v>9314</v>
      </c>
      <c r="C29736" s="1" t="s">
        <v>23490</v>
      </c>
      <c r="D29736" s="1" t="str">
        <f>HYPERLINK("https://rhld.insurance.arkansas.gov/NPILookup?Npi=1659444602","1659444602")</f>
        <v>1659444602</v>
      </c>
      <c r="E29736" t="s">
        <v>9767</v>
      </c>
    </row>
    <row r="29737" spans="1:5" x14ac:dyDescent="0.25">
      <c r="A29737" t="s">
        <v>9313</v>
      </c>
      <c r="B29737" t="s">
        <v>9314</v>
      </c>
      <c r="C29737" s="1" t="s">
        <v>23490</v>
      </c>
      <c r="D29737" s="1" t="str">
        <f>HYPERLINK("https://rhld.insurance.arkansas.gov/NPILookup?Npi=1659533479","1659533479")</f>
        <v>1659533479</v>
      </c>
      <c r="E29737" t="s">
        <v>14610</v>
      </c>
    </row>
    <row r="29738" spans="1:5" x14ac:dyDescent="0.25">
      <c r="A29738" t="s">
        <v>9313</v>
      </c>
      <c r="B29738" t="s">
        <v>9314</v>
      </c>
      <c r="C29738" s="1" t="s">
        <v>23490</v>
      </c>
      <c r="D29738" s="1" t="str">
        <f>HYPERLINK("https://rhld.insurance.arkansas.gov/NPILookup?Npi=1659667251","1659667251")</f>
        <v>1659667251</v>
      </c>
      <c r="E29738" t="s">
        <v>9768</v>
      </c>
    </row>
    <row r="29739" spans="1:5" x14ac:dyDescent="0.25">
      <c r="A29739" t="s">
        <v>9313</v>
      </c>
      <c r="B29739" t="s">
        <v>9314</v>
      </c>
      <c r="C29739" s="1" t="s">
        <v>23490</v>
      </c>
      <c r="D29739" s="1" t="str">
        <f>HYPERLINK("https://rhld.insurance.arkansas.gov/NPILookup?Npi=1659711497","1659711497")</f>
        <v>1659711497</v>
      </c>
      <c r="E29739" t="s">
        <v>9769</v>
      </c>
    </row>
    <row r="29740" spans="1:5" x14ac:dyDescent="0.25">
      <c r="A29740" t="s">
        <v>9313</v>
      </c>
      <c r="B29740" t="s">
        <v>9314</v>
      </c>
      <c r="C29740" s="1" t="s">
        <v>23490</v>
      </c>
      <c r="D29740" s="1" t="str">
        <f>HYPERLINK("https://rhld.insurance.arkansas.gov/NPILookup?Npi=1669021564","1669021564")</f>
        <v>1669021564</v>
      </c>
      <c r="E29740" t="s">
        <v>204</v>
      </c>
    </row>
    <row r="29741" spans="1:5" x14ac:dyDescent="0.25">
      <c r="A29741" t="s">
        <v>9313</v>
      </c>
      <c r="B29741" t="s">
        <v>9314</v>
      </c>
      <c r="C29741" s="1" t="s">
        <v>23490</v>
      </c>
      <c r="D29741" s="1" t="str">
        <f>HYPERLINK("https://rhld.insurance.arkansas.gov/NPILookup?Npi=1669048443","1669048443")</f>
        <v>1669048443</v>
      </c>
      <c r="E29741" t="s">
        <v>20831</v>
      </c>
    </row>
    <row r="29742" spans="1:5" x14ac:dyDescent="0.25">
      <c r="A29742" t="s">
        <v>9313</v>
      </c>
      <c r="B29742" t="s">
        <v>9314</v>
      </c>
      <c r="C29742" s="1" t="s">
        <v>23490</v>
      </c>
      <c r="D29742" s="1" t="str">
        <f>HYPERLINK("https://rhld.insurance.arkansas.gov/NPILookup?Npi=1669467270","1669467270")</f>
        <v>1669467270</v>
      </c>
      <c r="E29742" t="s">
        <v>9770</v>
      </c>
    </row>
    <row r="29743" spans="1:5" x14ac:dyDescent="0.25">
      <c r="A29743" t="s">
        <v>9313</v>
      </c>
      <c r="B29743" t="s">
        <v>9314</v>
      </c>
      <c r="C29743" s="1" t="s">
        <v>23490</v>
      </c>
      <c r="D29743" s="1" t="str">
        <f>HYPERLINK("https://rhld.insurance.arkansas.gov/NPILookup?Npi=1669501706","1669501706")</f>
        <v>1669501706</v>
      </c>
      <c r="E29743" t="s">
        <v>12497</v>
      </c>
    </row>
    <row r="29744" spans="1:5" x14ac:dyDescent="0.25">
      <c r="A29744" t="s">
        <v>9313</v>
      </c>
      <c r="B29744" t="s">
        <v>9314</v>
      </c>
      <c r="C29744" s="1" t="s">
        <v>23490</v>
      </c>
      <c r="D29744" s="1" t="str">
        <f>HYPERLINK("https://rhld.insurance.arkansas.gov/NPILookup?Npi=1669503959","1669503959")</f>
        <v>1669503959</v>
      </c>
      <c r="E29744" t="s">
        <v>20832</v>
      </c>
    </row>
    <row r="29745" spans="1:5" x14ac:dyDescent="0.25">
      <c r="A29745" t="s">
        <v>9313</v>
      </c>
      <c r="B29745" t="s">
        <v>9314</v>
      </c>
      <c r="C29745" s="1" t="s">
        <v>23490</v>
      </c>
      <c r="D29745" s="1" t="str">
        <f>HYPERLINK("https://rhld.insurance.arkansas.gov/NPILookup?Npi=1669631776","1669631776")</f>
        <v>1669631776</v>
      </c>
      <c r="E29745" t="s">
        <v>9771</v>
      </c>
    </row>
    <row r="29746" spans="1:5" x14ac:dyDescent="0.25">
      <c r="A29746" t="s">
        <v>9313</v>
      </c>
      <c r="B29746" t="s">
        <v>9314</v>
      </c>
      <c r="C29746" s="1" t="s">
        <v>23490</v>
      </c>
      <c r="D29746" s="1" t="str">
        <f>HYPERLINK("https://rhld.insurance.arkansas.gov/NPILookup?Npi=1669632741","1669632741")</f>
        <v>1669632741</v>
      </c>
      <c r="E29746" t="s">
        <v>14611</v>
      </c>
    </row>
    <row r="29747" spans="1:5" x14ac:dyDescent="0.25">
      <c r="A29747" t="s">
        <v>9313</v>
      </c>
      <c r="B29747" t="s">
        <v>9314</v>
      </c>
      <c r="C29747" s="1" t="s">
        <v>23490</v>
      </c>
      <c r="D29747" s="1" t="str">
        <f>HYPERLINK("https://rhld.insurance.arkansas.gov/NPILookup?Npi=1669677506","1669677506")</f>
        <v>1669677506</v>
      </c>
      <c r="E29747" t="s">
        <v>9772</v>
      </c>
    </row>
    <row r="29748" spans="1:5" x14ac:dyDescent="0.25">
      <c r="A29748" t="s">
        <v>9313</v>
      </c>
      <c r="B29748" t="s">
        <v>9314</v>
      </c>
      <c r="C29748" s="1" t="s">
        <v>23490</v>
      </c>
      <c r="D29748" s="1" t="str">
        <f>HYPERLINK("https://rhld.insurance.arkansas.gov/NPILookup?Npi=1669734513","1669734513")</f>
        <v>1669734513</v>
      </c>
      <c r="E29748" t="s">
        <v>12498</v>
      </c>
    </row>
    <row r="29749" spans="1:5" x14ac:dyDescent="0.25">
      <c r="A29749" t="s">
        <v>9313</v>
      </c>
      <c r="B29749" t="s">
        <v>9314</v>
      </c>
      <c r="C29749" s="1" t="s">
        <v>23490</v>
      </c>
      <c r="D29749" s="1" t="str">
        <f>HYPERLINK("https://rhld.insurance.arkansas.gov/NPILookup?Npi=1669736336","1669736336")</f>
        <v>1669736336</v>
      </c>
      <c r="E29749" t="s">
        <v>9773</v>
      </c>
    </row>
    <row r="29750" spans="1:5" x14ac:dyDescent="0.25">
      <c r="A29750" t="s">
        <v>9313</v>
      </c>
      <c r="B29750" t="s">
        <v>9314</v>
      </c>
      <c r="C29750" s="1" t="s">
        <v>23490</v>
      </c>
      <c r="D29750" s="1" t="str">
        <f>HYPERLINK("https://rhld.insurance.arkansas.gov/NPILookup?Npi=1669786224","1669786224")</f>
        <v>1669786224</v>
      </c>
      <c r="E29750" t="s">
        <v>3147</v>
      </c>
    </row>
    <row r="29751" spans="1:5" x14ac:dyDescent="0.25">
      <c r="A29751" t="s">
        <v>9313</v>
      </c>
      <c r="B29751" t="s">
        <v>9314</v>
      </c>
      <c r="C29751" s="1" t="s">
        <v>23490</v>
      </c>
      <c r="D29751" s="1" t="str">
        <f>HYPERLINK("https://rhld.insurance.arkansas.gov/NPILookup?Npi=1679003909","1679003909")</f>
        <v>1679003909</v>
      </c>
      <c r="E29751" t="s">
        <v>12500</v>
      </c>
    </row>
    <row r="29752" spans="1:5" x14ac:dyDescent="0.25">
      <c r="A29752" t="s">
        <v>9313</v>
      </c>
      <c r="B29752" t="s">
        <v>9314</v>
      </c>
      <c r="C29752" s="1" t="s">
        <v>23490</v>
      </c>
      <c r="D29752" s="1" t="str">
        <f>HYPERLINK("https://rhld.insurance.arkansas.gov/NPILookup?Npi=1679514897","1679514897")</f>
        <v>1679514897</v>
      </c>
      <c r="E29752" t="s">
        <v>12501</v>
      </c>
    </row>
    <row r="29753" spans="1:5" x14ac:dyDescent="0.25">
      <c r="A29753" t="s">
        <v>9313</v>
      </c>
      <c r="B29753" t="s">
        <v>9314</v>
      </c>
      <c r="C29753" s="1" t="s">
        <v>23490</v>
      </c>
      <c r="D29753" s="1" t="str">
        <f>HYPERLINK("https://rhld.insurance.arkansas.gov/NPILookup?Npi=1679622047","1679622047")</f>
        <v>1679622047</v>
      </c>
      <c r="E29753" t="s">
        <v>9774</v>
      </c>
    </row>
    <row r="29754" spans="1:5" x14ac:dyDescent="0.25">
      <c r="A29754" t="s">
        <v>9313</v>
      </c>
      <c r="B29754" t="s">
        <v>9314</v>
      </c>
      <c r="C29754" s="1" t="s">
        <v>23490</v>
      </c>
      <c r="D29754" s="1" t="str">
        <f>HYPERLINK("https://rhld.insurance.arkansas.gov/NPILookup?Npi=1679635320","1679635320")</f>
        <v>1679635320</v>
      </c>
      <c r="E29754" t="s">
        <v>12502</v>
      </c>
    </row>
    <row r="29755" spans="1:5" x14ac:dyDescent="0.25">
      <c r="A29755" t="s">
        <v>9313</v>
      </c>
      <c r="B29755" t="s">
        <v>9314</v>
      </c>
      <c r="C29755" s="1" t="s">
        <v>23490</v>
      </c>
      <c r="D29755" s="1" t="str">
        <f>HYPERLINK("https://rhld.insurance.arkansas.gov/NPILookup?Npi=1679659841","1679659841")</f>
        <v>1679659841</v>
      </c>
      <c r="E29755" t="s">
        <v>9775</v>
      </c>
    </row>
    <row r="29756" spans="1:5" x14ac:dyDescent="0.25">
      <c r="A29756" t="s">
        <v>9313</v>
      </c>
      <c r="B29756" t="s">
        <v>9314</v>
      </c>
      <c r="C29756" s="1" t="s">
        <v>23490</v>
      </c>
      <c r="D29756" s="1" t="str">
        <f>HYPERLINK("https://rhld.insurance.arkansas.gov/NPILookup?Npi=1679687248","1679687248")</f>
        <v>1679687248</v>
      </c>
      <c r="E29756" t="s">
        <v>9776</v>
      </c>
    </row>
    <row r="29757" spans="1:5" x14ac:dyDescent="0.25">
      <c r="A29757" t="s">
        <v>9313</v>
      </c>
      <c r="B29757" t="s">
        <v>9314</v>
      </c>
      <c r="C29757" s="1" t="s">
        <v>23490</v>
      </c>
      <c r="D29757" s="1" t="str">
        <f>HYPERLINK("https://rhld.insurance.arkansas.gov/NPILookup?Npi=1679734727","1679734727")</f>
        <v>1679734727</v>
      </c>
      <c r="E29757" t="s">
        <v>12503</v>
      </c>
    </row>
    <row r="29758" spans="1:5" x14ac:dyDescent="0.25">
      <c r="A29758" t="s">
        <v>9313</v>
      </c>
      <c r="B29758" t="s">
        <v>9314</v>
      </c>
      <c r="C29758" s="1" t="s">
        <v>23490</v>
      </c>
      <c r="D29758" s="1" t="str">
        <f>HYPERLINK("https://rhld.insurance.arkansas.gov/NPILookup?Npi=1679799357","1679799357")</f>
        <v>1679799357</v>
      </c>
      <c r="E29758" t="s">
        <v>9777</v>
      </c>
    </row>
    <row r="29759" spans="1:5" x14ac:dyDescent="0.25">
      <c r="A29759" t="s">
        <v>9313</v>
      </c>
      <c r="B29759" t="s">
        <v>9314</v>
      </c>
      <c r="C29759" s="1" t="s">
        <v>23490</v>
      </c>
      <c r="D29759" s="1" t="str">
        <f>HYPERLINK("https://rhld.insurance.arkansas.gov/NPILookup?Npi=1679910400","1679910400")</f>
        <v>1679910400</v>
      </c>
      <c r="E29759" t="s">
        <v>9778</v>
      </c>
    </row>
    <row r="29760" spans="1:5" x14ac:dyDescent="0.25">
      <c r="A29760" t="s">
        <v>9313</v>
      </c>
      <c r="B29760" t="s">
        <v>9314</v>
      </c>
      <c r="C29760" s="1" t="s">
        <v>23490</v>
      </c>
      <c r="D29760" s="1" t="str">
        <f>HYPERLINK("https://rhld.insurance.arkansas.gov/NPILookup?Npi=1679912679","1679912679")</f>
        <v>1679912679</v>
      </c>
      <c r="E29760" t="s">
        <v>9779</v>
      </c>
    </row>
    <row r="29761" spans="1:5" x14ac:dyDescent="0.25">
      <c r="A29761" t="s">
        <v>9313</v>
      </c>
      <c r="B29761" t="s">
        <v>9314</v>
      </c>
      <c r="C29761" s="1" t="s">
        <v>23490</v>
      </c>
      <c r="D29761" s="1" t="str">
        <f>HYPERLINK("https://rhld.insurance.arkansas.gov/NPILookup?Npi=1679955975","1679955975")</f>
        <v>1679955975</v>
      </c>
      <c r="E29761" t="s">
        <v>9780</v>
      </c>
    </row>
    <row r="29762" spans="1:5" x14ac:dyDescent="0.25">
      <c r="A29762" t="s">
        <v>9313</v>
      </c>
      <c r="B29762" t="s">
        <v>9314</v>
      </c>
      <c r="C29762" s="1" t="s">
        <v>23490</v>
      </c>
      <c r="D29762" s="1" t="str">
        <f>HYPERLINK("https://rhld.insurance.arkansas.gov/NPILookup?Npi=1689057150","1689057150")</f>
        <v>1689057150</v>
      </c>
      <c r="E29762" t="s">
        <v>9781</v>
      </c>
    </row>
    <row r="29763" spans="1:5" x14ac:dyDescent="0.25">
      <c r="A29763" t="s">
        <v>9313</v>
      </c>
      <c r="B29763" t="s">
        <v>9314</v>
      </c>
      <c r="C29763" s="1" t="s">
        <v>23490</v>
      </c>
      <c r="D29763" s="1" t="str">
        <f>HYPERLINK("https://rhld.insurance.arkansas.gov/NPILookup?Npi=1689129447","1689129447")</f>
        <v>1689129447</v>
      </c>
      <c r="E29763" t="s">
        <v>12504</v>
      </c>
    </row>
    <row r="29764" spans="1:5" x14ac:dyDescent="0.25">
      <c r="A29764" t="s">
        <v>9313</v>
      </c>
      <c r="B29764" t="s">
        <v>9314</v>
      </c>
      <c r="C29764" s="1" t="s">
        <v>23490</v>
      </c>
      <c r="D29764" s="1" t="str">
        <f>HYPERLINK("https://rhld.insurance.arkansas.gov/NPILookup?Npi=1689167272","1689167272")</f>
        <v>1689167272</v>
      </c>
      <c r="E29764" t="s">
        <v>22778</v>
      </c>
    </row>
    <row r="29765" spans="1:5" x14ac:dyDescent="0.25">
      <c r="A29765" t="s">
        <v>9313</v>
      </c>
      <c r="B29765" t="s">
        <v>9314</v>
      </c>
      <c r="C29765" s="1" t="s">
        <v>23490</v>
      </c>
      <c r="D29765" s="1" t="str">
        <f>HYPERLINK("https://rhld.insurance.arkansas.gov/NPILookup?Npi=1689190647","1689190647")</f>
        <v>1689190647</v>
      </c>
      <c r="E29765" t="s">
        <v>12505</v>
      </c>
    </row>
    <row r="29766" spans="1:5" x14ac:dyDescent="0.25">
      <c r="A29766" t="s">
        <v>9313</v>
      </c>
      <c r="B29766" t="s">
        <v>9314</v>
      </c>
      <c r="C29766" s="1" t="s">
        <v>23490</v>
      </c>
      <c r="D29766" s="1" t="str">
        <f>HYPERLINK("https://rhld.insurance.arkansas.gov/NPILookup?Npi=1689305393","1689305393")</f>
        <v>1689305393</v>
      </c>
      <c r="E29766" t="s">
        <v>21342</v>
      </c>
    </row>
    <row r="29767" spans="1:5" x14ac:dyDescent="0.25">
      <c r="A29767" t="s">
        <v>9313</v>
      </c>
      <c r="B29767" t="s">
        <v>9314</v>
      </c>
      <c r="C29767" s="1" t="s">
        <v>23490</v>
      </c>
      <c r="D29767" s="1" t="str">
        <f>HYPERLINK("https://rhld.insurance.arkansas.gov/NPILookup?Npi=1689601015","1689601015")</f>
        <v>1689601015</v>
      </c>
      <c r="E29767" t="s">
        <v>9782</v>
      </c>
    </row>
    <row r="29768" spans="1:5" x14ac:dyDescent="0.25">
      <c r="A29768" t="s">
        <v>9313</v>
      </c>
      <c r="B29768" t="s">
        <v>9314</v>
      </c>
      <c r="C29768" s="1" t="s">
        <v>23490</v>
      </c>
      <c r="D29768" s="1" t="str">
        <f>HYPERLINK("https://rhld.insurance.arkansas.gov/NPILookup?Npi=1689687014","1689687014")</f>
        <v>1689687014</v>
      </c>
      <c r="E29768" t="s">
        <v>9783</v>
      </c>
    </row>
    <row r="29769" spans="1:5" x14ac:dyDescent="0.25">
      <c r="A29769" t="s">
        <v>9313</v>
      </c>
      <c r="B29769" t="s">
        <v>9314</v>
      </c>
      <c r="C29769" s="1" t="s">
        <v>23490</v>
      </c>
      <c r="D29769" s="1" t="str">
        <f>HYPERLINK("https://rhld.insurance.arkansas.gov/NPILookup?Npi=1689689440","1689689440")</f>
        <v>1689689440</v>
      </c>
      <c r="E29769" t="s">
        <v>9784</v>
      </c>
    </row>
    <row r="29770" spans="1:5" x14ac:dyDescent="0.25">
      <c r="A29770" t="s">
        <v>9313</v>
      </c>
      <c r="B29770" t="s">
        <v>9314</v>
      </c>
      <c r="C29770" s="1" t="s">
        <v>23490</v>
      </c>
      <c r="D29770" s="1" t="str">
        <f>HYPERLINK("https://rhld.insurance.arkansas.gov/NPILookup?Npi=1689768897","1689768897")</f>
        <v>1689768897</v>
      </c>
      <c r="E29770" t="s">
        <v>12506</v>
      </c>
    </row>
    <row r="29771" spans="1:5" x14ac:dyDescent="0.25">
      <c r="A29771" t="s">
        <v>9313</v>
      </c>
      <c r="B29771" t="s">
        <v>9314</v>
      </c>
      <c r="C29771" s="1" t="s">
        <v>23490</v>
      </c>
      <c r="D29771" s="1" t="str">
        <f>HYPERLINK("https://rhld.insurance.arkansas.gov/NPILookup?Npi=1689790453","1689790453")</f>
        <v>1689790453</v>
      </c>
      <c r="E29771" t="s">
        <v>9785</v>
      </c>
    </row>
    <row r="29772" spans="1:5" x14ac:dyDescent="0.25">
      <c r="A29772" t="s">
        <v>9313</v>
      </c>
      <c r="B29772" t="s">
        <v>9314</v>
      </c>
      <c r="C29772" s="1" t="s">
        <v>23490</v>
      </c>
      <c r="D29772" s="1" t="str">
        <f>HYPERLINK("https://rhld.insurance.arkansas.gov/NPILookup?Npi=1689801243","1689801243")</f>
        <v>1689801243</v>
      </c>
      <c r="E29772" t="s">
        <v>9786</v>
      </c>
    </row>
    <row r="29773" spans="1:5" x14ac:dyDescent="0.25">
      <c r="A29773" t="s">
        <v>9313</v>
      </c>
      <c r="B29773" t="s">
        <v>9314</v>
      </c>
      <c r="C29773" s="1" t="s">
        <v>23490</v>
      </c>
      <c r="D29773" s="1" t="str">
        <f>HYPERLINK("https://rhld.insurance.arkansas.gov/NPILookup?Npi=1689864498","1689864498")</f>
        <v>1689864498</v>
      </c>
      <c r="E29773" t="s">
        <v>9787</v>
      </c>
    </row>
    <row r="29774" spans="1:5" x14ac:dyDescent="0.25">
      <c r="A29774" t="s">
        <v>9313</v>
      </c>
      <c r="B29774" t="s">
        <v>9314</v>
      </c>
      <c r="C29774" s="1" t="s">
        <v>23490</v>
      </c>
      <c r="D29774" s="1" t="str">
        <f>HYPERLINK("https://rhld.insurance.arkansas.gov/NPILookup?Npi=1689884306","1689884306")</f>
        <v>1689884306</v>
      </c>
      <c r="E29774" t="s">
        <v>9788</v>
      </c>
    </row>
    <row r="29775" spans="1:5" x14ac:dyDescent="0.25">
      <c r="A29775" t="s">
        <v>9313</v>
      </c>
      <c r="B29775" t="s">
        <v>9314</v>
      </c>
      <c r="C29775" s="1" t="s">
        <v>23490</v>
      </c>
      <c r="D29775" s="1" t="str">
        <f>HYPERLINK("https://rhld.insurance.arkansas.gov/NPILookup?Npi=1689967374","1689967374")</f>
        <v>1689967374</v>
      </c>
      <c r="E29775" t="s">
        <v>12507</v>
      </c>
    </row>
    <row r="29776" spans="1:5" x14ac:dyDescent="0.25">
      <c r="A29776" t="s">
        <v>9313</v>
      </c>
      <c r="B29776" t="s">
        <v>9314</v>
      </c>
      <c r="C29776" s="1" t="s">
        <v>23490</v>
      </c>
      <c r="D29776" s="1" t="str">
        <f>HYPERLINK("https://rhld.insurance.arkansas.gov/NPILookup?Npi=1699096818","1699096818")</f>
        <v>1699096818</v>
      </c>
      <c r="E29776" t="s">
        <v>9789</v>
      </c>
    </row>
    <row r="29777" spans="1:5" x14ac:dyDescent="0.25">
      <c r="A29777" t="s">
        <v>9313</v>
      </c>
      <c r="B29777" t="s">
        <v>9314</v>
      </c>
      <c r="C29777" s="1" t="s">
        <v>23490</v>
      </c>
      <c r="D29777" s="1" t="str">
        <f>HYPERLINK("https://rhld.insurance.arkansas.gov/NPILookup?Npi=1699155523","1699155523")</f>
        <v>1699155523</v>
      </c>
      <c r="E29777" t="s">
        <v>9790</v>
      </c>
    </row>
    <row r="29778" spans="1:5" x14ac:dyDescent="0.25">
      <c r="A29778" t="s">
        <v>9313</v>
      </c>
      <c r="B29778" t="s">
        <v>9314</v>
      </c>
      <c r="C29778" s="1" t="s">
        <v>23490</v>
      </c>
      <c r="D29778" s="1" t="str">
        <f>HYPERLINK("https://rhld.insurance.arkansas.gov/NPILookup?Npi=1699181248","1699181248")</f>
        <v>1699181248</v>
      </c>
      <c r="E29778" t="s">
        <v>23370</v>
      </c>
    </row>
    <row r="29779" spans="1:5" x14ac:dyDescent="0.25">
      <c r="A29779" t="s">
        <v>9313</v>
      </c>
      <c r="B29779" t="s">
        <v>9314</v>
      </c>
      <c r="C29779" s="1" t="s">
        <v>23490</v>
      </c>
      <c r="D29779" s="1" t="str">
        <f>HYPERLINK("https://rhld.insurance.arkansas.gov/NPILookup?Npi=1699188482","1699188482")</f>
        <v>1699188482</v>
      </c>
      <c r="E29779" t="s">
        <v>16799</v>
      </c>
    </row>
    <row r="29780" spans="1:5" x14ac:dyDescent="0.25">
      <c r="A29780" t="s">
        <v>9313</v>
      </c>
      <c r="B29780" t="s">
        <v>9314</v>
      </c>
      <c r="C29780" s="1" t="s">
        <v>23490</v>
      </c>
      <c r="D29780" s="1" t="str">
        <f>HYPERLINK("https://rhld.insurance.arkansas.gov/NPILookup?Npi=1699266338","1699266338")</f>
        <v>1699266338</v>
      </c>
      <c r="E29780" t="s">
        <v>14612</v>
      </c>
    </row>
    <row r="29781" spans="1:5" x14ac:dyDescent="0.25">
      <c r="A29781" t="s">
        <v>9313</v>
      </c>
      <c r="B29781" t="s">
        <v>9314</v>
      </c>
      <c r="C29781" s="1" t="s">
        <v>23490</v>
      </c>
      <c r="D29781" s="1" t="str">
        <f>HYPERLINK("https://rhld.insurance.arkansas.gov/NPILookup?Npi=1699295147","1699295147")</f>
        <v>1699295147</v>
      </c>
      <c r="E29781" t="s">
        <v>14613</v>
      </c>
    </row>
    <row r="29782" spans="1:5" x14ac:dyDescent="0.25">
      <c r="A29782" t="s">
        <v>9313</v>
      </c>
      <c r="B29782" t="s">
        <v>9314</v>
      </c>
      <c r="C29782" s="1" t="s">
        <v>23490</v>
      </c>
      <c r="D29782" s="1" t="str">
        <f>HYPERLINK("https://rhld.insurance.arkansas.gov/NPILookup?Npi=1699297481","1699297481")</f>
        <v>1699297481</v>
      </c>
      <c r="E29782" t="s">
        <v>12508</v>
      </c>
    </row>
    <row r="29783" spans="1:5" x14ac:dyDescent="0.25">
      <c r="A29783" t="s">
        <v>9313</v>
      </c>
      <c r="B29783" t="s">
        <v>9314</v>
      </c>
      <c r="C29783" s="1" t="s">
        <v>23490</v>
      </c>
      <c r="D29783" s="1" t="str">
        <f>HYPERLINK("https://rhld.insurance.arkansas.gov/NPILookup?Npi=1699707661","1699707661")</f>
        <v>1699707661</v>
      </c>
      <c r="E29783" t="s">
        <v>9791</v>
      </c>
    </row>
    <row r="29784" spans="1:5" x14ac:dyDescent="0.25">
      <c r="A29784" t="s">
        <v>9313</v>
      </c>
      <c r="B29784" t="s">
        <v>9314</v>
      </c>
      <c r="C29784" s="1" t="s">
        <v>23490</v>
      </c>
      <c r="D29784" s="1" t="str">
        <f>HYPERLINK("https://rhld.insurance.arkansas.gov/NPILookup?Npi=1699757500","1699757500")</f>
        <v>1699757500</v>
      </c>
      <c r="E29784" t="s">
        <v>5156</v>
      </c>
    </row>
    <row r="29785" spans="1:5" x14ac:dyDescent="0.25">
      <c r="A29785" t="s">
        <v>9313</v>
      </c>
      <c r="B29785" t="s">
        <v>9314</v>
      </c>
      <c r="C29785" s="1" t="s">
        <v>23490</v>
      </c>
      <c r="D29785" s="1" t="str">
        <f>HYPERLINK("https://rhld.insurance.arkansas.gov/NPILookup?Npi=1699782128","1699782128")</f>
        <v>1699782128</v>
      </c>
      <c r="E29785" t="s">
        <v>9792</v>
      </c>
    </row>
    <row r="29786" spans="1:5" x14ac:dyDescent="0.25">
      <c r="A29786" t="s">
        <v>9313</v>
      </c>
      <c r="B29786" t="s">
        <v>9314</v>
      </c>
      <c r="C29786" s="1" t="s">
        <v>23490</v>
      </c>
      <c r="D29786" s="1" t="str">
        <f>HYPERLINK("https://rhld.insurance.arkansas.gov/NPILookup?Npi=1699796995","1699796995")</f>
        <v>1699796995</v>
      </c>
      <c r="E29786" t="s">
        <v>12509</v>
      </c>
    </row>
    <row r="29787" spans="1:5" x14ac:dyDescent="0.25">
      <c r="A29787" t="s">
        <v>9313</v>
      </c>
      <c r="B29787" t="s">
        <v>9314</v>
      </c>
      <c r="C29787" s="1" t="s">
        <v>23490</v>
      </c>
      <c r="D29787" s="1" t="str">
        <f>HYPERLINK("https://rhld.insurance.arkansas.gov/NPILookup?Npi=1699811539","1699811539")</f>
        <v>1699811539</v>
      </c>
      <c r="E29787" t="s">
        <v>6525</v>
      </c>
    </row>
    <row r="29788" spans="1:5" x14ac:dyDescent="0.25">
      <c r="A29788" t="s">
        <v>9313</v>
      </c>
      <c r="B29788" t="s">
        <v>9314</v>
      </c>
      <c r="C29788" s="1" t="s">
        <v>23490</v>
      </c>
      <c r="D29788" s="1" t="str">
        <f>HYPERLINK("https://rhld.insurance.arkansas.gov/NPILookup?Npi=1699845834","1699845834")</f>
        <v>1699845834</v>
      </c>
      <c r="E29788" t="s">
        <v>9794</v>
      </c>
    </row>
    <row r="29789" spans="1:5" x14ac:dyDescent="0.25">
      <c r="A29789" t="s">
        <v>9313</v>
      </c>
      <c r="B29789" t="s">
        <v>9314</v>
      </c>
      <c r="C29789" s="1" t="s">
        <v>23490</v>
      </c>
      <c r="D29789" s="1" t="str">
        <f>HYPERLINK("https://rhld.insurance.arkansas.gov/NPILookup?Npi=1699850735","1699850735")</f>
        <v>1699850735</v>
      </c>
      <c r="E29789" t="s">
        <v>12510</v>
      </c>
    </row>
    <row r="29790" spans="1:5" x14ac:dyDescent="0.25">
      <c r="A29790" t="s">
        <v>9313</v>
      </c>
      <c r="B29790" t="s">
        <v>9314</v>
      </c>
      <c r="C29790" s="1" t="s">
        <v>23490</v>
      </c>
      <c r="D29790" s="1" t="str">
        <f>HYPERLINK("https://rhld.insurance.arkansas.gov/NPILookup?Npi=1699857383","1699857383")</f>
        <v>1699857383</v>
      </c>
      <c r="E29790" t="s">
        <v>9795</v>
      </c>
    </row>
    <row r="29791" spans="1:5" x14ac:dyDescent="0.25">
      <c r="A29791" t="s">
        <v>9313</v>
      </c>
      <c r="B29791" t="s">
        <v>9314</v>
      </c>
      <c r="C29791" s="1" t="s">
        <v>23490</v>
      </c>
      <c r="D29791" s="1" t="str">
        <f>HYPERLINK("https://rhld.insurance.arkansas.gov/NPILookup?Npi=1699875294","1699875294")</f>
        <v>1699875294</v>
      </c>
      <c r="E29791" t="s">
        <v>9796</v>
      </c>
    </row>
    <row r="29792" spans="1:5" x14ac:dyDescent="0.25">
      <c r="A29792" t="s">
        <v>9313</v>
      </c>
      <c r="B29792" t="s">
        <v>9314</v>
      </c>
      <c r="C29792" s="1" t="s">
        <v>23490</v>
      </c>
      <c r="D29792" s="1" t="str">
        <f>HYPERLINK("https://rhld.insurance.arkansas.gov/NPILookup?Npi=1699892919","1699892919")</f>
        <v>1699892919</v>
      </c>
      <c r="E29792" t="s">
        <v>12511</v>
      </c>
    </row>
    <row r="29793" spans="1:5" x14ac:dyDescent="0.25">
      <c r="A29793" t="s">
        <v>9313</v>
      </c>
      <c r="B29793" t="s">
        <v>9314</v>
      </c>
      <c r="C29793" s="1" t="s">
        <v>23490</v>
      </c>
      <c r="D29793" s="1" t="str">
        <f>HYPERLINK("https://rhld.insurance.arkansas.gov/NPILookup?Npi=1699951996","1699951996")</f>
        <v>1699951996</v>
      </c>
      <c r="E29793" t="s">
        <v>20833</v>
      </c>
    </row>
    <row r="29794" spans="1:5" x14ac:dyDescent="0.25">
      <c r="A29794" t="s">
        <v>9313</v>
      </c>
      <c r="B29794" t="s">
        <v>9314</v>
      </c>
      <c r="C29794" s="1" t="s">
        <v>23490</v>
      </c>
      <c r="D29794" s="1" t="str">
        <f>HYPERLINK("https://rhld.insurance.arkansas.gov/NPILookup?Npi=1700111440","1700111440")</f>
        <v>1700111440</v>
      </c>
      <c r="E29794" t="s">
        <v>23371</v>
      </c>
    </row>
    <row r="29795" spans="1:5" x14ac:dyDescent="0.25">
      <c r="A29795" t="s">
        <v>9313</v>
      </c>
      <c r="B29795" t="s">
        <v>9314</v>
      </c>
      <c r="C29795" s="1" t="s">
        <v>23490</v>
      </c>
      <c r="D29795" s="1" t="str">
        <f>HYPERLINK("https://rhld.insurance.arkansas.gov/NPILookup?Npi=1700309127","1700309127")</f>
        <v>1700309127</v>
      </c>
      <c r="E29795" t="s">
        <v>12512</v>
      </c>
    </row>
    <row r="29796" spans="1:5" x14ac:dyDescent="0.25">
      <c r="A29796" t="s">
        <v>9313</v>
      </c>
      <c r="B29796" t="s">
        <v>9314</v>
      </c>
      <c r="C29796" s="1" t="s">
        <v>23490</v>
      </c>
      <c r="D29796" s="1" t="str">
        <f>HYPERLINK("https://rhld.insurance.arkansas.gov/NPILookup?Npi=1700445038","1700445038")</f>
        <v>1700445038</v>
      </c>
      <c r="E29796" t="s">
        <v>18602</v>
      </c>
    </row>
    <row r="29797" spans="1:5" x14ac:dyDescent="0.25">
      <c r="A29797" t="s">
        <v>9313</v>
      </c>
      <c r="B29797" t="s">
        <v>9314</v>
      </c>
      <c r="C29797" s="1" t="s">
        <v>23490</v>
      </c>
      <c r="D29797" s="1" t="str">
        <f>HYPERLINK("https://rhld.insurance.arkansas.gov/NPILookup?Npi=1700525284","1700525284")</f>
        <v>1700525284</v>
      </c>
      <c r="E29797" t="s">
        <v>20834</v>
      </c>
    </row>
    <row r="29798" spans="1:5" x14ac:dyDescent="0.25">
      <c r="A29798" t="s">
        <v>9313</v>
      </c>
      <c r="B29798" t="s">
        <v>9314</v>
      </c>
      <c r="C29798" s="1" t="s">
        <v>23490</v>
      </c>
      <c r="D29798" s="1" t="str">
        <f>HYPERLINK("https://rhld.insurance.arkansas.gov/NPILookup?Npi=1700570140","1700570140")</f>
        <v>1700570140</v>
      </c>
      <c r="E29798" t="s">
        <v>22779</v>
      </c>
    </row>
    <row r="29799" spans="1:5" x14ac:dyDescent="0.25">
      <c r="A29799" t="s">
        <v>9313</v>
      </c>
      <c r="B29799" t="s">
        <v>9314</v>
      </c>
      <c r="C29799" s="1" t="s">
        <v>23490</v>
      </c>
      <c r="D29799" s="1" t="str">
        <f>HYPERLINK("https://rhld.insurance.arkansas.gov/NPILookup?Npi=1700806841","1700806841")</f>
        <v>1700806841</v>
      </c>
      <c r="E29799" t="s">
        <v>9797</v>
      </c>
    </row>
    <row r="29800" spans="1:5" x14ac:dyDescent="0.25">
      <c r="A29800" t="s">
        <v>9313</v>
      </c>
      <c r="B29800" t="s">
        <v>9314</v>
      </c>
      <c r="C29800" s="1" t="s">
        <v>23490</v>
      </c>
      <c r="D29800" s="1" t="str">
        <f>HYPERLINK("https://rhld.insurance.arkansas.gov/NPILookup?Npi=1700906674","1700906674")</f>
        <v>1700906674</v>
      </c>
      <c r="E29800" t="s">
        <v>18603</v>
      </c>
    </row>
    <row r="29801" spans="1:5" x14ac:dyDescent="0.25">
      <c r="A29801" t="s">
        <v>9313</v>
      </c>
      <c r="B29801" t="s">
        <v>9314</v>
      </c>
      <c r="C29801" s="1" t="s">
        <v>23490</v>
      </c>
      <c r="D29801" s="1" t="str">
        <f>HYPERLINK("https://rhld.insurance.arkansas.gov/NPILookup?Npi=1700907870","1700907870")</f>
        <v>1700907870</v>
      </c>
      <c r="E29801" t="s">
        <v>12513</v>
      </c>
    </row>
    <row r="29802" spans="1:5" x14ac:dyDescent="0.25">
      <c r="A29802" t="s">
        <v>9313</v>
      </c>
      <c r="B29802" t="s">
        <v>9314</v>
      </c>
      <c r="C29802" s="1" t="s">
        <v>23490</v>
      </c>
      <c r="D29802" s="1" t="str">
        <f>HYPERLINK("https://rhld.insurance.arkansas.gov/NPILookup?Npi=1700944824","1700944824")</f>
        <v>1700944824</v>
      </c>
      <c r="E29802" t="s">
        <v>18604</v>
      </c>
    </row>
    <row r="29803" spans="1:5" x14ac:dyDescent="0.25">
      <c r="A29803" t="s">
        <v>9313</v>
      </c>
      <c r="B29803" t="s">
        <v>9314</v>
      </c>
      <c r="C29803" s="1" t="s">
        <v>23490</v>
      </c>
      <c r="D29803" s="1" t="str">
        <f>HYPERLINK("https://rhld.insurance.arkansas.gov/NPILookup?Npi=1700954187","1700954187")</f>
        <v>1700954187</v>
      </c>
      <c r="E29803" t="s">
        <v>9799</v>
      </c>
    </row>
    <row r="29804" spans="1:5" x14ac:dyDescent="0.25">
      <c r="A29804" t="s">
        <v>9313</v>
      </c>
      <c r="B29804" t="s">
        <v>9314</v>
      </c>
      <c r="C29804" s="1" t="s">
        <v>23490</v>
      </c>
      <c r="D29804" s="1" t="str">
        <f>HYPERLINK("https://rhld.insurance.arkansas.gov/NPILookup?Npi=1700959079","1700959079")</f>
        <v>1700959079</v>
      </c>
      <c r="E29804" t="s">
        <v>9800</v>
      </c>
    </row>
    <row r="29805" spans="1:5" x14ac:dyDescent="0.25">
      <c r="A29805" t="s">
        <v>9313</v>
      </c>
      <c r="B29805" t="s">
        <v>9314</v>
      </c>
      <c r="C29805" s="1" t="s">
        <v>23490</v>
      </c>
      <c r="D29805" s="1" t="str">
        <f>HYPERLINK("https://rhld.insurance.arkansas.gov/NPILookup?Npi=1700977014","1700977014")</f>
        <v>1700977014</v>
      </c>
      <c r="E29805" t="s">
        <v>12514</v>
      </c>
    </row>
    <row r="29806" spans="1:5" x14ac:dyDescent="0.25">
      <c r="A29806" t="s">
        <v>9313</v>
      </c>
      <c r="B29806" t="s">
        <v>9314</v>
      </c>
      <c r="C29806" s="1" t="s">
        <v>23490</v>
      </c>
      <c r="D29806" s="1" t="str">
        <f>HYPERLINK("https://rhld.insurance.arkansas.gov/NPILookup?Npi=1710019526","1710019526")</f>
        <v>1710019526</v>
      </c>
      <c r="E29806" t="s">
        <v>22780</v>
      </c>
    </row>
    <row r="29807" spans="1:5" x14ac:dyDescent="0.25">
      <c r="A29807" t="s">
        <v>9313</v>
      </c>
      <c r="B29807" t="s">
        <v>9314</v>
      </c>
      <c r="C29807" s="1" t="s">
        <v>23490</v>
      </c>
      <c r="D29807" s="1" t="str">
        <f>HYPERLINK("https://rhld.insurance.arkansas.gov/NPILookup?Npi=1710042270","1710042270")</f>
        <v>1710042270</v>
      </c>
      <c r="E29807" t="s">
        <v>20835</v>
      </c>
    </row>
    <row r="29808" spans="1:5" x14ac:dyDescent="0.25">
      <c r="A29808" t="s">
        <v>9313</v>
      </c>
      <c r="B29808" t="s">
        <v>9314</v>
      </c>
      <c r="C29808" s="1" t="s">
        <v>23490</v>
      </c>
      <c r="D29808" s="1" t="str">
        <f>HYPERLINK("https://rhld.insurance.arkansas.gov/NPILookup?Npi=1710047519","1710047519")</f>
        <v>1710047519</v>
      </c>
      <c r="E29808" t="s">
        <v>17340</v>
      </c>
    </row>
    <row r="29809" spans="1:5" x14ac:dyDescent="0.25">
      <c r="A29809" t="s">
        <v>9313</v>
      </c>
      <c r="B29809" t="s">
        <v>9314</v>
      </c>
      <c r="C29809" s="1" t="s">
        <v>23490</v>
      </c>
      <c r="D29809" s="1" t="str">
        <f>HYPERLINK("https://rhld.insurance.arkansas.gov/NPILookup?Npi=1710072277","1710072277")</f>
        <v>1710072277</v>
      </c>
      <c r="E29809" t="s">
        <v>9801</v>
      </c>
    </row>
    <row r="29810" spans="1:5" x14ac:dyDescent="0.25">
      <c r="A29810" t="s">
        <v>9313</v>
      </c>
      <c r="B29810" t="s">
        <v>9314</v>
      </c>
      <c r="C29810" s="1" t="s">
        <v>8427</v>
      </c>
      <c r="D29810" s="1" t="str">
        <f>HYPERLINK("https://rhld.insurance.arkansas.gov/NPILookup?Npi=1710078803","1710078803")</f>
        <v>1710078803</v>
      </c>
      <c r="E29810" t="s">
        <v>23372</v>
      </c>
    </row>
    <row r="29811" spans="1:5" x14ac:dyDescent="0.25">
      <c r="A29811" t="s">
        <v>9313</v>
      </c>
      <c r="B29811" t="s">
        <v>9314</v>
      </c>
      <c r="C29811" s="1" t="s">
        <v>23490</v>
      </c>
      <c r="D29811" s="1" t="str">
        <f>HYPERLINK("https://rhld.insurance.arkansas.gov/NPILookup?Npi=1710085907","1710085907")</f>
        <v>1710085907</v>
      </c>
      <c r="E29811" t="s">
        <v>9802</v>
      </c>
    </row>
    <row r="29812" spans="1:5" x14ac:dyDescent="0.25">
      <c r="A29812" t="s">
        <v>9313</v>
      </c>
      <c r="B29812" t="s">
        <v>9314</v>
      </c>
      <c r="C29812" s="1" t="s">
        <v>23490</v>
      </c>
      <c r="D29812" s="1" t="str">
        <f>HYPERLINK("https://rhld.insurance.arkansas.gov/NPILookup?Npi=1710099387","1710099387")</f>
        <v>1710099387</v>
      </c>
      <c r="E29812" t="s">
        <v>9803</v>
      </c>
    </row>
    <row r="29813" spans="1:5" x14ac:dyDescent="0.25">
      <c r="A29813" t="s">
        <v>9313</v>
      </c>
      <c r="B29813" t="s">
        <v>9314</v>
      </c>
      <c r="C29813" s="1" t="s">
        <v>23490</v>
      </c>
      <c r="D29813" s="1" t="str">
        <f>HYPERLINK("https://rhld.insurance.arkansas.gov/NPILookup?Npi=1710100896","1710100896")</f>
        <v>1710100896</v>
      </c>
      <c r="E29813" t="s">
        <v>9804</v>
      </c>
    </row>
    <row r="29814" spans="1:5" x14ac:dyDescent="0.25">
      <c r="A29814" t="s">
        <v>9313</v>
      </c>
      <c r="B29814" t="s">
        <v>9314</v>
      </c>
      <c r="C29814" s="1" t="s">
        <v>23490</v>
      </c>
      <c r="D29814" s="1" t="str">
        <f>HYPERLINK("https://rhld.insurance.arkansas.gov/NPILookup?Npi=1710100995","1710100995")</f>
        <v>1710100995</v>
      </c>
      <c r="E29814" t="s">
        <v>324</v>
      </c>
    </row>
    <row r="29815" spans="1:5" x14ac:dyDescent="0.25">
      <c r="A29815" t="s">
        <v>9313</v>
      </c>
      <c r="B29815" t="s">
        <v>9314</v>
      </c>
      <c r="C29815" s="1" t="s">
        <v>23490</v>
      </c>
      <c r="D29815" s="1" t="str">
        <f>HYPERLINK("https://rhld.insurance.arkansas.gov/NPILookup?Npi=1710116934","1710116934")</f>
        <v>1710116934</v>
      </c>
      <c r="E29815" t="s">
        <v>12515</v>
      </c>
    </row>
    <row r="29816" spans="1:5" x14ac:dyDescent="0.25">
      <c r="A29816" t="s">
        <v>9313</v>
      </c>
      <c r="B29816" t="s">
        <v>9314</v>
      </c>
      <c r="C29816" s="1" t="s">
        <v>23490</v>
      </c>
      <c r="D29816" s="1" t="str">
        <f>HYPERLINK("https://rhld.insurance.arkansas.gov/NPILookup?Npi=1710149521","1710149521")</f>
        <v>1710149521</v>
      </c>
      <c r="E29816" t="s">
        <v>9805</v>
      </c>
    </row>
    <row r="29817" spans="1:5" x14ac:dyDescent="0.25">
      <c r="A29817" t="s">
        <v>9313</v>
      </c>
      <c r="B29817" t="s">
        <v>9314</v>
      </c>
      <c r="C29817" s="1" t="s">
        <v>23490</v>
      </c>
      <c r="D29817" s="1" t="str">
        <f>HYPERLINK("https://rhld.insurance.arkansas.gov/NPILookup?Npi=1710214200","1710214200")</f>
        <v>1710214200</v>
      </c>
      <c r="E29817" t="s">
        <v>17823</v>
      </c>
    </row>
    <row r="29818" spans="1:5" x14ac:dyDescent="0.25">
      <c r="A29818" t="s">
        <v>9313</v>
      </c>
      <c r="B29818" t="s">
        <v>9314</v>
      </c>
      <c r="C29818" s="1" t="s">
        <v>23490</v>
      </c>
      <c r="D29818" s="1" t="str">
        <f>HYPERLINK("https://rhld.insurance.arkansas.gov/NPILookup?Npi=1710310032","1710310032")</f>
        <v>1710310032</v>
      </c>
      <c r="E29818" t="s">
        <v>12516</v>
      </c>
    </row>
    <row r="29819" spans="1:5" x14ac:dyDescent="0.25">
      <c r="A29819" t="s">
        <v>9313</v>
      </c>
      <c r="B29819" t="s">
        <v>9314</v>
      </c>
      <c r="C29819" s="1" t="s">
        <v>23490</v>
      </c>
      <c r="D29819" s="1" t="str">
        <f>HYPERLINK("https://rhld.insurance.arkansas.gov/NPILookup?Npi=1710386800","1710386800")</f>
        <v>1710386800</v>
      </c>
      <c r="E29819" t="s">
        <v>12517</v>
      </c>
    </row>
    <row r="29820" spans="1:5" x14ac:dyDescent="0.25">
      <c r="A29820" t="s">
        <v>9313</v>
      </c>
      <c r="B29820" t="s">
        <v>9314</v>
      </c>
      <c r="C29820" s="1" t="s">
        <v>23490</v>
      </c>
      <c r="D29820" s="1" t="str">
        <f>HYPERLINK("https://rhld.insurance.arkansas.gov/NPILookup?Npi=1710393517","1710393517")</f>
        <v>1710393517</v>
      </c>
      <c r="E29820" t="s">
        <v>9806</v>
      </c>
    </row>
    <row r="29821" spans="1:5" x14ac:dyDescent="0.25">
      <c r="A29821" t="s">
        <v>9313</v>
      </c>
      <c r="B29821" t="s">
        <v>9314</v>
      </c>
      <c r="C29821" s="1" t="s">
        <v>23490</v>
      </c>
      <c r="D29821" s="1" t="str">
        <f>HYPERLINK("https://rhld.insurance.arkansas.gov/NPILookup?Npi=1720029200","1720029200")</f>
        <v>1720029200</v>
      </c>
      <c r="E29821" t="s">
        <v>2001</v>
      </c>
    </row>
    <row r="29822" spans="1:5" x14ac:dyDescent="0.25">
      <c r="A29822" t="s">
        <v>9313</v>
      </c>
      <c r="B29822" t="s">
        <v>9314</v>
      </c>
      <c r="C29822" s="1" t="s">
        <v>23490</v>
      </c>
      <c r="D29822" s="1" t="str">
        <f>HYPERLINK("https://rhld.insurance.arkansas.gov/NPILookup?Npi=1720029812","1720029812")</f>
        <v>1720029812</v>
      </c>
      <c r="E29822" t="s">
        <v>12518</v>
      </c>
    </row>
    <row r="29823" spans="1:5" x14ac:dyDescent="0.25">
      <c r="A29823" t="s">
        <v>9313</v>
      </c>
      <c r="B29823" t="s">
        <v>9314</v>
      </c>
      <c r="C29823" s="1" t="s">
        <v>23490</v>
      </c>
      <c r="D29823" s="1" t="str">
        <f>HYPERLINK("https://rhld.insurance.arkansas.gov/NPILookup?Npi=1720082373","1720082373")</f>
        <v>1720082373</v>
      </c>
      <c r="E29823" t="s">
        <v>12519</v>
      </c>
    </row>
    <row r="29824" spans="1:5" x14ac:dyDescent="0.25">
      <c r="A29824" t="s">
        <v>9313</v>
      </c>
      <c r="B29824" t="s">
        <v>9314</v>
      </c>
      <c r="C29824" s="1" t="s">
        <v>23490</v>
      </c>
      <c r="D29824" s="1" t="str">
        <f>HYPERLINK("https://rhld.insurance.arkansas.gov/NPILookup?Npi=1720093479","1720093479")</f>
        <v>1720093479</v>
      </c>
      <c r="E29824" t="s">
        <v>9807</v>
      </c>
    </row>
    <row r="29825" spans="1:5" x14ac:dyDescent="0.25">
      <c r="A29825" t="s">
        <v>9313</v>
      </c>
      <c r="B29825" t="s">
        <v>9314</v>
      </c>
      <c r="C29825" s="1" t="s">
        <v>23490</v>
      </c>
      <c r="D29825" s="1" t="str">
        <f>HYPERLINK("https://rhld.insurance.arkansas.gov/NPILookup?Npi=1720093578","1720093578")</f>
        <v>1720093578</v>
      </c>
      <c r="E29825" t="s">
        <v>9808</v>
      </c>
    </row>
    <row r="29826" spans="1:5" x14ac:dyDescent="0.25">
      <c r="A29826" t="s">
        <v>9313</v>
      </c>
      <c r="B29826" t="s">
        <v>9314</v>
      </c>
      <c r="C29826" s="1" t="s">
        <v>23490</v>
      </c>
      <c r="D29826" s="1" t="str">
        <f>HYPERLINK("https://rhld.insurance.arkansas.gov/NPILookup?Npi=1720094766","1720094766")</f>
        <v>1720094766</v>
      </c>
      <c r="E29826" t="s">
        <v>9809</v>
      </c>
    </row>
    <row r="29827" spans="1:5" x14ac:dyDescent="0.25">
      <c r="A29827" t="s">
        <v>9313</v>
      </c>
      <c r="B29827" t="s">
        <v>9314</v>
      </c>
      <c r="C29827" s="1" t="s">
        <v>23490</v>
      </c>
      <c r="D29827" s="1" t="str">
        <f>HYPERLINK("https://rhld.insurance.arkansas.gov/NPILookup?Npi=1720098999","1720098999")</f>
        <v>1720098999</v>
      </c>
      <c r="E29827" t="s">
        <v>9810</v>
      </c>
    </row>
    <row r="29828" spans="1:5" x14ac:dyDescent="0.25">
      <c r="A29828" t="s">
        <v>9313</v>
      </c>
      <c r="B29828" t="s">
        <v>9314</v>
      </c>
      <c r="C29828" s="1" t="s">
        <v>23490</v>
      </c>
      <c r="D29828" s="1" t="str">
        <f>HYPERLINK("https://rhld.insurance.arkansas.gov/NPILookup?Npi=1720113202","1720113202")</f>
        <v>1720113202</v>
      </c>
      <c r="E29828" t="s">
        <v>9811</v>
      </c>
    </row>
    <row r="29829" spans="1:5" x14ac:dyDescent="0.25">
      <c r="A29829" t="s">
        <v>9313</v>
      </c>
      <c r="B29829" t="s">
        <v>9314</v>
      </c>
      <c r="C29829" s="1" t="s">
        <v>23490</v>
      </c>
      <c r="D29829" s="1" t="str">
        <f>HYPERLINK("https://rhld.insurance.arkansas.gov/NPILookup?Npi=1720146525","1720146525")</f>
        <v>1720146525</v>
      </c>
      <c r="E29829" t="s">
        <v>10670</v>
      </c>
    </row>
    <row r="29830" spans="1:5" x14ac:dyDescent="0.25">
      <c r="A29830" t="s">
        <v>9313</v>
      </c>
      <c r="B29830" t="s">
        <v>9314</v>
      </c>
      <c r="C29830" s="1" t="s">
        <v>23490</v>
      </c>
      <c r="D29830" s="1" t="str">
        <f>HYPERLINK("https://rhld.insurance.arkansas.gov/NPILookup?Npi=1720146590","1720146590")</f>
        <v>1720146590</v>
      </c>
      <c r="E29830" t="s">
        <v>7798</v>
      </c>
    </row>
    <row r="29831" spans="1:5" x14ac:dyDescent="0.25">
      <c r="A29831" t="s">
        <v>9313</v>
      </c>
      <c r="B29831" t="s">
        <v>9314</v>
      </c>
      <c r="C29831" s="1" t="s">
        <v>23490</v>
      </c>
      <c r="D29831" s="1" t="str">
        <f>HYPERLINK("https://rhld.insurance.arkansas.gov/NPILookup?Npi=1720163587","1720163587")</f>
        <v>1720163587</v>
      </c>
      <c r="E29831" t="s">
        <v>12520</v>
      </c>
    </row>
    <row r="29832" spans="1:5" x14ac:dyDescent="0.25">
      <c r="A29832" t="s">
        <v>9313</v>
      </c>
      <c r="B29832" t="s">
        <v>9314</v>
      </c>
      <c r="C29832" s="1" t="s">
        <v>23490</v>
      </c>
      <c r="D29832" s="1" t="str">
        <f>HYPERLINK("https://rhld.insurance.arkansas.gov/NPILookup?Npi=1720182884","1720182884")</f>
        <v>1720182884</v>
      </c>
      <c r="E29832" t="s">
        <v>9812</v>
      </c>
    </row>
    <row r="29833" spans="1:5" x14ac:dyDescent="0.25">
      <c r="A29833" t="s">
        <v>9313</v>
      </c>
      <c r="B29833" t="s">
        <v>9314</v>
      </c>
      <c r="C29833" s="1" t="s">
        <v>23490</v>
      </c>
      <c r="D29833" s="1" t="str">
        <f>HYPERLINK("https://rhld.insurance.arkansas.gov/NPILookup?Npi=1720240591","1720240591")</f>
        <v>1720240591</v>
      </c>
      <c r="E29833" t="s">
        <v>9813</v>
      </c>
    </row>
    <row r="29834" spans="1:5" x14ac:dyDescent="0.25">
      <c r="A29834" t="s">
        <v>9313</v>
      </c>
      <c r="B29834" t="s">
        <v>9314</v>
      </c>
      <c r="C29834" s="1" t="s">
        <v>23490</v>
      </c>
      <c r="D29834" s="1" t="str">
        <f>HYPERLINK("https://rhld.insurance.arkansas.gov/NPILookup?Npi=1720251424","1720251424")</f>
        <v>1720251424</v>
      </c>
      <c r="E29834" t="s">
        <v>9815</v>
      </c>
    </row>
    <row r="29835" spans="1:5" x14ac:dyDescent="0.25">
      <c r="A29835" t="s">
        <v>9313</v>
      </c>
      <c r="B29835" t="s">
        <v>9314</v>
      </c>
      <c r="C29835" s="1" t="s">
        <v>23490</v>
      </c>
      <c r="D29835" s="1" t="str">
        <f>HYPERLINK("https://rhld.insurance.arkansas.gov/NPILookup?Npi=1720403801","1720403801")</f>
        <v>1720403801</v>
      </c>
      <c r="E29835" t="s">
        <v>17824</v>
      </c>
    </row>
    <row r="29836" spans="1:5" x14ac:dyDescent="0.25">
      <c r="A29836" t="s">
        <v>9313</v>
      </c>
      <c r="B29836" t="s">
        <v>9314</v>
      </c>
      <c r="C29836" s="1" t="s">
        <v>23490</v>
      </c>
      <c r="D29836" s="1" t="str">
        <f>HYPERLINK("https://rhld.insurance.arkansas.gov/NPILookup?Npi=1720410806","1720410806")</f>
        <v>1720410806</v>
      </c>
      <c r="E29836" t="s">
        <v>9816</v>
      </c>
    </row>
    <row r="29837" spans="1:5" x14ac:dyDescent="0.25">
      <c r="A29837" t="s">
        <v>9313</v>
      </c>
      <c r="B29837" t="s">
        <v>9314</v>
      </c>
      <c r="C29837" s="1" t="s">
        <v>23490</v>
      </c>
      <c r="D29837" s="1" t="str">
        <f>HYPERLINK("https://rhld.insurance.arkansas.gov/NPILookup?Npi=1720429269","1720429269")</f>
        <v>1720429269</v>
      </c>
      <c r="E29837" t="s">
        <v>9817</v>
      </c>
    </row>
    <row r="29838" spans="1:5" x14ac:dyDescent="0.25">
      <c r="A29838" t="s">
        <v>9313</v>
      </c>
      <c r="B29838" t="s">
        <v>9314</v>
      </c>
      <c r="C29838" s="1" t="s">
        <v>23490</v>
      </c>
      <c r="D29838" s="1" t="str">
        <f>HYPERLINK("https://rhld.insurance.arkansas.gov/NPILookup?Npi=1720579873","1720579873")</f>
        <v>1720579873</v>
      </c>
      <c r="E29838" t="s">
        <v>14614</v>
      </c>
    </row>
    <row r="29839" spans="1:5" x14ac:dyDescent="0.25">
      <c r="A29839" t="s">
        <v>9313</v>
      </c>
      <c r="B29839" t="s">
        <v>9314</v>
      </c>
      <c r="C29839" s="1" t="s">
        <v>23490</v>
      </c>
      <c r="D29839" s="1" t="str">
        <f>HYPERLINK("https://rhld.insurance.arkansas.gov/NPILookup?Npi=1720596737","1720596737")</f>
        <v>1720596737</v>
      </c>
      <c r="E29839" t="s">
        <v>20836</v>
      </c>
    </row>
    <row r="29840" spans="1:5" x14ac:dyDescent="0.25">
      <c r="A29840" t="s">
        <v>9313</v>
      </c>
      <c r="B29840" t="s">
        <v>9314</v>
      </c>
      <c r="C29840" s="1" t="s">
        <v>23490</v>
      </c>
      <c r="D29840" s="1" t="str">
        <f>HYPERLINK("https://rhld.insurance.arkansas.gov/NPILookup?Npi=1730159773","1730159773")</f>
        <v>1730159773</v>
      </c>
      <c r="E29840" t="s">
        <v>12521</v>
      </c>
    </row>
    <row r="29841" spans="1:5" x14ac:dyDescent="0.25">
      <c r="A29841" t="s">
        <v>9313</v>
      </c>
      <c r="B29841" t="s">
        <v>9314</v>
      </c>
      <c r="C29841" s="1" t="s">
        <v>23490</v>
      </c>
      <c r="D29841" s="1" t="str">
        <f>HYPERLINK("https://rhld.insurance.arkansas.gov/NPILookup?Npi=1730216474","1730216474")</f>
        <v>1730216474</v>
      </c>
      <c r="E29841" t="s">
        <v>9819</v>
      </c>
    </row>
    <row r="29842" spans="1:5" x14ac:dyDescent="0.25">
      <c r="A29842" t="s">
        <v>9313</v>
      </c>
      <c r="B29842" t="s">
        <v>9314</v>
      </c>
      <c r="C29842" s="1" t="s">
        <v>23490</v>
      </c>
      <c r="D29842" s="1" t="str">
        <f>HYPERLINK("https://rhld.insurance.arkansas.gov/NPILookup?Npi=1730223157","1730223157")</f>
        <v>1730223157</v>
      </c>
      <c r="E29842" t="s">
        <v>19201</v>
      </c>
    </row>
    <row r="29843" spans="1:5" x14ac:dyDescent="0.25">
      <c r="A29843" t="s">
        <v>9313</v>
      </c>
      <c r="B29843" t="s">
        <v>9314</v>
      </c>
      <c r="C29843" s="1" t="s">
        <v>23490</v>
      </c>
      <c r="D29843" s="1" t="str">
        <f>HYPERLINK("https://rhld.insurance.arkansas.gov/NPILookup?Npi=1730268020","1730268020")</f>
        <v>1730268020</v>
      </c>
      <c r="E29843" t="s">
        <v>9820</v>
      </c>
    </row>
    <row r="29844" spans="1:5" x14ac:dyDescent="0.25">
      <c r="A29844" t="s">
        <v>9313</v>
      </c>
      <c r="B29844" t="s">
        <v>9314</v>
      </c>
      <c r="C29844" s="1" t="s">
        <v>23490</v>
      </c>
      <c r="D29844" s="1" t="str">
        <f>HYPERLINK("https://rhld.insurance.arkansas.gov/NPILookup?Npi=1730282047","1730282047")</f>
        <v>1730282047</v>
      </c>
      <c r="E29844" t="s">
        <v>9821</v>
      </c>
    </row>
    <row r="29845" spans="1:5" x14ac:dyDescent="0.25">
      <c r="A29845" t="s">
        <v>9313</v>
      </c>
      <c r="B29845" t="s">
        <v>9314</v>
      </c>
      <c r="C29845" s="1" t="s">
        <v>23490</v>
      </c>
      <c r="D29845" s="1" t="str">
        <f>HYPERLINK("https://rhld.insurance.arkansas.gov/NPILookup?Npi=1730299587","1730299587")</f>
        <v>1730299587</v>
      </c>
      <c r="E29845" t="s">
        <v>12522</v>
      </c>
    </row>
    <row r="29846" spans="1:5" x14ac:dyDescent="0.25">
      <c r="A29846" t="s">
        <v>9313</v>
      </c>
      <c r="B29846" t="s">
        <v>9314</v>
      </c>
      <c r="C29846" s="1" t="s">
        <v>23490</v>
      </c>
      <c r="D29846" s="1" t="str">
        <f>HYPERLINK("https://rhld.insurance.arkansas.gov/NPILookup?Npi=1730372590","1730372590")</f>
        <v>1730372590</v>
      </c>
      <c r="E29846" t="s">
        <v>12523</v>
      </c>
    </row>
    <row r="29847" spans="1:5" x14ac:dyDescent="0.25">
      <c r="A29847" t="s">
        <v>9313</v>
      </c>
      <c r="B29847" t="s">
        <v>9314</v>
      </c>
      <c r="C29847" s="1" t="s">
        <v>23490</v>
      </c>
      <c r="D29847" s="1" t="str">
        <f>HYPERLINK("https://rhld.insurance.arkansas.gov/NPILookup?Npi=1730400326","1730400326")</f>
        <v>1730400326</v>
      </c>
      <c r="E29847" t="s">
        <v>9823</v>
      </c>
    </row>
    <row r="29848" spans="1:5" x14ac:dyDescent="0.25">
      <c r="A29848" t="s">
        <v>9313</v>
      </c>
      <c r="B29848" t="s">
        <v>9314</v>
      </c>
      <c r="C29848" s="1" t="s">
        <v>23490</v>
      </c>
      <c r="D29848" s="1" t="str">
        <f>HYPERLINK("https://rhld.insurance.arkansas.gov/NPILookup?Npi=1730477126","1730477126")</f>
        <v>1730477126</v>
      </c>
      <c r="E29848" t="s">
        <v>12328</v>
      </c>
    </row>
    <row r="29849" spans="1:5" x14ac:dyDescent="0.25">
      <c r="A29849" t="s">
        <v>9313</v>
      </c>
      <c r="B29849" t="s">
        <v>9314</v>
      </c>
      <c r="C29849" s="1" t="s">
        <v>23490</v>
      </c>
      <c r="D29849" s="1" t="str">
        <f>HYPERLINK("https://rhld.insurance.arkansas.gov/NPILookup?Npi=1730685306","1730685306")</f>
        <v>1730685306</v>
      </c>
      <c r="E29849" t="s">
        <v>17325</v>
      </c>
    </row>
    <row r="29850" spans="1:5" x14ac:dyDescent="0.25">
      <c r="A29850" t="s">
        <v>9313</v>
      </c>
      <c r="B29850" t="s">
        <v>9314</v>
      </c>
      <c r="C29850" s="1" t="s">
        <v>23490</v>
      </c>
      <c r="D29850" s="1" t="str">
        <f>HYPERLINK("https://rhld.insurance.arkansas.gov/NPILookup?Npi=1730685868","1730685868")</f>
        <v>1730685868</v>
      </c>
      <c r="E29850" t="s">
        <v>7137</v>
      </c>
    </row>
    <row r="29851" spans="1:5" x14ac:dyDescent="0.25">
      <c r="A29851" t="s">
        <v>9313</v>
      </c>
      <c r="B29851" t="s">
        <v>9314</v>
      </c>
      <c r="C29851" s="1" t="s">
        <v>23490</v>
      </c>
      <c r="D29851" s="1" t="str">
        <f>HYPERLINK("https://rhld.insurance.arkansas.gov/NPILookup?Npi=1740224435","1740224435")</f>
        <v>1740224435</v>
      </c>
      <c r="E29851" t="s">
        <v>12524</v>
      </c>
    </row>
    <row r="29852" spans="1:5" x14ac:dyDescent="0.25">
      <c r="A29852" t="s">
        <v>9313</v>
      </c>
      <c r="B29852" t="s">
        <v>9314</v>
      </c>
      <c r="C29852" s="1" t="s">
        <v>23490</v>
      </c>
      <c r="D29852" s="1" t="str">
        <f>HYPERLINK("https://rhld.insurance.arkansas.gov/NPILookup?Npi=1740296631","1740296631")</f>
        <v>1740296631</v>
      </c>
      <c r="E29852" t="s">
        <v>9824</v>
      </c>
    </row>
    <row r="29853" spans="1:5" x14ac:dyDescent="0.25">
      <c r="A29853" t="s">
        <v>9313</v>
      </c>
      <c r="B29853" t="s">
        <v>9314</v>
      </c>
      <c r="C29853" s="1" t="s">
        <v>23490</v>
      </c>
      <c r="D29853" s="1" t="str">
        <f>HYPERLINK("https://rhld.insurance.arkansas.gov/NPILookup?Npi=1740297365","1740297365")</f>
        <v>1740297365</v>
      </c>
      <c r="E29853" t="s">
        <v>9825</v>
      </c>
    </row>
    <row r="29854" spans="1:5" x14ac:dyDescent="0.25">
      <c r="A29854" t="s">
        <v>9313</v>
      </c>
      <c r="B29854" t="s">
        <v>9314</v>
      </c>
      <c r="C29854" s="1" t="s">
        <v>23490</v>
      </c>
      <c r="D29854" s="1" t="str">
        <f>HYPERLINK("https://rhld.insurance.arkansas.gov/NPILookup?Npi=1740313154","1740313154")</f>
        <v>1740313154</v>
      </c>
      <c r="E29854" t="s">
        <v>12525</v>
      </c>
    </row>
    <row r="29855" spans="1:5" x14ac:dyDescent="0.25">
      <c r="A29855" t="s">
        <v>9313</v>
      </c>
      <c r="B29855" t="s">
        <v>9314</v>
      </c>
      <c r="C29855" s="1" t="s">
        <v>23490</v>
      </c>
      <c r="D29855" s="1" t="str">
        <f>HYPERLINK("https://rhld.insurance.arkansas.gov/NPILookup?Npi=1740328046","1740328046")</f>
        <v>1740328046</v>
      </c>
      <c r="E29855" t="s">
        <v>9826</v>
      </c>
    </row>
    <row r="29856" spans="1:5" x14ac:dyDescent="0.25">
      <c r="A29856" t="s">
        <v>9313</v>
      </c>
      <c r="B29856" t="s">
        <v>9314</v>
      </c>
      <c r="C29856" s="1" t="s">
        <v>23490</v>
      </c>
      <c r="D29856" s="1" t="str">
        <f>HYPERLINK("https://rhld.insurance.arkansas.gov/NPILookup?Npi=1740331917","1740331917")</f>
        <v>1740331917</v>
      </c>
      <c r="E29856" t="s">
        <v>9827</v>
      </c>
    </row>
    <row r="29857" spans="1:5" x14ac:dyDescent="0.25">
      <c r="A29857" t="s">
        <v>9313</v>
      </c>
      <c r="B29857" t="s">
        <v>9314</v>
      </c>
      <c r="C29857" s="1" t="s">
        <v>23490</v>
      </c>
      <c r="D29857" s="1" t="str">
        <f>HYPERLINK("https://rhld.insurance.arkansas.gov/NPILookup?Npi=1740344944","1740344944")</f>
        <v>1740344944</v>
      </c>
      <c r="E29857" t="s">
        <v>9828</v>
      </c>
    </row>
    <row r="29858" spans="1:5" x14ac:dyDescent="0.25">
      <c r="A29858" t="s">
        <v>9313</v>
      </c>
      <c r="B29858" t="s">
        <v>9314</v>
      </c>
      <c r="C29858" s="1" t="s">
        <v>23490</v>
      </c>
      <c r="D29858" s="1" t="str">
        <f>HYPERLINK("https://rhld.insurance.arkansas.gov/NPILookup?Npi=1740353325","1740353325")</f>
        <v>1740353325</v>
      </c>
      <c r="E29858" t="s">
        <v>9829</v>
      </c>
    </row>
    <row r="29859" spans="1:5" x14ac:dyDescent="0.25">
      <c r="A29859" t="s">
        <v>9313</v>
      </c>
      <c r="B29859" t="s">
        <v>9314</v>
      </c>
      <c r="C29859" s="1" t="s">
        <v>23490</v>
      </c>
      <c r="D29859" s="1" t="str">
        <f>HYPERLINK("https://rhld.insurance.arkansas.gov/NPILookup?Npi=1740375773","1740375773")</f>
        <v>1740375773</v>
      </c>
      <c r="E29859" t="s">
        <v>12526</v>
      </c>
    </row>
    <row r="29860" spans="1:5" x14ac:dyDescent="0.25">
      <c r="A29860" t="s">
        <v>9313</v>
      </c>
      <c r="B29860" t="s">
        <v>9314</v>
      </c>
      <c r="C29860" s="1" t="s">
        <v>23490</v>
      </c>
      <c r="D29860" s="1" t="str">
        <f>HYPERLINK("https://rhld.insurance.arkansas.gov/NPILookup?Npi=1740385202","1740385202")</f>
        <v>1740385202</v>
      </c>
      <c r="E29860" t="s">
        <v>9830</v>
      </c>
    </row>
    <row r="29861" spans="1:5" x14ac:dyDescent="0.25">
      <c r="A29861" t="s">
        <v>9313</v>
      </c>
      <c r="B29861" t="s">
        <v>9314</v>
      </c>
      <c r="C29861" s="1" t="s">
        <v>23490</v>
      </c>
      <c r="D29861" s="1" t="str">
        <f>HYPERLINK("https://rhld.insurance.arkansas.gov/NPILookup?Npi=1740398072","1740398072")</f>
        <v>1740398072</v>
      </c>
      <c r="E29861" t="s">
        <v>5590</v>
      </c>
    </row>
    <row r="29862" spans="1:5" x14ac:dyDescent="0.25">
      <c r="A29862" t="s">
        <v>9313</v>
      </c>
      <c r="B29862" t="s">
        <v>9314</v>
      </c>
      <c r="C29862" s="1" t="s">
        <v>23490</v>
      </c>
      <c r="D29862" s="1" t="str">
        <f>HYPERLINK("https://rhld.insurance.arkansas.gov/NPILookup?Npi=1740453240","1740453240")</f>
        <v>1740453240</v>
      </c>
      <c r="E29862" t="s">
        <v>12528</v>
      </c>
    </row>
    <row r="29863" spans="1:5" x14ac:dyDescent="0.25">
      <c r="A29863" t="s">
        <v>9313</v>
      </c>
      <c r="B29863" t="s">
        <v>9314</v>
      </c>
      <c r="C29863" s="1" t="s">
        <v>23490</v>
      </c>
      <c r="D29863" s="1" t="str">
        <f>HYPERLINK("https://rhld.insurance.arkansas.gov/NPILookup?Npi=1740594456","1740594456")</f>
        <v>1740594456</v>
      </c>
      <c r="E29863" t="s">
        <v>9832</v>
      </c>
    </row>
    <row r="29864" spans="1:5" x14ac:dyDescent="0.25">
      <c r="A29864" t="s">
        <v>9313</v>
      </c>
      <c r="B29864" t="s">
        <v>9314</v>
      </c>
      <c r="C29864" s="1" t="s">
        <v>23490</v>
      </c>
      <c r="D29864" s="1" t="str">
        <f>HYPERLINK("https://rhld.insurance.arkansas.gov/NPILookup?Npi=1740626431","1740626431")</f>
        <v>1740626431</v>
      </c>
      <c r="E29864" t="s">
        <v>12360</v>
      </c>
    </row>
    <row r="29865" spans="1:5" x14ac:dyDescent="0.25">
      <c r="A29865" t="s">
        <v>9313</v>
      </c>
      <c r="B29865" t="s">
        <v>9314</v>
      </c>
      <c r="C29865" s="1" t="s">
        <v>23490</v>
      </c>
      <c r="D29865" s="1" t="str">
        <f>HYPERLINK("https://rhld.insurance.arkansas.gov/NPILookup?Npi=1750371779","1750371779")</f>
        <v>1750371779</v>
      </c>
      <c r="E29865" t="s">
        <v>12530</v>
      </c>
    </row>
    <row r="29866" spans="1:5" x14ac:dyDescent="0.25">
      <c r="A29866" t="s">
        <v>9313</v>
      </c>
      <c r="B29866" t="s">
        <v>9314</v>
      </c>
      <c r="C29866" s="1" t="s">
        <v>23490</v>
      </c>
      <c r="D29866" s="1" t="str">
        <f>HYPERLINK("https://rhld.insurance.arkansas.gov/NPILookup?Npi=1750397881","1750397881")</f>
        <v>1750397881</v>
      </c>
      <c r="E29866" t="s">
        <v>9833</v>
      </c>
    </row>
    <row r="29867" spans="1:5" x14ac:dyDescent="0.25">
      <c r="A29867" t="s">
        <v>9313</v>
      </c>
      <c r="B29867" t="s">
        <v>9314</v>
      </c>
      <c r="C29867" s="1" t="s">
        <v>23490</v>
      </c>
      <c r="D29867" s="1" t="str">
        <f>HYPERLINK("https://rhld.insurance.arkansas.gov/NPILookup?Npi=1750403648","1750403648")</f>
        <v>1750403648</v>
      </c>
      <c r="E29867" t="s">
        <v>9834</v>
      </c>
    </row>
    <row r="29868" spans="1:5" x14ac:dyDescent="0.25">
      <c r="A29868" t="s">
        <v>9313</v>
      </c>
      <c r="B29868" t="s">
        <v>9314</v>
      </c>
      <c r="C29868" s="1" t="s">
        <v>23490</v>
      </c>
      <c r="D29868" s="1" t="str">
        <f>HYPERLINK("https://rhld.insurance.arkansas.gov/NPILookup?Npi=1750449690","1750449690")</f>
        <v>1750449690</v>
      </c>
      <c r="E29868" t="s">
        <v>12531</v>
      </c>
    </row>
    <row r="29869" spans="1:5" x14ac:dyDescent="0.25">
      <c r="A29869" t="s">
        <v>9313</v>
      </c>
      <c r="B29869" t="s">
        <v>9314</v>
      </c>
      <c r="C29869" s="1" t="s">
        <v>23490</v>
      </c>
      <c r="D29869" s="1" t="str">
        <f>HYPERLINK("https://rhld.insurance.arkansas.gov/NPILookup?Npi=1750454294","1750454294")</f>
        <v>1750454294</v>
      </c>
      <c r="E29869" t="s">
        <v>12532</v>
      </c>
    </row>
    <row r="29870" spans="1:5" x14ac:dyDescent="0.25">
      <c r="A29870" t="s">
        <v>9313</v>
      </c>
      <c r="B29870" t="s">
        <v>9314</v>
      </c>
      <c r="C29870" s="1" t="s">
        <v>23490</v>
      </c>
      <c r="D29870" s="1" t="str">
        <f>HYPERLINK("https://rhld.insurance.arkansas.gov/NPILookup?Npi=1750456828","1750456828")</f>
        <v>1750456828</v>
      </c>
      <c r="E29870" t="s">
        <v>12533</v>
      </c>
    </row>
    <row r="29871" spans="1:5" x14ac:dyDescent="0.25">
      <c r="A29871" t="s">
        <v>9313</v>
      </c>
      <c r="B29871" t="s">
        <v>9314</v>
      </c>
      <c r="C29871" s="1" t="s">
        <v>23490</v>
      </c>
      <c r="D29871" s="1" t="str">
        <f>HYPERLINK("https://rhld.insurance.arkansas.gov/NPILookup?Npi=1750468724","1750468724")</f>
        <v>1750468724</v>
      </c>
      <c r="E29871" t="s">
        <v>9835</v>
      </c>
    </row>
    <row r="29872" spans="1:5" x14ac:dyDescent="0.25">
      <c r="A29872" t="s">
        <v>9313</v>
      </c>
      <c r="B29872" t="s">
        <v>9314</v>
      </c>
      <c r="C29872" s="1" t="s">
        <v>23490</v>
      </c>
      <c r="D29872" s="1" t="str">
        <f>HYPERLINK("https://rhld.insurance.arkansas.gov/NPILookup?Npi=1750476099","1750476099")</f>
        <v>1750476099</v>
      </c>
      <c r="E29872" t="s">
        <v>12534</v>
      </c>
    </row>
    <row r="29873" spans="1:5" x14ac:dyDescent="0.25">
      <c r="A29873" t="s">
        <v>9313</v>
      </c>
      <c r="B29873" t="s">
        <v>9314</v>
      </c>
      <c r="C29873" s="1" t="s">
        <v>23490</v>
      </c>
      <c r="D29873" s="1" t="str">
        <f>HYPERLINK("https://rhld.insurance.arkansas.gov/NPILookup?Npi=1750479671","1750479671")</f>
        <v>1750479671</v>
      </c>
      <c r="E29873" t="s">
        <v>9836</v>
      </c>
    </row>
    <row r="29874" spans="1:5" x14ac:dyDescent="0.25">
      <c r="A29874" t="s">
        <v>9313</v>
      </c>
      <c r="B29874" t="s">
        <v>9314</v>
      </c>
      <c r="C29874" s="1" t="s">
        <v>23490</v>
      </c>
      <c r="D29874" s="1" t="str">
        <f>HYPERLINK("https://rhld.insurance.arkansas.gov/NPILookup?Npi=1750494951","1750494951")</f>
        <v>1750494951</v>
      </c>
      <c r="E29874" t="s">
        <v>12535</v>
      </c>
    </row>
    <row r="29875" spans="1:5" x14ac:dyDescent="0.25">
      <c r="A29875" t="s">
        <v>9313</v>
      </c>
      <c r="B29875" t="s">
        <v>9314</v>
      </c>
      <c r="C29875" s="1" t="s">
        <v>23490</v>
      </c>
      <c r="D29875" s="1" t="str">
        <f>HYPERLINK("https://rhld.insurance.arkansas.gov/NPILookup?Npi=1750499547","1750499547")</f>
        <v>1750499547</v>
      </c>
      <c r="E29875" t="s">
        <v>9837</v>
      </c>
    </row>
    <row r="29876" spans="1:5" x14ac:dyDescent="0.25">
      <c r="A29876" t="s">
        <v>9313</v>
      </c>
      <c r="B29876" t="s">
        <v>9314</v>
      </c>
      <c r="C29876" s="1" t="s">
        <v>23490</v>
      </c>
      <c r="D29876" s="1" t="str">
        <f>HYPERLINK("https://rhld.insurance.arkansas.gov/NPILookup?Npi=1750544607","1750544607")</f>
        <v>1750544607</v>
      </c>
      <c r="E29876" t="s">
        <v>9838</v>
      </c>
    </row>
    <row r="29877" spans="1:5" x14ac:dyDescent="0.25">
      <c r="A29877" t="s">
        <v>9313</v>
      </c>
      <c r="B29877" t="s">
        <v>9314</v>
      </c>
      <c r="C29877" s="1" t="s">
        <v>23490</v>
      </c>
      <c r="D29877" s="1" t="str">
        <f>HYPERLINK("https://rhld.insurance.arkansas.gov/NPILookup?Npi=1750638284","1750638284")</f>
        <v>1750638284</v>
      </c>
      <c r="E29877" t="s">
        <v>9839</v>
      </c>
    </row>
    <row r="29878" spans="1:5" x14ac:dyDescent="0.25">
      <c r="A29878" t="s">
        <v>9313</v>
      </c>
      <c r="B29878" t="s">
        <v>9314</v>
      </c>
      <c r="C29878" s="1" t="s">
        <v>23490</v>
      </c>
      <c r="D29878" s="1" t="str">
        <f>HYPERLINK("https://rhld.insurance.arkansas.gov/NPILookup?Npi=1750653127","1750653127")</f>
        <v>1750653127</v>
      </c>
      <c r="E29878" t="s">
        <v>9840</v>
      </c>
    </row>
    <row r="29879" spans="1:5" x14ac:dyDescent="0.25">
      <c r="A29879" t="s">
        <v>9313</v>
      </c>
      <c r="B29879" t="s">
        <v>9314</v>
      </c>
      <c r="C29879" s="1" t="s">
        <v>23490</v>
      </c>
      <c r="D29879" s="1" t="str">
        <f>HYPERLINK("https://rhld.insurance.arkansas.gov/NPILookup?Npi=1750720694","1750720694")</f>
        <v>1750720694</v>
      </c>
      <c r="E29879" t="s">
        <v>9841</v>
      </c>
    </row>
    <row r="29880" spans="1:5" x14ac:dyDescent="0.25">
      <c r="A29880" t="s">
        <v>9313</v>
      </c>
      <c r="B29880" t="s">
        <v>9314</v>
      </c>
      <c r="C29880" s="1" t="s">
        <v>23490</v>
      </c>
      <c r="D29880" s="1" t="str">
        <f>HYPERLINK("https://rhld.insurance.arkansas.gov/NPILookup?Npi=1750731741","1750731741")</f>
        <v>1750731741</v>
      </c>
      <c r="E29880" t="s">
        <v>17326</v>
      </c>
    </row>
    <row r="29881" spans="1:5" x14ac:dyDescent="0.25">
      <c r="A29881" t="s">
        <v>9313</v>
      </c>
      <c r="B29881" t="s">
        <v>9314</v>
      </c>
      <c r="C29881" s="1" t="s">
        <v>23490</v>
      </c>
      <c r="D29881" s="1" t="str">
        <f>HYPERLINK("https://rhld.insurance.arkansas.gov/NPILookup?Npi=1750857066","1750857066")</f>
        <v>1750857066</v>
      </c>
      <c r="E29881" t="s">
        <v>14615</v>
      </c>
    </row>
    <row r="29882" spans="1:5" x14ac:dyDescent="0.25">
      <c r="A29882" t="s">
        <v>9313</v>
      </c>
      <c r="B29882" t="s">
        <v>9314</v>
      </c>
      <c r="C29882" s="1" t="s">
        <v>23490</v>
      </c>
      <c r="D29882" s="1" t="str">
        <f>HYPERLINK("https://rhld.insurance.arkansas.gov/NPILookup?Npi=1760041248","1760041248")</f>
        <v>1760041248</v>
      </c>
      <c r="E29882" t="s">
        <v>20838</v>
      </c>
    </row>
    <row r="29883" spans="1:5" x14ac:dyDescent="0.25">
      <c r="A29883" t="s">
        <v>9313</v>
      </c>
      <c r="B29883" t="s">
        <v>9314</v>
      </c>
      <c r="C29883" s="1" t="s">
        <v>23490</v>
      </c>
      <c r="D29883" s="1" t="str">
        <f>HYPERLINK("https://rhld.insurance.arkansas.gov/NPILookup?Npi=1760041362","1760041362")</f>
        <v>1760041362</v>
      </c>
      <c r="E29883" t="s">
        <v>16800</v>
      </c>
    </row>
    <row r="29884" spans="1:5" x14ac:dyDescent="0.25">
      <c r="A29884" t="s">
        <v>9313</v>
      </c>
      <c r="B29884" t="s">
        <v>9314</v>
      </c>
      <c r="C29884" s="1" t="s">
        <v>8427</v>
      </c>
      <c r="D29884" s="1" t="str">
        <f>HYPERLINK("https://rhld.insurance.arkansas.gov/NPILookup?Npi=1760166631","1760166631")</f>
        <v>1760166631</v>
      </c>
      <c r="E29884" t="s">
        <v>23373</v>
      </c>
    </row>
    <row r="29885" spans="1:5" x14ac:dyDescent="0.25">
      <c r="A29885" t="s">
        <v>9313</v>
      </c>
      <c r="B29885" t="s">
        <v>9314</v>
      </c>
      <c r="C29885" s="1" t="s">
        <v>23490</v>
      </c>
      <c r="D29885" s="1" t="str">
        <f>HYPERLINK("https://rhld.insurance.arkansas.gov/NPILookup?Npi=1760499602","1760499602")</f>
        <v>1760499602</v>
      </c>
      <c r="E29885" t="s">
        <v>16801</v>
      </c>
    </row>
    <row r="29886" spans="1:5" x14ac:dyDescent="0.25">
      <c r="A29886" t="s">
        <v>9313</v>
      </c>
      <c r="B29886" t="s">
        <v>9314</v>
      </c>
      <c r="C29886" s="1" t="s">
        <v>23490</v>
      </c>
      <c r="D29886" s="1" t="str">
        <f>HYPERLINK("https://rhld.insurance.arkansas.gov/NPILookup?Npi=1760508568","1760508568")</f>
        <v>1760508568</v>
      </c>
      <c r="E29886" t="s">
        <v>12536</v>
      </c>
    </row>
    <row r="29887" spans="1:5" x14ac:dyDescent="0.25">
      <c r="A29887" t="s">
        <v>9313</v>
      </c>
      <c r="B29887" t="s">
        <v>9314</v>
      </c>
      <c r="C29887" s="1" t="s">
        <v>23490</v>
      </c>
      <c r="D29887" s="1" t="str">
        <f>HYPERLINK("https://rhld.insurance.arkansas.gov/NPILookup?Npi=1760520241","1760520241")</f>
        <v>1760520241</v>
      </c>
      <c r="E29887" t="s">
        <v>12537</v>
      </c>
    </row>
    <row r="29888" spans="1:5" x14ac:dyDescent="0.25">
      <c r="A29888" t="s">
        <v>9313</v>
      </c>
      <c r="B29888" t="s">
        <v>9314</v>
      </c>
      <c r="C29888" s="1" t="s">
        <v>23490</v>
      </c>
      <c r="D29888" s="1" t="str">
        <f>HYPERLINK("https://rhld.insurance.arkansas.gov/NPILookup?Npi=1760534226","1760534226")</f>
        <v>1760534226</v>
      </c>
      <c r="E29888" t="s">
        <v>9842</v>
      </c>
    </row>
    <row r="29889" spans="1:5" x14ac:dyDescent="0.25">
      <c r="A29889" t="s">
        <v>9313</v>
      </c>
      <c r="B29889" t="s">
        <v>9314</v>
      </c>
      <c r="C29889" s="1" t="s">
        <v>23490</v>
      </c>
      <c r="D29889" s="1" t="str">
        <f>HYPERLINK("https://rhld.insurance.arkansas.gov/NPILookup?Npi=1760560965","1760560965")</f>
        <v>1760560965</v>
      </c>
      <c r="E29889" t="s">
        <v>12538</v>
      </c>
    </row>
    <row r="29890" spans="1:5" x14ac:dyDescent="0.25">
      <c r="A29890" t="s">
        <v>9313</v>
      </c>
      <c r="B29890" t="s">
        <v>9314</v>
      </c>
      <c r="C29890" s="1" t="s">
        <v>23490</v>
      </c>
      <c r="D29890" s="1" t="str">
        <f>HYPERLINK("https://rhld.insurance.arkansas.gov/NPILookup?Npi=1760563787","1760563787")</f>
        <v>1760563787</v>
      </c>
      <c r="E29890" t="s">
        <v>9843</v>
      </c>
    </row>
    <row r="29891" spans="1:5" x14ac:dyDescent="0.25">
      <c r="A29891" t="s">
        <v>9313</v>
      </c>
      <c r="B29891" t="s">
        <v>9314</v>
      </c>
      <c r="C29891" s="1" t="s">
        <v>23490</v>
      </c>
      <c r="D29891" s="1" t="str">
        <f>HYPERLINK("https://rhld.insurance.arkansas.gov/NPILookup?Npi=1760566095","1760566095")</f>
        <v>1760566095</v>
      </c>
      <c r="E29891" t="s">
        <v>12539</v>
      </c>
    </row>
    <row r="29892" spans="1:5" x14ac:dyDescent="0.25">
      <c r="A29892" t="s">
        <v>9313</v>
      </c>
      <c r="B29892" t="s">
        <v>9314</v>
      </c>
      <c r="C29892" s="1" t="s">
        <v>23490</v>
      </c>
      <c r="D29892" s="1" t="str">
        <f>HYPERLINK("https://rhld.insurance.arkansas.gov/NPILookup?Npi=1760587208","1760587208")</f>
        <v>1760587208</v>
      </c>
      <c r="E29892" t="s">
        <v>12540</v>
      </c>
    </row>
    <row r="29893" spans="1:5" x14ac:dyDescent="0.25">
      <c r="A29893" t="s">
        <v>9313</v>
      </c>
      <c r="B29893" t="s">
        <v>9314</v>
      </c>
      <c r="C29893" s="1" t="s">
        <v>23490</v>
      </c>
      <c r="D29893" s="1" t="str">
        <f>HYPERLINK("https://rhld.insurance.arkansas.gov/NPILookup?Npi=1760597249","1760597249")</f>
        <v>1760597249</v>
      </c>
      <c r="E29893" t="s">
        <v>9844</v>
      </c>
    </row>
    <row r="29894" spans="1:5" x14ac:dyDescent="0.25">
      <c r="A29894" t="s">
        <v>9313</v>
      </c>
      <c r="B29894" t="s">
        <v>9314</v>
      </c>
      <c r="C29894" s="1" t="s">
        <v>23490</v>
      </c>
      <c r="D29894" s="1" t="str">
        <f>HYPERLINK("https://rhld.insurance.arkansas.gov/NPILookup?Npi=1760681423","1760681423")</f>
        <v>1760681423</v>
      </c>
      <c r="E29894" t="s">
        <v>9845</v>
      </c>
    </row>
    <row r="29895" spans="1:5" x14ac:dyDescent="0.25">
      <c r="A29895" t="s">
        <v>9313</v>
      </c>
      <c r="B29895" t="s">
        <v>9314</v>
      </c>
      <c r="C29895" s="1" t="s">
        <v>23490</v>
      </c>
      <c r="D29895" s="1" t="str">
        <f>HYPERLINK("https://rhld.insurance.arkansas.gov/NPILookup?Npi=1760682306","1760682306")</f>
        <v>1760682306</v>
      </c>
      <c r="E29895" t="s">
        <v>12541</v>
      </c>
    </row>
    <row r="29896" spans="1:5" x14ac:dyDescent="0.25">
      <c r="A29896" t="s">
        <v>9313</v>
      </c>
      <c r="B29896" t="s">
        <v>9314</v>
      </c>
      <c r="C29896" s="1" t="s">
        <v>23490</v>
      </c>
      <c r="D29896" s="1" t="str">
        <f>HYPERLINK("https://rhld.insurance.arkansas.gov/NPILookup?Npi=1760737209","1760737209")</f>
        <v>1760737209</v>
      </c>
      <c r="E29896" t="s">
        <v>17327</v>
      </c>
    </row>
    <row r="29897" spans="1:5" x14ac:dyDescent="0.25">
      <c r="A29897" t="s">
        <v>9313</v>
      </c>
      <c r="B29897" t="s">
        <v>9314</v>
      </c>
      <c r="C29897" s="1" t="s">
        <v>23490</v>
      </c>
      <c r="D29897" s="1" t="str">
        <f>HYPERLINK("https://rhld.insurance.arkansas.gov/NPILookup?Npi=1760739288","1760739288")</f>
        <v>1760739288</v>
      </c>
      <c r="E29897" t="s">
        <v>17792</v>
      </c>
    </row>
    <row r="29898" spans="1:5" x14ac:dyDescent="0.25">
      <c r="A29898" t="s">
        <v>9313</v>
      </c>
      <c r="B29898" t="s">
        <v>9314</v>
      </c>
      <c r="C29898" s="1" t="s">
        <v>23490</v>
      </c>
      <c r="D29898" s="1" t="str">
        <f>HYPERLINK("https://rhld.insurance.arkansas.gov/NPILookup?Npi=1760902902","1760902902")</f>
        <v>1760902902</v>
      </c>
      <c r="E29898" t="s">
        <v>17328</v>
      </c>
    </row>
    <row r="29899" spans="1:5" x14ac:dyDescent="0.25">
      <c r="A29899" t="s">
        <v>9313</v>
      </c>
      <c r="B29899" t="s">
        <v>9314</v>
      </c>
      <c r="C29899" s="1" t="s">
        <v>8427</v>
      </c>
      <c r="D29899" s="1" t="str">
        <f>HYPERLINK("https://rhld.insurance.arkansas.gov/NPILookup?Npi=1770152597","1770152597")</f>
        <v>1770152597</v>
      </c>
      <c r="E29899" t="s">
        <v>23374</v>
      </c>
    </row>
    <row r="29900" spans="1:5" x14ac:dyDescent="0.25">
      <c r="A29900" t="s">
        <v>9313</v>
      </c>
      <c r="B29900" t="s">
        <v>9314</v>
      </c>
      <c r="C29900" s="1" t="s">
        <v>23490</v>
      </c>
      <c r="D29900" s="1" t="str">
        <f>HYPERLINK("https://rhld.insurance.arkansas.gov/NPILookup?Npi=1770274532","1770274532")</f>
        <v>1770274532</v>
      </c>
      <c r="E29900" t="s">
        <v>22781</v>
      </c>
    </row>
    <row r="29901" spans="1:5" x14ac:dyDescent="0.25">
      <c r="A29901" t="s">
        <v>9313</v>
      </c>
      <c r="B29901" t="s">
        <v>9314</v>
      </c>
      <c r="C29901" s="1" t="s">
        <v>23490</v>
      </c>
      <c r="D29901" s="1" t="str">
        <f>HYPERLINK("https://rhld.insurance.arkansas.gov/NPILookup?Npi=1770507642","1770507642")</f>
        <v>1770507642</v>
      </c>
      <c r="E29901" t="s">
        <v>9846</v>
      </c>
    </row>
    <row r="29902" spans="1:5" x14ac:dyDescent="0.25">
      <c r="A29902" t="s">
        <v>9313</v>
      </c>
      <c r="B29902" t="s">
        <v>9314</v>
      </c>
      <c r="C29902" s="1" t="s">
        <v>23490</v>
      </c>
      <c r="D29902" s="1" t="str">
        <f>HYPERLINK("https://rhld.insurance.arkansas.gov/NPILookup?Npi=1770508491","1770508491")</f>
        <v>1770508491</v>
      </c>
      <c r="E29902" t="s">
        <v>9847</v>
      </c>
    </row>
    <row r="29903" spans="1:5" x14ac:dyDescent="0.25">
      <c r="A29903" t="s">
        <v>9313</v>
      </c>
      <c r="B29903" t="s">
        <v>9314</v>
      </c>
      <c r="C29903" s="1" t="s">
        <v>23490</v>
      </c>
      <c r="D29903" s="1" t="str">
        <f>HYPERLINK("https://rhld.insurance.arkansas.gov/NPILookup?Npi=1770550386","1770550386")</f>
        <v>1770550386</v>
      </c>
      <c r="E29903" t="s">
        <v>3177</v>
      </c>
    </row>
    <row r="29904" spans="1:5" x14ac:dyDescent="0.25">
      <c r="A29904" t="s">
        <v>9313</v>
      </c>
      <c r="B29904" t="s">
        <v>9314</v>
      </c>
      <c r="C29904" s="1" t="s">
        <v>23490</v>
      </c>
      <c r="D29904" s="1" t="str">
        <f>HYPERLINK("https://rhld.insurance.arkansas.gov/NPILookup?Npi=1770565921","1770565921")</f>
        <v>1770565921</v>
      </c>
      <c r="E29904" t="s">
        <v>9848</v>
      </c>
    </row>
    <row r="29905" spans="1:5" x14ac:dyDescent="0.25">
      <c r="A29905" t="s">
        <v>9313</v>
      </c>
      <c r="B29905" t="s">
        <v>9314</v>
      </c>
      <c r="C29905" s="1" t="s">
        <v>23490</v>
      </c>
      <c r="D29905" s="1" t="str">
        <f>HYPERLINK("https://rhld.insurance.arkansas.gov/NPILookup?Npi=1770596744","1770596744")</f>
        <v>1770596744</v>
      </c>
      <c r="E29905" t="s">
        <v>9849</v>
      </c>
    </row>
    <row r="29906" spans="1:5" x14ac:dyDescent="0.25">
      <c r="A29906" t="s">
        <v>9313</v>
      </c>
      <c r="B29906" t="s">
        <v>9314</v>
      </c>
      <c r="C29906" s="1" t="s">
        <v>23490</v>
      </c>
      <c r="D29906" s="1" t="str">
        <f>HYPERLINK("https://rhld.insurance.arkansas.gov/NPILookup?Npi=1770607137","1770607137")</f>
        <v>1770607137</v>
      </c>
      <c r="E29906" t="s">
        <v>9850</v>
      </c>
    </row>
    <row r="29907" spans="1:5" x14ac:dyDescent="0.25">
      <c r="A29907" t="s">
        <v>9313</v>
      </c>
      <c r="B29907" t="s">
        <v>9314</v>
      </c>
      <c r="C29907" s="1" t="s">
        <v>23490</v>
      </c>
      <c r="D29907" s="1" t="str">
        <f>HYPERLINK("https://rhld.insurance.arkansas.gov/NPILookup?Npi=1770616450","1770616450")</f>
        <v>1770616450</v>
      </c>
      <c r="E29907" t="s">
        <v>12542</v>
      </c>
    </row>
    <row r="29908" spans="1:5" x14ac:dyDescent="0.25">
      <c r="A29908" t="s">
        <v>9313</v>
      </c>
      <c r="B29908" t="s">
        <v>9314</v>
      </c>
      <c r="C29908" s="1" t="s">
        <v>23490</v>
      </c>
      <c r="D29908" s="1" t="str">
        <f>HYPERLINK("https://rhld.insurance.arkansas.gov/NPILookup?Npi=1770630501","1770630501")</f>
        <v>1770630501</v>
      </c>
      <c r="E29908" t="s">
        <v>9851</v>
      </c>
    </row>
    <row r="29909" spans="1:5" x14ac:dyDescent="0.25">
      <c r="A29909" t="s">
        <v>9313</v>
      </c>
      <c r="B29909" t="s">
        <v>9314</v>
      </c>
      <c r="C29909" s="1" t="s">
        <v>23490</v>
      </c>
      <c r="D29909" s="1" t="str">
        <f>HYPERLINK("https://rhld.insurance.arkansas.gov/NPILookup?Npi=1770653347","1770653347")</f>
        <v>1770653347</v>
      </c>
      <c r="E29909" t="s">
        <v>12543</v>
      </c>
    </row>
    <row r="29910" spans="1:5" x14ac:dyDescent="0.25">
      <c r="A29910" t="s">
        <v>9313</v>
      </c>
      <c r="B29910" t="s">
        <v>9314</v>
      </c>
      <c r="C29910" s="1" t="s">
        <v>23490</v>
      </c>
      <c r="D29910" s="1" t="str">
        <f>HYPERLINK("https://rhld.insurance.arkansas.gov/NPILookup?Npi=1770655185","1770655185")</f>
        <v>1770655185</v>
      </c>
      <c r="E29910" t="s">
        <v>9852</v>
      </c>
    </row>
    <row r="29911" spans="1:5" x14ac:dyDescent="0.25">
      <c r="A29911" t="s">
        <v>9313</v>
      </c>
      <c r="B29911" t="s">
        <v>9314</v>
      </c>
      <c r="C29911" s="1" t="s">
        <v>23490</v>
      </c>
      <c r="D29911" s="1" t="str">
        <f>HYPERLINK("https://rhld.insurance.arkansas.gov/NPILookup?Npi=1770691990","1770691990")</f>
        <v>1770691990</v>
      </c>
      <c r="E29911" t="s">
        <v>9853</v>
      </c>
    </row>
    <row r="29912" spans="1:5" x14ac:dyDescent="0.25">
      <c r="A29912" t="s">
        <v>9313</v>
      </c>
      <c r="B29912" t="s">
        <v>9314</v>
      </c>
      <c r="C29912" s="1" t="s">
        <v>23490</v>
      </c>
      <c r="D29912" s="1" t="str">
        <f>HYPERLINK("https://rhld.insurance.arkansas.gov/NPILookup?Npi=1770755118","1770755118")</f>
        <v>1770755118</v>
      </c>
      <c r="E29912" t="s">
        <v>9854</v>
      </c>
    </row>
    <row r="29913" spans="1:5" x14ac:dyDescent="0.25">
      <c r="A29913" t="s">
        <v>9313</v>
      </c>
      <c r="B29913" t="s">
        <v>9314</v>
      </c>
      <c r="C29913" s="1" t="s">
        <v>23490</v>
      </c>
      <c r="D29913" s="1" t="str">
        <f>HYPERLINK("https://rhld.insurance.arkansas.gov/NPILookup?Npi=1770766388","1770766388")</f>
        <v>1770766388</v>
      </c>
      <c r="E29913" t="s">
        <v>9855</v>
      </c>
    </row>
    <row r="29914" spans="1:5" x14ac:dyDescent="0.25">
      <c r="A29914" t="s">
        <v>9313</v>
      </c>
      <c r="B29914" t="s">
        <v>9314</v>
      </c>
      <c r="C29914" s="1" t="s">
        <v>23490</v>
      </c>
      <c r="D29914" s="1" t="str">
        <f>HYPERLINK("https://rhld.insurance.arkansas.gov/NPILookup?Npi=1770795254","1770795254")</f>
        <v>1770795254</v>
      </c>
      <c r="E29914" t="s">
        <v>9856</v>
      </c>
    </row>
    <row r="29915" spans="1:5" x14ac:dyDescent="0.25">
      <c r="A29915" t="s">
        <v>9313</v>
      </c>
      <c r="B29915" t="s">
        <v>9314</v>
      </c>
      <c r="C29915" s="1" t="s">
        <v>23490</v>
      </c>
      <c r="D29915" s="1" t="str">
        <f>HYPERLINK("https://rhld.insurance.arkansas.gov/NPILookup?Npi=1770928442","1770928442")</f>
        <v>1770928442</v>
      </c>
      <c r="E29915" t="s">
        <v>9857</v>
      </c>
    </row>
    <row r="29916" spans="1:5" x14ac:dyDescent="0.25">
      <c r="A29916" t="s">
        <v>9313</v>
      </c>
      <c r="B29916" t="s">
        <v>9314</v>
      </c>
      <c r="C29916" s="1" t="s">
        <v>23490</v>
      </c>
      <c r="D29916" s="1" t="str">
        <f>HYPERLINK("https://rhld.insurance.arkansas.gov/NPILookup?Npi=1770932808","1770932808")</f>
        <v>1770932808</v>
      </c>
      <c r="E29916" t="s">
        <v>5499</v>
      </c>
    </row>
    <row r="29917" spans="1:5" x14ac:dyDescent="0.25">
      <c r="A29917" t="s">
        <v>9313</v>
      </c>
      <c r="B29917" t="s">
        <v>9314</v>
      </c>
      <c r="C29917" s="1" t="s">
        <v>23490</v>
      </c>
      <c r="D29917" s="1" t="str">
        <f>HYPERLINK("https://rhld.insurance.arkansas.gov/NPILookup?Npi=1780034173","1780034173")</f>
        <v>1780034173</v>
      </c>
      <c r="E29917" t="s">
        <v>9858</v>
      </c>
    </row>
    <row r="29918" spans="1:5" x14ac:dyDescent="0.25">
      <c r="A29918" t="s">
        <v>9313</v>
      </c>
      <c r="B29918" t="s">
        <v>9314</v>
      </c>
      <c r="C29918" s="1" t="s">
        <v>23490</v>
      </c>
      <c r="D29918" s="1" t="str">
        <f>HYPERLINK("https://rhld.insurance.arkansas.gov/NPILookup?Npi=1780719088","1780719088")</f>
        <v>1780719088</v>
      </c>
      <c r="E29918" t="s">
        <v>12544</v>
      </c>
    </row>
    <row r="29919" spans="1:5" x14ac:dyDescent="0.25">
      <c r="A29919" t="s">
        <v>9313</v>
      </c>
      <c r="B29919" t="s">
        <v>9314</v>
      </c>
      <c r="C29919" s="1" t="s">
        <v>23490</v>
      </c>
      <c r="D29919" s="1" t="str">
        <f>HYPERLINK("https://rhld.insurance.arkansas.gov/NPILookup?Npi=1780754036","1780754036")</f>
        <v>1780754036</v>
      </c>
      <c r="E29919" t="s">
        <v>9860</v>
      </c>
    </row>
    <row r="29920" spans="1:5" x14ac:dyDescent="0.25">
      <c r="A29920" t="s">
        <v>9313</v>
      </c>
      <c r="B29920" t="s">
        <v>9314</v>
      </c>
      <c r="C29920" s="1" t="s">
        <v>23490</v>
      </c>
      <c r="D29920" s="1" t="str">
        <f>HYPERLINK("https://rhld.insurance.arkansas.gov/NPILookup?Npi=1780757021","1780757021")</f>
        <v>1780757021</v>
      </c>
      <c r="E29920" t="s">
        <v>12545</v>
      </c>
    </row>
    <row r="29921" spans="1:5" x14ac:dyDescent="0.25">
      <c r="A29921" t="s">
        <v>9313</v>
      </c>
      <c r="B29921" t="s">
        <v>9314</v>
      </c>
      <c r="C29921" s="1" t="s">
        <v>23490</v>
      </c>
      <c r="D29921" s="1" t="str">
        <f>HYPERLINK("https://rhld.insurance.arkansas.gov/NPILookup?Npi=1780769844","1780769844")</f>
        <v>1780769844</v>
      </c>
      <c r="E29921" t="s">
        <v>9861</v>
      </c>
    </row>
    <row r="29922" spans="1:5" x14ac:dyDescent="0.25">
      <c r="A29922" t="s">
        <v>9313</v>
      </c>
      <c r="B29922" t="s">
        <v>9314</v>
      </c>
      <c r="C29922" s="1" t="s">
        <v>23490</v>
      </c>
      <c r="D29922" s="1" t="str">
        <f>HYPERLINK("https://rhld.insurance.arkansas.gov/NPILookup?Npi=1780887364","1780887364")</f>
        <v>1780887364</v>
      </c>
      <c r="E29922" t="s">
        <v>12546</v>
      </c>
    </row>
    <row r="29923" spans="1:5" x14ac:dyDescent="0.25">
      <c r="A29923" t="s">
        <v>9313</v>
      </c>
      <c r="B29923" t="s">
        <v>9314</v>
      </c>
      <c r="C29923" s="1" t="s">
        <v>23490</v>
      </c>
      <c r="D29923" s="1" t="str">
        <f>HYPERLINK("https://rhld.insurance.arkansas.gov/NPILookup?Npi=1780941757","1780941757")</f>
        <v>1780941757</v>
      </c>
      <c r="E29923" t="s">
        <v>17329</v>
      </c>
    </row>
    <row r="29924" spans="1:5" x14ac:dyDescent="0.25">
      <c r="A29924" t="s">
        <v>9313</v>
      </c>
      <c r="B29924" t="s">
        <v>9314</v>
      </c>
      <c r="C29924" s="1" t="s">
        <v>23490</v>
      </c>
      <c r="D29924" s="1" t="str">
        <f>HYPERLINK("https://rhld.insurance.arkansas.gov/NPILookup?Npi=1780971382","1780971382")</f>
        <v>1780971382</v>
      </c>
      <c r="E29924" t="s">
        <v>12547</v>
      </c>
    </row>
    <row r="29925" spans="1:5" x14ac:dyDescent="0.25">
      <c r="A29925" t="s">
        <v>9313</v>
      </c>
      <c r="B29925" t="s">
        <v>9314</v>
      </c>
      <c r="C29925" s="1" t="s">
        <v>23490</v>
      </c>
      <c r="D29925" s="1" t="str">
        <f>HYPERLINK("https://rhld.insurance.arkansas.gov/NPILookup?Npi=1780991455","1780991455")</f>
        <v>1780991455</v>
      </c>
      <c r="E29925" t="s">
        <v>13301</v>
      </c>
    </row>
    <row r="29926" spans="1:5" x14ac:dyDescent="0.25">
      <c r="A29926" t="s">
        <v>9313</v>
      </c>
      <c r="B29926" t="s">
        <v>9314</v>
      </c>
      <c r="C29926" s="1" t="s">
        <v>23490</v>
      </c>
      <c r="D29926" s="1" t="str">
        <f>HYPERLINK("https://rhld.insurance.arkansas.gov/NPILookup?Npi=1790018232","1790018232")</f>
        <v>1790018232</v>
      </c>
      <c r="E29926" t="s">
        <v>12548</v>
      </c>
    </row>
    <row r="29927" spans="1:5" x14ac:dyDescent="0.25">
      <c r="A29927" t="s">
        <v>9313</v>
      </c>
      <c r="B29927" t="s">
        <v>9314</v>
      </c>
      <c r="C29927" s="1" t="s">
        <v>23490</v>
      </c>
      <c r="D29927" s="1" t="str">
        <f>HYPERLINK("https://rhld.insurance.arkansas.gov/NPILookup?Npi=1790214468","1790214468")</f>
        <v>1790214468</v>
      </c>
      <c r="E29927" t="s">
        <v>13302</v>
      </c>
    </row>
    <row r="29928" spans="1:5" x14ac:dyDescent="0.25">
      <c r="A29928" t="s">
        <v>9313</v>
      </c>
      <c r="B29928" t="s">
        <v>9314</v>
      </c>
      <c r="C29928" s="1" t="s">
        <v>23490</v>
      </c>
      <c r="D29928" s="1" t="str">
        <f>HYPERLINK("https://rhld.insurance.arkansas.gov/NPILookup?Npi=1790239283","1790239283")</f>
        <v>1790239283</v>
      </c>
      <c r="E29928" t="s">
        <v>13303</v>
      </c>
    </row>
    <row r="29929" spans="1:5" x14ac:dyDescent="0.25">
      <c r="A29929" t="s">
        <v>9313</v>
      </c>
      <c r="B29929" t="s">
        <v>9314</v>
      </c>
      <c r="C29929" s="1" t="s">
        <v>23490</v>
      </c>
      <c r="D29929" s="1" t="str">
        <f>HYPERLINK("https://rhld.insurance.arkansas.gov/NPILookup?Npi=1790356095","1790356095")</f>
        <v>1790356095</v>
      </c>
      <c r="E29929" t="s">
        <v>19202</v>
      </c>
    </row>
    <row r="29930" spans="1:5" x14ac:dyDescent="0.25">
      <c r="A29930" t="s">
        <v>9313</v>
      </c>
      <c r="B29930" t="s">
        <v>9314</v>
      </c>
      <c r="C29930" s="1" t="s">
        <v>23490</v>
      </c>
      <c r="D29930" s="1" t="str">
        <f>HYPERLINK("https://rhld.insurance.arkansas.gov/NPILookup?Npi=1790365427","1790365427")</f>
        <v>1790365427</v>
      </c>
      <c r="E29930" t="s">
        <v>20839</v>
      </c>
    </row>
    <row r="29931" spans="1:5" x14ac:dyDescent="0.25">
      <c r="A29931" t="s">
        <v>9313</v>
      </c>
      <c r="B29931" t="s">
        <v>9314</v>
      </c>
      <c r="C29931" s="1" t="s">
        <v>8427</v>
      </c>
      <c r="D29931" s="1" t="str">
        <f>HYPERLINK("https://rhld.insurance.arkansas.gov/NPILookup?Npi=1790463339","1790463339")</f>
        <v>1790463339</v>
      </c>
      <c r="E29931" t="s">
        <v>23375</v>
      </c>
    </row>
    <row r="29932" spans="1:5" x14ac:dyDescent="0.25">
      <c r="A29932" t="s">
        <v>9313</v>
      </c>
      <c r="B29932" t="s">
        <v>9314</v>
      </c>
      <c r="C29932" s="1" t="s">
        <v>23490</v>
      </c>
      <c r="D29932" s="1" t="str">
        <f>HYPERLINK("https://rhld.insurance.arkansas.gov/NPILookup?Npi=1790828499","1790828499")</f>
        <v>1790828499</v>
      </c>
      <c r="E29932" t="s">
        <v>9862</v>
      </c>
    </row>
    <row r="29933" spans="1:5" x14ac:dyDescent="0.25">
      <c r="A29933" t="s">
        <v>9313</v>
      </c>
      <c r="B29933" t="s">
        <v>9314</v>
      </c>
      <c r="C29933" s="1" t="s">
        <v>23490</v>
      </c>
      <c r="D29933" s="1" t="str">
        <f>HYPERLINK("https://rhld.insurance.arkansas.gov/NPILookup?Npi=1790848497","1790848497")</f>
        <v>1790848497</v>
      </c>
      <c r="E29933" t="s">
        <v>9863</v>
      </c>
    </row>
    <row r="29934" spans="1:5" x14ac:dyDescent="0.25">
      <c r="A29934" t="s">
        <v>9313</v>
      </c>
      <c r="B29934" t="s">
        <v>9314</v>
      </c>
      <c r="C29934" s="1" t="s">
        <v>23490</v>
      </c>
      <c r="D29934" s="1" t="str">
        <f>HYPERLINK("https://rhld.insurance.arkansas.gov/NPILookup?Npi=1790857738","1790857738")</f>
        <v>1790857738</v>
      </c>
      <c r="E29934" t="s">
        <v>12549</v>
      </c>
    </row>
    <row r="29935" spans="1:5" x14ac:dyDescent="0.25">
      <c r="A29935" t="s">
        <v>9313</v>
      </c>
      <c r="B29935" t="s">
        <v>9314</v>
      </c>
      <c r="C29935" s="1" t="s">
        <v>23490</v>
      </c>
      <c r="D29935" s="1" t="str">
        <f>HYPERLINK("https://rhld.insurance.arkansas.gov/NPILookup?Npi=1790893337","1790893337")</f>
        <v>1790893337</v>
      </c>
      <c r="E29935" t="s">
        <v>5095</v>
      </c>
    </row>
    <row r="29936" spans="1:5" x14ac:dyDescent="0.25">
      <c r="A29936" t="s">
        <v>9313</v>
      </c>
      <c r="B29936" t="s">
        <v>9314</v>
      </c>
      <c r="C29936" s="1" t="s">
        <v>23490</v>
      </c>
      <c r="D29936" s="1" t="str">
        <f>HYPERLINK("https://rhld.insurance.arkansas.gov/NPILookup?Npi=1790899912","1790899912")</f>
        <v>1790899912</v>
      </c>
      <c r="E29936" t="s">
        <v>12550</v>
      </c>
    </row>
    <row r="29937" spans="1:5" x14ac:dyDescent="0.25">
      <c r="A29937" t="s">
        <v>9313</v>
      </c>
      <c r="B29937" t="s">
        <v>9314</v>
      </c>
      <c r="C29937" s="1" t="s">
        <v>23490</v>
      </c>
      <c r="D29937" s="1" t="str">
        <f>HYPERLINK("https://rhld.insurance.arkansas.gov/NPILookup?Npi=1790954956","1790954956")</f>
        <v>1790954956</v>
      </c>
      <c r="E29937" t="s">
        <v>12551</v>
      </c>
    </row>
    <row r="29938" spans="1:5" x14ac:dyDescent="0.25">
      <c r="A29938" t="s">
        <v>9313</v>
      </c>
      <c r="B29938" t="s">
        <v>9314</v>
      </c>
      <c r="C29938" s="1" t="s">
        <v>23490</v>
      </c>
      <c r="D29938" s="1" t="str">
        <f>HYPERLINK("https://rhld.insurance.arkansas.gov/NPILookup?Npi=1801001813","1801001813")</f>
        <v>1801001813</v>
      </c>
      <c r="E29938" t="s">
        <v>12552</v>
      </c>
    </row>
    <row r="29939" spans="1:5" x14ac:dyDescent="0.25">
      <c r="A29939" t="s">
        <v>9313</v>
      </c>
      <c r="B29939" t="s">
        <v>9314</v>
      </c>
      <c r="C29939" s="1" t="s">
        <v>23490</v>
      </c>
      <c r="D29939" s="1" t="str">
        <f>HYPERLINK("https://rhld.insurance.arkansas.gov/NPILookup?Npi=1801056999","1801056999")</f>
        <v>1801056999</v>
      </c>
      <c r="E29939" t="s">
        <v>9864</v>
      </c>
    </row>
    <row r="29940" spans="1:5" x14ac:dyDescent="0.25">
      <c r="A29940" t="s">
        <v>9313</v>
      </c>
      <c r="B29940" t="s">
        <v>9314</v>
      </c>
      <c r="C29940" s="1" t="s">
        <v>23490</v>
      </c>
      <c r="D29940" s="1" t="str">
        <f>HYPERLINK("https://rhld.insurance.arkansas.gov/NPILookup?Npi=1801380258","1801380258")</f>
        <v>1801380258</v>
      </c>
      <c r="E29940" t="s">
        <v>18606</v>
      </c>
    </row>
    <row r="29941" spans="1:5" x14ac:dyDescent="0.25">
      <c r="A29941" t="s">
        <v>9313</v>
      </c>
      <c r="B29941" t="s">
        <v>9314</v>
      </c>
      <c r="C29941" s="1" t="s">
        <v>23490</v>
      </c>
      <c r="D29941" s="1" t="str">
        <f>HYPERLINK("https://rhld.insurance.arkansas.gov/NPILookup?Npi=1801529821","1801529821")</f>
        <v>1801529821</v>
      </c>
      <c r="E29941" t="s">
        <v>22782</v>
      </c>
    </row>
    <row r="29942" spans="1:5" x14ac:dyDescent="0.25">
      <c r="A29942" t="s">
        <v>9313</v>
      </c>
      <c r="B29942" t="s">
        <v>9314</v>
      </c>
      <c r="C29942" s="1" t="s">
        <v>8427</v>
      </c>
      <c r="D29942" s="1" t="str">
        <f>HYPERLINK("https://rhld.insurance.arkansas.gov/NPILookup?Npi=1801575485","1801575485")</f>
        <v>1801575485</v>
      </c>
      <c r="E29942" t="s">
        <v>23376</v>
      </c>
    </row>
    <row r="29943" spans="1:5" x14ac:dyDescent="0.25">
      <c r="A29943" t="s">
        <v>9313</v>
      </c>
      <c r="B29943" t="s">
        <v>9314</v>
      </c>
      <c r="C29943" s="1" t="s">
        <v>23490</v>
      </c>
      <c r="D29943" s="1" t="str">
        <f>HYPERLINK("https://rhld.insurance.arkansas.gov/NPILookup?Npi=1801596184","1801596184")</f>
        <v>1801596184</v>
      </c>
      <c r="E29943" t="s">
        <v>22783</v>
      </c>
    </row>
    <row r="29944" spans="1:5" x14ac:dyDescent="0.25">
      <c r="A29944" t="s">
        <v>9313</v>
      </c>
      <c r="B29944" t="s">
        <v>9314</v>
      </c>
      <c r="C29944" s="1" t="s">
        <v>23490</v>
      </c>
      <c r="D29944" s="1" t="str">
        <f>HYPERLINK("https://rhld.insurance.arkansas.gov/NPILookup?Npi=1801800578","1801800578")</f>
        <v>1801800578</v>
      </c>
      <c r="E29944" t="s">
        <v>9866</v>
      </c>
    </row>
    <row r="29945" spans="1:5" x14ac:dyDescent="0.25">
      <c r="A29945" t="s">
        <v>9313</v>
      </c>
      <c r="B29945" t="s">
        <v>9314</v>
      </c>
      <c r="C29945" s="1" t="s">
        <v>23490</v>
      </c>
      <c r="D29945" s="1" t="str">
        <f>HYPERLINK("https://rhld.insurance.arkansas.gov/NPILookup?Npi=1801906250","1801906250")</f>
        <v>1801906250</v>
      </c>
      <c r="E29945" t="s">
        <v>9868</v>
      </c>
    </row>
    <row r="29946" spans="1:5" x14ac:dyDescent="0.25">
      <c r="A29946" t="s">
        <v>9313</v>
      </c>
      <c r="B29946" t="s">
        <v>9314</v>
      </c>
      <c r="C29946" s="1" t="s">
        <v>23490</v>
      </c>
      <c r="D29946" s="1" t="str">
        <f>HYPERLINK("https://rhld.insurance.arkansas.gov/NPILookup?Npi=1801924345","1801924345")</f>
        <v>1801924345</v>
      </c>
      <c r="E29946" t="s">
        <v>9869</v>
      </c>
    </row>
    <row r="29947" spans="1:5" x14ac:dyDescent="0.25">
      <c r="A29947" t="s">
        <v>9313</v>
      </c>
      <c r="B29947" t="s">
        <v>9314</v>
      </c>
      <c r="C29947" s="1" t="s">
        <v>23490</v>
      </c>
      <c r="D29947" s="1" t="str">
        <f>HYPERLINK("https://rhld.insurance.arkansas.gov/NPILookup?Npi=1801932173","1801932173")</f>
        <v>1801932173</v>
      </c>
      <c r="E29947" t="s">
        <v>22784</v>
      </c>
    </row>
    <row r="29948" spans="1:5" x14ac:dyDescent="0.25">
      <c r="A29948" t="s">
        <v>9313</v>
      </c>
      <c r="B29948" t="s">
        <v>9314</v>
      </c>
      <c r="C29948" s="1" t="s">
        <v>23490</v>
      </c>
      <c r="D29948" s="1" t="str">
        <f>HYPERLINK("https://rhld.insurance.arkansas.gov/NPILookup?Npi=1801940382","1801940382")</f>
        <v>1801940382</v>
      </c>
      <c r="E29948" t="s">
        <v>12554</v>
      </c>
    </row>
    <row r="29949" spans="1:5" x14ac:dyDescent="0.25">
      <c r="A29949" t="s">
        <v>9313</v>
      </c>
      <c r="B29949" t="s">
        <v>9314</v>
      </c>
      <c r="C29949" s="1" t="s">
        <v>23490</v>
      </c>
      <c r="D29949" s="1" t="str">
        <f>HYPERLINK("https://rhld.insurance.arkansas.gov/NPILookup?Npi=1801958970","1801958970")</f>
        <v>1801958970</v>
      </c>
      <c r="E29949" t="s">
        <v>9870</v>
      </c>
    </row>
    <row r="29950" spans="1:5" x14ac:dyDescent="0.25">
      <c r="A29950" t="s">
        <v>9313</v>
      </c>
      <c r="B29950" t="s">
        <v>9314</v>
      </c>
      <c r="C29950" s="1" t="s">
        <v>23490</v>
      </c>
      <c r="D29950" s="1" t="str">
        <f>HYPERLINK("https://rhld.insurance.arkansas.gov/NPILookup?Npi=1801962543","1801962543")</f>
        <v>1801962543</v>
      </c>
      <c r="E29950" t="s">
        <v>13304</v>
      </c>
    </row>
    <row r="29951" spans="1:5" x14ac:dyDescent="0.25">
      <c r="A29951" t="s">
        <v>9313</v>
      </c>
      <c r="B29951" t="s">
        <v>9314</v>
      </c>
      <c r="C29951" s="1" t="s">
        <v>23490</v>
      </c>
      <c r="D29951" s="1" t="str">
        <f>HYPERLINK("https://rhld.insurance.arkansas.gov/NPILookup?Npi=1801984216","1801984216")</f>
        <v>1801984216</v>
      </c>
      <c r="E29951" t="s">
        <v>1861</v>
      </c>
    </row>
    <row r="29952" spans="1:5" x14ac:dyDescent="0.25">
      <c r="A29952" t="s">
        <v>9313</v>
      </c>
      <c r="B29952" t="s">
        <v>9314</v>
      </c>
      <c r="C29952" s="1" t="s">
        <v>23490</v>
      </c>
      <c r="D29952" s="1" t="str">
        <f>HYPERLINK("https://rhld.insurance.arkansas.gov/NPILookup?Npi=1811003221","1811003221")</f>
        <v>1811003221</v>
      </c>
      <c r="E29952" t="s">
        <v>12555</v>
      </c>
    </row>
    <row r="29953" spans="1:5" x14ac:dyDescent="0.25">
      <c r="A29953" t="s">
        <v>9313</v>
      </c>
      <c r="B29953" t="s">
        <v>9314</v>
      </c>
      <c r="C29953" s="1" t="s">
        <v>23490</v>
      </c>
      <c r="D29953" s="1" t="str">
        <f>HYPERLINK("https://rhld.insurance.arkansas.gov/NPILookup?Npi=1811022692","1811022692")</f>
        <v>1811022692</v>
      </c>
      <c r="E29953" t="s">
        <v>9871</v>
      </c>
    </row>
    <row r="29954" spans="1:5" x14ac:dyDescent="0.25">
      <c r="A29954" t="s">
        <v>9313</v>
      </c>
      <c r="B29954" t="s">
        <v>9314</v>
      </c>
      <c r="C29954" s="1" t="s">
        <v>23490</v>
      </c>
      <c r="D29954" s="1" t="str">
        <f>HYPERLINK("https://rhld.insurance.arkansas.gov/NPILookup?Npi=1811043714","1811043714")</f>
        <v>1811043714</v>
      </c>
      <c r="E29954" t="s">
        <v>12556</v>
      </c>
    </row>
    <row r="29955" spans="1:5" x14ac:dyDescent="0.25">
      <c r="A29955" t="s">
        <v>9313</v>
      </c>
      <c r="B29955" t="s">
        <v>9314</v>
      </c>
      <c r="C29955" s="1" t="s">
        <v>23490</v>
      </c>
      <c r="D29955" s="1" t="str">
        <f>HYPERLINK("https://rhld.insurance.arkansas.gov/NPILookup?Npi=1811047368","1811047368")</f>
        <v>1811047368</v>
      </c>
      <c r="E29955" t="s">
        <v>12557</v>
      </c>
    </row>
    <row r="29956" spans="1:5" x14ac:dyDescent="0.25">
      <c r="A29956" t="s">
        <v>9313</v>
      </c>
      <c r="B29956" t="s">
        <v>9314</v>
      </c>
      <c r="C29956" s="1" t="s">
        <v>23490</v>
      </c>
      <c r="D29956" s="1" t="str">
        <f>HYPERLINK("https://rhld.insurance.arkansas.gov/NPILookup?Npi=1811058506","1811058506")</f>
        <v>1811058506</v>
      </c>
      <c r="E29956" t="s">
        <v>1554</v>
      </c>
    </row>
    <row r="29957" spans="1:5" x14ac:dyDescent="0.25">
      <c r="A29957" t="s">
        <v>9313</v>
      </c>
      <c r="B29957" t="s">
        <v>9314</v>
      </c>
      <c r="C29957" s="1" t="s">
        <v>23490</v>
      </c>
      <c r="D29957" s="1" t="str">
        <f>HYPERLINK("https://rhld.insurance.arkansas.gov/NPILookup?Npi=1811096126","1811096126")</f>
        <v>1811096126</v>
      </c>
      <c r="E29957" t="s">
        <v>9872</v>
      </c>
    </row>
    <row r="29958" spans="1:5" x14ac:dyDescent="0.25">
      <c r="A29958" t="s">
        <v>9313</v>
      </c>
      <c r="B29958" t="s">
        <v>9314</v>
      </c>
      <c r="C29958" s="1" t="s">
        <v>23490</v>
      </c>
      <c r="D29958" s="1" t="str">
        <f>HYPERLINK("https://rhld.insurance.arkansas.gov/NPILookup?Npi=1811185879","1811185879")</f>
        <v>1811185879</v>
      </c>
      <c r="E29958" t="s">
        <v>12558</v>
      </c>
    </row>
    <row r="29959" spans="1:5" x14ac:dyDescent="0.25">
      <c r="A29959" t="s">
        <v>9313</v>
      </c>
      <c r="B29959" t="s">
        <v>9314</v>
      </c>
      <c r="C29959" s="1" t="s">
        <v>23490</v>
      </c>
      <c r="D29959" s="1" t="str">
        <f>HYPERLINK("https://rhld.insurance.arkansas.gov/NPILookup?Npi=1811329329","1811329329")</f>
        <v>1811329329</v>
      </c>
      <c r="E29959" t="s">
        <v>9873</v>
      </c>
    </row>
    <row r="29960" spans="1:5" x14ac:dyDescent="0.25">
      <c r="A29960" t="s">
        <v>9313</v>
      </c>
      <c r="B29960" t="s">
        <v>9314</v>
      </c>
      <c r="C29960" s="1" t="s">
        <v>23490</v>
      </c>
      <c r="D29960" s="1" t="str">
        <f>HYPERLINK("https://rhld.insurance.arkansas.gov/NPILookup?Npi=1811336704","1811336704")</f>
        <v>1811336704</v>
      </c>
      <c r="E29960" t="s">
        <v>12559</v>
      </c>
    </row>
    <row r="29961" spans="1:5" x14ac:dyDescent="0.25">
      <c r="A29961" t="s">
        <v>9313</v>
      </c>
      <c r="B29961" t="s">
        <v>9314</v>
      </c>
      <c r="C29961" s="1" t="s">
        <v>23490</v>
      </c>
      <c r="D29961" s="1" t="str">
        <f>HYPERLINK("https://rhld.insurance.arkansas.gov/NPILookup?Npi=1811626898","1811626898")</f>
        <v>1811626898</v>
      </c>
      <c r="E29961" t="s">
        <v>21343</v>
      </c>
    </row>
    <row r="29962" spans="1:5" x14ac:dyDescent="0.25">
      <c r="A29962" t="s">
        <v>9313</v>
      </c>
      <c r="B29962" t="s">
        <v>9314</v>
      </c>
      <c r="C29962" s="1" t="s">
        <v>23490</v>
      </c>
      <c r="D29962" s="1" t="str">
        <f>HYPERLINK("https://rhld.insurance.arkansas.gov/NPILookup?Npi=1811911100","1811911100")</f>
        <v>1811911100</v>
      </c>
      <c r="E29962" t="s">
        <v>9874</v>
      </c>
    </row>
    <row r="29963" spans="1:5" x14ac:dyDescent="0.25">
      <c r="A29963" t="s">
        <v>9313</v>
      </c>
      <c r="B29963" t="s">
        <v>9314</v>
      </c>
      <c r="C29963" s="1" t="s">
        <v>23490</v>
      </c>
      <c r="D29963" s="1" t="str">
        <f>HYPERLINK("https://rhld.insurance.arkansas.gov/NPILookup?Npi=1811971161","1811971161")</f>
        <v>1811971161</v>
      </c>
      <c r="E29963" t="s">
        <v>12560</v>
      </c>
    </row>
    <row r="29964" spans="1:5" x14ac:dyDescent="0.25">
      <c r="A29964" t="s">
        <v>9313</v>
      </c>
      <c r="B29964" t="s">
        <v>9314</v>
      </c>
      <c r="C29964" s="1" t="s">
        <v>23490</v>
      </c>
      <c r="D29964" s="1" t="str">
        <f>HYPERLINK("https://rhld.insurance.arkansas.gov/NPILookup?Npi=1811987258","1811987258")</f>
        <v>1811987258</v>
      </c>
      <c r="E29964" t="s">
        <v>12561</v>
      </c>
    </row>
    <row r="29965" spans="1:5" x14ac:dyDescent="0.25">
      <c r="A29965" t="s">
        <v>9313</v>
      </c>
      <c r="B29965" t="s">
        <v>9314</v>
      </c>
      <c r="C29965" s="1" t="s">
        <v>23490</v>
      </c>
      <c r="D29965" s="1" t="str">
        <f>HYPERLINK("https://rhld.insurance.arkansas.gov/NPILookup?Npi=1821010018","1821010018")</f>
        <v>1821010018</v>
      </c>
      <c r="E29965" t="s">
        <v>9876</v>
      </c>
    </row>
    <row r="29966" spans="1:5" x14ac:dyDescent="0.25">
      <c r="A29966" t="s">
        <v>9313</v>
      </c>
      <c r="B29966" t="s">
        <v>9314</v>
      </c>
      <c r="C29966" s="1" t="s">
        <v>23490</v>
      </c>
      <c r="D29966" s="1" t="str">
        <f>HYPERLINK("https://rhld.insurance.arkansas.gov/NPILookup?Npi=1821062696","1821062696")</f>
        <v>1821062696</v>
      </c>
      <c r="E29966" t="s">
        <v>12562</v>
      </c>
    </row>
    <row r="29967" spans="1:5" x14ac:dyDescent="0.25">
      <c r="A29967" t="s">
        <v>9313</v>
      </c>
      <c r="B29967" t="s">
        <v>9314</v>
      </c>
      <c r="C29967" s="1" t="s">
        <v>23490</v>
      </c>
      <c r="D29967" s="1" t="str">
        <f>HYPERLINK("https://rhld.insurance.arkansas.gov/NPILookup?Npi=1821123589","1821123589")</f>
        <v>1821123589</v>
      </c>
      <c r="E29967" t="s">
        <v>9878</v>
      </c>
    </row>
    <row r="29968" spans="1:5" x14ac:dyDescent="0.25">
      <c r="A29968" t="s">
        <v>9313</v>
      </c>
      <c r="B29968" t="s">
        <v>9314</v>
      </c>
      <c r="C29968" s="1" t="s">
        <v>23490</v>
      </c>
      <c r="D29968" s="1" t="str">
        <f>HYPERLINK("https://rhld.insurance.arkansas.gov/NPILookup?Npi=1821131285","1821131285")</f>
        <v>1821131285</v>
      </c>
      <c r="E29968" t="s">
        <v>9879</v>
      </c>
    </row>
    <row r="29969" spans="1:5" x14ac:dyDescent="0.25">
      <c r="A29969" t="s">
        <v>9313</v>
      </c>
      <c r="B29969" t="s">
        <v>9314</v>
      </c>
      <c r="C29969" s="1" t="s">
        <v>23490</v>
      </c>
      <c r="D29969" s="1" t="str">
        <f>HYPERLINK("https://rhld.insurance.arkansas.gov/NPILookup?Npi=1821149337","1821149337")</f>
        <v>1821149337</v>
      </c>
      <c r="E29969" t="s">
        <v>9880</v>
      </c>
    </row>
    <row r="29970" spans="1:5" x14ac:dyDescent="0.25">
      <c r="A29970" t="s">
        <v>9313</v>
      </c>
      <c r="B29970" t="s">
        <v>9314</v>
      </c>
      <c r="C29970" s="1" t="s">
        <v>23490</v>
      </c>
      <c r="D29970" s="1" t="str">
        <f>HYPERLINK("https://rhld.insurance.arkansas.gov/NPILookup?Npi=1821150251","1821150251")</f>
        <v>1821150251</v>
      </c>
      <c r="E29970" t="s">
        <v>9881</v>
      </c>
    </row>
    <row r="29971" spans="1:5" x14ac:dyDescent="0.25">
      <c r="A29971" t="s">
        <v>9313</v>
      </c>
      <c r="B29971" t="s">
        <v>9314</v>
      </c>
      <c r="C29971" s="1" t="s">
        <v>23490</v>
      </c>
      <c r="D29971" s="1" t="str">
        <f>HYPERLINK("https://rhld.insurance.arkansas.gov/NPILookup?Npi=1821150293","1821150293")</f>
        <v>1821150293</v>
      </c>
      <c r="E29971" t="s">
        <v>12563</v>
      </c>
    </row>
    <row r="29972" spans="1:5" x14ac:dyDescent="0.25">
      <c r="A29972" t="s">
        <v>9313</v>
      </c>
      <c r="B29972" t="s">
        <v>9314</v>
      </c>
      <c r="C29972" s="1" t="s">
        <v>23490</v>
      </c>
      <c r="D29972" s="1" t="str">
        <f>HYPERLINK("https://rhld.insurance.arkansas.gov/NPILookup?Npi=1821182577","1821182577")</f>
        <v>1821182577</v>
      </c>
      <c r="E29972" t="s">
        <v>9882</v>
      </c>
    </row>
    <row r="29973" spans="1:5" x14ac:dyDescent="0.25">
      <c r="A29973" t="s">
        <v>9313</v>
      </c>
      <c r="B29973" t="s">
        <v>9314</v>
      </c>
      <c r="C29973" s="1" t="s">
        <v>23490</v>
      </c>
      <c r="D29973" s="1" t="str">
        <f>HYPERLINK("https://rhld.insurance.arkansas.gov/NPILookup?Npi=1821206004","1821206004")</f>
        <v>1821206004</v>
      </c>
      <c r="E29973" t="s">
        <v>12564</v>
      </c>
    </row>
    <row r="29974" spans="1:5" x14ac:dyDescent="0.25">
      <c r="A29974" t="s">
        <v>9313</v>
      </c>
      <c r="B29974" t="s">
        <v>9314</v>
      </c>
      <c r="C29974" s="1" t="s">
        <v>23490</v>
      </c>
      <c r="D29974" s="1" t="str">
        <f>HYPERLINK("https://rhld.insurance.arkansas.gov/NPILookup?Npi=1821384900","1821384900")</f>
        <v>1821384900</v>
      </c>
      <c r="E29974" t="s">
        <v>9883</v>
      </c>
    </row>
    <row r="29975" spans="1:5" x14ac:dyDescent="0.25">
      <c r="A29975" t="s">
        <v>9313</v>
      </c>
      <c r="B29975" t="s">
        <v>9314</v>
      </c>
      <c r="C29975" s="1" t="s">
        <v>23490</v>
      </c>
      <c r="D29975" s="1" t="str">
        <f>HYPERLINK("https://rhld.insurance.arkansas.gov/NPILookup?Npi=1821519240","1821519240")</f>
        <v>1821519240</v>
      </c>
      <c r="E29975" t="s">
        <v>18607</v>
      </c>
    </row>
    <row r="29976" spans="1:5" x14ac:dyDescent="0.25">
      <c r="A29976" t="s">
        <v>9313</v>
      </c>
      <c r="B29976" t="s">
        <v>9314</v>
      </c>
      <c r="C29976" s="1" t="s">
        <v>23490</v>
      </c>
      <c r="D29976" s="1" t="str">
        <f>HYPERLINK("https://rhld.insurance.arkansas.gov/NPILookup?Npi=1821582842","1821582842")</f>
        <v>1821582842</v>
      </c>
      <c r="E29976" t="s">
        <v>17330</v>
      </c>
    </row>
    <row r="29977" spans="1:5" x14ac:dyDescent="0.25">
      <c r="A29977" t="s">
        <v>9313</v>
      </c>
      <c r="B29977" t="s">
        <v>9314</v>
      </c>
      <c r="C29977" s="1" t="s">
        <v>23490</v>
      </c>
      <c r="D29977" s="1" t="str">
        <f>HYPERLINK("https://rhld.insurance.arkansas.gov/NPILookup?Npi=1831106434","1831106434")</f>
        <v>1831106434</v>
      </c>
      <c r="E29977" t="s">
        <v>9884</v>
      </c>
    </row>
    <row r="29978" spans="1:5" x14ac:dyDescent="0.25">
      <c r="A29978" t="s">
        <v>9313</v>
      </c>
      <c r="B29978" t="s">
        <v>9314</v>
      </c>
      <c r="C29978" s="1" t="s">
        <v>23490</v>
      </c>
      <c r="D29978" s="1" t="str">
        <f>HYPERLINK("https://rhld.insurance.arkansas.gov/NPILookup?Npi=1831119940","1831119940")</f>
        <v>1831119940</v>
      </c>
      <c r="E29978" t="s">
        <v>12565</v>
      </c>
    </row>
    <row r="29979" spans="1:5" x14ac:dyDescent="0.25">
      <c r="A29979" t="s">
        <v>9313</v>
      </c>
      <c r="B29979" t="s">
        <v>9314</v>
      </c>
      <c r="C29979" s="1" t="s">
        <v>23490</v>
      </c>
      <c r="D29979" s="1" t="str">
        <f>HYPERLINK("https://rhld.insurance.arkansas.gov/NPILookup?Npi=1831166750","1831166750")</f>
        <v>1831166750</v>
      </c>
      <c r="E29979" t="s">
        <v>9885</v>
      </c>
    </row>
    <row r="29980" spans="1:5" x14ac:dyDescent="0.25">
      <c r="A29980" t="s">
        <v>9313</v>
      </c>
      <c r="B29980" t="s">
        <v>9314</v>
      </c>
      <c r="C29980" s="1" t="s">
        <v>23490</v>
      </c>
      <c r="D29980" s="1" t="str">
        <f>HYPERLINK("https://rhld.insurance.arkansas.gov/NPILookup?Npi=1831250752","1831250752")</f>
        <v>1831250752</v>
      </c>
      <c r="E29980" t="s">
        <v>17331</v>
      </c>
    </row>
    <row r="29981" spans="1:5" x14ac:dyDescent="0.25">
      <c r="A29981" t="s">
        <v>9313</v>
      </c>
      <c r="B29981" t="s">
        <v>9314</v>
      </c>
      <c r="C29981" s="1" t="s">
        <v>23490</v>
      </c>
      <c r="D29981" s="1" t="str">
        <f>HYPERLINK("https://rhld.insurance.arkansas.gov/NPILookup?Npi=1831257088","1831257088")</f>
        <v>1831257088</v>
      </c>
      <c r="E29981" t="s">
        <v>12566</v>
      </c>
    </row>
    <row r="29982" spans="1:5" x14ac:dyDescent="0.25">
      <c r="A29982" t="s">
        <v>9313</v>
      </c>
      <c r="B29982" t="s">
        <v>9314</v>
      </c>
      <c r="C29982" s="1" t="s">
        <v>23490</v>
      </c>
      <c r="D29982" s="1" t="str">
        <f>HYPERLINK("https://rhld.insurance.arkansas.gov/NPILookup?Npi=1831257245","1831257245")</f>
        <v>1831257245</v>
      </c>
      <c r="E29982" t="s">
        <v>9886</v>
      </c>
    </row>
    <row r="29983" spans="1:5" x14ac:dyDescent="0.25">
      <c r="A29983" t="s">
        <v>9313</v>
      </c>
      <c r="B29983" t="s">
        <v>9314</v>
      </c>
      <c r="C29983" s="1" t="s">
        <v>23490</v>
      </c>
      <c r="D29983" s="1" t="str">
        <f>HYPERLINK("https://rhld.insurance.arkansas.gov/NPILookup?Npi=1831263821","1831263821")</f>
        <v>1831263821</v>
      </c>
      <c r="E29983" t="s">
        <v>9887</v>
      </c>
    </row>
    <row r="29984" spans="1:5" x14ac:dyDescent="0.25">
      <c r="A29984" t="s">
        <v>9313</v>
      </c>
      <c r="B29984" t="s">
        <v>9314</v>
      </c>
      <c r="C29984" s="1" t="s">
        <v>23490</v>
      </c>
      <c r="D29984" s="1" t="str">
        <f>HYPERLINK("https://rhld.insurance.arkansas.gov/NPILookup?Npi=1831271923","1831271923")</f>
        <v>1831271923</v>
      </c>
      <c r="E29984" t="s">
        <v>17794</v>
      </c>
    </row>
    <row r="29985" spans="1:5" x14ac:dyDescent="0.25">
      <c r="A29985" t="s">
        <v>9313</v>
      </c>
      <c r="B29985" t="s">
        <v>9314</v>
      </c>
      <c r="C29985" s="1" t="s">
        <v>23490</v>
      </c>
      <c r="D29985" s="1" t="str">
        <f>HYPERLINK("https://rhld.insurance.arkansas.gov/NPILookup?Npi=1831284496","1831284496")</f>
        <v>1831284496</v>
      </c>
      <c r="E29985" t="s">
        <v>12567</v>
      </c>
    </row>
    <row r="29986" spans="1:5" x14ac:dyDescent="0.25">
      <c r="A29986" t="s">
        <v>9313</v>
      </c>
      <c r="B29986" t="s">
        <v>9314</v>
      </c>
      <c r="C29986" s="1" t="s">
        <v>23490</v>
      </c>
      <c r="D29986" s="1" t="str">
        <f>HYPERLINK("https://rhld.insurance.arkansas.gov/NPILookup?Npi=1831314574","1831314574")</f>
        <v>1831314574</v>
      </c>
      <c r="E29986" t="s">
        <v>9889</v>
      </c>
    </row>
    <row r="29987" spans="1:5" x14ac:dyDescent="0.25">
      <c r="A29987" t="s">
        <v>9313</v>
      </c>
      <c r="B29987" t="s">
        <v>9314</v>
      </c>
      <c r="C29987" s="1" t="s">
        <v>23490</v>
      </c>
      <c r="D29987" s="1" t="str">
        <f>HYPERLINK("https://rhld.insurance.arkansas.gov/NPILookup?Npi=1831319433","1831319433")</f>
        <v>1831319433</v>
      </c>
      <c r="E29987" t="s">
        <v>12568</v>
      </c>
    </row>
    <row r="29988" spans="1:5" x14ac:dyDescent="0.25">
      <c r="A29988" t="s">
        <v>9313</v>
      </c>
      <c r="B29988" t="s">
        <v>9314</v>
      </c>
      <c r="C29988" s="1" t="s">
        <v>23490</v>
      </c>
      <c r="D29988" s="1" t="str">
        <f>HYPERLINK("https://rhld.insurance.arkansas.gov/NPILookup?Npi=1831350586","1831350586")</f>
        <v>1831350586</v>
      </c>
      <c r="E29988" t="s">
        <v>9890</v>
      </c>
    </row>
    <row r="29989" spans="1:5" x14ac:dyDescent="0.25">
      <c r="A29989" t="s">
        <v>9313</v>
      </c>
      <c r="B29989" t="s">
        <v>9314</v>
      </c>
      <c r="C29989" s="1" t="s">
        <v>23490</v>
      </c>
      <c r="D29989" s="1" t="str">
        <f>HYPERLINK("https://rhld.insurance.arkansas.gov/NPILookup?Npi=1831401801","1831401801")</f>
        <v>1831401801</v>
      </c>
      <c r="E29989" t="s">
        <v>12569</v>
      </c>
    </row>
    <row r="29990" spans="1:5" x14ac:dyDescent="0.25">
      <c r="A29990" t="s">
        <v>9313</v>
      </c>
      <c r="B29990" t="s">
        <v>9314</v>
      </c>
      <c r="C29990" s="1" t="s">
        <v>23490</v>
      </c>
      <c r="D29990" s="1" t="str">
        <f>HYPERLINK("https://rhld.insurance.arkansas.gov/NPILookup?Npi=1831418318","1831418318")</f>
        <v>1831418318</v>
      </c>
      <c r="E29990" t="s">
        <v>12570</v>
      </c>
    </row>
    <row r="29991" spans="1:5" x14ac:dyDescent="0.25">
      <c r="A29991" t="s">
        <v>9313</v>
      </c>
      <c r="B29991" t="s">
        <v>9314</v>
      </c>
      <c r="C29991" s="1" t="s">
        <v>23490</v>
      </c>
      <c r="D29991" s="1" t="str">
        <f>HYPERLINK("https://rhld.insurance.arkansas.gov/NPILookup?Npi=1831567189","1831567189")</f>
        <v>1831567189</v>
      </c>
      <c r="E29991" t="s">
        <v>9891</v>
      </c>
    </row>
    <row r="29992" spans="1:5" x14ac:dyDescent="0.25">
      <c r="A29992" t="s">
        <v>9313</v>
      </c>
      <c r="B29992" t="s">
        <v>9314</v>
      </c>
      <c r="C29992" s="1" t="s">
        <v>23490</v>
      </c>
      <c r="D29992" s="1" t="str">
        <f>HYPERLINK("https://rhld.insurance.arkansas.gov/NPILookup?Npi=1831641877","1831641877")</f>
        <v>1831641877</v>
      </c>
      <c r="E29992" t="s">
        <v>17795</v>
      </c>
    </row>
    <row r="29993" spans="1:5" x14ac:dyDescent="0.25">
      <c r="A29993" t="s">
        <v>9313</v>
      </c>
      <c r="B29993" t="s">
        <v>9314</v>
      </c>
      <c r="C29993" s="1" t="s">
        <v>23490</v>
      </c>
      <c r="D29993" s="1" t="str">
        <f>HYPERLINK("https://rhld.insurance.arkansas.gov/NPILookup?Npi=1831684513","1831684513")</f>
        <v>1831684513</v>
      </c>
      <c r="E29993" t="s">
        <v>22785</v>
      </c>
    </row>
    <row r="29994" spans="1:5" x14ac:dyDescent="0.25">
      <c r="A29994" t="s">
        <v>9313</v>
      </c>
      <c r="B29994" t="s">
        <v>9314</v>
      </c>
      <c r="C29994" s="1" t="s">
        <v>23490</v>
      </c>
      <c r="D29994" s="1" t="str">
        <f>HYPERLINK("https://rhld.insurance.arkansas.gov/NPILookup?Npi=1841328747","1841328747")</f>
        <v>1841328747</v>
      </c>
      <c r="E29994" t="s">
        <v>12571</v>
      </c>
    </row>
    <row r="29995" spans="1:5" x14ac:dyDescent="0.25">
      <c r="A29995" t="s">
        <v>9313</v>
      </c>
      <c r="B29995" t="s">
        <v>9314</v>
      </c>
      <c r="C29995" s="1" t="s">
        <v>23490</v>
      </c>
      <c r="D29995" s="1" t="str">
        <f>HYPERLINK("https://rhld.insurance.arkansas.gov/NPILookup?Npi=1841339942","1841339942")</f>
        <v>1841339942</v>
      </c>
      <c r="E29995" t="s">
        <v>12572</v>
      </c>
    </row>
    <row r="29996" spans="1:5" x14ac:dyDescent="0.25">
      <c r="A29996" t="s">
        <v>9313</v>
      </c>
      <c r="B29996" t="s">
        <v>9314</v>
      </c>
      <c r="C29996" s="1" t="s">
        <v>23490</v>
      </c>
      <c r="D29996" s="1" t="str">
        <f>HYPERLINK("https://rhld.insurance.arkansas.gov/NPILookup?Npi=1841346764","1841346764")</f>
        <v>1841346764</v>
      </c>
      <c r="E29996" t="s">
        <v>9892</v>
      </c>
    </row>
    <row r="29997" spans="1:5" x14ac:dyDescent="0.25">
      <c r="A29997" t="s">
        <v>9313</v>
      </c>
      <c r="B29997" t="s">
        <v>9314</v>
      </c>
      <c r="C29997" s="1" t="s">
        <v>23490</v>
      </c>
      <c r="D29997" s="1" t="str">
        <f>HYPERLINK("https://rhld.insurance.arkansas.gov/NPILookup?Npi=1841356987","1841356987")</f>
        <v>1841356987</v>
      </c>
      <c r="E29997" t="s">
        <v>3177</v>
      </c>
    </row>
    <row r="29998" spans="1:5" x14ac:dyDescent="0.25">
      <c r="A29998" t="s">
        <v>9313</v>
      </c>
      <c r="B29998" t="s">
        <v>9314</v>
      </c>
      <c r="C29998" s="1" t="s">
        <v>23490</v>
      </c>
      <c r="D29998" s="1" t="str">
        <f>HYPERLINK("https://rhld.insurance.arkansas.gov/NPILookup?Npi=1841368065","1841368065")</f>
        <v>1841368065</v>
      </c>
      <c r="E29998" t="s">
        <v>12573</v>
      </c>
    </row>
    <row r="29999" spans="1:5" x14ac:dyDescent="0.25">
      <c r="A29999" t="s">
        <v>9313</v>
      </c>
      <c r="B29999" t="s">
        <v>9314</v>
      </c>
      <c r="C29999" s="1" t="s">
        <v>23490</v>
      </c>
      <c r="D29999" s="1" t="str">
        <f>HYPERLINK("https://rhld.insurance.arkansas.gov/NPILookup?Npi=1841371549","1841371549")</f>
        <v>1841371549</v>
      </c>
      <c r="E29999" t="s">
        <v>9893</v>
      </c>
    </row>
    <row r="30000" spans="1:5" x14ac:dyDescent="0.25">
      <c r="A30000" t="s">
        <v>9313</v>
      </c>
      <c r="B30000" t="s">
        <v>9314</v>
      </c>
      <c r="C30000" s="1" t="s">
        <v>23490</v>
      </c>
      <c r="D30000" s="1" t="str">
        <f>HYPERLINK("https://rhld.insurance.arkansas.gov/NPILookup?Npi=1841399839","1841399839")</f>
        <v>1841399839</v>
      </c>
      <c r="E30000" t="s">
        <v>12574</v>
      </c>
    </row>
    <row r="30001" spans="1:5" x14ac:dyDescent="0.25">
      <c r="A30001" t="s">
        <v>9313</v>
      </c>
      <c r="B30001" t="s">
        <v>9314</v>
      </c>
      <c r="C30001" s="1" t="s">
        <v>23490</v>
      </c>
      <c r="D30001" s="1" t="str">
        <f>HYPERLINK("https://rhld.insurance.arkansas.gov/NPILookup?Npi=1841405917","1841405917")</f>
        <v>1841405917</v>
      </c>
      <c r="E30001" t="s">
        <v>9894</v>
      </c>
    </row>
    <row r="30002" spans="1:5" x14ac:dyDescent="0.25">
      <c r="A30002" t="s">
        <v>9313</v>
      </c>
      <c r="B30002" t="s">
        <v>9314</v>
      </c>
      <c r="C30002" s="1" t="s">
        <v>23490</v>
      </c>
      <c r="D30002" s="1" t="str">
        <f>HYPERLINK("https://rhld.insurance.arkansas.gov/NPILookup?Npi=1841428117","1841428117")</f>
        <v>1841428117</v>
      </c>
      <c r="E30002" t="s">
        <v>9895</v>
      </c>
    </row>
    <row r="30003" spans="1:5" x14ac:dyDescent="0.25">
      <c r="A30003" t="s">
        <v>9313</v>
      </c>
      <c r="B30003" t="s">
        <v>9314</v>
      </c>
      <c r="C30003" s="1" t="s">
        <v>23490</v>
      </c>
      <c r="D30003" s="1" t="str">
        <f>HYPERLINK("https://rhld.insurance.arkansas.gov/NPILookup?Npi=1841495736","1841495736")</f>
        <v>1841495736</v>
      </c>
      <c r="E30003" t="s">
        <v>12575</v>
      </c>
    </row>
    <row r="30004" spans="1:5" x14ac:dyDescent="0.25">
      <c r="A30004" t="s">
        <v>9313</v>
      </c>
      <c r="B30004" t="s">
        <v>9314</v>
      </c>
      <c r="C30004" s="1" t="s">
        <v>23490</v>
      </c>
      <c r="D30004" s="1" t="str">
        <f>HYPERLINK("https://rhld.insurance.arkansas.gov/NPILookup?Npi=1841585965","1841585965")</f>
        <v>1841585965</v>
      </c>
      <c r="E30004" t="s">
        <v>9896</v>
      </c>
    </row>
    <row r="30005" spans="1:5" x14ac:dyDescent="0.25">
      <c r="A30005" t="s">
        <v>9313</v>
      </c>
      <c r="B30005" t="s">
        <v>9314</v>
      </c>
      <c r="C30005" s="1" t="s">
        <v>23490</v>
      </c>
      <c r="D30005" s="1" t="str">
        <f>HYPERLINK("https://rhld.insurance.arkansas.gov/NPILookup?Npi=1841628559","1841628559")</f>
        <v>1841628559</v>
      </c>
      <c r="E30005" t="s">
        <v>9897</v>
      </c>
    </row>
    <row r="30006" spans="1:5" x14ac:dyDescent="0.25">
      <c r="A30006" t="s">
        <v>9313</v>
      </c>
      <c r="B30006" t="s">
        <v>9314</v>
      </c>
      <c r="C30006" s="1" t="s">
        <v>23490</v>
      </c>
      <c r="D30006" s="1" t="str">
        <f>HYPERLINK("https://rhld.insurance.arkansas.gov/NPILookup?Npi=1841728235","1841728235")</f>
        <v>1841728235</v>
      </c>
      <c r="E30006" t="s">
        <v>14616</v>
      </c>
    </row>
    <row r="30007" spans="1:5" x14ac:dyDescent="0.25">
      <c r="A30007" t="s">
        <v>9313</v>
      </c>
      <c r="B30007" t="s">
        <v>9314</v>
      </c>
      <c r="C30007" s="1" t="s">
        <v>23490</v>
      </c>
      <c r="D30007" s="1" t="str">
        <f>HYPERLINK("https://rhld.insurance.arkansas.gov/NPILookup?Npi=1841781002","1841781002")</f>
        <v>1841781002</v>
      </c>
      <c r="E30007" t="s">
        <v>14617</v>
      </c>
    </row>
    <row r="30008" spans="1:5" x14ac:dyDescent="0.25">
      <c r="A30008" t="s">
        <v>9313</v>
      </c>
      <c r="B30008" t="s">
        <v>9314</v>
      </c>
      <c r="C30008" s="1" t="s">
        <v>23490</v>
      </c>
      <c r="D30008" s="1" t="str">
        <f>HYPERLINK("https://rhld.insurance.arkansas.gov/NPILookup?Npi=1851023717","1851023717")</f>
        <v>1851023717</v>
      </c>
      <c r="E30008" t="s">
        <v>22786</v>
      </c>
    </row>
    <row r="30009" spans="1:5" x14ac:dyDescent="0.25">
      <c r="A30009" t="s">
        <v>9313</v>
      </c>
      <c r="B30009" t="s">
        <v>9314</v>
      </c>
      <c r="C30009" s="1" t="s">
        <v>23490</v>
      </c>
      <c r="D30009" s="1" t="str">
        <f>HYPERLINK("https://rhld.insurance.arkansas.gov/NPILookup?Npi=1851025738","1851025738")</f>
        <v>1851025738</v>
      </c>
      <c r="E30009" t="s">
        <v>21344</v>
      </c>
    </row>
    <row r="30010" spans="1:5" x14ac:dyDescent="0.25">
      <c r="A30010" t="s">
        <v>9313</v>
      </c>
      <c r="B30010" t="s">
        <v>9314</v>
      </c>
      <c r="C30010" s="1" t="s">
        <v>23490</v>
      </c>
      <c r="D30010" s="1" t="str">
        <f>HYPERLINK("https://rhld.insurance.arkansas.gov/NPILookup?Npi=1851311591","1851311591")</f>
        <v>1851311591</v>
      </c>
      <c r="E30010" t="s">
        <v>9898</v>
      </c>
    </row>
    <row r="30011" spans="1:5" x14ac:dyDescent="0.25">
      <c r="A30011" t="s">
        <v>9313</v>
      </c>
      <c r="B30011" t="s">
        <v>9314</v>
      </c>
      <c r="C30011" s="1" t="s">
        <v>23490</v>
      </c>
      <c r="D30011" s="1" t="str">
        <f>HYPERLINK("https://rhld.insurance.arkansas.gov/NPILookup?Npi=1851334023","1851334023")</f>
        <v>1851334023</v>
      </c>
      <c r="E30011" t="s">
        <v>9899</v>
      </c>
    </row>
    <row r="30012" spans="1:5" x14ac:dyDescent="0.25">
      <c r="A30012" t="s">
        <v>9313</v>
      </c>
      <c r="B30012" t="s">
        <v>9314</v>
      </c>
      <c r="C30012" s="1" t="s">
        <v>23490</v>
      </c>
      <c r="D30012" s="1" t="str">
        <f>HYPERLINK("https://rhld.insurance.arkansas.gov/NPILookup?Npi=1851374375","1851374375")</f>
        <v>1851374375</v>
      </c>
      <c r="E30012" t="s">
        <v>12576</v>
      </c>
    </row>
    <row r="30013" spans="1:5" x14ac:dyDescent="0.25">
      <c r="A30013" t="s">
        <v>9313</v>
      </c>
      <c r="B30013" t="s">
        <v>9314</v>
      </c>
      <c r="C30013" s="1" t="s">
        <v>23490</v>
      </c>
      <c r="D30013" s="1" t="str">
        <f>HYPERLINK("https://rhld.insurance.arkansas.gov/NPILookup?Npi=1851407928","1851407928")</f>
        <v>1851407928</v>
      </c>
      <c r="E30013" t="s">
        <v>12577</v>
      </c>
    </row>
    <row r="30014" spans="1:5" x14ac:dyDescent="0.25">
      <c r="A30014" t="s">
        <v>9313</v>
      </c>
      <c r="B30014" t="s">
        <v>9314</v>
      </c>
      <c r="C30014" s="1" t="s">
        <v>23490</v>
      </c>
      <c r="D30014" s="1" t="str">
        <f>HYPERLINK("https://rhld.insurance.arkansas.gov/NPILookup?Npi=1851461867","1851461867")</f>
        <v>1851461867</v>
      </c>
      <c r="E30014" t="s">
        <v>9900</v>
      </c>
    </row>
    <row r="30015" spans="1:5" x14ac:dyDescent="0.25">
      <c r="A30015" t="s">
        <v>9313</v>
      </c>
      <c r="B30015" t="s">
        <v>9314</v>
      </c>
      <c r="C30015" s="1" t="s">
        <v>23490</v>
      </c>
      <c r="D30015" s="1" t="str">
        <f>HYPERLINK("https://rhld.insurance.arkansas.gov/NPILookup?Npi=1851468128","1851468128")</f>
        <v>1851468128</v>
      </c>
      <c r="E30015" t="s">
        <v>9901</v>
      </c>
    </row>
    <row r="30016" spans="1:5" x14ac:dyDescent="0.25">
      <c r="A30016" t="s">
        <v>9313</v>
      </c>
      <c r="B30016" t="s">
        <v>9314</v>
      </c>
      <c r="C30016" s="1" t="s">
        <v>23490</v>
      </c>
      <c r="D30016" s="1" t="str">
        <f>HYPERLINK("https://rhld.insurance.arkansas.gov/NPILookup?Npi=1851473326","1851473326")</f>
        <v>1851473326</v>
      </c>
      <c r="E30016" t="s">
        <v>9902</v>
      </c>
    </row>
    <row r="30017" spans="1:5" x14ac:dyDescent="0.25">
      <c r="A30017" t="s">
        <v>9313</v>
      </c>
      <c r="B30017" t="s">
        <v>9314</v>
      </c>
      <c r="C30017" s="1" t="s">
        <v>23490</v>
      </c>
      <c r="D30017" s="1" t="str">
        <f>HYPERLINK("https://rhld.insurance.arkansas.gov/NPILookup?Npi=1851485684","1851485684")</f>
        <v>1851485684</v>
      </c>
      <c r="E30017" t="s">
        <v>12578</v>
      </c>
    </row>
    <row r="30018" spans="1:5" x14ac:dyDescent="0.25">
      <c r="A30018" t="s">
        <v>9313</v>
      </c>
      <c r="B30018" t="s">
        <v>9314</v>
      </c>
      <c r="C30018" s="1" t="s">
        <v>23490</v>
      </c>
      <c r="D30018" s="1" t="str">
        <f>HYPERLINK("https://rhld.insurance.arkansas.gov/NPILookup?Npi=1851706469","1851706469")</f>
        <v>1851706469</v>
      </c>
      <c r="E30018" t="s">
        <v>19205</v>
      </c>
    </row>
    <row r="30019" spans="1:5" x14ac:dyDescent="0.25">
      <c r="A30019" t="s">
        <v>9313</v>
      </c>
      <c r="B30019" t="s">
        <v>9314</v>
      </c>
      <c r="C30019" s="1" t="s">
        <v>23490</v>
      </c>
      <c r="D30019" s="1" t="str">
        <f>HYPERLINK("https://rhld.insurance.arkansas.gov/NPILookup?Npi=1861074593","1861074593")</f>
        <v>1861074593</v>
      </c>
      <c r="E30019" t="s">
        <v>18608</v>
      </c>
    </row>
    <row r="30020" spans="1:5" x14ac:dyDescent="0.25">
      <c r="A30020" t="s">
        <v>9313</v>
      </c>
      <c r="B30020" t="s">
        <v>9314</v>
      </c>
      <c r="C30020" s="1" t="s">
        <v>23490</v>
      </c>
      <c r="D30020" s="1" t="str">
        <f>HYPERLINK("https://rhld.insurance.arkansas.gov/NPILookup?Npi=1861412082","1861412082")</f>
        <v>1861412082</v>
      </c>
      <c r="E30020" t="s">
        <v>9903</v>
      </c>
    </row>
    <row r="30021" spans="1:5" x14ac:dyDescent="0.25">
      <c r="A30021" t="s">
        <v>9313</v>
      </c>
      <c r="B30021" t="s">
        <v>9314</v>
      </c>
      <c r="C30021" s="1" t="s">
        <v>23490</v>
      </c>
      <c r="D30021" s="1" t="str">
        <f>HYPERLINK("https://rhld.insurance.arkansas.gov/NPILookup?Npi=1861412975","1861412975")</f>
        <v>1861412975</v>
      </c>
      <c r="E30021" t="s">
        <v>12579</v>
      </c>
    </row>
    <row r="30022" spans="1:5" x14ac:dyDescent="0.25">
      <c r="A30022" t="s">
        <v>9313</v>
      </c>
      <c r="B30022" t="s">
        <v>9314</v>
      </c>
      <c r="C30022" s="1" t="s">
        <v>23490</v>
      </c>
      <c r="D30022" s="1" t="str">
        <f>HYPERLINK("https://rhld.insurance.arkansas.gov/NPILookup?Npi=1861433344","1861433344")</f>
        <v>1861433344</v>
      </c>
      <c r="E30022" t="s">
        <v>4756</v>
      </c>
    </row>
    <row r="30023" spans="1:5" x14ac:dyDescent="0.25">
      <c r="A30023" t="s">
        <v>9313</v>
      </c>
      <c r="B30023" t="s">
        <v>9314</v>
      </c>
      <c r="C30023" s="1" t="s">
        <v>23490</v>
      </c>
      <c r="D30023" s="1" t="str">
        <f>HYPERLINK("https://rhld.insurance.arkansas.gov/NPILookup?Npi=1861496267","1861496267")</f>
        <v>1861496267</v>
      </c>
      <c r="E30023" t="s">
        <v>9904</v>
      </c>
    </row>
    <row r="30024" spans="1:5" x14ac:dyDescent="0.25">
      <c r="A30024" t="s">
        <v>9313</v>
      </c>
      <c r="B30024" t="s">
        <v>9314</v>
      </c>
      <c r="C30024" s="1" t="s">
        <v>23490</v>
      </c>
      <c r="D30024" s="1" t="str">
        <f>HYPERLINK("https://rhld.insurance.arkansas.gov/NPILookup?Npi=1861508327","1861508327")</f>
        <v>1861508327</v>
      </c>
      <c r="E30024" t="s">
        <v>9905</v>
      </c>
    </row>
    <row r="30025" spans="1:5" x14ac:dyDescent="0.25">
      <c r="A30025" t="s">
        <v>9313</v>
      </c>
      <c r="B30025" t="s">
        <v>9314</v>
      </c>
      <c r="C30025" s="1" t="s">
        <v>23490</v>
      </c>
      <c r="D30025" s="1" t="str">
        <f>HYPERLINK("https://rhld.insurance.arkansas.gov/NPILookup?Npi=1861562480","1861562480")</f>
        <v>1861562480</v>
      </c>
      <c r="E30025" t="s">
        <v>12580</v>
      </c>
    </row>
    <row r="30026" spans="1:5" x14ac:dyDescent="0.25">
      <c r="A30026" t="s">
        <v>9313</v>
      </c>
      <c r="B30026" t="s">
        <v>9314</v>
      </c>
      <c r="C30026" s="1" t="s">
        <v>23490</v>
      </c>
      <c r="D30026" s="1" t="str">
        <f>HYPERLINK("https://rhld.insurance.arkansas.gov/NPILookup?Npi=1861574097","1861574097")</f>
        <v>1861574097</v>
      </c>
      <c r="E30026" t="s">
        <v>9906</v>
      </c>
    </row>
    <row r="30027" spans="1:5" x14ac:dyDescent="0.25">
      <c r="A30027" t="s">
        <v>9313</v>
      </c>
      <c r="B30027" t="s">
        <v>9314</v>
      </c>
      <c r="C30027" s="1" t="s">
        <v>23490</v>
      </c>
      <c r="D30027" s="1" t="str">
        <f>HYPERLINK("https://rhld.insurance.arkansas.gov/NPILookup?Npi=1861584781","1861584781")</f>
        <v>1861584781</v>
      </c>
      <c r="E30027" t="s">
        <v>9907</v>
      </c>
    </row>
    <row r="30028" spans="1:5" x14ac:dyDescent="0.25">
      <c r="A30028" t="s">
        <v>9313</v>
      </c>
      <c r="B30028" t="s">
        <v>9314</v>
      </c>
      <c r="C30028" s="1" t="s">
        <v>23490</v>
      </c>
      <c r="D30028" s="1" t="str">
        <f>HYPERLINK("https://rhld.insurance.arkansas.gov/NPILookup?Npi=1861588501","1861588501")</f>
        <v>1861588501</v>
      </c>
      <c r="E30028" t="s">
        <v>9908</v>
      </c>
    </row>
    <row r="30029" spans="1:5" x14ac:dyDescent="0.25">
      <c r="A30029" t="s">
        <v>9313</v>
      </c>
      <c r="B30029" t="s">
        <v>9314</v>
      </c>
      <c r="C30029" s="1" t="s">
        <v>23490</v>
      </c>
      <c r="D30029" s="1" t="str">
        <f>HYPERLINK("https://rhld.insurance.arkansas.gov/NPILookup?Npi=1861603516","1861603516")</f>
        <v>1861603516</v>
      </c>
      <c r="E30029" t="s">
        <v>12581</v>
      </c>
    </row>
    <row r="30030" spans="1:5" x14ac:dyDescent="0.25">
      <c r="A30030" t="s">
        <v>9313</v>
      </c>
      <c r="B30030" t="s">
        <v>9314</v>
      </c>
      <c r="C30030" s="1" t="s">
        <v>23490</v>
      </c>
      <c r="D30030" s="1" t="str">
        <f>HYPERLINK("https://rhld.insurance.arkansas.gov/NPILookup?Npi=1861609547","1861609547")</f>
        <v>1861609547</v>
      </c>
      <c r="E30030" t="s">
        <v>12582</v>
      </c>
    </row>
    <row r="30031" spans="1:5" x14ac:dyDescent="0.25">
      <c r="A30031" t="s">
        <v>9313</v>
      </c>
      <c r="B30031" t="s">
        <v>9314</v>
      </c>
      <c r="C30031" s="1" t="s">
        <v>23490</v>
      </c>
      <c r="D30031" s="1" t="str">
        <f>HYPERLINK("https://rhld.insurance.arkansas.gov/NPILookup?Npi=1861832446","1861832446")</f>
        <v>1861832446</v>
      </c>
      <c r="E30031" t="s">
        <v>20840</v>
      </c>
    </row>
    <row r="30032" spans="1:5" x14ac:dyDescent="0.25">
      <c r="A30032" t="s">
        <v>9313</v>
      </c>
      <c r="B30032" t="s">
        <v>9314</v>
      </c>
      <c r="C30032" s="1" t="s">
        <v>23490</v>
      </c>
      <c r="D30032" s="1" t="str">
        <f>HYPERLINK("https://rhld.insurance.arkansas.gov/NPILookup?Npi=1871046078","1871046078")</f>
        <v>1871046078</v>
      </c>
      <c r="E30032" t="s">
        <v>12584</v>
      </c>
    </row>
    <row r="30033" spans="1:5" x14ac:dyDescent="0.25">
      <c r="A30033" t="s">
        <v>9313</v>
      </c>
      <c r="B30033" t="s">
        <v>9314</v>
      </c>
      <c r="C30033" s="1" t="s">
        <v>23490</v>
      </c>
      <c r="D30033" s="1" t="str">
        <f>HYPERLINK("https://rhld.insurance.arkansas.gov/NPILookup?Npi=1871055939","1871055939")</f>
        <v>1871055939</v>
      </c>
      <c r="E30033" t="s">
        <v>17332</v>
      </c>
    </row>
    <row r="30034" spans="1:5" x14ac:dyDescent="0.25">
      <c r="A30034" t="s">
        <v>9313</v>
      </c>
      <c r="B30034" t="s">
        <v>9314</v>
      </c>
      <c r="C30034" s="1" t="s">
        <v>23490</v>
      </c>
      <c r="D30034" s="1" t="str">
        <f>HYPERLINK("https://rhld.insurance.arkansas.gov/NPILookup?Npi=1871283010","1871283010")</f>
        <v>1871283010</v>
      </c>
      <c r="E30034" t="s">
        <v>22787</v>
      </c>
    </row>
    <row r="30035" spans="1:5" x14ac:dyDescent="0.25">
      <c r="A30035" t="s">
        <v>9313</v>
      </c>
      <c r="B30035" t="s">
        <v>9314</v>
      </c>
      <c r="C30035" s="1" t="s">
        <v>23490</v>
      </c>
      <c r="D30035" s="1" t="str">
        <f>HYPERLINK("https://rhld.insurance.arkansas.gov/NPILookup?Npi=1871519751","1871519751")</f>
        <v>1871519751</v>
      </c>
      <c r="E30035" t="s">
        <v>9910</v>
      </c>
    </row>
    <row r="30036" spans="1:5" x14ac:dyDescent="0.25">
      <c r="A30036" t="s">
        <v>9313</v>
      </c>
      <c r="B30036" t="s">
        <v>9314</v>
      </c>
      <c r="C30036" s="1" t="s">
        <v>23490</v>
      </c>
      <c r="D30036" s="1" t="str">
        <f>HYPERLINK("https://rhld.insurance.arkansas.gov/NPILookup?Npi=1871578518","1871578518")</f>
        <v>1871578518</v>
      </c>
      <c r="E30036" t="s">
        <v>12585</v>
      </c>
    </row>
    <row r="30037" spans="1:5" x14ac:dyDescent="0.25">
      <c r="A30037" t="s">
        <v>9313</v>
      </c>
      <c r="B30037" t="s">
        <v>9314</v>
      </c>
      <c r="C30037" s="1" t="s">
        <v>23490</v>
      </c>
      <c r="D30037" s="1" t="str">
        <f>HYPERLINK("https://rhld.insurance.arkansas.gov/NPILookup?Npi=1871605956","1871605956")</f>
        <v>1871605956</v>
      </c>
      <c r="E30037" t="s">
        <v>12586</v>
      </c>
    </row>
    <row r="30038" spans="1:5" x14ac:dyDescent="0.25">
      <c r="A30038" t="s">
        <v>9313</v>
      </c>
      <c r="B30038" t="s">
        <v>9314</v>
      </c>
      <c r="C30038" s="1" t="s">
        <v>23490</v>
      </c>
      <c r="D30038" s="1" t="str">
        <f>HYPERLINK("https://rhld.insurance.arkansas.gov/NPILookup?Npi=1871635359","1871635359")</f>
        <v>1871635359</v>
      </c>
      <c r="E30038" t="s">
        <v>12587</v>
      </c>
    </row>
    <row r="30039" spans="1:5" x14ac:dyDescent="0.25">
      <c r="A30039" t="s">
        <v>9313</v>
      </c>
      <c r="B30039" t="s">
        <v>9314</v>
      </c>
      <c r="C30039" s="1" t="s">
        <v>23490</v>
      </c>
      <c r="D30039" s="1" t="str">
        <f>HYPERLINK("https://rhld.insurance.arkansas.gov/NPILookup?Npi=1871646471","1871646471")</f>
        <v>1871646471</v>
      </c>
      <c r="E30039" t="s">
        <v>12588</v>
      </c>
    </row>
    <row r="30040" spans="1:5" x14ac:dyDescent="0.25">
      <c r="A30040" t="s">
        <v>9313</v>
      </c>
      <c r="B30040" t="s">
        <v>9314</v>
      </c>
      <c r="C30040" s="1" t="s">
        <v>23490</v>
      </c>
      <c r="D30040" s="1" t="str">
        <f>HYPERLINK("https://rhld.insurance.arkansas.gov/NPILookup?Npi=1871664573","1871664573")</f>
        <v>1871664573</v>
      </c>
      <c r="E30040" t="s">
        <v>12589</v>
      </c>
    </row>
    <row r="30041" spans="1:5" x14ac:dyDescent="0.25">
      <c r="A30041" t="s">
        <v>9313</v>
      </c>
      <c r="B30041" t="s">
        <v>9314</v>
      </c>
      <c r="C30041" s="1" t="s">
        <v>23490</v>
      </c>
      <c r="D30041" s="1" t="str">
        <f>HYPERLINK("https://rhld.insurance.arkansas.gov/NPILookup?Npi=1871690727","1871690727")</f>
        <v>1871690727</v>
      </c>
      <c r="E30041" t="s">
        <v>12590</v>
      </c>
    </row>
    <row r="30042" spans="1:5" x14ac:dyDescent="0.25">
      <c r="A30042" t="s">
        <v>9313</v>
      </c>
      <c r="B30042" t="s">
        <v>9314</v>
      </c>
      <c r="C30042" s="1" t="s">
        <v>23490</v>
      </c>
      <c r="D30042" s="1" t="str">
        <f>HYPERLINK("https://rhld.insurance.arkansas.gov/NPILookup?Npi=1871694257","1871694257")</f>
        <v>1871694257</v>
      </c>
      <c r="E30042" t="s">
        <v>12591</v>
      </c>
    </row>
    <row r="30043" spans="1:5" x14ac:dyDescent="0.25">
      <c r="A30043" t="s">
        <v>9313</v>
      </c>
      <c r="B30043" t="s">
        <v>9314</v>
      </c>
      <c r="C30043" s="1" t="s">
        <v>23490</v>
      </c>
      <c r="D30043" s="1" t="str">
        <f>HYPERLINK("https://rhld.insurance.arkansas.gov/NPILookup?Npi=1871698548","1871698548")</f>
        <v>1871698548</v>
      </c>
      <c r="E30043" t="s">
        <v>19206</v>
      </c>
    </row>
    <row r="30044" spans="1:5" x14ac:dyDescent="0.25">
      <c r="A30044" t="s">
        <v>9313</v>
      </c>
      <c r="B30044" t="s">
        <v>9314</v>
      </c>
      <c r="C30044" s="1" t="s">
        <v>23490</v>
      </c>
      <c r="D30044" s="1" t="str">
        <f>HYPERLINK("https://rhld.insurance.arkansas.gov/NPILookup?Npi=1871721357","1871721357")</f>
        <v>1871721357</v>
      </c>
      <c r="E30044" t="s">
        <v>9911</v>
      </c>
    </row>
    <row r="30045" spans="1:5" x14ac:dyDescent="0.25">
      <c r="A30045" t="s">
        <v>9313</v>
      </c>
      <c r="B30045" t="s">
        <v>9314</v>
      </c>
      <c r="C30045" s="1" t="s">
        <v>23490</v>
      </c>
      <c r="D30045" s="1" t="str">
        <f>HYPERLINK("https://rhld.insurance.arkansas.gov/NPILookup?Npi=1871721605","1871721605")</f>
        <v>1871721605</v>
      </c>
      <c r="E30045" t="s">
        <v>9912</v>
      </c>
    </row>
    <row r="30046" spans="1:5" x14ac:dyDescent="0.25">
      <c r="A30046" t="s">
        <v>9313</v>
      </c>
      <c r="B30046" t="s">
        <v>9314</v>
      </c>
      <c r="C30046" s="1" t="s">
        <v>23490</v>
      </c>
      <c r="D30046" s="1" t="str">
        <f>HYPERLINK("https://rhld.insurance.arkansas.gov/NPILookup?Npi=1871812073","1871812073")</f>
        <v>1871812073</v>
      </c>
      <c r="E30046" t="s">
        <v>12239</v>
      </c>
    </row>
    <row r="30047" spans="1:5" x14ac:dyDescent="0.25">
      <c r="A30047" t="s">
        <v>9313</v>
      </c>
      <c r="B30047" t="s">
        <v>9314</v>
      </c>
      <c r="C30047" s="1" t="s">
        <v>23490</v>
      </c>
      <c r="D30047" s="1" t="str">
        <f>HYPERLINK("https://rhld.insurance.arkansas.gov/NPILookup?Npi=1871887075","1871887075")</f>
        <v>1871887075</v>
      </c>
      <c r="E30047" t="s">
        <v>12592</v>
      </c>
    </row>
    <row r="30048" spans="1:5" x14ac:dyDescent="0.25">
      <c r="A30048" t="s">
        <v>9313</v>
      </c>
      <c r="B30048" t="s">
        <v>9314</v>
      </c>
      <c r="C30048" s="1" t="s">
        <v>23490</v>
      </c>
      <c r="D30048" s="1" t="str">
        <f>HYPERLINK("https://rhld.insurance.arkansas.gov/NPILookup?Npi=1881032639","1881032639")</f>
        <v>1881032639</v>
      </c>
      <c r="E30048" t="s">
        <v>12594</v>
      </c>
    </row>
    <row r="30049" spans="1:5" x14ac:dyDescent="0.25">
      <c r="A30049" t="s">
        <v>9313</v>
      </c>
      <c r="B30049" t="s">
        <v>9314</v>
      </c>
      <c r="C30049" s="1" t="s">
        <v>23490</v>
      </c>
      <c r="D30049" s="1" t="str">
        <f>HYPERLINK("https://rhld.insurance.arkansas.gov/NPILookup?Npi=1881034890","1881034890")</f>
        <v>1881034890</v>
      </c>
      <c r="E30049" t="s">
        <v>12595</v>
      </c>
    </row>
    <row r="30050" spans="1:5" x14ac:dyDescent="0.25">
      <c r="A30050" t="s">
        <v>9313</v>
      </c>
      <c r="B30050" t="s">
        <v>9314</v>
      </c>
      <c r="C30050" s="1" t="s">
        <v>23490</v>
      </c>
      <c r="D30050" s="1" t="str">
        <f>HYPERLINK("https://rhld.insurance.arkansas.gov/NPILookup?Npi=1881044931","1881044931")</f>
        <v>1881044931</v>
      </c>
      <c r="E30050" t="s">
        <v>2970</v>
      </c>
    </row>
    <row r="30051" spans="1:5" x14ac:dyDescent="0.25">
      <c r="A30051" t="s">
        <v>9313</v>
      </c>
      <c r="B30051" t="s">
        <v>9314</v>
      </c>
      <c r="C30051" s="1" t="s">
        <v>23490</v>
      </c>
      <c r="D30051" s="1" t="str">
        <f>HYPERLINK("https://rhld.insurance.arkansas.gov/NPILookup?Npi=1881116317","1881116317")</f>
        <v>1881116317</v>
      </c>
      <c r="E30051" t="s">
        <v>13305</v>
      </c>
    </row>
    <row r="30052" spans="1:5" x14ac:dyDescent="0.25">
      <c r="A30052" t="s">
        <v>9313</v>
      </c>
      <c r="B30052" t="s">
        <v>9314</v>
      </c>
      <c r="C30052" s="1" t="s">
        <v>23490</v>
      </c>
      <c r="D30052" s="1" t="str">
        <f>HYPERLINK("https://rhld.insurance.arkansas.gov/NPILookup?Npi=1881329142","1881329142")</f>
        <v>1881329142</v>
      </c>
      <c r="E30052" t="s">
        <v>21345</v>
      </c>
    </row>
    <row r="30053" spans="1:5" x14ac:dyDescent="0.25">
      <c r="A30053" t="s">
        <v>9313</v>
      </c>
      <c r="B30053" t="s">
        <v>9314</v>
      </c>
      <c r="C30053" s="1" t="s">
        <v>23490</v>
      </c>
      <c r="D30053" s="1" t="str">
        <f>HYPERLINK("https://rhld.insurance.arkansas.gov/NPILookup?Npi=1881333524","1881333524")</f>
        <v>1881333524</v>
      </c>
      <c r="E30053" t="s">
        <v>20841</v>
      </c>
    </row>
    <row r="30054" spans="1:5" x14ac:dyDescent="0.25">
      <c r="A30054" t="s">
        <v>9313</v>
      </c>
      <c r="B30054" t="s">
        <v>9314</v>
      </c>
      <c r="C30054" s="1" t="s">
        <v>23490</v>
      </c>
      <c r="D30054" s="1" t="str">
        <f>HYPERLINK("https://rhld.insurance.arkansas.gov/NPILookup?Npi=1881388171","1881388171")</f>
        <v>1881388171</v>
      </c>
      <c r="E30054" t="s">
        <v>22788</v>
      </c>
    </row>
    <row r="30055" spans="1:5" x14ac:dyDescent="0.25">
      <c r="A30055" t="s">
        <v>9313</v>
      </c>
      <c r="B30055" t="s">
        <v>9314</v>
      </c>
      <c r="C30055" s="1" t="s">
        <v>23490</v>
      </c>
      <c r="D30055" s="1" t="str">
        <f>HYPERLINK("https://rhld.insurance.arkansas.gov/NPILookup?Npi=1881600971","1881600971")</f>
        <v>1881600971</v>
      </c>
      <c r="E30055" t="s">
        <v>12596</v>
      </c>
    </row>
    <row r="30056" spans="1:5" x14ac:dyDescent="0.25">
      <c r="A30056" t="s">
        <v>9313</v>
      </c>
      <c r="B30056" t="s">
        <v>9314</v>
      </c>
      <c r="C30056" s="1" t="s">
        <v>23490</v>
      </c>
      <c r="D30056" s="1" t="str">
        <f>HYPERLINK("https://rhld.insurance.arkansas.gov/NPILookup?Npi=1881665206","1881665206")</f>
        <v>1881665206</v>
      </c>
      <c r="E30056" t="s">
        <v>14618</v>
      </c>
    </row>
    <row r="30057" spans="1:5" x14ac:dyDescent="0.25">
      <c r="A30057" t="s">
        <v>9313</v>
      </c>
      <c r="B30057" t="s">
        <v>9314</v>
      </c>
      <c r="C30057" s="1" t="s">
        <v>23490</v>
      </c>
      <c r="D30057" s="1" t="str">
        <f>HYPERLINK("https://rhld.insurance.arkansas.gov/NPILookup?Npi=1881679769","1881679769")</f>
        <v>1881679769</v>
      </c>
      <c r="E30057" t="s">
        <v>5095</v>
      </c>
    </row>
    <row r="30058" spans="1:5" x14ac:dyDescent="0.25">
      <c r="A30058" t="s">
        <v>9313</v>
      </c>
      <c r="B30058" t="s">
        <v>9314</v>
      </c>
      <c r="C30058" s="1" t="s">
        <v>23490</v>
      </c>
      <c r="D30058" s="1" t="str">
        <f>HYPERLINK("https://rhld.insurance.arkansas.gov/NPILookup?Npi=1881722395","1881722395")</f>
        <v>1881722395</v>
      </c>
      <c r="E30058" t="s">
        <v>9914</v>
      </c>
    </row>
    <row r="30059" spans="1:5" x14ac:dyDescent="0.25">
      <c r="A30059" t="s">
        <v>9313</v>
      </c>
      <c r="B30059" t="s">
        <v>9314</v>
      </c>
      <c r="C30059" s="1" t="s">
        <v>23490</v>
      </c>
      <c r="D30059" s="1" t="str">
        <f>HYPERLINK("https://rhld.insurance.arkansas.gov/NPILookup?Npi=1881723211","1881723211")</f>
        <v>1881723211</v>
      </c>
      <c r="E30059" t="s">
        <v>12597</v>
      </c>
    </row>
    <row r="30060" spans="1:5" x14ac:dyDescent="0.25">
      <c r="A30060" t="s">
        <v>9313</v>
      </c>
      <c r="B30060" t="s">
        <v>9314</v>
      </c>
      <c r="C30060" s="1" t="s">
        <v>23490</v>
      </c>
      <c r="D30060" s="1" t="str">
        <f>HYPERLINK("https://rhld.insurance.arkansas.gov/NPILookup?Npi=1881752079","1881752079")</f>
        <v>1881752079</v>
      </c>
      <c r="E30060" t="s">
        <v>9915</v>
      </c>
    </row>
    <row r="30061" spans="1:5" x14ac:dyDescent="0.25">
      <c r="A30061" t="s">
        <v>9313</v>
      </c>
      <c r="B30061" t="s">
        <v>9314</v>
      </c>
      <c r="C30061" s="1" t="s">
        <v>23490</v>
      </c>
      <c r="D30061" s="1" t="str">
        <f>HYPERLINK("https://rhld.insurance.arkansas.gov/NPILookup?Npi=1881777670","1881777670")</f>
        <v>1881777670</v>
      </c>
      <c r="E30061" t="s">
        <v>12598</v>
      </c>
    </row>
    <row r="30062" spans="1:5" x14ac:dyDescent="0.25">
      <c r="A30062" t="s">
        <v>9313</v>
      </c>
      <c r="B30062" t="s">
        <v>9314</v>
      </c>
      <c r="C30062" s="1" t="s">
        <v>23490</v>
      </c>
      <c r="D30062" s="1" t="str">
        <f>HYPERLINK("https://rhld.insurance.arkansas.gov/NPILookup?Npi=1881789451","1881789451")</f>
        <v>1881789451</v>
      </c>
      <c r="E30062" t="s">
        <v>9916</v>
      </c>
    </row>
    <row r="30063" spans="1:5" x14ac:dyDescent="0.25">
      <c r="A30063" t="s">
        <v>9313</v>
      </c>
      <c r="B30063" t="s">
        <v>9314</v>
      </c>
      <c r="C30063" s="1" t="s">
        <v>23490</v>
      </c>
      <c r="D30063" s="1" t="str">
        <f>HYPERLINK("https://rhld.insurance.arkansas.gov/NPILookup?Npi=1881797447","1881797447")</f>
        <v>1881797447</v>
      </c>
      <c r="E30063" t="s">
        <v>9917</v>
      </c>
    </row>
    <row r="30064" spans="1:5" x14ac:dyDescent="0.25">
      <c r="A30064" t="s">
        <v>9313</v>
      </c>
      <c r="B30064" t="s">
        <v>9314</v>
      </c>
      <c r="C30064" s="1" t="s">
        <v>23490</v>
      </c>
      <c r="D30064" s="1" t="str">
        <f>HYPERLINK("https://rhld.insurance.arkansas.gov/NPILookup?Npi=1881798957","1881798957")</f>
        <v>1881798957</v>
      </c>
      <c r="E30064" t="s">
        <v>9918</v>
      </c>
    </row>
    <row r="30065" spans="1:5" x14ac:dyDescent="0.25">
      <c r="A30065" t="s">
        <v>9313</v>
      </c>
      <c r="B30065" t="s">
        <v>9314</v>
      </c>
      <c r="C30065" s="1" t="s">
        <v>23490</v>
      </c>
      <c r="D30065" s="1" t="str">
        <f>HYPERLINK("https://rhld.insurance.arkansas.gov/NPILookup?Npi=1881848984","1881848984")</f>
        <v>1881848984</v>
      </c>
      <c r="E30065" t="s">
        <v>12599</v>
      </c>
    </row>
    <row r="30066" spans="1:5" x14ac:dyDescent="0.25">
      <c r="A30066" t="s">
        <v>9313</v>
      </c>
      <c r="B30066" t="s">
        <v>9314</v>
      </c>
      <c r="C30066" s="1" t="s">
        <v>23490</v>
      </c>
      <c r="D30066" s="1" t="str">
        <f>HYPERLINK("https://rhld.insurance.arkansas.gov/NPILookup?Npi=1881852499","1881852499")</f>
        <v>1881852499</v>
      </c>
      <c r="E30066" t="s">
        <v>9919</v>
      </c>
    </row>
    <row r="30067" spans="1:5" x14ac:dyDescent="0.25">
      <c r="A30067" t="s">
        <v>9313</v>
      </c>
      <c r="B30067" t="s">
        <v>9314</v>
      </c>
      <c r="C30067" s="1" t="s">
        <v>23490</v>
      </c>
      <c r="D30067" s="1" t="str">
        <f>HYPERLINK("https://rhld.insurance.arkansas.gov/NPILookup?Npi=1881967263","1881967263")</f>
        <v>1881967263</v>
      </c>
      <c r="E30067" t="s">
        <v>613</v>
      </c>
    </row>
    <row r="30068" spans="1:5" x14ac:dyDescent="0.25">
      <c r="A30068" t="s">
        <v>9313</v>
      </c>
      <c r="B30068" t="s">
        <v>9314</v>
      </c>
      <c r="C30068" s="1" t="s">
        <v>23490</v>
      </c>
      <c r="D30068" s="1" t="str">
        <f>HYPERLINK("https://rhld.insurance.arkansas.gov/NPILookup?Npi=1891073557","1891073557")</f>
        <v>1891073557</v>
      </c>
      <c r="E30068" t="s">
        <v>9921</v>
      </c>
    </row>
    <row r="30069" spans="1:5" x14ac:dyDescent="0.25">
      <c r="A30069" t="s">
        <v>9313</v>
      </c>
      <c r="B30069" t="s">
        <v>9314</v>
      </c>
      <c r="C30069" s="1" t="s">
        <v>23490</v>
      </c>
      <c r="D30069" s="1" t="str">
        <f>HYPERLINK("https://rhld.insurance.arkansas.gov/NPILookup?Npi=1891075404","1891075404")</f>
        <v>1891075404</v>
      </c>
      <c r="E30069" t="s">
        <v>9922</v>
      </c>
    </row>
    <row r="30070" spans="1:5" x14ac:dyDescent="0.25">
      <c r="A30070" t="s">
        <v>9313</v>
      </c>
      <c r="B30070" t="s">
        <v>9314</v>
      </c>
      <c r="C30070" s="1" t="s">
        <v>23490</v>
      </c>
      <c r="D30070" s="1" t="str">
        <f>HYPERLINK("https://rhld.insurance.arkansas.gov/NPILookup?Npi=1891079521","1891079521")</f>
        <v>1891079521</v>
      </c>
      <c r="E30070" t="s">
        <v>12600</v>
      </c>
    </row>
    <row r="30071" spans="1:5" x14ac:dyDescent="0.25">
      <c r="A30071" t="s">
        <v>9313</v>
      </c>
      <c r="B30071" t="s">
        <v>9314</v>
      </c>
      <c r="C30071" s="1" t="s">
        <v>23490</v>
      </c>
      <c r="D30071" s="1" t="str">
        <f>HYPERLINK("https://rhld.insurance.arkansas.gov/NPILookup?Npi=1891133708","1891133708")</f>
        <v>1891133708</v>
      </c>
      <c r="E30071" t="s">
        <v>9923</v>
      </c>
    </row>
    <row r="30072" spans="1:5" x14ac:dyDescent="0.25">
      <c r="A30072" t="s">
        <v>9313</v>
      </c>
      <c r="B30072" t="s">
        <v>9314</v>
      </c>
      <c r="C30072" s="1" t="s">
        <v>23490</v>
      </c>
      <c r="D30072" s="1" t="str">
        <f>HYPERLINK("https://rhld.insurance.arkansas.gov/NPILookup?Npi=1891164141","1891164141")</f>
        <v>1891164141</v>
      </c>
      <c r="E30072" t="s">
        <v>12601</v>
      </c>
    </row>
    <row r="30073" spans="1:5" x14ac:dyDescent="0.25">
      <c r="A30073" t="s">
        <v>9313</v>
      </c>
      <c r="B30073" t="s">
        <v>9314</v>
      </c>
      <c r="C30073" s="1" t="s">
        <v>23490</v>
      </c>
      <c r="D30073" s="1" t="str">
        <f>HYPERLINK("https://rhld.insurance.arkansas.gov/NPILookup?Npi=1891303509","1891303509")</f>
        <v>1891303509</v>
      </c>
      <c r="E30073" t="s">
        <v>17796</v>
      </c>
    </row>
    <row r="30074" spans="1:5" x14ac:dyDescent="0.25">
      <c r="A30074" t="s">
        <v>9313</v>
      </c>
      <c r="B30074" t="s">
        <v>9314</v>
      </c>
      <c r="C30074" s="1" t="s">
        <v>23490</v>
      </c>
      <c r="D30074" s="1" t="str">
        <f>HYPERLINK("https://rhld.insurance.arkansas.gov/NPILookup?Npi=1891349874","1891349874")</f>
        <v>1891349874</v>
      </c>
      <c r="E30074" t="s">
        <v>17797</v>
      </c>
    </row>
    <row r="30075" spans="1:5" x14ac:dyDescent="0.25">
      <c r="A30075" t="s">
        <v>9313</v>
      </c>
      <c r="B30075" t="s">
        <v>9314</v>
      </c>
      <c r="C30075" s="1" t="s">
        <v>23490</v>
      </c>
      <c r="D30075" s="1" t="str">
        <f>HYPERLINK("https://rhld.insurance.arkansas.gov/NPILookup?Npi=1891716031","1891716031")</f>
        <v>1891716031</v>
      </c>
      <c r="E30075" t="s">
        <v>9924</v>
      </c>
    </row>
    <row r="30076" spans="1:5" x14ac:dyDescent="0.25">
      <c r="A30076" t="s">
        <v>9313</v>
      </c>
      <c r="B30076" t="s">
        <v>9314</v>
      </c>
      <c r="C30076" s="1" t="s">
        <v>23490</v>
      </c>
      <c r="D30076" s="1" t="str">
        <f>HYPERLINK("https://rhld.insurance.arkansas.gov/NPILookup?Npi=1891783957","1891783957")</f>
        <v>1891783957</v>
      </c>
      <c r="E30076" t="s">
        <v>12602</v>
      </c>
    </row>
    <row r="30077" spans="1:5" x14ac:dyDescent="0.25">
      <c r="A30077" t="s">
        <v>9313</v>
      </c>
      <c r="B30077" t="s">
        <v>9314</v>
      </c>
      <c r="C30077" s="1" t="s">
        <v>23490</v>
      </c>
      <c r="D30077" s="1" t="str">
        <f>HYPERLINK("https://rhld.insurance.arkansas.gov/NPILookup?Npi=1891802625","1891802625")</f>
        <v>1891802625</v>
      </c>
      <c r="E30077" t="s">
        <v>12603</v>
      </c>
    </row>
    <row r="30078" spans="1:5" x14ac:dyDescent="0.25">
      <c r="A30078" t="s">
        <v>9313</v>
      </c>
      <c r="B30078" t="s">
        <v>9314</v>
      </c>
      <c r="C30078" s="1" t="s">
        <v>23490</v>
      </c>
      <c r="D30078" s="1" t="str">
        <f>HYPERLINK("https://rhld.insurance.arkansas.gov/NPILookup?Npi=1891827895","1891827895")</f>
        <v>1891827895</v>
      </c>
      <c r="E30078" t="s">
        <v>9925</v>
      </c>
    </row>
    <row r="30079" spans="1:5" x14ac:dyDescent="0.25">
      <c r="A30079" t="s">
        <v>9313</v>
      </c>
      <c r="B30079" t="s">
        <v>9314</v>
      </c>
      <c r="C30079" s="1" t="s">
        <v>23490</v>
      </c>
      <c r="D30079" s="1" t="str">
        <f>HYPERLINK("https://rhld.insurance.arkansas.gov/NPILookup?Npi=1891830063","1891830063")</f>
        <v>1891830063</v>
      </c>
      <c r="E30079" t="s">
        <v>12604</v>
      </c>
    </row>
    <row r="30080" spans="1:5" x14ac:dyDescent="0.25">
      <c r="A30080" t="s">
        <v>9313</v>
      </c>
      <c r="B30080" t="s">
        <v>9314</v>
      </c>
      <c r="C30080" s="1" t="s">
        <v>23490</v>
      </c>
      <c r="D30080" s="1" t="str">
        <f>HYPERLINK("https://rhld.insurance.arkansas.gov/NPILookup?Npi=1891877544","1891877544")</f>
        <v>1891877544</v>
      </c>
      <c r="E30080" t="s">
        <v>9928</v>
      </c>
    </row>
    <row r="30081" spans="1:5" x14ac:dyDescent="0.25">
      <c r="A30081" t="s">
        <v>9313</v>
      </c>
      <c r="B30081" t="s">
        <v>9314</v>
      </c>
      <c r="C30081" s="1" t="s">
        <v>23490</v>
      </c>
      <c r="D30081" s="1" t="str">
        <f>HYPERLINK("https://rhld.insurance.arkansas.gov/NPILookup?Npi=1891893582","1891893582")</f>
        <v>1891893582</v>
      </c>
      <c r="E30081" t="s">
        <v>9929</v>
      </c>
    </row>
    <row r="30082" spans="1:5" x14ac:dyDescent="0.25">
      <c r="A30082" t="s">
        <v>9313</v>
      </c>
      <c r="B30082" t="s">
        <v>9314</v>
      </c>
      <c r="C30082" s="1" t="s">
        <v>23490</v>
      </c>
      <c r="D30082" s="1" t="str">
        <f>HYPERLINK("https://rhld.insurance.arkansas.gov/NPILookup?Npi=1891901153","1891901153")</f>
        <v>1891901153</v>
      </c>
      <c r="E30082" t="s">
        <v>12605</v>
      </c>
    </row>
    <row r="30083" spans="1:5" x14ac:dyDescent="0.25">
      <c r="A30083" t="s">
        <v>9313</v>
      </c>
      <c r="B30083" t="s">
        <v>9314</v>
      </c>
      <c r="C30083" s="1" t="s">
        <v>23490</v>
      </c>
      <c r="D30083" s="1" t="str">
        <f>HYPERLINK("https://rhld.insurance.arkansas.gov/NPILookup?Npi=1902012602","1902012602")</f>
        <v>1902012602</v>
      </c>
      <c r="E30083" t="s">
        <v>12606</v>
      </c>
    </row>
    <row r="30084" spans="1:5" x14ac:dyDescent="0.25">
      <c r="A30084" t="s">
        <v>9313</v>
      </c>
      <c r="B30084" t="s">
        <v>9314</v>
      </c>
      <c r="C30084" s="1" t="s">
        <v>23490</v>
      </c>
      <c r="D30084" s="1" t="str">
        <f>HYPERLINK("https://rhld.insurance.arkansas.gov/NPILookup?Npi=1902033558","1902033558")</f>
        <v>1902033558</v>
      </c>
      <c r="E30084" t="s">
        <v>9930</v>
      </c>
    </row>
    <row r="30085" spans="1:5" x14ac:dyDescent="0.25">
      <c r="A30085" t="s">
        <v>9313</v>
      </c>
      <c r="B30085" t="s">
        <v>9314</v>
      </c>
      <c r="C30085" s="1" t="s">
        <v>23490</v>
      </c>
      <c r="D30085" s="1" t="str">
        <f>HYPERLINK("https://rhld.insurance.arkansas.gov/NPILookup?Npi=1902053135","1902053135")</f>
        <v>1902053135</v>
      </c>
      <c r="E30085" t="s">
        <v>12607</v>
      </c>
    </row>
    <row r="30086" spans="1:5" x14ac:dyDescent="0.25">
      <c r="A30086" t="s">
        <v>9313</v>
      </c>
      <c r="B30086" t="s">
        <v>9314</v>
      </c>
      <c r="C30086" s="1" t="s">
        <v>23490</v>
      </c>
      <c r="D30086" s="1" t="str">
        <f>HYPERLINK("https://rhld.insurance.arkansas.gov/NPILookup?Npi=1902077050","1902077050")</f>
        <v>1902077050</v>
      </c>
      <c r="E30086" t="s">
        <v>22789</v>
      </c>
    </row>
    <row r="30087" spans="1:5" x14ac:dyDescent="0.25">
      <c r="A30087" t="s">
        <v>9313</v>
      </c>
      <c r="B30087" t="s">
        <v>9314</v>
      </c>
      <c r="C30087" s="1" t="s">
        <v>23490</v>
      </c>
      <c r="D30087" s="1" t="str">
        <f>HYPERLINK("https://rhld.insurance.arkansas.gov/NPILookup?Npi=1902161334","1902161334")</f>
        <v>1902161334</v>
      </c>
      <c r="E30087" t="s">
        <v>12608</v>
      </c>
    </row>
    <row r="30088" spans="1:5" x14ac:dyDescent="0.25">
      <c r="A30088" t="s">
        <v>9313</v>
      </c>
      <c r="B30088" t="s">
        <v>9314</v>
      </c>
      <c r="C30088" s="1" t="s">
        <v>23490</v>
      </c>
      <c r="D30088" s="1" t="str">
        <f>HYPERLINK("https://rhld.insurance.arkansas.gov/NPILookup?Npi=1902257090","1902257090")</f>
        <v>1902257090</v>
      </c>
      <c r="E30088" t="s">
        <v>9931</v>
      </c>
    </row>
    <row r="30089" spans="1:5" x14ac:dyDescent="0.25">
      <c r="A30089" t="s">
        <v>9313</v>
      </c>
      <c r="B30089" t="s">
        <v>9314</v>
      </c>
      <c r="C30089" s="1" t="s">
        <v>23490</v>
      </c>
      <c r="D30089" s="1" t="str">
        <f>HYPERLINK("https://rhld.insurance.arkansas.gov/NPILookup?Npi=1902286453","1902286453")</f>
        <v>1902286453</v>
      </c>
      <c r="E30089" t="s">
        <v>17798</v>
      </c>
    </row>
    <row r="30090" spans="1:5" x14ac:dyDescent="0.25">
      <c r="A30090" t="s">
        <v>9313</v>
      </c>
      <c r="B30090" t="s">
        <v>9314</v>
      </c>
      <c r="C30090" s="1" t="s">
        <v>23490</v>
      </c>
      <c r="D30090" s="1" t="str">
        <f>HYPERLINK("https://rhld.insurance.arkansas.gov/NPILookup?Npi=1902547037","1902547037")</f>
        <v>1902547037</v>
      </c>
      <c r="E30090" t="s">
        <v>21346</v>
      </c>
    </row>
    <row r="30091" spans="1:5" x14ac:dyDescent="0.25">
      <c r="A30091" t="s">
        <v>9313</v>
      </c>
      <c r="B30091" t="s">
        <v>9314</v>
      </c>
      <c r="C30091" s="1" t="s">
        <v>23490</v>
      </c>
      <c r="D30091" s="1" t="str">
        <f>HYPERLINK("https://rhld.insurance.arkansas.gov/NPILookup?Npi=1902557176","1902557176")</f>
        <v>1902557176</v>
      </c>
      <c r="E30091" t="s">
        <v>20842</v>
      </c>
    </row>
    <row r="30092" spans="1:5" x14ac:dyDescent="0.25">
      <c r="A30092" t="s">
        <v>9313</v>
      </c>
      <c r="B30092" t="s">
        <v>9314</v>
      </c>
      <c r="C30092" s="1" t="s">
        <v>23490</v>
      </c>
      <c r="D30092" s="1" t="str">
        <f>HYPERLINK("https://rhld.insurance.arkansas.gov/NPILookup?Npi=1902812852","1902812852")</f>
        <v>1902812852</v>
      </c>
      <c r="E30092" t="s">
        <v>2655</v>
      </c>
    </row>
    <row r="30093" spans="1:5" x14ac:dyDescent="0.25">
      <c r="A30093" t="s">
        <v>9313</v>
      </c>
      <c r="B30093" t="s">
        <v>9314</v>
      </c>
      <c r="C30093" s="1" t="s">
        <v>23490</v>
      </c>
      <c r="D30093" s="1" t="str">
        <f>HYPERLINK("https://rhld.insurance.arkansas.gov/NPILookup?Npi=1902820863","1902820863")</f>
        <v>1902820863</v>
      </c>
      <c r="E30093" t="s">
        <v>9932</v>
      </c>
    </row>
    <row r="30094" spans="1:5" x14ac:dyDescent="0.25">
      <c r="A30094" t="s">
        <v>9313</v>
      </c>
      <c r="B30094" t="s">
        <v>9314</v>
      </c>
      <c r="C30094" s="1" t="s">
        <v>23490</v>
      </c>
      <c r="D30094" s="1" t="str">
        <f>HYPERLINK("https://rhld.insurance.arkansas.gov/NPILookup?Npi=1902828148","1902828148")</f>
        <v>1902828148</v>
      </c>
      <c r="E30094" t="s">
        <v>12609</v>
      </c>
    </row>
    <row r="30095" spans="1:5" x14ac:dyDescent="0.25">
      <c r="A30095" t="s">
        <v>9313</v>
      </c>
      <c r="B30095" t="s">
        <v>9314</v>
      </c>
      <c r="C30095" s="1" t="s">
        <v>23490</v>
      </c>
      <c r="D30095" s="1" t="str">
        <f>HYPERLINK("https://rhld.insurance.arkansas.gov/NPILookup?Npi=1902830722","1902830722")</f>
        <v>1902830722</v>
      </c>
      <c r="E30095" t="s">
        <v>9930</v>
      </c>
    </row>
    <row r="30096" spans="1:5" x14ac:dyDescent="0.25">
      <c r="A30096" t="s">
        <v>9313</v>
      </c>
      <c r="B30096" t="s">
        <v>9314</v>
      </c>
      <c r="C30096" s="1" t="s">
        <v>23490</v>
      </c>
      <c r="D30096" s="1" t="str">
        <f>HYPERLINK("https://rhld.insurance.arkansas.gov/NPILookup?Npi=1902863145","1902863145")</f>
        <v>1902863145</v>
      </c>
      <c r="E30096" t="s">
        <v>12610</v>
      </c>
    </row>
    <row r="30097" spans="1:5" x14ac:dyDescent="0.25">
      <c r="A30097" t="s">
        <v>9313</v>
      </c>
      <c r="B30097" t="s">
        <v>9314</v>
      </c>
      <c r="C30097" s="1" t="s">
        <v>23490</v>
      </c>
      <c r="D30097" s="1" t="str">
        <f>HYPERLINK("https://rhld.insurance.arkansas.gov/NPILookup?Npi=1902890791","1902890791")</f>
        <v>1902890791</v>
      </c>
      <c r="E30097" t="s">
        <v>9933</v>
      </c>
    </row>
    <row r="30098" spans="1:5" x14ac:dyDescent="0.25">
      <c r="A30098" t="s">
        <v>9313</v>
      </c>
      <c r="B30098" t="s">
        <v>9314</v>
      </c>
      <c r="C30098" s="1" t="s">
        <v>23490</v>
      </c>
      <c r="D30098" s="1" t="str">
        <f>HYPERLINK("https://rhld.insurance.arkansas.gov/NPILookup?Npi=1902931082","1902931082")</f>
        <v>1902931082</v>
      </c>
      <c r="E30098" t="s">
        <v>9934</v>
      </c>
    </row>
    <row r="30099" spans="1:5" x14ac:dyDescent="0.25">
      <c r="A30099" t="s">
        <v>9313</v>
      </c>
      <c r="B30099" t="s">
        <v>9314</v>
      </c>
      <c r="C30099" s="1" t="s">
        <v>23490</v>
      </c>
      <c r="D30099" s="1" t="str">
        <f>HYPERLINK("https://rhld.insurance.arkansas.gov/NPILookup?Npi=1902966229","1902966229")</f>
        <v>1902966229</v>
      </c>
      <c r="E30099" t="s">
        <v>9935</v>
      </c>
    </row>
    <row r="30100" spans="1:5" x14ac:dyDescent="0.25">
      <c r="A30100" t="s">
        <v>9313</v>
      </c>
      <c r="B30100" t="s">
        <v>9314</v>
      </c>
      <c r="C30100" s="1" t="s">
        <v>23490</v>
      </c>
      <c r="D30100" s="1" t="str">
        <f>HYPERLINK("https://rhld.insurance.arkansas.gov/NPILookup?Npi=1902971708","1902971708")</f>
        <v>1902971708</v>
      </c>
      <c r="E30100" t="s">
        <v>9936</v>
      </c>
    </row>
    <row r="30101" spans="1:5" x14ac:dyDescent="0.25">
      <c r="A30101" t="s">
        <v>9313</v>
      </c>
      <c r="B30101" t="s">
        <v>9314</v>
      </c>
      <c r="C30101" s="1" t="s">
        <v>23490</v>
      </c>
      <c r="D30101" s="1" t="str">
        <f>HYPERLINK("https://rhld.insurance.arkansas.gov/NPILookup?Npi=1902982044","1902982044")</f>
        <v>1902982044</v>
      </c>
      <c r="E30101" t="s">
        <v>9937</v>
      </c>
    </row>
    <row r="30102" spans="1:5" x14ac:dyDescent="0.25">
      <c r="A30102" t="s">
        <v>9313</v>
      </c>
      <c r="B30102" t="s">
        <v>9314</v>
      </c>
      <c r="C30102" s="1" t="s">
        <v>23490</v>
      </c>
      <c r="D30102" s="1" t="str">
        <f>HYPERLINK("https://rhld.insurance.arkansas.gov/NPILookup?Npi=1902986045","1902986045")</f>
        <v>1902986045</v>
      </c>
      <c r="E30102" t="s">
        <v>9938</v>
      </c>
    </row>
    <row r="30103" spans="1:5" x14ac:dyDescent="0.25">
      <c r="A30103" t="s">
        <v>9313</v>
      </c>
      <c r="B30103" t="s">
        <v>9314</v>
      </c>
      <c r="C30103" s="1" t="s">
        <v>8427</v>
      </c>
      <c r="D30103" s="1" t="str">
        <f>HYPERLINK("https://rhld.insurance.arkansas.gov/NPILookup?Npi=1902989460","1902989460")</f>
        <v>1902989460</v>
      </c>
      <c r="E30103" t="s">
        <v>23377</v>
      </c>
    </row>
    <row r="30104" spans="1:5" x14ac:dyDescent="0.25">
      <c r="A30104" t="s">
        <v>9313</v>
      </c>
      <c r="B30104" t="s">
        <v>9314</v>
      </c>
      <c r="C30104" s="1" t="s">
        <v>23490</v>
      </c>
      <c r="D30104" s="1" t="str">
        <f>HYPERLINK("https://rhld.insurance.arkansas.gov/NPILookup?Npi=1902998164","1902998164")</f>
        <v>1902998164</v>
      </c>
      <c r="E30104" t="s">
        <v>12611</v>
      </c>
    </row>
    <row r="30105" spans="1:5" x14ac:dyDescent="0.25">
      <c r="A30105" t="s">
        <v>9313</v>
      </c>
      <c r="B30105" t="s">
        <v>9314</v>
      </c>
      <c r="C30105" s="1" t="s">
        <v>23490</v>
      </c>
      <c r="D30105" s="1" t="str">
        <f>HYPERLINK("https://rhld.insurance.arkansas.gov/NPILookup?Npi=1912012097","1912012097")</f>
        <v>1912012097</v>
      </c>
      <c r="E30105" t="s">
        <v>12612</v>
      </c>
    </row>
    <row r="30106" spans="1:5" x14ac:dyDescent="0.25">
      <c r="A30106" t="s">
        <v>9313</v>
      </c>
      <c r="B30106" t="s">
        <v>9314</v>
      </c>
      <c r="C30106" s="1" t="s">
        <v>23490</v>
      </c>
      <c r="D30106" s="1" t="str">
        <f>HYPERLINK("https://rhld.insurance.arkansas.gov/NPILookup?Npi=1912015348","1912015348")</f>
        <v>1912015348</v>
      </c>
      <c r="E30106" t="s">
        <v>20843</v>
      </c>
    </row>
    <row r="30107" spans="1:5" x14ac:dyDescent="0.25">
      <c r="A30107" t="s">
        <v>9313</v>
      </c>
      <c r="B30107" t="s">
        <v>9314</v>
      </c>
      <c r="C30107" s="1" t="s">
        <v>23490</v>
      </c>
      <c r="D30107" s="1" t="str">
        <f>HYPERLINK("https://rhld.insurance.arkansas.gov/NPILookup?Npi=1912034810","1912034810")</f>
        <v>1912034810</v>
      </c>
      <c r="E30107" t="s">
        <v>9939</v>
      </c>
    </row>
    <row r="30108" spans="1:5" x14ac:dyDescent="0.25">
      <c r="A30108" t="s">
        <v>9313</v>
      </c>
      <c r="B30108" t="s">
        <v>9314</v>
      </c>
      <c r="C30108" s="1" t="s">
        <v>23490</v>
      </c>
      <c r="D30108" s="1" t="str">
        <f>HYPERLINK("https://rhld.insurance.arkansas.gov/NPILookup?Npi=1912067448","1912067448")</f>
        <v>1912067448</v>
      </c>
      <c r="E30108" t="s">
        <v>9940</v>
      </c>
    </row>
    <row r="30109" spans="1:5" x14ac:dyDescent="0.25">
      <c r="A30109" t="s">
        <v>9313</v>
      </c>
      <c r="B30109" t="s">
        <v>9314</v>
      </c>
      <c r="C30109" s="1" t="s">
        <v>23490</v>
      </c>
      <c r="D30109" s="1" t="str">
        <f>HYPERLINK("https://rhld.insurance.arkansas.gov/NPILookup?Npi=1912080748","1912080748")</f>
        <v>1912080748</v>
      </c>
      <c r="E30109" t="s">
        <v>12613</v>
      </c>
    </row>
    <row r="30110" spans="1:5" x14ac:dyDescent="0.25">
      <c r="A30110" t="s">
        <v>9313</v>
      </c>
      <c r="B30110" t="s">
        <v>9314</v>
      </c>
      <c r="C30110" s="1" t="s">
        <v>23490</v>
      </c>
      <c r="D30110" s="1" t="str">
        <f>HYPERLINK("https://rhld.insurance.arkansas.gov/NPILookup?Npi=1912082983","1912082983")</f>
        <v>1912082983</v>
      </c>
      <c r="E30110" t="s">
        <v>12614</v>
      </c>
    </row>
    <row r="30111" spans="1:5" x14ac:dyDescent="0.25">
      <c r="A30111" t="s">
        <v>9313</v>
      </c>
      <c r="B30111" t="s">
        <v>9314</v>
      </c>
      <c r="C30111" s="1" t="s">
        <v>23490</v>
      </c>
      <c r="D30111" s="1" t="str">
        <f>HYPERLINK("https://rhld.insurance.arkansas.gov/NPILookup?Npi=1912437781","1912437781")</f>
        <v>1912437781</v>
      </c>
      <c r="E30111" t="s">
        <v>12615</v>
      </c>
    </row>
    <row r="30112" spans="1:5" x14ac:dyDescent="0.25">
      <c r="A30112" t="s">
        <v>9313</v>
      </c>
      <c r="B30112" t="s">
        <v>9314</v>
      </c>
      <c r="C30112" s="1" t="s">
        <v>23490</v>
      </c>
      <c r="D30112" s="1" t="str">
        <f>HYPERLINK("https://rhld.insurance.arkansas.gov/NPILookup?Npi=1912524026","1912524026")</f>
        <v>1912524026</v>
      </c>
      <c r="E30112" t="s">
        <v>17799</v>
      </c>
    </row>
    <row r="30113" spans="1:5" x14ac:dyDescent="0.25">
      <c r="A30113" t="s">
        <v>9313</v>
      </c>
      <c r="B30113" t="s">
        <v>9314</v>
      </c>
      <c r="C30113" s="1" t="s">
        <v>23490</v>
      </c>
      <c r="D30113" s="1" t="str">
        <f>HYPERLINK("https://rhld.insurance.arkansas.gov/NPILookup?Npi=1912531583","1912531583")</f>
        <v>1912531583</v>
      </c>
      <c r="E30113" t="s">
        <v>21347</v>
      </c>
    </row>
    <row r="30114" spans="1:5" x14ac:dyDescent="0.25">
      <c r="A30114" t="s">
        <v>9313</v>
      </c>
      <c r="B30114" t="s">
        <v>9314</v>
      </c>
      <c r="C30114" s="1" t="s">
        <v>23490</v>
      </c>
      <c r="D30114" s="1" t="str">
        <f>HYPERLINK("https://rhld.insurance.arkansas.gov/NPILookup?Npi=1912939273","1912939273")</f>
        <v>1912939273</v>
      </c>
      <c r="E30114" t="s">
        <v>9941</v>
      </c>
    </row>
    <row r="30115" spans="1:5" x14ac:dyDescent="0.25">
      <c r="A30115" t="s">
        <v>9313</v>
      </c>
      <c r="B30115" t="s">
        <v>9314</v>
      </c>
      <c r="C30115" s="1" t="s">
        <v>23490</v>
      </c>
      <c r="D30115" s="1" t="str">
        <f>HYPERLINK("https://rhld.insurance.arkansas.gov/NPILookup?Npi=1922000595","1922000595")</f>
        <v>1922000595</v>
      </c>
      <c r="E30115" t="s">
        <v>9942</v>
      </c>
    </row>
    <row r="30116" spans="1:5" x14ac:dyDescent="0.25">
      <c r="A30116" t="s">
        <v>9313</v>
      </c>
      <c r="B30116" t="s">
        <v>9314</v>
      </c>
      <c r="C30116" s="1" t="s">
        <v>23490</v>
      </c>
      <c r="D30116" s="1" t="str">
        <f>HYPERLINK("https://rhld.insurance.arkansas.gov/NPILookup?Npi=1922043348","1922043348")</f>
        <v>1922043348</v>
      </c>
      <c r="E30116" t="s">
        <v>9943</v>
      </c>
    </row>
    <row r="30117" spans="1:5" x14ac:dyDescent="0.25">
      <c r="A30117" t="s">
        <v>9313</v>
      </c>
      <c r="B30117" t="s">
        <v>9314</v>
      </c>
      <c r="C30117" s="1" t="s">
        <v>23490</v>
      </c>
      <c r="D30117" s="1" t="str">
        <f>HYPERLINK("https://rhld.insurance.arkansas.gov/NPILookup?Npi=1922044247","1922044247")</f>
        <v>1922044247</v>
      </c>
      <c r="E30117" t="s">
        <v>9944</v>
      </c>
    </row>
    <row r="30118" spans="1:5" x14ac:dyDescent="0.25">
      <c r="A30118" t="s">
        <v>9313</v>
      </c>
      <c r="B30118" t="s">
        <v>9314</v>
      </c>
      <c r="C30118" s="1" t="s">
        <v>23490</v>
      </c>
      <c r="D30118" s="1" t="str">
        <f>HYPERLINK("https://rhld.insurance.arkansas.gov/NPILookup?Npi=1922086719","1922086719")</f>
        <v>1922086719</v>
      </c>
      <c r="E30118" t="s">
        <v>12616</v>
      </c>
    </row>
    <row r="30119" spans="1:5" x14ac:dyDescent="0.25">
      <c r="A30119" t="s">
        <v>9313</v>
      </c>
      <c r="B30119" t="s">
        <v>9314</v>
      </c>
      <c r="C30119" s="1" t="s">
        <v>23490</v>
      </c>
      <c r="D30119" s="1" t="str">
        <f>HYPERLINK("https://rhld.insurance.arkansas.gov/NPILookup?Npi=1922099456","1922099456")</f>
        <v>1922099456</v>
      </c>
      <c r="E30119" t="s">
        <v>12617</v>
      </c>
    </row>
    <row r="30120" spans="1:5" x14ac:dyDescent="0.25">
      <c r="A30120" t="s">
        <v>9313</v>
      </c>
      <c r="B30120" t="s">
        <v>9314</v>
      </c>
      <c r="C30120" s="1" t="s">
        <v>23490</v>
      </c>
      <c r="D30120" s="1" t="str">
        <f>HYPERLINK("https://rhld.insurance.arkansas.gov/NPILookup?Npi=1922102300","1922102300")</f>
        <v>1922102300</v>
      </c>
      <c r="E30120" t="s">
        <v>9945</v>
      </c>
    </row>
    <row r="30121" spans="1:5" x14ac:dyDescent="0.25">
      <c r="A30121" t="s">
        <v>9313</v>
      </c>
      <c r="B30121" t="s">
        <v>9314</v>
      </c>
      <c r="C30121" s="1" t="s">
        <v>23490</v>
      </c>
      <c r="D30121" s="1" t="str">
        <f>HYPERLINK("https://rhld.insurance.arkansas.gov/NPILookup?Npi=1922137108","1922137108")</f>
        <v>1922137108</v>
      </c>
      <c r="E30121" t="s">
        <v>9946</v>
      </c>
    </row>
    <row r="30122" spans="1:5" x14ac:dyDescent="0.25">
      <c r="A30122" t="s">
        <v>9313</v>
      </c>
      <c r="B30122" t="s">
        <v>9314</v>
      </c>
      <c r="C30122" s="1" t="s">
        <v>23490</v>
      </c>
      <c r="D30122" s="1" t="str">
        <f>HYPERLINK("https://rhld.insurance.arkansas.gov/NPILookup?Npi=1922193697","1922193697")</f>
        <v>1922193697</v>
      </c>
      <c r="E30122" t="s">
        <v>9947</v>
      </c>
    </row>
    <row r="30123" spans="1:5" x14ac:dyDescent="0.25">
      <c r="A30123" t="s">
        <v>9313</v>
      </c>
      <c r="B30123" t="s">
        <v>9314</v>
      </c>
      <c r="C30123" s="1" t="s">
        <v>23490</v>
      </c>
      <c r="D30123" s="1" t="str">
        <f>HYPERLINK("https://rhld.insurance.arkansas.gov/NPILookup?Npi=1922193937","1922193937")</f>
        <v>1922193937</v>
      </c>
      <c r="E30123" t="s">
        <v>9948</v>
      </c>
    </row>
    <row r="30124" spans="1:5" x14ac:dyDescent="0.25">
      <c r="A30124" t="s">
        <v>9313</v>
      </c>
      <c r="B30124" t="s">
        <v>9314</v>
      </c>
      <c r="C30124" s="1" t="s">
        <v>23490</v>
      </c>
      <c r="D30124" s="1" t="str">
        <f>HYPERLINK("https://rhld.insurance.arkansas.gov/NPILookup?Npi=1922196997","1922196997")</f>
        <v>1922196997</v>
      </c>
      <c r="E30124" t="s">
        <v>12618</v>
      </c>
    </row>
    <row r="30125" spans="1:5" x14ac:dyDescent="0.25">
      <c r="A30125" t="s">
        <v>9313</v>
      </c>
      <c r="B30125" t="s">
        <v>9314</v>
      </c>
      <c r="C30125" s="1" t="s">
        <v>23490</v>
      </c>
      <c r="D30125" s="1" t="str">
        <f>HYPERLINK("https://rhld.insurance.arkansas.gov/NPILookup?Npi=1922202936","1922202936")</f>
        <v>1922202936</v>
      </c>
      <c r="E30125" t="s">
        <v>12619</v>
      </c>
    </row>
    <row r="30126" spans="1:5" x14ac:dyDescent="0.25">
      <c r="A30126" t="s">
        <v>9313</v>
      </c>
      <c r="B30126" t="s">
        <v>9314</v>
      </c>
      <c r="C30126" s="1" t="s">
        <v>23490</v>
      </c>
      <c r="D30126" s="1" t="str">
        <f>HYPERLINK("https://rhld.insurance.arkansas.gov/NPILookup?Npi=1922262435","1922262435")</f>
        <v>1922262435</v>
      </c>
      <c r="E30126" t="s">
        <v>12620</v>
      </c>
    </row>
    <row r="30127" spans="1:5" x14ac:dyDescent="0.25">
      <c r="A30127" t="s">
        <v>9313</v>
      </c>
      <c r="B30127" t="s">
        <v>9314</v>
      </c>
      <c r="C30127" s="1" t="s">
        <v>23490</v>
      </c>
      <c r="D30127" s="1" t="str">
        <f>HYPERLINK("https://rhld.insurance.arkansas.gov/NPILookup?Npi=1922361211","1922361211")</f>
        <v>1922361211</v>
      </c>
      <c r="E30127" t="s">
        <v>9949</v>
      </c>
    </row>
    <row r="30128" spans="1:5" x14ac:dyDescent="0.25">
      <c r="A30128" t="s">
        <v>9313</v>
      </c>
      <c r="B30128" t="s">
        <v>9314</v>
      </c>
      <c r="C30128" s="1" t="s">
        <v>23490</v>
      </c>
      <c r="D30128" s="1" t="str">
        <f>HYPERLINK("https://rhld.insurance.arkansas.gov/NPILookup?Npi=1922362508","1922362508")</f>
        <v>1922362508</v>
      </c>
      <c r="E30128" t="s">
        <v>9950</v>
      </c>
    </row>
    <row r="30129" spans="1:5" x14ac:dyDescent="0.25">
      <c r="A30129" t="s">
        <v>9313</v>
      </c>
      <c r="B30129" t="s">
        <v>9314</v>
      </c>
      <c r="C30129" s="1" t="s">
        <v>23490</v>
      </c>
      <c r="D30129" s="1" t="str">
        <f>HYPERLINK("https://rhld.insurance.arkansas.gov/NPILookup?Npi=1922457332","1922457332")</f>
        <v>1922457332</v>
      </c>
      <c r="E30129" t="s">
        <v>12621</v>
      </c>
    </row>
    <row r="30130" spans="1:5" x14ac:dyDescent="0.25">
      <c r="A30130" t="s">
        <v>9313</v>
      </c>
      <c r="B30130" t="s">
        <v>9314</v>
      </c>
      <c r="C30130" s="1" t="s">
        <v>23490</v>
      </c>
      <c r="D30130" s="1" t="str">
        <f>HYPERLINK("https://rhld.insurance.arkansas.gov/NPILookup?Npi=1922458090","1922458090")</f>
        <v>1922458090</v>
      </c>
      <c r="E30130" t="s">
        <v>12622</v>
      </c>
    </row>
    <row r="30131" spans="1:5" x14ac:dyDescent="0.25">
      <c r="A30131" t="s">
        <v>9313</v>
      </c>
      <c r="B30131" t="s">
        <v>9314</v>
      </c>
      <c r="C30131" s="1" t="s">
        <v>23490</v>
      </c>
      <c r="D30131" s="1" t="str">
        <f>HYPERLINK("https://rhld.insurance.arkansas.gov/NPILookup?Npi=1922480797","1922480797")</f>
        <v>1922480797</v>
      </c>
      <c r="E30131" t="s">
        <v>12623</v>
      </c>
    </row>
    <row r="30132" spans="1:5" x14ac:dyDescent="0.25">
      <c r="A30132" t="s">
        <v>9313</v>
      </c>
      <c r="B30132" t="s">
        <v>9314</v>
      </c>
      <c r="C30132" s="1" t="s">
        <v>23490</v>
      </c>
      <c r="D30132" s="1" t="str">
        <f>HYPERLINK("https://rhld.insurance.arkansas.gov/NPILookup?Npi=1922593433","1922593433")</f>
        <v>1922593433</v>
      </c>
      <c r="E30132" t="s">
        <v>17334</v>
      </c>
    </row>
    <row r="30133" spans="1:5" x14ac:dyDescent="0.25">
      <c r="A30133" t="s">
        <v>9313</v>
      </c>
      <c r="B30133" t="s">
        <v>9314</v>
      </c>
      <c r="C30133" s="1" t="s">
        <v>23490</v>
      </c>
      <c r="D30133" s="1" t="str">
        <f>HYPERLINK("https://rhld.insurance.arkansas.gov/NPILookup?Npi=1922596931","1922596931")</f>
        <v>1922596931</v>
      </c>
      <c r="E30133" t="s">
        <v>17825</v>
      </c>
    </row>
    <row r="30134" spans="1:5" x14ac:dyDescent="0.25">
      <c r="A30134" t="s">
        <v>9313</v>
      </c>
      <c r="B30134" t="s">
        <v>9314</v>
      </c>
      <c r="C30134" s="1" t="s">
        <v>23490</v>
      </c>
      <c r="D30134" s="1" t="str">
        <f>HYPERLINK("https://rhld.insurance.arkansas.gov/NPILookup?Npi=1922671791","1922671791")</f>
        <v>1922671791</v>
      </c>
      <c r="E30134" t="s">
        <v>22790</v>
      </c>
    </row>
    <row r="30135" spans="1:5" x14ac:dyDescent="0.25">
      <c r="A30135" t="s">
        <v>9313</v>
      </c>
      <c r="B30135" t="s">
        <v>9314</v>
      </c>
      <c r="C30135" s="1" t="s">
        <v>23490</v>
      </c>
      <c r="D30135" s="1" t="str">
        <f>HYPERLINK("https://rhld.insurance.arkansas.gov/NPILookup?Npi=1932116167","1932116167")</f>
        <v>1932116167</v>
      </c>
      <c r="E30135" t="s">
        <v>9951</v>
      </c>
    </row>
    <row r="30136" spans="1:5" x14ac:dyDescent="0.25">
      <c r="A30136" t="s">
        <v>9313</v>
      </c>
      <c r="B30136" t="s">
        <v>9314</v>
      </c>
      <c r="C30136" s="1" t="s">
        <v>23490</v>
      </c>
      <c r="D30136" s="1" t="str">
        <f>HYPERLINK("https://rhld.insurance.arkansas.gov/NPILookup?Npi=1932119054","1932119054")</f>
        <v>1932119054</v>
      </c>
      <c r="E30136" t="s">
        <v>6538</v>
      </c>
    </row>
    <row r="30137" spans="1:5" x14ac:dyDescent="0.25">
      <c r="A30137" t="s">
        <v>9313</v>
      </c>
      <c r="B30137" t="s">
        <v>9314</v>
      </c>
      <c r="C30137" s="1" t="s">
        <v>23490</v>
      </c>
      <c r="D30137" s="1" t="str">
        <f>HYPERLINK("https://rhld.insurance.arkansas.gov/NPILookup?Npi=1932119914","1932119914")</f>
        <v>1932119914</v>
      </c>
      <c r="E30137" t="s">
        <v>12624</v>
      </c>
    </row>
    <row r="30138" spans="1:5" x14ac:dyDescent="0.25">
      <c r="A30138" t="s">
        <v>9313</v>
      </c>
      <c r="B30138" t="s">
        <v>9314</v>
      </c>
      <c r="C30138" s="1" t="s">
        <v>23490</v>
      </c>
      <c r="D30138" s="1" t="str">
        <f>HYPERLINK("https://rhld.insurance.arkansas.gov/NPILookup?Npi=1932150042","1932150042")</f>
        <v>1932150042</v>
      </c>
      <c r="E30138" t="s">
        <v>18609</v>
      </c>
    </row>
    <row r="30139" spans="1:5" x14ac:dyDescent="0.25">
      <c r="A30139" t="s">
        <v>9313</v>
      </c>
      <c r="B30139" t="s">
        <v>9314</v>
      </c>
      <c r="C30139" s="1" t="s">
        <v>23490</v>
      </c>
      <c r="D30139" s="1" t="str">
        <f>HYPERLINK("https://rhld.insurance.arkansas.gov/NPILookup?Npi=1932167848","1932167848")</f>
        <v>1932167848</v>
      </c>
      <c r="E30139" t="s">
        <v>12625</v>
      </c>
    </row>
    <row r="30140" spans="1:5" x14ac:dyDescent="0.25">
      <c r="A30140" t="s">
        <v>9313</v>
      </c>
      <c r="B30140" t="s">
        <v>9314</v>
      </c>
      <c r="C30140" s="1" t="s">
        <v>23490</v>
      </c>
      <c r="D30140" s="1" t="str">
        <f>HYPERLINK("https://rhld.insurance.arkansas.gov/NPILookup?Npi=1932243094","1932243094")</f>
        <v>1932243094</v>
      </c>
      <c r="E30140" t="s">
        <v>12626</v>
      </c>
    </row>
    <row r="30141" spans="1:5" x14ac:dyDescent="0.25">
      <c r="A30141" t="s">
        <v>9313</v>
      </c>
      <c r="B30141" t="s">
        <v>9314</v>
      </c>
      <c r="C30141" s="1" t="s">
        <v>23490</v>
      </c>
      <c r="D30141" s="1" t="str">
        <f>HYPERLINK("https://rhld.insurance.arkansas.gov/NPILookup?Npi=1932264991","1932264991")</f>
        <v>1932264991</v>
      </c>
      <c r="E30141" t="s">
        <v>14619</v>
      </c>
    </row>
    <row r="30142" spans="1:5" x14ac:dyDescent="0.25">
      <c r="A30142" t="s">
        <v>9313</v>
      </c>
      <c r="B30142" t="s">
        <v>9314</v>
      </c>
      <c r="C30142" s="1" t="s">
        <v>23490</v>
      </c>
      <c r="D30142" s="1" t="str">
        <f>HYPERLINK("https://rhld.insurance.arkansas.gov/NPILookup?Npi=1932284999","1932284999")</f>
        <v>1932284999</v>
      </c>
      <c r="E30142" t="s">
        <v>12627</v>
      </c>
    </row>
    <row r="30143" spans="1:5" x14ac:dyDescent="0.25">
      <c r="A30143" t="s">
        <v>9313</v>
      </c>
      <c r="B30143" t="s">
        <v>9314</v>
      </c>
      <c r="C30143" s="1" t="s">
        <v>23490</v>
      </c>
      <c r="D30143" s="1" t="str">
        <f>HYPERLINK("https://rhld.insurance.arkansas.gov/NPILookup?Npi=1932291382","1932291382")</f>
        <v>1932291382</v>
      </c>
      <c r="E30143" t="s">
        <v>9952</v>
      </c>
    </row>
    <row r="30144" spans="1:5" x14ac:dyDescent="0.25">
      <c r="A30144" t="s">
        <v>9313</v>
      </c>
      <c r="B30144" t="s">
        <v>9314</v>
      </c>
      <c r="C30144" s="1" t="s">
        <v>23490</v>
      </c>
      <c r="D30144" s="1" t="str">
        <f>HYPERLINK("https://rhld.insurance.arkansas.gov/NPILookup?Npi=1932372356","1932372356")</f>
        <v>1932372356</v>
      </c>
      <c r="E30144" t="s">
        <v>12628</v>
      </c>
    </row>
    <row r="30145" spans="1:5" x14ac:dyDescent="0.25">
      <c r="A30145" t="s">
        <v>9313</v>
      </c>
      <c r="B30145" t="s">
        <v>9314</v>
      </c>
      <c r="C30145" s="1" t="s">
        <v>23490</v>
      </c>
      <c r="D30145" s="1" t="str">
        <f>HYPERLINK("https://rhld.insurance.arkansas.gov/NPILookup?Npi=1932381720","1932381720")</f>
        <v>1932381720</v>
      </c>
      <c r="E30145" t="s">
        <v>12629</v>
      </c>
    </row>
    <row r="30146" spans="1:5" x14ac:dyDescent="0.25">
      <c r="A30146" t="s">
        <v>9313</v>
      </c>
      <c r="B30146" t="s">
        <v>9314</v>
      </c>
      <c r="C30146" s="1" t="s">
        <v>23490</v>
      </c>
      <c r="D30146" s="1" t="str">
        <f>HYPERLINK("https://rhld.insurance.arkansas.gov/NPILookup?Npi=1932398799","1932398799")</f>
        <v>1932398799</v>
      </c>
      <c r="E30146" t="s">
        <v>9953</v>
      </c>
    </row>
    <row r="30147" spans="1:5" x14ac:dyDescent="0.25">
      <c r="A30147" t="s">
        <v>9313</v>
      </c>
      <c r="B30147" t="s">
        <v>9314</v>
      </c>
      <c r="C30147" s="1" t="s">
        <v>8427</v>
      </c>
      <c r="D30147" s="1" t="str">
        <f>HYPERLINK("https://rhld.insurance.arkansas.gov/NPILookup?Npi=1932783586","1932783586")</f>
        <v>1932783586</v>
      </c>
      <c r="E30147" t="s">
        <v>22876</v>
      </c>
    </row>
    <row r="30148" spans="1:5" x14ac:dyDescent="0.25">
      <c r="A30148" t="s">
        <v>9313</v>
      </c>
      <c r="B30148" t="s">
        <v>9314</v>
      </c>
      <c r="C30148" s="1" t="s">
        <v>23490</v>
      </c>
      <c r="D30148" s="1" t="str">
        <f>HYPERLINK("https://rhld.insurance.arkansas.gov/NPILookup?Npi=1942211263","1942211263")</f>
        <v>1942211263</v>
      </c>
      <c r="E30148" t="s">
        <v>12370</v>
      </c>
    </row>
    <row r="30149" spans="1:5" x14ac:dyDescent="0.25">
      <c r="A30149" t="s">
        <v>9313</v>
      </c>
      <c r="B30149" t="s">
        <v>9314</v>
      </c>
      <c r="C30149" s="1" t="s">
        <v>23490</v>
      </c>
      <c r="D30149" s="1" t="str">
        <f>HYPERLINK("https://rhld.insurance.arkansas.gov/NPILookup?Npi=1942212915","1942212915")</f>
        <v>1942212915</v>
      </c>
      <c r="E30149" t="s">
        <v>740</v>
      </c>
    </row>
    <row r="30150" spans="1:5" x14ac:dyDescent="0.25">
      <c r="A30150" t="s">
        <v>9313</v>
      </c>
      <c r="B30150" t="s">
        <v>9314</v>
      </c>
      <c r="C30150" s="1" t="s">
        <v>23490</v>
      </c>
      <c r="D30150" s="1" t="str">
        <f>HYPERLINK("https://rhld.insurance.arkansas.gov/NPILookup?Npi=1942236823","1942236823")</f>
        <v>1942236823</v>
      </c>
      <c r="E30150" t="s">
        <v>9954</v>
      </c>
    </row>
    <row r="30151" spans="1:5" x14ac:dyDescent="0.25">
      <c r="A30151" t="s">
        <v>9313</v>
      </c>
      <c r="B30151" t="s">
        <v>9314</v>
      </c>
      <c r="C30151" s="1" t="s">
        <v>23490</v>
      </c>
      <c r="D30151" s="1" t="str">
        <f>HYPERLINK("https://rhld.insurance.arkansas.gov/NPILookup?Npi=1942243639","1942243639")</f>
        <v>1942243639</v>
      </c>
      <c r="E30151" t="s">
        <v>18610</v>
      </c>
    </row>
    <row r="30152" spans="1:5" x14ac:dyDescent="0.25">
      <c r="A30152" t="s">
        <v>9313</v>
      </c>
      <c r="B30152" t="s">
        <v>9314</v>
      </c>
      <c r="C30152" s="1" t="s">
        <v>23490</v>
      </c>
      <c r="D30152" s="1" t="str">
        <f>HYPERLINK("https://rhld.insurance.arkansas.gov/NPILookup?Npi=1942259254","1942259254")</f>
        <v>1942259254</v>
      </c>
      <c r="E30152" t="s">
        <v>12631</v>
      </c>
    </row>
    <row r="30153" spans="1:5" x14ac:dyDescent="0.25">
      <c r="A30153" t="s">
        <v>9313</v>
      </c>
      <c r="B30153" t="s">
        <v>9314</v>
      </c>
      <c r="C30153" s="1" t="s">
        <v>23490</v>
      </c>
      <c r="D30153" s="1" t="str">
        <f>HYPERLINK("https://rhld.insurance.arkansas.gov/NPILookup?Npi=1942312228","1942312228")</f>
        <v>1942312228</v>
      </c>
      <c r="E30153" t="s">
        <v>9955</v>
      </c>
    </row>
    <row r="30154" spans="1:5" x14ac:dyDescent="0.25">
      <c r="A30154" t="s">
        <v>9313</v>
      </c>
      <c r="B30154" t="s">
        <v>9314</v>
      </c>
      <c r="C30154" s="1" t="s">
        <v>23490</v>
      </c>
      <c r="D30154" s="1" t="str">
        <f>HYPERLINK("https://rhld.insurance.arkansas.gov/NPILookup?Npi=1942319769","1942319769")</f>
        <v>1942319769</v>
      </c>
      <c r="E30154" t="s">
        <v>9956</v>
      </c>
    </row>
    <row r="30155" spans="1:5" x14ac:dyDescent="0.25">
      <c r="A30155" t="s">
        <v>9313</v>
      </c>
      <c r="B30155" t="s">
        <v>9314</v>
      </c>
      <c r="C30155" s="1" t="s">
        <v>23490</v>
      </c>
      <c r="D30155" s="1" t="str">
        <f>HYPERLINK("https://rhld.insurance.arkansas.gov/NPILookup?Npi=1942330618","1942330618")</f>
        <v>1942330618</v>
      </c>
      <c r="E30155" t="s">
        <v>9957</v>
      </c>
    </row>
    <row r="30156" spans="1:5" x14ac:dyDescent="0.25">
      <c r="A30156" t="s">
        <v>9313</v>
      </c>
      <c r="B30156" t="s">
        <v>9314</v>
      </c>
      <c r="C30156" s="1" t="s">
        <v>23490</v>
      </c>
      <c r="D30156" s="1" t="str">
        <f>HYPERLINK("https://rhld.insurance.arkansas.gov/NPILookup?Npi=1942368881","1942368881")</f>
        <v>1942368881</v>
      </c>
      <c r="E30156" t="s">
        <v>12632</v>
      </c>
    </row>
    <row r="30157" spans="1:5" x14ac:dyDescent="0.25">
      <c r="A30157" t="s">
        <v>9313</v>
      </c>
      <c r="B30157" t="s">
        <v>9314</v>
      </c>
      <c r="C30157" s="1" t="s">
        <v>23490</v>
      </c>
      <c r="D30157" s="1" t="str">
        <f>HYPERLINK("https://rhld.insurance.arkansas.gov/NPILookup?Npi=1942372065","1942372065")</f>
        <v>1942372065</v>
      </c>
      <c r="E30157" t="s">
        <v>9958</v>
      </c>
    </row>
    <row r="30158" spans="1:5" x14ac:dyDescent="0.25">
      <c r="A30158" t="s">
        <v>9313</v>
      </c>
      <c r="B30158" t="s">
        <v>9314</v>
      </c>
      <c r="C30158" s="1" t="s">
        <v>23490</v>
      </c>
      <c r="D30158" s="1" t="str">
        <f>HYPERLINK("https://rhld.insurance.arkansas.gov/NPILookup?Npi=1942383245","1942383245")</f>
        <v>1942383245</v>
      </c>
      <c r="E30158" t="s">
        <v>9959</v>
      </c>
    </row>
    <row r="30159" spans="1:5" x14ac:dyDescent="0.25">
      <c r="A30159" t="s">
        <v>9313</v>
      </c>
      <c r="B30159" t="s">
        <v>9314</v>
      </c>
      <c r="C30159" s="1" t="s">
        <v>23490</v>
      </c>
      <c r="D30159" s="1" t="str">
        <f>HYPERLINK("https://rhld.insurance.arkansas.gov/NPILookup?Npi=1942414461","1942414461")</f>
        <v>1942414461</v>
      </c>
      <c r="E30159" t="s">
        <v>9960</v>
      </c>
    </row>
    <row r="30160" spans="1:5" x14ac:dyDescent="0.25">
      <c r="A30160" t="s">
        <v>9313</v>
      </c>
      <c r="B30160" t="s">
        <v>9314</v>
      </c>
      <c r="C30160" s="1" t="s">
        <v>23490</v>
      </c>
      <c r="D30160" s="1" t="str">
        <f>HYPERLINK("https://rhld.insurance.arkansas.gov/NPILookup?Npi=1942430012","1942430012")</f>
        <v>1942430012</v>
      </c>
      <c r="E30160" t="s">
        <v>20844</v>
      </c>
    </row>
    <row r="30161" spans="1:5" x14ac:dyDescent="0.25">
      <c r="A30161" t="s">
        <v>9313</v>
      </c>
      <c r="B30161" t="s">
        <v>9314</v>
      </c>
      <c r="C30161" s="1" t="s">
        <v>23490</v>
      </c>
      <c r="D30161" s="1" t="str">
        <f>HYPERLINK("https://rhld.insurance.arkansas.gov/NPILookup?Npi=1942432729","1942432729")</f>
        <v>1942432729</v>
      </c>
      <c r="E30161" t="s">
        <v>9961</v>
      </c>
    </row>
    <row r="30162" spans="1:5" x14ac:dyDescent="0.25">
      <c r="A30162" t="s">
        <v>9313</v>
      </c>
      <c r="B30162" t="s">
        <v>9314</v>
      </c>
      <c r="C30162" s="1" t="s">
        <v>23490</v>
      </c>
      <c r="D30162" s="1" t="str">
        <f>HYPERLINK("https://rhld.insurance.arkansas.gov/NPILookup?Npi=1942466115","1942466115")</f>
        <v>1942466115</v>
      </c>
      <c r="E30162" t="s">
        <v>12633</v>
      </c>
    </row>
    <row r="30163" spans="1:5" x14ac:dyDescent="0.25">
      <c r="A30163" t="s">
        <v>9313</v>
      </c>
      <c r="B30163" t="s">
        <v>9314</v>
      </c>
      <c r="C30163" s="1" t="s">
        <v>23490</v>
      </c>
      <c r="D30163" s="1" t="str">
        <f>HYPERLINK("https://rhld.insurance.arkansas.gov/NPILookup?Npi=1942486022","1942486022")</f>
        <v>1942486022</v>
      </c>
      <c r="E30163" t="s">
        <v>19207</v>
      </c>
    </row>
    <row r="30164" spans="1:5" x14ac:dyDescent="0.25">
      <c r="A30164" t="s">
        <v>9313</v>
      </c>
      <c r="B30164" t="s">
        <v>9314</v>
      </c>
      <c r="C30164" s="1" t="s">
        <v>23490</v>
      </c>
      <c r="D30164" s="1" t="str">
        <f>HYPERLINK("https://rhld.insurance.arkansas.gov/NPILookup?Npi=1942692686","1942692686")</f>
        <v>1942692686</v>
      </c>
      <c r="E30164" t="s">
        <v>20855</v>
      </c>
    </row>
    <row r="30165" spans="1:5" x14ac:dyDescent="0.25">
      <c r="A30165" t="s">
        <v>9313</v>
      </c>
      <c r="B30165" t="s">
        <v>9314</v>
      </c>
      <c r="C30165" s="1" t="s">
        <v>23490</v>
      </c>
      <c r="D30165" s="1" t="str">
        <f>HYPERLINK("https://rhld.insurance.arkansas.gov/NPILookup?Npi=1942795216","1942795216")</f>
        <v>1942795216</v>
      </c>
      <c r="E30165" t="s">
        <v>14620</v>
      </c>
    </row>
    <row r="30166" spans="1:5" x14ac:dyDescent="0.25">
      <c r="A30166" t="s">
        <v>9313</v>
      </c>
      <c r="B30166" t="s">
        <v>9314</v>
      </c>
      <c r="C30166" s="1" t="s">
        <v>23490</v>
      </c>
      <c r="D30166" s="1" t="str">
        <f>HYPERLINK("https://rhld.insurance.arkansas.gov/NPILookup?Npi=1952400079","1952400079")</f>
        <v>1952400079</v>
      </c>
      <c r="E30166" t="s">
        <v>20857</v>
      </c>
    </row>
    <row r="30167" spans="1:5" x14ac:dyDescent="0.25">
      <c r="A30167" t="s">
        <v>9313</v>
      </c>
      <c r="B30167" t="s">
        <v>9314</v>
      </c>
      <c r="C30167" s="1" t="s">
        <v>23490</v>
      </c>
      <c r="D30167" s="1" t="str">
        <f>HYPERLINK("https://rhld.insurance.arkansas.gov/NPILookup?Npi=1952411019","1952411019")</f>
        <v>1952411019</v>
      </c>
      <c r="E30167" t="s">
        <v>8209</v>
      </c>
    </row>
    <row r="30168" spans="1:5" x14ac:dyDescent="0.25">
      <c r="A30168" t="s">
        <v>9313</v>
      </c>
      <c r="B30168" t="s">
        <v>9314</v>
      </c>
      <c r="C30168" s="1" t="s">
        <v>23490</v>
      </c>
      <c r="D30168" s="1" t="str">
        <f>HYPERLINK("https://rhld.insurance.arkansas.gov/NPILookup?Npi=1952412850","1952412850")</f>
        <v>1952412850</v>
      </c>
      <c r="E30168" t="s">
        <v>9963</v>
      </c>
    </row>
    <row r="30169" spans="1:5" x14ac:dyDescent="0.25">
      <c r="A30169" t="s">
        <v>9313</v>
      </c>
      <c r="B30169" t="s">
        <v>9314</v>
      </c>
      <c r="C30169" s="1" t="s">
        <v>23490</v>
      </c>
      <c r="D30169" s="1" t="str">
        <f>HYPERLINK("https://rhld.insurance.arkansas.gov/NPILookup?Npi=1952421836","1952421836")</f>
        <v>1952421836</v>
      </c>
      <c r="E30169" t="s">
        <v>9964</v>
      </c>
    </row>
    <row r="30170" spans="1:5" x14ac:dyDescent="0.25">
      <c r="A30170" t="s">
        <v>9313</v>
      </c>
      <c r="B30170" t="s">
        <v>9314</v>
      </c>
      <c r="C30170" s="1" t="s">
        <v>23490</v>
      </c>
      <c r="D30170" s="1" t="str">
        <f>HYPERLINK("https://rhld.insurance.arkansas.gov/NPILookup?Npi=1952469991","1952469991")</f>
        <v>1952469991</v>
      </c>
      <c r="E30170" t="s">
        <v>9965</v>
      </c>
    </row>
    <row r="30171" spans="1:5" x14ac:dyDescent="0.25">
      <c r="A30171" t="s">
        <v>9313</v>
      </c>
      <c r="B30171" t="s">
        <v>9314</v>
      </c>
      <c r="C30171" s="1" t="s">
        <v>23490</v>
      </c>
      <c r="D30171" s="1" t="str">
        <f>HYPERLINK("https://rhld.insurance.arkansas.gov/NPILookup?Npi=1952471575","1952471575")</f>
        <v>1952471575</v>
      </c>
      <c r="E30171" t="s">
        <v>9966</v>
      </c>
    </row>
    <row r="30172" spans="1:5" x14ac:dyDescent="0.25">
      <c r="A30172" t="s">
        <v>9313</v>
      </c>
      <c r="B30172" t="s">
        <v>9314</v>
      </c>
      <c r="C30172" s="1" t="s">
        <v>23490</v>
      </c>
      <c r="D30172" s="1" t="str">
        <f>HYPERLINK("https://rhld.insurance.arkansas.gov/NPILookup?Npi=1952474454","1952474454")</f>
        <v>1952474454</v>
      </c>
      <c r="E30172" t="s">
        <v>9967</v>
      </c>
    </row>
    <row r="30173" spans="1:5" x14ac:dyDescent="0.25">
      <c r="A30173" t="s">
        <v>9313</v>
      </c>
      <c r="B30173" t="s">
        <v>9314</v>
      </c>
      <c r="C30173" s="1" t="s">
        <v>23490</v>
      </c>
      <c r="D30173" s="1" t="str">
        <f>HYPERLINK("https://rhld.insurance.arkansas.gov/NPILookup?Npi=1952508327","1952508327")</f>
        <v>1952508327</v>
      </c>
      <c r="E30173" t="s">
        <v>13306</v>
      </c>
    </row>
    <row r="30174" spans="1:5" x14ac:dyDescent="0.25">
      <c r="A30174" t="s">
        <v>9313</v>
      </c>
      <c r="B30174" t="s">
        <v>9314</v>
      </c>
      <c r="C30174" s="1" t="s">
        <v>23490</v>
      </c>
      <c r="D30174" s="1" t="str">
        <f>HYPERLINK("https://rhld.insurance.arkansas.gov/NPILookup?Npi=1952749517","1952749517")</f>
        <v>1952749517</v>
      </c>
      <c r="E30174" t="s">
        <v>9970</v>
      </c>
    </row>
    <row r="30175" spans="1:5" x14ac:dyDescent="0.25">
      <c r="A30175" t="s">
        <v>9313</v>
      </c>
      <c r="B30175" t="s">
        <v>9314</v>
      </c>
      <c r="C30175" s="1" t="s">
        <v>23490</v>
      </c>
      <c r="D30175" s="1" t="str">
        <f>HYPERLINK("https://rhld.insurance.arkansas.gov/NPILookup?Npi=1952784159","1952784159")</f>
        <v>1952784159</v>
      </c>
      <c r="E30175" t="s">
        <v>9971</v>
      </c>
    </row>
    <row r="30176" spans="1:5" x14ac:dyDescent="0.25">
      <c r="A30176" t="s">
        <v>9313</v>
      </c>
      <c r="B30176" t="s">
        <v>9314</v>
      </c>
      <c r="C30176" s="1" t="s">
        <v>23490</v>
      </c>
      <c r="D30176" s="1" t="str">
        <f>HYPERLINK("https://rhld.insurance.arkansas.gov/NPILookup?Npi=1952973026","1952973026")</f>
        <v>1952973026</v>
      </c>
      <c r="E30176" t="s">
        <v>19209</v>
      </c>
    </row>
    <row r="30177" spans="1:5" x14ac:dyDescent="0.25">
      <c r="A30177" t="s">
        <v>9313</v>
      </c>
      <c r="B30177" t="s">
        <v>9314</v>
      </c>
      <c r="C30177" s="1" t="s">
        <v>23490</v>
      </c>
      <c r="D30177" s="1" t="str">
        <f>HYPERLINK("https://rhld.insurance.arkansas.gov/NPILookup?Npi=1952979841","1952979841")</f>
        <v>1952979841</v>
      </c>
      <c r="E30177" t="s">
        <v>19210</v>
      </c>
    </row>
    <row r="30178" spans="1:5" x14ac:dyDescent="0.25">
      <c r="A30178" t="s">
        <v>9313</v>
      </c>
      <c r="B30178" t="s">
        <v>9314</v>
      </c>
      <c r="C30178" s="1" t="s">
        <v>23490</v>
      </c>
      <c r="D30178" s="1" t="str">
        <f>HYPERLINK("https://rhld.insurance.arkansas.gov/NPILookup?Npi=1962054411","1962054411")</f>
        <v>1962054411</v>
      </c>
      <c r="E30178" t="s">
        <v>17800</v>
      </c>
    </row>
    <row r="30179" spans="1:5" x14ac:dyDescent="0.25">
      <c r="A30179" t="s">
        <v>9313</v>
      </c>
      <c r="B30179" t="s">
        <v>9314</v>
      </c>
      <c r="C30179" s="1" t="s">
        <v>23490</v>
      </c>
      <c r="D30179" s="1" t="str">
        <f>HYPERLINK("https://rhld.insurance.arkansas.gov/NPILookup?Npi=1962071936","1962071936")</f>
        <v>1962071936</v>
      </c>
      <c r="E30179" t="s">
        <v>19211</v>
      </c>
    </row>
    <row r="30180" spans="1:5" x14ac:dyDescent="0.25">
      <c r="A30180" t="s">
        <v>9313</v>
      </c>
      <c r="B30180" t="s">
        <v>9314</v>
      </c>
      <c r="C30180" s="1" t="s">
        <v>23490</v>
      </c>
      <c r="D30180" s="1" t="str">
        <f>HYPERLINK("https://rhld.insurance.arkansas.gov/NPILookup?Npi=1962072058","1962072058")</f>
        <v>1962072058</v>
      </c>
      <c r="E30180" t="s">
        <v>22791</v>
      </c>
    </row>
    <row r="30181" spans="1:5" x14ac:dyDescent="0.25">
      <c r="A30181" t="s">
        <v>9313</v>
      </c>
      <c r="B30181" t="s">
        <v>9314</v>
      </c>
      <c r="C30181" s="1" t="s">
        <v>23490</v>
      </c>
      <c r="D30181" s="1" t="str">
        <f>HYPERLINK("https://rhld.insurance.arkansas.gov/NPILookup?Npi=1962074294","1962074294")</f>
        <v>1962074294</v>
      </c>
      <c r="E30181" t="s">
        <v>19212</v>
      </c>
    </row>
    <row r="30182" spans="1:5" x14ac:dyDescent="0.25">
      <c r="A30182" t="s">
        <v>9313</v>
      </c>
      <c r="B30182" t="s">
        <v>9314</v>
      </c>
      <c r="C30182" s="1" t="s">
        <v>23490</v>
      </c>
      <c r="D30182" s="1" t="str">
        <f>HYPERLINK("https://rhld.insurance.arkansas.gov/NPILookup?Npi=1962133561","1962133561")</f>
        <v>1962133561</v>
      </c>
      <c r="E30182" t="s">
        <v>21348</v>
      </c>
    </row>
    <row r="30183" spans="1:5" x14ac:dyDescent="0.25">
      <c r="A30183" t="s">
        <v>9313</v>
      </c>
      <c r="B30183" t="s">
        <v>9314</v>
      </c>
      <c r="C30183" s="1" t="s">
        <v>23490</v>
      </c>
      <c r="D30183" s="1" t="str">
        <f>HYPERLINK("https://rhld.insurance.arkansas.gov/NPILookup?Npi=1962177485","1962177485")</f>
        <v>1962177485</v>
      </c>
      <c r="E30183" t="s">
        <v>20845</v>
      </c>
    </row>
    <row r="30184" spans="1:5" x14ac:dyDescent="0.25">
      <c r="A30184" t="s">
        <v>9313</v>
      </c>
      <c r="B30184" t="s">
        <v>9314</v>
      </c>
      <c r="C30184" s="1" t="s">
        <v>23490</v>
      </c>
      <c r="D30184" s="1" t="str">
        <f>HYPERLINK("https://rhld.insurance.arkansas.gov/NPILookup?Npi=1962416016","1962416016")</f>
        <v>1962416016</v>
      </c>
      <c r="E30184" t="s">
        <v>9972</v>
      </c>
    </row>
    <row r="30185" spans="1:5" x14ac:dyDescent="0.25">
      <c r="A30185" t="s">
        <v>9313</v>
      </c>
      <c r="B30185" t="s">
        <v>9314</v>
      </c>
      <c r="C30185" s="1" t="s">
        <v>23490</v>
      </c>
      <c r="D30185" s="1" t="str">
        <f>HYPERLINK("https://rhld.insurance.arkansas.gov/NPILookup?Npi=1962416636","1962416636")</f>
        <v>1962416636</v>
      </c>
      <c r="E30185" t="s">
        <v>12634</v>
      </c>
    </row>
    <row r="30186" spans="1:5" x14ac:dyDescent="0.25">
      <c r="A30186" t="s">
        <v>9313</v>
      </c>
      <c r="B30186" t="s">
        <v>9314</v>
      </c>
      <c r="C30186" s="1" t="s">
        <v>23490</v>
      </c>
      <c r="D30186" s="1" t="str">
        <f>HYPERLINK("https://rhld.insurance.arkansas.gov/NPILookup?Npi=1962500215","1962500215")</f>
        <v>1962500215</v>
      </c>
      <c r="E30186" t="s">
        <v>9973</v>
      </c>
    </row>
    <row r="30187" spans="1:5" x14ac:dyDescent="0.25">
      <c r="A30187" t="s">
        <v>9313</v>
      </c>
      <c r="B30187" t="s">
        <v>9314</v>
      </c>
      <c r="C30187" s="1" t="s">
        <v>23490</v>
      </c>
      <c r="D30187" s="1" t="str">
        <f>HYPERLINK("https://rhld.insurance.arkansas.gov/NPILookup?Npi=1962520924","1962520924")</f>
        <v>1962520924</v>
      </c>
      <c r="E30187" t="s">
        <v>12635</v>
      </c>
    </row>
    <row r="30188" spans="1:5" x14ac:dyDescent="0.25">
      <c r="A30188" t="s">
        <v>9313</v>
      </c>
      <c r="B30188" t="s">
        <v>9314</v>
      </c>
      <c r="C30188" s="1" t="s">
        <v>23490</v>
      </c>
      <c r="D30188" s="1" t="str">
        <f>HYPERLINK("https://rhld.insurance.arkansas.gov/NPILookup?Npi=1962543876","1962543876")</f>
        <v>1962543876</v>
      </c>
      <c r="E30188" t="s">
        <v>12636</v>
      </c>
    </row>
    <row r="30189" spans="1:5" x14ac:dyDescent="0.25">
      <c r="A30189" t="s">
        <v>9313</v>
      </c>
      <c r="B30189" t="s">
        <v>9314</v>
      </c>
      <c r="C30189" s="1" t="s">
        <v>23490</v>
      </c>
      <c r="D30189" s="1" t="str">
        <f>HYPERLINK("https://rhld.insurance.arkansas.gov/NPILookup?Npi=1962553222","1962553222")</f>
        <v>1962553222</v>
      </c>
      <c r="E30189" t="s">
        <v>12637</v>
      </c>
    </row>
    <row r="30190" spans="1:5" x14ac:dyDescent="0.25">
      <c r="A30190" t="s">
        <v>9313</v>
      </c>
      <c r="B30190" t="s">
        <v>9314</v>
      </c>
      <c r="C30190" s="1" t="s">
        <v>23490</v>
      </c>
      <c r="D30190" s="1" t="str">
        <f>HYPERLINK("https://rhld.insurance.arkansas.gov/NPILookup?Npi=1962561290","1962561290")</f>
        <v>1962561290</v>
      </c>
      <c r="E30190" t="s">
        <v>9974</v>
      </c>
    </row>
    <row r="30191" spans="1:5" x14ac:dyDescent="0.25">
      <c r="A30191" t="s">
        <v>9313</v>
      </c>
      <c r="B30191" t="s">
        <v>9314</v>
      </c>
      <c r="C30191" s="1" t="s">
        <v>23490</v>
      </c>
      <c r="D30191" s="1" t="str">
        <f>HYPERLINK("https://rhld.insurance.arkansas.gov/NPILookup?Npi=1962563973","1962563973")</f>
        <v>1962563973</v>
      </c>
      <c r="E30191" t="s">
        <v>9669</v>
      </c>
    </row>
    <row r="30192" spans="1:5" x14ac:dyDescent="0.25">
      <c r="A30192" t="s">
        <v>9313</v>
      </c>
      <c r="B30192" t="s">
        <v>9314</v>
      </c>
      <c r="C30192" s="1" t="s">
        <v>23490</v>
      </c>
      <c r="D30192" s="1" t="str">
        <f>HYPERLINK("https://rhld.insurance.arkansas.gov/NPILookup?Npi=1962589788","1962589788")</f>
        <v>1962589788</v>
      </c>
      <c r="E30192" t="s">
        <v>9975</v>
      </c>
    </row>
    <row r="30193" spans="1:5" x14ac:dyDescent="0.25">
      <c r="A30193" t="s">
        <v>9313</v>
      </c>
      <c r="B30193" t="s">
        <v>9314</v>
      </c>
      <c r="C30193" s="1" t="s">
        <v>23490</v>
      </c>
      <c r="D30193" s="1" t="str">
        <f>HYPERLINK("https://rhld.insurance.arkansas.gov/NPILookup?Npi=1962679563","1962679563")</f>
        <v>1962679563</v>
      </c>
      <c r="E30193" t="s">
        <v>9976</v>
      </c>
    </row>
    <row r="30194" spans="1:5" x14ac:dyDescent="0.25">
      <c r="A30194" t="s">
        <v>9313</v>
      </c>
      <c r="B30194" t="s">
        <v>9314</v>
      </c>
      <c r="C30194" s="1" t="s">
        <v>23490</v>
      </c>
      <c r="D30194" s="1" t="str">
        <f>HYPERLINK("https://rhld.insurance.arkansas.gov/NPILookup?Npi=1962817304","1962817304")</f>
        <v>1962817304</v>
      </c>
      <c r="E30194" t="s">
        <v>9977</v>
      </c>
    </row>
    <row r="30195" spans="1:5" x14ac:dyDescent="0.25">
      <c r="A30195" t="s">
        <v>9313</v>
      </c>
      <c r="B30195" t="s">
        <v>9314</v>
      </c>
      <c r="C30195" s="1" t="s">
        <v>23490</v>
      </c>
      <c r="D30195" s="1" t="str">
        <f>HYPERLINK("https://rhld.insurance.arkansas.gov/NPILookup?Npi=1962882589","1962882589")</f>
        <v>1962882589</v>
      </c>
      <c r="E30195" t="s">
        <v>12638</v>
      </c>
    </row>
    <row r="30196" spans="1:5" x14ac:dyDescent="0.25">
      <c r="A30196" t="s">
        <v>9313</v>
      </c>
      <c r="B30196" t="s">
        <v>9314</v>
      </c>
      <c r="C30196" s="1" t="s">
        <v>23490</v>
      </c>
      <c r="D30196" s="1" t="str">
        <f>HYPERLINK("https://rhld.insurance.arkansas.gov/NPILookup?Npi=1972063386","1972063386")</f>
        <v>1972063386</v>
      </c>
      <c r="E30196" t="s">
        <v>17801</v>
      </c>
    </row>
    <row r="30197" spans="1:5" x14ac:dyDescent="0.25">
      <c r="A30197" t="s">
        <v>9313</v>
      </c>
      <c r="B30197" t="s">
        <v>9314</v>
      </c>
      <c r="C30197" s="1" t="s">
        <v>23490</v>
      </c>
      <c r="D30197" s="1" t="str">
        <f>HYPERLINK("https://rhld.insurance.arkansas.gov/NPILookup?Npi=1972096998","1972096998")</f>
        <v>1972096998</v>
      </c>
      <c r="E30197" t="s">
        <v>18611</v>
      </c>
    </row>
    <row r="30198" spans="1:5" x14ac:dyDescent="0.25">
      <c r="A30198" t="s">
        <v>9313</v>
      </c>
      <c r="B30198" t="s">
        <v>9314</v>
      </c>
      <c r="C30198" s="1" t="s">
        <v>23490</v>
      </c>
      <c r="D30198" s="1" t="str">
        <f>HYPERLINK("https://rhld.insurance.arkansas.gov/NPILookup?Npi=1972162162","1972162162")</f>
        <v>1972162162</v>
      </c>
      <c r="E30198" t="s">
        <v>16802</v>
      </c>
    </row>
    <row r="30199" spans="1:5" x14ac:dyDescent="0.25">
      <c r="A30199" t="s">
        <v>9313</v>
      </c>
      <c r="B30199" t="s">
        <v>9314</v>
      </c>
      <c r="C30199" s="1" t="s">
        <v>23490</v>
      </c>
      <c r="D30199" s="1" t="str">
        <f>HYPERLINK("https://rhld.insurance.arkansas.gov/NPILookup?Npi=1972163400","1972163400")</f>
        <v>1972163400</v>
      </c>
      <c r="E30199" t="s">
        <v>16803</v>
      </c>
    </row>
    <row r="30200" spans="1:5" x14ac:dyDescent="0.25">
      <c r="A30200" t="s">
        <v>9313</v>
      </c>
      <c r="B30200" t="s">
        <v>9314</v>
      </c>
      <c r="C30200" s="1" t="s">
        <v>23490</v>
      </c>
      <c r="D30200" s="1" t="str">
        <f>HYPERLINK("https://rhld.insurance.arkansas.gov/NPILookup?Npi=1972241164","1972241164")</f>
        <v>1972241164</v>
      </c>
      <c r="E30200" t="s">
        <v>20846</v>
      </c>
    </row>
    <row r="30201" spans="1:5" x14ac:dyDescent="0.25">
      <c r="A30201" t="s">
        <v>9313</v>
      </c>
      <c r="B30201" t="s">
        <v>9314</v>
      </c>
      <c r="C30201" s="1" t="s">
        <v>23490</v>
      </c>
      <c r="D30201" s="1" t="str">
        <f>HYPERLINK("https://rhld.insurance.arkansas.gov/NPILookup?Npi=1972510709","1972510709")</f>
        <v>1972510709</v>
      </c>
      <c r="E30201" t="s">
        <v>9978</v>
      </c>
    </row>
    <row r="30202" spans="1:5" x14ac:dyDescent="0.25">
      <c r="A30202" t="s">
        <v>9313</v>
      </c>
      <c r="B30202" t="s">
        <v>9314</v>
      </c>
      <c r="C30202" s="1" t="s">
        <v>23490</v>
      </c>
      <c r="D30202" s="1" t="str">
        <f>HYPERLINK("https://rhld.insurance.arkansas.gov/NPILookup?Npi=1972597276","1972597276")</f>
        <v>1972597276</v>
      </c>
      <c r="E30202" t="s">
        <v>12640</v>
      </c>
    </row>
    <row r="30203" spans="1:5" x14ac:dyDescent="0.25">
      <c r="A30203" t="s">
        <v>9313</v>
      </c>
      <c r="B30203" t="s">
        <v>9314</v>
      </c>
      <c r="C30203" s="1" t="s">
        <v>23490</v>
      </c>
      <c r="D30203" s="1" t="str">
        <f>HYPERLINK("https://rhld.insurance.arkansas.gov/NPILookup?Npi=1972614295","1972614295")</f>
        <v>1972614295</v>
      </c>
      <c r="E30203" t="s">
        <v>12641</v>
      </c>
    </row>
    <row r="30204" spans="1:5" x14ac:dyDescent="0.25">
      <c r="A30204" t="s">
        <v>9313</v>
      </c>
      <c r="B30204" t="s">
        <v>9314</v>
      </c>
      <c r="C30204" s="1" t="s">
        <v>23490</v>
      </c>
      <c r="D30204" s="1" t="str">
        <f>HYPERLINK("https://rhld.insurance.arkansas.gov/NPILookup?Npi=1972638922","1972638922")</f>
        <v>1972638922</v>
      </c>
      <c r="E30204" t="s">
        <v>12642</v>
      </c>
    </row>
    <row r="30205" spans="1:5" x14ac:dyDescent="0.25">
      <c r="A30205" t="s">
        <v>9313</v>
      </c>
      <c r="B30205" t="s">
        <v>9314</v>
      </c>
      <c r="C30205" s="1" t="s">
        <v>23490</v>
      </c>
      <c r="D30205" s="1" t="str">
        <f>HYPERLINK("https://rhld.insurance.arkansas.gov/NPILookup?Npi=1972664860","1972664860")</f>
        <v>1972664860</v>
      </c>
      <c r="E30205" t="s">
        <v>9979</v>
      </c>
    </row>
    <row r="30206" spans="1:5" x14ac:dyDescent="0.25">
      <c r="A30206" t="s">
        <v>9313</v>
      </c>
      <c r="B30206" t="s">
        <v>9314</v>
      </c>
      <c r="C30206" s="1" t="s">
        <v>23490</v>
      </c>
      <c r="D30206" s="1" t="str">
        <f>HYPERLINK("https://rhld.insurance.arkansas.gov/NPILookup?Npi=1972687994","1972687994")</f>
        <v>1972687994</v>
      </c>
      <c r="E30206" t="s">
        <v>9980</v>
      </c>
    </row>
    <row r="30207" spans="1:5" x14ac:dyDescent="0.25">
      <c r="A30207" t="s">
        <v>9313</v>
      </c>
      <c r="B30207" t="s">
        <v>9314</v>
      </c>
      <c r="C30207" s="1" t="s">
        <v>23490</v>
      </c>
      <c r="D30207" s="1" t="str">
        <f>HYPERLINK("https://rhld.insurance.arkansas.gov/NPILookup?Npi=1972704799","1972704799")</f>
        <v>1972704799</v>
      </c>
      <c r="E30207" t="s">
        <v>12643</v>
      </c>
    </row>
    <row r="30208" spans="1:5" x14ac:dyDescent="0.25">
      <c r="A30208" t="s">
        <v>9313</v>
      </c>
      <c r="B30208" t="s">
        <v>9314</v>
      </c>
      <c r="C30208" s="1" t="s">
        <v>23490</v>
      </c>
      <c r="D30208" s="1" t="str">
        <f>HYPERLINK("https://rhld.insurance.arkansas.gov/NPILookup?Npi=1982042537","1982042537")</f>
        <v>1982042537</v>
      </c>
      <c r="E30208" t="s">
        <v>12644</v>
      </c>
    </row>
    <row r="30209" spans="1:5" x14ac:dyDescent="0.25">
      <c r="A30209" t="s">
        <v>9313</v>
      </c>
      <c r="B30209" t="s">
        <v>9314</v>
      </c>
      <c r="C30209" s="1" t="s">
        <v>23490</v>
      </c>
      <c r="D30209" s="1" t="str">
        <f>HYPERLINK("https://rhld.insurance.arkansas.gov/NPILookup?Npi=1982087722","1982087722")</f>
        <v>1982087722</v>
      </c>
      <c r="E30209" t="s">
        <v>9981</v>
      </c>
    </row>
    <row r="30210" spans="1:5" x14ac:dyDescent="0.25">
      <c r="A30210" t="s">
        <v>9313</v>
      </c>
      <c r="B30210" t="s">
        <v>9314</v>
      </c>
      <c r="C30210" s="1" t="s">
        <v>23490</v>
      </c>
      <c r="D30210" s="1" t="str">
        <f>HYPERLINK("https://rhld.insurance.arkansas.gov/NPILookup?Npi=1982157038","1982157038")</f>
        <v>1982157038</v>
      </c>
      <c r="E30210" t="s">
        <v>12645</v>
      </c>
    </row>
    <row r="30211" spans="1:5" x14ac:dyDescent="0.25">
      <c r="A30211" t="s">
        <v>9313</v>
      </c>
      <c r="B30211" t="s">
        <v>9314</v>
      </c>
      <c r="C30211" s="1" t="s">
        <v>23490</v>
      </c>
      <c r="D30211" s="1" t="str">
        <f>HYPERLINK("https://rhld.insurance.arkansas.gov/NPILookup?Npi=1982263943","1982263943")</f>
        <v>1982263943</v>
      </c>
      <c r="E30211" t="s">
        <v>16804</v>
      </c>
    </row>
    <row r="30212" spans="1:5" x14ac:dyDescent="0.25">
      <c r="A30212" t="s">
        <v>9313</v>
      </c>
      <c r="B30212" t="s">
        <v>9314</v>
      </c>
      <c r="C30212" s="1" t="s">
        <v>23490</v>
      </c>
      <c r="D30212" s="1" t="str">
        <f>HYPERLINK("https://rhld.insurance.arkansas.gov/NPILookup?Npi=1982776696","1982776696")</f>
        <v>1982776696</v>
      </c>
      <c r="E30212" t="s">
        <v>12646</v>
      </c>
    </row>
    <row r="30213" spans="1:5" x14ac:dyDescent="0.25">
      <c r="A30213" t="s">
        <v>9313</v>
      </c>
      <c r="B30213" t="s">
        <v>9314</v>
      </c>
      <c r="C30213" s="1" t="s">
        <v>23490</v>
      </c>
      <c r="D30213" s="1" t="str">
        <f>HYPERLINK("https://rhld.insurance.arkansas.gov/NPILookup?Npi=1982791851","1982791851")</f>
        <v>1982791851</v>
      </c>
      <c r="E30213" t="s">
        <v>9982</v>
      </c>
    </row>
    <row r="30214" spans="1:5" x14ac:dyDescent="0.25">
      <c r="A30214" t="s">
        <v>9313</v>
      </c>
      <c r="B30214" t="s">
        <v>9314</v>
      </c>
      <c r="C30214" s="1" t="s">
        <v>23490</v>
      </c>
      <c r="D30214" s="1" t="str">
        <f>HYPERLINK("https://rhld.insurance.arkansas.gov/NPILookup?Npi=1982807137","1982807137")</f>
        <v>1982807137</v>
      </c>
      <c r="E30214" t="s">
        <v>9983</v>
      </c>
    </row>
    <row r="30215" spans="1:5" x14ac:dyDescent="0.25">
      <c r="A30215" t="s">
        <v>9313</v>
      </c>
      <c r="B30215" t="s">
        <v>9314</v>
      </c>
      <c r="C30215" s="1" t="s">
        <v>23490</v>
      </c>
      <c r="D30215" s="1" t="str">
        <f>HYPERLINK("https://rhld.insurance.arkansas.gov/NPILookup?Npi=1982832002","1982832002")</f>
        <v>1982832002</v>
      </c>
      <c r="E30215" t="s">
        <v>9984</v>
      </c>
    </row>
    <row r="30216" spans="1:5" x14ac:dyDescent="0.25">
      <c r="A30216" t="s">
        <v>9313</v>
      </c>
      <c r="B30216" t="s">
        <v>9314</v>
      </c>
      <c r="C30216" s="1" t="s">
        <v>23490</v>
      </c>
      <c r="D30216" s="1" t="str">
        <f>HYPERLINK("https://rhld.insurance.arkansas.gov/NPILookup?Npi=1982921920","1982921920")</f>
        <v>1982921920</v>
      </c>
      <c r="E30216" t="s">
        <v>9985</v>
      </c>
    </row>
    <row r="30217" spans="1:5" x14ac:dyDescent="0.25">
      <c r="A30217" t="s">
        <v>9313</v>
      </c>
      <c r="B30217" t="s">
        <v>9314</v>
      </c>
      <c r="C30217" s="1" t="s">
        <v>23490</v>
      </c>
      <c r="D30217" s="1" t="str">
        <f>HYPERLINK("https://rhld.insurance.arkansas.gov/NPILookup?Npi=1982968822","1982968822")</f>
        <v>1982968822</v>
      </c>
      <c r="E30217" t="s">
        <v>9986</v>
      </c>
    </row>
    <row r="30218" spans="1:5" x14ac:dyDescent="0.25">
      <c r="A30218" t="s">
        <v>9313</v>
      </c>
      <c r="B30218" t="s">
        <v>9314</v>
      </c>
      <c r="C30218" s="1" t="s">
        <v>23490</v>
      </c>
      <c r="D30218" s="1" t="str">
        <f>HYPERLINK("https://rhld.insurance.arkansas.gov/NPILookup?Npi=1982969853","1982969853")</f>
        <v>1982969853</v>
      </c>
      <c r="E30218" t="s">
        <v>9987</v>
      </c>
    </row>
    <row r="30219" spans="1:5" x14ac:dyDescent="0.25">
      <c r="A30219" t="s">
        <v>9313</v>
      </c>
      <c r="B30219" t="s">
        <v>9314</v>
      </c>
      <c r="C30219" s="1" t="s">
        <v>23490</v>
      </c>
      <c r="D30219" s="1" t="str">
        <f>HYPERLINK("https://rhld.insurance.arkansas.gov/NPILookup?Npi=1992017180","1992017180")</f>
        <v>1992017180</v>
      </c>
      <c r="E30219" t="s">
        <v>13307</v>
      </c>
    </row>
    <row r="30220" spans="1:5" x14ac:dyDescent="0.25">
      <c r="A30220" t="s">
        <v>9313</v>
      </c>
      <c r="B30220" t="s">
        <v>9314</v>
      </c>
      <c r="C30220" s="1" t="s">
        <v>23490</v>
      </c>
      <c r="D30220" s="1" t="str">
        <f>HYPERLINK("https://rhld.insurance.arkansas.gov/NPILookup?Npi=1992365845","1992365845")</f>
        <v>1992365845</v>
      </c>
      <c r="E30220" t="s">
        <v>17335</v>
      </c>
    </row>
    <row r="30221" spans="1:5" x14ac:dyDescent="0.25">
      <c r="A30221" t="s">
        <v>9313</v>
      </c>
      <c r="B30221" t="s">
        <v>9314</v>
      </c>
      <c r="C30221" s="1" t="s">
        <v>23490</v>
      </c>
      <c r="D30221" s="1" t="str">
        <f>HYPERLINK("https://rhld.insurance.arkansas.gov/NPILookup?Npi=1992715205","1992715205")</f>
        <v>1992715205</v>
      </c>
      <c r="E30221" t="s">
        <v>9989</v>
      </c>
    </row>
    <row r="30222" spans="1:5" x14ac:dyDescent="0.25">
      <c r="A30222" t="s">
        <v>9313</v>
      </c>
      <c r="B30222" t="s">
        <v>9314</v>
      </c>
      <c r="C30222" s="1" t="s">
        <v>23490</v>
      </c>
      <c r="D30222" s="1" t="str">
        <f>HYPERLINK("https://rhld.insurance.arkansas.gov/NPILookup?Npi=1992804140","1992804140")</f>
        <v>1992804140</v>
      </c>
      <c r="E30222" t="s">
        <v>9990</v>
      </c>
    </row>
    <row r="30223" spans="1:5" x14ac:dyDescent="0.25">
      <c r="A30223" t="s">
        <v>9313</v>
      </c>
      <c r="B30223" t="s">
        <v>9314</v>
      </c>
      <c r="C30223" s="1" t="s">
        <v>23490</v>
      </c>
      <c r="D30223" s="1" t="str">
        <f>HYPERLINK("https://rhld.insurance.arkansas.gov/NPILookup?Npi=1992811673","1992811673")</f>
        <v>1992811673</v>
      </c>
      <c r="E30223" t="s">
        <v>13308</v>
      </c>
    </row>
    <row r="30224" spans="1:5" x14ac:dyDescent="0.25">
      <c r="A30224" t="s">
        <v>9313</v>
      </c>
      <c r="B30224" t="s">
        <v>9314</v>
      </c>
      <c r="C30224" s="1" t="s">
        <v>23490</v>
      </c>
      <c r="D30224" s="1" t="str">
        <f>HYPERLINK("https://rhld.insurance.arkansas.gov/NPILookup?Npi=1992889513","1992889513")</f>
        <v>1992889513</v>
      </c>
      <c r="E30224" t="s">
        <v>9991</v>
      </c>
    </row>
    <row r="30225" spans="1:5" x14ac:dyDescent="0.25">
      <c r="A30225" t="s">
        <v>9992</v>
      </c>
      <c r="B30225" t="s">
        <v>9993</v>
      </c>
      <c r="C30225" s="1" t="s">
        <v>23490</v>
      </c>
      <c r="D30225" s="1" t="str">
        <f>HYPERLINK("https://rhld.insurance.arkansas.gov/NPILookup?Npi=1003826314","1003826314")</f>
        <v>1003826314</v>
      </c>
      <c r="E30225" t="s">
        <v>9315</v>
      </c>
    </row>
    <row r="30226" spans="1:5" x14ac:dyDescent="0.25">
      <c r="A30226" t="s">
        <v>9992</v>
      </c>
      <c r="B30226" t="s">
        <v>9993</v>
      </c>
      <c r="C30226" s="1" t="s">
        <v>23490</v>
      </c>
      <c r="D30226" s="1" t="str">
        <f>HYPERLINK("https://rhld.insurance.arkansas.gov/NPILookup?Npi=1003981283","1003981283")</f>
        <v>1003981283</v>
      </c>
      <c r="E30226" t="s">
        <v>9320</v>
      </c>
    </row>
    <row r="30227" spans="1:5" x14ac:dyDescent="0.25">
      <c r="A30227" t="s">
        <v>9992</v>
      </c>
      <c r="B30227" t="s">
        <v>9993</v>
      </c>
      <c r="C30227" s="1" t="s">
        <v>23490</v>
      </c>
      <c r="D30227" s="1" t="str">
        <f>HYPERLINK("https://rhld.insurance.arkansas.gov/NPILookup?Npi=1013023837","1013023837")</f>
        <v>1013023837</v>
      </c>
      <c r="E30227" t="s">
        <v>12648</v>
      </c>
    </row>
    <row r="30228" spans="1:5" x14ac:dyDescent="0.25">
      <c r="A30228" t="s">
        <v>9992</v>
      </c>
      <c r="B30228" t="s">
        <v>9993</v>
      </c>
      <c r="C30228" s="1" t="s">
        <v>23490</v>
      </c>
      <c r="D30228" s="1" t="str">
        <f>HYPERLINK("https://rhld.insurance.arkansas.gov/NPILookup?Npi=1013049634","1013049634")</f>
        <v>1013049634</v>
      </c>
      <c r="E30228" t="s">
        <v>17336</v>
      </c>
    </row>
    <row r="30229" spans="1:5" x14ac:dyDescent="0.25">
      <c r="A30229" t="s">
        <v>9992</v>
      </c>
      <c r="B30229" t="s">
        <v>9993</v>
      </c>
      <c r="C30229" s="1" t="s">
        <v>23490</v>
      </c>
      <c r="D30229" s="1" t="str">
        <f>HYPERLINK("https://rhld.insurance.arkansas.gov/NPILookup?Npi=1013064310","1013064310")</f>
        <v>1013064310</v>
      </c>
      <c r="E30229" t="s">
        <v>17337</v>
      </c>
    </row>
    <row r="30230" spans="1:5" x14ac:dyDescent="0.25">
      <c r="A30230" t="s">
        <v>9992</v>
      </c>
      <c r="B30230" t="s">
        <v>9993</v>
      </c>
      <c r="C30230" s="1" t="s">
        <v>23490</v>
      </c>
      <c r="D30230" s="1" t="str">
        <f>HYPERLINK("https://rhld.insurance.arkansas.gov/NPILookup?Npi=1013159979","1013159979")</f>
        <v>1013159979</v>
      </c>
      <c r="E30230" t="s">
        <v>1042</v>
      </c>
    </row>
    <row r="30231" spans="1:5" x14ac:dyDescent="0.25">
      <c r="A30231" t="s">
        <v>9992</v>
      </c>
      <c r="B30231" t="s">
        <v>9993</v>
      </c>
      <c r="C30231" s="1" t="s">
        <v>23490</v>
      </c>
      <c r="D30231" s="1" t="str">
        <f>HYPERLINK("https://rhld.insurance.arkansas.gov/NPILookup?Npi=1013905165","1013905165")</f>
        <v>1013905165</v>
      </c>
      <c r="E30231" t="s">
        <v>12186</v>
      </c>
    </row>
    <row r="30232" spans="1:5" x14ac:dyDescent="0.25">
      <c r="A30232" t="s">
        <v>9992</v>
      </c>
      <c r="B30232" t="s">
        <v>9993</v>
      </c>
      <c r="C30232" s="1" t="s">
        <v>23490</v>
      </c>
      <c r="D30232" s="1" t="str">
        <f>HYPERLINK("https://rhld.insurance.arkansas.gov/NPILookup?Npi=1023147790","1023147790")</f>
        <v>1023147790</v>
      </c>
      <c r="E30232" t="s">
        <v>12649</v>
      </c>
    </row>
    <row r="30233" spans="1:5" x14ac:dyDescent="0.25">
      <c r="A30233" t="s">
        <v>9992</v>
      </c>
      <c r="B30233" t="s">
        <v>9993</v>
      </c>
      <c r="C30233" s="1" t="s">
        <v>23490</v>
      </c>
      <c r="D30233" s="1" t="str">
        <f>HYPERLINK("https://rhld.insurance.arkansas.gov/NPILookup?Npi=1033226485","1033226485")</f>
        <v>1033226485</v>
      </c>
      <c r="E30233" t="s">
        <v>9994</v>
      </c>
    </row>
    <row r="30234" spans="1:5" x14ac:dyDescent="0.25">
      <c r="A30234" t="s">
        <v>9992</v>
      </c>
      <c r="B30234" t="s">
        <v>9993</v>
      </c>
      <c r="C30234" s="1" t="s">
        <v>23490</v>
      </c>
      <c r="D30234" s="1" t="str">
        <f>HYPERLINK("https://rhld.insurance.arkansas.gov/NPILookup?Npi=1033290929","1033290929")</f>
        <v>1033290929</v>
      </c>
      <c r="E30234" t="s">
        <v>12650</v>
      </c>
    </row>
    <row r="30235" spans="1:5" x14ac:dyDescent="0.25">
      <c r="A30235" t="s">
        <v>9992</v>
      </c>
      <c r="B30235" t="s">
        <v>9993</v>
      </c>
      <c r="C30235" s="1" t="s">
        <v>23490</v>
      </c>
      <c r="D30235" s="1" t="str">
        <f>HYPERLINK("https://rhld.insurance.arkansas.gov/NPILookup?Npi=1033318068","1033318068")</f>
        <v>1033318068</v>
      </c>
      <c r="E30235" t="s">
        <v>9337</v>
      </c>
    </row>
    <row r="30236" spans="1:5" x14ac:dyDescent="0.25">
      <c r="A30236" t="s">
        <v>9992</v>
      </c>
      <c r="B30236" t="s">
        <v>9993</v>
      </c>
      <c r="C30236" s="1" t="s">
        <v>23490</v>
      </c>
      <c r="D30236" s="1" t="str">
        <f>HYPERLINK("https://rhld.insurance.arkansas.gov/NPILookup?Npi=1033516034","1033516034")</f>
        <v>1033516034</v>
      </c>
      <c r="E30236" t="s">
        <v>9339</v>
      </c>
    </row>
    <row r="30237" spans="1:5" x14ac:dyDescent="0.25">
      <c r="A30237" t="s">
        <v>9992</v>
      </c>
      <c r="B30237" t="s">
        <v>9993</v>
      </c>
      <c r="C30237" s="1" t="s">
        <v>23490</v>
      </c>
      <c r="D30237" s="1" t="str">
        <f>HYPERLINK("https://rhld.insurance.arkansas.gov/NPILookup?Npi=1043221823","1043221823")</f>
        <v>1043221823</v>
      </c>
      <c r="E30237" t="s">
        <v>12651</v>
      </c>
    </row>
    <row r="30238" spans="1:5" x14ac:dyDescent="0.25">
      <c r="A30238" t="s">
        <v>9992</v>
      </c>
      <c r="B30238" t="s">
        <v>9993</v>
      </c>
      <c r="C30238" s="1" t="s">
        <v>23490</v>
      </c>
      <c r="D30238" s="1" t="str">
        <f>HYPERLINK("https://rhld.insurance.arkansas.gov/NPILookup?Npi=1043432404","1043432404")</f>
        <v>1043432404</v>
      </c>
      <c r="E30238" t="s">
        <v>12652</v>
      </c>
    </row>
    <row r="30239" spans="1:5" x14ac:dyDescent="0.25">
      <c r="A30239" t="s">
        <v>9992</v>
      </c>
      <c r="B30239" t="s">
        <v>9993</v>
      </c>
      <c r="C30239" s="1" t="s">
        <v>23490</v>
      </c>
      <c r="D30239" s="1" t="str">
        <f>HYPERLINK("https://rhld.insurance.arkansas.gov/NPILookup?Npi=1053486134","1053486134")</f>
        <v>1053486134</v>
      </c>
      <c r="E30239" t="s">
        <v>5930</v>
      </c>
    </row>
    <row r="30240" spans="1:5" x14ac:dyDescent="0.25">
      <c r="A30240" t="s">
        <v>9992</v>
      </c>
      <c r="B30240" t="s">
        <v>9993</v>
      </c>
      <c r="C30240" s="1" t="s">
        <v>23490</v>
      </c>
      <c r="D30240" s="1" t="str">
        <f>HYPERLINK("https://rhld.insurance.arkansas.gov/NPILookup?Npi=1053545665","1053545665")</f>
        <v>1053545665</v>
      </c>
      <c r="E30240" t="s">
        <v>9350</v>
      </c>
    </row>
    <row r="30241" spans="1:5" x14ac:dyDescent="0.25">
      <c r="A30241" t="s">
        <v>9992</v>
      </c>
      <c r="B30241" t="s">
        <v>9993</v>
      </c>
      <c r="C30241" s="1" t="s">
        <v>23490</v>
      </c>
      <c r="D30241" s="1" t="str">
        <f>HYPERLINK("https://rhld.insurance.arkansas.gov/NPILookup?Npi=1063519676","1063519676")</f>
        <v>1063519676</v>
      </c>
      <c r="E30241" t="s">
        <v>9352</v>
      </c>
    </row>
    <row r="30242" spans="1:5" x14ac:dyDescent="0.25">
      <c r="A30242" t="s">
        <v>9992</v>
      </c>
      <c r="B30242" t="s">
        <v>9993</v>
      </c>
      <c r="C30242" s="1" t="s">
        <v>23490</v>
      </c>
      <c r="D30242" s="1" t="str">
        <f>HYPERLINK("https://rhld.insurance.arkansas.gov/NPILookup?Npi=1063573780","1063573780")</f>
        <v>1063573780</v>
      </c>
      <c r="E30242" t="s">
        <v>9355</v>
      </c>
    </row>
    <row r="30243" spans="1:5" x14ac:dyDescent="0.25">
      <c r="A30243" t="s">
        <v>9992</v>
      </c>
      <c r="B30243" t="s">
        <v>9993</v>
      </c>
      <c r="C30243" s="1" t="s">
        <v>23490</v>
      </c>
      <c r="D30243" s="1" t="str">
        <f>HYPERLINK("https://rhld.insurance.arkansas.gov/NPILookup?Npi=1063695930","1063695930")</f>
        <v>1063695930</v>
      </c>
      <c r="E30243" t="s">
        <v>12653</v>
      </c>
    </row>
    <row r="30244" spans="1:5" x14ac:dyDescent="0.25">
      <c r="A30244" t="s">
        <v>9992</v>
      </c>
      <c r="B30244" t="s">
        <v>9993</v>
      </c>
      <c r="C30244" s="1" t="s">
        <v>23490</v>
      </c>
      <c r="D30244" s="1" t="str">
        <f>HYPERLINK("https://rhld.insurance.arkansas.gov/NPILookup?Npi=1073676003","1073676003")</f>
        <v>1073676003</v>
      </c>
      <c r="E30244" t="s">
        <v>12654</v>
      </c>
    </row>
    <row r="30245" spans="1:5" x14ac:dyDescent="0.25">
      <c r="A30245" t="s">
        <v>9992</v>
      </c>
      <c r="B30245" t="s">
        <v>9993</v>
      </c>
      <c r="C30245" s="1" t="s">
        <v>23490</v>
      </c>
      <c r="D30245" s="1" t="str">
        <f>HYPERLINK("https://rhld.insurance.arkansas.gov/NPILookup?Npi=1073966917","1073966917")</f>
        <v>1073966917</v>
      </c>
      <c r="E30245" t="s">
        <v>21349</v>
      </c>
    </row>
    <row r="30246" spans="1:5" x14ac:dyDescent="0.25">
      <c r="A30246" t="s">
        <v>9992</v>
      </c>
      <c r="B30246" t="s">
        <v>9993</v>
      </c>
      <c r="C30246" s="1" t="s">
        <v>23490</v>
      </c>
      <c r="D30246" s="1" t="str">
        <f>HYPERLINK("https://rhld.insurance.arkansas.gov/NPILookup?Npi=1083006357","1083006357")</f>
        <v>1083006357</v>
      </c>
      <c r="E30246" t="s">
        <v>17338</v>
      </c>
    </row>
    <row r="30247" spans="1:5" x14ac:dyDescent="0.25">
      <c r="A30247" t="s">
        <v>9992</v>
      </c>
      <c r="B30247" t="s">
        <v>9993</v>
      </c>
      <c r="C30247" s="1" t="s">
        <v>23490</v>
      </c>
      <c r="D30247" s="1" t="str">
        <f>HYPERLINK("https://rhld.insurance.arkansas.gov/NPILookup?Npi=1083628093","1083628093")</f>
        <v>1083628093</v>
      </c>
      <c r="E30247" t="s">
        <v>12655</v>
      </c>
    </row>
    <row r="30248" spans="1:5" x14ac:dyDescent="0.25">
      <c r="A30248" t="s">
        <v>9992</v>
      </c>
      <c r="B30248" t="s">
        <v>9993</v>
      </c>
      <c r="C30248" s="1" t="s">
        <v>23490</v>
      </c>
      <c r="D30248" s="1" t="str">
        <f>HYPERLINK("https://rhld.insurance.arkansas.gov/NPILookup?Npi=1083761878","1083761878")</f>
        <v>1083761878</v>
      </c>
      <c r="E30248" t="s">
        <v>9374</v>
      </c>
    </row>
    <row r="30249" spans="1:5" x14ac:dyDescent="0.25">
      <c r="A30249" t="s">
        <v>9992</v>
      </c>
      <c r="B30249" t="s">
        <v>9993</v>
      </c>
      <c r="C30249" s="1" t="s">
        <v>23490</v>
      </c>
      <c r="D30249" s="1" t="str">
        <f>HYPERLINK("https://rhld.insurance.arkansas.gov/NPILookup?Npi=1093067506","1093067506")</f>
        <v>1093067506</v>
      </c>
      <c r="E30249" t="s">
        <v>12656</v>
      </c>
    </row>
    <row r="30250" spans="1:5" x14ac:dyDescent="0.25">
      <c r="A30250" t="s">
        <v>9992</v>
      </c>
      <c r="B30250" t="s">
        <v>9993</v>
      </c>
      <c r="C30250" s="1" t="s">
        <v>23490</v>
      </c>
      <c r="D30250" s="1" t="str">
        <f>HYPERLINK("https://rhld.insurance.arkansas.gov/NPILookup?Npi=1093122202","1093122202")</f>
        <v>1093122202</v>
      </c>
      <c r="E30250" t="s">
        <v>12210</v>
      </c>
    </row>
    <row r="30251" spans="1:5" x14ac:dyDescent="0.25">
      <c r="A30251" t="s">
        <v>9992</v>
      </c>
      <c r="B30251" t="s">
        <v>9993</v>
      </c>
      <c r="C30251" s="1" t="s">
        <v>23490</v>
      </c>
      <c r="D30251" s="1" t="str">
        <f>HYPERLINK("https://rhld.insurance.arkansas.gov/NPILookup?Npi=1093889883","1093889883")</f>
        <v>1093889883</v>
      </c>
      <c r="E30251" t="s">
        <v>9382</v>
      </c>
    </row>
    <row r="30252" spans="1:5" x14ac:dyDescent="0.25">
      <c r="A30252" t="s">
        <v>9992</v>
      </c>
      <c r="B30252" t="s">
        <v>9993</v>
      </c>
      <c r="C30252" s="1" t="s">
        <v>23490</v>
      </c>
      <c r="D30252" s="1" t="str">
        <f>HYPERLINK("https://rhld.insurance.arkansas.gov/NPILookup?Npi=1093921926","1093921926")</f>
        <v>1093921926</v>
      </c>
      <c r="E30252" t="s">
        <v>18612</v>
      </c>
    </row>
    <row r="30253" spans="1:5" x14ac:dyDescent="0.25">
      <c r="A30253" t="s">
        <v>9992</v>
      </c>
      <c r="B30253" t="s">
        <v>9993</v>
      </c>
      <c r="C30253" s="1" t="s">
        <v>23490</v>
      </c>
      <c r="D30253" s="1" t="str">
        <f>HYPERLINK("https://rhld.insurance.arkansas.gov/NPILookup?Npi=1093979254","1093979254")</f>
        <v>1093979254</v>
      </c>
      <c r="E30253" t="s">
        <v>9996</v>
      </c>
    </row>
    <row r="30254" spans="1:5" x14ac:dyDescent="0.25">
      <c r="A30254" t="s">
        <v>9992</v>
      </c>
      <c r="B30254" t="s">
        <v>9993</v>
      </c>
      <c r="C30254" s="1" t="s">
        <v>23490</v>
      </c>
      <c r="D30254" s="1" t="str">
        <f>HYPERLINK("https://rhld.insurance.arkansas.gov/NPILookup?Npi=1104047067","1104047067")</f>
        <v>1104047067</v>
      </c>
      <c r="E30254" t="s">
        <v>9383</v>
      </c>
    </row>
    <row r="30255" spans="1:5" x14ac:dyDescent="0.25">
      <c r="A30255" t="s">
        <v>9992</v>
      </c>
      <c r="B30255" t="s">
        <v>9993</v>
      </c>
      <c r="C30255" s="1" t="s">
        <v>23490</v>
      </c>
      <c r="D30255" s="1" t="str">
        <f>HYPERLINK("https://rhld.insurance.arkansas.gov/NPILookup?Npi=1104982016","1104982016")</f>
        <v>1104982016</v>
      </c>
      <c r="E30255" t="s">
        <v>661</v>
      </c>
    </row>
    <row r="30256" spans="1:5" x14ac:dyDescent="0.25">
      <c r="A30256" t="s">
        <v>9992</v>
      </c>
      <c r="B30256" t="s">
        <v>9993</v>
      </c>
      <c r="C30256" s="1" t="s">
        <v>23490</v>
      </c>
      <c r="D30256" s="1" t="str">
        <f>HYPERLINK("https://rhld.insurance.arkansas.gov/NPILookup?Npi=1114115219","1114115219")</f>
        <v>1114115219</v>
      </c>
      <c r="E30256" t="s">
        <v>9997</v>
      </c>
    </row>
    <row r="30257" spans="1:5" x14ac:dyDescent="0.25">
      <c r="A30257" t="s">
        <v>9992</v>
      </c>
      <c r="B30257" t="s">
        <v>9993</v>
      </c>
      <c r="C30257" s="1" t="s">
        <v>23490</v>
      </c>
      <c r="D30257" s="1" t="str">
        <f>HYPERLINK("https://rhld.insurance.arkansas.gov/NPILookup?Npi=1114117702","1114117702")</f>
        <v>1114117702</v>
      </c>
      <c r="E30257" t="s">
        <v>9998</v>
      </c>
    </row>
    <row r="30258" spans="1:5" x14ac:dyDescent="0.25">
      <c r="A30258" t="s">
        <v>9992</v>
      </c>
      <c r="B30258" t="s">
        <v>9993</v>
      </c>
      <c r="C30258" s="1" t="s">
        <v>23490</v>
      </c>
      <c r="D30258" s="1" t="str">
        <f>HYPERLINK("https://rhld.insurance.arkansas.gov/NPILookup?Npi=1114141231","1114141231")</f>
        <v>1114141231</v>
      </c>
      <c r="E30258" t="s">
        <v>9999</v>
      </c>
    </row>
    <row r="30259" spans="1:5" x14ac:dyDescent="0.25">
      <c r="A30259" t="s">
        <v>9992</v>
      </c>
      <c r="B30259" t="s">
        <v>9993</v>
      </c>
      <c r="C30259" s="1" t="s">
        <v>23490</v>
      </c>
      <c r="D30259" s="1" t="str">
        <f>HYPERLINK("https://rhld.insurance.arkansas.gov/NPILookup?Npi=1114248655","1114248655")</f>
        <v>1114248655</v>
      </c>
      <c r="E30259" t="s">
        <v>19213</v>
      </c>
    </row>
    <row r="30260" spans="1:5" x14ac:dyDescent="0.25">
      <c r="A30260" t="s">
        <v>9992</v>
      </c>
      <c r="B30260" t="s">
        <v>9993</v>
      </c>
      <c r="C30260" s="1" t="s">
        <v>23490</v>
      </c>
      <c r="D30260" s="1" t="str">
        <f>HYPERLINK("https://rhld.insurance.arkansas.gov/NPILookup?Npi=1114339926","1114339926")</f>
        <v>1114339926</v>
      </c>
      <c r="E30260" t="s">
        <v>12657</v>
      </c>
    </row>
    <row r="30261" spans="1:5" x14ac:dyDescent="0.25">
      <c r="A30261" t="s">
        <v>9992</v>
      </c>
      <c r="B30261" t="s">
        <v>9993</v>
      </c>
      <c r="C30261" s="1" t="s">
        <v>8427</v>
      </c>
      <c r="D30261" s="1" t="str">
        <f>HYPERLINK("https://rhld.insurance.arkansas.gov/NPILookup?Npi=1114453214","1114453214")</f>
        <v>1114453214</v>
      </c>
      <c r="E30261" t="s">
        <v>23378</v>
      </c>
    </row>
    <row r="30262" spans="1:5" x14ac:dyDescent="0.25">
      <c r="A30262" t="s">
        <v>9992</v>
      </c>
      <c r="B30262" t="s">
        <v>9993</v>
      </c>
      <c r="C30262" s="1" t="s">
        <v>23490</v>
      </c>
      <c r="D30262" s="1" t="str">
        <f>HYPERLINK("https://rhld.insurance.arkansas.gov/NPILookup?Npi=1124032362","1124032362")</f>
        <v>1124032362</v>
      </c>
      <c r="E30262" t="s">
        <v>10000</v>
      </c>
    </row>
    <row r="30263" spans="1:5" x14ac:dyDescent="0.25">
      <c r="A30263" t="s">
        <v>9992</v>
      </c>
      <c r="B30263" t="s">
        <v>9993</v>
      </c>
      <c r="C30263" s="1" t="s">
        <v>23490</v>
      </c>
      <c r="D30263" s="1" t="str">
        <f>HYPERLINK("https://rhld.insurance.arkansas.gov/NPILookup?Npi=1124074695","1124074695")</f>
        <v>1124074695</v>
      </c>
      <c r="E30263" t="s">
        <v>12658</v>
      </c>
    </row>
    <row r="30264" spans="1:5" x14ac:dyDescent="0.25">
      <c r="A30264" t="s">
        <v>9992</v>
      </c>
      <c r="B30264" t="s">
        <v>9993</v>
      </c>
      <c r="C30264" s="1" t="s">
        <v>23490</v>
      </c>
      <c r="D30264" s="1" t="str">
        <f>HYPERLINK("https://rhld.insurance.arkansas.gov/NPILookup?Npi=1124149059","1124149059")</f>
        <v>1124149059</v>
      </c>
      <c r="E30264" t="s">
        <v>10001</v>
      </c>
    </row>
    <row r="30265" spans="1:5" x14ac:dyDescent="0.25">
      <c r="A30265" t="s">
        <v>9992</v>
      </c>
      <c r="B30265" t="s">
        <v>9993</v>
      </c>
      <c r="C30265" s="1" t="s">
        <v>23490</v>
      </c>
      <c r="D30265" s="1" t="str">
        <f>HYPERLINK("https://rhld.insurance.arkansas.gov/NPILookup?Npi=1124158258","1124158258")</f>
        <v>1124158258</v>
      </c>
      <c r="E30265" t="s">
        <v>10002</v>
      </c>
    </row>
    <row r="30266" spans="1:5" x14ac:dyDescent="0.25">
      <c r="A30266" t="s">
        <v>9992</v>
      </c>
      <c r="B30266" t="s">
        <v>9993</v>
      </c>
      <c r="C30266" s="1" t="s">
        <v>23490</v>
      </c>
      <c r="D30266" s="1" t="str">
        <f>HYPERLINK("https://rhld.insurance.arkansas.gov/NPILookup?Npi=1124443064","1124443064")</f>
        <v>1124443064</v>
      </c>
      <c r="E30266" t="s">
        <v>22792</v>
      </c>
    </row>
    <row r="30267" spans="1:5" x14ac:dyDescent="0.25">
      <c r="A30267" t="s">
        <v>9992</v>
      </c>
      <c r="B30267" t="s">
        <v>9993</v>
      </c>
      <c r="C30267" s="1" t="s">
        <v>23490</v>
      </c>
      <c r="D30267" s="1" t="str">
        <f>HYPERLINK("https://rhld.insurance.arkansas.gov/NPILookup?Npi=1124519350","1124519350")</f>
        <v>1124519350</v>
      </c>
      <c r="E30267" t="s">
        <v>17317</v>
      </c>
    </row>
    <row r="30268" spans="1:5" x14ac:dyDescent="0.25">
      <c r="A30268" t="s">
        <v>9992</v>
      </c>
      <c r="B30268" t="s">
        <v>9993</v>
      </c>
      <c r="C30268" s="1" t="s">
        <v>23490</v>
      </c>
      <c r="D30268" s="1" t="str">
        <f>HYPERLINK("https://rhld.insurance.arkansas.gov/NPILookup?Npi=1134134703","1134134703")</f>
        <v>1134134703</v>
      </c>
      <c r="E30268" t="s">
        <v>10003</v>
      </c>
    </row>
    <row r="30269" spans="1:5" x14ac:dyDescent="0.25">
      <c r="A30269" t="s">
        <v>9992</v>
      </c>
      <c r="B30269" t="s">
        <v>9993</v>
      </c>
      <c r="C30269" s="1" t="s">
        <v>23490</v>
      </c>
      <c r="D30269" s="1" t="str">
        <f>HYPERLINK("https://rhld.insurance.arkansas.gov/NPILookup?Npi=1144392788","1144392788")</f>
        <v>1144392788</v>
      </c>
      <c r="E30269" t="s">
        <v>9410</v>
      </c>
    </row>
    <row r="30270" spans="1:5" x14ac:dyDescent="0.25">
      <c r="A30270" t="s">
        <v>9992</v>
      </c>
      <c r="B30270" t="s">
        <v>9993</v>
      </c>
      <c r="C30270" s="1" t="s">
        <v>23490</v>
      </c>
      <c r="D30270" s="1" t="str">
        <f>HYPERLINK("https://rhld.insurance.arkansas.gov/NPILookup?Npi=1144452293","1144452293")</f>
        <v>1144452293</v>
      </c>
      <c r="E30270" t="s">
        <v>3177</v>
      </c>
    </row>
    <row r="30271" spans="1:5" x14ac:dyDescent="0.25">
      <c r="A30271" t="s">
        <v>9992</v>
      </c>
      <c r="B30271" t="s">
        <v>9993</v>
      </c>
      <c r="C30271" s="1" t="s">
        <v>23490</v>
      </c>
      <c r="D30271" s="1" t="str">
        <f>HYPERLINK("https://rhld.insurance.arkansas.gov/NPILookup?Npi=1144456427","1144456427")</f>
        <v>1144456427</v>
      </c>
      <c r="E30271" t="s">
        <v>12247</v>
      </c>
    </row>
    <row r="30272" spans="1:5" x14ac:dyDescent="0.25">
      <c r="A30272" t="s">
        <v>9992</v>
      </c>
      <c r="B30272" t="s">
        <v>9993</v>
      </c>
      <c r="C30272" s="1" t="s">
        <v>23490</v>
      </c>
      <c r="D30272" s="1" t="str">
        <f>HYPERLINK("https://rhld.insurance.arkansas.gov/NPILookup?Npi=1164093043","1164093043")</f>
        <v>1164093043</v>
      </c>
      <c r="E30272" t="s">
        <v>20804</v>
      </c>
    </row>
    <row r="30273" spans="1:5" x14ac:dyDescent="0.25">
      <c r="A30273" t="s">
        <v>9992</v>
      </c>
      <c r="B30273" t="s">
        <v>9993</v>
      </c>
      <c r="C30273" s="1" t="s">
        <v>23490</v>
      </c>
      <c r="D30273" s="1" t="str">
        <f>HYPERLINK("https://rhld.insurance.arkansas.gov/NPILookup?Npi=1164516662","1164516662")</f>
        <v>1164516662</v>
      </c>
      <c r="E30273" t="s">
        <v>9423</v>
      </c>
    </row>
    <row r="30274" spans="1:5" x14ac:dyDescent="0.25">
      <c r="A30274" t="s">
        <v>9992</v>
      </c>
      <c r="B30274" t="s">
        <v>9993</v>
      </c>
      <c r="C30274" s="1" t="s">
        <v>23490</v>
      </c>
      <c r="D30274" s="1" t="str">
        <f>HYPERLINK("https://rhld.insurance.arkansas.gov/NPILookup?Npi=1164800868","1164800868")</f>
        <v>1164800868</v>
      </c>
      <c r="E30274" t="s">
        <v>12659</v>
      </c>
    </row>
    <row r="30275" spans="1:5" x14ac:dyDescent="0.25">
      <c r="A30275" t="s">
        <v>9992</v>
      </c>
      <c r="B30275" t="s">
        <v>9993</v>
      </c>
      <c r="C30275" s="1" t="s">
        <v>23490</v>
      </c>
      <c r="D30275" s="1" t="str">
        <f>HYPERLINK("https://rhld.insurance.arkansas.gov/NPILookup?Npi=1164884243","1164884243")</f>
        <v>1164884243</v>
      </c>
      <c r="E30275" t="s">
        <v>18637</v>
      </c>
    </row>
    <row r="30276" spans="1:5" x14ac:dyDescent="0.25">
      <c r="A30276" t="s">
        <v>9992</v>
      </c>
      <c r="B30276" t="s">
        <v>9993</v>
      </c>
      <c r="C30276" s="1" t="s">
        <v>23490</v>
      </c>
      <c r="D30276" s="1" t="str">
        <f>HYPERLINK("https://rhld.insurance.arkansas.gov/NPILookup?Npi=1174502736","1174502736")</f>
        <v>1174502736</v>
      </c>
      <c r="E30276" t="s">
        <v>21324</v>
      </c>
    </row>
    <row r="30277" spans="1:5" x14ac:dyDescent="0.25">
      <c r="A30277" t="s">
        <v>9992</v>
      </c>
      <c r="B30277" t="s">
        <v>9993</v>
      </c>
      <c r="C30277" s="1" t="s">
        <v>23490</v>
      </c>
      <c r="D30277" s="1" t="str">
        <f>HYPERLINK("https://rhld.insurance.arkansas.gov/NPILookup?Npi=1174511604","1174511604")</f>
        <v>1174511604</v>
      </c>
      <c r="E30277" t="s">
        <v>12660</v>
      </c>
    </row>
    <row r="30278" spans="1:5" x14ac:dyDescent="0.25">
      <c r="A30278" t="s">
        <v>9992</v>
      </c>
      <c r="B30278" t="s">
        <v>9993</v>
      </c>
      <c r="C30278" s="1" t="s">
        <v>23490</v>
      </c>
      <c r="D30278" s="1" t="str">
        <f>HYPERLINK("https://rhld.insurance.arkansas.gov/NPILookup?Npi=1174526768","1174526768")</f>
        <v>1174526768</v>
      </c>
      <c r="E30278" t="s">
        <v>12661</v>
      </c>
    </row>
    <row r="30279" spans="1:5" x14ac:dyDescent="0.25">
      <c r="A30279" t="s">
        <v>9992</v>
      </c>
      <c r="B30279" t="s">
        <v>9993</v>
      </c>
      <c r="C30279" s="1" t="s">
        <v>23490</v>
      </c>
      <c r="D30279" s="1" t="str">
        <f>HYPERLINK("https://rhld.insurance.arkansas.gov/NPILookup?Npi=1174539753","1174539753")</f>
        <v>1174539753</v>
      </c>
      <c r="E30279" t="s">
        <v>22793</v>
      </c>
    </row>
    <row r="30280" spans="1:5" x14ac:dyDescent="0.25">
      <c r="A30280" t="s">
        <v>9992</v>
      </c>
      <c r="B30280" t="s">
        <v>9993</v>
      </c>
      <c r="C30280" s="1" t="s">
        <v>23490</v>
      </c>
      <c r="D30280" s="1" t="str">
        <f>HYPERLINK("https://rhld.insurance.arkansas.gov/NPILookup?Npi=1174652671","1174652671")</f>
        <v>1174652671</v>
      </c>
      <c r="E30280" t="s">
        <v>12662</v>
      </c>
    </row>
    <row r="30281" spans="1:5" x14ac:dyDescent="0.25">
      <c r="A30281" t="s">
        <v>9992</v>
      </c>
      <c r="B30281" t="s">
        <v>9993</v>
      </c>
      <c r="C30281" s="1" t="s">
        <v>23490</v>
      </c>
      <c r="D30281" s="1" t="str">
        <f>HYPERLINK("https://rhld.insurance.arkansas.gov/NPILookup?Npi=1174665111","1174665111")</f>
        <v>1174665111</v>
      </c>
      <c r="E30281" t="s">
        <v>9430</v>
      </c>
    </row>
    <row r="30282" spans="1:5" x14ac:dyDescent="0.25">
      <c r="A30282" t="s">
        <v>9992</v>
      </c>
      <c r="B30282" t="s">
        <v>9993</v>
      </c>
      <c r="C30282" s="1" t="s">
        <v>23490</v>
      </c>
      <c r="D30282" s="1" t="str">
        <f>HYPERLINK("https://rhld.insurance.arkansas.gov/NPILookup?Npi=1174742456","1174742456")</f>
        <v>1174742456</v>
      </c>
      <c r="E30282" t="s">
        <v>9432</v>
      </c>
    </row>
    <row r="30283" spans="1:5" x14ac:dyDescent="0.25">
      <c r="A30283" t="s">
        <v>9992</v>
      </c>
      <c r="B30283" t="s">
        <v>9993</v>
      </c>
      <c r="C30283" s="1" t="s">
        <v>23490</v>
      </c>
      <c r="D30283" s="1" t="str">
        <f>HYPERLINK("https://rhld.insurance.arkansas.gov/NPILookup?Npi=1174747729","1174747729")</f>
        <v>1174747729</v>
      </c>
      <c r="E30283" t="s">
        <v>12663</v>
      </c>
    </row>
    <row r="30284" spans="1:5" x14ac:dyDescent="0.25">
      <c r="A30284" t="s">
        <v>9992</v>
      </c>
      <c r="B30284" t="s">
        <v>9993</v>
      </c>
      <c r="C30284" s="1" t="s">
        <v>23490</v>
      </c>
      <c r="D30284" s="1" t="str">
        <f>HYPERLINK("https://rhld.insurance.arkansas.gov/NPILookup?Npi=1184680324","1184680324")</f>
        <v>1184680324</v>
      </c>
      <c r="E30284" t="s">
        <v>9437</v>
      </c>
    </row>
    <row r="30285" spans="1:5" x14ac:dyDescent="0.25">
      <c r="A30285" t="s">
        <v>9992</v>
      </c>
      <c r="B30285" t="s">
        <v>9993</v>
      </c>
      <c r="C30285" s="1" t="s">
        <v>23490</v>
      </c>
      <c r="D30285" s="1" t="str">
        <f>HYPERLINK("https://rhld.insurance.arkansas.gov/NPILookup?Npi=1184838138","1184838138")</f>
        <v>1184838138</v>
      </c>
      <c r="E30285" t="s">
        <v>22794</v>
      </c>
    </row>
    <row r="30286" spans="1:5" x14ac:dyDescent="0.25">
      <c r="A30286" t="s">
        <v>9992</v>
      </c>
      <c r="B30286" t="s">
        <v>9993</v>
      </c>
      <c r="C30286" s="1" t="s">
        <v>23490</v>
      </c>
      <c r="D30286" s="1" t="str">
        <f>HYPERLINK("https://rhld.insurance.arkansas.gov/NPILookup?Npi=1194358507","1194358507")</f>
        <v>1194358507</v>
      </c>
      <c r="E30286" t="s">
        <v>123</v>
      </c>
    </row>
    <row r="30287" spans="1:5" x14ac:dyDescent="0.25">
      <c r="A30287" t="s">
        <v>9992</v>
      </c>
      <c r="B30287" t="s">
        <v>9993</v>
      </c>
      <c r="C30287" s="1" t="s">
        <v>23490</v>
      </c>
      <c r="D30287" s="1" t="str">
        <f>HYPERLINK("https://rhld.insurance.arkansas.gov/NPILookup?Npi=1194714014","1194714014")</f>
        <v>1194714014</v>
      </c>
      <c r="E30287" t="s">
        <v>12664</v>
      </c>
    </row>
    <row r="30288" spans="1:5" x14ac:dyDescent="0.25">
      <c r="A30288" t="s">
        <v>9992</v>
      </c>
      <c r="B30288" t="s">
        <v>9993</v>
      </c>
      <c r="C30288" s="1" t="s">
        <v>23490</v>
      </c>
      <c r="D30288" s="1" t="str">
        <f>HYPERLINK("https://rhld.insurance.arkansas.gov/NPILookup?Npi=1194731836","1194731836")</f>
        <v>1194731836</v>
      </c>
      <c r="E30288" t="s">
        <v>2107</v>
      </c>
    </row>
    <row r="30289" spans="1:5" x14ac:dyDescent="0.25">
      <c r="A30289" t="s">
        <v>9992</v>
      </c>
      <c r="B30289" t="s">
        <v>9993</v>
      </c>
      <c r="C30289" s="1" t="s">
        <v>23490</v>
      </c>
      <c r="D30289" s="1" t="str">
        <f>HYPERLINK("https://rhld.insurance.arkansas.gov/NPILookup?Npi=1194850404","1194850404")</f>
        <v>1194850404</v>
      </c>
      <c r="E30289" t="s">
        <v>12665</v>
      </c>
    </row>
    <row r="30290" spans="1:5" x14ac:dyDescent="0.25">
      <c r="A30290" t="s">
        <v>9992</v>
      </c>
      <c r="B30290" t="s">
        <v>9993</v>
      </c>
      <c r="C30290" s="1" t="s">
        <v>23490</v>
      </c>
      <c r="D30290" s="1" t="str">
        <f>HYPERLINK("https://rhld.insurance.arkansas.gov/NPILookup?Npi=1205188109","1205188109")</f>
        <v>1205188109</v>
      </c>
      <c r="E30290" t="s">
        <v>12666</v>
      </c>
    </row>
    <row r="30291" spans="1:5" x14ac:dyDescent="0.25">
      <c r="A30291" t="s">
        <v>9992</v>
      </c>
      <c r="B30291" t="s">
        <v>9993</v>
      </c>
      <c r="C30291" s="1" t="s">
        <v>23490</v>
      </c>
      <c r="D30291" s="1" t="str">
        <f>HYPERLINK("https://rhld.insurance.arkansas.gov/NPILookup?Npi=1205816733","1205816733")</f>
        <v>1205816733</v>
      </c>
      <c r="E30291" t="s">
        <v>9454</v>
      </c>
    </row>
    <row r="30292" spans="1:5" x14ac:dyDescent="0.25">
      <c r="A30292" t="s">
        <v>9992</v>
      </c>
      <c r="B30292" t="s">
        <v>9993</v>
      </c>
      <c r="C30292" s="1" t="s">
        <v>23490</v>
      </c>
      <c r="D30292" s="1" t="str">
        <f>HYPERLINK("https://rhld.insurance.arkansas.gov/NPILookup?Npi=1215192000","1215192000")</f>
        <v>1215192000</v>
      </c>
      <c r="E30292" t="s">
        <v>12278</v>
      </c>
    </row>
    <row r="30293" spans="1:5" x14ac:dyDescent="0.25">
      <c r="A30293" t="s">
        <v>9992</v>
      </c>
      <c r="B30293" t="s">
        <v>9993</v>
      </c>
      <c r="C30293" s="1" t="s">
        <v>23490</v>
      </c>
      <c r="D30293" s="1" t="str">
        <f>HYPERLINK("https://rhld.insurance.arkansas.gov/NPILookup?Npi=1215490164","1215490164")</f>
        <v>1215490164</v>
      </c>
      <c r="E30293" t="s">
        <v>19189</v>
      </c>
    </row>
    <row r="30294" spans="1:5" x14ac:dyDescent="0.25">
      <c r="A30294" t="s">
        <v>9992</v>
      </c>
      <c r="B30294" t="s">
        <v>9993</v>
      </c>
      <c r="C30294" s="1" t="s">
        <v>23490</v>
      </c>
      <c r="D30294" s="1" t="str">
        <f>HYPERLINK("https://rhld.insurance.arkansas.gov/NPILookup?Npi=1225135239","1225135239")</f>
        <v>1225135239</v>
      </c>
      <c r="E30294" t="s">
        <v>10005</v>
      </c>
    </row>
    <row r="30295" spans="1:5" x14ac:dyDescent="0.25">
      <c r="A30295" t="s">
        <v>9992</v>
      </c>
      <c r="B30295" t="s">
        <v>9993</v>
      </c>
      <c r="C30295" s="1" t="s">
        <v>23490</v>
      </c>
      <c r="D30295" s="1" t="str">
        <f>HYPERLINK("https://rhld.insurance.arkansas.gov/NPILookup?Npi=1225211196","1225211196")</f>
        <v>1225211196</v>
      </c>
      <c r="E30295" t="s">
        <v>9465</v>
      </c>
    </row>
    <row r="30296" spans="1:5" x14ac:dyDescent="0.25">
      <c r="A30296" t="s">
        <v>9992</v>
      </c>
      <c r="B30296" t="s">
        <v>9993</v>
      </c>
      <c r="C30296" s="1" t="s">
        <v>23490</v>
      </c>
      <c r="D30296" s="1" t="str">
        <f>HYPERLINK("https://rhld.insurance.arkansas.gov/NPILookup?Npi=1235320417","1235320417")</f>
        <v>1235320417</v>
      </c>
      <c r="E30296" t="s">
        <v>7799</v>
      </c>
    </row>
    <row r="30297" spans="1:5" x14ac:dyDescent="0.25">
      <c r="A30297" t="s">
        <v>9992</v>
      </c>
      <c r="B30297" t="s">
        <v>9993</v>
      </c>
      <c r="C30297" s="1" t="s">
        <v>23490</v>
      </c>
      <c r="D30297" s="1" t="str">
        <f>HYPERLINK("https://rhld.insurance.arkansas.gov/NPILookup?Npi=1245418292","1245418292")</f>
        <v>1245418292</v>
      </c>
      <c r="E30297" t="s">
        <v>9477</v>
      </c>
    </row>
    <row r="30298" spans="1:5" x14ac:dyDescent="0.25">
      <c r="A30298" t="s">
        <v>9992</v>
      </c>
      <c r="B30298" t="s">
        <v>9993</v>
      </c>
      <c r="C30298" s="1" t="s">
        <v>23490</v>
      </c>
      <c r="D30298" s="1" t="str">
        <f>HYPERLINK("https://rhld.insurance.arkansas.gov/NPILookup?Npi=1245441526","1245441526")</f>
        <v>1245441526</v>
      </c>
      <c r="E30298" t="s">
        <v>18613</v>
      </c>
    </row>
    <row r="30299" spans="1:5" x14ac:dyDescent="0.25">
      <c r="A30299" t="s">
        <v>9992</v>
      </c>
      <c r="B30299" t="s">
        <v>9993</v>
      </c>
      <c r="C30299" s="1" t="s">
        <v>23490</v>
      </c>
      <c r="D30299" s="1" t="str">
        <f>HYPERLINK("https://rhld.insurance.arkansas.gov/NPILookup?Npi=1255532842","1255532842")</f>
        <v>1255532842</v>
      </c>
      <c r="E30299" t="s">
        <v>22795</v>
      </c>
    </row>
    <row r="30300" spans="1:5" x14ac:dyDescent="0.25">
      <c r="A30300" t="s">
        <v>9992</v>
      </c>
      <c r="B30300" t="s">
        <v>9993</v>
      </c>
      <c r="C30300" s="1" t="s">
        <v>23490</v>
      </c>
      <c r="D30300" s="1" t="str">
        <f>HYPERLINK("https://rhld.insurance.arkansas.gov/NPILookup?Npi=1265517213","1265517213")</f>
        <v>1265517213</v>
      </c>
      <c r="E30300" t="s">
        <v>10006</v>
      </c>
    </row>
    <row r="30301" spans="1:5" x14ac:dyDescent="0.25">
      <c r="A30301" t="s">
        <v>9992</v>
      </c>
      <c r="B30301" t="s">
        <v>9993</v>
      </c>
      <c r="C30301" s="1" t="s">
        <v>23490</v>
      </c>
      <c r="D30301" s="1" t="str">
        <f>HYPERLINK("https://rhld.insurance.arkansas.gov/NPILookup?Npi=1265635676","1265635676")</f>
        <v>1265635676</v>
      </c>
      <c r="E30301" t="s">
        <v>9490</v>
      </c>
    </row>
    <row r="30302" spans="1:5" x14ac:dyDescent="0.25">
      <c r="A30302" t="s">
        <v>9992</v>
      </c>
      <c r="B30302" t="s">
        <v>9993</v>
      </c>
      <c r="C30302" s="1" t="s">
        <v>23490</v>
      </c>
      <c r="D30302" s="1" t="str">
        <f>HYPERLINK("https://rhld.insurance.arkansas.gov/NPILookup?Npi=1265954432","1265954432")</f>
        <v>1265954432</v>
      </c>
      <c r="E30302" t="s">
        <v>9917</v>
      </c>
    </row>
    <row r="30303" spans="1:5" x14ac:dyDescent="0.25">
      <c r="A30303" t="s">
        <v>9992</v>
      </c>
      <c r="B30303" t="s">
        <v>9993</v>
      </c>
      <c r="C30303" s="1" t="s">
        <v>23490</v>
      </c>
      <c r="D30303" s="1" t="str">
        <f>HYPERLINK("https://rhld.insurance.arkansas.gov/NPILookup?Npi=1275582801","1275582801")</f>
        <v>1275582801</v>
      </c>
      <c r="E30303" t="s">
        <v>10007</v>
      </c>
    </row>
    <row r="30304" spans="1:5" x14ac:dyDescent="0.25">
      <c r="A30304" t="s">
        <v>9992</v>
      </c>
      <c r="B30304" t="s">
        <v>9993</v>
      </c>
      <c r="C30304" s="1" t="s">
        <v>23490</v>
      </c>
      <c r="D30304" s="1" t="str">
        <f>HYPERLINK("https://rhld.insurance.arkansas.gov/NPILookup?Npi=1275592701","1275592701")</f>
        <v>1275592701</v>
      </c>
      <c r="E30304" t="s">
        <v>16805</v>
      </c>
    </row>
    <row r="30305" spans="1:5" x14ac:dyDescent="0.25">
      <c r="A30305" t="s">
        <v>9992</v>
      </c>
      <c r="B30305" t="s">
        <v>9993</v>
      </c>
      <c r="C30305" s="1" t="s">
        <v>23490</v>
      </c>
      <c r="D30305" s="1" t="str">
        <f>HYPERLINK("https://rhld.insurance.arkansas.gov/NPILookup?Npi=1275616922","1275616922")</f>
        <v>1275616922</v>
      </c>
      <c r="E30305" t="s">
        <v>10008</v>
      </c>
    </row>
    <row r="30306" spans="1:5" x14ac:dyDescent="0.25">
      <c r="A30306" t="s">
        <v>9992</v>
      </c>
      <c r="B30306" t="s">
        <v>9993</v>
      </c>
      <c r="C30306" s="1" t="s">
        <v>23490</v>
      </c>
      <c r="D30306" s="1" t="str">
        <f>HYPERLINK("https://rhld.insurance.arkansas.gov/NPILookup?Npi=1275642357","1275642357")</f>
        <v>1275642357</v>
      </c>
      <c r="E30306" t="s">
        <v>12667</v>
      </c>
    </row>
    <row r="30307" spans="1:5" x14ac:dyDescent="0.25">
      <c r="A30307" t="s">
        <v>9992</v>
      </c>
      <c r="B30307" t="s">
        <v>9993</v>
      </c>
      <c r="C30307" s="1" t="s">
        <v>23490</v>
      </c>
      <c r="D30307" s="1" t="str">
        <f>HYPERLINK("https://rhld.insurance.arkansas.gov/NPILookup?Npi=1285861104","1285861104")</f>
        <v>1285861104</v>
      </c>
      <c r="E30307" t="s">
        <v>17372</v>
      </c>
    </row>
    <row r="30308" spans="1:5" x14ac:dyDescent="0.25">
      <c r="A30308" t="s">
        <v>9992</v>
      </c>
      <c r="B30308" t="s">
        <v>9993</v>
      </c>
      <c r="C30308" s="1" t="s">
        <v>23490</v>
      </c>
      <c r="D30308" s="1" t="str">
        <f>HYPERLINK("https://rhld.insurance.arkansas.gov/NPILookup?Npi=1295026813","1295026813")</f>
        <v>1295026813</v>
      </c>
      <c r="E30308" t="s">
        <v>12321</v>
      </c>
    </row>
    <row r="30309" spans="1:5" x14ac:dyDescent="0.25">
      <c r="A30309" t="s">
        <v>9992</v>
      </c>
      <c r="B30309" t="s">
        <v>9993</v>
      </c>
      <c r="C30309" s="1" t="s">
        <v>23490</v>
      </c>
      <c r="D30309" s="1" t="str">
        <f>HYPERLINK("https://rhld.insurance.arkansas.gov/NPILookup?Npi=1295730562","1295730562")</f>
        <v>1295730562</v>
      </c>
      <c r="E30309" t="s">
        <v>10009</v>
      </c>
    </row>
    <row r="30310" spans="1:5" x14ac:dyDescent="0.25">
      <c r="A30310" t="s">
        <v>9992</v>
      </c>
      <c r="B30310" t="s">
        <v>9993</v>
      </c>
      <c r="C30310" s="1" t="s">
        <v>23490</v>
      </c>
      <c r="D30310" s="1" t="str">
        <f>HYPERLINK("https://rhld.insurance.arkansas.gov/NPILookup?Npi=1295862068","1295862068")</f>
        <v>1295862068</v>
      </c>
      <c r="E30310" t="s">
        <v>12668</v>
      </c>
    </row>
    <row r="30311" spans="1:5" x14ac:dyDescent="0.25">
      <c r="A30311" t="s">
        <v>9992</v>
      </c>
      <c r="B30311" t="s">
        <v>9993</v>
      </c>
      <c r="C30311" s="1" t="s">
        <v>23490</v>
      </c>
      <c r="D30311" s="1" t="str">
        <f>HYPERLINK("https://rhld.insurance.arkansas.gov/NPILookup?Npi=1295932473","1295932473")</f>
        <v>1295932473</v>
      </c>
      <c r="E30311" t="s">
        <v>16806</v>
      </c>
    </row>
    <row r="30312" spans="1:5" x14ac:dyDescent="0.25">
      <c r="A30312" t="s">
        <v>9992</v>
      </c>
      <c r="B30312" t="s">
        <v>9993</v>
      </c>
      <c r="C30312" s="1" t="s">
        <v>23490</v>
      </c>
      <c r="D30312" s="1" t="str">
        <f>HYPERLINK("https://rhld.insurance.arkansas.gov/NPILookup?Npi=1306205976","1306205976")</f>
        <v>1306205976</v>
      </c>
      <c r="E30312" t="s">
        <v>13310</v>
      </c>
    </row>
    <row r="30313" spans="1:5" x14ac:dyDescent="0.25">
      <c r="A30313" t="s">
        <v>9992</v>
      </c>
      <c r="B30313" t="s">
        <v>9993</v>
      </c>
      <c r="C30313" s="1" t="s">
        <v>23490</v>
      </c>
      <c r="D30313" s="1" t="str">
        <f>HYPERLINK("https://rhld.insurance.arkansas.gov/NPILookup?Npi=1306855754","1306855754")</f>
        <v>1306855754</v>
      </c>
      <c r="E30313" t="s">
        <v>9510</v>
      </c>
    </row>
    <row r="30314" spans="1:5" x14ac:dyDescent="0.25">
      <c r="A30314" t="s">
        <v>9992</v>
      </c>
      <c r="B30314" t="s">
        <v>9993</v>
      </c>
      <c r="C30314" s="1" t="s">
        <v>23490</v>
      </c>
      <c r="D30314" s="1" t="str">
        <f>HYPERLINK("https://rhld.insurance.arkansas.gov/NPILookup?Npi=1306934583","1306934583")</f>
        <v>1306934583</v>
      </c>
      <c r="E30314" t="s">
        <v>9893</v>
      </c>
    </row>
    <row r="30315" spans="1:5" x14ac:dyDescent="0.25">
      <c r="A30315" t="s">
        <v>9992</v>
      </c>
      <c r="B30315" t="s">
        <v>9993</v>
      </c>
      <c r="C30315" s="1" t="s">
        <v>23490</v>
      </c>
      <c r="D30315" s="1" t="str">
        <f>HYPERLINK("https://rhld.insurance.arkansas.gov/NPILookup?Npi=1316091390","1316091390")</f>
        <v>1316091390</v>
      </c>
      <c r="E30315" t="s">
        <v>10010</v>
      </c>
    </row>
    <row r="30316" spans="1:5" x14ac:dyDescent="0.25">
      <c r="A30316" t="s">
        <v>9992</v>
      </c>
      <c r="B30316" t="s">
        <v>9993</v>
      </c>
      <c r="C30316" s="1" t="s">
        <v>23490</v>
      </c>
      <c r="D30316" s="1" t="str">
        <f>HYPERLINK("https://rhld.insurance.arkansas.gov/NPILookup?Npi=1316258338","1316258338")</f>
        <v>1316258338</v>
      </c>
      <c r="E30316" t="s">
        <v>17781</v>
      </c>
    </row>
    <row r="30317" spans="1:5" x14ac:dyDescent="0.25">
      <c r="A30317" t="s">
        <v>9992</v>
      </c>
      <c r="B30317" t="s">
        <v>9993</v>
      </c>
      <c r="C30317" s="1" t="s">
        <v>23490</v>
      </c>
      <c r="D30317" s="1" t="str">
        <f>HYPERLINK("https://rhld.insurance.arkansas.gov/NPILookup?Npi=1326345323","1326345323")</f>
        <v>1326345323</v>
      </c>
      <c r="E30317" t="s">
        <v>14621</v>
      </c>
    </row>
    <row r="30318" spans="1:5" x14ac:dyDescent="0.25">
      <c r="A30318" t="s">
        <v>9992</v>
      </c>
      <c r="B30318" t="s">
        <v>9993</v>
      </c>
      <c r="C30318" s="1" t="s">
        <v>23490</v>
      </c>
      <c r="D30318" s="1" t="str">
        <f>HYPERLINK("https://rhld.insurance.arkansas.gov/NPILookup?Npi=1326487737","1326487737")</f>
        <v>1326487737</v>
      </c>
      <c r="E30318" t="s">
        <v>9531</v>
      </c>
    </row>
    <row r="30319" spans="1:5" x14ac:dyDescent="0.25">
      <c r="A30319" t="s">
        <v>9992</v>
      </c>
      <c r="B30319" t="s">
        <v>9993</v>
      </c>
      <c r="C30319" s="1" t="s">
        <v>23490</v>
      </c>
      <c r="D30319" s="1" t="str">
        <f>HYPERLINK("https://rhld.insurance.arkansas.gov/NPILookup?Npi=1336163542","1336163542")</f>
        <v>1336163542</v>
      </c>
      <c r="E30319" t="s">
        <v>10011</v>
      </c>
    </row>
    <row r="30320" spans="1:5" x14ac:dyDescent="0.25">
      <c r="A30320" t="s">
        <v>9992</v>
      </c>
      <c r="B30320" t="s">
        <v>9993</v>
      </c>
      <c r="C30320" s="1" t="s">
        <v>23490</v>
      </c>
      <c r="D30320" s="1" t="str">
        <f>HYPERLINK("https://rhld.insurance.arkansas.gov/NPILookup?Npi=1336349752","1336349752")</f>
        <v>1336349752</v>
      </c>
      <c r="E30320" t="s">
        <v>9538</v>
      </c>
    </row>
    <row r="30321" spans="1:5" x14ac:dyDescent="0.25">
      <c r="A30321" t="s">
        <v>9992</v>
      </c>
      <c r="B30321" t="s">
        <v>9993</v>
      </c>
      <c r="C30321" s="1" t="s">
        <v>23490</v>
      </c>
      <c r="D30321" s="1" t="str">
        <f>HYPERLINK("https://rhld.insurance.arkansas.gov/NPILookup?Npi=1336359744","1336359744")</f>
        <v>1336359744</v>
      </c>
      <c r="E30321" t="s">
        <v>12343</v>
      </c>
    </row>
    <row r="30322" spans="1:5" x14ac:dyDescent="0.25">
      <c r="A30322" t="s">
        <v>9992</v>
      </c>
      <c r="B30322" t="s">
        <v>9993</v>
      </c>
      <c r="C30322" s="1" t="s">
        <v>23490</v>
      </c>
      <c r="D30322" s="1" t="str">
        <f>HYPERLINK("https://rhld.insurance.arkansas.gov/NPILookup?Npi=1336369123","1336369123")</f>
        <v>1336369123</v>
      </c>
      <c r="E30322" t="s">
        <v>10012</v>
      </c>
    </row>
    <row r="30323" spans="1:5" x14ac:dyDescent="0.25">
      <c r="A30323" t="s">
        <v>9992</v>
      </c>
      <c r="B30323" t="s">
        <v>9993</v>
      </c>
      <c r="C30323" s="1" t="s">
        <v>23490</v>
      </c>
      <c r="D30323" s="1" t="str">
        <f>HYPERLINK("https://rhld.insurance.arkansas.gov/NPILookup?Npi=1336376847","1336376847")</f>
        <v>1336376847</v>
      </c>
      <c r="E30323" t="s">
        <v>9539</v>
      </c>
    </row>
    <row r="30324" spans="1:5" x14ac:dyDescent="0.25">
      <c r="A30324" t="s">
        <v>9992</v>
      </c>
      <c r="B30324" t="s">
        <v>9993</v>
      </c>
      <c r="C30324" s="1" t="s">
        <v>23490</v>
      </c>
      <c r="D30324" s="1" t="str">
        <f>HYPERLINK("https://rhld.insurance.arkansas.gov/NPILookup?Npi=1336450410","1336450410")</f>
        <v>1336450410</v>
      </c>
      <c r="E30324" t="s">
        <v>12669</v>
      </c>
    </row>
    <row r="30325" spans="1:5" x14ac:dyDescent="0.25">
      <c r="A30325" t="s">
        <v>9992</v>
      </c>
      <c r="B30325" t="s">
        <v>9993</v>
      </c>
      <c r="C30325" s="1" t="s">
        <v>23490</v>
      </c>
      <c r="D30325" s="1" t="str">
        <f>HYPERLINK("https://rhld.insurance.arkansas.gov/NPILookup?Npi=1336466283","1336466283")</f>
        <v>1336466283</v>
      </c>
      <c r="E30325" t="s">
        <v>12670</v>
      </c>
    </row>
    <row r="30326" spans="1:5" x14ac:dyDescent="0.25">
      <c r="A30326" t="s">
        <v>9992</v>
      </c>
      <c r="B30326" t="s">
        <v>9993</v>
      </c>
      <c r="C30326" s="1" t="s">
        <v>23490</v>
      </c>
      <c r="D30326" s="1" t="str">
        <f>HYPERLINK("https://rhld.insurance.arkansas.gov/NPILookup?Npi=1336470277","1336470277")</f>
        <v>1336470277</v>
      </c>
      <c r="E30326" t="s">
        <v>12671</v>
      </c>
    </row>
    <row r="30327" spans="1:5" x14ac:dyDescent="0.25">
      <c r="A30327" t="s">
        <v>9992</v>
      </c>
      <c r="B30327" t="s">
        <v>9993</v>
      </c>
      <c r="C30327" s="1" t="s">
        <v>23490</v>
      </c>
      <c r="D30327" s="1" t="str">
        <f>HYPERLINK("https://rhld.insurance.arkansas.gov/NPILookup?Npi=1346203395","1346203395")</f>
        <v>1346203395</v>
      </c>
      <c r="E30327" t="s">
        <v>9541</v>
      </c>
    </row>
    <row r="30328" spans="1:5" x14ac:dyDescent="0.25">
      <c r="A30328" t="s">
        <v>9992</v>
      </c>
      <c r="B30328" t="s">
        <v>9993</v>
      </c>
      <c r="C30328" s="1" t="s">
        <v>23490</v>
      </c>
      <c r="D30328" s="1" t="str">
        <f>HYPERLINK("https://rhld.insurance.arkansas.gov/NPILookup?Npi=1346347671","1346347671")</f>
        <v>1346347671</v>
      </c>
      <c r="E30328" t="s">
        <v>14622</v>
      </c>
    </row>
    <row r="30329" spans="1:5" x14ac:dyDescent="0.25">
      <c r="A30329" t="s">
        <v>9992</v>
      </c>
      <c r="B30329" t="s">
        <v>9993</v>
      </c>
      <c r="C30329" s="1" t="s">
        <v>23490</v>
      </c>
      <c r="D30329" s="1" t="str">
        <f>HYPERLINK("https://rhld.insurance.arkansas.gov/NPILookup?Npi=1346468915","1346468915")</f>
        <v>1346468915</v>
      </c>
      <c r="E30329" t="s">
        <v>9766</v>
      </c>
    </row>
    <row r="30330" spans="1:5" x14ac:dyDescent="0.25">
      <c r="A30330" t="s">
        <v>9992</v>
      </c>
      <c r="B30330" t="s">
        <v>9993</v>
      </c>
      <c r="C30330" s="1" t="s">
        <v>23490</v>
      </c>
      <c r="D30330" s="1" t="str">
        <f>HYPERLINK("https://rhld.insurance.arkansas.gov/NPILookup?Npi=1346634813","1346634813")</f>
        <v>1346634813</v>
      </c>
      <c r="E30330" t="s">
        <v>12672</v>
      </c>
    </row>
    <row r="30331" spans="1:5" x14ac:dyDescent="0.25">
      <c r="A30331" t="s">
        <v>9992</v>
      </c>
      <c r="B30331" t="s">
        <v>9993</v>
      </c>
      <c r="C30331" s="1" t="s">
        <v>23490</v>
      </c>
      <c r="D30331" s="1" t="str">
        <f>HYPERLINK("https://rhld.insurance.arkansas.gov/NPILookup?Npi=1356305569","1356305569")</f>
        <v>1356305569</v>
      </c>
      <c r="E30331" t="s">
        <v>19214</v>
      </c>
    </row>
    <row r="30332" spans="1:5" x14ac:dyDescent="0.25">
      <c r="A30332" t="s">
        <v>9992</v>
      </c>
      <c r="B30332" t="s">
        <v>9993</v>
      </c>
      <c r="C30332" s="1" t="s">
        <v>23490</v>
      </c>
      <c r="D30332" s="1" t="str">
        <f>HYPERLINK("https://rhld.insurance.arkansas.gov/NPILookup?Npi=1356410039","1356410039")</f>
        <v>1356410039</v>
      </c>
      <c r="E30332" t="s">
        <v>12673</v>
      </c>
    </row>
    <row r="30333" spans="1:5" x14ac:dyDescent="0.25">
      <c r="A30333" t="s">
        <v>9992</v>
      </c>
      <c r="B30333" t="s">
        <v>9993</v>
      </c>
      <c r="C30333" s="1" t="s">
        <v>23490</v>
      </c>
      <c r="D30333" s="1" t="str">
        <f>HYPERLINK("https://rhld.insurance.arkansas.gov/NPILookup?Npi=1356483192","1356483192")</f>
        <v>1356483192</v>
      </c>
      <c r="E30333" t="s">
        <v>9554</v>
      </c>
    </row>
    <row r="30334" spans="1:5" x14ac:dyDescent="0.25">
      <c r="A30334" t="s">
        <v>9992</v>
      </c>
      <c r="B30334" t="s">
        <v>9993</v>
      </c>
      <c r="C30334" s="1" t="s">
        <v>23490</v>
      </c>
      <c r="D30334" s="1" t="str">
        <f>HYPERLINK("https://rhld.insurance.arkansas.gov/NPILookup?Npi=1356538656","1356538656")</f>
        <v>1356538656</v>
      </c>
      <c r="E30334" t="s">
        <v>9555</v>
      </c>
    </row>
    <row r="30335" spans="1:5" x14ac:dyDescent="0.25">
      <c r="A30335" t="s">
        <v>9992</v>
      </c>
      <c r="B30335" t="s">
        <v>9993</v>
      </c>
      <c r="C30335" s="1" t="s">
        <v>23490</v>
      </c>
      <c r="D30335" s="1" t="str">
        <f>HYPERLINK("https://rhld.insurance.arkansas.gov/NPILookup?Npi=1356561344","1356561344")</f>
        <v>1356561344</v>
      </c>
      <c r="E30335" t="s">
        <v>12674</v>
      </c>
    </row>
    <row r="30336" spans="1:5" x14ac:dyDescent="0.25">
      <c r="A30336" t="s">
        <v>9992</v>
      </c>
      <c r="B30336" t="s">
        <v>9993</v>
      </c>
      <c r="C30336" s="1" t="s">
        <v>23490</v>
      </c>
      <c r="D30336" s="1" t="str">
        <f>HYPERLINK("https://rhld.insurance.arkansas.gov/NPILookup?Npi=1356701486","1356701486")</f>
        <v>1356701486</v>
      </c>
      <c r="E30336" t="s">
        <v>18585</v>
      </c>
    </row>
    <row r="30337" spans="1:5" x14ac:dyDescent="0.25">
      <c r="A30337" t="s">
        <v>9992</v>
      </c>
      <c r="B30337" t="s">
        <v>9993</v>
      </c>
      <c r="C30337" s="1" t="s">
        <v>23490</v>
      </c>
      <c r="D30337" s="1" t="str">
        <f>HYPERLINK("https://rhld.insurance.arkansas.gov/NPILookup?Npi=1366463283","1366463283")</f>
        <v>1366463283</v>
      </c>
      <c r="E30337" t="s">
        <v>10013</v>
      </c>
    </row>
    <row r="30338" spans="1:5" x14ac:dyDescent="0.25">
      <c r="A30338" t="s">
        <v>9992</v>
      </c>
      <c r="B30338" t="s">
        <v>9993</v>
      </c>
      <c r="C30338" s="1" t="s">
        <v>23490</v>
      </c>
      <c r="D30338" s="1" t="str">
        <f>HYPERLINK("https://rhld.insurance.arkansas.gov/NPILookup?Npi=1376074211","1376074211")</f>
        <v>1376074211</v>
      </c>
      <c r="E30338" t="s">
        <v>20847</v>
      </c>
    </row>
    <row r="30339" spans="1:5" x14ac:dyDescent="0.25">
      <c r="A30339" t="s">
        <v>9992</v>
      </c>
      <c r="B30339" t="s">
        <v>9993</v>
      </c>
      <c r="C30339" s="1" t="s">
        <v>23490</v>
      </c>
      <c r="D30339" s="1" t="str">
        <f>HYPERLINK("https://rhld.insurance.arkansas.gov/NPILookup?Npi=1376550038","1376550038")</f>
        <v>1376550038</v>
      </c>
      <c r="E30339" t="s">
        <v>20848</v>
      </c>
    </row>
    <row r="30340" spans="1:5" x14ac:dyDescent="0.25">
      <c r="A30340" t="s">
        <v>9992</v>
      </c>
      <c r="B30340" t="s">
        <v>9993</v>
      </c>
      <c r="C30340" s="1" t="s">
        <v>23490</v>
      </c>
      <c r="D30340" s="1" t="str">
        <f>HYPERLINK("https://rhld.insurance.arkansas.gov/NPILookup?Npi=1376635375","1376635375")</f>
        <v>1376635375</v>
      </c>
      <c r="E30340" t="s">
        <v>9562</v>
      </c>
    </row>
    <row r="30341" spans="1:5" x14ac:dyDescent="0.25">
      <c r="A30341" t="s">
        <v>9992</v>
      </c>
      <c r="B30341" t="s">
        <v>9993</v>
      </c>
      <c r="C30341" s="1" t="s">
        <v>23490</v>
      </c>
      <c r="D30341" s="1" t="str">
        <f>HYPERLINK("https://rhld.insurance.arkansas.gov/NPILookup?Npi=1376675769","1376675769")</f>
        <v>1376675769</v>
      </c>
      <c r="E30341" t="s">
        <v>10014</v>
      </c>
    </row>
    <row r="30342" spans="1:5" x14ac:dyDescent="0.25">
      <c r="A30342" t="s">
        <v>9992</v>
      </c>
      <c r="B30342" t="s">
        <v>9993</v>
      </c>
      <c r="C30342" s="1" t="s">
        <v>23490</v>
      </c>
      <c r="D30342" s="1" t="str">
        <f>HYPERLINK("https://rhld.insurance.arkansas.gov/NPILookup?Npi=1376821181","1376821181")</f>
        <v>1376821181</v>
      </c>
      <c r="E30342" t="s">
        <v>9566</v>
      </c>
    </row>
    <row r="30343" spans="1:5" x14ac:dyDescent="0.25">
      <c r="A30343" t="s">
        <v>9992</v>
      </c>
      <c r="B30343" t="s">
        <v>9993</v>
      </c>
      <c r="C30343" s="1" t="s">
        <v>23490</v>
      </c>
      <c r="D30343" s="1" t="str">
        <f>HYPERLINK("https://rhld.insurance.arkansas.gov/NPILookup?Npi=1376939645","1376939645")</f>
        <v>1376939645</v>
      </c>
      <c r="E30343" t="s">
        <v>19215</v>
      </c>
    </row>
    <row r="30344" spans="1:5" x14ac:dyDescent="0.25">
      <c r="A30344" t="s">
        <v>9992</v>
      </c>
      <c r="B30344" t="s">
        <v>9993</v>
      </c>
      <c r="C30344" s="1" t="s">
        <v>23490</v>
      </c>
      <c r="D30344" s="1" t="str">
        <f>HYPERLINK("https://rhld.insurance.arkansas.gov/NPILookup?Npi=1376953737","1376953737")</f>
        <v>1376953737</v>
      </c>
      <c r="E30344" t="s">
        <v>17339</v>
      </c>
    </row>
    <row r="30345" spans="1:5" x14ac:dyDescent="0.25">
      <c r="A30345" t="s">
        <v>9992</v>
      </c>
      <c r="B30345" t="s">
        <v>9993</v>
      </c>
      <c r="C30345" s="1" t="s">
        <v>23490</v>
      </c>
      <c r="D30345" s="1" t="str">
        <f>HYPERLINK("https://rhld.insurance.arkansas.gov/NPILookup?Npi=1376980706","1376980706")</f>
        <v>1376980706</v>
      </c>
      <c r="E30345" t="s">
        <v>10015</v>
      </c>
    </row>
    <row r="30346" spans="1:5" x14ac:dyDescent="0.25">
      <c r="A30346" t="s">
        <v>9992</v>
      </c>
      <c r="B30346" t="s">
        <v>9993</v>
      </c>
      <c r="C30346" s="1" t="s">
        <v>23490</v>
      </c>
      <c r="D30346" s="1" t="str">
        <f>HYPERLINK("https://rhld.insurance.arkansas.gov/NPILookup?Npi=1386617751","1386617751")</f>
        <v>1386617751</v>
      </c>
      <c r="E30346" t="s">
        <v>10016</v>
      </c>
    </row>
    <row r="30347" spans="1:5" x14ac:dyDescent="0.25">
      <c r="A30347" t="s">
        <v>9992</v>
      </c>
      <c r="B30347" t="s">
        <v>9993</v>
      </c>
      <c r="C30347" s="1" t="s">
        <v>23490</v>
      </c>
      <c r="D30347" s="1" t="str">
        <f>HYPERLINK("https://rhld.insurance.arkansas.gov/NPILookup?Npi=1386700839","1386700839")</f>
        <v>1386700839</v>
      </c>
      <c r="E30347" t="s">
        <v>12675</v>
      </c>
    </row>
    <row r="30348" spans="1:5" x14ac:dyDescent="0.25">
      <c r="A30348" t="s">
        <v>9992</v>
      </c>
      <c r="B30348" t="s">
        <v>9993</v>
      </c>
      <c r="C30348" s="1" t="s">
        <v>23490</v>
      </c>
      <c r="D30348" s="1" t="str">
        <f>HYPERLINK("https://rhld.insurance.arkansas.gov/NPILookup?Npi=1386704385","1386704385")</f>
        <v>1386704385</v>
      </c>
      <c r="E30348" t="s">
        <v>10017</v>
      </c>
    </row>
    <row r="30349" spans="1:5" x14ac:dyDescent="0.25">
      <c r="A30349" t="s">
        <v>9992</v>
      </c>
      <c r="B30349" t="s">
        <v>9993</v>
      </c>
      <c r="C30349" s="1" t="s">
        <v>23490</v>
      </c>
      <c r="D30349" s="1" t="str">
        <f>HYPERLINK("https://rhld.insurance.arkansas.gov/NPILookup?Npi=1386849362","1386849362")</f>
        <v>1386849362</v>
      </c>
      <c r="E30349" t="s">
        <v>9571</v>
      </c>
    </row>
    <row r="30350" spans="1:5" x14ac:dyDescent="0.25">
      <c r="A30350" t="s">
        <v>9992</v>
      </c>
      <c r="B30350" t="s">
        <v>9993</v>
      </c>
      <c r="C30350" s="1" t="s">
        <v>23490</v>
      </c>
      <c r="D30350" s="1" t="str">
        <f>HYPERLINK("https://rhld.insurance.arkansas.gov/NPILookup?Npi=1386922474","1386922474")</f>
        <v>1386922474</v>
      </c>
      <c r="E30350" t="s">
        <v>19216</v>
      </c>
    </row>
    <row r="30351" spans="1:5" x14ac:dyDescent="0.25">
      <c r="A30351" t="s">
        <v>9992</v>
      </c>
      <c r="B30351" t="s">
        <v>9993</v>
      </c>
      <c r="C30351" s="1" t="s">
        <v>23490</v>
      </c>
      <c r="D30351" s="1" t="str">
        <f>HYPERLINK("https://rhld.insurance.arkansas.gov/NPILookup?Npi=1396896536","1396896536")</f>
        <v>1396896536</v>
      </c>
      <c r="E30351" t="s">
        <v>10018</v>
      </c>
    </row>
    <row r="30352" spans="1:5" x14ac:dyDescent="0.25">
      <c r="A30352" t="s">
        <v>9992</v>
      </c>
      <c r="B30352" t="s">
        <v>9993</v>
      </c>
      <c r="C30352" s="1" t="s">
        <v>23490</v>
      </c>
      <c r="D30352" s="1" t="str">
        <f>HYPERLINK("https://rhld.insurance.arkansas.gov/NPILookup?Npi=1396932158","1396932158")</f>
        <v>1396932158</v>
      </c>
      <c r="E30352" t="s">
        <v>16795</v>
      </c>
    </row>
    <row r="30353" spans="1:5" x14ac:dyDescent="0.25">
      <c r="A30353" t="s">
        <v>9992</v>
      </c>
      <c r="B30353" t="s">
        <v>9993</v>
      </c>
      <c r="C30353" s="1" t="s">
        <v>23490</v>
      </c>
      <c r="D30353" s="1" t="str">
        <f>HYPERLINK("https://rhld.insurance.arkansas.gov/NPILookup?Npi=1407393812","1407393812")</f>
        <v>1407393812</v>
      </c>
      <c r="E30353" t="s">
        <v>11942</v>
      </c>
    </row>
    <row r="30354" spans="1:5" x14ac:dyDescent="0.25">
      <c r="A30354" t="s">
        <v>9992</v>
      </c>
      <c r="B30354" t="s">
        <v>9993</v>
      </c>
      <c r="C30354" s="1" t="s">
        <v>23490</v>
      </c>
      <c r="D30354" s="1" t="str">
        <f>HYPERLINK("https://rhld.insurance.arkansas.gov/NPILookup?Npi=1407825656","1407825656")</f>
        <v>1407825656</v>
      </c>
      <c r="E30354" t="s">
        <v>12676</v>
      </c>
    </row>
    <row r="30355" spans="1:5" x14ac:dyDescent="0.25">
      <c r="A30355" t="s">
        <v>9992</v>
      </c>
      <c r="B30355" t="s">
        <v>9993</v>
      </c>
      <c r="C30355" s="1" t="s">
        <v>23490</v>
      </c>
      <c r="D30355" s="1" t="str">
        <f>HYPERLINK("https://rhld.insurance.arkansas.gov/NPILookup?Npi=1407869399","1407869399")</f>
        <v>1407869399</v>
      </c>
      <c r="E30355" t="s">
        <v>9583</v>
      </c>
    </row>
    <row r="30356" spans="1:5" x14ac:dyDescent="0.25">
      <c r="A30356" t="s">
        <v>9992</v>
      </c>
      <c r="B30356" t="s">
        <v>9993</v>
      </c>
      <c r="C30356" s="1" t="s">
        <v>23490</v>
      </c>
      <c r="D30356" s="1" t="str">
        <f>HYPERLINK("https://rhld.insurance.arkansas.gov/NPILookup?Npi=1407907165","1407907165")</f>
        <v>1407907165</v>
      </c>
      <c r="E30356" t="s">
        <v>10019</v>
      </c>
    </row>
    <row r="30357" spans="1:5" x14ac:dyDescent="0.25">
      <c r="A30357" t="s">
        <v>9992</v>
      </c>
      <c r="B30357" t="s">
        <v>9993</v>
      </c>
      <c r="C30357" s="1" t="s">
        <v>23490</v>
      </c>
      <c r="D30357" s="1" t="str">
        <f>HYPERLINK("https://rhld.insurance.arkansas.gov/NPILookup?Npi=1407915515","1407915515")</f>
        <v>1407915515</v>
      </c>
      <c r="E30357" t="s">
        <v>9586</v>
      </c>
    </row>
    <row r="30358" spans="1:5" x14ac:dyDescent="0.25">
      <c r="A30358" t="s">
        <v>9992</v>
      </c>
      <c r="B30358" t="s">
        <v>9993</v>
      </c>
      <c r="C30358" s="1" t="s">
        <v>23490</v>
      </c>
      <c r="D30358" s="1" t="str">
        <f>HYPERLINK("https://rhld.insurance.arkansas.gov/NPILookup?Npi=1407917800","1407917800")</f>
        <v>1407917800</v>
      </c>
      <c r="E30358" t="s">
        <v>22797</v>
      </c>
    </row>
    <row r="30359" spans="1:5" x14ac:dyDescent="0.25">
      <c r="A30359" t="s">
        <v>9992</v>
      </c>
      <c r="B30359" t="s">
        <v>9993</v>
      </c>
      <c r="C30359" s="1" t="s">
        <v>23490</v>
      </c>
      <c r="D30359" s="1" t="str">
        <f>HYPERLINK("https://rhld.insurance.arkansas.gov/NPILookup?Npi=1407996697","1407996697")</f>
        <v>1407996697</v>
      </c>
      <c r="E30359" t="s">
        <v>10020</v>
      </c>
    </row>
    <row r="30360" spans="1:5" x14ac:dyDescent="0.25">
      <c r="A30360" t="s">
        <v>9992</v>
      </c>
      <c r="B30360" t="s">
        <v>9993</v>
      </c>
      <c r="C30360" s="1" t="s">
        <v>23490</v>
      </c>
      <c r="D30360" s="1" t="str">
        <f>HYPERLINK("https://rhld.insurance.arkansas.gov/NPILookup?Npi=1417242835","1417242835")</f>
        <v>1417242835</v>
      </c>
      <c r="E30360" t="s">
        <v>16807</v>
      </c>
    </row>
    <row r="30361" spans="1:5" x14ac:dyDescent="0.25">
      <c r="A30361" t="s">
        <v>9992</v>
      </c>
      <c r="B30361" t="s">
        <v>9993</v>
      </c>
      <c r="C30361" s="1" t="s">
        <v>23490</v>
      </c>
      <c r="D30361" s="1" t="str">
        <f>HYPERLINK("https://rhld.insurance.arkansas.gov/NPILookup?Npi=1417964669","1417964669")</f>
        <v>1417964669</v>
      </c>
      <c r="E30361" t="s">
        <v>9594</v>
      </c>
    </row>
    <row r="30362" spans="1:5" x14ac:dyDescent="0.25">
      <c r="A30362" t="s">
        <v>9992</v>
      </c>
      <c r="B30362" t="s">
        <v>9993</v>
      </c>
      <c r="C30362" s="1" t="s">
        <v>23490</v>
      </c>
      <c r="D30362" s="1" t="str">
        <f>HYPERLINK("https://rhld.insurance.arkansas.gov/NPILookup?Npi=1417981739","1417981739")</f>
        <v>1417981739</v>
      </c>
      <c r="E30362" t="s">
        <v>22798</v>
      </c>
    </row>
    <row r="30363" spans="1:5" x14ac:dyDescent="0.25">
      <c r="A30363" t="s">
        <v>9992</v>
      </c>
      <c r="B30363" t="s">
        <v>9993</v>
      </c>
      <c r="C30363" s="1" t="s">
        <v>23490</v>
      </c>
      <c r="D30363" s="1" t="str">
        <f>HYPERLINK("https://rhld.insurance.arkansas.gov/NPILookup?Npi=1417989112","1417989112")</f>
        <v>1417989112</v>
      </c>
      <c r="E30363" t="s">
        <v>9596</v>
      </c>
    </row>
    <row r="30364" spans="1:5" x14ac:dyDescent="0.25">
      <c r="A30364" t="s">
        <v>9992</v>
      </c>
      <c r="B30364" t="s">
        <v>9993</v>
      </c>
      <c r="C30364" s="1" t="s">
        <v>23490</v>
      </c>
      <c r="D30364" s="1" t="str">
        <f>HYPERLINK("https://rhld.insurance.arkansas.gov/NPILookup?Npi=1427262161","1427262161")</f>
        <v>1427262161</v>
      </c>
      <c r="E30364" t="s">
        <v>9604</v>
      </c>
    </row>
    <row r="30365" spans="1:5" x14ac:dyDescent="0.25">
      <c r="A30365" t="s">
        <v>9992</v>
      </c>
      <c r="B30365" t="s">
        <v>9993</v>
      </c>
      <c r="C30365" s="1" t="s">
        <v>23490</v>
      </c>
      <c r="D30365" s="1" t="str">
        <f>HYPERLINK("https://rhld.insurance.arkansas.gov/NPILookup?Npi=1427476191","1427476191")</f>
        <v>1427476191</v>
      </c>
      <c r="E30365" t="s">
        <v>16808</v>
      </c>
    </row>
    <row r="30366" spans="1:5" x14ac:dyDescent="0.25">
      <c r="A30366" t="s">
        <v>9992</v>
      </c>
      <c r="B30366" t="s">
        <v>9993</v>
      </c>
      <c r="C30366" s="1" t="s">
        <v>8427</v>
      </c>
      <c r="D30366" s="1" t="str">
        <f>HYPERLINK("https://rhld.insurance.arkansas.gov/NPILookup?Npi=1427642909","1427642909")</f>
        <v>1427642909</v>
      </c>
      <c r="E30366" t="s">
        <v>23357</v>
      </c>
    </row>
    <row r="30367" spans="1:5" x14ac:dyDescent="0.25">
      <c r="A30367" t="s">
        <v>9992</v>
      </c>
      <c r="B30367" t="s">
        <v>9993</v>
      </c>
      <c r="C30367" s="1" t="s">
        <v>23490</v>
      </c>
      <c r="D30367" s="1" t="str">
        <f>HYPERLINK("https://rhld.insurance.arkansas.gov/NPILookup?Npi=1437169869","1437169869")</f>
        <v>1437169869</v>
      </c>
      <c r="E30367" t="s">
        <v>10021</v>
      </c>
    </row>
    <row r="30368" spans="1:5" x14ac:dyDescent="0.25">
      <c r="A30368" t="s">
        <v>9992</v>
      </c>
      <c r="B30368" t="s">
        <v>9993</v>
      </c>
      <c r="C30368" s="1" t="s">
        <v>23490</v>
      </c>
      <c r="D30368" s="1" t="str">
        <f>HYPERLINK("https://rhld.insurance.arkansas.gov/NPILookup?Npi=1437185766","1437185766")</f>
        <v>1437185766</v>
      </c>
      <c r="E30368" t="s">
        <v>10022</v>
      </c>
    </row>
    <row r="30369" spans="1:5" x14ac:dyDescent="0.25">
      <c r="A30369" t="s">
        <v>9992</v>
      </c>
      <c r="B30369" t="s">
        <v>9993</v>
      </c>
      <c r="C30369" s="1" t="s">
        <v>23490</v>
      </c>
      <c r="D30369" s="1" t="str">
        <f>HYPERLINK("https://rhld.insurance.arkansas.gov/NPILookup?Npi=1447217369","1447217369")</f>
        <v>1447217369</v>
      </c>
      <c r="E30369" t="s">
        <v>9611</v>
      </c>
    </row>
    <row r="30370" spans="1:5" x14ac:dyDescent="0.25">
      <c r="A30370" t="s">
        <v>9992</v>
      </c>
      <c r="B30370" t="s">
        <v>9993</v>
      </c>
      <c r="C30370" s="1" t="s">
        <v>23490</v>
      </c>
      <c r="D30370" s="1" t="str">
        <f>HYPERLINK("https://rhld.insurance.arkansas.gov/NPILookup?Npi=1447260930","1447260930")</f>
        <v>1447260930</v>
      </c>
      <c r="E30370" t="s">
        <v>10023</v>
      </c>
    </row>
    <row r="30371" spans="1:5" x14ac:dyDescent="0.25">
      <c r="A30371" t="s">
        <v>9992</v>
      </c>
      <c r="B30371" t="s">
        <v>9993</v>
      </c>
      <c r="C30371" s="1" t="s">
        <v>23490</v>
      </c>
      <c r="D30371" s="1" t="str">
        <f>HYPERLINK("https://rhld.insurance.arkansas.gov/NPILookup?Npi=1447383989","1447383989")</f>
        <v>1447383989</v>
      </c>
      <c r="E30371" t="s">
        <v>12178</v>
      </c>
    </row>
    <row r="30372" spans="1:5" x14ac:dyDescent="0.25">
      <c r="A30372" t="s">
        <v>9992</v>
      </c>
      <c r="B30372" t="s">
        <v>9993</v>
      </c>
      <c r="C30372" s="1" t="s">
        <v>23490</v>
      </c>
      <c r="D30372" s="1" t="str">
        <f>HYPERLINK("https://rhld.insurance.arkansas.gov/NPILookup?Npi=1457434680","1457434680")</f>
        <v>1457434680</v>
      </c>
      <c r="E30372" t="s">
        <v>12677</v>
      </c>
    </row>
    <row r="30373" spans="1:5" x14ac:dyDescent="0.25">
      <c r="A30373" t="s">
        <v>9992</v>
      </c>
      <c r="B30373" t="s">
        <v>9993</v>
      </c>
      <c r="C30373" s="1" t="s">
        <v>23490</v>
      </c>
      <c r="D30373" s="1" t="str">
        <f>HYPERLINK("https://rhld.insurance.arkansas.gov/NPILookup?Npi=1457485492","1457485492")</f>
        <v>1457485492</v>
      </c>
      <c r="E30373" t="s">
        <v>12678</v>
      </c>
    </row>
    <row r="30374" spans="1:5" x14ac:dyDescent="0.25">
      <c r="A30374" t="s">
        <v>9992</v>
      </c>
      <c r="B30374" t="s">
        <v>9993</v>
      </c>
      <c r="C30374" s="1" t="s">
        <v>23490</v>
      </c>
      <c r="D30374" s="1" t="str">
        <f>HYPERLINK("https://rhld.insurance.arkansas.gov/NPILookup?Npi=1457626806","1457626806")</f>
        <v>1457626806</v>
      </c>
      <c r="E30374" t="s">
        <v>17802</v>
      </c>
    </row>
    <row r="30375" spans="1:5" x14ac:dyDescent="0.25">
      <c r="A30375" t="s">
        <v>9992</v>
      </c>
      <c r="B30375" t="s">
        <v>9993</v>
      </c>
      <c r="C30375" s="1" t="s">
        <v>23490</v>
      </c>
      <c r="D30375" s="1" t="str">
        <f>HYPERLINK("https://rhld.insurance.arkansas.gov/NPILookup?Npi=1467522474","1467522474")</f>
        <v>1467522474</v>
      </c>
      <c r="E30375" t="s">
        <v>12679</v>
      </c>
    </row>
    <row r="30376" spans="1:5" x14ac:dyDescent="0.25">
      <c r="A30376" t="s">
        <v>9992</v>
      </c>
      <c r="B30376" t="s">
        <v>9993</v>
      </c>
      <c r="C30376" s="1" t="s">
        <v>23490</v>
      </c>
      <c r="D30376" s="1" t="str">
        <f>HYPERLINK("https://rhld.insurance.arkansas.gov/NPILookup?Npi=1467672972","1467672972")</f>
        <v>1467672972</v>
      </c>
      <c r="E30376" t="s">
        <v>10024</v>
      </c>
    </row>
    <row r="30377" spans="1:5" x14ac:dyDescent="0.25">
      <c r="A30377" t="s">
        <v>9992</v>
      </c>
      <c r="B30377" t="s">
        <v>9993</v>
      </c>
      <c r="C30377" s="1" t="s">
        <v>23490</v>
      </c>
      <c r="D30377" s="1" t="str">
        <f>HYPERLINK("https://rhld.insurance.arkansas.gov/NPILookup?Npi=1467891606","1467891606")</f>
        <v>1467891606</v>
      </c>
      <c r="E30377" t="s">
        <v>12680</v>
      </c>
    </row>
    <row r="30378" spans="1:5" x14ac:dyDescent="0.25">
      <c r="A30378" t="s">
        <v>9992</v>
      </c>
      <c r="B30378" t="s">
        <v>9993</v>
      </c>
      <c r="C30378" s="1" t="s">
        <v>23490</v>
      </c>
      <c r="D30378" s="1" t="str">
        <f>HYPERLINK("https://rhld.insurance.arkansas.gov/NPILookup?Npi=1477647089","1477647089")</f>
        <v>1477647089</v>
      </c>
      <c r="E30378" t="s">
        <v>9643</v>
      </c>
    </row>
    <row r="30379" spans="1:5" x14ac:dyDescent="0.25">
      <c r="A30379" t="s">
        <v>9992</v>
      </c>
      <c r="B30379" t="s">
        <v>9993</v>
      </c>
      <c r="C30379" s="1" t="s">
        <v>23490</v>
      </c>
      <c r="D30379" s="1" t="str">
        <f>HYPERLINK("https://rhld.insurance.arkansas.gov/NPILookup?Npi=1487829420","1487829420")</f>
        <v>1487829420</v>
      </c>
      <c r="E30379" t="s">
        <v>16809</v>
      </c>
    </row>
    <row r="30380" spans="1:5" x14ac:dyDescent="0.25">
      <c r="A30380" t="s">
        <v>9992</v>
      </c>
      <c r="B30380" t="s">
        <v>9993</v>
      </c>
      <c r="C30380" s="1" t="s">
        <v>23490</v>
      </c>
      <c r="D30380" s="1" t="str">
        <f>HYPERLINK("https://rhld.insurance.arkansas.gov/NPILookup?Npi=1497076715","1497076715")</f>
        <v>1497076715</v>
      </c>
      <c r="E30380" t="s">
        <v>9655</v>
      </c>
    </row>
    <row r="30381" spans="1:5" x14ac:dyDescent="0.25">
      <c r="A30381" t="s">
        <v>9992</v>
      </c>
      <c r="B30381" t="s">
        <v>9993</v>
      </c>
      <c r="C30381" s="1" t="s">
        <v>23490</v>
      </c>
      <c r="D30381" s="1" t="str">
        <f>HYPERLINK("https://rhld.insurance.arkansas.gov/NPILookup?Npi=1497283691","1497283691")</f>
        <v>1497283691</v>
      </c>
      <c r="E30381" t="s">
        <v>18509</v>
      </c>
    </row>
    <row r="30382" spans="1:5" x14ac:dyDescent="0.25">
      <c r="A30382" t="s">
        <v>9992</v>
      </c>
      <c r="B30382" t="s">
        <v>9993</v>
      </c>
      <c r="C30382" s="1" t="s">
        <v>23490</v>
      </c>
      <c r="D30382" s="1" t="str">
        <f>HYPERLINK("https://rhld.insurance.arkansas.gov/NPILookup?Npi=1497852495","1497852495")</f>
        <v>1497852495</v>
      </c>
      <c r="E30382" t="s">
        <v>10025</v>
      </c>
    </row>
    <row r="30383" spans="1:5" x14ac:dyDescent="0.25">
      <c r="A30383" t="s">
        <v>9992</v>
      </c>
      <c r="B30383" t="s">
        <v>9993</v>
      </c>
      <c r="C30383" s="1" t="s">
        <v>23490</v>
      </c>
      <c r="D30383" s="1" t="str">
        <f>HYPERLINK("https://rhld.insurance.arkansas.gov/NPILookup?Npi=1497886808","1497886808")</f>
        <v>1497886808</v>
      </c>
      <c r="E30383" t="s">
        <v>9660</v>
      </c>
    </row>
    <row r="30384" spans="1:5" x14ac:dyDescent="0.25">
      <c r="A30384" t="s">
        <v>9992</v>
      </c>
      <c r="B30384" t="s">
        <v>9993</v>
      </c>
      <c r="C30384" s="1" t="s">
        <v>23490</v>
      </c>
      <c r="D30384" s="1" t="str">
        <f>HYPERLINK("https://rhld.insurance.arkansas.gov/NPILookup?Npi=1497928485","1497928485")</f>
        <v>1497928485</v>
      </c>
      <c r="E30384" t="s">
        <v>12681</v>
      </c>
    </row>
    <row r="30385" spans="1:5" x14ac:dyDescent="0.25">
      <c r="A30385" t="s">
        <v>9992</v>
      </c>
      <c r="B30385" t="s">
        <v>9993</v>
      </c>
      <c r="C30385" s="1" t="s">
        <v>23490</v>
      </c>
      <c r="D30385" s="1" t="str">
        <f>HYPERLINK("https://rhld.insurance.arkansas.gov/NPILookup?Npi=1508296005","1508296005")</f>
        <v>1508296005</v>
      </c>
      <c r="E30385" t="s">
        <v>9664</v>
      </c>
    </row>
    <row r="30386" spans="1:5" x14ac:dyDescent="0.25">
      <c r="A30386" t="s">
        <v>9992</v>
      </c>
      <c r="B30386" t="s">
        <v>9993</v>
      </c>
      <c r="C30386" s="1" t="s">
        <v>23490</v>
      </c>
      <c r="D30386" s="1" t="str">
        <f>HYPERLINK("https://rhld.insurance.arkansas.gov/NPILookup?Npi=1508882465","1508882465")</f>
        <v>1508882465</v>
      </c>
      <c r="E30386" t="s">
        <v>9667</v>
      </c>
    </row>
    <row r="30387" spans="1:5" x14ac:dyDescent="0.25">
      <c r="A30387" t="s">
        <v>9992</v>
      </c>
      <c r="B30387" t="s">
        <v>9993</v>
      </c>
      <c r="C30387" s="1" t="s">
        <v>23490</v>
      </c>
      <c r="D30387" s="1" t="str">
        <f>HYPERLINK("https://rhld.insurance.arkansas.gov/NPILookup?Npi=1508896242","1508896242")</f>
        <v>1508896242</v>
      </c>
      <c r="E30387" t="s">
        <v>10026</v>
      </c>
    </row>
    <row r="30388" spans="1:5" x14ac:dyDescent="0.25">
      <c r="A30388" t="s">
        <v>9992</v>
      </c>
      <c r="B30388" t="s">
        <v>9993</v>
      </c>
      <c r="C30388" s="1" t="s">
        <v>23490</v>
      </c>
      <c r="D30388" s="1" t="str">
        <f>HYPERLINK("https://rhld.insurance.arkansas.gov/NPILookup?Npi=1518232727","1518232727")</f>
        <v>1518232727</v>
      </c>
      <c r="E30388" t="s">
        <v>10027</v>
      </c>
    </row>
    <row r="30389" spans="1:5" x14ac:dyDescent="0.25">
      <c r="A30389" t="s">
        <v>9992</v>
      </c>
      <c r="B30389" t="s">
        <v>9993</v>
      </c>
      <c r="C30389" s="1" t="s">
        <v>23490</v>
      </c>
      <c r="D30389" s="1" t="str">
        <f>HYPERLINK("https://rhld.insurance.arkansas.gov/NPILookup?Npi=1518307834","1518307834")</f>
        <v>1518307834</v>
      </c>
      <c r="E30389" t="s">
        <v>9676</v>
      </c>
    </row>
    <row r="30390" spans="1:5" x14ac:dyDescent="0.25">
      <c r="A30390" t="s">
        <v>9992</v>
      </c>
      <c r="B30390" t="s">
        <v>9993</v>
      </c>
      <c r="C30390" s="1" t="s">
        <v>23490</v>
      </c>
      <c r="D30390" s="1" t="str">
        <f>HYPERLINK("https://rhld.insurance.arkansas.gov/NPILookup?Npi=1518434398","1518434398")</f>
        <v>1518434398</v>
      </c>
      <c r="E30390" t="s">
        <v>14623</v>
      </c>
    </row>
    <row r="30391" spans="1:5" x14ac:dyDescent="0.25">
      <c r="A30391" t="s">
        <v>9992</v>
      </c>
      <c r="B30391" t="s">
        <v>9993</v>
      </c>
      <c r="C30391" s="1" t="s">
        <v>23490</v>
      </c>
      <c r="D30391" s="1" t="str">
        <f>HYPERLINK("https://rhld.insurance.arkansas.gov/NPILookup?Npi=1518993401","1518993401")</f>
        <v>1518993401</v>
      </c>
      <c r="E30391" t="s">
        <v>9679</v>
      </c>
    </row>
    <row r="30392" spans="1:5" x14ac:dyDescent="0.25">
      <c r="A30392" t="s">
        <v>9992</v>
      </c>
      <c r="B30392" t="s">
        <v>9993</v>
      </c>
      <c r="C30392" s="1" t="s">
        <v>23490</v>
      </c>
      <c r="D30392" s="1" t="str">
        <f>HYPERLINK("https://rhld.insurance.arkansas.gov/NPILookup?Npi=1528069135","1528069135")</f>
        <v>1528069135</v>
      </c>
      <c r="E30392" t="s">
        <v>22801</v>
      </c>
    </row>
    <row r="30393" spans="1:5" x14ac:dyDescent="0.25">
      <c r="A30393" t="s">
        <v>9992</v>
      </c>
      <c r="B30393" t="s">
        <v>9993</v>
      </c>
      <c r="C30393" s="1" t="s">
        <v>23490</v>
      </c>
      <c r="D30393" s="1" t="str">
        <f>HYPERLINK("https://rhld.insurance.arkansas.gov/NPILookup?Npi=1528148392","1528148392")</f>
        <v>1528148392</v>
      </c>
      <c r="E30393" t="s">
        <v>12682</v>
      </c>
    </row>
    <row r="30394" spans="1:5" x14ac:dyDescent="0.25">
      <c r="A30394" t="s">
        <v>9992</v>
      </c>
      <c r="B30394" t="s">
        <v>9993</v>
      </c>
      <c r="C30394" s="1" t="s">
        <v>23490</v>
      </c>
      <c r="D30394" s="1" t="str">
        <f>HYPERLINK("https://rhld.insurance.arkansas.gov/NPILookup?Npi=1528264280","1528264280")</f>
        <v>1528264280</v>
      </c>
      <c r="E30394" t="s">
        <v>9687</v>
      </c>
    </row>
    <row r="30395" spans="1:5" x14ac:dyDescent="0.25">
      <c r="A30395" t="s">
        <v>9992</v>
      </c>
      <c r="B30395" t="s">
        <v>9993</v>
      </c>
      <c r="C30395" s="1" t="s">
        <v>23490</v>
      </c>
      <c r="D30395" s="1" t="str">
        <f>HYPERLINK("https://rhld.insurance.arkansas.gov/NPILookup?Npi=1538263132","1538263132")</f>
        <v>1538263132</v>
      </c>
      <c r="E30395" t="s">
        <v>12683</v>
      </c>
    </row>
    <row r="30396" spans="1:5" x14ac:dyDescent="0.25">
      <c r="A30396" t="s">
        <v>9992</v>
      </c>
      <c r="B30396" t="s">
        <v>9993</v>
      </c>
      <c r="C30396" s="1" t="s">
        <v>23490</v>
      </c>
      <c r="D30396" s="1" t="str">
        <f>HYPERLINK("https://rhld.insurance.arkansas.gov/NPILookup?Npi=1538382502","1538382502")</f>
        <v>1538382502</v>
      </c>
      <c r="E30396" t="s">
        <v>12684</v>
      </c>
    </row>
    <row r="30397" spans="1:5" x14ac:dyDescent="0.25">
      <c r="A30397" t="s">
        <v>9992</v>
      </c>
      <c r="B30397" t="s">
        <v>9993</v>
      </c>
      <c r="C30397" s="1" t="s">
        <v>23490</v>
      </c>
      <c r="D30397" s="1" t="str">
        <f>HYPERLINK("https://rhld.insurance.arkansas.gov/NPILookup?Npi=1538459458","1538459458")</f>
        <v>1538459458</v>
      </c>
      <c r="E30397" t="s">
        <v>20825</v>
      </c>
    </row>
    <row r="30398" spans="1:5" x14ac:dyDescent="0.25">
      <c r="A30398" t="s">
        <v>9992</v>
      </c>
      <c r="B30398" t="s">
        <v>9993</v>
      </c>
      <c r="C30398" s="1" t="s">
        <v>23490</v>
      </c>
      <c r="D30398" s="1" t="str">
        <f>HYPERLINK("https://rhld.insurance.arkansas.gov/NPILookup?Npi=1538507058","1538507058")</f>
        <v>1538507058</v>
      </c>
      <c r="E30398" t="s">
        <v>12685</v>
      </c>
    </row>
    <row r="30399" spans="1:5" x14ac:dyDescent="0.25">
      <c r="A30399" t="s">
        <v>9992</v>
      </c>
      <c r="B30399" t="s">
        <v>9993</v>
      </c>
      <c r="C30399" s="1" t="s">
        <v>23490</v>
      </c>
      <c r="D30399" s="1" t="str">
        <f>HYPERLINK("https://rhld.insurance.arkansas.gov/NPILookup?Npi=1548202856","1548202856")</f>
        <v>1548202856</v>
      </c>
      <c r="E30399" t="s">
        <v>10028</v>
      </c>
    </row>
    <row r="30400" spans="1:5" x14ac:dyDescent="0.25">
      <c r="A30400" t="s">
        <v>9992</v>
      </c>
      <c r="B30400" t="s">
        <v>9993</v>
      </c>
      <c r="C30400" s="1" t="s">
        <v>23490</v>
      </c>
      <c r="D30400" s="1" t="str">
        <f>HYPERLINK("https://rhld.insurance.arkansas.gov/NPILookup?Npi=1548427693","1548427693")</f>
        <v>1548427693</v>
      </c>
      <c r="E30400" t="s">
        <v>12444</v>
      </c>
    </row>
    <row r="30401" spans="1:5" x14ac:dyDescent="0.25">
      <c r="A30401" t="s">
        <v>9992</v>
      </c>
      <c r="B30401" t="s">
        <v>9993</v>
      </c>
      <c r="C30401" s="1" t="s">
        <v>23490</v>
      </c>
      <c r="D30401" s="1" t="str">
        <f>HYPERLINK("https://rhld.insurance.arkansas.gov/NPILookup?Npi=1558346981","1558346981")</f>
        <v>1558346981</v>
      </c>
      <c r="E30401" t="s">
        <v>10029</v>
      </c>
    </row>
    <row r="30402" spans="1:5" x14ac:dyDescent="0.25">
      <c r="A30402" t="s">
        <v>9992</v>
      </c>
      <c r="B30402" t="s">
        <v>9993</v>
      </c>
      <c r="C30402" s="1" t="s">
        <v>23490</v>
      </c>
      <c r="D30402" s="1" t="str">
        <f>HYPERLINK("https://rhld.insurance.arkansas.gov/NPILookup?Npi=1568432052","1568432052")</f>
        <v>1568432052</v>
      </c>
      <c r="E30402" t="s">
        <v>12686</v>
      </c>
    </row>
    <row r="30403" spans="1:5" x14ac:dyDescent="0.25">
      <c r="A30403" t="s">
        <v>9992</v>
      </c>
      <c r="B30403" t="s">
        <v>9993</v>
      </c>
      <c r="C30403" s="1" t="s">
        <v>23490</v>
      </c>
      <c r="D30403" s="1" t="str">
        <f>HYPERLINK("https://rhld.insurance.arkansas.gov/NPILookup?Npi=1568442788","1568442788")</f>
        <v>1568442788</v>
      </c>
      <c r="E30403" t="s">
        <v>10030</v>
      </c>
    </row>
    <row r="30404" spans="1:5" x14ac:dyDescent="0.25">
      <c r="A30404" t="s">
        <v>9992</v>
      </c>
      <c r="B30404" t="s">
        <v>9993</v>
      </c>
      <c r="C30404" s="1" t="s">
        <v>23490</v>
      </c>
      <c r="D30404" s="1" t="str">
        <f>HYPERLINK("https://rhld.insurance.arkansas.gov/NPILookup?Npi=1568521755","1568521755")</f>
        <v>1568521755</v>
      </c>
      <c r="E30404" t="s">
        <v>9714</v>
      </c>
    </row>
    <row r="30405" spans="1:5" x14ac:dyDescent="0.25">
      <c r="A30405" t="s">
        <v>9992</v>
      </c>
      <c r="B30405" t="s">
        <v>9993</v>
      </c>
      <c r="C30405" s="1" t="s">
        <v>23490</v>
      </c>
      <c r="D30405" s="1" t="str">
        <f>HYPERLINK("https://rhld.insurance.arkansas.gov/NPILookup?Npi=1568590099","1568590099")</f>
        <v>1568590099</v>
      </c>
      <c r="E30405" t="s">
        <v>9717</v>
      </c>
    </row>
    <row r="30406" spans="1:5" x14ac:dyDescent="0.25">
      <c r="A30406" t="s">
        <v>9992</v>
      </c>
      <c r="B30406" t="s">
        <v>9993</v>
      </c>
      <c r="C30406" s="1" t="s">
        <v>23490</v>
      </c>
      <c r="D30406" s="1" t="str">
        <f>HYPERLINK("https://rhld.insurance.arkansas.gov/NPILookup?Npi=1568647964","1568647964")</f>
        <v>1568647964</v>
      </c>
      <c r="E30406" t="s">
        <v>12687</v>
      </c>
    </row>
    <row r="30407" spans="1:5" x14ac:dyDescent="0.25">
      <c r="A30407" t="s">
        <v>9992</v>
      </c>
      <c r="B30407" t="s">
        <v>9993</v>
      </c>
      <c r="C30407" s="1" t="s">
        <v>23490</v>
      </c>
      <c r="D30407" s="1" t="str">
        <f>HYPERLINK("https://rhld.insurance.arkansas.gov/NPILookup?Npi=1578532024","1578532024")</f>
        <v>1578532024</v>
      </c>
      <c r="E30407" t="s">
        <v>12455</v>
      </c>
    </row>
    <row r="30408" spans="1:5" x14ac:dyDescent="0.25">
      <c r="A30408" t="s">
        <v>9992</v>
      </c>
      <c r="B30408" t="s">
        <v>9993</v>
      </c>
      <c r="C30408" s="1" t="s">
        <v>23490</v>
      </c>
      <c r="D30408" s="1" t="str">
        <f>HYPERLINK("https://rhld.insurance.arkansas.gov/NPILookup?Npi=1578797114","1578797114")</f>
        <v>1578797114</v>
      </c>
      <c r="E30408" t="s">
        <v>10031</v>
      </c>
    </row>
    <row r="30409" spans="1:5" x14ac:dyDescent="0.25">
      <c r="A30409" t="s">
        <v>9992</v>
      </c>
      <c r="B30409" t="s">
        <v>9993</v>
      </c>
      <c r="C30409" s="1" t="s">
        <v>23490</v>
      </c>
      <c r="D30409" s="1" t="str">
        <f>HYPERLINK("https://rhld.insurance.arkansas.gov/NPILookup?Npi=1588799753","1588799753")</f>
        <v>1588799753</v>
      </c>
      <c r="E30409" t="s">
        <v>10032</v>
      </c>
    </row>
    <row r="30410" spans="1:5" x14ac:dyDescent="0.25">
      <c r="A30410" t="s">
        <v>9992</v>
      </c>
      <c r="B30410" t="s">
        <v>9993</v>
      </c>
      <c r="C30410" s="1" t="s">
        <v>23490</v>
      </c>
      <c r="D30410" s="1" t="str">
        <f>HYPERLINK("https://rhld.insurance.arkansas.gov/NPILookup?Npi=1588927941","1588927941")</f>
        <v>1588927941</v>
      </c>
      <c r="E30410" t="s">
        <v>6778</v>
      </c>
    </row>
    <row r="30411" spans="1:5" x14ac:dyDescent="0.25">
      <c r="A30411" t="s">
        <v>9992</v>
      </c>
      <c r="B30411" t="s">
        <v>9993</v>
      </c>
      <c r="C30411" s="1" t="s">
        <v>23490</v>
      </c>
      <c r="D30411" s="1" t="str">
        <f>HYPERLINK("https://rhld.insurance.arkansas.gov/NPILookup?Npi=1588982235","1588982235")</f>
        <v>1588982235</v>
      </c>
      <c r="E30411" t="s">
        <v>13193</v>
      </c>
    </row>
    <row r="30412" spans="1:5" x14ac:dyDescent="0.25">
      <c r="A30412" t="s">
        <v>9992</v>
      </c>
      <c r="B30412" t="s">
        <v>9993</v>
      </c>
      <c r="C30412" s="1" t="s">
        <v>23490</v>
      </c>
      <c r="D30412" s="1" t="str">
        <f>HYPERLINK("https://rhld.insurance.arkansas.gov/NPILookup?Npi=1598255358","1598255358")</f>
        <v>1598255358</v>
      </c>
      <c r="E30412" t="s">
        <v>17790</v>
      </c>
    </row>
    <row r="30413" spans="1:5" x14ac:dyDescent="0.25">
      <c r="A30413" t="s">
        <v>9992</v>
      </c>
      <c r="B30413" t="s">
        <v>9993</v>
      </c>
      <c r="C30413" s="1" t="s">
        <v>23490</v>
      </c>
      <c r="D30413" s="1" t="str">
        <f>HYPERLINK("https://rhld.insurance.arkansas.gov/NPILookup?Npi=1598744120","1598744120")</f>
        <v>1598744120</v>
      </c>
      <c r="E30413" t="s">
        <v>10033</v>
      </c>
    </row>
    <row r="30414" spans="1:5" x14ac:dyDescent="0.25">
      <c r="A30414" t="s">
        <v>9992</v>
      </c>
      <c r="B30414" t="s">
        <v>9993</v>
      </c>
      <c r="C30414" s="1" t="s">
        <v>23490</v>
      </c>
      <c r="D30414" s="1" t="str">
        <f>HYPERLINK("https://rhld.insurance.arkansas.gov/NPILookup?Npi=1598851156","1598851156")</f>
        <v>1598851156</v>
      </c>
      <c r="E30414" t="s">
        <v>10034</v>
      </c>
    </row>
    <row r="30415" spans="1:5" x14ac:dyDescent="0.25">
      <c r="A30415" t="s">
        <v>9992</v>
      </c>
      <c r="B30415" t="s">
        <v>9993</v>
      </c>
      <c r="C30415" s="1" t="s">
        <v>23490</v>
      </c>
      <c r="D30415" s="1" t="str">
        <f>HYPERLINK("https://rhld.insurance.arkansas.gov/NPILookup?Npi=1609124114","1609124114")</f>
        <v>1609124114</v>
      </c>
      <c r="E30415" t="s">
        <v>10035</v>
      </c>
    </row>
    <row r="30416" spans="1:5" x14ac:dyDescent="0.25">
      <c r="A30416" t="s">
        <v>9992</v>
      </c>
      <c r="B30416" t="s">
        <v>9993</v>
      </c>
      <c r="C30416" s="1" t="s">
        <v>23490</v>
      </c>
      <c r="D30416" s="1" t="str">
        <f>HYPERLINK("https://rhld.insurance.arkansas.gov/NPILookup?Npi=1609131473","1609131473")</f>
        <v>1609131473</v>
      </c>
      <c r="E30416" t="s">
        <v>12473</v>
      </c>
    </row>
    <row r="30417" spans="1:5" x14ac:dyDescent="0.25">
      <c r="A30417" t="s">
        <v>9992</v>
      </c>
      <c r="B30417" t="s">
        <v>9993</v>
      </c>
      <c r="C30417" s="1" t="s">
        <v>23490</v>
      </c>
      <c r="D30417" s="1" t="str">
        <f>HYPERLINK("https://rhld.insurance.arkansas.gov/NPILookup?Npi=1609948363","1609948363")</f>
        <v>1609948363</v>
      </c>
      <c r="E30417" t="s">
        <v>12688</v>
      </c>
    </row>
    <row r="30418" spans="1:5" x14ac:dyDescent="0.25">
      <c r="A30418" t="s">
        <v>9992</v>
      </c>
      <c r="B30418" t="s">
        <v>9993</v>
      </c>
      <c r="C30418" s="1" t="s">
        <v>23490</v>
      </c>
      <c r="D30418" s="1" t="str">
        <f>HYPERLINK("https://rhld.insurance.arkansas.gov/NPILookup?Npi=1609980242","1609980242")</f>
        <v>1609980242</v>
      </c>
      <c r="E30418" t="s">
        <v>10036</v>
      </c>
    </row>
    <row r="30419" spans="1:5" x14ac:dyDescent="0.25">
      <c r="A30419" t="s">
        <v>9992</v>
      </c>
      <c r="B30419" t="s">
        <v>9993</v>
      </c>
      <c r="C30419" s="1" t="s">
        <v>23490</v>
      </c>
      <c r="D30419" s="1" t="str">
        <f>HYPERLINK("https://rhld.insurance.arkansas.gov/NPILookup?Npi=1619403615","1619403615")</f>
        <v>1619403615</v>
      </c>
      <c r="E30419" t="s">
        <v>17803</v>
      </c>
    </row>
    <row r="30420" spans="1:5" x14ac:dyDescent="0.25">
      <c r="A30420" t="s">
        <v>9992</v>
      </c>
      <c r="B30420" t="s">
        <v>9993</v>
      </c>
      <c r="C30420" s="1" t="s">
        <v>23490</v>
      </c>
      <c r="D30420" s="1" t="str">
        <f>HYPERLINK("https://rhld.insurance.arkansas.gov/NPILookup?Npi=1619975406","1619975406")</f>
        <v>1619975406</v>
      </c>
      <c r="E30420" t="s">
        <v>257</v>
      </c>
    </row>
    <row r="30421" spans="1:5" x14ac:dyDescent="0.25">
      <c r="A30421" t="s">
        <v>9992</v>
      </c>
      <c r="B30421" t="s">
        <v>9993</v>
      </c>
      <c r="C30421" s="1" t="s">
        <v>23490</v>
      </c>
      <c r="D30421" s="1" t="str">
        <f>HYPERLINK("https://rhld.insurance.arkansas.gov/NPILookup?Npi=1629075619","1629075619")</f>
        <v>1629075619</v>
      </c>
      <c r="E30421" t="s">
        <v>12484</v>
      </c>
    </row>
    <row r="30422" spans="1:5" x14ac:dyDescent="0.25">
      <c r="A30422" t="s">
        <v>9992</v>
      </c>
      <c r="B30422" t="s">
        <v>9993</v>
      </c>
      <c r="C30422" s="1" t="s">
        <v>23490</v>
      </c>
      <c r="D30422" s="1" t="str">
        <f>HYPERLINK("https://rhld.insurance.arkansas.gov/NPILookup?Npi=1629143789","1629143789")</f>
        <v>1629143789</v>
      </c>
      <c r="E30422" t="s">
        <v>9757</v>
      </c>
    </row>
    <row r="30423" spans="1:5" x14ac:dyDescent="0.25">
      <c r="A30423" t="s">
        <v>9992</v>
      </c>
      <c r="B30423" t="s">
        <v>9993</v>
      </c>
      <c r="C30423" s="1" t="s">
        <v>23490</v>
      </c>
      <c r="D30423" s="1" t="str">
        <f>HYPERLINK("https://rhld.insurance.arkansas.gov/NPILookup?Npi=1629155197","1629155197")</f>
        <v>1629155197</v>
      </c>
      <c r="E30423" t="s">
        <v>12689</v>
      </c>
    </row>
    <row r="30424" spans="1:5" x14ac:dyDescent="0.25">
      <c r="A30424" t="s">
        <v>9992</v>
      </c>
      <c r="B30424" t="s">
        <v>9993</v>
      </c>
      <c r="C30424" s="1" t="s">
        <v>23490</v>
      </c>
      <c r="D30424" s="1" t="str">
        <f>HYPERLINK("https://rhld.insurance.arkansas.gov/NPILookup?Npi=1629398417","1629398417")</f>
        <v>1629398417</v>
      </c>
      <c r="E30424" t="s">
        <v>12485</v>
      </c>
    </row>
    <row r="30425" spans="1:5" x14ac:dyDescent="0.25">
      <c r="A30425" t="s">
        <v>9992</v>
      </c>
      <c r="B30425" t="s">
        <v>9993</v>
      </c>
      <c r="C30425" s="1" t="s">
        <v>23490</v>
      </c>
      <c r="D30425" s="1" t="str">
        <f>HYPERLINK("https://rhld.insurance.arkansas.gov/NPILookup?Npi=1639191182","1639191182")</f>
        <v>1639191182</v>
      </c>
      <c r="E30425" t="s">
        <v>12486</v>
      </c>
    </row>
    <row r="30426" spans="1:5" x14ac:dyDescent="0.25">
      <c r="A30426" t="s">
        <v>9992</v>
      </c>
      <c r="B30426" t="s">
        <v>9993</v>
      </c>
      <c r="C30426" s="1" t="s">
        <v>23490</v>
      </c>
      <c r="D30426" s="1" t="str">
        <f>HYPERLINK("https://rhld.insurance.arkansas.gov/NPILookup?Npi=1639399256","1639399256")</f>
        <v>1639399256</v>
      </c>
      <c r="E30426" t="s">
        <v>12690</v>
      </c>
    </row>
    <row r="30427" spans="1:5" x14ac:dyDescent="0.25">
      <c r="A30427" t="s">
        <v>9992</v>
      </c>
      <c r="B30427" t="s">
        <v>9993</v>
      </c>
      <c r="C30427" s="1" t="s">
        <v>23490</v>
      </c>
      <c r="D30427" s="1" t="str">
        <f>HYPERLINK("https://rhld.insurance.arkansas.gov/NPILookup?Npi=1639608607","1639608607")</f>
        <v>1639608607</v>
      </c>
      <c r="E30427" t="s">
        <v>20851</v>
      </c>
    </row>
    <row r="30428" spans="1:5" x14ac:dyDescent="0.25">
      <c r="A30428" t="s">
        <v>9992</v>
      </c>
      <c r="B30428" t="s">
        <v>9993</v>
      </c>
      <c r="C30428" s="1" t="s">
        <v>23490</v>
      </c>
      <c r="D30428" s="1" t="str">
        <f>HYPERLINK("https://rhld.insurance.arkansas.gov/NPILookup?Npi=1649336017","1649336017")</f>
        <v>1649336017</v>
      </c>
      <c r="E30428" t="s">
        <v>12691</v>
      </c>
    </row>
    <row r="30429" spans="1:5" x14ac:dyDescent="0.25">
      <c r="A30429" t="s">
        <v>9992</v>
      </c>
      <c r="B30429" t="s">
        <v>9993</v>
      </c>
      <c r="C30429" s="1" t="s">
        <v>23490</v>
      </c>
      <c r="D30429" s="1" t="str">
        <f>HYPERLINK("https://rhld.insurance.arkansas.gov/NPILookup?Npi=1649347634","1649347634")</f>
        <v>1649347634</v>
      </c>
      <c r="E30429" t="s">
        <v>2174</v>
      </c>
    </row>
    <row r="30430" spans="1:5" x14ac:dyDescent="0.25">
      <c r="A30430" t="s">
        <v>9992</v>
      </c>
      <c r="B30430" t="s">
        <v>9993</v>
      </c>
      <c r="C30430" s="1" t="s">
        <v>23490</v>
      </c>
      <c r="D30430" s="1" t="str">
        <f>HYPERLINK("https://rhld.insurance.arkansas.gov/NPILookup?Npi=1649591256","1649591256")</f>
        <v>1649591256</v>
      </c>
      <c r="E30430" t="s">
        <v>9765</v>
      </c>
    </row>
    <row r="30431" spans="1:5" x14ac:dyDescent="0.25">
      <c r="A30431" t="s">
        <v>9992</v>
      </c>
      <c r="B30431" t="s">
        <v>9993</v>
      </c>
      <c r="C30431" s="1" t="s">
        <v>23490</v>
      </c>
      <c r="D30431" s="1" t="str">
        <f>HYPERLINK("https://rhld.insurance.arkansas.gov/NPILookup?Npi=1659722106","1659722106")</f>
        <v>1659722106</v>
      </c>
      <c r="E30431" t="s">
        <v>22803</v>
      </c>
    </row>
    <row r="30432" spans="1:5" x14ac:dyDescent="0.25">
      <c r="A30432" t="s">
        <v>9992</v>
      </c>
      <c r="B30432" t="s">
        <v>9993</v>
      </c>
      <c r="C30432" s="1" t="s">
        <v>8427</v>
      </c>
      <c r="D30432" s="1" t="str">
        <f>HYPERLINK("https://rhld.insurance.arkansas.gov/NPILookup?Npi=1669016796","1669016796")</f>
        <v>1669016796</v>
      </c>
      <c r="E30432" t="s">
        <v>23379</v>
      </c>
    </row>
    <row r="30433" spans="1:5" x14ac:dyDescent="0.25">
      <c r="A30433" t="s">
        <v>9992</v>
      </c>
      <c r="B30433" t="s">
        <v>9993</v>
      </c>
      <c r="C30433" s="1" t="s">
        <v>23490</v>
      </c>
      <c r="D30433" s="1" t="str">
        <f>HYPERLINK("https://rhld.insurance.arkansas.gov/NPILookup?Npi=1669482063","1669482063")</f>
        <v>1669482063</v>
      </c>
      <c r="E30433" t="s">
        <v>10037</v>
      </c>
    </row>
    <row r="30434" spans="1:5" x14ac:dyDescent="0.25">
      <c r="A30434" t="s">
        <v>9992</v>
      </c>
      <c r="B30434" t="s">
        <v>9993</v>
      </c>
      <c r="C30434" s="1" t="s">
        <v>23490</v>
      </c>
      <c r="D30434" s="1" t="str">
        <f>HYPERLINK("https://rhld.insurance.arkansas.gov/NPILookup?Npi=1669693271","1669693271")</f>
        <v>1669693271</v>
      </c>
      <c r="E30434" t="s">
        <v>12692</v>
      </c>
    </row>
    <row r="30435" spans="1:5" x14ac:dyDescent="0.25">
      <c r="A30435" t="s">
        <v>9992</v>
      </c>
      <c r="B30435" t="s">
        <v>9993</v>
      </c>
      <c r="C30435" s="1" t="s">
        <v>23490</v>
      </c>
      <c r="D30435" s="1" t="str">
        <f>HYPERLINK("https://rhld.insurance.arkansas.gov/NPILookup?Npi=1669827465","1669827465")</f>
        <v>1669827465</v>
      </c>
      <c r="E30435" t="s">
        <v>16810</v>
      </c>
    </row>
    <row r="30436" spans="1:5" x14ac:dyDescent="0.25">
      <c r="A30436" t="s">
        <v>9992</v>
      </c>
      <c r="B30436" t="s">
        <v>9993</v>
      </c>
      <c r="C30436" s="1" t="s">
        <v>23490</v>
      </c>
      <c r="D30436" s="1" t="str">
        <f>HYPERLINK("https://rhld.insurance.arkansas.gov/NPILookup?Npi=1669908216","1669908216")</f>
        <v>1669908216</v>
      </c>
      <c r="E30436" t="s">
        <v>12499</v>
      </c>
    </row>
    <row r="30437" spans="1:5" x14ac:dyDescent="0.25">
      <c r="A30437" t="s">
        <v>9992</v>
      </c>
      <c r="B30437" t="s">
        <v>9993</v>
      </c>
      <c r="C30437" s="1" t="s">
        <v>23490</v>
      </c>
      <c r="D30437" s="1" t="str">
        <f>HYPERLINK("https://rhld.insurance.arkansas.gov/NPILookup?Npi=1679788426","1679788426")</f>
        <v>1679788426</v>
      </c>
      <c r="E30437" t="s">
        <v>3517</v>
      </c>
    </row>
    <row r="30438" spans="1:5" x14ac:dyDescent="0.25">
      <c r="A30438" t="s">
        <v>9992</v>
      </c>
      <c r="B30438" t="s">
        <v>9993</v>
      </c>
      <c r="C30438" s="1" t="s">
        <v>23490</v>
      </c>
      <c r="D30438" s="1" t="str">
        <f>HYPERLINK("https://rhld.insurance.arkansas.gov/NPILookup?Npi=1689103038","1689103038")</f>
        <v>1689103038</v>
      </c>
      <c r="E30438" t="s">
        <v>21352</v>
      </c>
    </row>
    <row r="30439" spans="1:5" x14ac:dyDescent="0.25">
      <c r="A30439" t="s">
        <v>9992</v>
      </c>
      <c r="B30439" t="s">
        <v>9993</v>
      </c>
      <c r="C30439" s="1" t="s">
        <v>23490</v>
      </c>
      <c r="D30439" s="1" t="str">
        <f>HYPERLINK("https://rhld.insurance.arkansas.gov/NPILookup?Npi=1689626269","1689626269")</f>
        <v>1689626269</v>
      </c>
      <c r="E30439" t="s">
        <v>16811</v>
      </c>
    </row>
    <row r="30440" spans="1:5" x14ac:dyDescent="0.25">
      <c r="A30440" t="s">
        <v>9992</v>
      </c>
      <c r="B30440" t="s">
        <v>9993</v>
      </c>
      <c r="C30440" s="1" t="s">
        <v>23490</v>
      </c>
      <c r="D30440" s="1" t="str">
        <f>HYPERLINK("https://rhld.insurance.arkansas.gov/NPILookup?Npi=1689680266","1689680266")</f>
        <v>1689680266</v>
      </c>
      <c r="E30440" t="s">
        <v>22804</v>
      </c>
    </row>
    <row r="30441" spans="1:5" x14ac:dyDescent="0.25">
      <c r="A30441" t="s">
        <v>9992</v>
      </c>
      <c r="B30441" t="s">
        <v>9993</v>
      </c>
      <c r="C30441" s="1" t="s">
        <v>23490</v>
      </c>
      <c r="D30441" s="1" t="str">
        <f>HYPERLINK("https://rhld.insurance.arkansas.gov/NPILookup?Npi=1689687584","1689687584")</f>
        <v>1689687584</v>
      </c>
      <c r="E30441" t="s">
        <v>10038</v>
      </c>
    </row>
    <row r="30442" spans="1:5" x14ac:dyDescent="0.25">
      <c r="A30442" t="s">
        <v>9992</v>
      </c>
      <c r="B30442" t="s">
        <v>9993</v>
      </c>
      <c r="C30442" s="1" t="s">
        <v>23490</v>
      </c>
      <c r="D30442" s="1" t="str">
        <f>HYPERLINK("https://rhld.insurance.arkansas.gov/NPILookup?Npi=1689806879","1689806879")</f>
        <v>1689806879</v>
      </c>
      <c r="E30442" t="s">
        <v>12693</v>
      </c>
    </row>
    <row r="30443" spans="1:5" x14ac:dyDescent="0.25">
      <c r="A30443" t="s">
        <v>9992</v>
      </c>
      <c r="B30443" t="s">
        <v>9993</v>
      </c>
      <c r="C30443" s="1" t="s">
        <v>23490</v>
      </c>
      <c r="D30443" s="1" t="str">
        <f>HYPERLINK("https://rhld.insurance.arkansas.gov/NPILookup?Npi=1689898850","1689898850")</f>
        <v>1689898850</v>
      </c>
      <c r="E30443" t="s">
        <v>10039</v>
      </c>
    </row>
    <row r="30444" spans="1:5" x14ac:dyDescent="0.25">
      <c r="A30444" t="s">
        <v>9992</v>
      </c>
      <c r="B30444" t="s">
        <v>9993</v>
      </c>
      <c r="C30444" s="1" t="s">
        <v>23490</v>
      </c>
      <c r="D30444" s="1" t="str">
        <f>HYPERLINK("https://rhld.insurance.arkansas.gov/NPILookup?Npi=1689974362","1689974362")</f>
        <v>1689974362</v>
      </c>
      <c r="E30444" t="s">
        <v>23380</v>
      </c>
    </row>
    <row r="30445" spans="1:5" x14ac:dyDescent="0.25">
      <c r="A30445" t="s">
        <v>9992</v>
      </c>
      <c r="B30445" t="s">
        <v>9993</v>
      </c>
      <c r="C30445" s="1" t="s">
        <v>23490</v>
      </c>
      <c r="D30445" s="1" t="str">
        <f>HYPERLINK("https://rhld.insurance.arkansas.gov/NPILookup?Npi=1699094714","1699094714")</f>
        <v>1699094714</v>
      </c>
      <c r="E30445" t="s">
        <v>8470</v>
      </c>
    </row>
    <row r="30446" spans="1:5" x14ac:dyDescent="0.25">
      <c r="A30446" t="s">
        <v>9992</v>
      </c>
      <c r="B30446" t="s">
        <v>9993</v>
      </c>
      <c r="C30446" s="1" t="s">
        <v>23490</v>
      </c>
      <c r="D30446" s="1" t="str">
        <f>HYPERLINK("https://rhld.insurance.arkansas.gov/NPILookup?Npi=1699178376","1699178376")</f>
        <v>1699178376</v>
      </c>
      <c r="E30446" t="s">
        <v>18614</v>
      </c>
    </row>
    <row r="30447" spans="1:5" x14ac:dyDescent="0.25">
      <c r="A30447" t="s">
        <v>9992</v>
      </c>
      <c r="B30447" t="s">
        <v>9993</v>
      </c>
      <c r="C30447" s="1" t="s">
        <v>23490</v>
      </c>
      <c r="D30447" s="1" t="str">
        <f>HYPERLINK("https://rhld.insurance.arkansas.gov/NPILookup?Npi=1699789172","1699789172")</f>
        <v>1699789172</v>
      </c>
      <c r="E30447" t="s">
        <v>10040</v>
      </c>
    </row>
    <row r="30448" spans="1:5" x14ac:dyDescent="0.25">
      <c r="A30448" t="s">
        <v>9992</v>
      </c>
      <c r="B30448" t="s">
        <v>9993</v>
      </c>
      <c r="C30448" s="1" t="s">
        <v>23490</v>
      </c>
      <c r="D30448" s="1" t="str">
        <f>HYPERLINK("https://rhld.insurance.arkansas.gov/NPILookup?Npi=1699823948","1699823948")</f>
        <v>1699823948</v>
      </c>
      <c r="E30448" t="s">
        <v>9793</v>
      </c>
    </row>
    <row r="30449" spans="1:5" x14ac:dyDescent="0.25">
      <c r="A30449" t="s">
        <v>9992</v>
      </c>
      <c r="B30449" t="s">
        <v>9993</v>
      </c>
      <c r="C30449" s="1" t="s">
        <v>23490</v>
      </c>
      <c r="D30449" s="1" t="str">
        <f>HYPERLINK("https://rhld.insurance.arkansas.gov/NPILookup?Npi=1699861708","1699861708")</f>
        <v>1699861708</v>
      </c>
      <c r="E30449" t="s">
        <v>17804</v>
      </c>
    </row>
    <row r="30450" spans="1:5" x14ac:dyDescent="0.25">
      <c r="A30450" t="s">
        <v>9992</v>
      </c>
      <c r="B30450" t="s">
        <v>9993</v>
      </c>
      <c r="C30450" s="1" t="s">
        <v>23490</v>
      </c>
      <c r="D30450" s="1" t="str">
        <f>HYPERLINK("https://rhld.insurance.arkansas.gov/NPILookup?Npi=1700934874","1700934874")</f>
        <v>1700934874</v>
      </c>
      <c r="E30450" t="s">
        <v>9798</v>
      </c>
    </row>
    <row r="30451" spans="1:5" x14ac:dyDescent="0.25">
      <c r="A30451" t="s">
        <v>9992</v>
      </c>
      <c r="B30451" t="s">
        <v>9993</v>
      </c>
      <c r="C30451" s="1" t="s">
        <v>23490</v>
      </c>
      <c r="D30451" s="1" t="str">
        <f>HYPERLINK("https://rhld.insurance.arkansas.gov/NPILookup?Npi=1710032479","1710032479")</f>
        <v>1710032479</v>
      </c>
      <c r="E30451" t="s">
        <v>10041</v>
      </c>
    </row>
    <row r="30452" spans="1:5" x14ac:dyDescent="0.25">
      <c r="A30452" t="s">
        <v>9992</v>
      </c>
      <c r="B30452" t="s">
        <v>9993</v>
      </c>
      <c r="C30452" s="1" t="s">
        <v>23490</v>
      </c>
      <c r="D30452" s="1" t="str">
        <f>HYPERLINK("https://rhld.insurance.arkansas.gov/NPILookup?Npi=1710253539","1710253539")</f>
        <v>1710253539</v>
      </c>
      <c r="E30452" t="s">
        <v>17341</v>
      </c>
    </row>
    <row r="30453" spans="1:5" x14ac:dyDescent="0.25">
      <c r="A30453" t="s">
        <v>9992</v>
      </c>
      <c r="B30453" t="s">
        <v>9993</v>
      </c>
      <c r="C30453" s="1" t="s">
        <v>23490</v>
      </c>
      <c r="D30453" s="1" t="str">
        <f>HYPERLINK("https://rhld.insurance.arkansas.gov/NPILookup?Npi=1710292578","1710292578")</f>
        <v>1710292578</v>
      </c>
      <c r="E30453" t="s">
        <v>12694</v>
      </c>
    </row>
    <row r="30454" spans="1:5" x14ac:dyDescent="0.25">
      <c r="A30454" t="s">
        <v>9992</v>
      </c>
      <c r="B30454" t="s">
        <v>9993</v>
      </c>
      <c r="C30454" s="1" t="s">
        <v>23490</v>
      </c>
      <c r="D30454" s="1" t="str">
        <f>HYPERLINK("https://rhld.insurance.arkansas.gov/NPILookup?Npi=1710413745","1710413745")</f>
        <v>1710413745</v>
      </c>
      <c r="E30454" t="s">
        <v>17805</v>
      </c>
    </row>
    <row r="30455" spans="1:5" x14ac:dyDescent="0.25">
      <c r="A30455" t="s">
        <v>9992</v>
      </c>
      <c r="B30455" t="s">
        <v>9993</v>
      </c>
      <c r="C30455" s="1" t="s">
        <v>23490</v>
      </c>
      <c r="D30455" s="1" t="str">
        <f>HYPERLINK("https://rhld.insurance.arkansas.gov/NPILookup?Npi=1720222607","1720222607")</f>
        <v>1720222607</v>
      </c>
      <c r="E30455" t="s">
        <v>13311</v>
      </c>
    </row>
    <row r="30456" spans="1:5" x14ac:dyDescent="0.25">
      <c r="A30456" t="s">
        <v>9992</v>
      </c>
      <c r="B30456" t="s">
        <v>9993</v>
      </c>
      <c r="C30456" s="1" t="s">
        <v>23490</v>
      </c>
      <c r="D30456" s="1" t="str">
        <f>HYPERLINK("https://rhld.insurance.arkansas.gov/NPILookup?Npi=1720242167","1720242167")</f>
        <v>1720242167</v>
      </c>
      <c r="E30456" t="s">
        <v>9814</v>
      </c>
    </row>
    <row r="30457" spans="1:5" x14ac:dyDescent="0.25">
      <c r="A30457" t="s">
        <v>9992</v>
      </c>
      <c r="B30457" t="s">
        <v>9993</v>
      </c>
      <c r="C30457" s="1" t="s">
        <v>23490</v>
      </c>
      <c r="D30457" s="1" t="str">
        <f>HYPERLINK("https://rhld.insurance.arkansas.gov/NPILookup?Npi=1720621386","1720621386")</f>
        <v>1720621386</v>
      </c>
      <c r="E30457" t="s">
        <v>20852</v>
      </c>
    </row>
    <row r="30458" spans="1:5" x14ac:dyDescent="0.25">
      <c r="A30458" t="s">
        <v>9992</v>
      </c>
      <c r="B30458" t="s">
        <v>9993</v>
      </c>
      <c r="C30458" s="1" t="s">
        <v>23490</v>
      </c>
      <c r="D30458" s="1" t="str">
        <f>HYPERLINK("https://rhld.insurance.arkansas.gov/NPILookup?Npi=1730222647","1730222647")</f>
        <v>1730222647</v>
      </c>
      <c r="E30458" t="s">
        <v>10042</v>
      </c>
    </row>
    <row r="30459" spans="1:5" x14ac:dyDescent="0.25">
      <c r="A30459" t="s">
        <v>9992</v>
      </c>
      <c r="B30459" t="s">
        <v>9993</v>
      </c>
      <c r="C30459" s="1" t="s">
        <v>23490</v>
      </c>
      <c r="D30459" s="1" t="str">
        <f>HYPERLINK("https://rhld.insurance.arkansas.gov/NPILookup?Npi=1730276106","1730276106")</f>
        <v>1730276106</v>
      </c>
      <c r="E30459" t="s">
        <v>12695</v>
      </c>
    </row>
    <row r="30460" spans="1:5" x14ac:dyDescent="0.25">
      <c r="A30460" t="s">
        <v>9992</v>
      </c>
      <c r="B30460" t="s">
        <v>9993</v>
      </c>
      <c r="C30460" s="1" t="s">
        <v>23490</v>
      </c>
      <c r="D30460" s="1" t="str">
        <f>HYPERLINK("https://rhld.insurance.arkansas.gov/NPILookup?Npi=1730283334","1730283334")</f>
        <v>1730283334</v>
      </c>
      <c r="E30460" t="s">
        <v>9822</v>
      </c>
    </row>
    <row r="30461" spans="1:5" x14ac:dyDescent="0.25">
      <c r="A30461" t="s">
        <v>9992</v>
      </c>
      <c r="B30461" t="s">
        <v>9993</v>
      </c>
      <c r="C30461" s="1" t="s">
        <v>23490</v>
      </c>
      <c r="D30461" s="1" t="str">
        <f>HYPERLINK("https://rhld.insurance.arkansas.gov/NPILookup?Npi=1730776063","1730776063")</f>
        <v>1730776063</v>
      </c>
      <c r="E30461" t="s">
        <v>20837</v>
      </c>
    </row>
    <row r="30462" spans="1:5" x14ac:dyDescent="0.25">
      <c r="A30462" t="s">
        <v>9992</v>
      </c>
      <c r="B30462" t="s">
        <v>9993</v>
      </c>
      <c r="C30462" s="1" t="s">
        <v>23490</v>
      </c>
      <c r="D30462" s="1" t="str">
        <f>HYPERLINK("https://rhld.insurance.arkansas.gov/NPILookup?Npi=1740382118","1740382118")</f>
        <v>1740382118</v>
      </c>
      <c r="E30462" t="s">
        <v>10043</v>
      </c>
    </row>
    <row r="30463" spans="1:5" x14ac:dyDescent="0.25">
      <c r="A30463" t="s">
        <v>9992</v>
      </c>
      <c r="B30463" t="s">
        <v>9993</v>
      </c>
      <c r="C30463" s="1" t="s">
        <v>23490</v>
      </c>
      <c r="D30463" s="1" t="str">
        <f>HYPERLINK("https://rhld.insurance.arkansas.gov/NPILookup?Npi=1740390020","1740390020")</f>
        <v>1740390020</v>
      </c>
      <c r="E30463" t="s">
        <v>12696</v>
      </c>
    </row>
    <row r="30464" spans="1:5" x14ac:dyDescent="0.25">
      <c r="A30464" t="s">
        <v>9992</v>
      </c>
      <c r="B30464" t="s">
        <v>9993</v>
      </c>
      <c r="C30464" s="1" t="s">
        <v>23490</v>
      </c>
      <c r="D30464" s="1" t="str">
        <f>HYPERLINK("https://rhld.insurance.arkansas.gov/NPILookup?Npi=1740395250","1740395250")</f>
        <v>1740395250</v>
      </c>
      <c r="E30464" t="s">
        <v>12527</v>
      </c>
    </row>
    <row r="30465" spans="1:5" x14ac:dyDescent="0.25">
      <c r="A30465" t="s">
        <v>9992</v>
      </c>
      <c r="B30465" t="s">
        <v>9993</v>
      </c>
      <c r="C30465" s="1" t="s">
        <v>23490</v>
      </c>
      <c r="D30465" s="1" t="str">
        <f>HYPERLINK("https://rhld.insurance.arkansas.gov/NPILookup?Npi=1740508217","1740508217")</f>
        <v>1740508217</v>
      </c>
      <c r="E30465" t="s">
        <v>9831</v>
      </c>
    </row>
    <row r="30466" spans="1:5" x14ac:dyDescent="0.25">
      <c r="A30466" t="s">
        <v>9992</v>
      </c>
      <c r="B30466" t="s">
        <v>9993</v>
      </c>
      <c r="C30466" s="1" t="s">
        <v>23490</v>
      </c>
      <c r="D30466" s="1" t="str">
        <f>HYPERLINK("https://rhld.insurance.arkansas.gov/NPILookup?Npi=1740754753","1740754753")</f>
        <v>1740754753</v>
      </c>
      <c r="E30466" t="s">
        <v>19217</v>
      </c>
    </row>
    <row r="30467" spans="1:5" x14ac:dyDescent="0.25">
      <c r="A30467" t="s">
        <v>9992</v>
      </c>
      <c r="B30467" t="s">
        <v>9993</v>
      </c>
      <c r="C30467" s="1" t="s">
        <v>23490</v>
      </c>
      <c r="D30467" s="1" t="str">
        <f>HYPERLINK("https://rhld.insurance.arkansas.gov/NPILookup?Npi=1740950575","1740950575")</f>
        <v>1740950575</v>
      </c>
      <c r="E30467" t="s">
        <v>20853</v>
      </c>
    </row>
    <row r="30468" spans="1:5" x14ac:dyDescent="0.25">
      <c r="A30468" t="s">
        <v>9992</v>
      </c>
      <c r="B30468" t="s">
        <v>9993</v>
      </c>
      <c r="C30468" s="1" t="s">
        <v>23490</v>
      </c>
      <c r="D30468" s="1" t="str">
        <f>HYPERLINK("https://rhld.insurance.arkansas.gov/NPILookup?Npi=1750347498","1750347498")</f>
        <v>1750347498</v>
      </c>
      <c r="E30468" t="s">
        <v>12529</v>
      </c>
    </row>
    <row r="30469" spans="1:5" x14ac:dyDescent="0.25">
      <c r="A30469" t="s">
        <v>9992</v>
      </c>
      <c r="B30469" t="s">
        <v>9993</v>
      </c>
      <c r="C30469" s="1" t="s">
        <v>23490</v>
      </c>
      <c r="D30469" s="1" t="str">
        <f>HYPERLINK("https://rhld.insurance.arkansas.gov/NPILookup?Npi=1750361309","1750361309")</f>
        <v>1750361309</v>
      </c>
      <c r="E30469" t="s">
        <v>12697</v>
      </c>
    </row>
    <row r="30470" spans="1:5" x14ac:dyDescent="0.25">
      <c r="A30470" t="s">
        <v>9992</v>
      </c>
      <c r="B30470" t="s">
        <v>9993</v>
      </c>
      <c r="C30470" s="1" t="s">
        <v>23490</v>
      </c>
      <c r="D30470" s="1" t="str">
        <f>HYPERLINK("https://rhld.insurance.arkansas.gov/NPILookup?Npi=1750617486","1750617486")</f>
        <v>1750617486</v>
      </c>
      <c r="E30470" t="s">
        <v>10044</v>
      </c>
    </row>
    <row r="30471" spans="1:5" x14ac:dyDescent="0.25">
      <c r="A30471" t="s">
        <v>9992</v>
      </c>
      <c r="B30471" t="s">
        <v>9993</v>
      </c>
      <c r="C30471" s="1" t="s">
        <v>23490</v>
      </c>
      <c r="D30471" s="1" t="str">
        <f>HYPERLINK("https://rhld.insurance.arkansas.gov/NPILookup?Npi=1750796322","1750796322")</f>
        <v>1750796322</v>
      </c>
      <c r="E30471" t="s">
        <v>18615</v>
      </c>
    </row>
    <row r="30472" spans="1:5" x14ac:dyDescent="0.25">
      <c r="A30472" t="s">
        <v>9992</v>
      </c>
      <c r="B30472" t="s">
        <v>9993</v>
      </c>
      <c r="C30472" s="1" t="s">
        <v>8427</v>
      </c>
      <c r="D30472" s="1" t="str">
        <f>HYPERLINK("https://rhld.insurance.arkansas.gov/NPILookup?Npi=1750884938","1750884938")</f>
        <v>1750884938</v>
      </c>
      <c r="E30472" t="s">
        <v>23381</v>
      </c>
    </row>
    <row r="30473" spans="1:5" x14ac:dyDescent="0.25">
      <c r="A30473" t="s">
        <v>9992</v>
      </c>
      <c r="B30473" t="s">
        <v>9993</v>
      </c>
      <c r="C30473" s="1" t="s">
        <v>23490</v>
      </c>
      <c r="D30473" s="1" t="str">
        <f>HYPERLINK("https://rhld.insurance.arkansas.gov/NPILookup?Npi=1760482046","1760482046")</f>
        <v>1760482046</v>
      </c>
      <c r="E30473" t="s">
        <v>12698</v>
      </c>
    </row>
    <row r="30474" spans="1:5" x14ac:dyDescent="0.25">
      <c r="A30474" t="s">
        <v>9992</v>
      </c>
      <c r="B30474" t="s">
        <v>9993</v>
      </c>
      <c r="C30474" s="1" t="s">
        <v>23490</v>
      </c>
      <c r="D30474" s="1" t="str">
        <f>HYPERLINK("https://rhld.insurance.arkansas.gov/NPILookup?Npi=1760489496","1760489496")</f>
        <v>1760489496</v>
      </c>
      <c r="E30474" t="s">
        <v>12699</v>
      </c>
    </row>
    <row r="30475" spans="1:5" x14ac:dyDescent="0.25">
      <c r="A30475" t="s">
        <v>9992</v>
      </c>
      <c r="B30475" t="s">
        <v>9993</v>
      </c>
      <c r="C30475" s="1" t="s">
        <v>23490</v>
      </c>
      <c r="D30475" s="1" t="str">
        <f>HYPERLINK("https://rhld.insurance.arkansas.gov/NPILookup?Npi=1760492953","1760492953")</f>
        <v>1760492953</v>
      </c>
      <c r="E30475" t="s">
        <v>10045</v>
      </c>
    </row>
    <row r="30476" spans="1:5" x14ac:dyDescent="0.25">
      <c r="A30476" t="s">
        <v>9992</v>
      </c>
      <c r="B30476" t="s">
        <v>9993</v>
      </c>
      <c r="C30476" s="1" t="s">
        <v>23490</v>
      </c>
      <c r="D30476" s="1" t="str">
        <f>HYPERLINK("https://rhld.insurance.arkansas.gov/NPILookup?Npi=1760993414","1760993414")</f>
        <v>1760993414</v>
      </c>
      <c r="E30476" t="s">
        <v>17793</v>
      </c>
    </row>
    <row r="30477" spans="1:5" x14ac:dyDescent="0.25">
      <c r="A30477" t="s">
        <v>9992</v>
      </c>
      <c r="B30477" t="s">
        <v>9993</v>
      </c>
      <c r="C30477" s="1" t="s">
        <v>23490</v>
      </c>
      <c r="D30477" s="1" t="str">
        <f>HYPERLINK("https://rhld.insurance.arkansas.gov/NPILookup?Npi=1770107641","1770107641")</f>
        <v>1770107641</v>
      </c>
      <c r="E30477" t="s">
        <v>17806</v>
      </c>
    </row>
    <row r="30478" spans="1:5" x14ac:dyDescent="0.25">
      <c r="A30478" t="s">
        <v>9992</v>
      </c>
      <c r="B30478" t="s">
        <v>9993</v>
      </c>
      <c r="C30478" s="1" t="s">
        <v>23490</v>
      </c>
      <c r="D30478" s="1" t="str">
        <f>HYPERLINK("https://rhld.insurance.arkansas.gov/NPILookup?Npi=1770678807","1770678807")</f>
        <v>1770678807</v>
      </c>
      <c r="E30478" t="s">
        <v>16812</v>
      </c>
    </row>
    <row r="30479" spans="1:5" x14ac:dyDescent="0.25">
      <c r="A30479" t="s">
        <v>9992</v>
      </c>
      <c r="B30479" t="s">
        <v>9993</v>
      </c>
      <c r="C30479" s="1" t="s">
        <v>23490</v>
      </c>
      <c r="D30479" s="1" t="str">
        <f>HYPERLINK("https://rhld.insurance.arkansas.gov/NPILookup?Npi=1770687790","1770687790")</f>
        <v>1770687790</v>
      </c>
      <c r="E30479" t="s">
        <v>21353</v>
      </c>
    </row>
    <row r="30480" spans="1:5" x14ac:dyDescent="0.25">
      <c r="A30480" t="s">
        <v>9992</v>
      </c>
      <c r="B30480" t="s">
        <v>9993</v>
      </c>
      <c r="C30480" s="1" t="s">
        <v>23490</v>
      </c>
      <c r="D30480" s="1" t="str">
        <f>HYPERLINK("https://rhld.insurance.arkansas.gov/NPILookup?Npi=1780690065","1780690065")</f>
        <v>1780690065</v>
      </c>
      <c r="E30480" t="s">
        <v>10046</v>
      </c>
    </row>
    <row r="30481" spans="1:5" x14ac:dyDescent="0.25">
      <c r="A30481" t="s">
        <v>9992</v>
      </c>
      <c r="B30481" t="s">
        <v>9993</v>
      </c>
      <c r="C30481" s="1" t="s">
        <v>23490</v>
      </c>
      <c r="D30481" s="1" t="str">
        <f>HYPERLINK("https://rhld.insurance.arkansas.gov/NPILookup?Npi=1780722959","1780722959")</f>
        <v>1780722959</v>
      </c>
      <c r="E30481" t="s">
        <v>12700</v>
      </c>
    </row>
    <row r="30482" spans="1:5" x14ac:dyDescent="0.25">
      <c r="A30482" t="s">
        <v>9992</v>
      </c>
      <c r="B30482" t="s">
        <v>9993</v>
      </c>
      <c r="C30482" s="1" t="s">
        <v>23490</v>
      </c>
      <c r="D30482" s="1" t="str">
        <f>HYPERLINK("https://rhld.insurance.arkansas.gov/NPILookup?Npi=1780742023","1780742023")</f>
        <v>1780742023</v>
      </c>
      <c r="E30482" t="s">
        <v>9859</v>
      </c>
    </row>
    <row r="30483" spans="1:5" x14ac:dyDescent="0.25">
      <c r="A30483" t="s">
        <v>9992</v>
      </c>
      <c r="B30483" t="s">
        <v>9993</v>
      </c>
      <c r="C30483" s="1" t="s">
        <v>23490</v>
      </c>
      <c r="D30483" s="1" t="str">
        <f>HYPERLINK("https://rhld.insurance.arkansas.gov/NPILookup?Npi=1780772962","1780772962")</f>
        <v>1780772962</v>
      </c>
      <c r="E30483" t="s">
        <v>10047</v>
      </c>
    </row>
    <row r="30484" spans="1:5" x14ac:dyDescent="0.25">
      <c r="A30484" t="s">
        <v>9992</v>
      </c>
      <c r="B30484" t="s">
        <v>9993</v>
      </c>
      <c r="C30484" s="1" t="s">
        <v>23490</v>
      </c>
      <c r="D30484" s="1" t="str">
        <f>HYPERLINK("https://rhld.insurance.arkansas.gov/NPILookup?Npi=1780779876","1780779876")</f>
        <v>1780779876</v>
      </c>
      <c r="E30484" t="s">
        <v>10048</v>
      </c>
    </row>
    <row r="30485" spans="1:5" x14ac:dyDescent="0.25">
      <c r="A30485" t="s">
        <v>9992</v>
      </c>
      <c r="B30485" t="s">
        <v>9993</v>
      </c>
      <c r="C30485" s="1" t="s">
        <v>23490</v>
      </c>
      <c r="D30485" s="1" t="str">
        <f>HYPERLINK("https://rhld.insurance.arkansas.gov/NPILookup?Npi=1780798454","1780798454")</f>
        <v>1780798454</v>
      </c>
      <c r="E30485" t="s">
        <v>10049</v>
      </c>
    </row>
    <row r="30486" spans="1:5" x14ac:dyDescent="0.25">
      <c r="A30486" t="s">
        <v>9992</v>
      </c>
      <c r="B30486" t="s">
        <v>9993</v>
      </c>
      <c r="C30486" s="1" t="s">
        <v>23490</v>
      </c>
      <c r="D30486" s="1" t="str">
        <f>HYPERLINK("https://rhld.insurance.arkansas.gov/NPILookup?Npi=1790852838","1790852838")</f>
        <v>1790852838</v>
      </c>
      <c r="E30486" t="s">
        <v>12701</v>
      </c>
    </row>
    <row r="30487" spans="1:5" x14ac:dyDescent="0.25">
      <c r="A30487" t="s">
        <v>9992</v>
      </c>
      <c r="B30487" t="s">
        <v>9993</v>
      </c>
      <c r="C30487" s="1" t="s">
        <v>23490</v>
      </c>
      <c r="D30487" s="1" t="str">
        <f>HYPERLINK("https://rhld.insurance.arkansas.gov/NPILookup?Npi=1790875912","1790875912")</f>
        <v>1790875912</v>
      </c>
      <c r="E30487" t="s">
        <v>12702</v>
      </c>
    </row>
    <row r="30488" spans="1:5" x14ac:dyDescent="0.25">
      <c r="A30488" t="s">
        <v>9992</v>
      </c>
      <c r="B30488" t="s">
        <v>9993</v>
      </c>
      <c r="C30488" s="1" t="s">
        <v>23490</v>
      </c>
      <c r="D30488" s="1" t="str">
        <f>HYPERLINK("https://rhld.insurance.arkansas.gov/NPILookup?Npi=1790881845","1790881845")</f>
        <v>1790881845</v>
      </c>
      <c r="E30488" t="s">
        <v>18605</v>
      </c>
    </row>
    <row r="30489" spans="1:5" x14ac:dyDescent="0.25">
      <c r="A30489" t="s">
        <v>9992</v>
      </c>
      <c r="B30489" t="s">
        <v>9993</v>
      </c>
      <c r="C30489" s="1" t="s">
        <v>23490</v>
      </c>
      <c r="D30489" s="1" t="str">
        <f>HYPERLINK("https://rhld.insurance.arkansas.gov/NPILookup?Npi=1801091012","1801091012")</f>
        <v>1801091012</v>
      </c>
      <c r="E30489" t="s">
        <v>9865</v>
      </c>
    </row>
    <row r="30490" spans="1:5" x14ac:dyDescent="0.25">
      <c r="A30490" t="s">
        <v>9992</v>
      </c>
      <c r="B30490" t="s">
        <v>9993</v>
      </c>
      <c r="C30490" s="1" t="s">
        <v>23490</v>
      </c>
      <c r="D30490" s="1" t="str">
        <f>HYPERLINK("https://rhld.insurance.arkansas.gov/NPILookup?Npi=1801181672","1801181672")</f>
        <v>1801181672</v>
      </c>
      <c r="E30490" t="s">
        <v>12553</v>
      </c>
    </row>
    <row r="30491" spans="1:5" x14ac:dyDescent="0.25">
      <c r="A30491" t="s">
        <v>9992</v>
      </c>
      <c r="B30491" t="s">
        <v>9993</v>
      </c>
      <c r="C30491" s="1" t="s">
        <v>23490</v>
      </c>
      <c r="D30491" s="1" t="str">
        <f>HYPERLINK("https://rhld.insurance.arkansas.gov/NPILookup?Npi=1801298617","1801298617")</f>
        <v>1801298617</v>
      </c>
      <c r="E30491" t="s">
        <v>14624</v>
      </c>
    </row>
    <row r="30492" spans="1:5" x14ac:dyDescent="0.25">
      <c r="A30492" t="s">
        <v>9992</v>
      </c>
      <c r="B30492" t="s">
        <v>9993</v>
      </c>
      <c r="C30492" s="1" t="s">
        <v>23490</v>
      </c>
      <c r="D30492" s="1" t="str">
        <f>HYPERLINK("https://rhld.insurance.arkansas.gov/NPILookup?Npi=1801328240","1801328240")</f>
        <v>1801328240</v>
      </c>
      <c r="E30492" t="s">
        <v>14625</v>
      </c>
    </row>
    <row r="30493" spans="1:5" x14ac:dyDescent="0.25">
      <c r="A30493" t="s">
        <v>9992</v>
      </c>
      <c r="B30493" t="s">
        <v>9993</v>
      </c>
      <c r="C30493" s="1" t="s">
        <v>23490</v>
      </c>
      <c r="D30493" s="1" t="str">
        <f>HYPERLINK("https://rhld.insurance.arkansas.gov/NPILookup?Npi=1811913999","1811913999")</f>
        <v>1811913999</v>
      </c>
      <c r="E30493" t="s">
        <v>9875</v>
      </c>
    </row>
    <row r="30494" spans="1:5" x14ac:dyDescent="0.25">
      <c r="A30494" t="s">
        <v>9992</v>
      </c>
      <c r="B30494" t="s">
        <v>9993</v>
      </c>
      <c r="C30494" s="1" t="s">
        <v>23490</v>
      </c>
      <c r="D30494" s="1" t="str">
        <f>HYPERLINK("https://rhld.insurance.arkansas.gov/NPILookup?Npi=1821643206","1821643206")</f>
        <v>1821643206</v>
      </c>
      <c r="E30494" t="s">
        <v>19203</v>
      </c>
    </row>
    <row r="30495" spans="1:5" x14ac:dyDescent="0.25">
      <c r="A30495" t="s">
        <v>9992</v>
      </c>
      <c r="B30495" t="s">
        <v>9993</v>
      </c>
      <c r="C30495" s="1" t="s">
        <v>23490</v>
      </c>
      <c r="D30495" s="1" t="str">
        <f>HYPERLINK("https://rhld.insurance.arkansas.gov/NPILookup?Npi=1831301951","1831301951")</f>
        <v>1831301951</v>
      </c>
      <c r="E30495" t="s">
        <v>9888</v>
      </c>
    </row>
    <row r="30496" spans="1:5" x14ac:dyDescent="0.25">
      <c r="A30496" t="s">
        <v>9992</v>
      </c>
      <c r="B30496" t="s">
        <v>9993</v>
      </c>
      <c r="C30496" s="1" t="s">
        <v>23490</v>
      </c>
      <c r="D30496" s="1" t="str">
        <f>HYPERLINK("https://rhld.insurance.arkansas.gov/NPILookup?Npi=1831350651","1831350651")</f>
        <v>1831350651</v>
      </c>
      <c r="E30496" t="s">
        <v>10050</v>
      </c>
    </row>
    <row r="30497" spans="1:5" x14ac:dyDescent="0.25">
      <c r="A30497" t="s">
        <v>9992</v>
      </c>
      <c r="B30497" t="s">
        <v>9993</v>
      </c>
      <c r="C30497" s="1" t="s">
        <v>23490</v>
      </c>
      <c r="D30497" s="1" t="str">
        <f>HYPERLINK("https://rhld.insurance.arkansas.gov/NPILookup?Npi=1831381037","1831381037")</f>
        <v>1831381037</v>
      </c>
      <c r="E30497" t="s">
        <v>12703</v>
      </c>
    </row>
    <row r="30498" spans="1:5" x14ac:dyDescent="0.25">
      <c r="A30498" t="s">
        <v>9992</v>
      </c>
      <c r="B30498" t="s">
        <v>9993</v>
      </c>
      <c r="C30498" s="1" t="s">
        <v>23490</v>
      </c>
      <c r="D30498" s="1" t="str">
        <f>HYPERLINK("https://rhld.insurance.arkansas.gov/NPILookup?Npi=1831709633","1831709633")</f>
        <v>1831709633</v>
      </c>
      <c r="E30498" t="s">
        <v>22805</v>
      </c>
    </row>
    <row r="30499" spans="1:5" x14ac:dyDescent="0.25">
      <c r="A30499" t="s">
        <v>9992</v>
      </c>
      <c r="B30499" t="s">
        <v>9993</v>
      </c>
      <c r="C30499" s="1" t="s">
        <v>23490</v>
      </c>
      <c r="D30499" s="1" t="str">
        <f>HYPERLINK("https://rhld.insurance.arkansas.gov/NPILookup?Npi=1841272390","1841272390")</f>
        <v>1841272390</v>
      </c>
      <c r="E30499" t="s">
        <v>12704</v>
      </c>
    </row>
    <row r="30500" spans="1:5" x14ac:dyDescent="0.25">
      <c r="A30500" t="s">
        <v>9992</v>
      </c>
      <c r="B30500" t="s">
        <v>9993</v>
      </c>
      <c r="C30500" s="1" t="s">
        <v>23490</v>
      </c>
      <c r="D30500" s="1" t="str">
        <f>HYPERLINK("https://rhld.insurance.arkansas.gov/NPILookup?Npi=1841356169","1841356169")</f>
        <v>1841356169</v>
      </c>
      <c r="E30500" t="s">
        <v>12705</v>
      </c>
    </row>
    <row r="30501" spans="1:5" x14ac:dyDescent="0.25">
      <c r="A30501" t="s">
        <v>9992</v>
      </c>
      <c r="B30501" t="s">
        <v>9993</v>
      </c>
      <c r="C30501" s="1" t="s">
        <v>23490</v>
      </c>
      <c r="D30501" s="1" t="str">
        <f>HYPERLINK("https://rhld.insurance.arkansas.gov/NPILookup?Npi=1841499340","1841499340")</f>
        <v>1841499340</v>
      </c>
      <c r="E30501" t="s">
        <v>12706</v>
      </c>
    </row>
    <row r="30502" spans="1:5" x14ac:dyDescent="0.25">
      <c r="A30502" t="s">
        <v>9992</v>
      </c>
      <c r="B30502" t="s">
        <v>9993</v>
      </c>
      <c r="C30502" s="1" t="s">
        <v>23490</v>
      </c>
      <c r="D30502" s="1" t="str">
        <f>HYPERLINK("https://rhld.insurance.arkansas.gov/NPILookup?Npi=1841753795","1841753795")</f>
        <v>1841753795</v>
      </c>
      <c r="E30502" t="s">
        <v>19204</v>
      </c>
    </row>
    <row r="30503" spans="1:5" x14ac:dyDescent="0.25">
      <c r="A30503" t="s">
        <v>9992</v>
      </c>
      <c r="B30503" t="s">
        <v>9993</v>
      </c>
      <c r="C30503" s="1" t="s">
        <v>23490</v>
      </c>
      <c r="D30503" s="1" t="str">
        <f>HYPERLINK("https://rhld.insurance.arkansas.gov/NPILookup?Npi=1851389050","1851389050")</f>
        <v>1851389050</v>
      </c>
      <c r="E30503" t="s">
        <v>12707</v>
      </c>
    </row>
    <row r="30504" spans="1:5" x14ac:dyDescent="0.25">
      <c r="A30504" t="s">
        <v>9992</v>
      </c>
      <c r="B30504" t="s">
        <v>9993</v>
      </c>
      <c r="C30504" s="1" t="s">
        <v>23490</v>
      </c>
      <c r="D30504" s="1" t="str">
        <f>HYPERLINK("https://rhld.insurance.arkansas.gov/NPILookup?Npi=1861611311","1861611311")</f>
        <v>1861611311</v>
      </c>
      <c r="E30504" t="s">
        <v>9909</v>
      </c>
    </row>
    <row r="30505" spans="1:5" x14ac:dyDescent="0.25">
      <c r="A30505" t="s">
        <v>9992</v>
      </c>
      <c r="B30505" t="s">
        <v>9993</v>
      </c>
      <c r="C30505" s="1" t="s">
        <v>23490</v>
      </c>
      <c r="D30505" s="1" t="str">
        <f>HYPERLINK("https://rhld.insurance.arkansas.gov/NPILookup?Npi=1861718025","1861718025")</f>
        <v>1861718025</v>
      </c>
      <c r="E30505" t="s">
        <v>12583</v>
      </c>
    </row>
    <row r="30506" spans="1:5" x14ac:dyDescent="0.25">
      <c r="A30506" t="s">
        <v>9992</v>
      </c>
      <c r="B30506" t="s">
        <v>9993</v>
      </c>
      <c r="C30506" s="1" t="s">
        <v>23490</v>
      </c>
      <c r="D30506" s="1" t="str">
        <f>HYPERLINK("https://rhld.insurance.arkansas.gov/NPILookup?Npi=1871553958","1871553958")</f>
        <v>1871553958</v>
      </c>
      <c r="E30506" t="s">
        <v>10051</v>
      </c>
    </row>
    <row r="30507" spans="1:5" x14ac:dyDescent="0.25">
      <c r="A30507" t="s">
        <v>9992</v>
      </c>
      <c r="B30507" t="s">
        <v>9993</v>
      </c>
      <c r="C30507" s="1" t="s">
        <v>23490</v>
      </c>
      <c r="D30507" s="1" t="str">
        <f>HYPERLINK("https://rhld.insurance.arkansas.gov/NPILookup?Npi=1871887422","1871887422")</f>
        <v>1871887422</v>
      </c>
      <c r="E30507" t="s">
        <v>12593</v>
      </c>
    </row>
    <row r="30508" spans="1:5" x14ac:dyDescent="0.25">
      <c r="A30508" t="s">
        <v>9992</v>
      </c>
      <c r="B30508" t="s">
        <v>9993</v>
      </c>
      <c r="C30508" s="1" t="s">
        <v>23490</v>
      </c>
      <c r="D30508" s="1" t="str">
        <f>HYPERLINK("https://rhld.insurance.arkansas.gov/NPILookup?Npi=1881022499","1881022499")</f>
        <v>1881022499</v>
      </c>
      <c r="E30508" t="s">
        <v>12708</v>
      </c>
    </row>
    <row r="30509" spans="1:5" x14ac:dyDescent="0.25">
      <c r="A30509" t="s">
        <v>9992</v>
      </c>
      <c r="B30509" t="s">
        <v>9993</v>
      </c>
      <c r="C30509" s="1" t="s">
        <v>23490</v>
      </c>
      <c r="D30509" s="1" t="str">
        <f>HYPERLINK("https://rhld.insurance.arkansas.gov/NPILookup?Npi=1881710945","1881710945")</f>
        <v>1881710945</v>
      </c>
      <c r="E30509" t="s">
        <v>9913</v>
      </c>
    </row>
    <row r="30510" spans="1:5" x14ac:dyDescent="0.25">
      <c r="A30510" t="s">
        <v>9992</v>
      </c>
      <c r="B30510" t="s">
        <v>9993</v>
      </c>
      <c r="C30510" s="1" t="s">
        <v>23490</v>
      </c>
      <c r="D30510" s="1" t="str">
        <f>HYPERLINK("https://rhld.insurance.arkansas.gov/NPILookup?Npi=1881898039","1881898039")</f>
        <v>1881898039</v>
      </c>
      <c r="E30510" t="s">
        <v>9920</v>
      </c>
    </row>
    <row r="30511" spans="1:5" x14ac:dyDescent="0.25">
      <c r="A30511" t="s">
        <v>9992</v>
      </c>
      <c r="B30511" t="s">
        <v>9993</v>
      </c>
      <c r="C30511" s="1" t="s">
        <v>23490</v>
      </c>
      <c r="D30511" s="1" t="str">
        <f>HYPERLINK("https://rhld.insurance.arkansas.gov/NPILookup?Npi=1891785655","1891785655")</f>
        <v>1891785655</v>
      </c>
      <c r="E30511" t="s">
        <v>12290</v>
      </c>
    </row>
    <row r="30512" spans="1:5" x14ac:dyDescent="0.25">
      <c r="A30512" t="s">
        <v>9992</v>
      </c>
      <c r="B30512" t="s">
        <v>9993</v>
      </c>
      <c r="C30512" s="1" t="s">
        <v>23490</v>
      </c>
      <c r="D30512" s="1" t="str">
        <f>HYPERLINK("https://rhld.insurance.arkansas.gov/NPILookup?Npi=1891855789","1891855789")</f>
        <v>1891855789</v>
      </c>
      <c r="E30512" t="s">
        <v>9926</v>
      </c>
    </row>
    <row r="30513" spans="1:5" x14ac:dyDescent="0.25">
      <c r="A30513" t="s">
        <v>9992</v>
      </c>
      <c r="B30513" t="s">
        <v>9993</v>
      </c>
      <c r="C30513" s="1" t="s">
        <v>23490</v>
      </c>
      <c r="D30513" s="1" t="str">
        <f>HYPERLINK("https://rhld.insurance.arkansas.gov/NPILookup?Npi=1891875738","1891875738")</f>
        <v>1891875738</v>
      </c>
      <c r="E30513" t="s">
        <v>9927</v>
      </c>
    </row>
    <row r="30514" spans="1:5" x14ac:dyDescent="0.25">
      <c r="A30514" t="s">
        <v>9992</v>
      </c>
      <c r="B30514" t="s">
        <v>9993</v>
      </c>
      <c r="C30514" s="1" t="s">
        <v>23490</v>
      </c>
      <c r="D30514" s="1" t="str">
        <f>HYPERLINK("https://rhld.insurance.arkansas.gov/NPILookup?Npi=1891899811","1891899811")</f>
        <v>1891899811</v>
      </c>
      <c r="E30514" t="s">
        <v>19218</v>
      </c>
    </row>
    <row r="30515" spans="1:5" x14ac:dyDescent="0.25">
      <c r="A30515" t="s">
        <v>9992</v>
      </c>
      <c r="B30515" t="s">
        <v>9993</v>
      </c>
      <c r="C30515" s="1" t="s">
        <v>23490</v>
      </c>
      <c r="D30515" s="1" t="str">
        <f>HYPERLINK("https://rhld.insurance.arkansas.gov/NPILookup?Npi=1912002726","1912002726")</f>
        <v>1912002726</v>
      </c>
      <c r="E30515" t="s">
        <v>22806</v>
      </c>
    </row>
    <row r="30516" spans="1:5" x14ac:dyDescent="0.25">
      <c r="A30516" t="s">
        <v>9992</v>
      </c>
      <c r="B30516" t="s">
        <v>9993</v>
      </c>
      <c r="C30516" s="1" t="s">
        <v>23490</v>
      </c>
      <c r="D30516" s="1" t="str">
        <f>HYPERLINK("https://rhld.insurance.arkansas.gov/NPILookup?Npi=1912967431","1912967431")</f>
        <v>1912967431</v>
      </c>
      <c r="E30516" t="s">
        <v>21354</v>
      </c>
    </row>
    <row r="30517" spans="1:5" x14ac:dyDescent="0.25">
      <c r="A30517" t="s">
        <v>9992</v>
      </c>
      <c r="B30517" t="s">
        <v>9993</v>
      </c>
      <c r="C30517" s="1" t="s">
        <v>23490</v>
      </c>
      <c r="D30517" s="1" t="str">
        <f>HYPERLINK("https://rhld.insurance.arkansas.gov/NPILookup?Npi=1922197250","1922197250")</f>
        <v>1922197250</v>
      </c>
      <c r="E30517" t="s">
        <v>12709</v>
      </c>
    </row>
    <row r="30518" spans="1:5" x14ac:dyDescent="0.25">
      <c r="A30518" t="s">
        <v>9992</v>
      </c>
      <c r="B30518" t="s">
        <v>9993</v>
      </c>
      <c r="C30518" s="1" t="s">
        <v>23490</v>
      </c>
      <c r="D30518" s="1" t="str">
        <f>HYPERLINK("https://rhld.insurance.arkansas.gov/NPILookup?Npi=1922235597","1922235597")</f>
        <v>1922235597</v>
      </c>
      <c r="E30518" t="s">
        <v>12710</v>
      </c>
    </row>
    <row r="30519" spans="1:5" x14ac:dyDescent="0.25">
      <c r="A30519" t="s">
        <v>9992</v>
      </c>
      <c r="B30519" t="s">
        <v>9993</v>
      </c>
      <c r="C30519" s="1" t="s">
        <v>23490</v>
      </c>
      <c r="D30519" s="1" t="str">
        <f>HYPERLINK("https://rhld.insurance.arkansas.gov/NPILookup?Npi=1922247667","1922247667")</f>
        <v>1922247667</v>
      </c>
      <c r="E30519" t="s">
        <v>10052</v>
      </c>
    </row>
    <row r="30520" spans="1:5" x14ac:dyDescent="0.25">
      <c r="A30520" t="s">
        <v>9992</v>
      </c>
      <c r="B30520" t="s">
        <v>9993</v>
      </c>
      <c r="C30520" s="1" t="s">
        <v>23490</v>
      </c>
      <c r="D30520" s="1" t="str">
        <f>HYPERLINK("https://rhld.insurance.arkansas.gov/NPILookup?Npi=1922451822","1922451822")</f>
        <v>1922451822</v>
      </c>
      <c r="E30520" t="s">
        <v>14626</v>
      </c>
    </row>
    <row r="30521" spans="1:5" x14ac:dyDescent="0.25">
      <c r="A30521" t="s">
        <v>9992</v>
      </c>
      <c r="B30521" t="s">
        <v>9993</v>
      </c>
      <c r="C30521" s="1" t="s">
        <v>23490</v>
      </c>
      <c r="D30521" s="1" t="str">
        <f>HYPERLINK("https://rhld.insurance.arkansas.gov/NPILookup?Npi=1922485507","1922485507")</f>
        <v>1922485507</v>
      </c>
      <c r="E30521" t="s">
        <v>17333</v>
      </c>
    </row>
    <row r="30522" spans="1:5" x14ac:dyDescent="0.25">
      <c r="A30522" t="s">
        <v>9992</v>
      </c>
      <c r="B30522" t="s">
        <v>9993</v>
      </c>
      <c r="C30522" s="1" t="s">
        <v>23490</v>
      </c>
      <c r="D30522" s="1" t="str">
        <f>HYPERLINK("https://rhld.insurance.arkansas.gov/NPILookup?Npi=1932166139","1932166139")</f>
        <v>1932166139</v>
      </c>
      <c r="E30522" t="s">
        <v>2833</v>
      </c>
    </row>
    <row r="30523" spans="1:5" x14ac:dyDescent="0.25">
      <c r="A30523" t="s">
        <v>9992</v>
      </c>
      <c r="B30523" t="s">
        <v>9993</v>
      </c>
      <c r="C30523" s="1" t="s">
        <v>23490</v>
      </c>
      <c r="D30523" s="1" t="str">
        <f>HYPERLINK("https://rhld.insurance.arkansas.gov/NPILookup?Npi=1932497096","1932497096")</f>
        <v>1932497096</v>
      </c>
      <c r="E30523" t="s">
        <v>12630</v>
      </c>
    </row>
    <row r="30524" spans="1:5" x14ac:dyDescent="0.25">
      <c r="A30524" t="s">
        <v>9992</v>
      </c>
      <c r="B30524" t="s">
        <v>9993</v>
      </c>
      <c r="C30524" s="1" t="s">
        <v>23490</v>
      </c>
      <c r="D30524" s="1" t="str">
        <f>HYPERLINK("https://rhld.insurance.arkansas.gov/NPILookup?Npi=1932525813","1932525813")</f>
        <v>1932525813</v>
      </c>
      <c r="E30524" t="s">
        <v>10054</v>
      </c>
    </row>
    <row r="30525" spans="1:5" x14ac:dyDescent="0.25">
      <c r="A30525" t="s">
        <v>9992</v>
      </c>
      <c r="B30525" t="s">
        <v>9993</v>
      </c>
      <c r="C30525" s="1" t="s">
        <v>23490</v>
      </c>
      <c r="D30525" s="1" t="str">
        <f>HYPERLINK("https://rhld.insurance.arkansas.gov/NPILookup?Npi=1932756608","1932756608")</f>
        <v>1932756608</v>
      </c>
      <c r="E30525" t="s">
        <v>20854</v>
      </c>
    </row>
    <row r="30526" spans="1:5" x14ac:dyDescent="0.25">
      <c r="A30526" t="s">
        <v>9992</v>
      </c>
      <c r="B30526" t="s">
        <v>9993</v>
      </c>
      <c r="C30526" s="1" t="s">
        <v>23490</v>
      </c>
      <c r="D30526" s="1" t="str">
        <f>HYPERLINK("https://rhld.insurance.arkansas.gov/NPILookup?Npi=1942224233","1942224233")</f>
        <v>1942224233</v>
      </c>
      <c r="E30526" t="s">
        <v>12711</v>
      </c>
    </row>
    <row r="30527" spans="1:5" x14ac:dyDescent="0.25">
      <c r="A30527" t="s">
        <v>9992</v>
      </c>
      <c r="B30527" t="s">
        <v>9993</v>
      </c>
      <c r="C30527" s="1" t="s">
        <v>23490</v>
      </c>
      <c r="D30527" s="1" t="str">
        <f>HYPERLINK("https://rhld.insurance.arkansas.gov/NPILookup?Npi=1942280888","1942280888")</f>
        <v>1942280888</v>
      </c>
      <c r="E30527" t="s">
        <v>12712</v>
      </c>
    </row>
    <row r="30528" spans="1:5" x14ac:dyDescent="0.25">
      <c r="A30528" t="s">
        <v>9992</v>
      </c>
      <c r="B30528" t="s">
        <v>9993</v>
      </c>
      <c r="C30528" s="1" t="s">
        <v>23490</v>
      </c>
      <c r="D30528" s="1" t="str">
        <f>HYPERLINK("https://rhld.insurance.arkansas.gov/NPILookup?Npi=1942471271","1942471271")</f>
        <v>1942471271</v>
      </c>
      <c r="E30528" t="s">
        <v>10055</v>
      </c>
    </row>
    <row r="30529" spans="1:5" x14ac:dyDescent="0.25">
      <c r="A30529" t="s">
        <v>9992</v>
      </c>
      <c r="B30529" t="s">
        <v>9993</v>
      </c>
      <c r="C30529" s="1" t="s">
        <v>23490</v>
      </c>
      <c r="D30529" s="1" t="str">
        <f>HYPERLINK("https://rhld.insurance.arkansas.gov/NPILookup?Npi=1942536677","1942536677")</f>
        <v>1942536677</v>
      </c>
      <c r="E30529" t="s">
        <v>10056</v>
      </c>
    </row>
    <row r="30530" spans="1:5" x14ac:dyDescent="0.25">
      <c r="A30530" t="s">
        <v>9992</v>
      </c>
      <c r="B30530" t="s">
        <v>9993</v>
      </c>
      <c r="C30530" s="1" t="s">
        <v>23490</v>
      </c>
      <c r="D30530" s="1" t="str">
        <f>HYPERLINK("https://rhld.insurance.arkansas.gov/NPILookup?Npi=1942692686","1942692686")</f>
        <v>1942692686</v>
      </c>
      <c r="E30530" t="s">
        <v>20855</v>
      </c>
    </row>
    <row r="30531" spans="1:5" x14ac:dyDescent="0.25">
      <c r="A30531" t="s">
        <v>9992</v>
      </c>
      <c r="B30531" t="s">
        <v>9993</v>
      </c>
      <c r="C30531" s="1" t="s">
        <v>23490</v>
      </c>
      <c r="D30531" s="1" t="str">
        <f>HYPERLINK("https://rhld.insurance.arkansas.gov/NPILookup?Npi=1942730171","1942730171")</f>
        <v>1942730171</v>
      </c>
      <c r="E30531" t="s">
        <v>20856</v>
      </c>
    </row>
    <row r="30532" spans="1:5" x14ac:dyDescent="0.25">
      <c r="A30532" t="s">
        <v>9992</v>
      </c>
      <c r="B30532" t="s">
        <v>9993</v>
      </c>
      <c r="C30532" s="1" t="s">
        <v>23490</v>
      </c>
      <c r="D30532" s="1" t="str">
        <f>HYPERLINK("https://rhld.insurance.arkansas.gov/NPILookup?Npi=1952306425","1952306425")</f>
        <v>1952306425</v>
      </c>
      <c r="E30532" t="s">
        <v>12713</v>
      </c>
    </row>
    <row r="30533" spans="1:5" x14ac:dyDescent="0.25">
      <c r="A30533" t="s">
        <v>9992</v>
      </c>
      <c r="B30533" t="s">
        <v>9993</v>
      </c>
      <c r="C30533" s="1" t="s">
        <v>23490</v>
      </c>
      <c r="D30533" s="1" t="str">
        <f>HYPERLINK("https://rhld.insurance.arkansas.gov/NPILookup?Npi=1952538159","1952538159")</f>
        <v>1952538159</v>
      </c>
      <c r="E30533" t="s">
        <v>9969</v>
      </c>
    </row>
    <row r="30534" spans="1:5" x14ac:dyDescent="0.25">
      <c r="A30534" t="s">
        <v>9992</v>
      </c>
      <c r="B30534" t="s">
        <v>9993</v>
      </c>
      <c r="C30534" s="1" t="s">
        <v>23490</v>
      </c>
      <c r="D30534" s="1" t="str">
        <f>HYPERLINK("https://rhld.insurance.arkansas.gov/NPILookup?Npi=1962597971","1962597971")</f>
        <v>1962597971</v>
      </c>
      <c r="E30534" t="s">
        <v>12714</v>
      </c>
    </row>
    <row r="30535" spans="1:5" x14ac:dyDescent="0.25">
      <c r="A30535" t="s">
        <v>9992</v>
      </c>
      <c r="B30535" t="s">
        <v>9993</v>
      </c>
      <c r="C30535" s="1" t="s">
        <v>23490</v>
      </c>
      <c r="D30535" s="1" t="str">
        <f>HYPERLINK("https://rhld.insurance.arkansas.gov/NPILookup?Npi=1972662005","1972662005")</f>
        <v>1972662005</v>
      </c>
      <c r="E30535" t="s">
        <v>10057</v>
      </c>
    </row>
    <row r="30536" spans="1:5" x14ac:dyDescent="0.25">
      <c r="A30536" t="s">
        <v>9992</v>
      </c>
      <c r="B30536" t="s">
        <v>9993</v>
      </c>
      <c r="C30536" s="1" t="s">
        <v>8427</v>
      </c>
      <c r="D30536" s="1" t="str">
        <f>HYPERLINK("https://rhld.insurance.arkansas.gov/NPILookup?Npi=1972750362","1972750362")</f>
        <v>1972750362</v>
      </c>
      <c r="E30536" t="s">
        <v>23382</v>
      </c>
    </row>
    <row r="30537" spans="1:5" x14ac:dyDescent="0.25">
      <c r="A30537" t="s">
        <v>9992</v>
      </c>
      <c r="B30537" t="s">
        <v>9993</v>
      </c>
      <c r="C30537" s="1" t="s">
        <v>23490</v>
      </c>
      <c r="D30537" s="1" t="str">
        <f>HYPERLINK("https://rhld.insurance.arkansas.gov/NPILookup?Npi=1972964195","1972964195")</f>
        <v>1972964195</v>
      </c>
      <c r="E30537" t="s">
        <v>17807</v>
      </c>
    </row>
    <row r="30538" spans="1:5" x14ac:dyDescent="0.25">
      <c r="A30538" t="s">
        <v>9992</v>
      </c>
      <c r="B30538" t="s">
        <v>9993</v>
      </c>
      <c r="C30538" s="1" t="s">
        <v>23490</v>
      </c>
      <c r="D30538" s="1" t="str">
        <f>HYPERLINK("https://rhld.insurance.arkansas.gov/NPILookup?Npi=1972979912","1972979912")</f>
        <v>1972979912</v>
      </c>
      <c r="E30538" t="s">
        <v>14627</v>
      </c>
    </row>
    <row r="30539" spans="1:5" x14ac:dyDescent="0.25">
      <c r="A30539" t="s">
        <v>9992</v>
      </c>
      <c r="B30539" t="s">
        <v>9993</v>
      </c>
      <c r="C30539" s="1" t="s">
        <v>23490</v>
      </c>
      <c r="D30539" s="1" t="str">
        <f>HYPERLINK("https://rhld.insurance.arkansas.gov/NPILookup?Npi=1992709877","1992709877")</f>
        <v>1992709877</v>
      </c>
      <c r="E30539" t="s">
        <v>9988</v>
      </c>
    </row>
    <row r="30540" spans="1:5" x14ac:dyDescent="0.25">
      <c r="A30540" t="s">
        <v>9992</v>
      </c>
      <c r="B30540" t="s">
        <v>9993</v>
      </c>
      <c r="C30540" s="1" t="s">
        <v>23490</v>
      </c>
      <c r="D30540" s="1" t="str">
        <f>HYPERLINK("https://rhld.insurance.arkansas.gov/NPILookup?Npi=1992803571","1992803571")</f>
        <v>1992803571</v>
      </c>
      <c r="E30540" t="s">
        <v>12715</v>
      </c>
    </row>
    <row r="30541" spans="1:5" x14ac:dyDescent="0.25">
      <c r="A30541" t="s">
        <v>9992</v>
      </c>
      <c r="B30541" t="s">
        <v>9993</v>
      </c>
      <c r="C30541" s="1" t="s">
        <v>23490</v>
      </c>
      <c r="D30541" s="1" t="str">
        <f>HYPERLINK("https://rhld.insurance.arkansas.gov/NPILookup?Npi=1992854558","1992854558")</f>
        <v>1992854558</v>
      </c>
      <c r="E30541" t="s">
        <v>9621</v>
      </c>
    </row>
    <row r="30542" spans="1:5" x14ac:dyDescent="0.25">
      <c r="A30542" t="s">
        <v>10058</v>
      </c>
      <c r="B30542" t="s">
        <v>10059</v>
      </c>
      <c r="C30542" s="1" t="s">
        <v>23490</v>
      </c>
      <c r="D30542" s="1" t="str">
        <f>HYPERLINK("https://rhld.insurance.arkansas.gov/NPILookup?Npi=1003203878","1003203878")</f>
        <v>1003203878</v>
      </c>
      <c r="E30542" t="s">
        <v>12716</v>
      </c>
    </row>
    <row r="30543" spans="1:5" x14ac:dyDescent="0.25">
      <c r="A30543" t="s">
        <v>10058</v>
      </c>
      <c r="B30543" t="s">
        <v>10059</v>
      </c>
      <c r="C30543" s="1" t="s">
        <v>23490</v>
      </c>
      <c r="D30543" s="1" t="str">
        <f>HYPERLINK("https://rhld.insurance.arkansas.gov/NPILookup?Npi=1003294646","1003294646")</f>
        <v>1003294646</v>
      </c>
      <c r="E30543" t="s">
        <v>10063</v>
      </c>
    </row>
    <row r="30544" spans="1:5" x14ac:dyDescent="0.25">
      <c r="A30544" t="s">
        <v>10058</v>
      </c>
      <c r="B30544" t="s">
        <v>10059</v>
      </c>
      <c r="C30544" s="1" t="s">
        <v>23490</v>
      </c>
      <c r="D30544" s="1" t="str">
        <f>HYPERLINK("https://rhld.insurance.arkansas.gov/NPILookup?Npi=1003805474","1003805474")</f>
        <v>1003805474</v>
      </c>
      <c r="E30544" t="s">
        <v>10064</v>
      </c>
    </row>
    <row r="30545" spans="1:5" x14ac:dyDescent="0.25">
      <c r="A30545" t="s">
        <v>10058</v>
      </c>
      <c r="B30545" t="s">
        <v>10059</v>
      </c>
      <c r="C30545" s="1" t="s">
        <v>23490</v>
      </c>
      <c r="D30545" s="1" t="str">
        <f>HYPERLINK("https://rhld.insurance.arkansas.gov/NPILookup?Npi=1003816174","1003816174")</f>
        <v>1003816174</v>
      </c>
      <c r="E30545" t="s">
        <v>10065</v>
      </c>
    </row>
    <row r="30546" spans="1:5" x14ac:dyDescent="0.25">
      <c r="A30546" t="s">
        <v>10058</v>
      </c>
      <c r="B30546" t="s">
        <v>10059</v>
      </c>
      <c r="C30546" s="1" t="s">
        <v>23490</v>
      </c>
      <c r="D30546" s="1" t="str">
        <f>HYPERLINK("https://rhld.insurance.arkansas.gov/NPILookup?Npi=1003821364","1003821364")</f>
        <v>1003821364</v>
      </c>
      <c r="E30546" t="s">
        <v>10066</v>
      </c>
    </row>
    <row r="30547" spans="1:5" x14ac:dyDescent="0.25">
      <c r="A30547" t="s">
        <v>10058</v>
      </c>
      <c r="B30547" t="s">
        <v>10059</v>
      </c>
      <c r="C30547" s="1" t="s">
        <v>23490</v>
      </c>
      <c r="D30547" s="1" t="str">
        <f>HYPERLINK("https://rhld.insurance.arkansas.gov/NPILookup?Npi=1003823006","1003823006")</f>
        <v>1003823006</v>
      </c>
      <c r="E30547" t="s">
        <v>10066</v>
      </c>
    </row>
    <row r="30548" spans="1:5" x14ac:dyDescent="0.25">
      <c r="A30548" t="s">
        <v>10058</v>
      </c>
      <c r="B30548" t="s">
        <v>10059</v>
      </c>
      <c r="C30548" s="1" t="s">
        <v>23490</v>
      </c>
      <c r="D30548" s="1" t="str">
        <f>HYPERLINK("https://rhld.insurance.arkansas.gov/NPILookup?Npi=1003831702","1003831702")</f>
        <v>1003831702</v>
      </c>
      <c r="E30548" t="s">
        <v>10067</v>
      </c>
    </row>
    <row r="30549" spans="1:5" x14ac:dyDescent="0.25">
      <c r="A30549" t="s">
        <v>10058</v>
      </c>
      <c r="B30549" t="s">
        <v>10059</v>
      </c>
      <c r="C30549" s="1" t="s">
        <v>23490</v>
      </c>
      <c r="D30549" s="1" t="str">
        <f>HYPERLINK("https://rhld.insurance.arkansas.gov/NPILookup?Npi=1003903204","1003903204")</f>
        <v>1003903204</v>
      </c>
      <c r="E30549" t="s">
        <v>10068</v>
      </c>
    </row>
    <row r="30550" spans="1:5" x14ac:dyDescent="0.25">
      <c r="A30550" t="s">
        <v>10058</v>
      </c>
      <c r="B30550" t="s">
        <v>10059</v>
      </c>
      <c r="C30550" s="1" t="s">
        <v>23490</v>
      </c>
      <c r="D30550" s="1" t="str">
        <f>HYPERLINK("https://rhld.insurance.arkansas.gov/NPILookup?Npi=1003943770","1003943770")</f>
        <v>1003943770</v>
      </c>
      <c r="E30550" t="s">
        <v>10069</v>
      </c>
    </row>
    <row r="30551" spans="1:5" x14ac:dyDescent="0.25">
      <c r="A30551" t="s">
        <v>10058</v>
      </c>
      <c r="B30551" t="s">
        <v>10059</v>
      </c>
      <c r="C30551" s="1" t="s">
        <v>23490</v>
      </c>
      <c r="D30551" s="1" t="str">
        <f>HYPERLINK("https://rhld.insurance.arkansas.gov/NPILookup?Npi=1013009380","1013009380")</f>
        <v>1013009380</v>
      </c>
      <c r="E30551" t="s">
        <v>10070</v>
      </c>
    </row>
    <row r="30552" spans="1:5" x14ac:dyDescent="0.25">
      <c r="A30552" t="s">
        <v>10058</v>
      </c>
      <c r="B30552" t="s">
        <v>10059</v>
      </c>
      <c r="C30552" s="1" t="s">
        <v>23490</v>
      </c>
      <c r="D30552" s="1" t="str">
        <f>HYPERLINK("https://rhld.insurance.arkansas.gov/NPILookup?Npi=1013069970","1013069970")</f>
        <v>1013069970</v>
      </c>
      <c r="E30552" t="s">
        <v>10071</v>
      </c>
    </row>
    <row r="30553" spans="1:5" x14ac:dyDescent="0.25">
      <c r="A30553" t="s">
        <v>10058</v>
      </c>
      <c r="B30553" t="s">
        <v>10059</v>
      </c>
      <c r="C30553" s="1" t="s">
        <v>23490</v>
      </c>
      <c r="D30553" s="1" t="str">
        <f>HYPERLINK("https://rhld.insurance.arkansas.gov/NPILookup?Npi=1013094721","1013094721")</f>
        <v>1013094721</v>
      </c>
      <c r="E30553" t="s">
        <v>10066</v>
      </c>
    </row>
    <row r="30554" spans="1:5" x14ac:dyDescent="0.25">
      <c r="A30554" t="s">
        <v>10058</v>
      </c>
      <c r="B30554" t="s">
        <v>10059</v>
      </c>
      <c r="C30554" s="1" t="s">
        <v>23490</v>
      </c>
      <c r="D30554" s="1" t="str">
        <f>HYPERLINK("https://rhld.insurance.arkansas.gov/NPILookup?Npi=1013188168","1013188168")</f>
        <v>1013188168</v>
      </c>
      <c r="E30554" t="s">
        <v>17342</v>
      </c>
    </row>
    <row r="30555" spans="1:5" x14ac:dyDescent="0.25">
      <c r="A30555" t="s">
        <v>10058</v>
      </c>
      <c r="B30555" t="s">
        <v>10059</v>
      </c>
      <c r="C30555" s="1" t="s">
        <v>23490</v>
      </c>
      <c r="D30555" s="1" t="str">
        <f>HYPERLINK("https://rhld.insurance.arkansas.gov/NPILookup?Npi=1013297548","1013297548")</f>
        <v>1013297548</v>
      </c>
      <c r="E30555" t="s">
        <v>10067</v>
      </c>
    </row>
    <row r="30556" spans="1:5" x14ac:dyDescent="0.25">
      <c r="A30556" t="s">
        <v>10058</v>
      </c>
      <c r="B30556" t="s">
        <v>10059</v>
      </c>
      <c r="C30556" s="1" t="s">
        <v>23490</v>
      </c>
      <c r="D30556" s="1" t="str">
        <f>HYPERLINK("https://rhld.insurance.arkansas.gov/NPILookup?Npi=1013400167","1013400167")</f>
        <v>1013400167</v>
      </c>
      <c r="E30556" t="s">
        <v>16813</v>
      </c>
    </row>
    <row r="30557" spans="1:5" x14ac:dyDescent="0.25">
      <c r="A30557" t="s">
        <v>10058</v>
      </c>
      <c r="B30557" t="s">
        <v>10059</v>
      </c>
      <c r="C30557" s="1" t="s">
        <v>23490</v>
      </c>
      <c r="D30557" s="1" t="str">
        <f>HYPERLINK("https://rhld.insurance.arkansas.gov/NPILookup?Npi=1013422179","1013422179")</f>
        <v>1013422179</v>
      </c>
      <c r="E30557" t="s">
        <v>14628</v>
      </c>
    </row>
    <row r="30558" spans="1:5" x14ac:dyDescent="0.25">
      <c r="A30558" t="s">
        <v>10058</v>
      </c>
      <c r="B30558" t="s">
        <v>10059</v>
      </c>
      <c r="C30558" s="1" t="s">
        <v>23490</v>
      </c>
      <c r="D30558" s="1" t="str">
        <f>HYPERLINK("https://rhld.insurance.arkansas.gov/NPILookup?Npi=1013473263","1013473263")</f>
        <v>1013473263</v>
      </c>
      <c r="E30558" t="s">
        <v>13323</v>
      </c>
    </row>
    <row r="30559" spans="1:5" x14ac:dyDescent="0.25">
      <c r="A30559" t="s">
        <v>10058</v>
      </c>
      <c r="B30559" t="s">
        <v>10059</v>
      </c>
      <c r="C30559" s="1" t="s">
        <v>23490</v>
      </c>
      <c r="D30559" s="1" t="str">
        <f>HYPERLINK("https://rhld.insurance.arkansas.gov/NPILookup?Npi=1013589514","1013589514")</f>
        <v>1013589514</v>
      </c>
      <c r="E30559" t="s">
        <v>19266</v>
      </c>
    </row>
    <row r="30560" spans="1:5" x14ac:dyDescent="0.25">
      <c r="A30560" t="s">
        <v>10058</v>
      </c>
      <c r="B30560" t="s">
        <v>10059</v>
      </c>
      <c r="C30560" s="1" t="s">
        <v>23490</v>
      </c>
      <c r="D30560" s="1" t="str">
        <f>HYPERLINK("https://rhld.insurance.arkansas.gov/NPILookup?Npi=1013634252","1013634252")</f>
        <v>1013634252</v>
      </c>
      <c r="E30560" t="s">
        <v>22807</v>
      </c>
    </row>
    <row r="30561" spans="1:5" x14ac:dyDescent="0.25">
      <c r="A30561" t="s">
        <v>10058</v>
      </c>
      <c r="B30561" t="s">
        <v>10059</v>
      </c>
      <c r="C30561" s="1" t="s">
        <v>23490</v>
      </c>
      <c r="D30561" s="1" t="str">
        <f>HYPERLINK("https://rhld.insurance.arkansas.gov/NPILookup?Npi=1013640945","1013640945")</f>
        <v>1013640945</v>
      </c>
      <c r="E30561" t="s">
        <v>22808</v>
      </c>
    </row>
    <row r="30562" spans="1:5" x14ac:dyDescent="0.25">
      <c r="A30562" t="s">
        <v>10058</v>
      </c>
      <c r="B30562" t="s">
        <v>10059</v>
      </c>
      <c r="C30562" s="1" t="s">
        <v>23490</v>
      </c>
      <c r="D30562" s="1" t="str">
        <f>HYPERLINK("https://rhld.insurance.arkansas.gov/NPILookup?Npi=1013922541","1013922541")</f>
        <v>1013922541</v>
      </c>
      <c r="E30562" t="s">
        <v>12717</v>
      </c>
    </row>
    <row r="30563" spans="1:5" x14ac:dyDescent="0.25">
      <c r="A30563" t="s">
        <v>10058</v>
      </c>
      <c r="B30563" t="s">
        <v>10059</v>
      </c>
      <c r="C30563" s="1" t="s">
        <v>23490</v>
      </c>
      <c r="D30563" s="1" t="str">
        <f>HYPERLINK("https://rhld.insurance.arkansas.gov/NPILookup?Npi=1013934512","1013934512")</f>
        <v>1013934512</v>
      </c>
      <c r="E30563" t="s">
        <v>13312</v>
      </c>
    </row>
    <row r="30564" spans="1:5" x14ac:dyDescent="0.25">
      <c r="A30564" t="s">
        <v>10058</v>
      </c>
      <c r="B30564" t="s">
        <v>10059</v>
      </c>
      <c r="C30564" s="1" t="s">
        <v>23490</v>
      </c>
      <c r="D30564" s="1" t="str">
        <f>HYPERLINK("https://rhld.insurance.arkansas.gov/NPILookup?Npi=1013941897","1013941897")</f>
        <v>1013941897</v>
      </c>
      <c r="E30564" t="s">
        <v>10067</v>
      </c>
    </row>
    <row r="30565" spans="1:5" x14ac:dyDescent="0.25">
      <c r="A30565" t="s">
        <v>10058</v>
      </c>
      <c r="B30565" t="s">
        <v>10059</v>
      </c>
      <c r="C30565" s="1" t="s">
        <v>23490</v>
      </c>
      <c r="D30565" s="1" t="str">
        <f>HYPERLINK("https://rhld.insurance.arkansas.gov/NPILookup?Npi=1013956499","1013956499")</f>
        <v>1013956499</v>
      </c>
      <c r="E30565" t="s">
        <v>10073</v>
      </c>
    </row>
    <row r="30566" spans="1:5" x14ac:dyDescent="0.25">
      <c r="A30566" t="s">
        <v>10058</v>
      </c>
      <c r="B30566" t="s">
        <v>10059</v>
      </c>
      <c r="C30566" s="1" t="s">
        <v>23490</v>
      </c>
      <c r="D30566" s="1" t="str">
        <f>HYPERLINK("https://rhld.insurance.arkansas.gov/NPILookup?Npi=1013959832","1013959832")</f>
        <v>1013959832</v>
      </c>
      <c r="E30566" t="s">
        <v>10074</v>
      </c>
    </row>
    <row r="30567" spans="1:5" x14ac:dyDescent="0.25">
      <c r="A30567" t="s">
        <v>10058</v>
      </c>
      <c r="B30567" t="s">
        <v>10059</v>
      </c>
      <c r="C30567" s="1" t="s">
        <v>23490</v>
      </c>
      <c r="D30567" s="1" t="str">
        <f>HYPERLINK("https://rhld.insurance.arkansas.gov/NPILookup?Npi=1023023298","1023023298")</f>
        <v>1023023298</v>
      </c>
      <c r="E30567" t="s">
        <v>10066</v>
      </c>
    </row>
    <row r="30568" spans="1:5" x14ac:dyDescent="0.25">
      <c r="A30568" t="s">
        <v>10058</v>
      </c>
      <c r="B30568" t="s">
        <v>10059</v>
      </c>
      <c r="C30568" s="1" t="s">
        <v>23490</v>
      </c>
      <c r="D30568" s="1" t="str">
        <f>HYPERLINK("https://rhld.insurance.arkansas.gov/NPILookup?Npi=1023024817","1023024817")</f>
        <v>1023024817</v>
      </c>
      <c r="E30568" t="s">
        <v>10075</v>
      </c>
    </row>
    <row r="30569" spans="1:5" x14ac:dyDescent="0.25">
      <c r="A30569" t="s">
        <v>10058</v>
      </c>
      <c r="B30569" t="s">
        <v>10059</v>
      </c>
      <c r="C30569" s="1" t="s">
        <v>23490</v>
      </c>
      <c r="D30569" s="1" t="str">
        <f>HYPERLINK("https://rhld.insurance.arkansas.gov/NPILookup?Npi=1023099660","1023099660")</f>
        <v>1023099660</v>
      </c>
      <c r="E30569" t="s">
        <v>10076</v>
      </c>
    </row>
    <row r="30570" spans="1:5" x14ac:dyDescent="0.25">
      <c r="A30570" t="s">
        <v>10058</v>
      </c>
      <c r="B30570" t="s">
        <v>10059</v>
      </c>
      <c r="C30570" s="1" t="s">
        <v>23490</v>
      </c>
      <c r="D30570" s="1" t="str">
        <f>HYPERLINK("https://rhld.insurance.arkansas.gov/NPILookup?Npi=1023101581","1023101581")</f>
        <v>1023101581</v>
      </c>
      <c r="E30570" t="s">
        <v>10077</v>
      </c>
    </row>
    <row r="30571" spans="1:5" x14ac:dyDescent="0.25">
      <c r="A30571" t="s">
        <v>10058</v>
      </c>
      <c r="B30571" t="s">
        <v>10059</v>
      </c>
      <c r="C30571" s="1" t="s">
        <v>23490</v>
      </c>
      <c r="D30571" s="1" t="str">
        <f>HYPERLINK("https://rhld.insurance.arkansas.gov/NPILookup?Npi=1023118270","1023118270")</f>
        <v>1023118270</v>
      </c>
      <c r="E30571" t="s">
        <v>10078</v>
      </c>
    </row>
    <row r="30572" spans="1:5" x14ac:dyDescent="0.25">
      <c r="A30572" t="s">
        <v>10058</v>
      </c>
      <c r="B30572" t="s">
        <v>10059</v>
      </c>
      <c r="C30572" s="1" t="s">
        <v>23490</v>
      </c>
      <c r="D30572" s="1" t="str">
        <f>HYPERLINK("https://rhld.insurance.arkansas.gov/NPILookup?Npi=1023120037","1023120037")</f>
        <v>1023120037</v>
      </c>
      <c r="E30572" t="s">
        <v>10079</v>
      </c>
    </row>
    <row r="30573" spans="1:5" x14ac:dyDescent="0.25">
      <c r="A30573" t="s">
        <v>10058</v>
      </c>
      <c r="B30573" t="s">
        <v>10059</v>
      </c>
      <c r="C30573" s="1" t="s">
        <v>23490</v>
      </c>
      <c r="D30573" s="1" t="str">
        <f>HYPERLINK("https://rhld.insurance.arkansas.gov/NPILookup?Npi=1023159282","1023159282")</f>
        <v>1023159282</v>
      </c>
      <c r="E30573" t="s">
        <v>10080</v>
      </c>
    </row>
    <row r="30574" spans="1:5" x14ac:dyDescent="0.25">
      <c r="A30574" t="s">
        <v>10058</v>
      </c>
      <c r="B30574" t="s">
        <v>10059</v>
      </c>
      <c r="C30574" s="1" t="s">
        <v>23490</v>
      </c>
      <c r="D30574" s="1" t="str">
        <f>HYPERLINK("https://rhld.insurance.arkansas.gov/NPILookup?Npi=1023255403","1023255403")</f>
        <v>1023255403</v>
      </c>
      <c r="E30574" t="s">
        <v>10081</v>
      </c>
    </row>
    <row r="30575" spans="1:5" x14ac:dyDescent="0.25">
      <c r="A30575" t="s">
        <v>10058</v>
      </c>
      <c r="B30575" t="s">
        <v>10059</v>
      </c>
      <c r="C30575" s="1" t="s">
        <v>23490</v>
      </c>
      <c r="D30575" s="1" t="str">
        <f>HYPERLINK("https://rhld.insurance.arkansas.gov/NPILookup?Npi=1023420445","1023420445")</f>
        <v>1023420445</v>
      </c>
      <c r="E30575" t="s">
        <v>10082</v>
      </c>
    </row>
    <row r="30576" spans="1:5" x14ac:dyDescent="0.25">
      <c r="A30576" t="s">
        <v>10058</v>
      </c>
      <c r="B30576" t="s">
        <v>10059</v>
      </c>
      <c r="C30576" s="1" t="s">
        <v>23490</v>
      </c>
      <c r="D30576" s="1" t="str">
        <f>HYPERLINK("https://rhld.insurance.arkansas.gov/NPILookup?Npi=1023423423","1023423423")</f>
        <v>1023423423</v>
      </c>
      <c r="E30576" t="s">
        <v>10083</v>
      </c>
    </row>
    <row r="30577" spans="1:5" x14ac:dyDescent="0.25">
      <c r="A30577" t="s">
        <v>10058</v>
      </c>
      <c r="B30577" t="s">
        <v>10059</v>
      </c>
      <c r="C30577" s="1" t="s">
        <v>23490</v>
      </c>
      <c r="D30577" s="1" t="str">
        <f>HYPERLINK("https://rhld.insurance.arkansas.gov/NPILookup?Npi=1023445293","1023445293")</f>
        <v>1023445293</v>
      </c>
      <c r="E30577" t="s">
        <v>10258</v>
      </c>
    </row>
    <row r="30578" spans="1:5" x14ac:dyDescent="0.25">
      <c r="A30578" t="s">
        <v>10058</v>
      </c>
      <c r="B30578" t="s">
        <v>10059</v>
      </c>
      <c r="C30578" s="1" t="s">
        <v>23490</v>
      </c>
      <c r="D30578" s="1" t="str">
        <f>HYPERLINK("https://rhld.insurance.arkansas.gov/NPILookup?Npi=1023492154","1023492154")</f>
        <v>1023492154</v>
      </c>
      <c r="E30578" t="s">
        <v>10084</v>
      </c>
    </row>
    <row r="30579" spans="1:5" x14ac:dyDescent="0.25">
      <c r="A30579" t="s">
        <v>10058</v>
      </c>
      <c r="B30579" t="s">
        <v>10059</v>
      </c>
      <c r="C30579" s="1" t="s">
        <v>23490</v>
      </c>
      <c r="D30579" s="1" t="str">
        <f>HYPERLINK("https://rhld.insurance.arkansas.gov/NPILookup?Npi=1023535655","1023535655")</f>
        <v>1023535655</v>
      </c>
      <c r="E30579" t="s">
        <v>22809</v>
      </c>
    </row>
    <row r="30580" spans="1:5" x14ac:dyDescent="0.25">
      <c r="A30580" t="s">
        <v>10058</v>
      </c>
      <c r="B30580" t="s">
        <v>10059</v>
      </c>
      <c r="C30580" s="1" t="s">
        <v>23490</v>
      </c>
      <c r="D30580" s="1" t="str">
        <f>HYPERLINK("https://rhld.insurance.arkansas.gov/NPILookup?Npi=1023692449","1023692449")</f>
        <v>1023692449</v>
      </c>
      <c r="E30580" t="s">
        <v>19267</v>
      </c>
    </row>
    <row r="30581" spans="1:5" x14ac:dyDescent="0.25">
      <c r="A30581" t="s">
        <v>10058</v>
      </c>
      <c r="B30581" t="s">
        <v>10059</v>
      </c>
      <c r="C30581" s="1" t="s">
        <v>23490</v>
      </c>
      <c r="D30581" s="1" t="str">
        <f>HYPERLINK("https://rhld.insurance.arkansas.gov/NPILookup?Npi=1023715737","1023715737")</f>
        <v>1023715737</v>
      </c>
      <c r="E30581" t="s">
        <v>10082</v>
      </c>
    </row>
    <row r="30582" spans="1:5" x14ac:dyDescent="0.25">
      <c r="A30582" t="s">
        <v>10058</v>
      </c>
      <c r="B30582" t="s">
        <v>10059</v>
      </c>
      <c r="C30582" s="1" t="s">
        <v>23490</v>
      </c>
      <c r="D30582" s="1" t="str">
        <f>HYPERLINK("https://rhld.insurance.arkansas.gov/NPILookup?Npi=1023745775","1023745775")</f>
        <v>1023745775</v>
      </c>
      <c r="E30582" t="s">
        <v>22810</v>
      </c>
    </row>
    <row r="30583" spans="1:5" x14ac:dyDescent="0.25">
      <c r="A30583" t="s">
        <v>10058</v>
      </c>
      <c r="B30583" t="s">
        <v>10059</v>
      </c>
      <c r="C30583" s="1" t="s">
        <v>23490</v>
      </c>
      <c r="D30583" s="1" t="str">
        <f>HYPERLINK("https://rhld.insurance.arkansas.gov/NPILookup?Npi=1033136148","1033136148")</f>
        <v>1033136148</v>
      </c>
      <c r="E30583" t="s">
        <v>10060</v>
      </c>
    </row>
    <row r="30584" spans="1:5" x14ac:dyDescent="0.25">
      <c r="A30584" t="s">
        <v>10058</v>
      </c>
      <c r="B30584" t="s">
        <v>10059</v>
      </c>
      <c r="C30584" s="1" t="s">
        <v>23490</v>
      </c>
      <c r="D30584" s="1" t="str">
        <f>HYPERLINK("https://rhld.insurance.arkansas.gov/NPILookup?Npi=1033141064","1033141064")</f>
        <v>1033141064</v>
      </c>
      <c r="E30584" t="s">
        <v>10085</v>
      </c>
    </row>
    <row r="30585" spans="1:5" x14ac:dyDescent="0.25">
      <c r="A30585" t="s">
        <v>10058</v>
      </c>
      <c r="B30585" t="s">
        <v>10059</v>
      </c>
      <c r="C30585" s="1" t="s">
        <v>23490</v>
      </c>
      <c r="D30585" s="1" t="str">
        <f>HYPERLINK("https://rhld.insurance.arkansas.gov/NPILookup?Npi=1033213962","1033213962")</f>
        <v>1033213962</v>
      </c>
      <c r="E30585" t="s">
        <v>10086</v>
      </c>
    </row>
    <row r="30586" spans="1:5" x14ac:dyDescent="0.25">
      <c r="A30586" t="s">
        <v>10058</v>
      </c>
      <c r="B30586" t="s">
        <v>10059</v>
      </c>
      <c r="C30586" s="1" t="s">
        <v>23490</v>
      </c>
      <c r="D30586" s="1" t="str">
        <f>HYPERLINK("https://rhld.insurance.arkansas.gov/NPILookup?Npi=1033282504","1033282504")</f>
        <v>1033282504</v>
      </c>
      <c r="E30586" t="s">
        <v>10087</v>
      </c>
    </row>
    <row r="30587" spans="1:5" x14ac:dyDescent="0.25">
      <c r="A30587" t="s">
        <v>10058</v>
      </c>
      <c r="B30587" t="s">
        <v>10059</v>
      </c>
      <c r="C30587" s="1" t="s">
        <v>23490</v>
      </c>
      <c r="D30587" s="1" t="str">
        <f>HYPERLINK("https://rhld.insurance.arkansas.gov/NPILookup?Npi=1033348339","1033348339")</f>
        <v>1033348339</v>
      </c>
      <c r="E30587" t="s">
        <v>10066</v>
      </c>
    </row>
    <row r="30588" spans="1:5" x14ac:dyDescent="0.25">
      <c r="A30588" t="s">
        <v>10058</v>
      </c>
      <c r="B30588" t="s">
        <v>10059</v>
      </c>
      <c r="C30588" s="1" t="s">
        <v>23490</v>
      </c>
      <c r="D30588" s="1" t="str">
        <f>HYPERLINK("https://rhld.insurance.arkansas.gov/NPILookup?Npi=1033558689","1033558689")</f>
        <v>1033558689</v>
      </c>
      <c r="E30588" t="s">
        <v>12718</v>
      </c>
    </row>
    <row r="30589" spans="1:5" x14ac:dyDescent="0.25">
      <c r="A30589" t="s">
        <v>10058</v>
      </c>
      <c r="B30589" t="s">
        <v>10059</v>
      </c>
      <c r="C30589" s="1" t="s">
        <v>23490</v>
      </c>
      <c r="D30589" s="1" t="str">
        <f>HYPERLINK("https://rhld.insurance.arkansas.gov/NPILookup?Npi=1033595251","1033595251")</f>
        <v>1033595251</v>
      </c>
      <c r="E30589" t="s">
        <v>10060</v>
      </c>
    </row>
    <row r="30590" spans="1:5" x14ac:dyDescent="0.25">
      <c r="A30590" t="s">
        <v>10058</v>
      </c>
      <c r="B30590" t="s">
        <v>10059</v>
      </c>
      <c r="C30590" s="1" t="s">
        <v>23490</v>
      </c>
      <c r="D30590" s="1" t="str">
        <f>HYPERLINK("https://rhld.insurance.arkansas.gov/NPILookup?Npi=1033698618","1033698618")</f>
        <v>1033698618</v>
      </c>
      <c r="E30590" t="s">
        <v>16814</v>
      </c>
    </row>
    <row r="30591" spans="1:5" x14ac:dyDescent="0.25">
      <c r="A30591" t="s">
        <v>10058</v>
      </c>
      <c r="B30591" t="s">
        <v>10059</v>
      </c>
      <c r="C30591" s="1" t="s">
        <v>23490</v>
      </c>
      <c r="D30591" s="1" t="str">
        <f>HYPERLINK("https://rhld.insurance.arkansas.gov/NPILookup?Npi=1043213093","1043213093")</f>
        <v>1043213093</v>
      </c>
      <c r="E30591" t="s">
        <v>22811</v>
      </c>
    </row>
    <row r="30592" spans="1:5" x14ac:dyDescent="0.25">
      <c r="A30592" t="s">
        <v>10058</v>
      </c>
      <c r="B30592" t="s">
        <v>10059</v>
      </c>
      <c r="C30592" s="1" t="s">
        <v>23490</v>
      </c>
      <c r="D30592" s="1" t="str">
        <f>HYPERLINK("https://rhld.insurance.arkansas.gov/NPILookup?Npi=1043225212","1043225212")</f>
        <v>1043225212</v>
      </c>
      <c r="E30592" t="s">
        <v>10066</v>
      </c>
    </row>
    <row r="30593" spans="1:5" x14ac:dyDescent="0.25">
      <c r="A30593" t="s">
        <v>10058</v>
      </c>
      <c r="B30593" t="s">
        <v>10059</v>
      </c>
      <c r="C30593" s="1" t="s">
        <v>23490</v>
      </c>
      <c r="D30593" s="1" t="str">
        <f>HYPERLINK("https://rhld.insurance.arkansas.gov/NPILookup?Npi=1043232796","1043232796")</f>
        <v>1043232796</v>
      </c>
      <c r="E30593" t="s">
        <v>10081</v>
      </c>
    </row>
    <row r="30594" spans="1:5" x14ac:dyDescent="0.25">
      <c r="A30594" t="s">
        <v>10058</v>
      </c>
      <c r="B30594" t="s">
        <v>10059</v>
      </c>
      <c r="C30594" s="1" t="s">
        <v>23490</v>
      </c>
      <c r="D30594" s="1" t="str">
        <f>HYPERLINK("https://rhld.insurance.arkansas.gov/NPILookup?Npi=1043237449","1043237449")</f>
        <v>1043237449</v>
      </c>
      <c r="E30594" t="s">
        <v>10088</v>
      </c>
    </row>
    <row r="30595" spans="1:5" x14ac:dyDescent="0.25">
      <c r="A30595" t="s">
        <v>10058</v>
      </c>
      <c r="B30595" t="s">
        <v>10059</v>
      </c>
      <c r="C30595" s="1" t="s">
        <v>23490</v>
      </c>
      <c r="D30595" s="1" t="str">
        <f>HYPERLINK("https://rhld.insurance.arkansas.gov/NPILookup?Npi=1043290299","1043290299")</f>
        <v>1043290299</v>
      </c>
      <c r="E30595" t="s">
        <v>13313</v>
      </c>
    </row>
    <row r="30596" spans="1:5" x14ac:dyDescent="0.25">
      <c r="A30596" t="s">
        <v>10058</v>
      </c>
      <c r="B30596" t="s">
        <v>10059</v>
      </c>
      <c r="C30596" s="1" t="s">
        <v>23490</v>
      </c>
      <c r="D30596" s="1" t="str">
        <f>HYPERLINK("https://rhld.insurance.arkansas.gov/NPILookup?Npi=1043303480","1043303480")</f>
        <v>1043303480</v>
      </c>
      <c r="E30596" t="s">
        <v>10089</v>
      </c>
    </row>
    <row r="30597" spans="1:5" x14ac:dyDescent="0.25">
      <c r="A30597" t="s">
        <v>10058</v>
      </c>
      <c r="B30597" t="s">
        <v>10059</v>
      </c>
      <c r="C30597" s="1" t="s">
        <v>23490</v>
      </c>
      <c r="D30597" s="1" t="str">
        <f>HYPERLINK("https://rhld.insurance.arkansas.gov/NPILookup?Npi=1043310360","1043310360")</f>
        <v>1043310360</v>
      </c>
      <c r="E30597" t="s">
        <v>10078</v>
      </c>
    </row>
    <row r="30598" spans="1:5" x14ac:dyDescent="0.25">
      <c r="A30598" t="s">
        <v>10058</v>
      </c>
      <c r="B30598" t="s">
        <v>10059</v>
      </c>
      <c r="C30598" s="1" t="s">
        <v>23490</v>
      </c>
      <c r="D30598" s="1" t="str">
        <f>HYPERLINK("https://rhld.insurance.arkansas.gov/NPILookup?Npi=1043318041","1043318041")</f>
        <v>1043318041</v>
      </c>
      <c r="E30598" t="s">
        <v>14629</v>
      </c>
    </row>
    <row r="30599" spans="1:5" x14ac:dyDescent="0.25">
      <c r="A30599" t="s">
        <v>10058</v>
      </c>
      <c r="B30599" t="s">
        <v>10059</v>
      </c>
      <c r="C30599" s="1" t="s">
        <v>23490</v>
      </c>
      <c r="D30599" s="1" t="str">
        <f>HYPERLINK("https://rhld.insurance.arkansas.gov/NPILookup?Npi=1043340789","1043340789")</f>
        <v>1043340789</v>
      </c>
      <c r="E30599" t="s">
        <v>23383</v>
      </c>
    </row>
    <row r="30600" spans="1:5" x14ac:dyDescent="0.25">
      <c r="A30600" t="s">
        <v>10058</v>
      </c>
      <c r="B30600" t="s">
        <v>10059</v>
      </c>
      <c r="C30600" s="1" t="s">
        <v>23490</v>
      </c>
      <c r="D30600" s="1" t="str">
        <f>HYPERLINK("https://rhld.insurance.arkansas.gov/NPILookup?Npi=1043383516","1043383516")</f>
        <v>1043383516</v>
      </c>
      <c r="E30600" t="s">
        <v>10087</v>
      </c>
    </row>
    <row r="30601" spans="1:5" x14ac:dyDescent="0.25">
      <c r="A30601" t="s">
        <v>10058</v>
      </c>
      <c r="B30601" t="s">
        <v>10059</v>
      </c>
      <c r="C30601" s="1" t="s">
        <v>23490</v>
      </c>
      <c r="D30601" s="1" t="str">
        <f>HYPERLINK("https://rhld.insurance.arkansas.gov/NPILookup?Npi=1043386964","1043386964")</f>
        <v>1043386964</v>
      </c>
      <c r="E30601" t="s">
        <v>10090</v>
      </c>
    </row>
    <row r="30602" spans="1:5" x14ac:dyDescent="0.25">
      <c r="A30602" t="s">
        <v>10058</v>
      </c>
      <c r="B30602" t="s">
        <v>10059</v>
      </c>
      <c r="C30602" s="1" t="s">
        <v>23490</v>
      </c>
      <c r="D30602" s="1" t="str">
        <f>HYPERLINK("https://rhld.insurance.arkansas.gov/NPILookup?Npi=1043426729","1043426729")</f>
        <v>1043426729</v>
      </c>
      <c r="E30602" t="s">
        <v>10091</v>
      </c>
    </row>
    <row r="30603" spans="1:5" x14ac:dyDescent="0.25">
      <c r="A30603" t="s">
        <v>10058</v>
      </c>
      <c r="B30603" t="s">
        <v>10059</v>
      </c>
      <c r="C30603" s="1" t="s">
        <v>23490</v>
      </c>
      <c r="D30603" s="1" t="str">
        <f>HYPERLINK("https://rhld.insurance.arkansas.gov/NPILookup?Npi=1043520968","1043520968")</f>
        <v>1043520968</v>
      </c>
      <c r="E30603" t="s">
        <v>10092</v>
      </c>
    </row>
    <row r="30604" spans="1:5" x14ac:dyDescent="0.25">
      <c r="A30604" t="s">
        <v>10058</v>
      </c>
      <c r="B30604" t="s">
        <v>10059</v>
      </c>
      <c r="C30604" s="1" t="s">
        <v>23490</v>
      </c>
      <c r="D30604" s="1" t="str">
        <f>HYPERLINK("https://rhld.insurance.arkansas.gov/NPILookup?Npi=1043546799","1043546799")</f>
        <v>1043546799</v>
      </c>
      <c r="E30604" t="s">
        <v>10093</v>
      </c>
    </row>
    <row r="30605" spans="1:5" x14ac:dyDescent="0.25">
      <c r="A30605" t="s">
        <v>10058</v>
      </c>
      <c r="B30605" t="s">
        <v>10059</v>
      </c>
      <c r="C30605" s="1" t="s">
        <v>23490</v>
      </c>
      <c r="D30605" s="1" t="str">
        <f>HYPERLINK("https://rhld.insurance.arkansas.gov/NPILookup?Npi=1043687379","1043687379")</f>
        <v>1043687379</v>
      </c>
      <c r="E30605" t="s">
        <v>10095</v>
      </c>
    </row>
    <row r="30606" spans="1:5" x14ac:dyDescent="0.25">
      <c r="A30606" t="s">
        <v>10058</v>
      </c>
      <c r="B30606" t="s">
        <v>10059</v>
      </c>
      <c r="C30606" s="1" t="s">
        <v>23490</v>
      </c>
      <c r="D30606" s="1" t="str">
        <f>HYPERLINK("https://rhld.insurance.arkansas.gov/NPILookup?Npi=1043799752","1043799752")</f>
        <v>1043799752</v>
      </c>
      <c r="E30606" t="s">
        <v>16814</v>
      </c>
    </row>
    <row r="30607" spans="1:5" x14ac:dyDescent="0.25">
      <c r="A30607" t="s">
        <v>10058</v>
      </c>
      <c r="B30607" t="s">
        <v>10059</v>
      </c>
      <c r="C30607" s="1" t="s">
        <v>23490</v>
      </c>
      <c r="D30607" s="1" t="str">
        <f>HYPERLINK("https://rhld.insurance.arkansas.gov/NPILookup?Npi=1043919848","1043919848")</f>
        <v>1043919848</v>
      </c>
      <c r="E30607" t="s">
        <v>10122</v>
      </c>
    </row>
    <row r="30608" spans="1:5" x14ac:dyDescent="0.25">
      <c r="A30608" t="s">
        <v>10058</v>
      </c>
      <c r="B30608" t="s">
        <v>10059</v>
      </c>
      <c r="C30608" s="1" t="s">
        <v>23490</v>
      </c>
      <c r="D30608" s="1" t="str">
        <f>HYPERLINK("https://rhld.insurance.arkansas.gov/NPILookup?Npi=1043977465","1043977465")</f>
        <v>1043977465</v>
      </c>
      <c r="E30608" t="s">
        <v>22812</v>
      </c>
    </row>
    <row r="30609" spans="1:5" x14ac:dyDescent="0.25">
      <c r="A30609" t="s">
        <v>10058</v>
      </c>
      <c r="B30609" t="s">
        <v>10059</v>
      </c>
      <c r="C30609" s="1" t="s">
        <v>23490</v>
      </c>
      <c r="D30609" s="1" t="str">
        <f>HYPERLINK("https://rhld.insurance.arkansas.gov/NPILookup?Npi=1053308940","1053308940")</f>
        <v>1053308940</v>
      </c>
      <c r="E30609" t="s">
        <v>10096</v>
      </c>
    </row>
    <row r="30610" spans="1:5" x14ac:dyDescent="0.25">
      <c r="A30610" t="s">
        <v>10058</v>
      </c>
      <c r="B30610" t="s">
        <v>10059</v>
      </c>
      <c r="C30610" s="1" t="s">
        <v>23490</v>
      </c>
      <c r="D30610" s="1" t="str">
        <f>HYPERLINK("https://rhld.insurance.arkansas.gov/NPILookup?Npi=1053311969","1053311969")</f>
        <v>1053311969</v>
      </c>
      <c r="E30610" t="s">
        <v>14630</v>
      </c>
    </row>
    <row r="30611" spans="1:5" x14ac:dyDescent="0.25">
      <c r="A30611" t="s">
        <v>10058</v>
      </c>
      <c r="B30611" t="s">
        <v>10059</v>
      </c>
      <c r="C30611" s="1" t="s">
        <v>23490</v>
      </c>
      <c r="D30611" s="1" t="str">
        <f>HYPERLINK("https://rhld.insurance.arkansas.gov/NPILookup?Npi=1053328054","1053328054")</f>
        <v>1053328054</v>
      </c>
      <c r="E30611" t="s">
        <v>10066</v>
      </c>
    </row>
    <row r="30612" spans="1:5" x14ac:dyDescent="0.25">
      <c r="A30612" t="s">
        <v>10058</v>
      </c>
      <c r="B30612" t="s">
        <v>10059</v>
      </c>
      <c r="C30612" s="1" t="s">
        <v>23490</v>
      </c>
      <c r="D30612" s="1" t="str">
        <f>HYPERLINK("https://rhld.insurance.arkansas.gov/NPILookup?Npi=1053330068","1053330068")</f>
        <v>1053330068</v>
      </c>
      <c r="E30612" t="s">
        <v>10060</v>
      </c>
    </row>
    <row r="30613" spans="1:5" x14ac:dyDescent="0.25">
      <c r="A30613" t="s">
        <v>10058</v>
      </c>
      <c r="B30613" t="s">
        <v>10059</v>
      </c>
      <c r="C30613" s="1" t="s">
        <v>23490</v>
      </c>
      <c r="D30613" s="1" t="str">
        <f>HYPERLINK("https://rhld.insurance.arkansas.gov/NPILookup?Npi=1053338178","1053338178")</f>
        <v>1053338178</v>
      </c>
      <c r="E30613" t="s">
        <v>10060</v>
      </c>
    </row>
    <row r="30614" spans="1:5" x14ac:dyDescent="0.25">
      <c r="A30614" t="s">
        <v>10058</v>
      </c>
      <c r="B30614" t="s">
        <v>10059</v>
      </c>
      <c r="C30614" s="1" t="s">
        <v>23490</v>
      </c>
      <c r="D30614" s="1" t="str">
        <f>HYPERLINK("https://rhld.insurance.arkansas.gov/NPILookup?Npi=1053338442","1053338442")</f>
        <v>1053338442</v>
      </c>
      <c r="E30614" t="s">
        <v>13312</v>
      </c>
    </row>
    <row r="30615" spans="1:5" x14ac:dyDescent="0.25">
      <c r="A30615" t="s">
        <v>10058</v>
      </c>
      <c r="B30615" t="s">
        <v>10059</v>
      </c>
      <c r="C30615" s="1" t="s">
        <v>23490</v>
      </c>
      <c r="D30615" s="1" t="str">
        <f>HYPERLINK("https://rhld.insurance.arkansas.gov/NPILookup?Npi=1053338459","1053338459")</f>
        <v>1053338459</v>
      </c>
      <c r="E30615" t="s">
        <v>13312</v>
      </c>
    </row>
    <row r="30616" spans="1:5" x14ac:dyDescent="0.25">
      <c r="A30616" t="s">
        <v>10058</v>
      </c>
      <c r="B30616" t="s">
        <v>10059</v>
      </c>
      <c r="C30616" s="1" t="s">
        <v>23490</v>
      </c>
      <c r="D30616" s="1" t="str">
        <f>HYPERLINK("https://rhld.insurance.arkansas.gov/NPILookup?Npi=1053339895","1053339895")</f>
        <v>1053339895</v>
      </c>
      <c r="E30616" t="s">
        <v>10060</v>
      </c>
    </row>
    <row r="30617" spans="1:5" x14ac:dyDescent="0.25">
      <c r="A30617" t="s">
        <v>10058</v>
      </c>
      <c r="B30617" t="s">
        <v>10059</v>
      </c>
      <c r="C30617" s="1" t="s">
        <v>23490</v>
      </c>
      <c r="D30617" s="1" t="str">
        <f>HYPERLINK("https://rhld.insurance.arkansas.gov/NPILookup?Npi=1053345801","1053345801")</f>
        <v>1053345801</v>
      </c>
      <c r="E30617" t="s">
        <v>10067</v>
      </c>
    </row>
    <row r="30618" spans="1:5" x14ac:dyDescent="0.25">
      <c r="A30618" t="s">
        <v>10058</v>
      </c>
      <c r="B30618" t="s">
        <v>10059</v>
      </c>
      <c r="C30618" s="1" t="s">
        <v>23490</v>
      </c>
      <c r="D30618" s="1" t="str">
        <f>HYPERLINK("https://rhld.insurance.arkansas.gov/NPILookup?Npi=1053404293","1053404293")</f>
        <v>1053404293</v>
      </c>
      <c r="E30618" t="s">
        <v>10097</v>
      </c>
    </row>
    <row r="30619" spans="1:5" x14ac:dyDescent="0.25">
      <c r="A30619" t="s">
        <v>10058</v>
      </c>
      <c r="B30619" t="s">
        <v>10059</v>
      </c>
      <c r="C30619" s="1" t="s">
        <v>23490</v>
      </c>
      <c r="D30619" s="1" t="str">
        <f>HYPERLINK("https://rhld.insurance.arkansas.gov/NPILookup?Npi=1053415380","1053415380")</f>
        <v>1053415380</v>
      </c>
      <c r="E30619" t="s">
        <v>10098</v>
      </c>
    </row>
    <row r="30620" spans="1:5" x14ac:dyDescent="0.25">
      <c r="A30620" t="s">
        <v>10058</v>
      </c>
      <c r="B30620" t="s">
        <v>10059</v>
      </c>
      <c r="C30620" s="1" t="s">
        <v>23490</v>
      </c>
      <c r="D30620" s="1" t="str">
        <f>HYPERLINK("https://rhld.insurance.arkansas.gov/NPILookup?Npi=1053484386","1053484386")</f>
        <v>1053484386</v>
      </c>
      <c r="E30620" t="s">
        <v>10087</v>
      </c>
    </row>
    <row r="30621" spans="1:5" x14ac:dyDescent="0.25">
      <c r="A30621" t="s">
        <v>10058</v>
      </c>
      <c r="B30621" t="s">
        <v>10059</v>
      </c>
      <c r="C30621" s="1" t="s">
        <v>23490</v>
      </c>
      <c r="D30621" s="1" t="str">
        <f>HYPERLINK("https://rhld.insurance.arkansas.gov/NPILookup?Npi=1053492405","1053492405")</f>
        <v>1053492405</v>
      </c>
      <c r="E30621" t="s">
        <v>16815</v>
      </c>
    </row>
    <row r="30622" spans="1:5" x14ac:dyDescent="0.25">
      <c r="A30622" t="s">
        <v>10058</v>
      </c>
      <c r="B30622" t="s">
        <v>10059</v>
      </c>
      <c r="C30622" s="1" t="s">
        <v>23490</v>
      </c>
      <c r="D30622" s="1" t="str">
        <f>HYPERLINK("https://rhld.insurance.arkansas.gov/NPILookup?Npi=1053613851","1053613851")</f>
        <v>1053613851</v>
      </c>
      <c r="E30622" t="s">
        <v>10099</v>
      </c>
    </row>
    <row r="30623" spans="1:5" x14ac:dyDescent="0.25">
      <c r="A30623" t="s">
        <v>10058</v>
      </c>
      <c r="B30623" t="s">
        <v>10059</v>
      </c>
      <c r="C30623" s="1" t="s">
        <v>23490</v>
      </c>
      <c r="D30623" s="1" t="str">
        <f>HYPERLINK("https://rhld.insurance.arkansas.gov/NPILookup?Npi=1053669325","1053669325")</f>
        <v>1053669325</v>
      </c>
      <c r="E30623" t="s">
        <v>10100</v>
      </c>
    </row>
    <row r="30624" spans="1:5" x14ac:dyDescent="0.25">
      <c r="A30624" t="s">
        <v>10058</v>
      </c>
      <c r="B30624" t="s">
        <v>10059</v>
      </c>
      <c r="C30624" s="1" t="s">
        <v>23490</v>
      </c>
      <c r="D30624" s="1" t="str">
        <f>HYPERLINK("https://rhld.insurance.arkansas.gov/NPILookup?Npi=1063008126","1063008126")</f>
        <v>1063008126</v>
      </c>
      <c r="E30624" t="s">
        <v>22813</v>
      </c>
    </row>
    <row r="30625" spans="1:5" x14ac:dyDescent="0.25">
      <c r="A30625" t="s">
        <v>10058</v>
      </c>
      <c r="B30625" t="s">
        <v>10059</v>
      </c>
      <c r="C30625" s="1" t="s">
        <v>23490</v>
      </c>
      <c r="D30625" s="1" t="str">
        <f>HYPERLINK("https://rhld.insurance.arkansas.gov/NPILookup?Npi=1063063444","1063063444")</f>
        <v>1063063444</v>
      </c>
      <c r="E30625" t="s">
        <v>10224</v>
      </c>
    </row>
    <row r="30626" spans="1:5" x14ac:dyDescent="0.25">
      <c r="A30626" t="s">
        <v>10058</v>
      </c>
      <c r="B30626" t="s">
        <v>10059</v>
      </c>
      <c r="C30626" s="1" t="s">
        <v>23490</v>
      </c>
      <c r="D30626" s="1" t="str">
        <f>HYPERLINK("https://rhld.insurance.arkansas.gov/NPILookup?Npi=1063410223","1063410223")</f>
        <v>1063410223</v>
      </c>
      <c r="E30626" t="s">
        <v>10101</v>
      </c>
    </row>
    <row r="30627" spans="1:5" x14ac:dyDescent="0.25">
      <c r="A30627" t="s">
        <v>10058</v>
      </c>
      <c r="B30627" t="s">
        <v>10059</v>
      </c>
      <c r="C30627" s="1" t="s">
        <v>23490</v>
      </c>
      <c r="D30627" s="1" t="str">
        <f>HYPERLINK("https://rhld.insurance.arkansas.gov/NPILookup?Npi=1063427326","1063427326")</f>
        <v>1063427326</v>
      </c>
      <c r="E30627" t="s">
        <v>10066</v>
      </c>
    </row>
    <row r="30628" spans="1:5" x14ac:dyDescent="0.25">
      <c r="A30628" t="s">
        <v>10058</v>
      </c>
      <c r="B30628" t="s">
        <v>10059</v>
      </c>
      <c r="C30628" s="1" t="s">
        <v>23490</v>
      </c>
      <c r="D30628" s="1" t="str">
        <f>HYPERLINK("https://rhld.insurance.arkansas.gov/NPILookup?Npi=1063427334","1063427334")</f>
        <v>1063427334</v>
      </c>
      <c r="E30628" t="s">
        <v>10066</v>
      </c>
    </row>
    <row r="30629" spans="1:5" x14ac:dyDescent="0.25">
      <c r="A30629" t="s">
        <v>10058</v>
      </c>
      <c r="B30629" t="s">
        <v>10059</v>
      </c>
      <c r="C30629" s="1" t="s">
        <v>23490</v>
      </c>
      <c r="D30629" s="1" t="str">
        <f>HYPERLINK("https://rhld.insurance.arkansas.gov/NPILookup?Npi=1063427516","1063427516")</f>
        <v>1063427516</v>
      </c>
      <c r="E30629" t="s">
        <v>10102</v>
      </c>
    </row>
    <row r="30630" spans="1:5" x14ac:dyDescent="0.25">
      <c r="A30630" t="s">
        <v>10058</v>
      </c>
      <c r="B30630" t="s">
        <v>10059</v>
      </c>
      <c r="C30630" s="1" t="s">
        <v>23490</v>
      </c>
      <c r="D30630" s="1" t="str">
        <f>HYPERLINK("https://rhld.insurance.arkansas.gov/NPILookup?Npi=1063428530","1063428530")</f>
        <v>1063428530</v>
      </c>
      <c r="E30630" t="s">
        <v>10066</v>
      </c>
    </row>
    <row r="30631" spans="1:5" x14ac:dyDescent="0.25">
      <c r="A30631" t="s">
        <v>10058</v>
      </c>
      <c r="B30631" t="s">
        <v>10059</v>
      </c>
      <c r="C30631" s="1" t="s">
        <v>23490</v>
      </c>
      <c r="D30631" s="1" t="str">
        <f>HYPERLINK("https://rhld.insurance.arkansas.gov/NPILookup?Npi=1063439313","1063439313")</f>
        <v>1063439313</v>
      </c>
      <c r="E30631" t="s">
        <v>10060</v>
      </c>
    </row>
    <row r="30632" spans="1:5" x14ac:dyDescent="0.25">
      <c r="A30632" t="s">
        <v>10058</v>
      </c>
      <c r="B30632" t="s">
        <v>10059</v>
      </c>
      <c r="C30632" s="1" t="s">
        <v>23490</v>
      </c>
      <c r="D30632" s="1" t="str">
        <f>HYPERLINK("https://rhld.insurance.arkansas.gov/NPILookup?Npi=1063439446","1063439446")</f>
        <v>1063439446</v>
      </c>
      <c r="E30632" t="s">
        <v>13312</v>
      </c>
    </row>
    <row r="30633" spans="1:5" x14ac:dyDescent="0.25">
      <c r="A30633" t="s">
        <v>10058</v>
      </c>
      <c r="B30633" t="s">
        <v>10059</v>
      </c>
      <c r="C30633" s="1" t="s">
        <v>23490</v>
      </c>
      <c r="D30633" s="1" t="str">
        <f>HYPERLINK("https://rhld.insurance.arkansas.gov/NPILookup?Npi=1063439453","1063439453")</f>
        <v>1063439453</v>
      </c>
      <c r="E30633" t="s">
        <v>13312</v>
      </c>
    </row>
    <row r="30634" spans="1:5" x14ac:dyDescent="0.25">
      <c r="A30634" t="s">
        <v>10058</v>
      </c>
      <c r="B30634" t="s">
        <v>10059</v>
      </c>
      <c r="C30634" s="1" t="s">
        <v>23490</v>
      </c>
      <c r="D30634" s="1" t="str">
        <f>HYPERLINK("https://rhld.insurance.arkansas.gov/NPILookup?Npi=1063446706","1063446706")</f>
        <v>1063446706</v>
      </c>
      <c r="E30634" t="s">
        <v>10067</v>
      </c>
    </row>
    <row r="30635" spans="1:5" x14ac:dyDescent="0.25">
      <c r="A30635" t="s">
        <v>10058</v>
      </c>
      <c r="B30635" t="s">
        <v>10059</v>
      </c>
      <c r="C30635" s="1" t="s">
        <v>23490</v>
      </c>
      <c r="D30635" s="1" t="str">
        <f>HYPERLINK("https://rhld.insurance.arkansas.gov/NPILookup?Npi=1063447787","1063447787")</f>
        <v>1063447787</v>
      </c>
      <c r="E30635" t="s">
        <v>10103</v>
      </c>
    </row>
    <row r="30636" spans="1:5" x14ac:dyDescent="0.25">
      <c r="A30636" t="s">
        <v>10058</v>
      </c>
      <c r="B30636" t="s">
        <v>10059</v>
      </c>
      <c r="C30636" s="1" t="s">
        <v>23490</v>
      </c>
      <c r="D30636" s="1" t="str">
        <f>HYPERLINK("https://rhld.insurance.arkansas.gov/NPILookup?Npi=1063507861","1063507861")</f>
        <v>1063507861</v>
      </c>
      <c r="E30636" t="s">
        <v>10514</v>
      </c>
    </row>
    <row r="30637" spans="1:5" x14ac:dyDescent="0.25">
      <c r="A30637" t="s">
        <v>10058</v>
      </c>
      <c r="B30637" t="s">
        <v>10059</v>
      </c>
      <c r="C30637" s="1" t="s">
        <v>23490</v>
      </c>
      <c r="D30637" s="1" t="str">
        <f>HYPERLINK("https://rhld.insurance.arkansas.gov/NPILookup?Npi=1063557718","1063557718")</f>
        <v>1063557718</v>
      </c>
      <c r="E30637" t="s">
        <v>10104</v>
      </c>
    </row>
    <row r="30638" spans="1:5" x14ac:dyDescent="0.25">
      <c r="A30638" t="s">
        <v>10058</v>
      </c>
      <c r="B30638" t="s">
        <v>10059</v>
      </c>
      <c r="C30638" s="1" t="s">
        <v>23490</v>
      </c>
      <c r="D30638" s="1" t="str">
        <f>HYPERLINK("https://rhld.insurance.arkansas.gov/NPILookup?Npi=1063575165","1063575165")</f>
        <v>1063575165</v>
      </c>
      <c r="E30638" t="s">
        <v>10105</v>
      </c>
    </row>
    <row r="30639" spans="1:5" x14ac:dyDescent="0.25">
      <c r="A30639" t="s">
        <v>10058</v>
      </c>
      <c r="B30639" t="s">
        <v>10059</v>
      </c>
      <c r="C30639" s="1" t="s">
        <v>23490</v>
      </c>
      <c r="D30639" s="1" t="str">
        <f>HYPERLINK("https://rhld.insurance.arkansas.gov/NPILookup?Npi=1063585537","1063585537")</f>
        <v>1063585537</v>
      </c>
      <c r="E30639" t="s">
        <v>10087</v>
      </c>
    </row>
    <row r="30640" spans="1:5" x14ac:dyDescent="0.25">
      <c r="A30640" t="s">
        <v>10058</v>
      </c>
      <c r="B30640" t="s">
        <v>10059</v>
      </c>
      <c r="C30640" s="1" t="s">
        <v>23490</v>
      </c>
      <c r="D30640" s="1" t="str">
        <f>HYPERLINK("https://rhld.insurance.arkansas.gov/NPILookup?Npi=1063599868","1063599868")</f>
        <v>1063599868</v>
      </c>
      <c r="E30640" t="s">
        <v>10106</v>
      </c>
    </row>
    <row r="30641" spans="1:5" x14ac:dyDescent="0.25">
      <c r="A30641" t="s">
        <v>10058</v>
      </c>
      <c r="B30641" t="s">
        <v>10059</v>
      </c>
      <c r="C30641" s="1" t="s">
        <v>23490</v>
      </c>
      <c r="D30641" s="1" t="str">
        <f>HYPERLINK("https://rhld.insurance.arkansas.gov/NPILookup?Npi=1063599934","1063599934")</f>
        <v>1063599934</v>
      </c>
      <c r="E30641" t="s">
        <v>16816</v>
      </c>
    </row>
    <row r="30642" spans="1:5" x14ac:dyDescent="0.25">
      <c r="A30642" t="s">
        <v>10058</v>
      </c>
      <c r="B30642" t="s">
        <v>10059</v>
      </c>
      <c r="C30642" s="1" t="s">
        <v>23490</v>
      </c>
      <c r="D30642" s="1" t="str">
        <f>HYPERLINK("https://rhld.insurance.arkansas.gov/NPILookup?Npi=1063693067","1063693067")</f>
        <v>1063693067</v>
      </c>
      <c r="E30642" t="s">
        <v>10107</v>
      </c>
    </row>
    <row r="30643" spans="1:5" x14ac:dyDescent="0.25">
      <c r="A30643" t="s">
        <v>10058</v>
      </c>
      <c r="B30643" t="s">
        <v>10059</v>
      </c>
      <c r="C30643" s="1" t="s">
        <v>23490</v>
      </c>
      <c r="D30643" s="1" t="str">
        <f>HYPERLINK("https://rhld.insurance.arkansas.gov/NPILookup?Npi=1063705408","1063705408")</f>
        <v>1063705408</v>
      </c>
      <c r="E30643" t="s">
        <v>10108</v>
      </c>
    </row>
    <row r="30644" spans="1:5" x14ac:dyDescent="0.25">
      <c r="A30644" t="s">
        <v>10058</v>
      </c>
      <c r="B30644" t="s">
        <v>10059</v>
      </c>
      <c r="C30644" s="1" t="s">
        <v>23490</v>
      </c>
      <c r="D30644" s="1" t="str">
        <f>HYPERLINK("https://rhld.insurance.arkansas.gov/NPILookup?Npi=1063750495","1063750495")</f>
        <v>1063750495</v>
      </c>
      <c r="E30644" t="s">
        <v>10078</v>
      </c>
    </row>
    <row r="30645" spans="1:5" x14ac:dyDescent="0.25">
      <c r="A30645" t="s">
        <v>10058</v>
      </c>
      <c r="B30645" t="s">
        <v>10059</v>
      </c>
      <c r="C30645" s="1" t="s">
        <v>23490</v>
      </c>
      <c r="D30645" s="1" t="str">
        <f>HYPERLINK("https://rhld.insurance.arkansas.gov/NPILookup?Npi=1063775666","1063775666")</f>
        <v>1063775666</v>
      </c>
      <c r="E30645" t="s">
        <v>10065</v>
      </c>
    </row>
    <row r="30646" spans="1:5" x14ac:dyDescent="0.25">
      <c r="A30646" t="s">
        <v>10058</v>
      </c>
      <c r="B30646" t="s">
        <v>10059</v>
      </c>
      <c r="C30646" s="1" t="s">
        <v>23490</v>
      </c>
      <c r="D30646" s="1" t="str">
        <f>HYPERLINK("https://rhld.insurance.arkansas.gov/NPILookup?Npi=1063812139","1063812139")</f>
        <v>1063812139</v>
      </c>
      <c r="E30646" t="s">
        <v>10109</v>
      </c>
    </row>
    <row r="30647" spans="1:5" x14ac:dyDescent="0.25">
      <c r="A30647" t="s">
        <v>10058</v>
      </c>
      <c r="B30647" t="s">
        <v>10059</v>
      </c>
      <c r="C30647" s="1" t="s">
        <v>23490</v>
      </c>
      <c r="D30647" s="1" t="str">
        <f>HYPERLINK("https://rhld.insurance.arkansas.gov/NPILookup?Npi=1063834380","1063834380")</f>
        <v>1063834380</v>
      </c>
      <c r="E30647" t="s">
        <v>10110</v>
      </c>
    </row>
    <row r="30648" spans="1:5" x14ac:dyDescent="0.25">
      <c r="A30648" t="s">
        <v>10058</v>
      </c>
      <c r="B30648" t="s">
        <v>10059</v>
      </c>
      <c r="C30648" s="1" t="s">
        <v>23490</v>
      </c>
      <c r="D30648" s="1" t="str">
        <f>HYPERLINK("https://rhld.insurance.arkansas.gov/NPILookup?Npi=1063948289","1063948289")</f>
        <v>1063948289</v>
      </c>
      <c r="E30648" t="s">
        <v>14631</v>
      </c>
    </row>
    <row r="30649" spans="1:5" x14ac:dyDescent="0.25">
      <c r="A30649" t="s">
        <v>10058</v>
      </c>
      <c r="B30649" t="s">
        <v>10059</v>
      </c>
      <c r="C30649" s="1" t="s">
        <v>23490</v>
      </c>
      <c r="D30649" s="1" t="str">
        <f>HYPERLINK("https://rhld.insurance.arkansas.gov/NPILookup?Npi=1063955672","1063955672")</f>
        <v>1063955672</v>
      </c>
      <c r="E30649" t="s">
        <v>14632</v>
      </c>
    </row>
    <row r="30650" spans="1:5" x14ac:dyDescent="0.25">
      <c r="A30650" t="s">
        <v>10058</v>
      </c>
      <c r="B30650" t="s">
        <v>10059</v>
      </c>
      <c r="C30650" s="1" t="s">
        <v>23490</v>
      </c>
      <c r="D30650" s="1" t="str">
        <f>HYPERLINK("https://rhld.insurance.arkansas.gov/NPILookup?Npi=1073014866","1073014866")</f>
        <v>1073014866</v>
      </c>
      <c r="E30650" t="s">
        <v>14633</v>
      </c>
    </row>
    <row r="30651" spans="1:5" x14ac:dyDescent="0.25">
      <c r="A30651" t="s">
        <v>10058</v>
      </c>
      <c r="B30651" t="s">
        <v>10059</v>
      </c>
      <c r="C30651" s="1" t="s">
        <v>23490</v>
      </c>
      <c r="D30651" s="1" t="str">
        <f>HYPERLINK("https://rhld.insurance.arkansas.gov/NPILookup?Npi=1073085932","1073085932")</f>
        <v>1073085932</v>
      </c>
      <c r="E30651" t="s">
        <v>14634</v>
      </c>
    </row>
    <row r="30652" spans="1:5" x14ac:dyDescent="0.25">
      <c r="A30652" t="s">
        <v>10058</v>
      </c>
      <c r="B30652" t="s">
        <v>10059</v>
      </c>
      <c r="C30652" s="1" t="s">
        <v>23490</v>
      </c>
      <c r="D30652" s="1" t="str">
        <f>HYPERLINK("https://rhld.insurance.arkansas.gov/NPILookup?Npi=1073141982","1073141982")</f>
        <v>1073141982</v>
      </c>
      <c r="E30652" t="s">
        <v>18616</v>
      </c>
    </row>
    <row r="30653" spans="1:5" x14ac:dyDescent="0.25">
      <c r="A30653" t="s">
        <v>10058</v>
      </c>
      <c r="B30653" t="s">
        <v>10059</v>
      </c>
      <c r="C30653" s="1" t="s">
        <v>23490</v>
      </c>
      <c r="D30653" s="1" t="str">
        <f>HYPERLINK("https://rhld.insurance.arkansas.gov/NPILookup?Npi=1073164281","1073164281")</f>
        <v>1073164281</v>
      </c>
      <c r="E30653" t="s">
        <v>19268</v>
      </c>
    </row>
    <row r="30654" spans="1:5" x14ac:dyDescent="0.25">
      <c r="A30654" t="s">
        <v>10058</v>
      </c>
      <c r="B30654" t="s">
        <v>10059</v>
      </c>
      <c r="C30654" s="1" t="s">
        <v>23490</v>
      </c>
      <c r="D30654" s="1" t="str">
        <f>HYPERLINK("https://rhld.insurance.arkansas.gov/NPILookup?Npi=1073528170","1073528170")</f>
        <v>1073528170</v>
      </c>
      <c r="E30654" t="s">
        <v>10066</v>
      </c>
    </row>
    <row r="30655" spans="1:5" x14ac:dyDescent="0.25">
      <c r="A30655" t="s">
        <v>10058</v>
      </c>
      <c r="B30655" t="s">
        <v>10059</v>
      </c>
      <c r="C30655" s="1" t="s">
        <v>23490</v>
      </c>
      <c r="D30655" s="1" t="str">
        <f>HYPERLINK("https://rhld.insurance.arkansas.gov/NPILookup?Npi=1073530341","1073530341")</f>
        <v>1073530341</v>
      </c>
      <c r="E30655" t="s">
        <v>10060</v>
      </c>
    </row>
    <row r="30656" spans="1:5" x14ac:dyDescent="0.25">
      <c r="A30656" t="s">
        <v>10058</v>
      </c>
      <c r="B30656" t="s">
        <v>10059</v>
      </c>
      <c r="C30656" s="1" t="s">
        <v>23490</v>
      </c>
      <c r="D30656" s="1" t="str">
        <f>HYPERLINK("https://rhld.insurance.arkansas.gov/NPILookup?Npi=1073530457","1073530457")</f>
        <v>1073530457</v>
      </c>
      <c r="E30656" t="s">
        <v>13312</v>
      </c>
    </row>
    <row r="30657" spans="1:5" x14ac:dyDescent="0.25">
      <c r="A30657" t="s">
        <v>10058</v>
      </c>
      <c r="B30657" t="s">
        <v>10059</v>
      </c>
      <c r="C30657" s="1" t="s">
        <v>23490</v>
      </c>
      <c r="D30657" s="1" t="str">
        <f>HYPERLINK("https://rhld.insurance.arkansas.gov/NPILookup?Npi=1073530465","1073530465")</f>
        <v>1073530465</v>
      </c>
      <c r="E30657" t="s">
        <v>13312</v>
      </c>
    </row>
    <row r="30658" spans="1:5" x14ac:dyDescent="0.25">
      <c r="A30658" t="s">
        <v>10058</v>
      </c>
      <c r="B30658" t="s">
        <v>10059</v>
      </c>
      <c r="C30658" s="1" t="s">
        <v>23490</v>
      </c>
      <c r="D30658" s="1" t="str">
        <f>HYPERLINK("https://rhld.insurance.arkansas.gov/NPILookup?Npi=1073579843","1073579843")</f>
        <v>1073579843</v>
      </c>
      <c r="E30658" t="s">
        <v>10111</v>
      </c>
    </row>
    <row r="30659" spans="1:5" x14ac:dyDescent="0.25">
      <c r="A30659" t="s">
        <v>10058</v>
      </c>
      <c r="B30659" t="s">
        <v>10059</v>
      </c>
      <c r="C30659" s="1" t="s">
        <v>23490</v>
      </c>
      <c r="D30659" s="1" t="str">
        <f>HYPERLINK("https://rhld.insurance.arkansas.gov/NPILookup?Npi=1073601571","1073601571")</f>
        <v>1073601571</v>
      </c>
      <c r="E30659" t="s">
        <v>10112</v>
      </c>
    </row>
    <row r="30660" spans="1:5" x14ac:dyDescent="0.25">
      <c r="A30660" t="s">
        <v>10058</v>
      </c>
      <c r="B30660" t="s">
        <v>10059</v>
      </c>
      <c r="C30660" s="1" t="s">
        <v>23490</v>
      </c>
      <c r="D30660" s="1" t="str">
        <f>HYPERLINK("https://rhld.insurance.arkansas.gov/NPILookup?Npi=1073625075","1073625075")</f>
        <v>1073625075</v>
      </c>
      <c r="E30660" t="s">
        <v>23384</v>
      </c>
    </row>
    <row r="30661" spans="1:5" x14ac:dyDescent="0.25">
      <c r="A30661" t="s">
        <v>10058</v>
      </c>
      <c r="B30661" t="s">
        <v>10059</v>
      </c>
      <c r="C30661" s="1" t="s">
        <v>23490</v>
      </c>
      <c r="D30661" s="1" t="str">
        <f>HYPERLINK("https://rhld.insurance.arkansas.gov/NPILookup?Npi=1073686598","1073686598")</f>
        <v>1073686598</v>
      </c>
      <c r="E30661" t="s">
        <v>10113</v>
      </c>
    </row>
    <row r="30662" spans="1:5" x14ac:dyDescent="0.25">
      <c r="A30662" t="s">
        <v>10058</v>
      </c>
      <c r="B30662" t="s">
        <v>10059</v>
      </c>
      <c r="C30662" s="1" t="s">
        <v>23490</v>
      </c>
      <c r="D30662" s="1" t="str">
        <f>HYPERLINK("https://rhld.insurance.arkansas.gov/NPILookup?Npi=1073866893","1073866893")</f>
        <v>1073866893</v>
      </c>
      <c r="E30662" t="s">
        <v>10114</v>
      </c>
    </row>
    <row r="30663" spans="1:5" x14ac:dyDescent="0.25">
      <c r="A30663" t="s">
        <v>10058</v>
      </c>
      <c r="B30663" t="s">
        <v>10059</v>
      </c>
      <c r="C30663" s="1" t="s">
        <v>23490</v>
      </c>
      <c r="D30663" s="1" t="str">
        <f>HYPERLINK("https://rhld.insurance.arkansas.gov/NPILookup?Npi=1073868063","1073868063")</f>
        <v>1073868063</v>
      </c>
      <c r="E30663" t="s">
        <v>10115</v>
      </c>
    </row>
    <row r="30664" spans="1:5" x14ac:dyDescent="0.25">
      <c r="A30664" t="s">
        <v>10058</v>
      </c>
      <c r="B30664" t="s">
        <v>10059</v>
      </c>
      <c r="C30664" s="1" t="s">
        <v>23490</v>
      </c>
      <c r="D30664" s="1" t="str">
        <f>HYPERLINK("https://rhld.insurance.arkansas.gov/NPILookup?Npi=1073921177","1073921177")</f>
        <v>1073921177</v>
      </c>
      <c r="E30664" t="s">
        <v>10065</v>
      </c>
    </row>
    <row r="30665" spans="1:5" x14ac:dyDescent="0.25">
      <c r="A30665" t="s">
        <v>10058</v>
      </c>
      <c r="B30665" t="s">
        <v>10059</v>
      </c>
      <c r="C30665" s="1" t="s">
        <v>23490</v>
      </c>
      <c r="D30665" s="1" t="str">
        <f>HYPERLINK("https://rhld.insurance.arkansas.gov/NPILookup?Npi=1073946091","1073946091")</f>
        <v>1073946091</v>
      </c>
      <c r="E30665" t="s">
        <v>10116</v>
      </c>
    </row>
    <row r="30666" spans="1:5" x14ac:dyDescent="0.25">
      <c r="A30666" t="s">
        <v>10058</v>
      </c>
      <c r="B30666" t="s">
        <v>10059</v>
      </c>
      <c r="C30666" s="1" t="s">
        <v>23490</v>
      </c>
      <c r="D30666" s="1" t="str">
        <f>HYPERLINK("https://rhld.insurance.arkansas.gov/NPILookup?Npi=1073997177","1073997177")</f>
        <v>1073997177</v>
      </c>
      <c r="E30666" t="s">
        <v>10081</v>
      </c>
    </row>
    <row r="30667" spans="1:5" x14ac:dyDescent="0.25">
      <c r="A30667" t="s">
        <v>10058</v>
      </c>
      <c r="B30667" t="s">
        <v>10059</v>
      </c>
      <c r="C30667" s="1" t="s">
        <v>23490</v>
      </c>
      <c r="D30667" s="1" t="str">
        <f>HYPERLINK("https://rhld.insurance.arkansas.gov/NPILookup?Npi=1083161038","1083161038")</f>
        <v>1083161038</v>
      </c>
      <c r="E30667" t="s">
        <v>12719</v>
      </c>
    </row>
    <row r="30668" spans="1:5" x14ac:dyDescent="0.25">
      <c r="A30668" t="s">
        <v>10058</v>
      </c>
      <c r="B30668" t="s">
        <v>10059</v>
      </c>
      <c r="C30668" s="1" t="s">
        <v>23490</v>
      </c>
      <c r="D30668" s="1" t="str">
        <f>HYPERLINK("https://rhld.insurance.arkansas.gov/NPILookup?Npi=1083376990","1083376990")</f>
        <v>1083376990</v>
      </c>
      <c r="E30668" t="s">
        <v>22814</v>
      </c>
    </row>
    <row r="30669" spans="1:5" x14ac:dyDescent="0.25">
      <c r="A30669" t="s">
        <v>10058</v>
      </c>
      <c r="B30669" t="s">
        <v>10059</v>
      </c>
      <c r="C30669" s="1" t="s">
        <v>23490</v>
      </c>
      <c r="D30669" s="1" t="str">
        <f>HYPERLINK("https://rhld.insurance.arkansas.gov/NPILookup?Npi=1083381446","1083381446")</f>
        <v>1083381446</v>
      </c>
      <c r="E30669" t="s">
        <v>19269</v>
      </c>
    </row>
    <row r="30670" spans="1:5" x14ac:dyDescent="0.25">
      <c r="A30670" t="s">
        <v>10058</v>
      </c>
      <c r="B30670" t="s">
        <v>10059</v>
      </c>
      <c r="C30670" s="1" t="s">
        <v>23490</v>
      </c>
      <c r="D30670" s="1" t="str">
        <f>HYPERLINK("https://rhld.insurance.arkansas.gov/NPILookup?Npi=1083608319","1083608319")</f>
        <v>1083608319</v>
      </c>
      <c r="E30670" t="s">
        <v>16817</v>
      </c>
    </row>
    <row r="30671" spans="1:5" x14ac:dyDescent="0.25">
      <c r="A30671" t="s">
        <v>10058</v>
      </c>
      <c r="B30671" t="s">
        <v>10059</v>
      </c>
      <c r="C30671" s="1" t="s">
        <v>23490</v>
      </c>
      <c r="D30671" s="1" t="str">
        <f>HYPERLINK("https://rhld.insurance.arkansas.gov/NPILookup?Npi=1083608376","1083608376")</f>
        <v>1083608376</v>
      </c>
      <c r="E30671" t="s">
        <v>10117</v>
      </c>
    </row>
    <row r="30672" spans="1:5" x14ac:dyDescent="0.25">
      <c r="A30672" t="s">
        <v>10058</v>
      </c>
      <c r="B30672" t="s">
        <v>10059</v>
      </c>
      <c r="C30672" s="1" t="s">
        <v>23490</v>
      </c>
      <c r="D30672" s="1" t="str">
        <f>HYPERLINK("https://rhld.insurance.arkansas.gov/NPILookup?Npi=1083621080","1083621080")</f>
        <v>1083621080</v>
      </c>
      <c r="E30672" t="s">
        <v>10066</v>
      </c>
    </row>
    <row r="30673" spans="1:5" x14ac:dyDescent="0.25">
      <c r="A30673" t="s">
        <v>10058</v>
      </c>
      <c r="B30673" t="s">
        <v>10059</v>
      </c>
      <c r="C30673" s="1" t="s">
        <v>23490</v>
      </c>
      <c r="D30673" s="1" t="str">
        <f>HYPERLINK("https://rhld.insurance.arkansas.gov/NPILookup?Npi=1083625610","1083625610")</f>
        <v>1083625610</v>
      </c>
      <c r="E30673" t="s">
        <v>10118</v>
      </c>
    </row>
    <row r="30674" spans="1:5" x14ac:dyDescent="0.25">
      <c r="A30674" t="s">
        <v>10058</v>
      </c>
      <c r="B30674" t="s">
        <v>10059</v>
      </c>
      <c r="C30674" s="1" t="s">
        <v>23490</v>
      </c>
      <c r="D30674" s="1" t="str">
        <f>HYPERLINK("https://rhld.insurance.arkansas.gov/NPILookup?Npi=1083631592","1083631592")</f>
        <v>1083631592</v>
      </c>
      <c r="E30674" t="s">
        <v>13312</v>
      </c>
    </row>
    <row r="30675" spans="1:5" x14ac:dyDescent="0.25">
      <c r="A30675" t="s">
        <v>10058</v>
      </c>
      <c r="B30675" t="s">
        <v>10059</v>
      </c>
      <c r="C30675" s="1" t="s">
        <v>23490</v>
      </c>
      <c r="D30675" s="1" t="str">
        <f>HYPERLINK("https://rhld.insurance.arkansas.gov/NPILookup?Npi=1083733224","1083733224")</f>
        <v>1083733224</v>
      </c>
      <c r="E30675" t="s">
        <v>10066</v>
      </c>
    </row>
    <row r="30676" spans="1:5" x14ac:dyDescent="0.25">
      <c r="A30676" t="s">
        <v>10058</v>
      </c>
      <c r="B30676" t="s">
        <v>10059</v>
      </c>
      <c r="C30676" s="1" t="s">
        <v>23490</v>
      </c>
      <c r="D30676" s="1" t="str">
        <f>HYPERLINK("https://rhld.insurance.arkansas.gov/NPILookup?Npi=1083754816","1083754816")</f>
        <v>1083754816</v>
      </c>
      <c r="E30676" t="s">
        <v>12720</v>
      </c>
    </row>
    <row r="30677" spans="1:5" x14ac:dyDescent="0.25">
      <c r="A30677" t="s">
        <v>10058</v>
      </c>
      <c r="B30677" t="s">
        <v>10059</v>
      </c>
      <c r="C30677" s="1" t="s">
        <v>23490</v>
      </c>
      <c r="D30677" s="1" t="str">
        <f>HYPERLINK("https://rhld.insurance.arkansas.gov/NPILookup?Npi=1083774210","1083774210")</f>
        <v>1083774210</v>
      </c>
      <c r="E30677" t="s">
        <v>10067</v>
      </c>
    </row>
    <row r="30678" spans="1:5" x14ac:dyDescent="0.25">
      <c r="A30678" t="s">
        <v>10058</v>
      </c>
      <c r="B30678" t="s">
        <v>10059</v>
      </c>
      <c r="C30678" s="1" t="s">
        <v>23490</v>
      </c>
      <c r="D30678" s="1" t="str">
        <f>HYPERLINK("https://rhld.insurance.arkansas.gov/NPILookup?Npi=1083855605","1083855605")</f>
        <v>1083855605</v>
      </c>
      <c r="E30678" t="s">
        <v>10066</v>
      </c>
    </row>
    <row r="30679" spans="1:5" x14ac:dyDescent="0.25">
      <c r="A30679" t="s">
        <v>10058</v>
      </c>
      <c r="B30679" t="s">
        <v>10059</v>
      </c>
      <c r="C30679" s="1" t="s">
        <v>23490</v>
      </c>
      <c r="D30679" s="1" t="str">
        <f>HYPERLINK("https://rhld.insurance.arkansas.gov/NPILookup?Npi=1093009292","1093009292")</f>
        <v>1093009292</v>
      </c>
      <c r="E30679" t="s">
        <v>16818</v>
      </c>
    </row>
    <row r="30680" spans="1:5" x14ac:dyDescent="0.25">
      <c r="A30680" t="s">
        <v>10058</v>
      </c>
      <c r="B30680" t="s">
        <v>10059</v>
      </c>
      <c r="C30680" s="1" t="s">
        <v>23490</v>
      </c>
      <c r="D30680" s="1" t="str">
        <f>HYPERLINK("https://rhld.insurance.arkansas.gov/NPILookup?Npi=1093046500","1093046500")</f>
        <v>1093046500</v>
      </c>
      <c r="E30680" t="s">
        <v>10119</v>
      </c>
    </row>
    <row r="30681" spans="1:5" x14ac:dyDescent="0.25">
      <c r="A30681" t="s">
        <v>10058</v>
      </c>
      <c r="B30681" t="s">
        <v>10059</v>
      </c>
      <c r="C30681" s="1" t="s">
        <v>23490</v>
      </c>
      <c r="D30681" s="1" t="str">
        <f>HYPERLINK("https://rhld.insurance.arkansas.gov/NPILookup?Npi=1093118945","1093118945")</f>
        <v>1093118945</v>
      </c>
      <c r="E30681" t="s">
        <v>10120</v>
      </c>
    </row>
    <row r="30682" spans="1:5" x14ac:dyDescent="0.25">
      <c r="A30682" t="s">
        <v>10058</v>
      </c>
      <c r="B30682" t="s">
        <v>10059</v>
      </c>
      <c r="C30682" s="1" t="s">
        <v>23490</v>
      </c>
      <c r="D30682" s="1" t="str">
        <f>HYPERLINK("https://rhld.insurance.arkansas.gov/NPILookup?Npi=1093257420","1093257420")</f>
        <v>1093257420</v>
      </c>
      <c r="E30682" t="s">
        <v>14635</v>
      </c>
    </row>
    <row r="30683" spans="1:5" x14ac:dyDescent="0.25">
      <c r="A30683" t="s">
        <v>10058</v>
      </c>
      <c r="B30683" t="s">
        <v>10059</v>
      </c>
      <c r="C30683" s="1" t="s">
        <v>23490</v>
      </c>
      <c r="D30683" s="1" t="str">
        <f>HYPERLINK("https://rhld.insurance.arkansas.gov/NPILookup?Npi=1093271728","1093271728")</f>
        <v>1093271728</v>
      </c>
      <c r="E30683" t="s">
        <v>14636</v>
      </c>
    </row>
    <row r="30684" spans="1:5" x14ac:dyDescent="0.25">
      <c r="A30684" t="s">
        <v>10058</v>
      </c>
      <c r="B30684" t="s">
        <v>10059</v>
      </c>
      <c r="C30684" s="1" t="s">
        <v>23490</v>
      </c>
      <c r="D30684" s="1" t="str">
        <f>HYPERLINK("https://rhld.insurance.arkansas.gov/NPILookup?Npi=1093439051","1093439051")</f>
        <v>1093439051</v>
      </c>
      <c r="E30684" t="s">
        <v>22815</v>
      </c>
    </row>
    <row r="30685" spans="1:5" x14ac:dyDescent="0.25">
      <c r="A30685" t="s">
        <v>10058</v>
      </c>
      <c r="B30685" t="s">
        <v>10059</v>
      </c>
      <c r="C30685" s="1" t="s">
        <v>23490</v>
      </c>
      <c r="D30685" s="1" t="str">
        <f>HYPERLINK("https://rhld.insurance.arkansas.gov/NPILookup?Npi=1093701336","1093701336")</f>
        <v>1093701336</v>
      </c>
      <c r="E30685" t="s">
        <v>12721</v>
      </c>
    </row>
    <row r="30686" spans="1:5" x14ac:dyDescent="0.25">
      <c r="A30686" t="s">
        <v>10058</v>
      </c>
      <c r="B30686" t="s">
        <v>10059</v>
      </c>
      <c r="C30686" s="1" t="s">
        <v>23490</v>
      </c>
      <c r="D30686" s="1" t="str">
        <f>HYPERLINK("https://rhld.insurance.arkansas.gov/NPILookup?Npi=1093720096","1093720096")</f>
        <v>1093720096</v>
      </c>
      <c r="E30686" t="s">
        <v>10066</v>
      </c>
    </row>
    <row r="30687" spans="1:5" x14ac:dyDescent="0.25">
      <c r="A30687" t="s">
        <v>10058</v>
      </c>
      <c r="B30687" t="s">
        <v>10059</v>
      </c>
      <c r="C30687" s="1" t="s">
        <v>23490</v>
      </c>
      <c r="D30687" s="1" t="str">
        <f>HYPERLINK("https://rhld.insurance.arkansas.gov/NPILookup?Npi=1093720351","1093720351")</f>
        <v>1093720351</v>
      </c>
      <c r="E30687" t="s">
        <v>10066</v>
      </c>
    </row>
    <row r="30688" spans="1:5" x14ac:dyDescent="0.25">
      <c r="A30688" t="s">
        <v>10058</v>
      </c>
      <c r="B30688" t="s">
        <v>10059</v>
      </c>
      <c r="C30688" s="1" t="s">
        <v>23490</v>
      </c>
      <c r="D30688" s="1" t="str">
        <f>HYPERLINK("https://rhld.insurance.arkansas.gov/NPILookup?Npi=1093720443","1093720443")</f>
        <v>1093720443</v>
      </c>
      <c r="E30688" t="s">
        <v>22816</v>
      </c>
    </row>
    <row r="30689" spans="1:5" x14ac:dyDescent="0.25">
      <c r="A30689" t="s">
        <v>10058</v>
      </c>
      <c r="B30689" t="s">
        <v>10059</v>
      </c>
      <c r="C30689" s="1" t="s">
        <v>23490</v>
      </c>
      <c r="D30689" s="1" t="str">
        <f>HYPERLINK("https://rhld.insurance.arkansas.gov/NPILookup?Npi=1093720617","1093720617")</f>
        <v>1093720617</v>
      </c>
      <c r="E30689" t="s">
        <v>10121</v>
      </c>
    </row>
    <row r="30690" spans="1:5" x14ac:dyDescent="0.25">
      <c r="A30690" t="s">
        <v>10058</v>
      </c>
      <c r="B30690" t="s">
        <v>10059</v>
      </c>
      <c r="C30690" s="1" t="s">
        <v>23490</v>
      </c>
      <c r="D30690" s="1" t="str">
        <f>HYPERLINK("https://rhld.insurance.arkansas.gov/NPILookup?Npi=1093730715","1093730715")</f>
        <v>1093730715</v>
      </c>
      <c r="E30690" t="s">
        <v>10067</v>
      </c>
    </row>
    <row r="30691" spans="1:5" x14ac:dyDescent="0.25">
      <c r="A30691" t="s">
        <v>10058</v>
      </c>
      <c r="B30691" t="s">
        <v>10059</v>
      </c>
      <c r="C30691" s="1" t="s">
        <v>23490</v>
      </c>
      <c r="D30691" s="1" t="str">
        <f>HYPERLINK("https://rhld.insurance.arkansas.gov/NPILookup?Npi=1093861825","1093861825")</f>
        <v>1093861825</v>
      </c>
      <c r="E30691" t="s">
        <v>19270</v>
      </c>
    </row>
    <row r="30692" spans="1:5" x14ac:dyDescent="0.25">
      <c r="A30692" t="s">
        <v>10058</v>
      </c>
      <c r="B30692" t="s">
        <v>10059</v>
      </c>
      <c r="C30692" s="1" t="s">
        <v>23490</v>
      </c>
      <c r="D30692" s="1" t="str">
        <f>HYPERLINK("https://rhld.insurance.arkansas.gov/NPILookup?Npi=1093863037","1093863037")</f>
        <v>1093863037</v>
      </c>
      <c r="E30692" t="s">
        <v>17343</v>
      </c>
    </row>
    <row r="30693" spans="1:5" x14ac:dyDescent="0.25">
      <c r="A30693" t="s">
        <v>10058</v>
      </c>
      <c r="B30693" t="s">
        <v>10059</v>
      </c>
      <c r="C30693" s="1" t="s">
        <v>23490</v>
      </c>
      <c r="D30693" s="1" t="str">
        <f>HYPERLINK("https://rhld.insurance.arkansas.gov/NPILookup?Npi=1093888562","1093888562")</f>
        <v>1093888562</v>
      </c>
      <c r="E30693" t="s">
        <v>10087</v>
      </c>
    </row>
    <row r="30694" spans="1:5" x14ac:dyDescent="0.25">
      <c r="A30694" t="s">
        <v>10058</v>
      </c>
      <c r="B30694" t="s">
        <v>10059</v>
      </c>
      <c r="C30694" s="1" t="s">
        <v>23490</v>
      </c>
      <c r="D30694" s="1" t="str">
        <f>HYPERLINK("https://rhld.insurance.arkansas.gov/NPILookup?Npi=1093969016","1093969016")</f>
        <v>1093969016</v>
      </c>
      <c r="E30694" t="s">
        <v>10085</v>
      </c>
    </row>
    <row r="30695" spans="1:5" x14ac:dyDescent="0.25">
      <c r="A30695" t="s">
        <v>10058</v>
      </c>
      <c r="B30695" t="s">
        <v>10059</v>
      </c>
      <c r="C30695" s="1" t="s">
        <v>23490</v>
      </c>
      <c r="D30695" s="1" t="str">
        <f>HYPERLINK("https://rhld.insurance.arkansas.gov/NPILookup?Npi=1093973836","1093973836")</f>
        <v>1093973836</v>
      </c>
      <c r="E30695" t="s">
        <v>22817</v>
      </c>
    </row>
    <row r="30696" spans="1:5" x14ac:dyDescent="0.25">
      <c r="A30696" t="s">
        <v>10058</v>
      </c>
      <c r="B30696" t="s">
        <v>10059</v>
      </c>
      <c r="C30696" s="1" t="s">
        <v>23490</v>
      </c>
      <c r="D30696" s="1" t="str">
        <f>HYPERLINK("https://rhld.insurance.arkansas.gov/NPILookup?Npi=1104117878","1104117878")</f>
        <v>1104117878</v>
      </c>
      <c r="E30696" t="s">
        <v>10078</v>
      </c>
    </row>
    <row r="30697" spans="1:5" x14ac:dyDescent="0.25">
      <c r="A30697" t="s">
        <v>10058</v>
      </c>
      <c r="B30697" t="s">
        <v>10059</v>
      </c>
      <c r="C30697" s="1" t="s">
        <v>23490</v>
      </c>
      <c r="D30697" s="1" t="str">
        <f>HYPERLINK("https://rhld.insurance.arkansas.gov/NPILookup?Npi=1104172121","1104172121")</f>
        <v>1104172121</v>
      </c>
      <c r="E30697" t="s">
        <v>10066</v>
      </c>
    </row>
    <row r="30698" spans="1:5" x14ac:dyDescent="0.25">
      <c r="A30698" t="s">
        <v>10058</v>
      </c>
      <c r="B30698" t="s">
        <v>10059</v>
      </c>
      <c r="C30698" s="1" t="s">
        <v>23490</v>
      </c>
      <c r="D30698" s="1" t="str">
        <f>HYPERLINK("https://rhld.insurance.arkansas.gov/NPILookup?Npi=1104179274","1104179274")</f>
        <v>1104179274</v>
      </c>
      <c r="E30698" t="s">
        <v>10122</v>
      </c>
    </row>
    <row r="30699" spans="1:5" x14ac:dyDescent="0.25">
      <c r="A30699" t="s">
        <v>10058</v>
      </c>
      <c r="B30699" t="s">
        <v>10059</v>
      </c>
      <c r="C30699" s="1" t="s">
        <v>23490</v>
      </c>
      <c r="D30699" s="1" t="str">
        <f>HYPERLINK("https://rhld.insurance.arkansas.gov/NPILookup?Npi=1104184332","1104184332")</f>
        <v>1104184332</v>
      </c>
      <c r="E30699" t="s">
        <v>18617</v>
      </c>
    </row>
    <row r="30700" spans="1:5" x14ac:dyDescent="0.25">
      <c r="A30700" t="s">
        <v>10058</v>
      </c>
      <c r="B30700" t="s">
        <v>10059</v>
      </c>
      <c r="C30700" s="1" t="s">
        <v>23490</v>
      </c>
      <c r="D30700" s="1" t="str">
        <f>HYPERLINK("https://rhld.insurance.arkansas.gov/NPILookup?Npi=1104228386","1104228386")</f>
        <v>1104228386</v>
      </c>
      <c r="E30700" t="s">
        <v>10062</v>
      </c>
    </row>
    <row r="30701" spans="1:5" x14ac:dyDescent="0.25">
      <c r="A30701" t="s">
        <v>10058</v>
      </c>
      <c r="B30701" t="s">
        <v>10059</v>
      </c>
      <c r="C30701" s="1" t="s">
        <v>23490</v>
      </c>
      <c r="D30701" s="1" t="str">
        <f>HYPERLINK("https://rhld.insurance.arkansas.gov/NPILookup?Npi=1104274315","1104274315")</f>
        <v>1104274315</v>
      </c>
      <c r="E30701" t="s">
        <v>13312</v>
      </c>
    </row>
    <row r="30702" spans="1:5" x14ac:dyDescent="0.25">
      <c r="A30702" t="s">
        <v>10058</v>
      </c>
      <c r="B30702" t="s">
        <v>10059</v>
      </c>
      <c r="C30702" s="1" t="s">
        <v>23490</v>
      </c>
      <c r="D30702" s="1" t="str">
        <f>HYPERLINK("https://rhld.insurance.arkansas.gov/NPILookup?Npi=1104297753","1104297753")</f>
        <v>1104297753</v>
      </c>
      <c r="E30702" t="s">
        <v>10060</v>
      </c>
    </row>
    <row r="30703" spans="1:5" x14ac:dyDescent="0.25">
      <c r="A30703" t="s">
        <v>10058</v>
      </c>
      <c r="B30703" t="s">
        <v>10059</v>
      </c>
      <c r="C30703" s="1" t="s">
        <v>23490</v>
      </c>
      <c r="D30703" s="1" t="str">
        <f>HYPERLINK("https://rhld.insurance.arkansas.gov/NPILookup?Npi=1104434000","1104434000")</f>
        <v>1104434000</v>
      </c>
      <c r="E30703" t="s">
        <v>10435</v>
      </c>
    </row>
    <row r="30704" spans="1:5" x14ac:dyDescent="0.25">
      <c r="A30704" t="s">
        <v>10058</v>
      </c>
      <c r="B30704" t="s">
        <v>10059</v>
      </c>
      <c r="C30704" s="1" t="s">
        <v>23490</v>
      </c>
      <c r="D30704" s="1" t="str">
        <f>HYPERLINK("https://rhld.insurance.arkansas.gov/NPILookup?Npi=1104461532","1104461532")</f>
        <v>1104461532</v>
      </c>
      <c r="E30704" t="s">
        <v>19271</v>
      </c>
    </row>
    <row r="30705" spans="1:5" x14ac:dyDescent="0.25">
      <c r="A30705" t="s">
        <v>10058</v>
      </c>
      <c r="B30705" t="s">
        <v>10059</v>
      </c>
      <c r="C30705" s="1" t="s">
        <v>23490</v>
      </c>
      <c r="D30705" s="1" t="str">
        <f>HYPERLINK("https://rhld.insurance.arkansas.gov/NPILookup?Npi=1104811173","1104811173")</f>
        <v>1104811173</v>
      </c>
      <c r="E30705" t="s">
        <v>10123</v>
      </c>
    </row>
    <row r="30706" spans="1:5" x14ac:dyDescent="0.25">
      <c r="A30706" t="s">
        <v>10058</v>
      </c>
      <c r="B30706" t="s">
        <v>10059</v>
      </c>
      <c r="C30706" s="1" t="s">
        <v>23490</v>
      </c>
      <c r="D30706" s="1" t="str">
        <f>HYPERLINK("https://rhld.insurance.arkansas.gov/NPILookup?Npi=1104833169","1104833169")</f>
        <v>1104833169</v>
      </c>
      <c r="E30706" t="s">
        <v>10066</v>
      </c>
    </row>
    <row r="30707" spans="1:5" x14ac:dyDescent="0.25">
      <c r="A30707" t="s">
        <v>10058</v>
      </c>
      <c r="B30707" t="s">
        <v>10059</v>
      </c>
      <c r="C30707" s="1" t="s">
        <v>23490</v>
      </c>
      <c r="D30707" s="1" t="str">
        <f>HYPERLINK("https://rhld.insurance.arkansas.gov/NPILookup?Npi=1104847151","1104847151")</f>
        <v>1104847151</v>
      </c>
      <c r="E30707" t="s">
        <v>10124</v>
      </c>
    </row>
    <row r="30708" spans="1:5" x14ac:dyDescent="0.25">
      <c r="A30708" t="s">
        <v>10058</v>
      </c>
      <c r="B30708" t="s">
        <v>10059</v>
      </c>
      <c r="C30708" s="1" t="s">
        <v>23490</v>
      </c>
      <c r="D30708" s="1" t="str">
        <f>HYPERLINK("https://rhld.insurance.arkansas.gov/NPILookup?Npi=1104850981","1104850981")</f>
        <v>1104850981</v>
      </c>
      <c r="E30708" t="s">
        <v>10067</v>
      </c>
    </row>
    <row r="30709" spans="1:5" x14ac:dyDescent="0.25">
      <c r="A30709" t="s">
        <v>10058</v>
      </c>
      <c r="B30709" t="s">
        <v>10059</v>
      </c>
      <c r="C30709" s="1" t="s">
        <v>23490</v>
      </c>
      <c r="D30709" s="1" t="str">
        <f>HYPERLINK("https://rhld.insurance.arkansas.gov/NPILookup?Npi=1104954585","1104954585")</f>
        <v>1104954585</v>
      </c>
      <c r="E30709" t="s">
        <v>12722</v>
      </c>
    </row>
    <row r="30710" spans="1:5" x14ac:dyDescent="0.25">
      <c r="A30710" t="s">
        <v>10058</v>
      </c>
      <c r="B30710" t="s">
        <v>10059</v>
      </c>
      <c r="C30710" s="1" t="s">
        <v>23490</v>
      </c>
      <c r="D30710" s="1" t="str">
        <f>HYPERLINK("https://rhld.insurance.arkansas.gov/NPILookup?Npi=1104989763","1104989763")</f>
        <v>1104989763</v>
      </c>
      <c r="E30710" t="s">
        <v>22818</v>
      </c>
    </row>
    <row r="30711" spans="1:5" x14ac:dyDescent="0.25">
      <c r="A30711" t="s">
        <v>10058</v>
      </c>
      <c r="B30711" t="s">
        <v>10059</v>
      </c>
      <c r="C30711" s="1" t="s">
        <v>23490</v>
      </c>
      <c r="D30711" s="1" t="str">
        <f>HYPERLINK("https://rhld.insurance.arkansas.gov/NPILookup?Npi=1114000528","1114000528")</f>
        <v>1114000528</v>
      </c>
      <c r="E30711" t="s">
        <v>10066</v>
      </c>
    </row>
    <row r="30712" spans="1:5" x14ac:dyDescent="0.25">
      <c r="A30712" t="s">
        <v>10058</v>
      </c>
      <c r="B30712" t="s">
        <v>10059</v>
      </c>
      <c r="C30712" s="1" t="s">
        <v>23490</v>
      </c>
      <c r="D30712" s="1" t="str">
        <f>HYPERLINK("https://rhld.insurance.arkansas.gov/NPILookup?Npi=1114090446","1114090446")</f>
        <v>1114090446</v>
      </c>
      <c r="E30712" t="s">
        <v>10087</v>
      </c>
    </row>
    <row r="30713" spans="1:5" x14ac:dyDescent="0.25">
      <c r="A30713" t="s">
        <v>10058</v>
      </c>
      <c r="B30713" t="s">
        <v>10059</v>
      </c>
      <c r="C30713" s="1" t="s">
        <v>23490</v>
      </c>
      <c r="D30713" s="1" t="str">
        <f>HYPERLINK("https://rhld.insurance.arkansas.gov/NPILookup?Npi=1114164597","1114164597")</f>
        <v>1114164597</v>
      </c>
      <c r="E30713" t="s">
        <v>10125</v>
      </c>
    </row>
    <row r="30714" spans="1:5" x14ac:dyDescent="0.25">
      <c r="A30714" t="s">
        <v>10058</v>
      </c>
      <c r="B30714" t="s">
        <v>10059</v>
      </c>
      <c r="C30714" s="1" t="s">
        <v>23490</v>
      </c>
      <c r="D30714" s="1" t="str">
        <f>HYPERLINK("https://rhld.insurance.arkansas.gov/NPILookup?Npi=1114217676","1114217676")</f>
        <v>1114217676</v>
      </c>
      <c r="E30714" t="s">
        <v>10062</v>
      </c>
    </row>
    <row r="30715" spans="1:5" x14ac:dyDescent="0.25">
      <c r="A30715" t="s">
        <v>10058</v>
      </c>
      <c r="B30715" t="s">
        <v>10059</v>
      </c>
      <c r="C30715" s="1" t="s">
        <v>23490</v>
      </c>
      <c r="D30715" s="1" t="str">
        <f>HYPERLINK("https://rhld.insurance.arkansas.gov/NPILookup?Npi=1114290590","1114290590")</f>
        <v>1114290590</v>
      </c>
      <c r="E30715" t="s">
        <v>10126</v>
      </c>
    </row>
    <row r="30716" spans="1:5" x14ac:dyDescent="0.25">
      <c r="A30716" t="s">
        <v>10058</v>
      </c>
      <c r="B30716" t="s">
        <v>10059</v>
      </c>
      <c r="C30716" s="1" t="s">
        <v>23490</v>
      </c>
      <c r="D30716" s="1" t="str">
        <f>HYPERLINK("https://rhld.insurance.arkansas.gov/NPILookup?Npi=1114464211","1114464211")</f>
        <v>1114464211</v>
      </c>
      <c r="E30716" t="s">
        <v>7546</v>
      </c>
    </row>
    <row r="30717" spans="1:5" x14ac:dyDescent="0.25">
      <c r="A30717" t="s">
        <v>10058</v>
      </c>
      <c r="B30717" t="s">
        <v>10059</v>
      </c>
      <c r="C30717" s="1" t="s">
        <v>23490</v>
      </c>
      <c r="D30717" s="1" t="str">
        <f>HYPERLINK("https://rhld.insurance.arkansas.gov/NPILookup?Npi=1114926524","1114926524")</f>
        <v>1114926524</v>
      </c>
      <c r="E30717" t="s">
        <v>10170</v>
      </c>
    </row>
    <row r="30718" spans="1:5" x14ac:dyDescent="0.25">
      <c r="A30718" t="s">
        <v>10058</v>
      </c>
      <c r="B30718" t="s">
        <v>10059</v>
      </c>
      <c r="C30718" s="1" t="s">
        <v>23490</v>
      </c>
      <c r="D30718" s="1" t="str">
        <f>HYPERLINK("https://rhld.insurance.arkansas.gov/NPILookup?Npi=1124045232","1124045232")</f>
        <v>1124045232</v>
      </c>
      <c r="E30718" t="s">
        <v>10060</v>
      </c>
    </row>
    <row r="30719" spans="1:5" x14ac:dyDescent="0.25">
      <c r="A30719" t="s">
        <v>10058</v>
      </c>
      <c r="B30719" t="s">
        <v>10059</v>
      </c>
      <c r="C30719" s="1" t="s">
        <v>23490</v>
      </c>
      <c r="D30719" s="1" t="str">
        <f>HYPERLINK("https://rhld.insurance.arkansas.gov/NPILookup?Npi=1124045372","1124045372")</f>
        <v>1124045372</v>
      </c>
      <c r="E30719" t="s">
        <v>10127</v>
      </c>
    </row>
    <row r="30720" spans="1:5" x14ac:dyDescent="0.25">
      <c r="A30720" t="s">
        <v>10058</v>
      </c>
      <c r="B30720" t="s">
        <v>10059</v>
      </c>
      <c r="C30720" s="1" t="s">
        <v>23490</v>
      </c>
      <c r="D30720" s="1" t="str">
        <f>HYPERLINK("https://rhld.insurance.arkansas.gov/NPILookup?Npi=1124095070","1124095070")</f>
        <v>1124095070</v>
      </c>
      <c r="E30720" t="s">
        <v>4080</v>
      </c>
    </row>
    <row r="30721" spans="1:5" x14ac:dyDescent="0.25">
      <c r="A30721" t="s">
        <v>10058</v>
      </c>
      <c r="B30721" t="s">
        <v>10059</v>
      </c>
      <c r="C30721" s="1" t="s">
        <v>23490</v>
      </c>
      <c r="D30721" s="1" t="str">
        <f>HYPERLINK("https://rhld.insurance.arkansas.gov/NPILookup?Npi=1124102264","1124102264")</f>
        <v>1124102264</v>
      </c>
      <c r="E30721" t="s">
        <v>10066</v>
      </c>
    </row>
    <row r="30722" spans="1:5" x14ac:dyDescent="0.25">
      <c r="A30722" t="s">
        <v>10058</v>
      </c>
      <c r="B30722" t="s">
        <v>10059</v>
      </c>
      <c r="C30722" s="1" t="s">
        <v>23490</v>
      </c>
      <c r="D30722" s="1" t="str">
        <f>HYPERLINK("https://rhld.insurance.arkansas.gov/NPILookup?Npi=1124198221","1124198221")</f>
        <v>1124198221</v>
      </c>
      <c r="E30722" t="s">
        <v>10066</v>
      </c>
    </row>
    <row r="30723" spans="1:5" x14ac:dyDescent="0.25">
      <c r="A30723" t="s">
        <v>10058</v>
      </c>
      <c r="B30723" t="s">
        <v>10059</v>
      </c>
      <c r="C30723" s="1" t="s">
        <v>23490</v>
      </c>
      <c r="D30723" s="1" t="str">
        <f>HYPERLINK("https://rhld.insurance.arkansas.gov/NPILookup?Npi=1124223243","1124223243")</f>
        <v>1124223243</v>
      </c>
      <c r="E30723" t="s">
        <v>10078</v>
      </c>
    </row>
    <row r="30724" spans="1:5" x14ac:dyDescent="0.25">
      <c r="A30724" t="s">
        <v>10058</v>
      </c>
      <c r="B30724" t="s">
        <v>10059</v>
      </c>
      <c r="C30724" s="1" t="s">
        <v>23490</v>
      </c>
      <c r="D30724" s="1" t="str">
        <f>HYPERLINK("https://rhld.insurance.arkansas.gov/NPILookup?Npi=1124313267","1124313267")</f>
        <v>1124313267</v>
      </c>
      <c r="E30724" t="s">
        <v>10128</v>
      </c>
    </row>
    <row r="30725" spans="1:5" x14ac:dyDescent="0.25">
      <c r="A30725" t="s">
        <v>10058</v>
      </c>
      <c r="B30725" t="s">
        <v>10059</v>
      </c>
      <c r="C30725" s="1" t="s">
        <v>23490</v>
      </c>
      <c r="D30725" s="1" t="str">
        <f>HYPERLINK("https://rhld.insurance.arkansas.gov/NPILookup?Npi=1124372636","1124372636")</f>
        <v>1124372636</v>
      </c>
      <c r="E30725" t="s">
        <v>10129</v>
      </c>
    </row>
    <row r="30726" spans="1:5" x14ac:dyDescent="0.25">
      <c r="A30726" t="s">
        <v>10058</v>
      </c>
      <c r="B30726" t="s">
        <v>10059</v>
      </c>
      <c r="C30726" s="1" t="s">
        <v>23490</v>
      </c>
      <c r="D30726" s="1" t="str">
        <f>HYPERLINK("https://rhld.insurance.arkansas.gov/NPILookup?Npi=1124377437","1124377437")</f>
        <v>1124377437</v>
      </c>
      <c r="E30726" t="s">
        <v>13312</v>
      </c>
    </row>
    <row r="30727" spans="1:5" x14ac:dyDescent="0.25">
      <c r="A30727" t="s">
        <v>10058</v>
      </c>
      <c r="B30727" t="s">
        <v>10059</v>
      </c>
      <c r="C30727" s="1" t="s">
        <v>23490</v>
      </c>
      <c r="D30727" s="1" t="str">
        <f>HYPERLINK("https://rhld.insurance.arkansas.gov/NPILookup?Npi=1124634555","1124634555")</f>
        <v>1124634555</v>
      </c>
      <c r="E30727" t="s">
        <v>16625</v>
      </c>
    </row>
    <row r="30728" spans="1:5" x14ac:dyDescent="0.25">
      <c r="A30728" t="s">
        <v>10058</v>
      </c>
      <c r="B30728" t="s">
        <v>10059</v>
      </c>
      <c r="C30728" s="1" t="s">
        <v>23490</v>
      </c>
      <c r="D30728" s="1" t="str">
        <f>HYPERLINK("https://rhld.insurance.arkansas.gov/NPILookup?Npi=1124658141","1124658141")</f>
        <v>1124658141</v>
      </c>
      <c r="E30728" t="s">
        <v>10521</v>
      </c>
    </row>
    <row r="30729" spans="1:5" x14ac:dyDescent="0.25">
      <c r="A30729" t="s">
        <v>10058</v>
      </c>
      <c r="B30729" t="s">
        <v>10059</v>
      </c>
      <c r="C30729" s="1" t="s">
        <v>23490</v>
      </c>
      <c r="D30729" s="1" t="str">
        <f>HYPERLINK("https://rhld.insurance.arkansas.gov/NPILookup?Npi=1124789573","1124789573")</f>
        <v>1124789573</v>
      </c>
      <c r="E30729" t="s">
        <v>22819</v>
      </c>
    </row>
    <row r="30730" spans="1:5" x14ac:dyDescent="0.25">
      <c r="A30730" t="s">
        <v>10058</v>
      </c>
      <c r="B30730" t="s">
        <v>10059</v>
      </c>
      <c r="C30730" s="1" t="s">
        <v>23490</v>
      </c>
      <c r="D30730" s="1" t="str">
        <f>HYPERLINK("https://rhld.insurance.arkansas.gov/NPILookup?Npi=1134101009","1134101009")</f>
        <v>1134101009</v>
      </c>
      <c r="E30730" t="s">
        <v>7591</v>
      </c>
    </row>
    <row r="30731" spans="1:5" x14ac:dyDescent="0.25">
      <c r="A30731" t="s">
        <v>10058</v>
      </c>
      <c r="B30731" t="s">
        <v>10059</v>
      </c>
      <c r="C30731" s="1" t="s">
        <v>23490</v>
      </c>
      <c r="D30731" s="1" t="str">
        <f>HYPERLINK("https://rhld.insurance.arkansas.gov/NPILookup?Npi=1134134307","1134134307")</f>
        <v>1134134307</v>
      </c>
      <c r="E30731" t="s">
        <v>10066</v>
      </c>
    </row>
    <row r="30732" spans="1:5" x14ac:dyDescent="0.25">
      <c r="A30732" t="s">
        <v>10058</v>
      </c>
      <c r="B30732" t="s">
        <v>10059</v>
      </c>
      <c r="C30732" s="1" t="s">
        <v>23490</v>
      </c>
      <c r="D30732" s="1" t="str">
        <f>HYPERLINK("https://rhld.insurance.arkansas.gov/NPILookup?Npi=1134136146","1134136146")</f>
        <v>1134136146</v>
      </c>
      <c r="E30732" t="s">
        <v>10066</v>
      </c>
    </row>
    <row r="30733" spans="1:5" x14ac:dyDescent="0.25">
      <c r="A30733" t="s">
        <v>10058</v>
      </c>
      <c r="B30733" t="s">
        <v>10059</v>
      </c>
      <c r="C30733" s="1" t="s">
        <v>23490</v>
      </c>
      <c r="D30733" s="1" t="str">
        <f>HYPERLINK("https://rhld.insurance.arkansas.gov/NPILookup?Npi=1134141005","1134141005")</f>
        <v>1134141005</v>
      </c>
      <c r="E30733" t="s">
        <v>10130</v>
      </c>
    </row>
    <row r="30734" spans="1:5" x14ac:dyDescent="0.25">
      <c r="A30734" t="s">
        <v>10058</v>
      </c>
      <c r="B30734" t="s">
        <v>10059</v>
      </c>
      <c r="C30734" s="1" t="s">
        <v>23490</v>
      </c>
      <c r="D30734" s="1" t="str">
        <f>HYPERLINK("https://rhld.insurance.arkansas.gov/NPILookup?Npi=1134146533","1134146533")</f>
        <v>1134146533</v>
      </c>
      <c r="E30734" t="s">
        <v>13312</v>
      </c>
    </row>
    <row r="30735" spans="1:5" x14ac:dyDescent="0.25">
      <c r="A30735" t="s">
        <v>10058</v>
      </c>
      <c r="B30735" t="s">
        <v>10059</v>
      </c>
      <c r="C30735" s="1" t="s">
        <v>23490</v>
      </c>
      <c r="D30735" s="1" t="str">
        <f>HYPERLINK("https://rhld.insurance.arkansas.gov/NPILookup?Npi=1134153984","1134153984")</f>
        <v>1134153984</v>
      </c>
      <c r="E30735" t="s">
        <v>10067</v>
      </c>
    </row>
    <row r="30736" spans="1:5" x14ac:dyDescent="0.25">
      <c r="A30736" t="s">
        <v>10058</v>
      </c>
      <c r="B30736" t="s">
        <v>10059</v>
      </c>
      <c r="C30736" s="1" t="s">
        <v>23490</v>
      </c>
      <c r="D30736" s="1" t="str">
        <f>HYPERLINK("https://rhld.insurance.arkansas.gov/NPILookup?Npi=1134155831","1134155831")</f>
        <v>1134155831</v>
      </c>
      <c r="E30736" t="s">
        <v>3820</v>
      </c>
    </row>
    <row r="30737" spans="1:5" x14ac:dyDescent="0.25">
      <c r="A30737" t="s">
        <v>10058</v>
      </c>
      <c r="B30737" t="s">
        <v>10059</v>
      </c>
      <c r="C30737" s="1" t="s">
        <v>23490</v>
      </c>
      <c r="D30737" s="1" t="str">
        <f>HYPERLINK("https://rhld.insurance.arkansas.gov/NPILookup?Npi=1134167224","1134167224")</f>
        <v>1134167224</v>
      </c>
      <c r="E30737" t="s">
        <v>10073</v>
      </c>
    </row>
    <row r="30738" spans="1:5" x14ac:dyDescent="0.25">
      <c r="A30738" t="s">
        <v>10058</v>
      </c>
      <c r="B30738" t="s">
        <v>10059</v>
      </c>
      <c r="C30738" s="1" t="s">
        <v>23490</v>
      </c>
      <c r="D30738" s="1" t="str">
        <f>HYPERLINK("https://rhld.insurance.arkansas.gov/NPILookup?Npi=1134223183","1134223183")</f>
        <v>1134223183</v>
      </c>
      <c r="E30738" t="s">
        <v>10131</v>
      </c>
    </row>
    <row r="30739" spans="1:5" x14ac:dyDescent="0.25">
      <c r="A30739" t="s">
        <v>10058</v>
      </c>
      <c r="B30739" t="s">
        <v>10059</v>
      </c>
      <c r="C30739" s="1" t="s">
        <v>23490</v>
      </c>
      <c r="D30739" s="1" t="str">
        <f>HYPERLINK("https://rhld.insurance.arkansas.gov/NPILookup?Npi=1134229453","1134229453")</f>
        <v>1134229453</v>
      </c>
      <c r="E30739" t="s">
        <v>10078</v>
      </c>
    </row>
    <row r="30740" spans="1:5" x14ac:dyDescent="0.25">
      <c r="A30740" t="s">
        <v>10058</v>
      </c>
      <c r="B30740" t="s">
        <v>10059</v>
      </c>
      <c r="C30740" s="1" t="s">
        <v>23490</v>
      </c>
      <c r="D30740" s="1" t="str">
        <f>HYPERLINK("https://rhld.insurance.arkansas.gov/NPILookup?Npi=1134258882","1134258882")</f>
        <v>1134258882</v>
      </c>
      <c r="E30740" t="s">
        <v>10132</v>
      </c>
    </row>
    <row r="30741" spans="1:5" x14ac:dyDescent="0.25">
      <c r="A30741" t="s">
        <v>10058</v>
      </c>
      <c r="B30741" t="s">
        <v>10059</v>
      </c>
      <c r="C30741" s="1" t="s">
        <v>23490</v>
      </c>
      <c r="D30741" s="1" t="str">
        <f>HYPERLINK("https://rhld.insurance.arkansas.gov/NPILookup?Npi=1134272644","1134272644")</f>
        <v>1134272644</v>
      </c>
      <c r="E30741" t="s">
        <v>10133</v>
      </c>
    </row>
    <row r="30742" spans="1:5" x14ac:dyDescent="0.25">
      <c r="A30742" t="s">
        <v>10058</v>
      </c>
      <c r="B30742" t="s">
        <v>10059</v>
      </c>
      <c r="C30742" s="1" t="s">
        <v>23490</v>
      </c>
      <c r="D30742" s="1" t="str">
        <f>HYPERLINK("https://rhld.insurance.arkansas.gov/NPILookup?Npi=1134292600","1134292600")</f>
        <v>1134292600</v>
      </c>
      <c r="E30742" t="s">
        <v>10087</v>
      </c>
    </row>
    <row r="30743" spans="1:5" x14ac:dyDescent="0.25">
      <c r="A30743" t="s">
        <v>10058</v>
      </c>
      <c r="B30743" t="s">
        <v>10059</v>
      </c>
      <c r="C30743" s="1" t="s">
        <v>23490</v>
      </c>
      <c r="D30743" s="1" t="str">
        <f>HYPERLINK("https://rhld.insurance.arkansas.gov/NPILookup?Npi=1134309602","1134309602")</f>
        <v>1134309602</v>
      </c>
      <c r="E30743" t="s">
        <v>14637</v>
      </c>
    </row>
    <row r="30744" spans="1:5" x14ac:dyDescent="0.25">
      <c r="A30744" t="s">
        <v>10058</v>
      </c>
      <c r="B30744" t="s">
        <v>10059</v>
      </c>
      <c r="C30744" s="1" t="s">
        <v>23490</v>
      </c>
      <c r="D30744" s="1" t="str">
        <f>HYPERLINK("https://rhld.insurance.arkansas.gov/NPILookup?Npi=1134364003","1134364003")</f>
        <v>1134364003</v>
      </c>
      <c r="E30744" t="s">
        <v>10066</v>
      </c>
    </row>
    <row r="30745" spans="1:5" x14ac:dyDescent="0.25">
      <c r="A30745" t="s">
        <v>10058</v>
      </c>
      <c r="B30745" t="s">
        <v>10059</v>
      </c>
      <c r="C30745" s="1" t="s">
        <v>23490</v>
      </c>
      <c r="D30745" s="1" t="str">
        <f>HYPERLINK("https://rhld.insurance.arkansas.gov/NPILookup?Npi=1134617301","1134617301")</f>
        <v>1134617301</v>
      </c>
      <c r="E30745" t="s">
        <v>10125</v>
      </c>
    </row>
    <row r="30746" spans="1:5" x14ac:dyDescent="0.25">
      <c r="A30746" t="s">
        <v>10058</v>
      </c>
      <c r="B30746" t="s">
        <v>10059</v>
      </c>
      <c r="C30746" s="1" t="s">
        <v>23490</v>
      </c>
      <c r="D30746" s="1" t="str">
        <f>HYPERLINK("https://rhld.insurance.arkansas.gov/NPILookup?Npi=1144231630","1144231630")</f>
        <v>1144231630</v>
      </c>
      <c r="E30746" t="s">
        <v>10134</v>
      </c>
    </row>
    <row r="30747" spans="1:5" x14ac:dyDescent="0.25">
      <c r="A30747" t="s">
        <v>10058</v>
      </c>
      <c r="B30747" t="s">
        <v>10059</v>
      </c>
      <c r="C30747" s="1" t="s">
        <v>23490</v>
      </c>
      <c r="D30747" s="1" t="str">
        <f>HYPERLINK("https://rhld.insurance.arkansas.gov/NPILookup?Npi=1144247537","1144247537")</f>
        <v>1144247537</v>
      </c>
      <c r="E30747" t="s">
        <v>13312</v>
      </c>
    </row>
    <row r="30748" spans="1:5" x14ac:dyDescent="0.25">
      <c r="A30748" t="s">
        <v>10058</v>
      </c>
      <c r="B30748" t="s">
        <v>10059</v>
      </c>
      <c r="C30748" s="1" t="s">
        <v>23490</v>
      </c>
      <c r="D30748" s="1" t="str">
        <f>HYPERLINK("https://rhld.insurance.arkansas.gov/NPILookup?Npi=1144247545","1144247545")</f>
        <v>1144247545</v>
      </c>
      <c r="E30748" t="s">
        <v>13312</v>
      </c>
    </row>
    <row r="30749" spans="1:5" x14ac:dyDescent="0.25">
      <c r="A30749" t="s">
        <v>10058</v>
      </c>
      <c r="B30749" t="s">
        <v>10059</v>
      </c>
      <c r="C30749" s="1" t="s">
        <v>23490</v>
      </c>
      <c r="D30749" s="1" t="str">
        <f>HYPERLINK("https://rhld.insurance.arkansas.gov/NPILookup?Npi=1144248998","1144248998")</f>
        <v>1144248998</v>
      </c>
      <c r="E30749" t="s">
        <v>10061</v>
      </c>
    </row>
    <row r="30750" spans="1:5" x14ac:dyDescent="0.25">
      <c r="A30750" t="s">
        <v>10058</v>
      </c>
      <c r="B30750" t="s">
        <v>10059</v>
      </c>
      <c r="C30750" s="1" t="s">
        <v>23490</v>
      </c>
      <c r="D30750" s="1" t="str">
        <f>HYPERLINK("https://rhld.insurance.arkansas.gov/NPILookup?Npi=1144254996","1144254996")</f>
        <v>1144254996</v>
      </c>
      <c r="E30750" t="s">
        <v>10067</v>
      </c>
    </row>
    <row r="30751" spans="1:5" x14ac:dyDescent="0.25">
      <c r="A30751" t="s">
        <v>10058</v>
      </c>
      <c r="B30751" t="s">
        <v>10059</v>
      </c>
      <c r="C30751" s="1" t="s">
        <v>23490</v>
      </c>
      <c r="D30751" s="1" t="str">
        <f>HYPERLINK("https://rhld.insurance.arkansas.gov/NPILookup?Npi=1144295015","1144295015")</f>
        <v>1144295015</v>
      </c>
      <c r="E30751" t="s">
        <v>10135</v>
      </c>
    </row>
    <row r="30752" spans="1:5" x14ac:dyDescent="0.25">
      <c r="A30752" t="s">
        <v>10058</v>
      </c>
      <c r="B30752" t="s">
        <v>10059</v>
      </c>
      <c r="C30752" s="1" t="s">
        <v>23490</v>
      </c>
      <c r="D30752" s="1" t="str">
        <f>HYPERLINK("https://rhld.insurance.arkansas.gov/NPILookup?Npi=1144320466","1144320466")</f>
        <v>1144320466</v>
      </c>
      <c r="E30752" t="s">
        <v>10078</v>
      </c>
    </row>
    <row r="30753" spans="1:5" x14ac:dyDescent="0.25">
      <c r="A30753" t="s">
        <v>10058</v>
      </c>
      <c r="B30753" t="s">
        <v>10059</v>
      </c>
      <c r="C30753" s="1" t="s">
        <v>23490</v>
      </c>
      <c r="D30753" s="1" t="str">
        <f>HYPERLINK("https://rhld.insurance.arkansas.gov/NPILookup?Npi=1144372145","1144372145")</f>
        <v>1144372145</v>
      </c>
      <c r="E30753" t="s">
        <v>10136</v>
      </c>
    </row>
    <row r="30754" spans="1:5" x14ac:dyDescent="0.25">
      <c r="A30754" t="s">
        <v>10058</v>
      </c>
      <c r="B30754" t="s">
        <v>10059</v>
      </c>
      <c r="C30754" s="1" t="s">
        <v>23490</v>
      </c>
      <c r="D30754" s="1" t="str">
        <f>HYPERLINK("https://rhld.insurance.arkansas.gov/NPILookup?Npi=1144386855","1144386855")</f>
        <v>1144386855</v>
      </c>
      <c r="E30754" t="s">
        <v>10137</v>
      </c>
    </row>
    <row r="30755" spans="1:5" x14ac:dyDescent="0.25">
      <c r="A30755" t="s">
        <v>10058</v>
      </c>
      <c r="B30755" t="s">
        <v>10059</v>
      </c>
      <c r="C30755" s="1" t="s">
        <v>23490</v>
      </c>
      <c r="D30755" s="1" t="str">
        <f>HYPERLINK("https://rhld.insurance.arkansas.gov/NPILookup?Npi=1144393471","1144393471")</f>
        <v>1144393471</v>
      </c>
      <c r="E30755" t="s">
        <v>10087</v>
      </c>
    </row>
    <row r="30756" spans="1:5" x14ac:dyDescent="0.25">
      <c r="A30756" t="s">
        <v>10058</v>
      </c>
      <c r="B30756" t="s">
        <v>10059</v>
      </c>
      <c r="C30756" s="1" t="s">
        <v>23490</v>
      </c>
      <c r="D30756" s="1" t="str">
        <f>HYPERLINK("https://rhld.insurance.arkansas.gov/NPILookup?Npi=1144426974","1144426974")</f>
        <v>1144426974</v>
      </c>
      <c r="E30756" t="s">
        <v>10138</v>
      </c>
    </row>
    <row r="30757" spans="1:5" x14ac:dyDescent="0.25">
      <c r="A30757" t="s">
        <v>10058</v>
      </c>
      <c r="B30757" t="s">
        <v>10059</v>
      </c>
      <c r="C30757" s="1" t="s">
        <v>23490</v>
      </c>
      <c r="D30757" s="1" t="str">
        <f>HYPERLINK("https://rhld.insurance.arkansas.gov/NPILookup?Npi=1144515131","1144515131")</f>
        <v>1144515131</v>
      </c>
      <c r="E30757" t="s">
        <v>10062</v>
      </c>
    </row>
    <row r="30758" spans="1:5" x14ac:dyDescent="0.25">
      <c r="A30758" t="s">
        <v>10058</v>
      </c>
      <c r="B30758" t="s">
        <v>10059</v>
      </c>
      <c r="C30758" s="1" t="s">
        <v>23490</v>
      </c>
      <c r="D30758" s="1" t="str">
        <f>HYPERLINK("https://rhld.insurance.arkansas.gov/NPILookup?Npi=1144560319","1144560319")</f>
        <v>1144560319</v>
      </c>
      <c r="E30758" t="s">
        <v>10139</v>
      </c>
    </row>
    <row r="30759" spans="1:5" x14ac:dyDescent="0.25">
      <c r="A30759" t="s">
        <v>10058</v>
      </c>
      <c r="B30759" t="s">
        <v>10059</v>
      </c>
      <c r="C30759" s="1" t="s">
        <v>23490</v>
      </c>
      <c r="D30759" s="1" t="str">
        <f>HYPERLINK("https://rhld.insurance.arkansas.gov/NPILookup?Npi=1144588278","1144588278")</f>
        <v>1144588278</v>
      </c>
      <c r="E30759" t="s">
        <v>10140</v>
      </c>
    </row>
    <row r="30760" spans="1:5" x14ac:dyDescent="0.25">
      <c r="A30760" t="s">
        <v>10058</v>
      </c>
      <c r="B30760" t="s">
        <v>10059</v>
      </c>
      <c r="C30760" s="1" t="s">
        <v>23490</v>
      </c>
      <c r="D30760" s="1" t="str">
        <f>HYPERLINK("https://rhld.insurance.arkansas.gov/NPILookup?Npi=1144623950","1144623950")</f>
        <v>1144623950</v>
      </c>
      <c r="E30760" t="s">
        <v>10060</v>
      </c>
    </row>
    <row r="30761" spans="1:5" x14ac:dyDescent="0.25">
      <c r="A30761" t="s">
        <v>10058</v>
      </c>
      <c r="B30761" t="s">
        <v>10059</v>
      </c>
      <c r="C30761" s="1" t="s">
        <v>23490</v>
      </c>
      <c r="D30761" s="1" t="str">
        <f>HYPERLINK("https://rhld.insurance.arkansas.gov/NPILookup?Npi=1144646803","1144646803")</f>
        <v>1144646803</v>
      </c>
      <c r="E30761" t="s">
        <v>10141</v>
      </c>
    </row>
    <row r="30762" spans="1:5" x14ac:dyDescent="0.25">
      <c r="A30762" t="s">
        <v>10058</v>
      </c>
      <c r="B30762" t="s">
        <v>10059</v>
      </c>
      <c r="C30762" s="1" t="s">
        <v>23490</v>
      </c>
      <c r="D30762" s="1" t="str">
        <f>HYPERLINK("https://rhld.insurance.arkansas.gov/NPILookup?Npi=1144870957","1144870957")</f>
        <v>1144870957</v>
      </c>
      <c r="E30762" t="s">
        <v>17344</v>
      </c>
    </row>
    <row r="30763" spans="1:5" x14ac:dyDescent="0.25">
      <c r="A30763" t="s">
        <v>10058</v>
      </c>
      <c r="B30763" t="s">
        <v>10059</v>
      </c>
      <c r="C30763" s="1" t="s">
        <v>23490</v>
      </c>
      <c r="D30763" s="1" t="str">
        <f>HYPERLINK("https://rhld.insurance.arkansas.gov/NPILookup?Npi=1144932591","1144932591")</f>
        <v>1144932591</v>
      </c>
      <c r="E30763" t="s">
        <v>22820</v>
      </c>
    </row>
    <row r="30764" spans="1:5" x14ac:dyDescent="0.25">
      <c r="A30764" t="s">
        <v>10058</v>
      </c>
      <c r="B30764" t="s">
        <v>10059</v>
      </c>
      <c r="C30764" s="1" t="s">
        <v>23490</v>
      </c>
      <c r="D30764" s="1" t="str">
        <f>HYPERLINK("https://rhld.insurance.arkansas.gov/NPILookup?Npi=1154336428","1154336428")</f>
        <v>1154336428</v>
      </c>
      <c r="E30764" t="s">
        <v>10066</v>
      </c>
    </row>
    <row r="30765" spans="1:5" x14ac:dyDescent="0.25">
      <c r="A30765" t="s">
        <v>10058</v>
      </c>
      <c r="B30765" t="s">
        <v>10059</v>
      </c>
      <c r="C30765" s="1" t="s">
        <v>23490</v>
      </c>
      <c r="D30765" s="1" t="str">
        <f>HYPERLINK("https://rhld.insurance.arkansas.gov/NPILookup?Npi=1154348415","1154348415")</f>
        <v>1154348415</v>
      </c>
      <c r="E30765" t="s">
        <v>10060</v>
      </c>
    </row>
    <row r="30766" spans="1:5" x14ac:dyDescent="0.25">
      <c r="A30766" t="s">
        <v>10058</v>
      </c>
      <c r="B30766" t="s">
        <v>10059</v>
      </c>
      <c r="C30766" s="1" t="s">
        <v>23490</v>
      </c>
      <c r="D30766" s="1" t="str">
        <f>HYPERLINK("https://rhld.insurance.arkansas.gov/NPILookup?Npi=1154348530","1154348530")</f>
        <v>1154348530</v>
      </c>
      <c r="E30766" t="s">
        <v>13312</v>
      </c>
    </row>
    <row r="30767" spans="1:5" x14ac:dyDescent="0.25">
      <c r="A30767" t="s">
        <v>10058</v>
      </c>
      <c r="B30767" t="s">
        <v>10059</v>
      </c>
      <c r="C30767" s="1" t="s">
        <v>23490</v>
      </c>
      <c r="D30767" s="1" t="str">
        <f>HYPERLINK("https://rhld.insurance.arkansas.gov/NPILookup?Npi=1154348548","1154348548")</f>
        <v>1154348548</v>
      </c>
      <c r="E30767" t="s">
        <v>13312</v>
      </c>
    </row>
    <row r="30768" spans="1:5" x14ac:dyDescent="0.25">
      <c r="A30768" t="s">
        <v>10058</v>
      </c>
      <c r="B30768" t="s">
        <v>10059</v>
      </c>
      <c r="C30768" s="1" t="s">
        <v>23490</v>
      </c>
      <c r="D30768" s="1" t="str">
        <f>HYPERLINK("https://rhld.insurance.arkansas.gov/NPILookup?Npi=1154435121","1154435121")</f>
        <v>1154435121</v>
      </c>
      <c r="E30768" t="s">
        <v>10142</v>
      </c>
    </row>
    <row r="30769" spans="1:5" x14ac:dyDescent="0.25">
      <c r="A30769" t="s">
        <v>10058</v>
      </c>
      <c r="B30769" t="s">
        <v>10059</v>
      </c>
      <c r="C30769" s="1" t="s">
        <v>23490</v>
      </c>
      <c r="D30769" s="1" t="str">
        <f>HYPERLINK("https://rhld.insurance.arkansas.gov/NPILookup?Npi=1154577138","1154577138")</f>
        <v>1154577138</v>
      </c>
      <c r="E30769" t="s">
        <v>10143</v>
      </c>
    </row>
    <row r="30770" spans="1:5" x14ac:dyDescent="0.25">
      <c r="A30770" t="s">
        <v>10058</v>
      </c>
      <c r="B30770" t="s">
        <v>10059</v>
      </c>
      <c r="C30770" s="1" t="s">
        <v>23490</v>
      </c>
      <c r="D30770" s="1" t="str">
        <f>HYPERLINK("https://rhld.insurance.arkansas.gov/NPILookup?Npi=1154725067","1154725067")</f>
        <v>1154725067</v>
      </c>
      <c r="E30770" t="s">
        <v>23385</v>
      </c>
    </row>
    <row r="30771" spans="1:5" x14ac:dyDescent="0.25">
      <c r="A30771" t="s">
        <v>10058</v>
      </c>
      <c r="B30771" t="s">
        <v>10059</v>
      </c>
      <c r="C30771" s="1" t="s">
        <v>23490</v>
      </c>
      <c r="D30771" s="1" t="str">
        <f>HYPERLINK("https://rhld.insurance.arkansas.gov/NPILookup?Npi=1154734085","1154734085")</f>
        <v>1154734085</v>
      </c>
      <c r="E30771" t="s">
        <v>13312</v>
      </c>
    </row>
    <row r="30772" spans="1:5" x14ac:dyDescent="0.25">
      <c r="A30772" t="s">
        <v>10058</v>
      </c>
      <c r="B30772" t="s">
        <v>10059</v>
      </c>
      <c r="C30772" s="1" t="s">
        <v>23490</v>
      </c>
      <c r="D30772" s="1" t="str">
        <f>HYPERLINK("https://rhld.insurance.arkansas.gov/NPILookup?Npi=1154806123","1154806123")</f>
        <v>1154806123</v>
      </c>
      <c r="E30772" t="s">
        <v>10078</v>
      </c>
    </row>
    <row r="30773" spans="1:5" x14ac:dyDescent="0.25">
      <c r="A30773" t="s">
        <v>10058</v>
      </c>
      <c r="B30773" t="s">
        <v>10059</v>
      </c>
      <c r="C30773" s="1" t="s">
        <v>23490</v>
      </c>
      <c r="D30773" s="1" t="str">
        <f>HYPERLINK("https://rhld.insurance.arkansas.gov/NPILookup?Npi=1164056206","1164056206")</f>
        <v>1164056206</v>
      </c>
      <c r="E30773" t="s">
        <v>10155</v>
      </c>
    </row>
    <row r="30774" spans="1:5" x14ac:dyDescent="0.25">
      <c r="A30774" t="s">
        <v>10058</v>
      </c>
      <c r="B30774" t="s">
        <v>10059</v>
      </c>
      <c r="C30774" s="1" t="s">
        <v>23490</v>
      </c>
      <c r="D30774" s="1" t="str">
        <f>HYPERLINK("https://rhld.insurance.arkansas.gov/NPILookup?Npi=1164081071","1164081071")</f>
        <v>1164081071</v>
      </c>
      <c r="E30774" t="s">
        <v>16819</v>
      </c>
    </row>
    <row r="30775" spans="1:5" x14ac:dyDescent="0.25">
      <c r="A30775" t="s">
        <v>10058</v>
      </c>
      <c r="B30775" t="s">
        <v>10059</v>
      </c>
      <c r="C30775" s="1" t="s">
        <v>23490</v>
      </c>
      <c r="D30775" s="1" t="str">
        <f>HYPERLINK("https://rhld.insurance.arkansas.gov/NPILookup?Npi=1164405858","1164405858")</f>
        <v>1164405858</v>
      </c>
      <c r="E30775" t="s">
        <v>10145</v>
      </c>
    </row>
    <row r="30776" spans="1:5" x14ac:dyDescent="0.25">
      <c r="A30776" t="s">
        <v>10058</v>
      </c>
      <c r="B30776" t="s">
        <v>10059</v>
      </c>
      <c r="C30776" s="1" t="s">
        <v>23490</v>
      </c>
      <c r="D30776" s="1" t="str">
        <f>HYPERLINK("https://rhld.insurance.arkansas.gov/NPILookup?Npi=1164433710","1164433710")</f>
        <v>1164433710</v>
      </c>
      <c r="E30776" t="s">
        <v>10146</v>
      </c>
    </row>
    <row r="30777" spans="1:5" x14ac:dyDescent="0.25">
      <c r="A30777" t="s">
        <v>10058</v>
      </c>
      <c r="B30777" t="s">
        <v>10059</v>
      </c>
      <c r="C30777" s="1" t="s">
        <v>23490</v>
      </c>
      <c r="D30777" s="1" t="str">
        <f>HYPERLINK("https://rhld.insurance.arkansas.gov/NPILookup?Npi=1164449542","1164449542")</f>
        <v>1164449542</v>
      </c>
      <c r="E30777" t="s">
        <v>13312</v>
      </c>
    </row>
    <row r="30778" spans="1:5" x14ac:dyDescent="0.25">
      <c r="A30778" t="s">
        <v>10058</v>
      </c>
      <c r="B30778" t="s">
        <v>10059</v>
      </c>
      <c r="C30778" s="1" t="s">
        <v>23490</v>
      </c>
      <c r="D30778" s="1" t="str">
        <f>HYPERLINK("https://rhld.insurance.arkansas.gov/NPILookup?Npi=1164449559","1164449559")</f>
        <v>1164449559</v>
      </c>
      <c r="E30778" t="s">
        <v>13312</v>
      </c>
    </row>
    <row r="30779" spans="1:5" x14ac:dyDescent="0.25">
      <c r="A30779" t="s">
        <v>10058</v>
      </c>
      <c r="B30779" t="s">
        <v>10059</v>
      </c>
      <c r="C30779" s="1" t="s">
        <v>23490</v>
      </c>
      <c r="D30779" s="1" t="str">
        <f>HYPERLINK("https://rhld.insurance.arkansas.gov/NPILookup?Npi=1164449583","1164449583")</f>
        <v>1164449583</v>
      </c>
      <c r="E30779" t="s">
        <v>10060</v>
      </c>
    </row>
    <row r="30780" spans="1:5" x14ac:dyDescent="0.25">
      <c r="A30780" t="s">
        <v>10058</v>
      </c>
      <c r="B30780" t="s">
        <v>10059</v>
      </c>
      <c r="C30780" s="1" t="s">
        <v>23490</v>
      </c>
      <c r="D30780" s="1" t="str">
        <f>HYPERLINK("https://rhld.insurance.arkansas.gov/NPILookup?Npi=1164449591","1164449591")</f>
        <v>1164449591</v>
      </c>
      <c r="E30780" t="s">
        <v>10066</v>
      </c>
    </row>
    <row r="30781" spans="1:5" x14ac:dyDescent="0.25">
      <c r="A30781" t="s">
        <v>10058</v>
      </c>
      <c r="B30781" t="s">
        <v>10059</v>
      </c>
      <c r="C30781" s="1" t="s">
        <v>23490</v>
      </c>
      <c r="D30781" s="1" t="str">
        <f>HYPERLINK("https://rhld.insurance.arkansas.gov/NPILookup?Npi=1164456893","1164456893")</f>
        <v>1164456893</v>
      </c>
      <c r="E30781" t="s">
        <v>10067</v>
      </c>
    </row>
    <row r="30782" spans="1:5" x14ac:dyDescent="0.25">
      <c r="A30782" t="s">
        <v>10058</v>
      </c>
      <c r="B30782" t="s">
        <v>10059</v>
      </c>
      <c r="C30782" s="1" t="s">
        <v>23490</v>
      </c>
      <c r="D30782" s="1" t="str">
        <f>HYPERLINK("https://rhld.insurance.arkansas.gov/NPILookup?Npi=1164563136","1164563136")</f>
        <v>1164563136</v>
      </c>
      <c r="E30782" t="s">
        <v>10147</v>
      </c>
    </row>
    <row r="30783" spans="1:5" x14ac:dyDescent="0.25">
      <c r="A30783" t="s">
        <v>10058</v>
      </c>
      <c r="B30783" t="s">
        <v>10059</v>
      </c>
      <c r="C30783" s="1" t="s">
        <v>23490</v>
      </c>
      <c r="D30783" s="1" t="str">
        <f>HYPERLINK("https://rhld.insurance.arkansas.gov/NPILookup?Npi=1164588380","1164588380")</f>
        <v>1164588380</v>
      </c>
      <c r="E30783" t="s">
        <v>10148</v>
      </c>
    </row>
    <row r="30784" spans="1:5" x14ac:dyDescent="0.25">
      <c r="A30784" t="s">
        <v>10058</v>
      </c>
      <c r="B30784" t="s">
        <v>10059</v>
      </c>
      <c r="C30784" s="1" t="s">
        <v>23490</v>
      </c>
      <c r="D30784" s="1" t="str">
        <f>HYPERLINK("https://rhld.insurance.arkansas.gov/NPILookup?Npi=1164595682","1164595682")</f>
        <v>1164595682</v>
      </c>
      <c r="E30784" t="s">
        <v>10113</v>
      </c>
    </row>
    <row r="30785" spans="1:5" x14ac:dyDescent="0.25">
      <c r="A30785" t="s">
        <v>10058</v>
      </c>
      <c r="B30785" t="s">
        <v>10059</v>
      </c>
      <c r="C30785" s="1" t="s">
        <v>23490</v>
      </c>
      <c r="D30785" s="1" t="str">
        <f>HYPERLINK("https://rhld.insurance.arkansas.gov/NPILookup?Npi=1164763157","1164763157")</f>
        <v>1164763157</v>
      </c>
      <c r="E30785" t="s">
        <v>13312</v>
      </c>
    </row>
    <row r="30786" spans="1:5" x14ac:dyDescent="0.25">
      <c r="A30786" t="s">
        <v>10058</v>
      </c>
      <c r="B30786" t="s">
        <v>10059</v>
      </c>
      <c r="C30786" s="1" t="s">
        <v>23490</v>
      </c>
      <c r="D30786" s="1" t="str">
        <f>HYPERLINK("https://rhld.insurance.arkansas.gov/NPILookup?Npi=1164770822","1164770822")</f>
        <v>1164770822</v>
      </c>
      <c r="E30786" t="s">
        <v>10149</v>
      </c>
    </row>
    <row r="30787" spans="1:5" x14ac:dyDescent="0.25">
      <c r="A30787" t="s">
        <v>10058</v>
      </c>
      <c r="B30787" t="s">
        <v>10059</v>
      </c>
      <c r="C30787" s="1" t="s">
        <v>23490</v>
      </c>
      <c r="D30787" s="1" t="str">
        <f>HYPERLINK("https://rhld.insurance.arkansas.gov/NPILookup?Npi=1164861423","1164861423")</f>
        <v>1164861423</v>
      </c>
      <c r="E30787" t="s">
        <v>22821</v>
      </c>
    </row>
    <row r="30788" spans="1:5" x14ac:dyDescent="0.25">
      <c r="A30788" t="s">
        <v>10058</v>
      </c>
      <c r="B30788" t="s">
        <v>10059</v>
      </c>
      <c r="C30788" s="1" t="s">
        <v>23490</v>
      </c>
      <c r="D30788" s="1" t="str">
        <f>HYPERLINK("https://rhld.insurance.arkansas.gov/NPILookup?Npi=1164998498","1164998498")</f>
        <v>1164998498</v>
      </c>
      <c r="E30788" t="s">
        <v>14638</v>
      </c>
    </row>
    <row r="30789" spans="1:5" x14ac:dyDescent="0.25">
      <c r="A30789" t="s">
        <v>10058</v>
      </c>
      <c r="B30789" t="s">
        <v>10059</v>
      </c>
      <c r="C30789" s="1" t="s">
        <v>23490</v>
      </c>
      <c r="D30789" s="1" t="str">
        <f>HYPERLINK("https://rhld.insurance.arkansas.gov/NPILookup?Npi=1174087324","1174087324")</f>
        <v>1174087324</v>
      </c>
      <c r="E30789" t="s">
        <v>19272</v>
      </c>
    </row>
    <row r="30790" spans="1:5" x14ac:dyDescent="0.25">
      <c r="A30790" t="s">
        <v>10058</v>
      </c>
      <c r="B30790" t="s">
        <v>10059</v>
      </c>
      <c r="C30790" s="1" t="s">
        <v>23490</v>
      </c>
      <c r="D30790" s="1" t="str">
        <f>HYPERLINK("https://rhld.insurance.arkansas.gov/NPILookup?Npi=1174097828","1174097828")</f>
        <v>1174097828</v>
      </c>
      <c r="E30790" t="s">
        <v>10170</v>
      </c>
    </row>
    <row r="30791" spans="1:5" x14ac:dyDescent="0.25">
      <c r="A30791" t="s">
        <v>10058</v>
      </c>
      <c r="B30791" t="s">
        <v>10059</v>
      </c>
      <c r="C30791" s="1" t="s">
        <v>23490</v>
      </c>
      <c r="D30791" s="1" t="str">
        <f>HYPERLINK("https://rhld.insurance.arkansas.gov/NPILookup?Npi=1174098941","1174098941")</f>
        <v>1174098941</v>
      </c>
      <c r="E30791" t="s">
        <v>16820</v>
      </c>
    </row>
    <row r="30792" spans="1:5" x14ac:dyDescent="0.25">
      <c r="A30792" t="s">
        <v>10058</v>
      </c>
      <c r="B30792" t="s">
        <v>10059</v>
      </c>
      <c r="C30792" s="1" t="s">
        <v>23490</v>
      </c>
      <c r="D30792" s="1" t="str">
        <f>HYPERLINK("https://rhld.insurance.arkansas.gov/NPILookup?Npi=1174246284","1174246284")</f>
        <v>1174246284</v>
      </c>
      <c r="E30792" t="s">
        <v>14659</v>
      </c>
    </row>
    <row r="30793" spans="1:5" x14ac:dyDescent="0.25">
      <c r="A30793" t="s">
        <v>10058</v>
      </c>
      <c r="B30793" t="s">
        <v>10059</v>
      </c>
      <c r="C30793" s="1" t="s">
        <v>23490</v>
      </c>
      <c r="D30793" s="1" t="str">
        <f>HYPERLINK("https://rhld.insurance.arkansas.gov/NPILookup?Npi=1174273114","1174273114")</f>
        <v>1174273114</v>
      </c>
      <c r="E30793" t="s">
        <v>19275</v>
      </c>
    </row>
    <row r="30794" spans="1:5" x14ac:dyDescent="0.25">
      <c r="A30794" t="s">
        <v>10058</v>
      </c>
      <c r="B30794" t="s">
        <v>10059</v>
      </c>
      <c r="C30794" s="1" t="s">
        <v>23490</v>
      </c>
      <c r="D30794" s="1" t="str">
        <f>HYPERLINK("https://rhld.insurance.arkansas.gov/NPILookup?Npi=1174299309","1174299309")</f>
        <v>1174299309</v>
      </c>
      <c r="E30794" t="s">
        <v>10296</v>
      </c>
    </row>
    <row r="30795" spans="1:5" x14ac:dyDescent="0.25">
      <c r="A30795" t="s">
        <v>10058</v>
      </c>
      <c r="B30795" t="s">
        <v>10059</v>
      </c>
      <c r="C30795" s="1" t="s">
        <v>23490</v>
      </c>
      <c r="D30795" s="1" t="str">
        <f>HYPERLINK("https://rhld.insurance.arkansas.gov/NPILookup?Npi=1174530174","1174530174")</f>
        <v>1174530174</v>
      </c>
      <c r="E30795" t="s">
        <v>10066</v>
      </c>
    </row>
    <row r="30796" spans="1:5" x14ac:dyDescent="0.25">
      <c r="A30796" t="s">
        <v>10058</v>
      </c>
      <c r="B30796" t="s">
        <v>10059</v>
      </c>
      <c r="C30796" s="1" t="s">
        <v>23490</v>
      </c>
      <c r="D30796" s="1" t="str">
        <f>HYPERLINK("https://rhld.insurance.arkansas.gov/NPILookup?Npi=1174534705","1174534705")</f>
        <v>1174534705</v>
      </c>
      <c r="E30796" t="s">
        <v>10150</v>
      </c>
    </row>
    <row r="30797" spans="1:5" x14ac:dyDescent="0.25">
      <c r="A30797" t="s">
        <v>10058</v>
      </c>
      <c r="B30797" t="s">
        <v>10059</v>
      </c>
      <c r="C30797" s="1" t="s">
        <v>23490</v>
      </c>
      <c r="D30797" s="1" t="str">
        <f>HYPERLINK("https://rhld.insurance.arkansas.gov/NPILookup?Npi=1174540363","1174540363")</f>
        <v>1174540363</v>
      </c>
      <c r="E30797" t="s">
        <v>10060</v>
      </c>
    </row>
    <row r="30798" spans="1:5" x14ac:dyDescent="0.25">
      <c r="A30798" t="s">
        <v>10058</v>
      </c>
      <c r="B30798" t="s">
        <v>10059</v>
      </c>
      <c r="C30798" s="1" t="s">
        <v>23490</v>
      </c>
      <c r="D30798" s="1" t="str">
        <f>HYPERLINK("https://rhld.insurance.arkansas.gov/NPILookup?Npi=1174540371","1174540371")</f>
        <v>1174540371</v>
      </c>
      <c r="E30798" t="s">
        <v>10061</v>
      </c>
    </row>
    <row r="30799" spans="1:5" x14ac:dyDescent="0.25">
      <c r="A30799" t="s">
        <v>10058</v>
      </c>
      <c r="B30799" t="s">
        <v>10059</v>
      </c>
      <c r="C30799" s="1" t="s">
        <v>23490</v>
      </c>
      <c r="D30799" s="1" t="str">
        <f>HYPERLINK("https://rhld.insurance.arkansas.gov/NPILookup?Npi=1174540686","1174540686")</f>
        <v>1174540686</v>
      </c>
      <c r="E30799" t="s">
        <v>13312</v>
      </c>
    </row>
    <row r="30800" spans="1:5" x14ac:dyDescent="0.25">
      <c r="A30800" t="s">
        <v>10058</v>
      </c>
      <c r="B30800" t="s">
        <v>10059</v>
      </c>
      <c r="C30800" s="1" t="s">
        <v>23490</v>
      </c>
      <c r="D30800" s="1" t="str">
        <f>HYPERLINK("https://rhld.insurance.arkansas.gov/NPILookup?Npi=1174606586","1174606586")</f>
        <v>1174606586</v>
      </c>
      <c r="E30800" t="s">
        <v>10066</v>
      </c>
    </row>
    <row r="30801" spans="1:5" x14ac:dyDescent="0.25">
      <c r="A30801" t="s">
        <v>10058</v>
      </c>
      <c r="B30801" t="s">
        <v>10059</v>
      </c>
      <c r="C30801" s="1" t="s">
        <v>23490</v>
      </c>
      <c r="D30801" s="1" t="str">
        <f>HYPERLINK("https://rhld.insurance.arkansas.gov/NPILookup?Npi=1174623912","1174623912")</f>
        <v>1174623912</v>
      </c>
      <c r="E30801" t="s">
        <v>10151</v>
      </c>
    </row>
    <row r="30802" spans="1:5" x14ac:dyDescent="0.25">
      <c r="A30802" t="s">
        <v>10058</v>
      </c>
      <c r="B30802" t="s">
        <v>10059</v>
      </c>
      <c r="C30802" s="1" t="s">
        <v>23490</v>
      </c>
      <c r="D30802" s="1" t="str">
        <f>HYPERLINK("https://rhld.insurance.arkansas.gov/NPILookup?Npi=1174624829","1174624829")</f>
        <v>1174624829</v>
      </c>
      <c r="E30802" t="s">
        <v>10152</v>
      </c>
    </row>
    <row r="30803" spans="1:5" x14ac:dyDescent="0.25">
      <c r="A30803" t="s">
        <v>10058</v>
      </c>
      <c r="B30803" t="s">
        <v>10059</v>
      </c>
      <c r="C30803" s="1" t="s">
        <v>23490</v>
      </c>
      <c r="D30803" s="1" t="str">
        <f>HYPERLINK("https://rhld.insurance.arkansas.gov/NPILookup?Npi=1174625297","1174625297")</f>
        <v>1174625297</v>
      </c>
      <c r="E30803" t="s">
        <v>17345</v>
      </c>
    </row>
    <row r="30804" spans="1:5" x14ac:dyDescent="0.25">
      <c r="A30804" t="s">
        <v>10058</v>
      </c>
      <c r="B30804" t="s">
        <v>10059</v>
      </c>
      <c r="C30804" s="1" t="s">
        <v>23490</v>
      </c>
      <c r="D30804" s="1" t="str">
        <f>HYPERLINK("https://rhld.insurance.arkansas.gov/NPILookup?Npi=1174683304","1174683304")</f>
        <v>1174683304</v>
      </c>
      <c r="E30804" t="s">
        <v>10067</v>
      </c>
    </row>
    <row r="30805" spans="1:5" x14ac:dyDescent="0.25">
      <c r="A30805" t="s">
        <v>10058</v>
      </c>
      <c r="B30805" t="s">
        <v>10059</v>
      </c>
      <c r="C30805" s="1" t="s">
        <v>23490</v>
      </c>
      <c r="D30805" s="1" t="str">
        <f>HYPERLINK("https://rhld.insurance.arkansas.gov/NPILookup?Npi=1174697692","1174697692")</f>
        <v>1174697692</v>
      </c>
      <c r="E30805" t="s">
        <v>10153</v>
      </c>
    </row>
    <row r="30806" spans="1:5" x14ac:dyDescent="0.25">
      <c r="A30806" t="s">
        <v>10058</v>
      </c>
      <c r="B30806" t="s">
        <v>10059</v>
      </c>
      <c r="C30806" s="1" t="s">
        <v>23490</v>
      </c>
      <c r="D30806" s="1" t="str">
        <f>HYPERLINK("https://rhld.insurance.arkansas.gov/NPILookup?Npi=1174798417","1174798417")</f>
        <v>1174798417</v>
      </c>
      <c r="E30806" t="s">
        <v>10154</v>
      </c>
    </row>
    <row r="30807" spans="1:5" x14ac:dyDescent="0.25">
      <c r="A30807" t="s">
        <v>10058</v>
      </c>
      <c r="B30807" t="s">
        <v>10059</v>
      </c>
      <c r="C30807" s="1" t="s">
        <v>23490</v>
      </c>
      <c r="D30807" s="1" t="str">
        <f>HYPERLINK("https://rhld.insurance.arkansas.gov/NPILookup?Npi=1174824395","1174824395")</f>
        <v>1174824395</v>
      </c>
      <c r="E30807" t="s">
        <v>13312</v>
      </c>
    </row>
    <row r="30808" spans="1:5" x14ac:dyDescent="0.25">
      <c r="A30808" t="s">
        <v>10058</v>
      </c>
      <c r="B30808" t="s">
        <v>10059</v>
      </c>
      <c r="C30808" s="1" t="s">
        <v>23490</v>
      </c>
      <c r="D30808" s="1" t="str">
        <f>HYPERLINK("https://rhld.insurance.arkansas.gov/NPILookup?Npi=1184008377","1184008377")</f>
        <v>1184008377</v>
      </c>
      <c r="E30808" t="s">
        <v>10067</v>
      </c>
    </row>
    <row r="30809" spans="1:5" x14ac:dyDescent="0.25">
      <c r="A30809" t="s">
        <v>10058</v>
      </c>
      <c r="B30809" t="s">
        <v>10059</v>
      </c>
      <c r="C30809" s="1" t="s">
        <v>23490</v>
      </c>
      <c r="D30809" s="1" t="str">
        <f>HYPERLINK("https://rhld.insurance.arkansas.gov/NPILookup?Npi=1184022063","1184022063")</f>
        <v>1184022063</v>
      </c>
      <c r="E30809" t="s">
        <v>20858</v>
      </c>
    </row>
    <row r="30810" spans="1:5" x14ac:dyDescent="0.25">
      <c r="A30810" t="s">
        <v>10058</v>
      </c>
      <c r="B30810" t="s">
        <v>10059</v>
      </c>
      <c r="C30810" s="1" t="s">
        <v>23490</v>
      </c>
      <c r="D30810" s="1" t="str">
        <f>HYPERLINK("https://rhld.insurance.arkansas.gov/NPILookup?Npi=1184027211","1184027211")</f>
        <v>1184027211</v>
      </c>
      <c r="E30810" t="s">
        <v>10060</v>
      </c>
    </row>
    <row r="30811" spans="1:5" x14ac:dyDescent="0.25">
      <c r="A30811" t="s">
        <v>10058</v>
      </c>
      <c r="B30811" t="s">
        <v>10059</v>
      </c>
      <c r="C30811" s="1" t="s">
        <v>23490</v>
      </c>
      <c r="D30811" s="1" t="str">
        <f>HYPERLINK("https://rhld.insurance.arkansas.gov/NPILookup?Npi=1184053571","1184053571")</f>
        <v>1184053571</v>
      </c>
      <c r="E30811" t="s">
        <v>10155</v>
      </c>
    </row>
    <row r="30812" spans="1:5" x14ac:dyDescent="0.25">
      <c r="A30812" t="s">
        <v>10058</v>
      </c>
      <c r="B30812" t="s">
        <v>10059</v>
      </c>
      <c r="C30812" s="1" t="s">
        <v>23490</v>
      </c>
      <c r="D30812" s="1" t="str">
        <f>HYPERLINK("https://rhld.insurance.arkansas.gov/NPILookup?Npi=1184074411","1184074411")</f>
        <v>1184074411</v>
      </c>
      <c r="E30812" t="s">
        <v>10156</v>
      </c>
    </row>
    <row r="30813" spans="1:5" x14ac:dyDescent="0.25">
      <c r="A30813" t="s">
        <v>10058</v>
      </c>
      <c r="B30813" t="s">
        <v>10059</v>
      </c>
      <c r="C30813" s="1" t="s">
        <v>23490</v>
      </c>
      <c r="D30813" s="1" t="str">
        <f>HYPERLINK("https://rhld.insurance.arkansas.gov/NPILookup?Npi=1184115040","1184115040")</f>
        <v>1184115040</v>
      </c>
      <c r="E30813" t="s">
        <v>10535</v>
      </c>
    </row>
    <row r="30814" spans="1:5" x14ac:dyDescent="0.25">
      <c r="A30814" t="s">
        <v>10058</v>
      </c>
      <c r="B30814" t="s">
        <v>10059</v>
      </c>
      <c r="C30814" s="1" t="s">
        <v>23490</v>
      </c>
      <c r="D30814" s="1" t="str">
        <f>HYPERLINK("https://rhld.insurance.arkansas.gov/NPILookup?Npi=1184199606","1184199606")</f>
        <v>1184199606</v>
      </c>
      <c r="E30814" t="s">
        <v>10389</v>
      </c>
    </row>
    <row r="30815" spans="1:5" x14ac:dyDescent="0.25">
      <c r="A30815" t="s">
        <v>10058</v>
      </c>
      <c r="B30815" t="s">
        <v>10059</v>
      </c>
      <c r="C30815" s="1" t="s">
        <v>23490</v>
      </c>
      <c r="D30815" s="1" t="str">
        <f>HYPERLINK("https://rhld.insurance.arkansas.gov/NPILookup?Npi=1184222473","1184222473")</f>
        <v>1184222473</v>
      </c>
      <c r="E30815" t="s">
        <v>17811</v>
      </c>
    </row>
    <row r="30816" spans="1:5" x14ac:dyDescent="0.25">
      <c r="A30816" t="s">
        <v>10058</v>
      </c>
      <c r="B30816" t="s">
        <v>10059</v>
      </c>
      <c r="C30816" s="1" t="s">
        <v>23490</v>
      </c>
      <c r="D30816" s="1" t="str">
        <f>HYPERLINK("https://rhld.insurance.arkansas.gov/NPILookup?Npi=1184625808","1184625808")</f>
        <v>1184625808</v>
      </c>
      <c r="E30816" t="s">
        <v>13314</v>
      </c>
    </row>
    <row r="30817" spans="1:5" x14ac:dyDescent="0.25">
      <c r="A30817" t="s">
        <v>10058</v>
      </c>
      <c r="B30817" t="s">
        <v>10059</v>
      </c>
      <c r="C30817" s="1" t="s">
        <v>23490</v>
      </c>
      <c r="D30817" s="1" t="str">
        <f>HYPERLINK("https://rhld.insurance.arkansas.gov/NPILookup?Npi=1184635765","1184635765")</f>
        <v>1184635765</v>
      </c>
      <c r="E30817" t="s">
        <v>10170</v>
      </c>
    </row>
    <row r="30818" spans="1:5" x14ac:dyDescent="0.25">
      <c r="A30818" t="s">
        <v>10058</v>
      </c>
      <c r="B30818" t="s">
        <v>10059</v>
      </c>
      <c r="C30818" s="1" t="s">
        <v>23490</v>
      </c>
      <c r="D30818" s="1" t="str">
        <f>HYPERLINK("https://rhld.insurance.arkansas.gov/NPILookup?Npi=1184658817","1184658817")</f>
        <v>1184658817</v>
      </c>
      <c r="E30818" t="s">
        <v>10067</v>
      </c>
    </row>
    <row r="30819" spans="1:5" x14ac:dyDescent="0.25">
      <c r="A30819" t="s">
        <v>10058</v>
      </c>
      <c r="B30819" t="s">
        <v>10059</v>
      </c>
      <c r="C30819" s="1" t="s">
        <v>23490</v>
      </c>
      <c r="D30819" s="1" t="str">
        <f>HYPERLINK("https://rhld.insurance.arkansas.gov/NPILookup?Npi=1184680324","1184680324")</f>
        <v>1184680324</v>
      </c>
      <c r="E30819" t="s">
        <v>9437</v>
      </c>
    </row>
    <row r="30820" spans="1:5" x14ac:dyDescent="0.25">
      <c r="A30820" t="s">
        <v>10058</v>
      </c>
      <c r="B30820" t="s">
        <v>10059</v>
      </c>
      <c r="C30820" s="1" t="s">
        <v>23490</v>
      </c>
      <c r="D30820" s="1" t="str">
        <f>HYPERLINK("https://rhld.insurance.arkansas.gov/NPILookup?Npi=1184714099","1184714099")</f>
        <v>1184714099</v>
      </c>
      <c r="E30820" t="s">
        <v>10157</v>
      </c>
    </row>
    <row r="30821" spans="1:5" x14ac:dyDescent="0.25">
      <c r="A30821" t="s">
        <v>10058</v>
      </c>
      <c r="B30821" t="s">
        <v>10059</v>
      </c>
      <c r="C30821" s="1" t="s">
        <v>23490</v>
      </c>
      <c r="D30821" s="1" t="str">
        <f>HYPERLINK("https://rhld.insurance.arkansas.gov/NPILookup?Npi=1184723371","1184723371")</f>
        <v>1184723371</v>
      </c>
      <c r="E30821" t="s">
        <v>22898</v>
      </c>
    </row>
    <row r="30822" spans="1:5" x14ac:dyDescent="0.25">
      <c r="A30822" t="s">
        <v>10058</v>
      </c>
      <c r="B30822" t="s">
        <v>10059</v>
      </c>
      <c r="C30822" s="1" t="s">
        <v>23490</v>
      </c>
      <c r="D30822" s="1" t="str">
        <f>HYPERLINK("https://rhld.insurance.arkansas.gov/NPILookup?Npi=1184753899","1184753899")</f>
        <v>1184753899</v>
      </c>
      <c r="E30822" t="s">
        <v>10158</v>
      </c>
    </row>
    <row r="30823" spans="1:5" x14ac:dyDescent="0.25">
      <c r="A30823" t="s">
        <v>10058</v>
      </c>
      <c r="B30823" t="s">
        <v>10059</v>
      </c>
      <c r="C30823" s="1" t="s">
        <v>23490</v>
      </c>
      <c r="D30823" s="1" t="str">
        <f>HYPERLINK("https://rhld.insurance.arkansas.gov/NPILookup?Npi=1184770356","1184770356")</f>
        <v>1184770356</v>
      </c>
      <c r="E30823" t="s">
        <v>22823</v>
      </c>
    </row>
    <row r="30824" spans="1:5" x14ac:dyDescent="0.25">
      <c r="A30824" t="s">
        <v>10058</v>
      </c>
      <c r="B30824" t="s">
        <v>10059</v>
      </c>
      <c r="C30824" s="1" t="s">
        <v>23490</v>
      </c>
      <c r="D30824" s="1" t="str">
        <f>HYPERLINK("https://rhld.insurance.arkansas.gov/NPILookup?Npi=1184794265","1184794265")</f>
        <v>1184794265</v>
      </c>
      <c r="E30824" t="s">
        <v>18617</v>
      </c>
    </row>
    <row r="30825" spans="1:5" x14ac:dyDescent="0.25">
      <c r="A30825" t="s">
        <v>10058</v>
      </c>
      <c r="B30825" t="s">
        <v>10059</v>
      </c>
      <c r="C30825" s="1" t="s">
        <v>23490</v>
      </c>
      <c r="D30825" s="1" t="str">
        <f>HYPERLINK("https://rhld.insurance.arkansas.gov/NPILookup?Npi=1184919268","1184919268")</f>
        <v>1184919268</v>
      </c>
      <c r="E30825" t="s">
        <v>10159</v>
      </c>
    </row>
    <row r="30826" spans="1:5" x14ac:dyDescent="0.25">
      <c r="A30826" t="s">
        <v>10058</v>
      </c>
      <c r="B30826" t="s">
        <v>10059</v>
      </c>
      <c r="C30826" s="1" t="s">
        <v>23490</v>
      </c>
      <c r="D30826" s="1" t="str">
        <f>HYPERLINK("https://rhld.insurance.arkansas.gov/NPILookup?Npi=1184936106","1184936106")</f>
        <v>1184936106</v>
      </c>
      <c r="E30826" t="s">
        <v>10081</v>
      </c>
    </row>
    <row r="30827" spans="1:5" x14ac:dyDescent="0.25">
      <c r="A30827" t="s">
        <v>10058</v>
      </c>
      <c r="B30827" t="s">
        <v>10059</v>
      </c>
      <c r="C30827" s="1" t="s">
        <v>23490</v>
      </c>
      <c r="D30827" s="1" t="str">
        <f>HYPERLINK("https://rhld.insurance.arkansas.gov/NPILookup?Npi=1184980575","1184980575")</f>
        <v>1184980575</v>
      </c>
      <c r="E30827" t="s">
        <v>10081</v>
      </c>
    </row>
    <row r="30828" spans="1:5" x14ac:dyDescent="0.25">
      <c r="A30828" t="s">
        <v>10058</v>
      </c>
      <c r="B30828" t="s">
        <v>10059</v>
      </c>
      <c r="C30828" s="1" t="s">
        <v>23490</v>
      </c>
      <c r="D30828" s="1" t="str">
        <f>HYPERLINK("https://rhld.insurance.arkansas.gov/NPILookup?Npi=1184983561","1184983561")</f>
        <v>1184983561</v>
      </c>
      <c r="E30828" t="s">
        <v>10160</v>
      </c>
    </row>
    <row r="30829" spans="1:5" x14ac:dyDescent="0.25">
      <c r="A30829" t="s">
        <v>10058</v>
      </c>
      <c r="B30829" t="s">
        <v>10059</v>
      </c>
      <c r="C30829" s="1" t="s">
        <v>23490</v>
      </c>
      <c r="D30829" s="1" t="str">
        <f>HYPERLINK("https://rhld.insurance.arkansas.gov/NPILookup?Npi=1194005629","1194005629")</f>
        <v>1194005629</v>
      </c>
      <c r="E30829" t="s">
        <v>10067</v>
      </c>
    </row>
    <row r="30830" spans="1:5" x14ac:dyDescent="0.25">
      <c r="A30830" t="s">
        <v>10058</v>
      </c>
      <c r="B30830" t="s">
        <v>10059</v>
      </c>
      <c r="C30830" s="1" t="s">
        <v>23490</v>
      </c>
      <c r="D30830" s="1" t="str">
        <f>HYPERLINK("https://rhld.insurance.arkansas.gov/NPILookup?Npi=1194010421","1194010421")</f>
        <v>1194010421</v>
      </c>
      <c r="E30830" t="s">
        <v>10161</v>
      </c>
    </row>
    <row r="30831" spans="1:5" x14ac:dyDescent="0.25">
      <c r="A30831" t="s">
        <v>10058</v>
      </c>
      <c r="B30831" t="s">
        <v>10059</v>
      </c>
      <c r="C30831" s="1" t="s">
        <v>23490</v>
      </c>
      <c r="D30831" s="1" t="str">
        <f>HYPERLINK("https://rhld.insurance.arkansas.gov/NPILookup?Npi=1194182485","1194182485")</f>
        <v>1194182485</v>
      </c>
      <c r="E30831" t="s">
        <v>18618</v>
      </c>
    </row>
    <row r="30832" spans="1:5" x14ac:dyDescent="0.25">
      <c r="A30832" t="s">
        <v>10058</v>
      </c>
      <c r="B30832" t="s">
        <v>10059</v>
      </c>
      <c r="C30832" s="1" t="s">
        <v>23490</v>
      </c>
      <c r="D30832" s="1" t="str">
        <f>HYPERLINK("https://rhld.insurance.arkansas.gov/NPILookup?Npi=1194331579","1194331579")</f>
        <v>1194331579</v>
      </c>
      <c r="E30832" t="s">
        <v>19273</v>
      </c>
    </row>
    <row r="30833" spans="1:5" x14ac:dyDescent="0.25">
      <c r="A30833" t="s">
        <v>10058</v>
      </c>
      <c r="B30833" t="s">
        <v>10059</v>
      </c>
      <c r="C30833" s="1" t="s">
        <v>23490</v>
      </c>
      <c r="D30833" s="1" t="str">
        <f>HYPERLINK("https://rhld.insurance.arkansas.gov/NPILookup?Npi=1194389528","1194389528")</f>
        <v>1194389528</v>
      </c>
      <c r="E30833" t="s">
        <v>10199</v>
      </c>
    </row>
    <row r="30834" spans="1:5" x14ac:dyDescent="0.25">
      <c r="A30834" t="s">
        <v>10058</v>
      </c>
      <c r="B30834" t="s">
        <v>10059</v>
      </c>
      <c r="C30834" s="1" t="s">
        <v>23490</v>
      </c>
      <c r="D30834" s="1" t="str">
        <f>HYPERLINK("https://rhld.insurance.arkansas.gov/NPILookup?Npi=1194718411","1194718411")</f>
        <v>1194718411</v>
      </c>
      <c r="E30834" t="s">
        <v>10162</v>
      </c>
    </row>
    <row r="30835" spans="1:5" x14ac:dyDescent="0.25">
      <c r="A30835" t="s">
        <v>10058</v>
      </c>
      <c r="B30835" t="s">
        <v>10059</v>
      </c>
      <c r="C30835" s="1" t="s">
        <v>23490</v>
      </c>
      <c r="D30835" s="1" t="str">
        <f>HYPERLINK("https://rhld.insurance.arkansas.gov/NPILookup?Npi=1194730457","1194730457")</f>
        <v>1194730457</v>
      </c>
      <c r="E30835" t="s">
        <v>10066</v>
      </c>
    </row>
    <row r="30836" spans="1:5" x14ac:dyDescent="0.25">
      <c r="A30836" t="s">
        <v>10058</v>
      </c>
      <c r="B30836" t="s">
        <v>10059</v>
      </c>
      <c r="C30836" s="1" t="s">
        <v>23490</v>
      </c>
      <c r="D30836" s="1" t="str">
        <f>HYPERLINK("https://rhld.insurance.arkansas.gov/NPILookup?Npi=1194732198","1194732198")</f>
        <v>1194732198</v>
      </c>
      <c r="E30836" t="s">
        <v>10066</v>
      </c>
    </row>
    <row r="30837" spans="1:5" x14ac:dyDescent="0.25">
      <c r="A30837" t="s">
        <v>10058</v>
      </c>
      <c r="B30837" t="s">
        <v>10059</v>
      </c>
      <c r="C30837" s="1" t="s">
        <v>23490</v>
      </c>
      <c r="D30837" s="1" t="str">
        <f>HYPERLINK("https://rhld.insurance.arkansas.gov/NPILookup?Npi=1194740894","1194740894")</f>
        <v>1194740894</v>
      </c>
      <c r="E30837" t="s">
        <v>10067</v>
      </c>
    </row>
    <row r="30838" spans="1:5" x14ac:dyDescent="0.25">
      <c r="A30838" t="s">
        <v>10058</v>
      </c>
      <c r="B30838" t="s">
        <v>10059</v>
      </c>
      <c r="C30838" s="1" t="s">
        <v>23490</v>
      </c>
      <c r="D30838" s="1" t="str">
        <f>HYPERLINK("https://rhld.insurance.arkansas.gov/NPILookup?Npi=1194744771","1194744771")</f>
        <v>1194744771</v>
      </c>
      <c r="E30838" t="s">
        <v>10066</v>
      </c>
    </row>
    <row r="30839" spans="1:5" x14ac:dyDescent="0.25">
      <c r="A30839" t="s">
        <v>10058</v>
      </c>
      <c r="B30839" t="s">
        <v>10059</v>
      </c>
      <c r="C30839" s="1" t="s">
        <v>23490</v>
      </c>
      <c r="D30839" s="1" t="str">
        <f>HYPERLINK("https://rhld.insurance.arkansas.gov/NPILookup?Npi=1194746552","1194746552")</f>
        <v>1194746552</v>
      </c>
      <c r="E30839" t="s">
        <v>10163</v>
      </c>
    </row>
    <row r="30840" spans="1:5" x14ac:dyDescent="0.25">
      <c r="A30840" t="s">
        <v>10058</v>
      </c>
      <c r="B30840" t="s">
        <v>10059</v>
      </c>
      <c r="C30840" s="1" t="s">
        <v>23490</v>
      </c>
      <c r="D30840" s="1" t="str">
        <f>HYPERLINK("https://rhld.insurance.arkansas.gov/NPILookup?Npi=1194767715","1194767715")</f>
        <v>1194767715</v>
      </c>
      <c r="E30840" t="s">
        <v>10164</v>
      </c>
    </row>
    <row r="30841" spans="1:5" x14ac:dyDescent="0.25">
      <c r="A30841" t="s">
        <v>10058</v>
      </c>
      <c r="B30841" t="s">
        <v>10059</v>
      </c>
      <c r="C30841" s="1" t="s">
        <v>23490</v>
      </c>
      <c r="D30841" s="1" t="str">
        <f>HYPERLINK("https://rhld.insurance.arkansas.gov/NPILookup?Npi=1194825042","1194825042")</f>
        <v>1194825042</v>
      </c>
      <c r="E30841" t="s">
        <v>10165</v>
      </c>
    </row>
    <row r="30842" spans="1:5" x14ac:dyDescent="0.25">
      <c r="A30842" t="s">
        <v>10058</v>
      </c>
      <c r="B30842" t="s">
        <v>10059</v>
      </c>
      <c r="C30842" s="1" t="s">
        <v>23490</v>
      </c>
      <c r="D30842" s="1" t="str">
        <f>HYPERLINK("https://rhld.insurance.arkansas.gov/NPILookup?Npi=1194941948","1194941948")</f>
        <v>1194941948</v>
      </c>
      <c r="E30842" t="s">
        <v>12723</v>
      </c>
    </row>
    <row r="30843" spans="1:5" x14ac:dyDescent="0.25">
      <c r="A30843" t="s">
        <v>10058</v>
      </c>
      <c r="B30843" t="s">
        <v>10059</v>
      </c>
      <c r="C30843" s="1" t="s">
        <v>23490</v>
      </c>
      <c r="D30843" s="1" t="str">
        <f>HYPERLINK("https://rhld.insurance.arkansas.gov/NPILookup?Npi=1194992149","1194992149")</f>
        <v>1194992149</v>
      </c>
      <c r="E30843" t="s">
        <v>10066</v>
      </c>
    </row>
    <row r="30844" spans="1:5" x14ac:dyDescent="0.25">
      <c r="A30844" t="s">
        <v>10058</v>
      </c>
      <c r="B30844" t="s">
        <v>10059</v>
      </c>
      <c r="C30844" s="1" t="s">
        <v>23490</v>
      </c>
      <c r="D30844" s="1" t="str">
        <f>HYPERLINK("https://rhld.insurance.arkansas.gov/NPILookup?Npi=1205091568","1205091568")</f>
        <v>1205091568</v>
      </c>
      <c r="E30844" t="s">
        <v>10126</v>
      </c>
    </row>
    <row r="30845" spans="1:5" x14ac:dyDescent="0.25">
      <c r="A30845" t="s">
        <v>10058</v>
      </c>
      <c r="B30845" t="s">
        <v>10059</v>
      </c>
      <c r="C30845" s="1" t="s">
        <v>23490</v>
      </c>
      <c r="D30845" s="1" t="str">
        <f>HYPERLINK("https://rhld.insurance.arkansas.gov/NPILookup?Npi=1205126539","1205126539")</f>
        <v>1205126539</v>
      </c>
      <c r="E30845" t="s">
        <v>14639</v>
      </c>
    </row>
    <row r="30846" spans="1:5" x14ac:dyDescent="0.25">
      <c r="A30846" t="s">
        <v>10058</v>
      </c>
      <c r="B30846" t="s">
        <v>10059</v>
      </c>
      <c r="C30846" s="1" t="s">
        <v>23490</v>
      </c>
      <c r="D30846" s="1" t="str">
        <f>HYPERLINK("https://rhld.insurance.arkansas.gov/NPILookup?Npi=1205259413","1205259413")</f>
        <v>1205259413</v>
      </c>
      <c r="E30846" t="s">
        <v>10166</v>
      </c>
    </row>
    <row r="30847" spans="1:5" x14ac:dyDescent="0.25">
      <c r="A30847" t="s">
        <v>10058</v>
      </c>
      <c r="B30847" t="s">
        <v>10059</v>
      </c>
      <c r="C30847" s="1" t="s">
        <v>23490</v>
      </c>
      <c r="D30847" s="1" t="str">
        <f>HYPERLINK("https://rhld.insurance.arkansas.gov/NPILookup?Npi=1205302254","1205302254")</f>
        <v>1205302254</v>
      </c>
      <c r="E30847" t="s">
        <v>10389</v>
      </c>
    </row>
    <row r="30848" spans="1:5" x14ac:dyDescent="0.25">
      <c r="A30848" t="s">
        <v>10058</v>
      </c>
      <c r="B30848" t="s">
        <v>10059</v>
      </c>
      <c r="C30848" s="1" t="s">
        <v>23490</v>
      </c>
      <c r="D30848" s="1" t="str">
        <f>HYPERLINK("https://rhld.insurance.arkansas.gov/NPILookup?Npi=1205307642","1205307642")</f>
        <v>1205307642</v>
      </c>
      <c r="E30848" t="s">
        <v>10170</v>
      </c>
    </row>
    <row r="30849" spans="1:5" x14ac:dyDescent="0.25">
      <c r="A30849" t="s">
        <v>10058</v>
      </c>
      <c r="B30849" t="s">
        <v>10059</v>
      </c>
      <c r="C30849" s="1" t="s">
        <v>23490</v>
      </c>
      <c r="D30849" s="1" t="str">
        <f>HYPERLINK("https://rhld.insurance.arkansas.gov/NPILookup?Npi=1205446184","1205446184")</f>
        <v>1205446184</v>
      </c>
      <c r="E30849" t="s">
        <v>19274</v>
      </c>
    </row>
    <row r="30850" spans="1:5" x14ac:dyDescent="0.25">
      <c r="A30850" t="s">
        <v>10058</v>
      </c>
      <c r="B30850" t="s">
        <v>10059</v>
      </c>
      <c r="C30850" s="1" t="s">
        <v>23490</v>
      </c>
      <c r="D30850" s="1" t="str">
        <f>HYPERLINK("https://rhld.insurance.arkansas.gov/NPILookup?Npi=1205525227","1205525227")</f>
        <v>1205525227</v>
      </c>
      <c r="E30850" t="s">
        <v>22824</v>
      </c>
    </row>
    <row r="30851" spans="1:5" x14ac:dyDescent="0.25">
      <c r="A30851" t="s">
        <v>10058</v>
      </c>
      <c r="B30851" t="s">
        <v>10059</v>
      </c>
      <c r="C30851" s="1" t="s">
        <v>23490</v>
      </c>
      <c r="D30851" s="1" t="str">
        <f>HYPERLINK("https://rhld.insurance.arkansas.gov/NPILookup?Npi=1205591054","1205591054")</f>
        <v>1205591054</v>
      </c>
      <c r="E30851" t="s">
        <v>22825</v>
      </c>
    </row>
    <row r="30852" spans="1:5" x14ac:dyDescent="0.25">
      <c r="A30852" t="s">
        <v>10058</v>
      </c>
      <c r="B30852" t="s">
        <v>10059</v>
      </c>
      <c r="C30852" s="1" t="s">
        <v>23490</v>
      </c>
      <c r="D30852" s="1" t="str">
        <f>HYPERLINK("https://rhld.insurance.arkansas.gov/NPILookup?Npi=1205841236","1205841236")</f>
        <v>1205841236</v>
      </c>
      <c r="E30852" t="s">
        <v>10066</v>
      </c>
    </row>
    <row r="30853" spans="1:5" x14ac:dyDescent="0.25">
      <c r="A30853" t="s">
        <v>10058</v>
      </c>
      <c r="B30853" t="s">
        <v>10059</v>
      </c>
      <c r="C30853" s="1" t="s">
        <v>23490</v>
      </c>
      <c r="D30853" s="1" t="str">
        <f>HYPERLINK("https://rhld.insurance.arkansas.gov/NPILookup?Npi=1205857273","1205857273")</f>
        <v>1205857273</v>
      </c>
      <c r="E30853" t="s">
        <v>10167</v>
      </c>
    </row>
    <row r="30854" spans="1:5" x14ac:dyDescent="0.25">
      <c r="A30854" t="s">
        <v>10058</v>
      </c>
      <c r="B30854" t="s">
        <v>10059</v>
      </c>
      <c r="C30854" s="1" t="s">
        <v>23490</v>
      </c>
      <c r="D30854" s="1" t="str">
        <f>HYPERLINK("https://rhld.insurance.arkansas.gov/NPILookup?Npi=1205902962","1205902962")</f>
        <v>1205902962</v>
      </c>
      <c r="E30854" t="s">
        <v>10168</v>
      </c>
    </row>
    <row r="30855" spans="1:5" x14ac:dyDescent="0.25">
      <c r="A30855" t="s">
        <v>10058</v>
      </c>
      <c r="B30855" t="s">
        <v>10059</v>
      </c>
      <c r="C30855" s="1" t="s">
        <v>23490</v>
      </c>
      <c r="D30855" s="1" t="str">
        <f>HYPERLINK("https://rhld.insurance.arkansas.gov/NPILookup?Npi=1205909785","1205909785")</f>
        <v>1205909785</v>
      </c>
      <c r="E30855" t="s">
        <v>10169</v>
      </c>
    </row>
    <row r="30856" spans="1:5" x14ac:dyDescent="0.25">
      <c r="A30856" t="s">
        <v>10058</v>
      </c>
      <c r="B30856" t="s">
        <v>10059</v>
      </c>
      <c r="C30856" s="1" t="s">
        <v>23490</v>
      </c>
      <c r="D30856" s="1" t="str">
        <f>HYPERLINK("https://rhld.insurance.arkansas.gov/NPILookup?Npi=1205940285","1205940285")</f>
        <v>1205940285</v>
      </c>
      <c r="E30856" t="s">
        <v>22826</v>
      </c>
    </row>
    <row r="30857" spans="1:5" x14ac:dyDescent="0.25">
      <c r="A30857" t="s">
        <v>10058</v>
      </c>
      <c r="B30857" t="s">
        <v>10059</v>
      </c>
      <c r="C30857" s="1" t="s">
        <v>23490</v>
      </c>
      <c r="D30857" s="1" t="str">
        <f>HYPERLINK("https://rhld.insurance.arkansas.gov/NPILookup?Npi=1215007497","1215007497")</f>
        <v>1215007497</v>
      </c>
      <c r="E30857" t="s">
        <v>10170</v>
      </c>
    </row>
    <row r="30858" spans="1:5" x14ac:dyDescent="0.25">
      <c r="A30858" t="s">
        <v>10058</v>
      </c>
      <c r="B30858" t="s">
        <v>10059</v>
      </c>
      <c r="C30858" s="1" t="s">
        <v>23490</v>
      </c>
      <c r="D30858" s="1" t="str">
        <f>HYPERLINK("https://rhld.insurance.arkansas.gov/NPILookup?Npi=1215020037","1215020037")</f>
        <v>1215020037</v>
      </c>
      <c r="E30858" t="s">
        <v>10171</v>
      </c>
    </row>
    <row r="30859" spans="1:5" x14ac:dyDescent="0.25">
      <c r="A30859" t="s">
        <v>10058</v>
      </c>
      <c r="B30859" t="s">
        <v>10059</v>
      </c>
      <c r="C30859" s="1" t="s">
        <v>23490</v>
      </c>
      <c r="D30859" s="1" t="str">
        <f>HYPERLINK("https://rhld.insurance.arkansas.gov/NPILookup?Npi=1215031141","1215031141")</f>
        <v>1215031141</v>
      </c>
      <c r="E30859" t="s">
        <v>10086</v>
      </c>
    </row>
    <row r="30860" spans="1:5" x14ac:dyDescent="0.25">
      <c r="A30860" t="s">
        <v>10058</v>
      </c>
      <c r="B30860" t="s">
        <v>10059</v>
      </c>
      <c r="C30860" s="1" t="s">
        <v>23490</v>
      </c>
      <c r="D30860" s="1" t="str">
        <f>HYPERLINK("https://rhld.insurance.arkansas.gov/NPILookup?Npi=1215187455","1215187455")</f>
        <v>1215187455</v>
      </c>
      <c r="E30860" t="s">
        <v>10172</v>
      </c>
    </row>
    <row r="30861" spans="1:5" x14ac:dyDescent="0.25">
      <c r="A30861" t="s">
        <v>10058</v>
      </c>
      <c r="B30861" t="s">
        <v>10059</v>
      </c>
      <c r="C30861" s="1" t="s">
        <v>23490</v>
      </c>
      <c r="D30861" s="1" t="str">
        <f>HYPERLINK("https://rhld.insurance.arkansas.gov/NPILookup?Npi=1215349667","1215349667")</f>
        <v>1215349667</v>
      </c>
      <c r="E30861" t="s">
        <v>10173</v>
      </c>
    </row>
    <row r="30862" spans="1:5" x14ac:dyDescent="0.25">
      <c r="A30862" t="s">
        <v>10058</v>
      </c>
      <c r="B30862" t="s">
        <v>10059</v>
      </c>
      <c r="C30862" s="1" t="s">
        <v>23490</v>
      </c>
      <c r="D30862" s="1" t="str">
        <f>HYPERLINK("https://rhld.insurance.arkansas.gov/NPILookup?Npi=1215557905","1215557905")</f>
        <v>1215557905</v>
      </c>
      <c r="E30862" t="s">
        <v>18619</v>
      </c>
    </row>
    <row r="30863" spans="1:5" x14ac:dyDescent="0.25">
      <c r="A30863" t="s">
        <v>10058</v>
      </c>
      <c r="B30863" t="s">
        <v>10059</v>
      </c>
      <c r="C30863" s="1" t="s">
        <v>23490</v>
      </c>
      <c r="D30863" s="1" t="str">
        <f>HYPERLINK("https://rhld.insurance.arkansas.gov/NPILookup?Npi=1215664115","1215664115")</f>
        <v>1215664115</v>
      </c>
      <c r="E30863" t="s">
        <v>22809</v>
      </c>
    </row>
    <row r="30864" spans="1:5" x14ac:dyDescent="0.25">
      <c r="A30864" t="s">
        <v>10058</v>
      </c>
      <c r="B30864" t="s">
        <v>10059</v>
      </c>
      <c r="C30864" s="1" t="s">
        <v>23490</v>
      </c>
      <c r="D30864" s="1" t="str">
        <f>HYPERLINK("https://rhld.insurance.arkansas.gov/NPILookup?Npi=1215943964","1215943964")</f>
        <v>1215943964</v>
      </c>
      <c r="E30864" t="s">
        <v>10066</v>
      </c>
    </row>
    <row r="30865" spans="1:5" x14ac:dyDescent="0.25">
      <c r="A30865" t="s">
        <v>10058</v>
      </c>
      <c r="B30865" t="s">
        <v>10059</v>
      </c>
      <c r="C30865" s="1" t="s">
        <v>23490</v>
      </c>
      <c r="D30865" s="1" t="str">
        <f>HYPERLINK("https://rhld.insurance.arkansas.gov/NPILookup?Npi=1215960885","1215960885")</f>
        <v>1215960885</v>
      </c>
      <c r="E30865" t="s">
        <v>10174</v>
      </c>
    </row>
    <row r="30866" spans="1:5" x14ac:dyDescent="0.25">
      <c r="A30866" t="s">
        <v>10058</v>
      </c>
      <c r="B30866" t="s">
        <v>10059</v>
      </c>
      <c r="C30866" s="1" t="s">
        <v>23490</v>
      </c>
      <c r="D30866" s="1" t="str">
        <f>HYPERLINK("https://rhld.insurance.arkansas.gov/NPILookup?Npi=1215961941","1215961941")</f>
        <v>1215961941</v>
      </c>
      <c r="E30866" t="s">
        <v>10067</v>
      </c>
    </row>
    <row r="30867" spans="1:5" x14ac:dyDescent="0.25">
      <c r="A30867" t="s">
        <v>10058</v>
      </c>
      <c r="B30867" t="s">
        <v>10059</v>
      </c>
      <c r="C30867" s="1" t="s">
        <v>23490</v>
      </c>
      <c r="D30867" s="1" t="str">
        <f>HYPERLINK("https://rhld.insurance.arkansas.gov/NPILookup?Npi=1225025232","1225025232")</f>
        <v>1225025232</v>
      </c>
      <c r="E30867" t="s">
        <v>10175</v>
      </c>
    </row>
    <row r="30868" spans="1:5" x14ac:dyDescent="0.25">
      <c r="A30868" t="s">
        <v>10058</v>
      </c>
      <c r="B30868" t="s">
        <v>10059</v>
      </c>
      <c r="C30868" s="1" t="s">
        <v>23490</v>
      </c>
      <c r="D30868" s="1" t="str">
        <f>HYPERLINK("https://rhld.insurance.arkansas.gov/NPILookup?Npi=1225043490","1225043490")</f>
        <v>1225043490</v>
      </c>
      <c r="E30868" t="s">
        <v>10176</v>
      </c>
    </row>
    <row r="30869" spans="1:5" x14ac:dyDescent="0.25">
      <c r="A30869" t="s">
        <v>10058</v>
      </c>
      <c r="B30869" t="s">
        <v>10059</v>
      </c>
      <c r="C30869" s="1" t="s">
        <v>23490</v>
      </c>
      <c r="D30869" s="1" t="str">
        <f>HYPERLINK("https://rhld.insurance.arkansas.gov/NPILookup?Npi=1225050008","1225050008")</f>
        <v>1225050008</v>
      </c>
      <c r="E30869" t="s">
        <v>10125</v>
      </c>
    </row>
    <row r="30870" spans="1:5" x14ac:dyDescent="0.25">
      <c r="A30870" t="s">
        <v>10058</v>
      </c>
      <c r="B30870" t="s">
        <v>10059</v>
      </c>
      <c r="C30870" s="1" t="s">
        <v>23490</v>
      </c>
      <c r="D30870" s="1" t="str">
        <f>HYPERLINK("https://rhld.insurance.arkansas.gov/NPILookup?Npi=1225053986","1225053986")</f>
        <v>1225053986</v>
      </c>
      <c r="E30870" t="s">
        <v>10177</v>
      </c>
    </row>
    <row r="30871" spans="1:5" x14ac:dyDescent="0.25">
      <c r="A30871" t="s">
        <v>10058</v>
      </c>
      <c r="B30871" t="s">
        <v>10059</v>
      </c>
      <c r="C30871" s="1" t="s">
        <v>23490</v>
      </c>
      <c r="D30871" s="1" t="str">
        <f>HYPERLINK("https://rhld.insurance.arkansas.gov/NPILookup?Npi=1225055585","1225055585")</f>
        <v>1225055585</v>
      </c>
      <c r="E30871" t="s">
        <v>10060</v>
      </c>
    </row>
    <row r="30872" spans="1:5" x14ac:dyDescent="0.25">
      <c r="A30872" t="s">
        <v>10058</v>
      </c>
      <c r="B30872" t="s">
        <v>10059</v>
      </c>
      <c r="C30872" s="1" t="s">
        <v>23490</v>
      </c>
      <c r="D30872" s="1" t="str">
        <f>HYPERLINK("https://rhld.insurance.arkansas.gov/NPILookup?Npi=1225055627","1225055627")</f>
        <v>1225055627</v>
      </c>
      <c r="E30872" t="s">
        <v>13312</v>
      </c>
    </row>
    <row r="30873" spans="1:5" x14ac:dyDescent="0.25">
      <c r="A30873" t="s">
        <v>10058</v>
      </c>
      <c r="B30873" t="s">
        <v>10059</v>
      </c>
      <c r="C30873" s="1" t="s">
        <v>23490</v>
      </c>
      <c r="D30873" s="1" t="str">
        <f>HYPERLINK("https://rhld.insurance.arkansas.gov/NPILookup?Npi=1225101793","1225101793")</f>
        <v>1225101793</v>
      </c>
      <c r="E30873" t="s">
        <v>10087</v>
      </c>
    </row>
    <row r="30874" spans="1:5" x14ac:dyDescent="0.25">
      <c r="A30874" t="s">
        <v>10058</v>
      </c>
      <c r="B30874" t="s">
        <v>10059</v>
      </c>
      <c r="C30874" s="1" t="s">
        <v>23490</v>
      </c>
      <c r="D30874" s="1" t="str">
        <f>HYPERLINK("https://rhld.insurance.arkansas.gov/NPILookup?Npi=1225130628","1225130628")</f>
        <v>1225130628</v>
      </c>
      <c r="E30874" t="s">
        <v>10178</v>
      </c>
    </row>
    <row r="30875" spans="1:5" x14ac:dyDescent="0.25">
      <c r="A30875" t="s">
        <v>10058</v>
      </c>
      <c r="B30875" t="s">
        <v>10059</v>
      </c>
      <c r="C30875" s="1" t="s">
        <v>23490</v>
      </c>
      <c r="D30875" s="1" t="str">
        <f>HYPERLINK("https://rhld.insurance.arkansas.gov/NPILookup?Npi=1225142292","1225142292")</f>
        <v>1225142292</v>
      </c>
      <c r="E30875" t="s">
        <v>10179</v>
      </c>
    </row>
    <row r="30876" spans="1:5" x14ac:dyDescent="0.25">
      <c r="A30876" t="s">
        <v>10058</v>
      </c>
      <c r="B30876" t="s">
        <v>10059</v>
      </c>
      <c r="C30876" s="1" t="s">
        <v>23490</v>
      </c>
      <c r="D30876" s="1" t="str">
        <f>HYPERLINK("https://rhld.insurance.arkansas.gov/NPILookup?Npi=1225168537","1225168537")</f>
        <v>1225168537</v>
      </c>
      <c r="E30876" t="s">
        <v>10180</v>
      </c>
    </row>
    <row r="30877" spans="1:5" x14ac:dyDescent="0.25">
      <c r="A30877" t="s">
        <v>10058</v>
      </c>
      <c r="B30877" t="s">
        <v>10059</v>
      </c>
      <c r="C30877" s="1" t="s">
        <v>23490</v>
      </c>
      <c r="D30877" s="1" t="str">
        <f>HYPERLINK("https://rhld.insurance.arkansas.gov/NPILookup?Npi=1225238447","1225238447")</f>
        <v>1225238447</v>
      </c>
      <c r="E30877" t="s">
        <v>10182</v>
      </c>
    </row>
    <row r="30878" spans="1:5" x14ac:dyDescent="0.25">
      <c r="A30878" t="s">
        <v>10058</v>
      </c>
      <c r="B30878" t="s">
        <v>10059</v>
      </c>
      <c r="C30878" s="1" t="s">
        <v>23490</v>
      </c>
      <c r="D30878" s="1" t="str">
        <f>HYPERLINK("https://rhld.insurance.arkansas.gov/NPILookup?Npi=1225359664","1225359664")</f>
        <v>1225359664</v>
      </c>
      <c r="E30878" t="s">
        <v>10183</v>
      </c>
    </row>
    <row r="30879" spans="1:5" x14ac:dyDescent="0.25">
      <c r="A30879" t="s">
        <v>10058</v>
      </c>
      <c r="B30879" t="s">
        <v>10059</v>
      </c>
      <c r="C30879" s="1" t="s">
        <v>23490</v>
      </c>
      <c r="D30879" s="1" t="str">
        <f>HYPERLINK("https://rhld.insurance.arkansas.gov/NPILookup?Npi=1225360027","1225360027")</f>
        <v>1225360027</v>
      </c>
      <c r="E30879" t="s">
        <v>13315</v>
      </c>
    </row>
    <row r="30880" spans="1:5" x14ac:dyDescent="0.25">
      <c r="A30880" t="s">
        <v>10058</v>
      </c>
      <c r="B30880" t="s">
        <v>10059</v>
      </c>
      <c r="C30880" s="1" t="s">
        <v>23490</v>
      </c>
      <c r="D30880" s="1" t="str">
        <f>HYPERLINK("https://rhld.insurance.arkansas.gov/NPILookup?Npi=1225443104","1225443104")</f>
        <v>1225443104</v>
      </c>
      <c r="E30880" t="s">
        <v>10063</v>
      </c>
    </row>
    <row r="30881" spans="1:5" x14ac:dyDescent="0.25">
      <c r="A30881" t="s">
        <v>10058</v>
      </c>
      <c r="B30881" t="s">
        <v>10059</v>
      </c>
      <c r="C30881" s="1" t="s">
        <v>23490</v>
      </c>
      <c r="D30881" s="1" t="str">
        <f>HYPERLINK("https://rhld.insurance.arkansas.gov/NPILookup?Npi=1225499619","1225499619")</f>
        <v>1225499619</v>
      </c>
      <c r="E30881" t="s">
        <v>10184</v>
      </c>
    </row>
    <row r="30882" spans="1:5" x14ac:dyDescent="0.25">
      <c r="A30882" t="s">
        <v>10058</v>
      </c>
      <c r="B30882" t="s">
        <v>10059</v>
      </c>
      <c r="C30882" s="1" t="s">
        <v>23490</v>
      </c>
      <c r="D30882" s="1" t="str">
        <f>HYPERLINK("https://rhld.insurance.arkansas.gov/NPILookup?Npi=1225723133","1225723133")</f>
        <v>1225723133</v>
      </c>
      <c r="E30882" t="s">
        <v>7560</v>
      </c>
    </row>
    <row r="30883" spans="1:5" x14ac:dyDescent="0.25">
      <c r="A30883" t="s">
        <v>10058</v>
      </c>
      <c r="B30883" t="s">
        <v>10059</v>
      </c>
      <c r="C30883" s="1" t="s">
        <v>23490</v>
      </c>
      <c r="D30883" s="1" t="str">
        <f>HYPERLINK("https://rhld.insurance.arkansas.gov/NPILookup?Npi=1225759640","1225759640")</f>
        <v>1225759640</v>
      </c>
      <c r="E30883" t="s">
        <v>22827</v>
      </c>
    </row>
    <row r="30884" spans="1:5" x14ac:dyDescent="0.25">
      <c r="A30884" t="s">
        <v>10058</v>
      </c>
      <c r="B30884" t="s">
        <v>10059</v>
      </c>
      <c r="C30884" s="1" t="s">
        <v>23490</v>
      </c>
      <c r="D30884" s="1" t="str">
        <f>HYPERLINK("https://rhld.insurance.arkansas.gov/NPILookup?Npi=1225783608","1225783608")</f>
        <v>1225783608</v>
      </c>
      <c r="E30884" t="s">
        <v>16625</v>
      </c>
    </row>
    <row r="30885" spans="1:5" x14ac:dyDescent="0.25">
      <c r="A30885" t="s">
        <v>10058</v>
      </c>
      <c r="B30885" t="s">
        <v>10059</v>
      </c>
      <c r="C30885" s="1" t="s">
        <v>23490</v>
      </c>
      <c r="D30885" s="1" t="str">
        <f>HYPERLINK("https://rhld.insurance.arkansas.gov/NPILookup?Npi=1235114208","1235114208")</f>
        <v>1235114208</v>
      </c>
      <c r="E30885" t="s">
        <v>12724</v>
      </c>
    </row>
    <row r="30886" spans="1:5" x14ac:dyDescent="0.25">
      <c r="A30886" t="s">
        <v>10058</v>
      </c>
      <c r="B30886" t="s">
        <v>10059</v>
      </c>
      <c r="C30886" s="1" t="s">
        <v>23490</v>
      </c>
      <c r="D30886" s="1" t="str">
        <f>HYPERLINK("https://rhld.insurance.arkansas.gov/NPILookup?Npi=1235138637","1235138637")</f>
        <v>1235138637</v>
      </c>
      <c r="E30886" t="s">
        <v>10170</v>
      </c>
    </row>
    <row r="30887" spans="1:5" x14ac:dyDescent="0.25">
      <c r="A30887" t="s">
        <v>10058</v>
      </c>
      <c r="B30887" t="s">
        <v>10059</v>
      </c>
      <c r="C30887" s="1" t="s">
        <v>23490</v>
      </c>
      <c r="D30887" s="1" t="str">
        <f>HYPERLINK("https://rhld.insurance.arkansas.gov/NPILookup?Npi=1235138652","1235138652")</f>
        <v>1235138652</v>
      </c>
      <c r="E30887" t="s">
        <v>10185</v>
      </c>
    </row>
    <row r="30888" spans="1:5" x14ac:dyDescent="0.25">
      <c r="A30888" t="s">
        <v>10058</v>
      </c>
      <c r="B30888" t="s">
        <v>10059</v>
      </c>
      <c r="C30888" s="1" t="s">
        <v>23490</v>
      </c>
      <c r="D30888" s="1" t="str">
        <f>HYPERLINK("https://rhld.insurance.arkansas.gov/NPILookup?Npi=1235144411","1235144411")</f>
        <v>1235144411</v>
      </c>
      <c r="E30888" t="s">
        <v>10066</v>
      </c>
    </row>
    <row r="30889" spans="1:5" x14ac:dyDescent="0.25">
      <c r="A30889" t="s">
        <v>10058</v>
      </c>
      <c r="B30889" t="s">
        <v>10059</v>
      </c>
      <c r="C30889" s="1" t="s">
        <v>23490</v>
      </c>
      <c r="D30889" s="1" t="str">
        <f>HYPERLINK("https://rhld.insurance.arkansas.gov/NPILookup?Npi=1235146234","1235146234")</f>
        <v>1235146234</v>
      </c>
      <c r="E30889" t="s">
        <v>10066</v>
      </c>
    </row>
    <row r="30890" spans="1:5" x14ac:dyDescent="0.25">
      <c r="A30890" t="s">
        <v>10058</v>
      </c>
      <c r="B30890" t="s">
        <v>10059</v>
      </c>
      <c r="C30890" s="1" t="s">
        <v>23490</v>
      </c>
      <c r="D30890" s="1" t="str">
        <f>HYPERLINK("https://rhld.insurance.arkansas.gov/NPILookup?Npi=1235156365","1235156365")</f>
        <v>1235156365</v>
      </c>
      <c r="E30890" t="s">
        <v>10060</v>
      </c>
    </row>
    <row r="30891" spans="1:5" x14ac:dyDescent="0.25">
      <c r="A30891" t="s">
        <v>10058</v>
      </c>
      <c r="B30891" t="s">
        <v>10059</v>
      </c>
      <c r="C30891" s="1" t="s">
        <v>23490</v>
      </c>
      <c r="D30891" s="1" t="str">
        <f>HYPERLINK("https://rhld.insurance.arkansas.gov/NPILookup?Npi=1235156555","1235156555")</f>
        <v>1235156555</v>
      </c>
      <c r="E30891" t="s">
        <v>10060</v>
      </c>
    </row>
    <row r="30892" spans="1:5" x14ac:dyDescent="0.25">
      <c r="A30892" t="s">
        <v>10058</v>
      </c>
      <c r="B30892" t="s">
        <v>10059</v>
      </c>
      <c r="C30892" s="1" t="s">
        <v>23490</v>
      </c>
      <c r="D30892" s="1" t="str">
        <f>HYPERLINK("https://rhld.insurance.arkansas.gov/NPILookup?Npi=1235156621","1235156621")</f>
        <v>1235156621</v>
      </c>
      <c r="E30892" t="s">
        <v>13312</v>
      </c>
    </row>
    <row r="30893" spans="1:5" x14ac:dyDescent="0.25">
      <c r="A30893" t="s">
        <v>10058</v>
      </c>
      <c r="B30893" t="s">
        <v>10059</v>
      </c>
      <c r="C30893" s="1" t="s">
        <v>23490</v>
      </c>
      <c r="D30893" s="1" t="str">
        <f>HYPERLINK("https://rhld.insurance.arkansas.gov/NPILookup?Npi=1235156639","1235156639")</f>
        <v>1235156639</v>
      </c>
      <c r="E30893" t="s">
        <v>13312</v>
      </c>
    </row>
    <row r="30894" spans="1:5" x14ac:dyDescent="0.25">
      <c r="A30894" t="s">
        <v>10058</v>
      </c>
      <c r="B30894" t="s">
        <v>10059</v>
      </c>
      <c r="C30894" s="1" t="s">
        <v>23490</v>
      </c>
      <c r="D30894" s="1" t="str">
        <f>HYPERLINK("https://rhld.insurance.arkansas.gov/NPILookup?Npi=1235163080","1235163080")</f>
        <v>1235163080</v>
      </c>
      <c r="E30894" t="s">
        <v>10067</v>
      </c>
    </row>
    <row r="30895" spans="1:5" x14ac:dyDescent="0.25">
      <c r="A30895" t="s">
        <v>10058</v>
      </c>
      <c r="B30895" t="s">
        <v>10059</v>
      </c>
      <c r="C30895" s="1" t="s">
        <v>23490</v>
      </c>
      <c r="D30895" s="1" t="str">
        <f>HYPERLINK("https://rhld.insurance.arkansas.gov/NPILookup?Npi=1235169103","1235169103")</f>
        <v>1235169103</v>
      </c>
      <c r="E30895" t="s">
        <v>10186</v>
      </c>
    </row>
    <row r="30896" spans="1:5" x14ac:dyDescent="0.25">
      <c r="A30896" t="s">
        <v>10058</v>
      </c>
      <c r="B30896" t="s">
        <v>10059</v>
      </c>
      <c r="C30896" s="1" t="s">
        <v>23490</v>
      </c>
      <c r="D30896" s="1" t="str">
        <f>HYPERLINK("https://rhld.insurance.arkansas.gov/NPILookup?Npi=1235175100","1235175100")</f>
        <v>1235175100</v>
      </c>
      <c r="E30896" t="s">
        <v>18620</v>
      </c>
    </row>
    <row r="30897" spans="1:5" x14ac:dyDescent="0.25">
      <c r="A30897" t="s">
        <v>10058</v>
      </c>
      <c r="B30897" t="s">
        <v>10059</v>
      </c>
      <c r="C30897" s="1" t="s">
        <v>23490</v>
      </c>
      <c r="D30897" s="1" t="str">
        <f>HYPERLINK("https://rhld.insurance.arkansas.gov/NPILookup?Npi=1235202706","1235202706")</f>
        <v>1235202706</v>
      </c>
      <c r="E30897" t="s">
        <v>10087</v>
      </c>
    </row>
    <row r="30898" spans="1:5" x14ac:dyDescent="0.25">
      <c r="A30898" t="s">
        <v>10058</v>
      </c>
      <c r="B30898" t="s">
        <v>10059</v>
      </c>
      <c r="C30898" s="1" t="s">
        <v>23490</v>
      </c>
      <c r="D30898" s="1" t="str">
        <f>HYPERLINK("https://rhld.insurance.arkansas.gov/NPILookup?Npi=1235207242","1235207242")</f>
        <v>1235207242</v>
      </c>
      <c r="E30898" t="s">
        <v>10066</v>
      </c>
    </row>
    <row r="30899" spans="1:5" x14ac:dyDescent="0.25">
      <c r="A30899" t="s">
        <v>10058</v>
      </c>
      <c r="B30899" t="s">
        <v>10059</v>
      </c>
      <c r="C30899" s="1" t="s">
        <v>23490</v>
      </c>
      <c r="D30899" s="1" t="str">
        <f>HYPERLINK("https://rhld.insurance.arkansas.gov/NPILookup?Npi=1235239559","1235239559")</f>
        <v>1235239559</v>
      </c>
      <c r="E30899" t="s">
        <v>10078</v>
      </c>
    </row>
    <row r="30900" spans="1:5" x14ac:dyDescent="0.25">
      <c r="A30900" t="s">
        <v>10058</v>
      </c>
      <c r="B30900" t="s">
        <v>10059</v>
      </c>
      <c r="C30900" s="1" t="s">
        <v>23490</v>
      </c>
      <c r="D30900" s="1" t="str">
        <f>HYPERLINK("https://rhld.insurance.arkansas.gov/NPILookup?Npi=1235321332","1235321332")</f>
        <v>1235321332</v>
      </c>
      <c r="E30900" t="s">
        <v>10066</v>
      </c>
    </row>
    <row r="30901" spans="1:5" x14ac:dyDescent="0.25">
      <c r="A30901" t="s">
        <v>10058</v>
      </c>
      <c r="B30901" t="s">
        <v>10059</v>
      </c>
      <c r="C30901" s="1" t="s">
        <v>23490</v>
      </c>
      <c r="D30901" s="1" t="str">
        <f>HYPERLINK("https://rhld.insurance.arkansas.gov/NPILookup?Npi=1235361262","1235361262")</f>
        <v>1235361262</v>
      </c>
      <c r="E30901" t="s">
        <v>10188</v>
      </c>
    </row>
    <row r="30902" spans="1:5" x14ac:dyDescent="0.25">
      <c r="A30902" t="s">
        <v>10058</v>
      </c>
      <c r="B30902" t="s">
        <v>10059</v>
      </c>
      <c r="C30902" s="1" t="s">
        <v>23490</v>
      </c>
      <c r="D30902" s="1" t="str">
        <f>HYPERLINK("https://rhld.insurance.arkansas.gov/NPILookup?Npi=1235475427","1235475427")</f>
        <v>1235475427</v>
      </c>
      <c r="E30902" t="s">
        <v>17808</v>
      </c>
    </row>
    <row r="30903" spans="1:5" x14ac:dyDescent="0.25">
      <c r="A30903" t="s">
        <v>10058</v>
      </c>
      <c r="B30903" t="s">
        <v>10059</v>
      </c>
      <c r="C30903" s="1" t="s">
        <v>23490</v>
      </c>
      <c r="D30903" s="1" t="str">
        <f>HYPERLINK("https://rhld.insurance.arkansas.gov/NPILookup?Npi=1235525262","1235525262")</f>
        <v>1235525262</v>
      </c>
      <c r="E30903" t="s">
        <v>13312</v>
      </c>
    </row>
    <row r="30904" spans="1:5" x14ac:dyDescent="0.25">
      <c r="A30904" t="s">
        <v>10058</v>
      </c>
      <c r="B30904" t="s">
        <v>10059</v>
      </c>
      <c r="C30904" s="1" t="s">
        <v>23490</v>
      </c>
      <c r="D30904" s="1" t="str">
        <f>HYPERLINK("https://rhld.insurance.arkansas.gov/NPILookup?Npi=1235570334","1235570334")</f>
        <v>1235570334</v>
      </c>
      <c r="E30904" t="s">
        <v>10189</v>
      </c>
    </row>
    <row r="30905" spans="1:5" x14ac:dyDescent="0.25">
      <c r="A30905" t="s">
        <v>10058</v>
      </c>
      <c r="B30905" t="s">
        <v>10059</v>
      </c>
      <c r="C30905" s="1" t="s">
        <v>23490</v>
      </c>
      <c r="D30905" s="1" t="str">
        <f>HYPERLINK("https://rhld.insurance.arkansas.gov/NPILookup?Npi=1235614421","1235614421")</f>
        <v>1235614421</v>
      </c>
      <c r="E30905" t="s">
        <v>14640</v>
      </c>
    </row>
    <row r="30906" spans="1:5" x14ac:dyDescent="0.25">
      <c r="A30906" t="s">
        <v>10058</v>
      </c>
      <c r="B30906" t="s">
        <v>10059</v>
      </c>
      <c r="C30906" s="1" t="s">
        <v>23490</v>
      </c>
      <c r="D30906" s="1" t="str">
        <f>HYPERLINK("https://rhld.insurance.arkansas.gov/NPILookup?Npi=1235793480","1235793480")</f>
        <v>1235793480</v>
      </c>
      <c r="E30906" t="s">
        <v>16822</v>
      </c>
    </row>
    <row r="30907" spans="1:5" x14ac:dyDescent="0.25">
      <c r="A30907" t="s">
        <v>10058</v>
      </c>
      <c r="B30907" t="s">
        <v>10059</v>
      </c>
      <c r="C30907" s="1" t="s">
        <v>23490</v>
      </c>
      <c r="D30907" s="1" t="str">
        <f>HYPERLINK("https://rhld.insurance.arkansas.gov/NPILookup?Npi=1235850421","1235850421")</f>
        <v>1235850421</v>
      </c>
      <c r="E30907" t="s">
        <v>10513</v>
      </c>
    </row>
    <row r="30908" spans="1:5" x14ac:dyDescent="0.25">
      <c r="A30908" t="s">
        <v>10058</v>
      </c>
      <c r="B30908" t="s">
        <v>10059</v>
      </c>
      <c r="C30908" s="1" t="s">
        <v>23490</v>
      </c>
      <c r="D30908" s="1" t="str">
        <f>HYPERLINK("https://rhld.insurance.arkansas.gov/NPILookup?Npi=1245228824","1245228824")</f>
        <v>1245228824</v>
      </c>
      <c r="E30908" t="s">
        <v>10190</v>
      </c>
    </row>
    <row r="30909" spans="1:5" x14ac:dyDescent="0.25">
      <c r="A30909" t="s">
        <v>10058</v>
      </c>
      <c r="B30909" t="s">
        <v>10059</v>
      </c>
      <c r="C30909" s="1" t="s">
        <v>23490</v>
      </c>
      <c r="D30909" s="1" t="str">
        <f>HYPERLINK("https://rhld.insurance.arkansas.gov/NPILookup?Npi=1245240746","1245240746")</f>
        <v>1245240746</v>
      </c>
      <c r="E30909" t="s">
        <v>10191</v>
      </c>
    </row>
    <row r="30910" spans="1:5" x14ac:dyDescent="0.25">
      <c r="A30910" t="s">
        <v>10058</v>
      </c>
      <c r="B30910" t="s">
        <v>10059</v>
      </c>
      <c r="C30910" s="1" t="s">
        <v>23490</v>
      </c>
      <c r="D30910" s="1" t="str">
        <f>HYPERLINK("https://rhld.insurance.arkansas.gov/NPILookup?Npi=1245245513","1245245513")</f>
        <v>1245245513</v>
      </c>
      <c r="E30910" t="s">
        <v>10066</v>
      </c>
    </row>
    <row r="30911" spans="1:5" x14ac:dyDescent="0.25">
      <c r="A30911" t="s">
        <v>10058</v>
      </c>
      <c r="B30911" t="s">
        <v>10059</v>
      </c>
      <c r="C30911" s="1" t="s">
        <v>23490</v>
      </c>
      <c r="D30911" s="1" t="str">
        <f>HYPERLINK("https://rhld.insurance.arkansas.gov/NPILookup?Npi=1245246610","1245246610")</f>
        <v>1245246610</v>
      </c>
      <c r="E30911" t="s">
        <v>10066</v>
      </c>
    </row>
    <row r="30912" spans="1:5" x14ac:dyDescent="0.25">
      <c r="A30912" t="s">
        <v>10058</v>
      </c>
      <c r="B30912" t="s">
        <v>10059</v>
      </c>
      <c r="C30912" s="1" t="s">
        <v>23490</v>
      </c>
      <c r="D30912" s="1" t="str">
        <f>HYPERLINK("https://rhld.insurance.arkansas.gov/NPILookup?Npi=1245246719","1245246719")</f>
        <v>1245246719</v>
      </c>
      <c r="E30912" t="s">
        <v>10066</v>
      </c>
    </row>
    <row r="30913" spans="1:5" x14ac:dyDescent="0.25">
      <c r="A30913" t="s">
        <v>10058</v>
      </c>
      <c r="B30913" t="s">
        <v>10059</v>
      </c>
      <c r="C30913" s="1" t="s">
        <v>23490</v>
      </c>
      <c r="D30913" s="1" t="str">
        <f>HYPERLINK("https://rhld.insurance.arkansas.gov/NPILookup?Npi=1245257625","1245257625")</f>
        <v>1245257625</v>
      </c>
      <c r="E30913" t="s">
        <v>13312</v>
      </c>
    </row>
    <row r="30914" spans="1:5" x14ac:dyDescent="0.25">
      <c r="A30914" t="s">
        <v>10058</v>
      </c>
      <c r="B30914" t="s">
        <v>10059</v>
      </c>
      <c r="C30914" s="1" t="s">
        <v>23490</v>
      </c>
      <c r="D30914" s="1" t="str">
        <f>HYPERLINK("https://rhld.insurance.arkansas.gov/NPILookup?Npi=1245257633","1245257633")</f>
        <v>1245257633</v>
      </c>
      <c r="E30914" t="s">
        <v>13312</v>
      </c>
    </row>
    <row r="30915" spans="1:5" x14ac:dyDescent="0.25">
      <c r="A30915" t="s">
        <v>10058</v>
      </c>
      <c r="B30915" t="s">
        <v>10059</v>
      </c>
      <c r="C30915" s="1" t="s">
        <v>23490</v>
      </c>
      <c r="D30915" s="1" t="str">
        <f>HYPERLINK("https://rhld.insurance.arkansas.gov/NPILookup?Npi=1245264092","1245264092")</f>
        <v>1245264092</v>
      </c>
      <c r="E30915" t="s">
        <v>10067</v>
      </c>
    </row>
    <row r="30916" spans="1:5" x14ac:dyDescent="0.25">
      <c r="A30916" t="s">
        <v>10058</v>
      </c>
      <c r="B30916" t="s">
        <v>10059</v>
      </c>
      <c r="C30916" s="1" t="s">
        <v>23490</v>
      </c>
      <c r="D30916" s="1" t="str">
        <f>HYPERLINK("https://rhld.insurance.arkansas.gov/NPILookup?Npi=1245264985","1245264985")</f>
        <v>1245264985</v>
      </c>
      <c r="E30916" t="s">
        <v>10067</v>
      </c>
    </row>
    <row r="30917" spans="1:5" x14ac:dyDescent="0.25">
      <c r="A30917" t="s">
        <v>10058</v>
      </c>
      <c r="B30917" t="s">
        <v>10059</v>
      </c>
      <c r="C30917" s="1" t="s">
        <v>23490</v>
      </c>
      <c r="D30917" s="1" t="str">
        <f>HYPERLINK("https://rhld.insurance.arkansas.gov/NPILookup?Npi=1245314988","1245314988")</f>
        <v>1245314988</v>
      </c>
      <c r="E30917" t="s">
        <v>10192</v>
      </c>
    </row>
    <row r="30918" spans="1:5" x14ac:dyDescent="0.25">
      <c r="A30918" t="s">
        <v>10058</v>
      </c>
      <c r="B30918" t="s">
        <v>10059</v>
      </c>
      <c r="C30918" s="1" t="s">
        <v>23490</v>
      </c>
      <c r="D30918" s="1" t="str">
        <f>HYPERLINK("https://rhld.insurance.arkansas.gov/NPILookup?Npi=1245335959","1245335959")</f>
        <v>1245335959</v>
      </c>
      <c r="E30918" t="s">
        <v>14641</v>
      </c>
    </row>
    <row r="30919" spans="1:5" x14ac:dyDescent="0.25">
      <c r="A30919" t="s">
        <v>10058</v>
      </c>
      <c r="B30919" t="s">
        <v>10059</v>
      </c>
      <c r="C30919" s="1" t="s">
        <v>23490</v>
      </c>
      <c r="D30919" s="1" t="str">
        <f>HYPERLINK("https://rhld.insurance.arkansas.gov/NPILookup?Npi=1245602598","1245602598")</f>
        <v>1245602598</v>
      </c>
      <c r="E30919" t="s">
        <v>10193</v>
      </c>
    </row>
    <row r="30920" spans="1:5" x14ac:dyDescent="0.25">
      <c r="A30920" t="s">
        <v>10058</v>
      </c>
      <c r="B30920" t="s">
        <v>10059</v>
      </c>
      <c r="C30920" s="1" t="s">
        <v>23490</v>
      </c>
      <c r="D30920" s="1" t="str">
        <f>HYPERLINK("https://rhld.insurance.arkansas.gov/NPILookup?Npi=1245603620","1245603620")</f>
        <v>1245603620</v>
      </c>
      <c r="E30920" t="s">
        <v>10194</v>
      </c>
    </row>
    <row r="30921" spans="1:5" x14ac:dyDescent="0.25">
      <c r="A30921" t="s">
        <v>10058</v>
      </c>
      <c r="B30921" t="s">
        <v>10059</v>
      </c>
      <c r="C30921" s="1" t="s">
        <v>23490</v>
      </c>
      <c r="D30921" s="1" t="str">
        <f>HYPERLINK("https://rhld.insurance.arkansas.gov/NPILookup?Npi=1245665850","1245665850")</f>
        <v>1245665850</v>
      </c>
      <c r="E30921" t="s">
        <v>12725</v>
      </c>
    </row>
    <row r="30922" spans="1:5" x14ac:dyDescent="0.25">
      <c r="A30922" t="s">
        <v>10058</v>
      </c>
      <c r="B30922" t="s">
        <v>10059</v>
      </c>
      <c r="C30922" s="1" t="s">
        <v>23490</v>
      </c>
      <c r="D30922" s="1" t="str">
        <f>HYPERLINK("https://rhld.insurance.arkansas.gov/NPILookup?Npi=1245992668","1245992668")</f>
        <v>1245992668</v>
      </c>
      <c r="E30922" t="s">
        <v>20859</v>
      </c>
    </row>
    <row r="30923" spans="1:5" x14ac:dyDescent="0.25">
      <c r="A30923" t="s">
        <v>10058</v>
      </c>
      <c r="B30923" t="s">
        <v>10059</v>
      </c>
      <c r="C30923" s="1" t="s">
        <v>23490</v>
      </c>
      <c r="D30923" s="1" t="str">
        <f>HYPERLINK("https://rhld.insurance.arkansas.gov/NPILookup?Npi=1255023404","1255023404")</f>
        <v>1255023404</v>
      </c>
      <c r="E30923" t="s">
        <v>10115</v>
      </c>
    </row>
    <row r="30924" spans="1:5" x14ac:dyDescent="0.25">
      <c r="A30924" t="s">
        <v>10058</v>
      </c>
      <c r="B30924" t="s">
        <v>10059</v>
      </c>
      <c r="C30924" s="1" t="s">
        <v>23490</v>
      </c>
      <c r="D30924" s="1" t="str">
        <f>HYPERLINK("https://rhld.insurance.arkansas.gov/NPILookup?Npi=1255346359","1255346359")</f>
        <v>1255346359</v>
      </c>
      <c r="E30924" t="s">
        <v>10066</v>
      </c>
    </row>
    <row r="30925" spans="1:5" x14ac:dyDescent="0.25">
      <c r="A30925" t="s">
        <v>10058</v>
      </c>
      <c r="B30925" t="s">
        <v>10059</v>
      </c>
      <c r="C30925" s="1" t="s">
        <v>23490</v>
      </c>
      <c r="D30925" s="1" t="str">
        <f>HYPERLINK("https://rhld.insurance.arkansas.gov/NPILookup?Npi=1255347605","1255347605")</f>
        <v>1255347605</v>
      </c>
      <c r="E30925" t="s">
        <v>10066</v>
      </c>
    </row>
    <row r="30926" spans="1:5" x14ac:dyDescent="0.25">
      <c r="A30926" t="s">
        <v>10058</v>
      </c>
      <c r="B30926" t="s">
        <v>10059</v>
      </c>
      <c r="C30926" s="1" t="s">
        <v>23490</v>
      </c>
      <c r="D30926" s="1" t="str">
        <f>HYPERLINK("https://rhld.insurance.arkansas.gov/NPILookup?Npi=1255358636","1255358636")</f>
        <v>1255358636</v>
      </c>
      <c r="E30926" t="s">
        <v>13312</v>
      </c>
    </row>
    <row r="30927" spans="1:5" x14ac:dyDescent="0.25">
      <c r="A30927" t="s">
        <v>10058</v>
      </c>
      <c r="B30927" t="s">
        <v>10059</v>
      </c>
      <c r="C30927" s="1" t="s">
        <v>23490</v>
      </c>
      <c r="D30927" s="1" t="str">
        <f>HYPERLINK("https://rhld.insurance.arkansas.gov/NPILookup?Npi=1255358644","1255358644")</f>
        <v>1255358644</v>
      </c>
      <c r="E30927" t="s">
        <v>13312</v>
      </c>
    </row>
    <row r="30928" spans="1:5" x14ac:dyDescent="0.25">
      <c r="A30928" t="s">
        <v>10058</v>
      </c>
      <c r="B30928" t="s">
        <v>10059</v>
      </c>
      <c r="C30928" s="1" t="s">
        <v>23490</v>
      </c>
      <c r="D30928" s="1" t="str">
        <f>HYPERLINK("https://rhld.insurance.arkansas.gov/NPILookup?Npi=1255359006","1255359006")</f>
        <v>1255359006</v>
      </c>
      <c r="E30928" t="s">
        <v>10060</v>
      </c>
    </row>
    <row r="30929" spans="1:5" x14ac:dyDescent="0.25">
      <c r="A30929" t="s">
        <v>10058</v>
      </c>
      <c r="B30929" t="s">
        <v>10059</v>
      </c>
      <c r="C30929" s="1" t="s">
        <v>23490</v>
      </c>
      <c r="D30929" s="1" t="str">
        <f>HYPERLINK("https://rhld.insurance.arkansas.gov/NPILookup?Npi=1255410999","1255410999")</f>
        <v>1255410999</v>
      </c>
      <c r="E30929" t="s">
        <v>10195</v>
      </c>
    </row>
    <row r="30930" spans="1:5" x14ac:dyDescent="0.25">
      <c r="A30930" t="s">
        <v>10058</v>
      </c>
      <c r="B30930" t="s">
        <v>10059</v>
      </c>
      <c r="C30930" s="1" t="s">
        <v>23490</v>
      </c>
      <c r="D30930" s="1" t="str">
        <f>HYPERLINK("https://rhld.insurance.arkansas.gov/NPILookup?Npi=1255416244","1255416244")</f>
        <v>1255416244</v>
      </c>
      <c r="E30930" t="s">
        <v>10196</v>
      </c>
    </row>
    <row r="30931" spans="1:5" x14ac:dyDescent="0.25">
      <c r="A30931" t="s">
        <v>10058</v>
      </c>
      <c r="B30931" t="s">
        <v>10059</v>
      </c>
      <c r="C30931" s="1" t="s">
        <v>23490</v>
      </c>
      <c r="D30931" s="1" t="str">
        <f>HYPERLINK("https://rhld.insurance.arkansas.gov/NPILookup?Npi=1255449831","1255449831")</f>
        <v>1255449831</v>
      </c>
      <c r="E30931" t="s">
        <v>13316</v>
      </c>
    </row>
    <row r="30932" spans="1:5" x14ac:dyDescent="0.25">
      <c r="A30932" t="s">
        <v>10058</v>
      </c>
      <c r="B30932" t="s">
        <v>10059</v>
      </c>
      <c r="C30932" s="1" t="s">
        <v>23490</v>
      </c>
      <c r="D30932" s="1" t="str">
        <f>HYPERLINK("https://rhld.insurance.arkansas.gov/NPILookup?Npi=1255537064","1255537064")</f>
        <v>1255537064</v>
      </c>
      <c r="E30932" t="s">
        <v>10197</v>
      </c>
    </row>
    <row r="30933" spans="1:5" x14ac:dyDescent="0.25">
      <c r="A30933" t="s">
        <v>10058</v>
      </c>
      <c r="B30933" t="s">
        <v>10059</v>
      </c>
      <c r="C30933" s="1" t="s">
        <v>23490</v>
      </c>
      <c r="D30933" s="1" t="str">
        <f>HYPERLINK("https://rhld.insurance.arkansas.gov/NPILookup?Npi=1255561916","1255561916")</f>
        <v>1255561916</v>
      </c>
      <c r="E30933" t="s">
        <v>10119</v>
      </c>
    </row>
    <row r="30934" spans="1:5" x14ac:dyDescent="0.25">
      <c r="A30934" t="s">
        <v>10058</v>
      </c>
      <c r="B30934" t="s">
        <v>10059</v>
      </c>
      <c r="C30934" s="1" t="s">
        <v>23490</v>
      </c>
      <c r="D30934" s="1" t="str">
        <f>HYPERLINK("https://rhld.insurance.arkansas.gov/NPILookup?Npi=1255623625","1255623625")</f>
        <v>1255623625</v>
      </c>
      <c r="E30934" t="s">
        <v>12726</v>
      </c>
    </row>
    <row r="30935" spans="1:5" x14ac:dyDescent="0.25">
      <c r="A30935" t="s">
        <v>10058</v>
      </c>
      <c r="B30935" t="s">
        <v>10059</v>
      </c>
      <c r="C30935" s="1" t="s">
        <v>23490</v>
      </c>
      <c r="D30935" s="1" t="str">
        <f>HYPERLINK("https://rhld.insurance.arkansas.gov/NPILookup?Npi=1255677001","1255677001")</f>
        <v>1255677001</v>
      </c>
      <c r="E30935" t="s">
        <v>10173</v>
      </c>
    </row>
    <row r="30936" spans="1:5" x14ac:dyDescent="0.25">
      <c r="A30936" t="s">
        <v>10058</v>
      </c>
      <c r="B30936" t="s">
        <v>10059</v>
      </c>
      <c r="C30936" s="1" t="s">
        <v>23490</v>
      </c>
      <c r="D30936" s="1" t="str">
        <f>HYPERLINK("https://rhld.insurance.arkansas.gov/NPILookup?Npi=1255750717","1255750717")</f>
        <v>1255750717</v>
      </c>
      <c r="E30936" t="s">
        <v>10078</v>
      </c>
    </row>
    <row r="30937" spans="1:5" x14ac:dyDescent="0.25">
      <c r="A30937" t="s">
        <v>10058</v>
      </c>
      <c r="B30937" t="s">
        <v>10059</v>
      </c>
      <c r="C30937" s="1" t="s">
        <v>23490</v>
      </c>
      <c r="D30937" s="1" t="str">
        <f>HYPERLINK("https://rhld.insurance.arkansas.gov/NPILookup?Npi=1265028120","1265028120")</f>
        <v>1265028120</v>
      </c>
      <c r="E30937" t="s">
        <v>18621</v>
      </c>
    </row>
    <row r="30938" spans="1:5" x14ac:dyDescent="0.25">
      <c r="A30938" t="s">
        <v>10058</v>
      </c>
      <c r="B30938" t="s">
        <v>10059</v>
      </c>
      <c r="C30938" s="1" t="s">
        <v>23490</v>
      </c>
      <c r="D30938" s="1" t="str">
        <f>HYPERLINK("https://rhld.insurance.arkansas.gov/NPILookup?Npi=1265033534","1265033534")</f>
        <v>1265033534</v>
      </c>
      <c r="E30938" t="s">
        <v>19275</v>
      </c>
    </row>
    <row r="30939" spans="1:5" x14ac:dyDescent="0.25">
      <c r="A30939" t="s">
        <v>10058</v>
      </c>
      <c r="B30939" t="s">
        <v>10059</v>
      </c>
      <c r="C30939" s="1" t="s">
        <v>23490</v>
      </c>
      <c r="D30939" s="1" t="str">
        <f>HYPERLINK("https://rhld.insurance.arkansas.gov/NPILookup?Npi=1265041750","1265041750")</f>
        <v>1265041750</v>
      </c>
      <c r="E30939" t="s">
        <v>22826</v>
      </c>
    </row>
    <row r="30940" spans="1:5" x14ac:dyDescent="0.25">
      <c r="A30940" t="s">
        <v>10058</v>
      </c>
      <c r="B30940" t="s">
        <v>10059</v>
      </c>
      <c r="C30940" s="1" t="s">
        <v>23490</v>
      </c>
      <c r="D30940" s="1" t="str">
        <f>HYPERLINK("https://rhld.insurance.arkansas.gov/NPILookup?Npi=1265091433","1265091433")</f>
        <v>1265091433</v>
      </c>
      <c r="E30940" t="s">
        <v>13314</v>
      </c>
    </row>
    <row r="30941" spans="1:5" x14ac:dyDescent="0.25">
      <c r="A30941" t="s">
        <v>10058</v>
      </c>
      <c r="B30941" t="s">
        <v>10059</v>
      </c>
      <c r="C30941" s="1" t="s">
        <v>23490</v>
      </c>
      <c r="D30941" s="1" t="str">
        <f>HYPERLINK("https://rhld.insurance.arkansas.gov/NPILookup?Npi=1265447361","1265447361")</f>
        <v>1265447361</v>
      </c>
      <c r="E30941" t="s">
        <v>10066</v>
      </c>
    </row>
    <row r="30942" spans="1:5" x14ac:dyDescent="0.25">
      <c r="A30942" t="s">
        <v>10058</v>
      </c>
      <c r="B30942" t="s">
        <v>10059</v>
      </c>
      <c r="C30942" s="1" t="s">
        <v>23490</v>
      </c>
      <c r="D30942" s="1" t="str">
        <f>HYPERLINK("https://rhld.insurance.arkansas.gov/NPILookup?Npi=1265449268","1265449268")</f>
        <v>1265449268</v>
      </c>
      <c r="E30942" t="s">
        <v>10066</v>
      </c>
    </row>
    <row r="30943" spans="1:5" x14ac:dyDescent="0.25">
      <c r="A30943" t="s">
        <v>10058</v>
      </c>
      <c r="B30943" t="s">
        <v>10059</v>
      </c>
      <c r="C30943" s="1" t="s">
        <v>23490</v>
      </c>
      <c r="D30943" s="1" t="str">
        <f>HYPERLINK("https://rhld.insurance.arkansas.gov/NPILookup?Npi=1265515670","1265515670")</f>
        <v>1265515670</v>
      </c>
      <c r="E30943" t="s">
        <v>10066</v>
      </c>
    </row>
    <row r="30944" spans="1:5" x14ac:dyDescent="0.25">
      <c r="A30944" t="s">
        <v>10058</v>
      </c>
      <c r="B30944" t="s">
        <v>10059</v>
      </c>
      <c r="C30944" s="1" t="s">
        <v>23490</v>
      </c>
      <c r="D30944" s="1" t="str">
        <f>HYPERLINK("https://rhld.insurance.arkansas.gov/NPILookup?Npi=1265538664","1265538664")</f>
        <v>1265538664</v>
      </c>
      <c r="E30944" t="s">
        <v>10198</v>
      </c>
    </row>
    <row r="30945" spans="1:5" x14ac:dyDescent="0.25">
      <c r="A30945" t="s">
        <v>10058</v>
      </c>
      <c r="B30945" t="s">
        <v>10059</v>
      </c>
      <c r="C30945" s="1" t="s">
        <v>23490</v>
      </c>
      <c r="D30945" s="1" t="str">
        <f>HYPERLINK("https://rhld.insurance.arkansas.gov/NPILookup?Npi=1265592497","1265592497")</f>
        <v>1265592497</v>
      </c>
      <c r="E30945" t="s">
        <v>10067</v>
      </c>
    </row>
    <row r="30946" spans="1:5" x14ac:dyDescent="0.25">
      <c r="A30946" t="s">
        <v>10058</v>
      </c>
      <c r="B30946" t="s">
        <v>10059</v>
      </c>
      <c r="C30946" s="1" t="s">
        <v>23490</v>
      </c>
      <c r="D30946" s="1" t="str">
        <f>HYPERLINK("https://rhld.insurance.arkansas.gov/NPILookup?Npi=1265605687","1265605687")</f>
        <v>1265605687</v>
      </c>
      <c r="E30946" t="s">
        <v>14642</v>
      </c>
    </row>
    <row r="30947" spans="1:5" x14ac:dyDescent="0.25">
      <c r="A30947" t="s">
        <v>10058</v>
      </c>
      <c r="B30947" t="s">
        <v>10059</v>
      </c>
      <c r="C30947" s="1" t="s">
        <v>23490</v>
      </c>
      <c r="D30947" s="1" t="str">
        <f>HYPERLINK("https://rhld.insurance.arkansas.gov/NPILookup?Npi=1265661987","1265661987")</f>
        <v>1265661987</v>
      </c>
      <c r="E30947" t="s">
        <v>10066</v>
      </c>
    </row>
    <row r="30948" spans="1:5" x14ac:dyDescent="0.25">
      <c r="A30948" t="s">
        <v>10058</v>
      </c>
      <c r="B30948" t="s">
        <v>10059</v>
      </c>
      <c r="C30948" s="1" t="s">
        <v>23490</v>
      </c>
      <c r="D30948" s="1" t="str">
        <f>HYPERLINK("https://rhld.insurance.arkansas.gov/NPILookup?Npi=1265836142","1265836142")</f>
        <v>1265836142</v>
      </c>
      <c r="E30948" t="s">
        <v>10085</v>
      </c>
    </row>
    <row r="30949" spans="1:5" x14ac:dyDescent="0.25">
      <c r="A30949" t="s">
        <v>10058</v>
      </c>
      <c r="B30949" t="s">
        <v>10059</v>
      </c>
      <c r="C30949" s="1" t="s">
        <v>23490</v>
      </c>
      <c r="D30949" s="1" t="str">
        <f>HYPERLINK("https://rhld.insurance.arkansas.gov/NPILookup?Npi=1265925028","1265925028")</f>
        <v>1265925028</v>
      </c>
      <c r="E30949" t="s">
        <v>17346</v>
      </c>
    </row>
    <row r="30950" spans="1:5" x14ac:dyDescent="0.25">
      <c r="A30950" t="s">
        <v>10058</v>
      </c>
      <c r="B30950" t="s">
        <v>10059</v>
      </c>
      <c r="C30950" s="1" t="s">
        <v>23490</v>
      </c>
      <c r="D30950" s="1" t="str">
        <f>HYPERLINK("https://rhld.insurance.arkansas.gov/NPILookup?Npi=1265929087","1265929087")</f>
        <v>1265929087</v>
      </c>
      <c r="E30950" t="s">
        <v>14643</v>
      </c>
    </row>
    <row r="30951" spans="1:5" x14ac:dyDescent="0.25">
      <c r="A30951" t="s">
        <v>10058</v>
      </c>
      <c r="B30951" t="s">
        <v>10059</v>
      </c>
      <c r="C30951" s="1" t="s">
        <v>23490</v>
      </c>
      <c r="D30951" s="1" t="str">
        <f>HYPERLINK("https://rhld.insurance.arkansas.gov/NPILookup?Npi=1275074189","1275074189")</f>
        <v>1275074189</v>
      </c>
      <c r="E30951" t="s">
        <v>14644</v>
      </c>
    </row>
    <row r="30952" spans="1:5" x14ac:dyDescent="0.25">
      <c r="A30952" t="s">
        <v>10058</v>
      </c>
      <c r="B30952" t="s">
        <v>10059</v>
      </c>
      <c r="C30952" s="1" t="s">
        <v>23490</v>
      </c>
      <c r="D30952" s="1" t="str">
        <f>HYPERLINK("https://rhld.insurance.arkansas.gov/NPILookup?Npi=1275084865","1275084865")</f>
        <v>1275084865</v>
      </c>
      <c r="E30952" t="s">
        <v>14645</v>
      </c>
    </row>
    <row r="30953" spans="1:5" x14ac:dyDescent="0.25">
      <c r="A30953" t="s">
        <v>10058</v>
      </c>
      <c r="B30953" t="s">
        <v>10059</v>
      </c>
      <c r="C30953" s="1" t="s">
        <v>23490</v>
      </c>
      <c r="D30953" s="1" t="str">
        <f>HYPERLINK("https://rhld.insurance.arkansas.gov/NPILookup?Npi=1275528069","1275528069")</f>
        <v>1275528069</v>
      </c>
      <c r="E30953" t="s">
        <v>12727</v>
      </c>
    </row>
    <row r="30954" spans="1:5" x14ac:dyDescent="0.25">
      <c r="A30954" t="s">
        <v>10058</v>
      </c>
      <c r="B30954" t="s">
        <v>10059</v>
      </c>
      <c r="C30954" s="1" t="s">
        <v>23490</v>
      </c>
      <c r="D30954" s="1" t="str">
        <f>HYPERLINK("https://rhld.insurance.arkansas.gov/NPILookup?Npi=1275528390","1275528390")</f>
        <v>1275528390</v>
      </c>
      <c r="E30954" t="s">
        <v>10199</v>
      </c>
    </row>
    <row r="30955" spans="1:5" x14ac:dyDescent="0.25">
      <c r="A30955" t="s">
        <v>10058</v>
      </c>
      <c r="B30955" t="s">
        <v>10059</v>
      </c>
      <c r="C30955" s="1" t="s">
        <v>23490</v>
      </c>
      <c r="D30955" s="1" t="str">
        <f>HYPERLINK("https://rhld.insurance.arkansas.gov/NPILookup?Npi=1275534513","1275534513")</f>
        <v>1275534513</v>
      </c>
      <c r="E30955" t="s">
        <v>10200</v>
      </c>
    </row>
    <row r="30956" spans="1:5" x14ac:dyDescent="0.25">
      <c r="A30956" t="s">
        <v>10058</v>
      </c>
      <c r="B30956" t="s">
        <v>10059</v>
      </c>
      <c r="C30956" s="1" t="s">
        <v>23490</v>
      </c>
      <c r="D30956" s="1" t="str">
        <f>HYPERLINK("https://rhld.insurance.arkansas.gov/NPILookup?Npi=1275548828","1275548828")</f>
        <v>1275548828</v>
      </c>
      <c r="E30956" t="s">
        <v>10201</v>
      </c>
    </row>
    <row r="30957" spans="1:5" x14ac:dyDescent="0.25">
      <c r="A30957" t="s">
        <v>10058</v>
      </c>
      <c r="B30957" t="s">
        <v>10059</v>
      </c>
      <c r="C30957" s="1" t="s">
        <v>23490</v>
      </c>
      <c r="D30957" s="1" t="str">
        <f>HYPERLINK("https://rhld.insurance.arkansas.gov/NPILookup?Npi=1275567042","1275567042")</f>
        <v>1275567042</v>
      </c>
      <c r="E30957" t="s">
        <v>10067</v>
      </c>
    </row>
    <row r="30958" spans="1:5" x14ac:dyDescent="0.25">
      <c r="A30958" t="s">
        <v>10058</v>
      </c>
      <c r="B30958" t="s">
        <v>10059</v>
      </c>
      <c r="C30958" s="1" t="s">
        <v>23490</v>
      </c>
      <c r="D30958" s="1" t="str">
        <f>HYPERLINK("https://rhld.insurance.arkansas.gov/NPILookup?Npi=1275606907","1275606907")</f>
        <v>1275606907</v>
      </c>
      <c r="E30958" t="s">
        <v>10202</v>
      </c>
    </row>
    <row r="30959" spans="1:5" x14ac:dyDescent="0.25">
      <c r="A30959" t="s">
        <v>10058</v>
      </c>
      <c r="B30959" t="s">
        <v>10059</v>
      </c>
      <c r="C30959" s="1" t="s">
        <v>23490</v>
      </c>
      <c r="D30959" s="1" t="str">
        <f>HYPERLINK("https://rhld.insurance.arkansas.gov/NPILookup?Npi=1275612947","1275612947")</f>
        <v>1275612947</v>
      </c>
      <c r="E30959" t="s">
        <v>10203</v>
      </c>
    </row>
    <row r="30960" spans="1:5" x14ac:dyDescent="0.25">
      <c r="A30960" t="s">
        <v>10058</v>
      </c>
      <c r="B30960" t="s">
        <v>10059</v>
      </c>
      <c r="C30960" s="1" t="s">
        <v>23490</v>
      </c>
      <c r="D30960" s="1" t="str">
        <f>HYPERLINK("https://rhld.insurance.arkansas.gov/NPILookup?Npi=1275645269","1275645269")</f>
        <v>1275645269</v>
      </c>
      <c r="E30960" t="s">
        <v>10204</v>
      </c>
    </row>
    <row r="30961" spans="1:5" x14ac:dyDescent="0.25">
      <c r="A30961" t="s">
        <v>10058</v>
      </c>
      <c r="B30961" t="s">
        <v>10059</v>
      </c>
      <c r="C30961" s="1" t="s">
        <v>23490</v>
      </c>
      <c r="D30961" s="1" t="str">
        <f>HYPERLINK("https://rhld.insurance.arkansas.gov/NPILookup?Npi=1275674905","1275674905")</f>
        <v>1275674905</v>
      </c>
      <c r="E30961" t="s">
        <v>10205</v>
      </c>
    </row>
    <row r="30962" spans="1:5" x14ac:dyDescent="0.25">
      <c r="A30962" t="s">
        <v>10058</v>
      </c>
      <c r="B30962" t="s">
        <v>10059</v>
      </c>
      <c r="C30962" s="1" t="s">
        <v>23490</v>
      </c>
      <c r="D30962" s="1" t="str">
        <f>HYPERLINK("https://rhld.insurance.arkansas.gov/NPILookup?Npi=1275708042","1275708042")</f>
        <v>1275708042</v>
      </c>
      <c r="E30962" t="s">
        <v>20860</v>
      </c>
    </row>
    <row r="30963" spans="1:5" x14ac:dyDescent="0.25">
      <c r="A30963" t="s">
        <v>10058</v>
      </c>
      <c r="B30963" t="s">
        <v>10059</v>
      </c>
      <c r="C30963" s="1" t="s">
        <v>23490</v>
      </c>
      <c r="D30963" s="1" t="str">
        <f>HYPERLINK("https://rhld.insurance.arkansas.gov/NPILookup?Npi=1275740474","1275740474")</f>
        <v>1275740474</v>
      </c>
      <c r="E30963" t="s">
        <v>10244</v>
      </c>
    </row>
    <row r="30964" spans="1:5" x14ac:dyDescent="0.25">
      <c r="A30964" t="s">
        <v>10058</v>
      </c>
      <c r="B30964" t="s">
        <v>10059</v>
      </c>
      <c r="C30964" s="1" t="s">
        <v>23490</v>
      </c>
      <c r="D30964" s="1" t="str">
        <f>HYPERLINK("https://rhld.insurance.arkansas.gov/NPILookup?Npi=1275755696","1275755696")</f>
        <v>1275755696</v>
      </c>
      <c r="E30964" t="s">
        <v>10206</v>
      </c>
    </row>
    <row r="30965" spans="1:5" x14ac:dyDescent="0.25">
      <c r="A30965" t="s">
        <v>10058</v>
      </c>
      <c r="B30965" t="s">
        <v>10059</v>
      </c>
      <c r="C30965" s="1" t="s">
        <v>23490</v>
      </c>
      <c r="D30965" s="1" t="str">
        <f>HYPERLINK("https://rhld.insurance.arkansas.gov/NPILookup?Npi=1275868234","1275868234")</f>
        <v>1275868234</v>
      </c>
      <c r="E30965" t="s">
        <v>12728</v>
      </c>
    </row>
    <row r="30966" spans="1:5" x14ac:dyDescent="0.25">
      <c r="A30966" t="s">
        <v>10058</v>
      </c>
      <c r="B30966" t="s">
        <v>10059</v>
      </c>
      <c r="C30966" s="1" t="s">
        <v>23490</v>
      </c>
      <c r="D30966" s="1" t="str">
        <f>HYPERLINK("https://rhld.insurance.arkansas.gov/NPILookup?Npi=1275879389","1275879389")</f>
        <v>1275879389</v>
      </c>
      <c r="E30966" t="s">
        <v>10207</v>
      </c>
    </row>
    <row r="30967" spans="1:5" x14ac:dyDescent="0.25">
      <c r="A30967" t="s">
        <v>10058</v>
      </c>
      <c r="B30967" t="s">
        <v>10059</v>
      </c>
      <c r="C30967" s="1" t="s">
        <v>23490</v>
      </c>
      <c r="D30967" s="1" t="str">
        <f>HYPERLINK("https://rhld.insurance.arkansas.gov/NPILookup?Npi=1275958290","1275958290")</f>
        <v>1275958290</v>
      </c>
      <c r="E30967" t="s">
        <v>10208</v>
      </c>
    </row>
    <row r="30968" spans="1:5" x14ac:dyDescent="0.25">
      <c r="A30968" t="s">
        <v>10058</v>
      </c>
      <c r="B30968" t="s">
        <v>10059</v>
      </c>
      <c r="C30968" s="1" t="s">
        <v>23490</v>
      </c>
      <c r="D30968" s="1" t="str">
        <f>HYPERLINK("https://rhld.insurance.arkansas.gov/NPILookup?Npi=1285070409","1285070409")</f>
        <v>1285070409</v>
      </c>
      <c r="E30968" t="s">
        <v>10209</v>
      </c>
    </row>
    <row r="30969" spans="1:5" x14ac:dyDescent="0.25">
      <c r="A30969" t="s">
        <v>10058</v>
      </c>
      <c r="B30969" t="s">
        <v>10059</v>
      </c>
      <c r="C30969" s="1" t="s">
        <v>23490</v>
      </c>
      <c r="D30969" s="1" t="str">
        <f>HYPERLINK("https://rhld.insurance.arkansas.gov/NPILookup?Npi=1285072793","1285072793")</f>
        <v>1285072793</v>
      </c>
      <c r="E30969" t="s">
        <v>10210</v>
      </c>
    </row>
    <row r="30970" spans="1:5" x14ac:dyDescent="0.25">
      <c r="A30970" t="s">
        <v>10058</v>
      </c>
      <c r="B30970" t="s">
        <v>10059</v>
      </c>
      <c r="C30970" s="1" t="s">
        <v>23490</v>
      </c>
      <c r="D30970" s="1" t="str">
        <f>HYPERLINK("https://rhld.insurance.arkansas.gov/NPILookup?Npi=1285157792","1285157792")</f>
        <v>1285157792</v>
      </c>
      <c r="E30970" t="s">
        <v>17809</v>
      </c>
    </row>
    <row r="30971" spans="1:5" x14ac:dyDescent="0.25">
      <c r="A30971" t="s">
        <v>10058</v>
      </c>
      <c r="B30971" t="s">
        <v>10059</v>
      </c>
      <c r="C30971" s="1" t="s">
        <v>23490</v>
      </c>
      <c r="D30971" s="1" t="str">
        <f>HYPERLINK("https://rhld.insurance.arkansas.gov/NPILookup?Npi=1285167502","1285167502")</f>
        <v>1285167502</v>
      </c>
      <c r="E30971" t="s">
        <v>14646</v>
      </c>
    </row>
    <row r="30972" spans="1:5" x14ac:dyDescent="0.25">
      <c r="A30972" t="s">
        <v>10058</v>
      </c>
      <c r="B30972" t="s">
        <v>10059</v>
      </c>
      <c r="C30972" s="1" t="s">
        <v>23490</v>
      </c>
      <c r="D30972" s="1" t="str">
        <f>HYPERLINK("https://rhld.insurance.arkansas.gov/NPILookup?Npi=1285230201","1285230201")</f>
        <v>1285230201</v>
      </c>
      <c r="E30972" t="s">
        <v>22828</v>
      </c>
    </row>
    <row r="30973" spans="1:5" x14ac:dyDescent="0.25">
      <c r="A30973" t="s">
        <v>10058</v>
      </c>
      <c r="B30973" t="s">
        <v>10059</v>
      </c>
      <c r="C30973" s="1" t="s">
        <v>23490</v>
      </c>
      <c r="D30973" s="1" t="str">
        <f>HYPERLINK("https://rhld.insurance.arkansas.gov/NPILookup?Npi=1285283507","1285283507")</f>
        <v>1285283507</v>
      </c>
      <c r="E30973" t="s">
        <v>19276</v>
      </c>
    </row>
    <row r="30974" spans="1:5" x14ac:dyDescent="0.25">
      <c r="A30974" t="s">
        <v>10058</v>
      </c>
      <c r="B30974" t="s">
        <v>10059</v>
      </c>
      <c r="C30974" s="1" t="s">
        <v>23490</v>
      </c>
      <c r="D30974" s="1" t="str">
        <f>HYPERLINK("https://rhld.insurance.arkansas.gov/NPILookup?Npi=1285349530","1285349530")</f>
        <v>1285349530</v>
      </c>
      <c r="E30974" t="s">
        <v>10302</v>
      </c>
    </row>
    <row r="30975" spans="1:5" x14ac:dyDescent="0.25">
      <c r="A30975" t="s">
        <v>10058</v>
      </c>
      <c r="B30975" t="s">
        <v>10059</v>
      </c>
      <c r="C30975" s="1" t="s">
        <v>23490</v>
      </c>
      <c r="D30975" s="1" t="str">
        <f>HYPERLINK("https://rhld.insurance.arkansas.gov/NPILookup?Npi=1285641282","1285641282")</f>
        <v>1285641282</v>
      </c>
      <c r="E30975" t="s">
        <v>10066</v>
      </c>
    </row>
    <row r="30976" spans="1:5" x14ac:dyDescent="0.25">
      <c r="A30976" t="s">
        <v>10058</v>
      </c>
      <c r="B30976" t="s">
        <v>10059</v>
      </c>
      <c r="C30976" s="1" t="s">
        <v>23490</v>
      </c>
      <c r="D30976" s="1" t="str">
        <f>HYPERLINK("https://rhld.insurance.arkansas.gov/NPILookup?Npi=1285649285","1285649285")</f>
        <v>1285649285</v>
      </c>
      <c r="E30976" t="s">
        <v>10066</v>
      </c>
    </row>
    <row r="30977" spans="1:5" x14ac:dyDescent="0.25">
      <c r="A30977" t="s">
        <v>10058</v>
      </c>
      <c r="B30977" t="s">
        <v>10059</v>
      </c>
      <c r="C30977" s="1" t="s">
        <v>23490</v>
      </c>
      <c r="D30977" s="1" t="str">
        <f>HYPERLINK("https://rhld.insurance.arkansas.gov/NPILookup?Npi=1285649541","1285649541")</f>
        <v>1285649541</v>
      </c>
      <c r="E30977" t="s">
        <v>10066</v>
      </c>
    </row>
    <row r="30978" spans="1:5" x14ac:dyDescent="0.25">
      <c r="A30978" t="s">
        <v>10058</v>
      </c>
      <c r="B30978" t="s">
        <v>10059</v>
      </c>
      <c r="C30978" s="1" t="s">
        <v>23490</v>
      </c>
      <c r="D30978" s="1" t="str">
        <f>HYPERLINK("https://rhld.insurance.arkansas.gov/NPILookup?Npi=1285649806","1285649806")</f>
        <v>1285649806</v>
      </c>
      <c r="E30978" t="s">
        <v>10211</v>
      </c>
    </row>
    <row r="30979" spans="1:5" x14ac:dyDescent="0.25">
      <c r="A30979" t="s">
        <v>10058</v>
      </c>
      <c r="B30979" t="s">
        <v>10059</v>
      </c>
      <c r="C30979" s="1" t="s">
        <v>23490</v>
      </c>
      <c r="D30979" s="1" t="str">
        <f>HYPERLINK("https://rhld.insurance.arkansas.gov/NPILookup?Npi=1285653261","1285653261")</f>
        <v>1285653261</v>
      </c>
      <c r="E30979" t="s">
        <v>13312</v>
      </c>
    </row>
    <row r="30980" spans="1:5" x14ac:dyDescent="0.25">
      <c r="A30980" t="s">
        <v>10058</v>
      </c>
      <c r="B30980" t="s">
        <v>10059</v>
      </c>
      <c r="C30980" s="1" t="s">
        <v>23490</v>
      </c>
      <c r="D30980" s="1" t="str">
        <f>HYPERLINK("https://rhld.insurance.arkansas.gov/NPILookup?Npi=1285668913","1285668913")</f>
        <v>1285668913</v>
      </c>
      <c r="E30980" t="s">
        <v>10067</v>
      </c>
    </row>
    <row r="30981" spans="1:5" x14ac:dyDescent="0.25">
      <c r="A30981" t="s">
        <v>10058</v>
      </c>
      <c r="B30981" t="s">
        <v>10059</v>
      </c>
      <c r="C30981" s="1" t="s">
        <v>23490</v>
      </c>
      <c r="D30981" s="1" t="str">
        <f>HYPERLINK("https://rhld.insurance.arkansas.gov/NPILookup?Npi=1285706069","1285706069")</f>
        <v>1285706069</v>
      </c>
      <c r="E30981" t="s">
        <v>10212</v>
      </c>
    </row>
    <row r="30982" spans="1:5" x14ac:dyDescent="0.25">
      <c r="A30982" t="s">
        <v>10058</v>
      </c>
      <c r="B30982" t="s">
        <v>10059</v>
      </c>
      <c r="C30982" s="1" t="s">
        <v>23490</v>
      </c>
      <c r="D30982" s="1" t="str">
        <f>HYPERLINK("https://rhld.insurance.arkansas.gov/NPILookup?Npi=1285731760","1285731760")</f>
        <v>1285731760</v>
      </c>
      <c r="E30982" t="s">
        <v>10086</v>
      </c>
    </row>
    <row r="30983" spans="1:5" x14ac:dyDescent="0.25">
      <c r="A30983" t="s">
        <v>10058</v>
      </c>
      <c r="B30983" t="s">
        <v>10059</v>
      </c>
      <c r="C30983" s="1" t="s">
        <v>23490</v>
      </c>
      <c r="D30983" s="1" t="str">
        <f>HYPERLINK("https://rhld.insurance.arkansas.gov/NPILookup?Npi=1285734954","1285734954")</f>
        <v>1285734954</v>
      </c>
      <c r="E30983" t="s">
        <v>10213</v>
      </c>
    </row>
    <row r="30984" spans="1:5" x14ac:dyDescent="0.25">
      <c r="A30984" t="s">
        <v>10058</v>
      </c>
      <c r="B30984" t="s">
        <v>10059</v>
      </c>
      <c r="C30984" s="1" t="s">
        <v>23490</v>
      </c>
      <c r="D30984" s="1" t="str">
        <f>HYPERLINK("https://rhld.insurance.arkansas.gov/NPILookup?Npi=1295035327","1295035327")</f>
        <v>1295035327</v>
      </c>
      <c r="E30984" t="s">
        <v>10214</v>
      </c>
    </row>
    <row r="30985" spans="1:5" x14ac:dyDescent="0.25">
      <c r="A30985" t="s">
        <v>10058</v>
      </c>
      <c r="B30985" t="s">
        <v>10059</v>
      </c>
      <c r="C30985" s="1" t="s">
        <v>23490</v>
      </c>
      <c r="D30985" s="1" t="str">
        <f>HYPERLINK("https://rhld.insurance.arkansas.gov/NPILookup?Npi=1295173946","1295173946")</f>
        <v>1295173946</v>
      </c>
      <c r="E30985" t="s">
        <v>10215</v>
      </c>
    </row>
    <row r="30986" spans="1:5" x14ac:dyDescent="0.25">
      <c r="A30986" t="s">
        <v>10058</v>
      </c>
      <c r="B30986" t="s">
        <v>10059</v>
      </c>
      <c r="C30986" s="1" t="s">
        <v>23490</v>
      </c>
      <c r="D30986" s="1" t="str">
        <f>HYPERLINK("https://rhld.insurance.arkansas.gov/NPILookup?Npi=1295188134","1295188134")</f>
        <v>1295188134</v>
      </c>
      <c r="E30986" t="s">
        <v>20861</v>
      </c>
    </row>
    <row r="30987" spans="1:5" x14ac:dyDescent="0.25">
      <c r="A30987" t="s">
        <v>10058</v>
      </c>
      <c r="B30987" t="s">
        <v>10059</v>
      </c>
      <c r="C30987" s="1" t="s">
        <v>23490</v>
      </c>
      <c r="D30987" s="1" t="str">
        <f>HYPERLINK("https://rhld.insurance.arkansas.gov/NPILookup?Npi=1295289650","1295289650")</f>
        <v>1295289650</v>
      </c>
      <c r="E30987" t="s">
        <v>14647</v>
      </c>
    </row>
    <row r="30988" spans="1:5" x14ac:dyDescent="0.25">
      <c r="A30988" t="s">
        <v>10058</v>
      </c>
      <c r="B30988" t="s">
        <v>10059</v>
      </c>
      <c r="C30988" s="1" t="s">
        <v>23490</v>
      </c>
      <c r="D30988" s="1" t="str">
        <f>HYPERLINK("https://rhld.insurance.arkansas.gov/NPILookup?Npi=1295291441","1295291441")</f>
        <v>1295291441</v>
      </c>
      <c r="E30988" t="s">
        <v>13323</v>
      </c>
    </row>
    <row r="30989" spans="1:5" x14ac:dyDescent="0.25">
      <c r="A30989" t="s">
        <v>10058</v>
      </c>
      <c r="B30989" t="s">
        <v>10059</v>
      </c>
      <c r="C30989" s="1" t="s">
        <v>23490</v>
      </c>
      <c r="D30989" s="1" t="str">
        <f>HYPERLINK("https://rhld.insurance.arkansas.gov/NPILookup?Npi=1295296614","1295296614")</f>
        <v>1295296614</v>
      </c>
      <c r="E30989" t="s">
        <v>16821</v>
      </c>
    </row>
    <row r="30990" spans="1:5" x14ac:dyDescent="0.25">
      <c r="A30990" t="s">
        <v>10058</v>
      </c>
      <c r="B30990" t="s">
        <v>10059</v>
      </c>
      <c r="C30990" s="1" t="s">
        <v>23490</v>
      </c>
      <c r="D30990" s="1" t="str">
        <f>HYPERLINK("https://rhld.insurance.arkansas.gov/NPILookup?Npi=1295318418","1295318418")</f>
        <v>1295318418</v>
      </c>
      <c r="E30990" t="s">
        <v>22829</v>
      </c>
    </row>
    <row r="30991" spans="1:5" x14ac:dyDescent="0.25">
      <c r="A30991" t="s">
        <v>10058</v>
      </c>
      <c r="B30991" t="s">
        <v>10059</v>
      </c>
      <c r="C30991" s="1" t="s">
        <v>23490</v>
      </c>
      <c r="D30991" s="1" t="str">
        <f>HYPERLINK("https://rhld.insurance.arkansas.gov/NPILookup?Npi=1295447712","1295447712")</f>
        <v>1295447712</v>
      </c>
      <c r="E30991" t="s">
        <v>10170</v>
      </c>
    </row>
    <row r="30992" spans="1:5" x14ac:dyDescent="0.25">
      <c r="A30992" t="s">
        <v>10058</v>
      </c>
      <c r="B30992" t="s">
        <v>10059</v>
      </c>
      <c r="C30992" s="1" t="s">
        <v>23490</v>
      </c>
      <c r="D30992" s="1" t="str">
        <f>HYPERLINK("https://rhld.insurance.arkansas.gov/NPILookup?Npi=1295732717","1295732717")</f>
        <v>1295732717</v>
      </c>
      <c r="E30992" t="s">
        <v>10216</v>
      </c>
    </row>
    <row r="30993" spans="1:5" x14ac:dyDescent="0.25">
      <c r="A30993" t="s">
        <v>10058</v>
      </c>
      <c r="B30993" t="s">
        <v>10059</v>
      </c>
      <c r="C30993" s="1" t="s">
        <v>23490</v>
      </c>
      <c r="D30993" s="1" t="str">
        <f>HYPERLINK("https://rhld.insurance.arkansas.gov/NPILookup?Npi=1295740710","1295740710")</f>
        <v>1295740710</v>
      </c>
      <c r="E30993" t="s">
        <v>10217</v>
      </c>
    </row>
    <row r="30994" spans="1:5" x14ac:dyDescent="0.25">
      <c r="A30994" t="s">
        <v>10058</v>
      </c>
      <c r="B30994" t="s">
        <v>10059</v>
      </c>
      <c r="C30994" s="1" t="s">
        <v>23490</v>
      </c>
      <c r="D30994" s="1" t="str">
        <f>HYPERLINK("https://rhld.insurance.arkansas.gov/NPILookup?Npi=1295752376","1295752376")</f>
        <v>1295752376</v>
      </c>
      <c r="E30994" t="s">
        <v>10218</v>
      </c>
    </row>
    <row r="30995" spans="1:5" x14ac:dyDescent="0.25">
      <c r="A30995" t="s">
        <v>10058</v>
      </c>
      <c r="B30995" t="s">
        <v>10059</v>
      </c>
      <c r="C30995" s="1" t="s">
        <v>23490</v>
      </c>
      <c r="D30995" s="1" t="str">
        <f>HYPERLINK("https://rhld.insurance.arkansas.gov/NPILookup?Npi=1295769925","1295769925")</f>
        <v>1295769925</v>
      </c>
      <c r="E30995" t="s">
        <v>10067</v>
      </c>
    </row>
    <row r="30996" spans="1:5" x14ac:dyDescent="0.25">
      <c r="A30996" t="s">
        <v>10058</v>
      </c>
      <c r="B30996" t="s">
        <v>10059</v>
      </c>
      <c r="C30996" s="1" t="s">
        <v>23490</v>
      </c>
      <c r="D30996" s="1" t="str">
        <f>HYPERLINK("https://rhld.insurance.arkansas.gov/NPILookup?Npi=1295803831","1295803831")</f>
        <v>1295803831</v>
      </c>
      <c r="E30996" t="s">
        <v>10219</v>
      </c>
    </row>
    <row r="30997" spans="1:5" x14ac:dyDescent="0.25">
      <c r="A30997" t="s">
        <v>10058</v>
      </c>
      <c r="B30997" t="s">
        <v>10059</v>
      </c>
      <c r="C30997" s="1" t="s">
        <v>23490</v>
      </c>
      <c r="D30997" s="1" t="str">
        <f>HYPERLINK("https://rhld.insurance.arkansas.gov/NPILookup?Npi=1295831899","1295831899")</f>
        <v>1295831899</v>
      </c>
      <c r="E30997" t="s">
        <v>10220</v>
      </c>
    </row>
    <row r="30998" spans="1:5" x14ac:dyDescent="0.25">
      <c r="A30998" t="s">
        <v>10058</v>
      </c>
      <c r="B30998" t="s">
        <v>10059</v>
      </c>
      <c r="C30998" s="1" t="s">
        <v>23490</v>
      </c>
      <c r="D30998" s="1" t="str">
        <f>HYPERLINK("https://rhld.insurance.arkansas.gov/NPILookup?Npi=1295875029","1295875029")</f>
        <v>1295875029</v>
      </c>
      <c r="E30998" t="s">
        <v>10221</v>
      </c>
    </row>
    <row r="30999" spans="1:5" x14ac:dyDescent="0.25">
      <c r="A30999" t="s">
        <v>10058</v>
      </c>
      <c r="B30999" t="s">
        <v>10059</v>
      </c>
      <c r="C30999" s="1" t="s">
        <v>23490</v>
      </c>
      <c r="D30999" s="1" t="str">
        <f>HYPERLINK("https://rhld.insurance.arkansas.gov/NPILookup?Npi=1295895274","1295895274")</f>
        <v>1295895274</v>
      </c>
      <c r="E30999" t="s">
        <v>10067</v>
      </c>
    </row>
    <row r="31000" spans="1:5" x14ac:dyDescent="0.25">
      <c r="A31000" t="s">
        <v>10058</v>
      </c>
      <c r="B31000" t="s">
        <v>10059</v>
      </c>
      <c r="C31000" s="1" t="s">
        <v>23490</v>
      </c>
      <c r="D31000" s="1" t="str">
        <f>HYPERLINK("https://rhld.insurance.arkansas.gov/NPILookup?Npi=1295926160","1295926160")</f>
        <v>1295926160</v>
      </c>
      <c r="E31000" t="s">
        <v>22898</v>
      </c>
    </row>
    <row r="31001" spans="1:5" x14ac:dyDescent="0.25">
      <c r="A31001" t="s">
        <v>10058</v>
      </c>
      <c r="B31001" t="s">
        <v>10059</v>
      </c>
      <c r="C31001" s="1" t="s">
        <v>23490</v>
      </c>
      <c r="D31001" s="1" t="str">
        <f>HYPERLINK("https://rhld.insurance.arkansas.gov/NPILookup?Npi=1295952182","1295952182")</f>
        <v>1295952182</v>
      </c>
      <c r="E31001" t="s">
        <v>13279</v>
      </c>
    </row>
    <row r="31002" spans="1:5" x14ac:dyDescent="0.25">
      <c r="A31002" t="s">
        <v>10058</v>
      </c>
      <c r="B31002" t="s">
        <v>10059</v>
      </c>
      <c r="C31002" s="1" t="s">
        <v>23490</v>
      </c>
      <c r="D31002" s="1" t="str">
        <f>HYPERLINK("https://rhld.insurance.arkansas.gov/NPILookup?Npi=1295964047","1295964047")</f>
        <v>1295964047</v>
      </c>
      <c r="E31002" t="s">
        <v>10222</v>
      </c>
    </row>
    <row r="31003" spans="1:5" x14ac:dyDescent="0.25">
      <c r="A31003" t="s">
        <v>10058</v>
      </c>
      <c r="B31003" t="s">
        <v>10059</v>
      </c>
      <c r="C31003" s="1" t="s">
        <v>23490</v>
      </c>
      <c r="D31003" s="1" t="str">
        <f>HYPERLINK("https://rhld.insurance.arkansas.gov/NPILookup?Npi=1306096615","1306096615")</f>
        <v>1306096615</v>
      </c>
      <c r="E31003" t="s">
        <v>10125</v>
      </c>
    </row>
    <row r="31004" spans="1:5" x14ac:dyDescent="0.25">
      <c r="A31004" t="s">
        <v>10058</v>
      </c>
      <c r="B31004" t="s">
        <v>10059</v>
      </c>
      <c r="C31004" s="1" t="s">
        <v>23490</v>
      </c>
      <c r="D31004" s="1" t="str">
        <f>HYPERLINK("https://rhld.insurance.arkansas.gov/NPILookup?Npi=1306282827","1306282827")</f>
        <v>1306282827</v>
      </c>
      <c r="E31004" t="s">
        <v>10094</v>
      </c>
    </row>
    <row r="31005" spans="1:5" x14ac:dyDescent="0.25">
      <c r="A31005" t="s">
        <v>10058</v>
      </c>
      <c r="B31005" t="s">
        <v>10059</v>
      </c>
      <c r="C31005" s="1" t="s">
        <v>23490</v>
      </c>
      <c r="D31005" s="1" t="str">
        <f>HYPERLINK("https://rhld.insurance.arkansas.gov/NPILookup?Npi=1306418363","1306418363")</f>
        <v>1306418363</v>
      </c>
      <c r="E31005" t="s">
        <v>19277</v>
      </c>
    </row>
    <row r="31006" spans="1:5" x14ac:dyDescent="0.25">
      <c r="A31006" t="s">
        <v>10058</v>
      </c>
      <c r="B31006" t="s">
        <v>10059</v>
      </c>
      <c r="C31006" s="1" t="s">
        <v>23490</v>
      </c>
      <c r="D31006" s="1" t="str">
        <f>HYPERLINK("https://rhld.insurance.arkansas.gov/NPILookup?Npi=1306518949","1306518949")</f>
        <v>1306518949</v>
      </c>
      <c r="E31006" t="s">
        <v>22809</v>
      </c>
    </row>
    <row r="31007" spans="1:5" x14ac:dyDescent="0.25">
      <c r="A31007" t="s">
        <v>10058</v>
      </c>
      <c r="B31007" t="s">
        <v>10059</v>
      </c>
      <c r="C31007" s="1" t="s">
        <v>23490</v>
      </c>
      <c r="D31007" s="1" t="str">
        <f>HYPERLINK("https://rhld.insurance.arkansas.gov/NPILookup?Npi=1306558663","1306558663")</f>
        <v>1306558663</v>
      </c>
      <c r="E31007" t="s">
        <v>14652</v>
      </c>
    </row>
    <row r="31008" spans="1:5" x14ac:dyDescent="0.25">
      <c r="A31008" t="s">
        <v>10058</v>
      </c>
      <c r="B31008" t="s">
        <v>10059</v>
      </c>
      <c r="C31008" s="1" t="s">
        <v>23490</v>
      </c>
      <c r="D31008" s="1" t="str">
        <f>HYPERLINK("https://rhld.insurance.arkansas.gov/NPILookup?Npi=1306824990","1306824990")</f>
        <v>1306824990</v>
      </c>
      <c r="E31008" t="s">
        <v>10223</v>
      </c>
    </row>
    <row r="31009" spans="1:5" x14ac:dyDescent="0.25">
      <c r="A31009" t="s">
        <v>10058</v>
      </c>
      <c r="B31009" t="s">
        <v>10059</v>
      </c>
      <c r="C31009" s="1" t="s">
        <v>23490</v>
      </c>
      <c r="D31009" s="1" t="str">
        <f>HYPERLINK("https://rhld.insurance.arkansas.gov/NPILookup?Npi=1306843016","1306843016")</f>
        <v>1306843016</v>
      </c>
      <c r="E31009" t="s">
        <v>10224</v>
      </c>
    </row>
    <row r="31010" spans="1:5" x14ac:dyDescent="0.25">
      <c r="A31010" t="s">
        <v>10058</v>
      </c>
      <c r="B31010" t="s">
        <v>10059</v>
      </c>
      <c r="C31010" s="1" t="s">
        <v>23490</v>
      </c>
      <c r="D31010" s="1" t="str">
        <f>HYPERLINK("https://rhld.insurance.arkansas.gov/NPILookup?Npi=1306852058","1306852058")</f>
        <v>1306852058</v>
      </c>
      <c r="E31010" t="s">
        <v>10066</v>
      </c>
    </row>
    <row r="31011" spans="1:5" x14ac:dyDescent="0.25">
      <c r="A31011" t="s">
        <v>10058</v>
      </c>
      <c r="B31011" t="s">
        <v>10059</v>
      </c>
      <c r="C31011" s="1" t="s">
        <v>23490</v>
      </c>
      <c r="D31011" s="1" t="str">
        <f>HYPERLINK("https://rhld.insurance.arkansas.gov/NPILookup?Npi=1306863410","1306863410")</f>
        <v>1306863410</v>
      </c>
      <c r="E31011" t="s">
        <v>10060</v>
      </c>
    </row>
    <row r="31012" spans="1:5" x14ac:dyDescent="0.25">
      <c r="A31012" t="s">
        <v>10058</v>
      </c>
      <c r="B31012" t="s">
        <v>10059</v>
      </c>
      <c r="C31012" s="1" t="s">
        <v>23490</v>
      </c>
      <c r="D31012" s="1" t="str">
        <f>HYPERLINK("https://rhld.insurance.arkansas.gov/NPILookup?Npi=1306898093","1306898093")</f>
        <v>1306898093</v>
      </c>
      <c r="E31012" t="s">
        <v>10225</v>
      </c>
    </row>
    <row r="31013" spans="1:5" x14ac:dyDescent="0.25">
      <c r="A31013" t="s">
        <v>10058</v>
      </c>
      <c r="B31013" t="s">
        <v>10059</v>
      </c>
      <c r="C31013" s="1" t="s">
        <v>23490</v>
      </c>
      <c r="D31013" s="1" t="str">
        <f>HYPERLINK("https://rhld.insurance.arkansas.gov/NPILookup?Npi=1306901731","1306901731")</f>
        <v>1306901731</v>
      </c>
      <c r="E31013" t="s">
        <v>10226</v>
      </c>
    </row>
    <row r="31014" spans="1:5" x14ac:dyDescent="0.25">
      <c r="A31014" t="s">
        <v>10058</v>
      </c>
      <c r="B31014" t="s">
        <v>10059</v>
      </c>
      <c r="C31014" s="1" t="s">
        <v>23490</v>
      </c>
      <c r="D31014" s="1" t="str">
        <f>HYPERLINK("https://rhld.insurance.arkansas.gov/NPILookup?Npi=1306906482","1306906482")</f>
        <v>1306906482</v>
      </c>
      <c r="E31014" t="s">
        <v>10227</v>
      </c>
    </row>
    <row r="31015" spans="1:5" x14ac:dyDescent="0.25">
      <c r="A31015" t="s">
        <v>10058</v>
      </c>
      <c r="B31015" t="s">
        <v>10059</v>
      </c>
      <c r="C31015" s="1" t="s">
        <v>23490</v>
      </c>
      <c r="D31015" s="1" t="str">
        <f>HYPERLINK("https://rhld.insurance.arkansas.gov/NPILookup?Npi=1306914395","1306914395")</f>
        <v>1306914395</v>
      </c>
      <c r="E31015" t="s">
        <v>10228</v>
      </c>
    </row>
    <row r="31016" spans="1:5" x14ac:dyDescent="0.25">
      <c r="A31016" t="s">
        <v>10058</v>
      </c>
      <c r="B31016" t="s">
        <v>10059</v>
      </c>
      <c r="C31016" s="1" t="s">
        <v>23490</v>
      </c>
      <c r="D31016" s="1" t="str">
        <f>HYPERLINK("https://rhld.insurance.arkansas.gov/NPILookup?Npi=1306919873","1306919873")</f>
        <v>1306919873</v>
      </c>
      <c r="E31016" t="s">
        <v>10087</v>
      </c>
    </row>
    <row r="31017" spans="1:5" x14ac:dyDescent="0.25">
      <c r="A31017" t="s">
        <v>10058</v>
      </c>
      <c r="B31017" t="s">
        <v>10059</v>
      </c>
      <c r="C31017" s="1" t="s">
        <v>23490</v>
      </c>
      <c r="D31017" s="1" t="str">
        <f>HYPERLINK("https://rhld.insurance.arkansas.gov/NPILookup?Npi=1306940234","1306940234")</f>
        <v>1306940234</v>
      </c>
      <c r="E31017" t="s">
        <v>10086</v>
      </c>
    </row>
    <row r="31018" spans="1:5" x14ac:dyDescent="0.25">
      <c r="A31018" t="s">
        <v>10058</v>
      </c>
      <c r="B31018" t="s">
        <v>10059</v>
      </c>
      <c r="C31018" s="1" t="s">
        <v>23490</v>
      </c>
      <c r="D31018" s="1" t="str">
        <f>HYPERLINK("https://rhld.insurance.arkansas.gov/NPILookup?Npi=1306946199","1306946199")</f>
        <v>1306946199</v>
      </c>
      <c r="E31018" t="s">
        <v>10229</v>
      </c>
    </row>
    <row r="31019" spans="1:5" x14ac:dyDescent="0.25">
      <c r="A31019" t="s">
        <v>10058</v>
      </c>
      <c r="B31019" t="s">
        <v>10059</v>
      </c>
      <c r="C31019" s="1" t="s">
        <v>23490</v>
      </c>
      <c r="D31019" s="1" t="str">
        <f>HYPERLINK("https://rhld.insurance.arkansas.gov/NPILookup?Npi=1306946744","1306946744")</f>
        <v>1306946744</v>
      </c>
      <c r="E31019" t="s">
        <v>10119</v>
      </c>
    </row>
    <row r="31020" spans="1:5" x14ac:dyDescent="0.25">
      <c r="A31020" t="s">
        <v>10058</v>
      </c>
      <c r="B31020" t="s">
        <v>10059</v>
      </c>
      <c r="C31020" s="1" t="s">
        <v>23490</v>
      </c>
      <c r="D31020" s="1" t="str">
        <f>HYPERLINK("https://rhld.insurance.arkansas.gov/NPILookup?Npi=1306965512","1306965512")</f>
        <v>1306965512</v>
      </c>
      <c r="E31020" t="s">
        <v>10230</v>
      </c>
    </row>
    <row r="31021" spans="1:5" x14ac:dyDescent="0.25">
      <c r="A31021" t="s">
        <v>10058</v>
      </c>
      <c r="B31021" t="s">
        <v>10059</v>
      </c>
      <c r="C31021" s="1" t="s">
        <v>23490</v>
      </c>
      <c r="D31021" s="1" t="str">
        <f>HYPERLINK("https://rhld.insurance.arkansas.gov/NPILookup?Npi=1306974381","1306974381")</f>
        <v>1306974381</v>
      </c>
      <c r="E31021" t="s">
        <v>10231</v>
      </c>
    </row>
    <row r="31022" spans="1:5" x14ac:dyDescent="0.25">
      <c r="A31022" t="s">
        <v>10058</v>
      </c>
      <c r="B31022" t="s">
        <v>10059</v>
      </c>
      <c r="C31022" s="1" t="s">
        <v>23490</v>
      </c>
      <c r="D31022" s="1" t="str">
        <f>HYPERLINK("https://rhld.insurance.arkansas.gov/NPILookup?Npi=1316010887","1316010887")</f>
        <v>1316010887</v>
      </c>
      <c r="E31022" t="s">
        <v>10087</v>
      </c>
    </row>
    <row r="31023" spans="1:5" x14ac:dyDescent="0.25">
      <c r="A31023" t="s">
        <v>10058</v>
      </c>
      <c r="B31023" t="s">
        <v>10059</v>
      </c>
      <c r="C31023" s="1" t="s">
        <v>23490</v>
      </c>
      <c r="D31023" s="1" t="str">
        <f>HYPERLINK("https://rhld.insurance.arkansas.gov/NPILookup?Npi=1316037237","1316037237")</f>
        <v>1316037237</v>
      </c>
      <c r="E31023" t="s">
        <v>12729</v>
      </c>
    </row>
    <row r="31024" spans="1:5" x14ac:dyDescent="0.25">
      <c r="A31024" t="s">
        <v>10058</v>
      </c>
      <c r="B31024" t="s">
        <v>10059</v>
      </c>
      <c r="C31024" s="1" t="s">
        <v>23490</v>
      </c>
      <c r="D31024" s="1" t="str">
        <f>HYPERLINK("https://rhld.insurance.arkansas.gov/NPILookup?Npi=1316039522","1316039522")</f>
        <v>1316039522</v>
      </c>
      <c r="E31024" t="s">
        <v>10232</v>
      </c>
    </row>
    <row r="31025" spans="1:5" x14ac:dyDescent="0.25">
      <c r="A31025" t="s">
        <v>10058</v>
      </c>
      <c r="B31025" t="s">
        <v>10059</v>
      </c>
      <c r="C31025" s="1" t="s">
        <v>23490</v>
      </c>
      <c r="D31025" s="1" t="str">
        <f>HYPERLINK("https://rhld.insurance.arkansas.gov/NPILookup?Npi=1316040447","1316040447")</f>
        <v>1316040447</v>
      </c>
      <c r="E31025" t="s">
        <v>12730</v>
      </c>
    </row>
    <row r="31026" spans="1:5" x14ac:dyDescent="0.25">
      <c r="A31026" t="s">
        <v>10058</v>
      </c>
      <c r="B31026" t="s">
        <v>10059</v>
      </c>
      <c r="C31026" s="1" t="s">
        <v>23490</v>
      </c>
      <c r="D31026" s="1" t="str">
        <f>HYPERLINK("https://rhld.insurance.arkansas.gov/NPILookup?Npi=1316051386","1316051386")</f>
        <v>1316051386</v>
      </c>
      <c r="E31026" t="s">
        <v>10163</v>
      </c>
    </row>
    <row r="31027" spans="1:5" x14ac:dyDescent="0.25">
      <c r="A31027" t="s">
        <v>10058</v>
      </c>
      <c r="B31027" t="s">
        <v>10059</v>
      </c>
      <c r="C31027" s="1" t="s">
        <v>23490</v>
      </c>
      <c r="D31027" s="1" t="str">
        <f>HYPERLINK("https://rhld.insurance.arkansas.gov/NPILookup?Npi=1316073059","1316073059")</f>
        <v>1316073059</v>
      </c>
      <c r="E31027" t="s">
        <v>16822</v>
      </c>
    </row>
    <row r="31028" spans="1:5" x14ac:dyDescent="0.25">
      <c r="A31028" t="s">
        <v>10058</v>
      </c>
      <c r="B31028" t="s">
        <v>10059</v>
      </c>
      <c r="C31028" s="1" t="s">
        <v>23490</v>
      </c>
      <c r="D31028" s="1" t="str">
        <f>HYPERLINK("https://rhld.insurance.arkansas.gov/NPILookup?Npi=1316213168","1316213168")</f>
        <v>1316213168</v>
      </c>
      <c r="E31028" t="s">
        <v>17810</v>
      </c>
    </row>
    <row r="31029" spans="1:5" x14ac:dyDescent="0.25">
      <c r="A31029" t="s">
        <v>10058</v>
      </c>
      <c r="B31029" t="s">
        <v>10059</v>
      </c>
      <c r="C31029" s="1" t="s">
        <v>23490</v>
      </c>
      <c r="D31029" s="1" t="str">
        <f>HYPERLINK("https://rhld.insurance.arkansas.gov/NPILookup?Npi=1316251432","1316251432")</f>
        <v>1316251432</v>
      </c>
      <c r="E31029" t="s">
        <v>10233</v>
      </c>
    </row>
    <row r="31030" spans="1:5" x14ac:dyDescent="0.25">
      <c r="A31030" t="s">
        <v>10058</v>
      </c>
      <c r="B31030" t="s">
        <v>10059</v>
      </c>
      <c r="C31030" s="1" t="s">
        <v>23490</v>
      </c>
      <c r="D31030" s="1" t="str">
        <f>HYPERLINK("https://rhld.insurance.arkansas.gov/NPILookup?Npi=1316267487","1316267487")</f>
        <v>1316267487</v>
      </c>
      <c r="E31030" t="s">
        <v>10234</v>
      </c>
    </row>
    <row r="31031" spans="1:5" x14ac:dyDescent="0.25">
      <c r="A31031" t="s">
        <v>10058</v>
      </c>
      <c r="B31031" t="s">
        <v>10059</v>
      </c>
      <c r="C31031" s="1" t="s">
        <v>23490</v>
      </c>
      <c r="D31031" s="1" t="str">
        <f>HYPERLINK("https://rhld.insurance.arkansas.gov/NPILookup?Npi=1316428410","1316428410")</f>
        <v>1316428410</v>
      </c>
      <c r="E31031" t="s">
        <v>10194</v>
      </c>
    </row>
    <row r="31032" spans="1:5" x14ac:dyDescent="0.25">
      <c r="A31032" t="s">
        <v>10058</v>
      </c>
      <c r="B31032" t="s">
        <v>10059</v>
      </c>
      <c r="C31032" s="1" t="s">
        <v>23490</v>
      </c>
      <c r="D31032" s="1" t="str">
        <f>HYPERLINK("https://rhld.insurance.arkansas.gov/NPILookup?Npi=1316472384","1316472384")</f>
        <v>1316472384</v>
      </c>
      <c r="E31032" t="s">
        <v>14648</v>
      </c>
    </row>
    <row r="31033" spans="1:5" x14ac:dyDescent="0.25">
      <c r="A31033" t="s">
        <v>10058</v>
      </c>
      <c r="B31033" t="s">
        <v>10059</v>
      </c>
      <c r="C31033" s="1" t="s">
        <v>23490</v>
      </c>
      <c r="D31033" s="1" t="str">
        <f>HYPERLINK("https://rhld.insurance.arkansas.gov/NPILookup?Npi=1316905920","1316905920")</f>
        <v>1316905920</v>
      </c>
      <c r="E31033" t="s">
        <v>22830</v>
      </c>
    </row>
    <row r="31034" spans="1:5" x14ac:dyDescent="0.25">
      <c r="A31034" t="s">
        <v>10058</v>
      </c>
      <c r="B31034" t="s">
        <v>10059</v>
      </c>
      <c r="C31034" s="1" t="s">
        <v>23490</v>
      </c>
      <c r="D31034" s="1" t="str">
        <f>HYPERLINK("https://rhld.insurance.arkansas.gov/NPILookup?Npi=1316922487","1316922487")</f>
        <v>1316922487</v>
      </c>
      <c r="E31034" t="s">
        <v>10235</v>
      </c>
    </row>
    <row r="31035" spans="1:5" x14ac:dyDescent="0.25">
      <c r="A31035" t="s">
        <v>10058</v>
      </c>
      <c r="B31035" t="s">
        <v>10059</v>
      </c>
      <c r="C31035" s="1" t="s">
        <v>23490</v>
      </c>
      <c r="D31035" s="1" t="str">
        <f>HYPERLINK("https://rhld.insurance.arkansas.gov/NPILookup?Npi=1316954324","1316954324")</f>
        <v>1316954324</v>
      </c>
      <c r="E31035" t="s">
        <v>10066</v>
      </c>
    </row>
    <row r="31036" spans="1:5" x14ac:dyDescent="0.25">
      <c r="A31036" t="s">
        <v>10058</v>
      </c>
      <c r="B31036" t="s">
        <v>10059</v>
      </c>
      <c r="C31036" s="1" t="s">
        <v>23490</v>
      </c>
      <c r="D31036" s="1" t="str">
        <f>HYPERLINK("https://rhld.insurance.arkansas.gov/NPILookup?Npi=1316964711","1316964711")</f>
        <v>1316964711</v>
      </c>
      <c r="E31036" t="s">
        <v>13312</v>
      </c>
    </row>
    <row r="31037" spans="1:5" x14ac:dyDescent="0.25">
      <c r="A31037" t="s">
        <v>10058</v>
      </c>
      <c r="B31037" t="s">
        <v>10059</v>
      </c>
      <c r="C31037" s="1" t="s">
        <v>23490</v>
      </c>
      <c r="D31037" s="1" t="str">
        <f>HYPERLINK("https://rhld.insurance.arkansas.gov/NPILookup?Npi=1316969199","1316969199")</f>
        <v>1316969199</v>
      </c>
      <c r="E31037" t="s">
        <v>10125</v>
      </c>
    </row>
    <row r="31038" spans="1:5" x14ac:dyDescent="0.25">
      <c r="A31038" t="s">
        <v>10058</v>
      </c>
      <c r="B31038" t="s">
        <v>10059</v>
      </c>
      <c r="C31038" s="1" t="s">
        <v>23490</v>
      </c>
      <c r="D31038" s="1" t="str">
        <f>HYPERLINK("https://rhld.insurance.arkansas.gov/NPILookup?Npi=1316971161","1316971161")</f>
        <v>1316971161</v>
      </c>
      <c r="E31038" t="s">
        <v>10067</v>
      </c>
    </row>
    <row r="31039" spans="1:5" x14ac:dyDescent="0.25">
      <c r="A31039" t="s">
        <v>10058</v>
      </c>
      <c r="B31039" t="s">
        <v>10059</v>
      </c>
      <c r="C31039" s="1" t="s">
        <v>23490</v>
      </c>
      <c r="D31039" s="1" t="str">
        <f>HYPERLINK("https://rhld.insurance.arkansas.gov/NPILookup?Npi=1316979347","1316979347")</f>
        <v>1316979347</v>
      </c>
      <c r="E31039" t="s">
        <v>10085</v>
      </c>
    </row>
    <row r="31040" spans="1:5" x14ac:dyDescent="0.25">
      <c r="A31040" t="s">
        <v>10058</v>
      </c>
      <c r="B31040" t="s">
        <v>10059</v>
      </c>
      <c r="C31040" s="1" t="s">
        <v>23490</v>
      </c>
      <c r="D31040" s="1" t="str">
        <f>HYPERLINK("https://rhld.insurance.arkansas.gov/NPILookup?Npi=1326015371","1326015371")</f>
        <v>1326015371</v>
      </c>
      <c r="E31040" t="s">
        <v>17347</v>
      </c>
    </row>
    <row r="31041" spans="1:5" x14ac:dyDescent="0.25">
      <c r="A31041" t="s">
        <v>10058</v>
      </c>
      <c r="B31041" t="s">
        <v>10059</v>
      </c>
      <c r="C31041" s="1" t="s">
        <v>23490</v>
      </c>
      <c r="D31041" s="1" t="str">
        <f>HYPERLINK("https://rhld.insurance.arkansas.gov/NPILookup?Npi=1326065715","1326065715")</f>
        <v>1326065715</v>
      </c>
      <c r="E31041" t="s">
        <v>13312</v>
      </c>
    </row>
    <row r="31042" spans="1:5" x14ac:dyDescent="0.25">
      <c r="A31042" t="s">
        <v>10058</v>
      </c>
      <c r="B31042" t="s">
        <v>10059</v>
      </c>
      <c r="C31042" s="1" t="s">
        <v>23490</v>
      </c>
      <c r="D31042" s="1" t="str">
        <f>HYPERLINK("https://rhld.insurance.arkansas.gov/NPILookup?Npi=1326065723","1326065723")</f>
        <v>1326065723</v>
      </c>
      <c r="E31042" t="s">
        <v>13312</v>
      </c>
    </row>
    <row r="31043" spans="1:5" x14ac:dyDescent="0.25">
      <c r="A31043" t="s">
        <v>10058</v>
      </c>
      <c r="B31043" t="s">
        <v>10059</v>
      </c>
      <c r="C31043" s="1" t="s">
        <v>23490</v>
      </c>
      <c r="D31043" s="1" t="str">
        <f>HYPERLINK("https://rhld.insurance.arkansas.gov/NPILookup?Npi=1326072174","1326072174")</f>
        <v>1326072174</v>
      </c>
      <c r="E31043" t="s">
        <v>10067</v>
      </c>
    </row>
    <row r="31044" spans="1:5" x14ac:dyDescent="0.25">
      <c r="A31044" t="s">
        <v>10058</v>
      </c>
      <c r="B31044" t="s">
        <v>10059</v>
      </c>
      <c r="C31044" s="1" t="s">
        <v>23490</v>
      </c>
      <c r="D31044" s="1" t="str">
        <f>HYPERLINK("https://rhld.insurance.arkansas.gov/NPILookup?Npi=1326077488","1326077488")</f>
        <v>1326077488</v>
      </c>
      <c r="E31044" t="s">
        <v>10236</v>
      </c>
    </row>
    <row r="31045" spans="1:5" x14ac:dyDescent="0.25">
      <c r="A31045" t="s">
        <v>10058</v>
      </c>
      <c r="B31045" t="s">
        <v>10059</v>
      </c>
      <c r="C31045" s="1" t="s">
        <v>23490</v>
      </c>
      <c r="D31045" s="1" t="str">
        <f>HYPERLINK("https://rhld.insurance.arkansas.gov/NPILookup?Npi=1326110396","1326110396")</f>
        <v>1326110396</v>
      </c>
      <c r="E31045" t="s">
        <v>10237</v>
      </c>
    </row>
    <row r="31046" spans="1:5" x14ac:dyDescent="0.25">
      <c r="A31046" t="s">
        <v>10058</v>
      </c>
      <c r="B31046" t="s">
        <v>10059</v>
      </c>
      <c r="C31046" s="1" t="s">
        <v>23490</v>
      </c>
      <c r="D31046" s="1" t="str">
        <f>HYPERLINK("https://rhld.insurance.arkansas.gov/NPILookup?Npi=1326111899","1326111899")</f>
        <v>1326111899</v>
      </c>
      <c r="E31046" t="s">
        <v>10087</v>
      </c>
    </row>
    <row r="31047" spans="1:5" x14ac:dyDescent="0.25">
      <c r="A31047" t="s">
        <v>10058</v>
      </c>
      <c r="B31047" t="s">
        <v>10059</v>
      </c>
      <c r="C31047" s="1" t="s">
        <v>23490</v>
      </c>
      <c r="D31047" s="1" t="str">
        <f>HYPERLINK("https://rhld.insurance.arkansas.gov/NPILookup?Npi=1326120106","1326120106")</f>
        <v>1326120106</v>
      </c>
      <c r="E31047" t="s">
        <v>20860</v>
      </c>
    </row>
    <row r="31048" spans="1:5" x14ac:dyDescent="0.25">
      <c r="A31048" t="s">
        <v>10058</v>
      </c>
      <c r="B31048" t="s">
        <v>10059</v>
      </c>
      <c r="C31048" s="1" t="s">
        <v>23490</v>
      </c>
      <c r="D31048" s="1" t="str">
        <f>HYPERLINK("https://rhld.insurance.arkansas.gov/NPILookup?Npi=1326148644","1326148644")</f>
        <v>1326148644</v>
      </c>
      <c r="E31048" t="s">
        <v>10078</v>
      </c>
    </row>
    <row r="31049" spans="1:5" x14ac:dyDescent="0.25">
      <c r="A31049" t="s">
        <v>10058</v>
      </c>
      <c r="B31049" t="s">
        <v>10059</v>
      </c>
      <c r="C31049" s="1" t="s">
        <v>23490</v>
      </c>
      <c r="D31049" s="1" t="str">
        <f>HYPERLINK("https://rhld.insurance.arkansas.gov/NPILookup?Npi=1326169152","1326169152")</f>
        <v>1326169152</v>
      </c>
      <c r="E31049" t="s">
        <v>12731</v>
      </c>
    </row>
    <row r="31050" spans="1:5" x14ac:dyDescent="0.25">
      <c r="A31050" t="s">
        <v>10058</v>
      </c>
      <c r="B31050" t="s">
        <v>10059</v>
      </c>
      <c r="C31050" s="1" t="s">
        <v>23490</v>
      </c>
      <c r="D31050" s="1" t="str">
        <f>HYPERLINK("https://rhld.insurance.arkansas.gov/NPILookup?Npi=1326376542","1326376542")</f>
        <v>1326376542</v>
      </c>
      <c r="E31050" t="s">
        <v>10238</v>
      </c>
    </row>
    <row r="31051" spans="1:5" x14ac:dyDescent="0.25">
      <c r="A31051" t="s">
        <v>10058</v>
      </c>
      <c r="B31051" t="s">
        <v>10059</v>
      </c>
      <c r="C31051" s="1" t="s">
        <v>23490</v>
      </c>
      <c r="D31051" s="1" t="str">
        <f>HYPERLINK("https://rhld.insurance.arkansas.gov/NPILookup?Npi=1326408196","1326408196")</f>
        <v>1326408196</v>
      </c>
      <c r="E31051" t="s">
        <v>13312</v>
      </c>
    </row>
    <row r="31052" spans="1:5" x14ac:dyDescent="0.25">
      <c r="A31052" t="s">
        <v>10058</v>
      </c>
      <c r="B31052" t="s">
        <v>10059</v>
      </c>
      <c r="C31052" s="1" t="s">
        <v>23490</v>
      </c>
      <c r="D31052" s="1" t="str">
        <f>HYPERLINK("https://rhld.insurance.arkansas.gov/NPILookup?Npi=1326426768","1326426768")</f>
        <v>1326426768</v>
      </c>
      <c r="E31052" t="s">
        <v>10127</v>
      </c>
    </row>
    <row r="31053" spans="1:5" x14ac:dyDescent="0.25">
      <c r="A31053" t="s">
        <v>10058</v>
      </c>
      <c r="B31053" t="s">
        <v>10059</v>
      </c>
      <c r="C31053" s="1" t="s">
        <v>23490</v>
      </c>
      <c r="D31053" s="1" t="str">
        <f>HYPERLINK("https://rhld.insurance.arkansas.gov/NPILookup?Npi=1326508706","1326508706")</f>
        <v>1326508706</v>
      </c>
      <c r="E31053" t="s">
        <v>10487</v>
      </c>
    </row>
    <row r="31054" spans="1:5" x14ac:dyDescent="0.25">
      <c r="A31054" t="s">
        <v>10058</v>
      </c>
      <c r="B31054" t="s">
        <v>10059</v>
      </c>
      <c r="C31054" s="1" t="s">
        <v>23490</v>
      </c>
      <c r="D31054" s="1" t="str">
        <f>HYPERLINK("https://rhld.insurance.arkansas.gov/NPILookup?Npi=1326531534","1326531534")</f>
        <v>1326531534</v>
      </c>
      <c r="E31054" t="s">
        <v>22831</v>
      </c>
    </row>
    <row r="31055" spans="1:5" x14ac:dyDescent="0.25">
      <c r="A31055" t="s">
        <v>10058</v>
      </c>
      <c r="B31055" t="s">
        <v>10059</v>
      </c>
      <c r="C31055" s="1" t="s">
        <v>23490</v>
      </c>
      <c r="D31055" s="1" t="str">
        <f>HYPERLINK("https://rhld.insurance.arkansas.gov/NPILookup?Npi=1326546524","1326546524")</f>
        <v>1326546524</v>
      </c>
      <c r="E31055" t="s">
        <v>14649</v>
      </c>
    </row>
    <row r="31056" spans="1:5" x14ac:dyDescent="0.25">
      <c r="A31056" t="s">
        <v>10058</v>
      </c>
      <c r="B31056" t="s">
        <v>10059</v>
      </c>
      <c r="C31056" s="1" t="s">
        <v>23490</v>
      </c>
      <c r="D31056" s="1" t="str">
        <f>HYPERLINK("https://rhld.insurance.arkansas.gov/NPILookup?Npi=1326674870","1326674870")</f>
        <v>1326674870</v>
      </c>
      <c r="E31056" t="s">
        <v>18622</v>
      </c>
    </row>
    <row r="31057" spans="1:5" x14ac:dyDescent="0.25">
      <c r="A31057" t="s">
        <v>10058</v>
      </c>
      <c r="B31057" t="s">
        <v>10059</v>
      </c>
      <c r="C31057" s="1" t="s">
        <v>23490</v>
      </c>
      <c r="D31057" s="1" t="str">
        <f>HYPERLINK("https://rhld.insurance.arkansas.gov/NPILookup?Npi=1326748161","1326748161")</f>
        <v>1326748161</v>
      </c>
      <c r="E31057" t="s">
        <v>12740</v>
      </c>
    </row>
    <row r="31058" spans="1:5" x14ac:dyDescent="0.25">
      <c r="A31058" t="s">
        <v>10058</v>
      </c>
      <c r="B31058" t="s">
        <v>10059</v>
      </c>
      <c r="C31058" s="1" t="s">
        <v>23490</v>
      </c>
      <c r="D31058" s="1" t="str">
        <f>HYPERLINK("https://rhld.insurance.arkansas.gov/NPILookup?Npi=1326793118","1326793118")</f>
        <v>1326793118</v>
      </c>
      <c r="E31058" t="s">
        <v>18624</v>
      </c>
    </row>
    <row r="31059" spans="1:5" x14ac:dyDescent="0.25">
      <c r="A31059" t="s">
        <v>10058</v>
      </c>
      <c r="B31059" t="s">
        <v>10059</v>
      </c>
      <c r="C31059" s="1" t="s">
        <v>23490</v>
      </c>
      <c r="D31059" s="1" t="str">
        <f>HYPERLINK("https://rhld.insurance.arkansas.gov/NPILookup?Npi=1336154434","1336154434")</f>
        <v>1336154434</v>
      </c>
      <c r="E31059" t="s">
        <v>10066</v>
      </c>
    </row>
    <row r="31060" spans="1:5" x14ac:dyDescent="0.25">
      <c r="A31060" t="s">
        <v>10058</v>
      </c>
      <c r="B31060" t="s">
        <v>10059</v>
      </c>
      <c r="C31060" s="1" t="s">
        <v>23490</v>
      </c>
      <c r="D31060" s="1" t="str">
        <f>HYPERLINK("https://rhld.insurance.arkansas.gov/NPILookup?Npi=1336166719","1336166719")</f>
        <v>1336166719</v>
      </c>
      <c r="E31060" t="s">
        <v>13312</v>
      </c>
    </row>
    <row r="31061" spans="1:5" x14ac:dyDescent="0.25">
      <c r="A31061" t="s">
        <v>10058</v>
      </c>
      <c r="B31061" t="s">
        <v>10059</v>
      </c>
      <c r="C31061" s="1" t="s">
        <v>23490</v>
      </c>
      <c r="D31061" s="1" t="str">
        <f>HYPERLINK("https://rhld.insurance.arkansas.gov/NPILookup?Npi=1336166727","1336166727")</f>
        <v>1336166727</v>
      </c>
      <c r="E31061" t="s">
        <v>13312</v>
      </c>
    </row>
    <row r="31062" spans="1:5" x14ac:dyDescent="0.25">
      <c r="A31062" t="s">
        <v>10058</v>
      </c>
      <c r="B31062" t="s">
        <v>10059</v>
      </c>
      <c r="C31062" s="1" t="s">
        <v>23490</v>
      </c>
      <c r="D31062" s="1" t="str">
        <f>HYPERLINK("https://rhld.insurance.arkansas.gov/NPILookup?Npi=1336166834","1336166834")</f>
        <v>1336166834</v>
      </c>
      <c r="E31062" t="s">
        <v>13312</v>
      </c>
    </row>
    <row r="31063" spans="1:5" x14ac:dyDescent="0.25">
      <c r="A31063" t="s">
        <v>10058</v>
      </c>
      <c r="B31063" t="s">
        <v>10059</v>
      </c>
      <c r="C31063" s="1" t="s">
        <v>23490</v>
      </c>
      <c r="D31063" s="1" t="str">
        <f>HYPERLINK("https://rhld.insurance.arkansas.gov/NPILookup?Npi=1336173186","1336173186")</f>
        <v>1336173186</v>
      </c>
      <c r="E31063" t="s">
        <v>10067</v>
      </c>
    </row>
    <row r="31064" spans="1:5" x14ac:dyDescent="0.25">
      <c r="A31064" t="s">
        <v>10058</v>
      </c>
      <c r="B31064" t="s">
        <v>10059</v>
      </c>
      <c r="C31064" s="1" t="s">
        <v>23490</v>
      </c>
      <c r="D31064" s="1" t="str">
        <f>HYPERLINK("https://rhld.insurance.arkansas.gov/NPILookup?Npi=1336192939","1336192939")</f>
        <v>1336192939</v>
      </c>
      <c r="E31064" t="s">
        <v>10239</v>
      </c>
    </row>
    <row r="31065" spans="1:5" x14ac:dyDescent="0.25">
      <c r="A31065" t="s">
        <v>10058</v>
      </c>
      <c r="B31065" t="s">
        <v>10059</v>
      </c>
      <c r="C31065" s="1" t="s">
        <v>23490</v>
      </c>
      <c r="D31065" s="1" t="str">
        <f>HYPERLINK("https://rhld.insurance.arkansas.gov/NPILookup?Npi=1336219187","1336219187")</f>
        <v>1336219187</v>
      </c>
      <c r="E31065" t="s">
        <v>10240</v>
      </c>
    </row>
    <row r="31066" spans="1:5" x14ac:dyDescent="0.25">
      <c r="A31066" t="s">
        <v>10058</v>
      </c>
      <c r="B31066" t="s">
        <v>10059</v>
      </c>
      <c r="C31066" s="1" t="s">
        <v>23490</v>
      </c>
      <c r="D31066" s="1" t="str">
        <f>HYPERLINK("https://rhld.insurance.arkansas.gov/NPILookup?Npi=1336253301","1336253301")</f>
        <v>1336253301</v>
      </c>
      <c r="E31066" t="s">
        <v>10241</v>
      </c>
    </row>
    <row r="31067" spans="1:5" x14ac:dyDescent="0.25">
      <c r="A31067" t="s">
        <v>10058</v>
      </c>
      <c r="B31067" t="s">
        <v>10059</v>
      </c>
      <c r="C31067" s="1" t="s">
        <v>23490</v>
      </c>
      <c r="D31067" s="1" t="str">
        <f>HYPERLINK("https://rhld.insurance.arkansas.gov/NPILookup?Npi=1336285121","1336285121")</f>
        <v>1336285121</v>
      </c>
      <c r="E31067" t="s">
        <v>10242</v>
      </c>
    </row>
    <row r="31068" spans="1:5" x14ac:dyDescent="0.25">
      <c r="A31068" t="s">
        <v>10058</v>
      </c>
      <c r="B31068" t="s">
        <v>10059</v>
      </c>
      <c r="C31068" s="1" t="s">
        <v>23490</v>
      </c>
      <c r="D31068" s="1" t="str">
        <f>HYPERLINK("https://rhld.insurance.arkansas.gov/NPILookup?Npi=1336375252","1336375252")</f>
        <v>1336375252</v>
      </c>
      <c r="E31068" t="s">
        <v>10066</v>
      </c>
    </row>
    <row r="31069" spans="1:5" x14ac:dyDescent="0.25">
      <c r="A31069" t="s">
        <v>10058</v>
      </c>
      <c r="B31069" t="s">
        <v>10059</v>
      </c>
      <c r="C31069" s="1" t="s">
        <v>23490</v>
      </c>
      <c r="D31069" s="1" t="str">
        <f>HYPERLINK("https://rhld.insurance.arkansas.gov/NPILookup?Npi=1336569227","1336569227")</f>
        <v>1336569227</v>
      </c>
      <c r="E31069" t="s">
        <v>10243</v>
      </c>
    </row>
    <row r="31070" spans="1:5" x14ac:dyDescent="0.25">
      <c r="A31070" t="s">
        <v>10058</v>
      </c>
      <c r="B31070" t="s">
        <v>10059</v>
      </c>
      <c r="C31070" s="1" t="s">
        <v>23490</v>
      </c>
      <c r="D31070" s="1" t="str">
        <f>HYPERLINK("https://rhld.insurance.arkansas.gov/NPILookup?Npi=1336691856","1336691856")</f>
        <v>1336691856</v>
      </c>
      <c r="E31070" t="s">
        <v>14650</v>
      </c>
    </row>
    <row r="31071" spans="1:5" x14ac:dyDescent="0.25">
      <c r="A31071" t="s">
        <v>10058</v>
      </c>
      <c r="B31071" t="s">
        <v>10059</v>
      </c>
      <c r="C31071" s="1" t="s">
        <v>23490</v>
      </c>
      <c r="D31071" s="1" t="str">
        <f>HYPERLINK("https://rhld.insurance.arkansas.gov/NPILookup?Npi=1336768985","1336768985")</f>
        <v>1336768985</v>
      </c>
      <c r="E31071" t="s">
        <v>10078</v>
      </c>
    </row>
    <row r="31072" spans="1:5" x14ac:dyDescent="0.25">
      <c r="A31072" t="s">
        <v>10058</v>
      </c>
      <c r="B31072" t="s">
        <v>10059</v>
      </c>
      <c r="C31072" s="1" t="s">
        <v>23490</v>
      </c>
      <c r="D31072" s="1" t="str">
        <f>HYPERLINK("https://rhld.insurance.arkansas.gov/NPILookup?Npi=1346208949","1346208949")</f>
        <v>1346208949</v>
      </c>
      <c r="E31072" t="s">
        <v>10244</v>
      </c>
    </row>
    <row r="31073" spans="1:5" x14ac:dyDescent="0.25">
      <c r="A31073" t="s">
        <v>10058</v>
      </c>
      <c r="B31073" t="s">
        <v>10059</v>
      </c>
      <c r="C31073" s="1" t="s">
        <v>23490</v>
      </c>
      <c r="D31073" s="1" t="str">
        <f>HYPERLINK("https://rhld.insurance.arkansas.gov/NPILookup?Npi=1346223328","1346223328")</f>
        <v>1346223328</v>
      </c>
      <c r="E31073" t="s">
        <v>10245</v>
      </c>
    </row>
    <row r="31074" spans="1:5" x14ac:dyDescent="0.25">
      <c r="A31074" t="s">
        <v>10058</v>
      </c>
      <c r="B31074" t="s">
        <v>10059</v>
      </c>
      <c r="C31074" s="1" t="s">
        <v>23490</v>
      </c>
      <c r="D31074" s="1" t="str">
        <f>HYPERLINK("https://rhld.insurance.arkansas.gov/NPILookup?Npi=1346247210","1346247210")</f>
        <v>1346247210</v>
      </c>
      <c r="E31074" t="s">
        <v>10246</v>
      </c>
    </row>
    <row r="31075" spans="1:5" x14ac:dyDescent="0.25">
      <c r="A31075" t="s">
        <v>10058</v>
      </c>
      <c r="B31075" t="s">
        <v>10059</v>
      </c>
      <c r="C31075" s="1" t="s">
        <v>23490</v>
      </c>
      <c r="D31075" s="1" t="str">
        <f>HYPERLINK("https://rhld.insurance.arkansas.gov/NPILookup?Npi=1346267531","1346267531")</f>
        <v>1346267531</v>
      </c>
      <c r="E31075" t="s">
        <v>10060</v>
      </c>
    </row>
    <row r="31076" spans="1:5" x14ac:dyDescent="0.25">
      <c r="A31076" t="s">
        <v>10058</v>
      </c>
      <c r="B31076" t="s">
        <v>10059</v>
      </c>
      <c r="C31076" s="1" t="s">
        <v>23490</v>
      </c>
      <c r="D31076" s="1" t="str">
        <f>HYPERLINK("https://rhld.insurance.arkansas.gov/NPILookup?Npi=1346267721","1346267721")</f>
        <v>1346267721</v>
      </c>
      <c r="E31076" t="s">
        <v>13312</v>
      </c>
    </row>
    <row r="31077" spans="1:5" x14ac:dyDescent="0.25">
      <c r="A31077" t="s">
        <v>10058</v>
      </c>
      <c r="B31077" t="s">
        <v>10059</v>
      </c>
      <c r="C31077" s="1" t="s">
        <v>23490</v>
      </c>
      <c r="D31077" s="1" t="str">
        <f>HYPERLINK("https://rhld.insurance.arkansas.gov/NPILookup?Npi=1346323755","1346323755")</f>
        <v>1346323755</v>
      </c>
      <c r="E31077" t="s">
        <v>10066</v>
      </c>
    </row>
    <row r="31078" spans="1:5" x14ac:dyDescent="0.25">
      <c r="A31078" t="s">
        <v>10058</v>
      </c>
      <c r="B31078" t="s">
        <v>10059</v>
      </c>
      <c r="C31078" s="1" t="s">
        <v>23490</v>
      </c>
      <c r="D31078" s="1" t="str">
        <f>HYPERLINK("https://rhld.insurance.arkansas.gov/NPILookup?Npi=1346344280","1346344280")</f>
        <v>1346344280</v>
      </c>
      <c r="E31078" t="s">
        <v>10086</v>
      </c>
    </row>
    <row r="31079" spans="1:5" x14ac:dyDescent="0.25">
      <c r="A31079" t="s">
        <v>10058</v>
      </c>
      <c r="B31079" t="s">
        <v>10059</v>
      </c>
      <c r="C31079" s="1" t="s">
        <v>23490</v>
      </c>
      <c r="D31079" s="1" t="str">
        <f>HYPERLINK("https://rhld.insurance.arkansas.gov/NPILookup?Npi=1346544921","1346544921")</f>
        <v>1346544921</v>
      </c>
      <c r="E31079" t="s">
        <v>10081</v>
      </c>
    </row>
    <row r="31080" spans="1:5" x14ac:dyDescent="0.25">
      <c r="A31080" t="s">
        <v>10058</v>
      </c>
      <c r="B31080" t="s">
        <v>10059</v>
      </c>
      <c r="C31080" s="1" t="s">
        <v>23490</v>
      </c>
      <c r="D31080" s="1" t="str">
        <f>HYPERLINK("https://rhld.insurance.arkansas.gov/NPILookup?Npi=1346571106","1346571106")</f>
        <v>1346571106</v>
      </c>
      <c r="E31080" t="s">
        <v>10247</v>
      </c>
    </row>
    <row r="31081" spans="1:5" x14ac:dyDescent="0.25">
      <c r="A31081" t="s">
        <v>10058</v>
      </c>
      <c r="B31081" t="s">
        <v>10059</v>
      </c>
      <c r="C31081" s="1" t="s">
        <v>23490</v>
      </c>
      <c r="D31081" s="1" t="str">
        <f>HYPERLINK("https://rhld.insurance.arkansas.gov/NPILookup?Npi=1346601614","1346601614")</f>
        <v>1346601614</v>
      </c>
      <c r="E31081" t="s">
        <v>22832</v>
      </c>
    </row>
    <row r="31082" spans="1:5" x14ac:dyDescent="0.25">
      <c r="A31082" t="s">
        <v>10058</v>
      </c>
      <c r="B31082" t="s">
        <v>10059</v>
      </c>
      <c r="C31082" s="1" t="s">
        <v>23490</v>
      </c>
      <c r="D31082" s="1" t="str">
        <f>HYPERLINK("https://rhld.insurance.arkansas.gov/NPILookup?Npi=1346876018","1346876018")</f>
        <v>1346876018</v>
      </c>
      <c r="E31082" t="s">
        <v>10111</v>
      </c>
    </row>
    <row r="31083" spans="1:5" x14ac:dyDescent="0.25">
      <c r="A31083" t="s">
        <v>10058</v>
      </c>
      <c r="B31083" t="s">
        <v>10059</v>
      </c>
      <c r="C31083" s="1" t="s">
        <v>23490</v>
      </c>
      <c r="D31083" s="1" t="str">
        <f>HYPERLINK("https://rhld.insurance.arkansas.gov/NPILookup?Npi=1356079396","1356079396")</f>
        <v>1356079396</v>
      </c>
      <c r="E31083" t="s">
        <v>7591</v>
      </c>
    </row>
    <row r="31084" spans="1:5" x14ac:dyDescent="0.25">
      <c r="A31084" t="s">
        <v>10058</v>
      </c>
      <c r="B31084" t="s">
        <v>10059</v>
      </c>
      <c r="C31084" s="1" t="s">
        <v>23490</v>
      </c>
      <c r="D31084" s="1" t="str">
        <f>HYPERLINK("https://rhld.insurance.arkansas.gov/NPILookup?Npi=1356335566","1356335566")</f>
        <v>1356335566</v>
      </c>
      <c r="E31084" t="s">
        <v>10248</v>
      </c>
    </row>
    <row r="31085" spans="1:5" x14ac:dyDescent="0.25">
      <c r="A31085" t="s">
        <v>10058</v>
      </c>
      <c r="B31085" t="s">
        <v>10059</v>
      </c>
      <c r="C31085" s="1" t="s">
        <v>23490</v>
      </c>
      <c r="D31085" s="1" t="str">
        <f>HYPERLINK("https://rhld.insurance.arkansas.gov/NPILookup?Npi=1356338669","1356338669")</f>
        <v>1356338669</v>
      </c>
      <c r="E31085" t="s">
        <v>23386</v>
      </c>
    </row>
    <row r="31086" spans="1:5" x14ac:dyDescent="0.25">
      <c r="A31086" t="s">
        <v>10058</v>
      </c>
      <c r="B31086" t="s">
        <v>10059</v>
      </c>
      <c r="C31086" s="1" t="s">
        <v>23490</v>
      </c>
      <c r="D31086" s="1" t="str">
        <f>HYPERLINK("https://rhld.insurance.arkansas.gov/NPILookup?Npi=1356356455","1356356455")</f>
        <v>1356356455</v>
      </c>
      <c r="E31086" t="s">
        <v>10066</v>
      </c>
    </row>
    <row r="31087" spans="1:5" x14ac:dyDescent="0.25">
      <c r="A31087" t="s">
        <v>10058</v>
      </c>
      <c r="B31087" t="s">
        <v>10059</v>
      </c>
      <c r="C31087" s="1" t="s">
        <v>23490</v>
      </c>
      <c r="D31087" s="1" t="str">
        <f>HYPERLINK("https://rhld.insurance.arkansas.gov/NPILookup?Npi=1356364418","1356364418")</f>
        <v>1356364418</v>
      </c>
      <c r="E31087" t="s">
        <v>13312</v>
      </c>
    </row>
    <row r="31088" spans="1:5" x14ac:dyDescent="0.25">
      <c r="A31088" t="s">
        <v>10058</v>
      </c>
      <c r="B31088" t="s">
        <v>10059</v>
      </c>
      <c r="C31088" s="1" t="s">
        <v>23490</v>
      </c>
      <c r="D31088" s="1" t="str">
        <f>HYPERLINK("https://rhld.insurance.arkansas.gov/NPILookup?Npi=1356373393","1356373393")</f>
        <v>1356373393</v>
      </c>
      <c r="E31088" t="s">
        <v>10085</v>
      </c>
    </row>
    <row r="31089" spans="1:5" x14ac:dyDescent="0.25">
      <c r="A31089" t="s">
        <v>10058</v>
      </c>
      <c r="B31089" t="s">
        <v>10059</v>
      </c>
      <c r="C31089" s="1" t="s">
        <v>23490</v>
      </c>
      <c r="D31089" s="1" t="str">
        <f>HYPERLINK("https://rhld.insurance.arkansas.gov/NPILookup?Npi=1356445290","1356445290")</f>
        <v>1356445290</v>
      </c>
      <c r="E31089" t="s">
        <v>10086</v>
      </c>
    </row>
    <row r="31090" spans="1:5" x14ac:dyDescent="0.25">
      <c r="A31090" t="s">
        <v>10058</v>
      </c>
      <c r="B31090" t="s">
        <v>10059</v>
      </c>
      <c r="C31090" s="1" t="s">
        <v>23490</v>
      </c>
      <c r="D31090" s="1" t="str">
        <f>HYPERLINK("https://rhld.insurance.arkansas.gov/NPILookup?Npi=1356450563","1356450563")</f>
        <v>1356450563</v>
      </c>
      <c r="E31090" t="s">
        <v>10066</v>
      </c>
    </row>
    <row r="31091" spans="1:5" x14ac:dyDescent="0.25">
      <c r="A31091" t="s">
        <v>10058</v>
      </c>
      <c r="B31091" t="s">
        <v>10059</v>
      </c>
      <c r="C31091" s="1" t="s">
        <v>23490</v>
      </c>
      <c r="D31091" s="1" t="str">
        <f>HYPERLINK("https://rhld.insurance.arkansas.gov/NPILookup?Npi=1356455323","1356455323")</f>
        <v>1356455323</v>
      </c>
      <c r="E31091" t="s">
        <v>10249</v>
      </c>
    </row>
    <row r="31092" spans="1:5" x14ac:dyDescent="0.25">
      <c r="A31092" t="s">
        <v>10058</v>
      </c>
      <c r="B31092" t="s">
        <v>10059</v>
      </c>
      <c r="C31092" s="1" t="s">
        <v>23490</v>
      </c>
      <c r="D31092" s="1" t="str">
        <f>HYPERLINK("https://rhld.insurance.arkansas.gov/NPILookup?Npi=1356455638","1356455638")</f>
        <v>1356455638</v>
      </c>
      <c r="E31092" t="s">
        <v>10250</v>
      </c>
    </row>
    <row r="31093" spans="1:5" x14ac:dyDescent="0.25">
      <c r="A31093" t="s">
        <v>10058</v>
      </c>
      <c r="B31093" t="s">
        <v>10059</v>
      </c>
      <c r="C31093" s="1" t="s">
        <v>23490</v>
      </c>
      <c r="D31093" s="1" t="str">
        <f>HYPERLINK("https://rhld.insurance.arkansas.gov/NPILookup?Npi=1356455778","1356455778")</f>
        <v>1356455778</v>
      </c>
      <c r="E31093" t="s">
        <v>10251</v>
      </c>
    </row>
    <row r="31094" spans="1:5" x14ac:dyDescent="0.25">
      <c r="A31094" t="s">
        <v>10058</v>
      </c>
      <c r="B31094" t="s">
        <v>10059</v>
      </c>
      <c r="C31094" s="1" t="s">
        <v>23490</v>
      </c>
      <c r="D31094" s="1" t="str">
        <f>HYPERLINK("https://rhld.insurance.arkansas.gov/NPILookup?Npi=1356474449","1356474449")</f>
        <v>1356474449</v>
      </c>
      <c r="E31094" t="s">
        <v>10066</v>
      </c>
    </row>
    <row r="31095" spans="1:5" x14ac:dyDescent="0.25">
      <c r="A31095" t="s">
        <v>10058</v>
      </c>
      <c r="B31095" t="s">
        <v>10059</v>
      </c>
      <c r="C31095" s="1" t="s">
        <v>23490</v>
      </c>
      <c r="D31095" s="1" t="str">
        <f>HYPERLINK("https://rhld.insurance.arkansas.gov/NPILookup?Npi=1356485684","1356485684")</f>
        <v>1356485684</v>
      </c>
      <c r="E31095" t="s">
        <v>14651</v>
      </c>
    </row>
    <row r="31096" spans="1:5" x14ac:dyDescent="0.25">
      <c r="A31096" t="s">
        <v>10058</v>
      </c>
      <c r="B31096" t="s">
        <v>10059</v>
      </c>
      <c r="C31096" s="1" t="s">
        <v>23490</v>
      </c>
      <c r="D31096" s="1" t="str">
        <f>HYPERLINK("https://rhld.insurance.arkansas.gov/NPILookup?Npi=1356487912","1356487912")</f>
        <v>1356487912</v>
      </c>
      <c r="E31096" t="s">
        <v>10252</v>
      </c>
    </row>
    <row r="31097" spans="1:5" x14ac:dyDescent="0.25">
      <c r="A31097" t="s">
        <v>10058</v>
      </c>
      <c r="B31097" t="s">
        <v>10059</v>
      </c>
      <c r="C31097" s="1" t="s">
        <v>23490</v>
      </c>
      <c r="D31097" s="1" t="str">
        <f>HYPERLINK("https://rhld.insurance.arkansas.gov/NPILookup?Npi=1356551592","1356551592")</f>
        <v>1356551592</v>
      </c>
      <c r="E31097" t="s">
        <v>10253</v>
      </c>
    </row>
    <row r="31098" spans="1:5" x14ac:dyDescent="0.25">
      <c r="A31098" t="s">
        <v>10058</v>
      </c>
      <c r="B31098" t="s">
        <v>10059</v>
      </c>
      <c r="C31098" s="1" t="s">
        <v>23490</v>
      </c>
      <c r="D31098" s="1" t="str">
        <f>HYPERLINK("https://rhld.insurance.arkansas.gov/NPILookup?Npi=1356693436","1356693436")</f>
        <v>1356693436</v>
      </c>
      <c r="E31098" t="s">
        <v>10254</v>
      </c>
    </row>
    <row r="31099" spans="1:5" x14ac:dyDescent="0.25">
      <c r="A31099" t="s">
        <v>10058</v>
      </c>
      <c r="B31099" t="s">
        <v>10059</v>
      </c>
      <c r="C31099" s="1" t="s">
        <v>23490</v>
      </c>
      <c r="D31099" s="1" t="str">
        <f>HYPERLINK("https://rhld.insurance.arkansas.gov/NPILookup?Npi=1356693519","1356693519")</f>
        <v>1356693519</v>
      </c>
      <c r="E31099" t="s">
        <v>22809</v>
      </c>
    </row>
    <row r="31100" spans="1:5" x14ac:dyDescent="0.25">
      <c r="A31100" t="s">
        <v>10058</v>
      </c>
      <c r="B31100" t="s">
        <v>10059</v>
      </c>
      <c r="C31100" s="1" t="s">
        <v>23490</v>
      </c>
      <c r="D31100" s="1" t="str">
        <f>HYPERLINK("https://rhld.insurance.arkansas.gov/NPILookup?Npi=1356728000","1356728000")</f>
        <v>1356728000</v>
      </c>
      <c r="E31100" t="s">
        <v>10255</v>
      </c>
    </row>
    <row r="31101" spans="1:5" x14ac:dyDescent="0.25">
      <c r="A31101" t="s">
        <v>10058</v>
      </c>
      <c r="B31101" t="s">
        <v>10059</v>
      </c>
      <c r="C31101" s="1" t="s">
        <v>23490</v>
      </c>
      <c r="D31101" s="1" t="str">
        <f>HYPERLINK("https://rhld.insurance.arkansas.gov/NPILookup?Npi=1356749915","1356749915")</f>
        <v>1356749915</v>
      </c>
      <c r="E31101" t="s">
        <v>10099</v>
      </c>
    </row>
    <row r="31102" spans="1:5" x14ac:dyDescent="0.25">
      <c r="A31102" t="s">
        <v>10058</v>
      </c>
      <c r="B31102" t="s">
        <v>10059</v>
      </c>
      <c r="C31102" s="1" t="s">
        <v>23490</v>
      </c>
      <c r="D31102" s="1" t="str">
        <f>HYPERLINK("https://rhld.insurance.arkansas.gov/NPILookup?Npi=1356978159","1356978159")</f>
        <v>1356978159</v>
      </c>
      <c r="E31102" t="s">
        <v>14630</v>
      </c>
    </row>
    <row r="31103" spans="1:5" x14ac:dyDescent="0.25">
      <c r="A31103" t="s">
        <v>10058</v>
      </c>
      <c r="B31103" t="s">
        <v>10059</v>
      </c>
      <c r="C31103" s="1" t="s">
        <v>23490</v>
      </c>
      <c r="D31103" s="1" t="str">
        <f>HYPERLINK("https://rhld.insurance.arkansas.gov/NPILookup?Npi=1366064511","1366064511")</f>
        <v>1366064511</v>
      </c>
      <c r="E31103" t="s">
        <v>19278</v>
      </c>
    </row>
    <row r="31104" spans="1:5" x14ac:dyDescent="0.25">
      <c r="A31104" t="s">
        <v>10058</v>
      </c>
      <c r="B31104" t="s">
        <v>10059</v>
      </c>
      <c r="C31104" s="1" t="s">
        <v>23490</v>
      </c>
      <c r="D31104" s="1" t="str">
        <f>HYPERLINK("https://rhld.insurance.arkansas.gov/NPILookup?Npi=1366069965","1366069965")</f>
        <v>1366069965</v>
      </c>
      <c r="E31104" t="s">
        <v>19279</v>
      </c>
    </row>
    <row r="31105" spans="1:5" x14ac:dyDescent="0.25">
      <c r="A31105" t="s">
        <v>10058</v>
      </c>
      <c r="B31105" t="s">
        <v>10059</v>
      </c>
      <c r="C31105" s="1" t="s">
        <v>23490</v>
      </c>
      <c r="D31105" s="1" t="str">
        <f>HYPERLINK("https://rhld.insurance.arkansas.gov/NPILookup?Npi=1366190084","1366190084")</f>
        <v>1366190084</v>
      </c>
      <c r="E31105" t="s">
        <v>22833</v>
      </c>
    </row>
    <row r="31106" spans="1:5" x14ac:dyDescent="0.25">
      <c r="A31106" t="s">
        <v>10058</v>
      </c>
      <c r="B31106" t="s">
        <v>10059</v>
      </c>
      <c r="C31106" s="1" t="s">
        <v>23490</v>
      </c>
      <c r="D31106" s="1" t="str">
        <f>HYPERLINK("https://rhld.insurance.arkansas.gov/NPILookup?Npi=1366453946","1366453946")</f>
        <v>1366453946</v>
      </c>
      <c r="E31106" t="s">
        <v>17811</v>
      </c>
    </row>
    <row r="31107" spans="1:5" x14ac:dyDescent="0.25">
      <c r="A31107" t="s">
        <v>10058</v>
      </c>
      <c r="B31107" t="s">
        <v>10059</v>
      </c>
      <c r="C31107" s="1" t="s">
        <v>23490</v>
      </c>
      <c r="D31107" s="1" t="str">
        <f>HYPERLINK("https://rhld.insurance.arkansas.gov/NPILookup?Npi=1366457525","1366457525")</f>
        <v>1366457525</v>
      </c>
      <c r="E31107" t="s">
        <v>10066</v>
      </c>
    </row>
    <row r="31108" spans="1:5" x14ac:dyDescent="0.25">
      <c r="A31108" t="s">
        <v>10058</v>
      </c>
      <c r="B31108" t="s">
        <v>10059</v>
      </c>
      <c r="C31108" s="1" t="s">
        <v>23490</v>
      </c>
      <c r="D31108" s="1" t="str">
        <f>HYPERLINK("https://rhld.insurance.arkansas.gov/NPILookup?Npi=1366469868","1366469868")</f>
        <v>1366469868</v>
      </c>
      <c r="E31108" t="s">
        <v>13312</v>
      </c>
    </row>
    <row r="31109" spans="1:5" x14ac:dyDescent="0.25">
      <c r="A31109" t="s">
        <v>10058</v>
      </c>
      <c r="B31109" t="s">
        <v>10059</v>
      </c>
      <c r="C31109" s="1" t="s">
        <v>23490</v>
      </c>
      <c r="D31109" s="1" t="str">
        <f>HYPERLINK("https://rhld.insurance.arkansas.gov/NPILookup?Npi=1366511842","1366511842")</f>
        <v>1366511842</v>
      </c>
      <c r="E31109" t="s">
        <v>12732</v>
      </c>
    </row>
    <row r="31110" spans="1:5" x14ac:dyDescent="0.25">
      <c r="A31110" t="s">
        <v>10058</v>
      </c>
      <c r="B31110" t="s">
        <v>10059</v>
      </c>
      <c r="C31110" s="1" t="s">
        <v>23490</v>
      </c>
      <c r="D31110" s="1" t="str">
        <f>HYPERLINK("https://rhld.insurance.arkansas.gov/NPILookup?Npi=1366514143","1366514143")</f>
        <v>1366514143</v>
      </c>
      <c r="E31110" t="s">
        <v>10257</v>
      </c>
    </row>
    <row r="31111" spans="1:5" x14ac:dyDescent="0.25">
      <c r="A31111" t="s">
        <v>10058</v>
      </c>
      <c r="B31111" t="s">
        <v>10059</v>
      </c>
      <c r="C31111" s="1" t="s">
        <v>23490</v>
      </c>
      <c r="D31111" s="1" t="str">
        <f>HYPERLINK("https://rhld.insurance.arkansas.gov/NPILookup?Npi=1366554354","1366554354")</f>
        <v>1366554354</v>
      </c>
      <c r="E31111" t="s">
        <v>10258</v>
      </c>
    </row>
    <row r="31112" spans="1:5" x14ac:dyDescent="0.25">
      <c r="A31112" t="s">
        <v>10058</v>
      </c>
      <c r="B31112" t="s">
        <v>10059</v>
      </c>
      <c r="C31112" s="1" t="s">
        <v>23490</v>
      </c>
      <c r="D31112" s="1" t="str">
        <f>HYPERLINK("https://rhld.insurance.arkansas.gov/NPILookup?Npi=1366706244","1366706244")</f>
        <v>1366706244</v>
      </c>
      <c r="E31112" t="s">
        <v>10259</v>
      </c>
    </row>
    <row r="31113" spans="1:5" x14ac:dyDescent="0.25">
      <c r="A31113" t="s">
        <v>10058</v>
      </c>
      <c r="B31113" t="s">
        <v>10059</v>
      </c>
      <c r="C31113" s="1" t="s">
        <v>23490</v>
      </c>
      <c r="D31113" s="1" t="str">
        <f>HYPERLINK("https://rhld.insurance.arkansas.gov/NPILookup?Npi=1366832735","1366832735")</f>
        <v>1366832735</v>
      </c>
      <c r="E31113" t="s">
        <v>10066</v>
      </c>
    </row>
    <row r="31114" spans="1:5" x14ac:dyDescent="0.25">
      <c r="A31114" t="s">
        <v>10058</v>
      </c>
      <c r="B31114" t="s">
        <v>10059</v>
      </c>
      <c r="C31114" s="1" t="s">
        <v>23490</v>
      </c>
      <c r="D31114" s="1" t="str">
        <f>HYPERLINK("https://rhld.insurance.arkansas.gov/NPILookup?Npi=1366878837","1366878837")</f>
        <v>1366878837</v>
      </c>
      <c r="E31114" t="s">
        <v>10260</v>
      </c>
    </row>
    <row r="31115" spans="1:5" x14ac:dyDescent="0.25">
      <c r="A31115" t="s">
        <v>10058</v>
      </c>
      <c r="B31115" t="s">
        <v>10059</v>
      </c>
      <c r="C31115" s="1" t="s">
        <v>23490</v>
      </c>
      <c r="D31115" s="1" t="str">
        <f>HYPERLINK("https://rhld.insurance.arkansas.gov/NPILookup?Npi=1376048124","1376048124")</f>
        <v>1376048124</v>
      </c>
      <c r="E31115" t="s">
        <v>14652</v>
      </c>
    </row>
    <row r="31116" spans="1:5" x14ac:dyDescent="0.25">
      <c r="A31116" t="s">
        <v>10058</v>
      </c>
      <c r="B31116" t="s">
        <v>10059</v>
      </c>
      <c r="C31116" s="1" t="s">
        <v>23490</v>
      </c>
      <c r="D31116" s="1" t="str">
        <f>HYPERLINK("https://rhld.insurance.arkansas.gov/NPILookup?Npi=1376082123","1376082123")</f>
        <v>1376082123</v>
      </c>
      <c r="E31116" t="s">
        <v>19280</v>
      </c>
    </row>
    <row r="31117" spans="1:5" x14ac:dyDescent="0.25">
      <c r="A31117" t="s">
        <v>10058</v>
      </c>
      <c r="B31117" t="s">
        <v>10059</v>
      </c>
      <c r="C31117" s="1" t="s">
        <v>23490</v>
      </c>
      <c r="D31117" s="1" t="str">
        <f>HYPERLINK("https://rhld.insurance.arkansas.gov/NPILookup?Npi=1376171652","1376171652")</f>
        <v>1376171652</v>
      </c>
      <c r="E31117" t="s">
        <v>10490</v>
      </c>
    </row>
    <row r="31118" spans="1:5" x14ac:dyDescent="0.25">
      <c r="A31118" t="s">
        <v>10058</v>
      </c>
      <c r="B31118" t="s">
        <v>10059</v>
      </c>
      <c r="C31118" s="1" t="s">
        <v>23490</v>
      </c>
      <c r="D31118" s="1" t="str">
        <f>HYPERLINK("https://rhld.insurance.arkansas.gov/NPILookup?Npi=1376530659","1376530659")</f>
        <v>1376530659</v>
      </c>
      <c r="E31118" t="s">
        <v>10261</v>
      </c>
    </row>
    <row r="31119" spans="1:5" x14ac:dyDescent="0.25">
      <c r="A31119" t="s">
        <v>10058</v>
      </c>
      <c r="B31119" t="s">
        <v>10059</v>
      </c>
      <c r="C31119" s="1" t="s">
        <v>23490</v>
      </c>
      <c r="D31119" s="1" t="str">
        <f>HYPERLINK("https://rhld.insurance.arkansas.gov/NPILookup?Npi=1376558379","1376558379")</f>
        <v>1376558379</v>
      </c>
      <c r="E31119" t="s">
        <v>10066</v>
      </c>
    </row>
    <row r="31120" spans="1:5" x14ac:dyDescent="0.25">
      <c r="A31120" t="s">
        <v>10058</v>
      </c>
      <c r="B31120" t="s">
        <v>10059</v>
      </c>
      <c r="C31120" s="1" t="s">
        <v>23490</v>
      </c>
      <c r="D31120" s="1" t="str">
        <f>HYPERLINK("https://rhld.insurance.arkansas.gov/NPILookup?Npi=1376558635","1376558635")</f>
        <v>1376558635</v>
      </c>
      <c r="E31120" t="s">
        <v>10066</v>
      </c>
    </row>
    <row r="31121" spans="1:5" x14ac:dyDescent="0.25">
      <c r="A31121" t="s">
        <v>10058</v>
      </c>
      <c r="B31121" t="s">
        <v>10059</v>
      </c>
      <c r="C31121" s="1" t="s">
        <v>23490</v>
      </c>
      <c r="D31121" s="1" t="str">
        <f>HYPERLINK("https://rhld.insurance.arkansas.gov/NPILookup?Npi=1376559765","1376559765")</f>
        <v>1376559765</v>
      </c>
      <c r="E31121" t="s">
        <v>10066</v>
      </c>
    </row>
    <row r="31122" spans="1:5" x14ac:dyDescent="0.25">
      <c r="A31122" t="s">
        <v>10058</v>
      </c>
      <c r="B31122" t="s">
        <v>10059</v>
      </c>
      <c r="C31122" s="1" t="s">
        <v>23490</v>
      </c>
      <c r="D31122" s="1" t="str">
        <f>HYPERLINK("https://rhld.insurance.arkansas.gov/NPILookup?Npi=1376561852","1376561852")</f>
        <v>1376561852</v>
      </c>
      <c r="E31122" t="s">
        <v>10060</v>
      </c>
    </row>
    <row r="31123" spans="1:5" x14ac:dyDescent="0.25">
      <c r="A31123" t="s">
        <v>10058</v>
      </c>
      <c r="B31123" t="s">
        <v>10059</v>
      </c>
      <c r="C31123" s="1" t="s">
        <v>23490</v>
      </c>
      <c r="D31123" s="1" t="str">
        <f>HYPERLINK("https://rhld.insurance.arkansas.gov/NPILookup?Npi=1376562355","1376562355")</f>
        <v>1376562355</v>
      </c>
      <c r="E31123" t="s">
        <v>13312</v>
      </c>
    </row>
    <row r="31124" spans="1:5" x14ac:dyDescent="0.25">
      <c r="A31124" t="s">
        <v>10058</v>
      </c>
      <c r="B31124" t="s">
        <v>10059</v>
      </c>
      <c r="C31124" s="1" t="s">
        <v>23490</v>
      </c>
      <c r="D31124" s="1" t="str">
        <f>HYPERLINK("https://rhld.insurance.arkansas.gov/NPILookup?Npi=1376577155","1376577155")</f>
        <v>1376577155</v>
      </c>
      <c r="E31124" t="s">
        <v>10067</v>
      </c>
    </row>
    <row r="31125" spans="1:5" x14ac:dyDescent="0.25">
      <c r="A31125" t="s">
        <v>10058</v>
      </c>
      <c r="B31125" t="s">
        <v>10059</v>
      </c>
      <c r="C31125" s="1" t="s">
        <v>23490</v>
      </c>
      <c r="D31125" s="1" t="str">
        <f>HYPERLINK("https://rhld.insurance.arkansas.gov/NPILookup?Npi=1376615971","1376615971")</f>
        <v>1376615971</v>
      </c>
      <c r="E31125" t="s">
        <v>10262</v>
      </c>
    </row>
    <row r="31126" spans="1:5" x14ac:dyDescent="0.25">
      <c r="A31126" t="s">
        <v>10058</v>
      </c>
      <c r="B31126" t="s">
        <v>10059</v>
      </c>
      <c r="C31126" s="1" t="s">
        <v>23490</v>
      </c>
      <c r="D31126" s="1" t="str">
        <f>HYPERLINK("https://rhld.insurance.arkansas.gov/NPILookup?Npi=1376640854","1376640854")</f>
        <v>1376640854</v>
      </c>
      <c r="E31126" t="s">
        <v>10086</v>
      </c>
    </row>
    <row r="31127" spans="1:5" x14ac:dyDescent="0.25">
      <c r="A31127" t="s">
        <v>10058</v>
      </c>
      <c r="B31127" t="s">
        <v>10059</v>
      </c>
      <c r="C31127" s="1" t="s">
        <v>23490</v>
      </c>
      <c r="D31127" s="1" t="str">
        <f>HYPERLINK("https://rhld.insurance.arkansas.gov/NPILookup?Npi=1376646752","1376646752")</f>
        <v>1376646752</v>
      </c>
      <c r="E31127" t="s">
        <v>10263</v>
      </c>
    </row>
    <row r="31128" spans="1:5" x14ac:dyDescent="0.25">
      <c r="A31128" t="s">
        <v>10058</v>
      </c>
      <c r="B31128" t="s">
        <v>10059</v>
      </c>
      <c r="C31128" s="1" t="s">
        <v>23490</v>
      </c>
      <c r="D31128" s="1" t="str">
        <f>HYPERLINK("https://rhld.insurance.arkansas.gov/NPILookup?Npi=1376845412","1376845412")</f>
        <v>1376845412</v>
      </c>
      <c r="E31128" t="s">
        <v>10264</v>
      </c>
    </row>
    <row r="31129" spans="1:5" x14ac:dyDescent="0.25">
      <c r="A31129" t="s">
        <v>10058</v>
      </c>
      <c r="B31129" t="s">
        <v>10059</v>
      </c>
      <c r="C31129" s="1" t="s">
        <v>23490</v>
      </c>
      <c r="D31129" s="1" t="str">
        <f>HYPERLINK("https://rhld.insurance.arkansas.gov/NPILookup?Npi=1376887356","1376887356")</f>
        <v>1376887356</v>
      </c>
      <c r="E31129" t="s">
        <v>10066</v>
      </c>
    </row>
    <row r="31130" spans="1:5" x14ac:dyDescent="0.25">
      <c r="A31130" t="s">
        <v>10058</v>
      </c>
      <c r="B31130" t="s">
        <v>10059</v>
      </c>
      <c r="C31130" s="1" t="s">
        <v>23490</v>
      </c>
      <c r="D31130" s="1" t="str">
        <f>HYPERLINK("https://rhld.insurance.arkansas.gov/NPILookup?Npi=1386067007","1386067007")</f>
        <v>1386067007</v>
      </c>
      <c r="E31130" t="s">
        <v>12733</v>
      </c>
    </row>
    <row r="31131" spans="1:5" x14ac:dyDescent="0.25">
      <c r="A31131" t="s">
        <v>10058</v>
      </c>
      <c r="B31131" t="s">
        <v>10059</v>
      </c>
      <c r="C31131" s="1" t="s">
        <v>23490</v>
      </c>
      <c r="D31131" s="1" t="str">
        <f>HYPERLINK("https://rhld.insurance.arkansas.gov/NPILookup?Npi=1386102796","1386102796")</f>
        <v>1386102796</v>
      </c>
      <c r="E31131" t="s">
        <v>17348</v>
      </c>
    </row>
    <row r="31132" spans="1:5" x14ac:dyDescent="0.25">
      <c r="A31132" t="s">
        <v>10058</v>
      </c>
      <c r="B31132" t="s">
        <v>10059</v>
      </c>
      <c r="C31132" s="1" t="s">
        <v>23490</v>
      </c>
      <c r="D31132" s="1" t="str">
        <f>HYPERLINK("https://rhld.insurance.arkansas.gov/NPILookup?Npi=1386182640","1386182640")</f>
        <v>1386182640</v>
      </c>
      <c r="E31132" t="s">
        <v>14653</v>
      </c>
    </row>
    <row r="31133" spans="1:5" x14ac:dyDescent="0.25">
      <c r="A31133" t="s">
        <v>10058</v>
      </c>
      <c r="B31133" t="s">
        <v>10059</v>
      </c>
      <c r="C31133" s="1" t="s">
        <v>23490</v>
      </c>
      <c r="D31133" s="1" t="str">
        <f>HYPERLINK("https://rhld.insurance.arkansas.gov/NPILookup?Npi=1386293041","1386293041")</f>
        <v>1386293041</v>
      </c>
      <c r="E31133" t="s">
        <v>17812</v>
      </c>
    </row>
    <row r="31134" spans="1:5" x14ac:dyDescent="0.25">
      <c r="A31134" t="s">
        <v>10058</v>
      </c>
      <c r="B31134" t="s">
        <v>10059</v>
      </c>
      <c r="C31134" s="1" t="s">
        <v>23490</v>
      </c>
      <c r="D31134" s="1" t="str">
        <f>HYPERLINK("https://rhld.insurance.arkansas.gov/NPILookup?Npi=1386602050","1386602050")</f>
        <v>1386602050</v>
      </c>
      <c r="E31134" t="s">
        <v>22834</v>
      </c>
    </row>
    <row r="31135" spans="1:5" x14ac:dyDescent="0.25">
      <c r="A31135" t="s">
        <v>10058</v>
      </c>
      <c r="B31135" t="s">
        <v>10059</v>
      </c>
      <c r="C31135" s="1" t="s">
        <v>23490</v>
      </c>
      <c r="D31135" s="1" t="str">
        <f>HYPERLINK("https://rhld.insurance.arkansas.gov/NPILookup?Npi=1386651388","1386651388")</f>
        <v>1386651388</v>
      </c>
      <c r="E31135" t="s">
        <v>10066</v>
      </c>
    </row>
    <row r="31136" spans="1:5" x14ac:dyDescent="0.25">
      <c r="A31136" t="s">
        <v>10058</v>
      </c>
      <c r="B31136" t="s">
        <v>10059</v>
      </c>
      <c r="C31136" s="1" t="s">
        <v>23490</v>
      </c>
      <c r="D31136" s="1" t="str">
        <f>HYPERLINK("https://rhld.insurance.arkansas.gov/NPILookup?Npi=1386659647","1386659647")</f>
        <v>1386659647</v>
      </c>
      <c r="E31136" t="s">
        <v>10066</v>
      </c>
    </row>
    <row r="31137" spans="1:5" x14ac:dyDescent="0.25">
      <c r="A31137" t="s">
        <v>10058</v>
      </c>
      <c r="B31137" t="s">
        <v>10059</v>
      </c>
      <c r="C31137" s="1" t="s">
        <v>23490</v>
      </c>
      <c r="D31137" s="1" t="str">
        <f>HYPERLINK("https://rhld.insurance.arkansas.gov/NPILookup?Npi=1386669083","1386669083")</f>
        <v>1386669083</v>
      </c>
      <c r="E31137" t="s">
        <v>10067</v>
      </c>
    </row>
    <row r="31138" spans="1:5" x14ac:dyDescent="0.25">
      <c r="A31138" t="s">
        <v>10058</v>
      </c>
      <c r="B31138" t="s">
        <v>10059</v>
      </c>
      <c r="C31138" s="1" t="s">
        <v>23490</v>
      </c>
      <c r="D31138" s="1" t="str">
        <f>HYPERLINK("https://rhld.insurance.arkansas.gov/NPILookup?Npi=1386675304","1386675304")</f>
        <v>1386675304</v>
      </c>
      <c r="E31138" t="s">
        <v>10265</v>
      </c>
    </row>
    <row r="31139" spans="1:5" x14ac:dyDescent="0.25">
      <c r="A31139" t="s">
        <v>10058</v>
      </c>
      <c r="B31139" t="s">
        <v>10059</v>
      </c>
      <c r="C31139" s="1" t="s">
        <v>23490</v>
      </c>
      <c r="D31139" s="1" t="str">
        <f>HYPERLINK("https://rhld.insurance.arkansas.gov/NPILookup?Npi=1386678167","1386678167")</f>
        <v>1386678167</v>
      </c>
      <c r="E31139" t="s">
        <v>10067</v>
      </c>
    </row>
    <row r="31140" spans="1:5" x14ac:dyDescent="0.25">
      <c r="A31140" t="s">
        <v>10058</v>
      </c>
      <c r="B31140" t="s">
        <v>10059</v>
      </c>
      <c r="C31140" s="1" t="s">
        <v>23490</v>
      </c>
      <c r="D31140" s="1" t="str">
        <f>HYPERLINK("https://rhld.insurance.arkansas.gov/NPILookup?Npi=1386706992","1386706992")</f>
        <v>1386706992</v>
      </c>
      <c r="E31140" t="s">
        <v>10266</v>
      </c>
    </row>
    <row r="31141" spans="1:5" x14ac:dyDescent="0.25">
      <c r="A31141" t="s">
        <v>10058</v>
      </c>
      <c r="B31141" t="s">
        <v>10059</v>
      </c>
      <c r="C31141" s="1" t="s">
        <v>23490</v>
      </c>
      <c r="D31141" s="1" t="str">
        <f>HYPERLINK("https://rhld.insurance.arkansas.gov/NPILookup?Npi=1386707107","1386707107")</f>
        <v>1386707107</v>
      </c>
      <c r="E31141" t="s">
        <v>10267</v>
      </c>
    </row>
    <row r="31142" spans="1:5" x14ac:dyDescent="0.25">
      <c r="A31142" t="s">
        <v>10058</v>
      </c>
      <c r="B31142" t="s">
        <v>10059</v>
      </c>
      <c r="C31142" s="1" t="s">
        <v>23490</v>
      </c>
      <c r="D31142" s="1" t="str">
        <f>HYPERLINK("https://rhld.insurance.arkansas.gov/NPILookup?Npi=1386761757","1386761757")</f>
        <v>1386761757</v>
      </c>
      <c r="E31142" t="s">
        <v>10268</v>
      </c>
    </row>
    <row r="31143" spans="1:5" x14ac:dyDescent="0.25">
      <c r="A31143" t="s">
        <v>10058</v>
      </c>
      <c r="B31143" t="s">
        <v>10059</v>
      </c>
      <c r="C31143" s="1" t="s">
        <v>23490</v>
      </c>
      <c r="D31143" s="1" t="str">
        <f>HYPERLINK("https://rhld.insurance.arkansas.gov/NPILookup?Npi=1386768067","1386768067")</f>
        <v>1386768067</v>
      </c>
      <c r="E31143" t="s">
        <v>10269</v>
      </c>
    </row>
    <row r="31144" spans="1:5" x14ac:dyDescent="0.25">
      <c r="A31144" t="s">
        <v>10058</v>
      </c>
      <c r="B31144" t="s">
        <v>10059</v>
      </c>
      <c r="C31144" s="1" t="s">
        <v>23490</v>
      </c>
      <c r="D31144" s="1" t="str">
        <f>HYPERLINK("https://rhld.insurance.arkansas.gov/NPILookup?Npi=1396052346","1396052346")</f>
        <v>1396052346</v>
      </c>
      <c r="E31144" t="s">
        <v>17811</v>
      </c>
    </row>
    <row r="31145" spans="1:5" x14ac:dyDescent="0.25">
      <c r="A31145" t="s">
        <v>10058</v>
      </c>
      <c r="B31145" t="s">
        <v>10059</v>
      </c>
      <c r="C31145" s="1" t="s">
        <v>23490</v>
      </c>
      <c r="D31145" s="1" t="str">
        <f>HYPERLINK("https://rhld.insurance.arkansas.gov/NPILookup?Npi=1396117735","1396117735")</f>
        <v>1396117735</v>
      </c>
      <c r="E31145" t="s">
        <v>10060</v>
      </c>
    </row>
    <row r="31146" spans="1:5" x14ac:dyDescent="0.25">
      <c r="A31146" t="s">
        <v>10058</v>
      </c>
      <c r="B31146" t="s">
        <v>10059</v>
      </c>
      <c r="C31146" s="1" t="s">
        <v>23490</v>
      </c>
      <c r="D31146" s="1" t="str">
        <f>HYPERLINK("https://rhld.insurance.arkansas.gov/NPILookup?Npi=1396143103","1396143103")</f>
        <v>1396143103</v>
      </c>
      <c r="E31146" t="s">
        <v>10270</v>
      </c>
    </row>
    <row r="31147" spans="1:5" x14ac:dyDescent="0.25">
      <c r="A31147" t="s">
        <v>10058</v>
      </c>
      <c r="B31147" t="s">
        <v>10059</v>
      </c>
      <c r="C31147" s="1" t="s">
        <v>23490</v>
      </c>
      <c r="D31147" s="1" t="str">
        <f>HYPERLINK("https://rhld.insurance.arkansas.gov/NPILookup?Npi=1396144341","1396144341")</f>
        <v>1396144341</v>
      </c>
      <c r="E31147" t="s">
        <v>10271</v>
      </c>
    </row>
    <row r="31148" spans="1:5" x14ac:dyDescent="0.25">
      <c r="A31148" t="s">
        <v>10058</v>
      </c>
      <c r="B31148" t="s">
        <v>10059</v>
      </c>
      <c r="C31148" s="1" t="s">
        <v>23490</v>
      </c>
      <c r="D31148" s="1" t="str">
        <f>HYPERLINK("https://rhld.insurance.arkansas.gov/NPILookup?Npi=1396151403","1396151403")</f>
        <v>1396151403</v>
      </c>
      <c r="E31148" t="s">
        <v>10063</v>
      </c>
    </row>
    <row r="31149" spans="1:5" x14ac:dyDescent="0.25">
      <c r="A31149" t="s">
        <v>10058</v>
      </c>
      <c r="B31149" t="s">
        <v>10059</v>
      </c>
      <c r="C31149" s="1" t="s">
        <v>23490</v>
      </c>
      <c r="D31149" s="1" t="str">
        <f>HYPERLINK("https://rhld.insurance.arkansas.gov/NPILookup?Npi=1396189767","1396189767")</f>
        <v>1396189767</v>
      </c>
      <c r="E31149" t="s">
        <v>10272</v>
      </c>
    </row>
    <row r="31150" spans="1:5" x14ac:dyDescent="0.25">
      <c r="A31150" t="s">
        <v>10058</v>
      </c>
      <c r="B31150" t="s">
        <v>10059</v>
      </c>
      <c r="C31150" s="1" t="s">
        <v>23490</v>
      </c>
      <c r="D31150" s="1" t="str">
        <f>HYPERLINK("https://rhld.insurance.arkansas.gov/NPILookup?Npi=1396218483","1396218483")</f>
        <v>1396218483</v>
      </c>
      <c r="E31150" t="s">
        <v>16823</v>
      </c>
    </row>
    <row r="31151" spans="1:5" x14ac:dyDescent="0.25">
      <c r="A31151" t="s">
        <v>10058</v>
      </c>
      <c r="B31151" t="s">
        <v>10059</v>
      </c>
      <c r="C31151" s="1" t="s">
        <v>23490</v>
      </c>
      <c r="D31151" s="1" t="str">
        <f>HYPERLINK("https://rhld.insurance.arkansas.gov/NPILookup?Npi=1396219309","1396219309")</f>
        <v>1396219309</v>
      </c>
      <c r="E31151" t="s">
        <v>10516</v>
      </c>
    </row>
    <row r="31152" spans="1:5" x14ac:dyDescent="0.25">
      <c r="A31152" t="s">
        <v>10058</v>
      </c>
      <c r="B31152" t="s">
        <v>10059</v>
      </c>
      <c r="C31152" s="1" t="s">
        <v>23490</v>
      </c>
      <c r="D31152" s="1" t="str">
        <f>HYPERLINK("https://rhld.insurance.arkansas.gov/NPILookup?Npi=1396280962","1396280962")</f>
        <v>1396280962</v>
      </c>
      <c r="E31152" t="s">
        <v>22809</v>
      </c>
    </row>
    <row r="31153" spans="1:5" x14ac:dyDescent="0.25">
      <c r="A31153" t="s">
        <v>10058</v>
      </c>
      <c r="B31153" t="s">
        <v>10059</v>
      </c>
      <c r="C31153" s="1" t="s">
        <v>23490</v>
      </c>
      <c r="D31153" s="1" t="str">
        <f>HYPERLINK("https://rhld.insurance.arkansas.gov/NPILookup?Npi=1396288338","1396288338")</f>
        <v>1396288338</v>
      </c>
      <c r="E31153" t="s">
        <v>22835</v>
      </c>
    </row>
    <row r="31154" spans="1:5" x14ac:dyDescent="0.25">
      <c r="A31154" t="s">
        <v>10058</v>
      </c>
      <c r="B31154" t="s">
        <v>10059</v>
      </c>
      <c r="C31154" s="1" t="s">
        <v>23490</v>
      </c>
      <c r="D31154" s="1" t="str">
        <f>HYPERLINK("https://rhld.insurance.arkansas.gov/NPILookup?Npi=1396750998","1396750998")</f>
        <v>1396750998</v>
      </c>
      <c r="E31154" t="s">
        <v>10273</v>
      </c>
    </row>
    <row r="31155" spans="1:5" x14ac:dyDescent="0.25">
      <c r="A31155" t="s">
        <v>10058</v>
      </c>
      <c r="B31155" t="s">
        <v>10059</v>
      </c>
      <c r="C31155" s="1" t="s">
        <v>23490</v>
      </c>
      <c r="D31155" s="1" t="str">
        <f>HYPERLINK("https://rhld.insurance.arkansas.gov/NPILookup?Npi=1396762829","1396762829")</f>
        <v>1396762829</v>
      </c>
      <c r="E31155" t="s">
        <v>10060</v>
      </c>
    </row>
    <row r="31156" spans="1:5" x14ac:dyDescent="0.25">
      <c r="A31156" t="s">
        <v>10058</v>
      </c>
      <c r="B31156" t="s">
        <v>10059</v>
      </c>
      <c r="C31156" s="1" t="s">
        <v>23490</v>
      </c>
      <c r="D31156" s="1" t="str">
        <f>HYPERLINK("https://rhld.insurance.arkansas.gov/NPILookup?Npi=1396811055","1396811055")</f>
        <v>1396811055</v>
      </c>
      <c r="E31156" t="s">
        <v>10274</v>
      </c>
    </row>
    <row r="31157" spans="1:5" x14ac:dyDescent="0.25">
      <c r="A31157" t="s">
        <v>10058</v>
      </c>
      <c r="B31157" t="s">
        <v>10059</v>
      </c>
      <c r="C31157" s="1" t="s">
        <v>23490</v>
      </c>
      <c r="D31157" s="1" t="str">
        <f>HYPERLINK("https://rhld.insurance.arkansas.gov/NPILookup?Npi=1396818621","1396818621")</f>
        <v>1396818621</v>
      </c>
      <c r="E31157" t="s">
        <v>10087</v>
      </c>
    </row>
    <row r="31158" spans="1:5" x14ac:dyDescent="0.25">
      <c r="A31158" t="s">
        <v>10058</v>
      </c>
      <c r="B31158" t="s">
        <v>10059</v>
      </c>
      <c r="C31158" s="1" t="s">
        <v>23490</v>
      </c>
      <c r="D31158" s="1" t="str">
        <f>HYPERLINK("https://rhld.insurance.arkansas.gov/NPILookup?Npi=1396832101","1396832101")</f>
        <v>1396832101</v>
      </c>
      <c r="E31158" t="s">
        <v>12734</v>
      </c>
    </row>
    <row r="31159" spans="1:5" x14ac:dyDescent="0.25">
      <c r="A31159" t="s">
        <v>10058</v>
      </c>
      <c r="B31159" t="s">
        <v>10059</v>
      </c>
      <c r="C31159" s="1" t="s">
        <v>23490</v>
      </c>
      <c r="D31159" s="1" t="str">
        <f>HYPERLINK("https://rhld.insurance.arkansas.gov/NPILookup?Npi=1396866687","1396866687")</f>
        <v>1396866687</v>
      </c>
      <c r="E31159" t="s">
        <v>10066</v>
      </c>
    </row>
    <row r="31160" spans="1:5" x14ac:dyDescent="0.25">
      <c r="A31160" t="s">
        <v>10058</v>
      </c>
      <c r="B31160" t="s">
        <v>10059</v>
      </c>
      <c r="C31160" s="1" t="s">
        <v>23490</v>
      </c>
      <c r="D31160" s="1" t="str">
        <f>HYPERLINK("https://rhld.insurance.arkansas.gov/NPILookup?Npi=1396878468","1396878468")</f>
        <v>1396878468</v>
      </c>
      <c r="E31160" t="s">
        <v>10066</v>
      </c>
    </row>
    <row r="31161" spans="1:5" x14ac:dyDescent="0.25">
      <c r="A31161" t="s">
        <v>10058</v>
      </c>
      <c r="B31161" t="s">
        <v>10059</v>
      </c>
      <c r="C31161" s="1" t="s">
        <v>23490</v>
      </c>
      <c r="D31161" s="1" t="str">
        <f>HYPERLINK("https://rhld.insurance.arkansas.gov/NPILookup?Npi=1396932026","1396932026")</f>
        <v>1396932026</v>
      </c>
      <c r="E31161" t="s">
        <v>10066</v>
      </c>
    </row>
    <row r="31162" spans="1:5" x14ac:dyDescent="0.25">
      <c r="A31162" t="s">
        <v>10058</v>
      </c>
      <c r="B31162" t="s">
        <v>10059</v>
      </c>
      <c r="C31162" s="1" t="s">
        <v>23490</v>
      </c>
      <c r="D31162" s="1" t="str">
        <f>HYPERLINK("https://rhld.insurance.arkansas.gov/NPILookup?Npi=1396984498","1396984498")</f>
        <v>1396984498</v>
      </c>
      <c r="E31162" t="s">
        <v>10275</v>
      </c>
    </row>
    <row r="31163" spans="1:5" x14ac:dyDescent="0.25">
      <c r="A31163" t="s">
        <v>10058</v>
      </c>
      <c r="B31163" t="s">
        <v>10059</v>
      </c>
      <c r="C31163" s="1" t="s">
        <v>23490</v>
      </c>
      <c r="D31163" s="1" t="str">
        <f>HYPERLINK("https://rhld.insurance.arkansas.gov/NPILookup?Npi=1407025935","1407025935")</f>
        <v>1407025935</v>
      </c>
      <c r="E31163" t="s">
        <v>22836</v>
      </c>
    </row>
    <row r="31164" spans="1:5" x14ac:dyDescent="0.25">
      <c r="A31164" t="s">
        <v>10058</v>
      </c>
      <c r="B31164" t="s">
        <v>10059</v>
      </c>
      <c r="C31164" s="1" t="s">
        <v>23490</v>
      </c>
      <c r="D31164" s="1" t="str">
        <f>HYPERLINK("https://rhld.insurance.arkansas.gov/NPILookup?Npi=1407037450","1407037450")</f>
        <v>1407037450</v>
      </c>
      <c r="E31164" t="s">
        <v>10276</v>
      </c>
    </row>
    <row r="31165" spans="1:5" x14ac:dyDescent="0.25">
      <c r="A31165" t="s">
        <v>10058</v>
      </c>
      <c r="B31165" t="s">
        <v>10059</v>
      </c>
      <c r="C31165" s="1" t="s">
        <v>23490</v>
      </c>
      <c r="D31165" s="1" t="str">
        <f>HYPERLINK("https://rhld.insurance.arkansas.gov/NPILookup?Npi=1407044621","1407044621")</f>
        <v>1407044621</v>
      </c>
      <c r="E31165" t="s">
        <v>10277</v>
      </c>
    </row>
    <row r="31166" spans="1:5" x14ac:dyDescent="0.25">
      <c r="A31166" t="s">
        <v>10058</v>
      </c>
      <c r="B31166" t="s">
        <v>10059</v>
      </c>
      <c r="C31166" s="1" t="s">
        <v>23490</v>
      </c>
      <c r="D31166" s="1" t="str">
        <f>HYPERLINK("https://rhld.insurance.arkansas.gov/NPILookup?Npi=1407106578","1407106578")</f>
        <v>1407106578</v>
      </c>
      <c r="E31166" t="s">
        <v>10278</v>
      </c>
    </row>
    <row r="31167" spans="1:5" x14ac:dyDescent="0.25">
      <c r="A31167" t="s">
        <v>10058</v>
      </c>
      <c r="B31167" t="s">
        <v>10059</v>
      </c>
      <c r="C31167" s="1" t="s">
        <v>23490</v>
      </c>
      <c r="D31167" s="1" t="str">
        <f>HYPERLINK("https://rhld.insurance.arkansas.gov/NPILookup?Npi=1407157167","1407157167")</f>
        <v>1407157167</v>
      </c>
      <c r="E31167" t="s">
        <v>10279</v>
      </c>
    </row>
    <row r="31168" spans="1:5" x14ac:dyDescent="0.25">
      <c r="A31168" t="s">
        <v>10058</v>
      </c>
      <c r="B31168" t="s">
        <v>10059</v>
      </c>
      <c r="C31168" s="1" t="s">
        <v>23490</v>
      </c>
      <c r="D31168" s="1" t="str">
        <f>HYPERLINK("https://rhld.insurance.arkansas.gov/NPILookup?Npi=1407356678","1407356678")</f>
        <v>1407356678</v>
      </c>
      <c r="E31168" t="s">
        <v>14674</v>
      </c>
    </row>
    <row r="31169" spans="1:5" x14ac:dyDescent="0.25">
      <c r="A31169" t="s">
        <v>10058</v>
      </c>
      <c r="B31169" t="s">
        <v>10059</v>
      </c>
      <c r="C31169" s="1" t="s">
        <v>23490</v>
      </c>
      <c r="D31169" s="1" t="str">
        <f>HYPERLINK("https://rhld.insurance.arkansas.gov/NPILookup?Npi=1407358484","1407358484")</f>
        <v>1407358484</v>
      </c>
      <c r="E31169" t="s">
        <v>10232</v>
      </c>
    </row>
    <row r="31170" spans="1:5" x14ac:dyDescent="0.25">
      <c r="A31170" t="s">
        <v>10058</v>
      </c>
      <c r="B31170" t="s">
        <v>10059</v>
      </c>
      <c r="C31170" s="1" t="s">
        <v>23490</v>
      </c>
      <c r="D31170" s="1" t="str">
        <f>HYPERLINK("https://rhld.insurance.arkansas.gov/NPILookup?Npi=1407492184","1407492184")</f>
        <v>1407492184</v>
      </c>
      <c r="E31170" t="s">
        <v>19281</v>
      </c>
    </row>
    <row r="31171" spans="1:5" x14ac:dyDescent="0.25">
      <c r="A31171" t="s">
        <v>10058</v>
      </c>
      <c r="B31171" t="s">
        <v>10059</v>
      </c>
      <c r="C31171" s="1" t="s">
        <v>23490</v>
      </c>
      <c r="D31171" s="1" t="str">
        <f>HYPERLINK("https://rhld.insurance.arkansas.gov/NPILookup?Npi=1407508765","1407508765")</f>
        <v>1407508765</v>
      </c>
      <c r="E31171" t="s">
        <v>22837</v>
      </c>
    </row>
    <row r="31172" spans="1:5" x14ac:dyDescent="0.25">
      <c r="A31172" t="s">
        <v>10058</v>
      </c>
      <c r="B31172" t="s">
        <v>10059</v>
      </c>
      <c r="C31172" s="1" t="s">
        <v>23490</v>
      </c>
      <c r="D31172" s="1" t="str">
        <f>HYPERLINK("https://rhld.insurance.arkansas.gov/NPILookup?Npi=1407844855","1407844855")</f>
        <v>1407844855</v>
      </c>
      <c r="E31172" t="s">
        <v>14654</v>
      </c>
    </row>
    <row r="31173" spans="1:5" x14ac:dyDescent="0.25">
      <c r="A31173" t="s">
        <v>10058</v>
      </c>
      <c r="B31173" t="s">
        <v>10059</v>
      </c>
      <c r="C31173" s="1" t="s">
        <v>23490</v>
      </c>
      <c r="D31173" s="1" t="str">
        <f>HYPERLINK("https://rhld.insurance.arkansas.gov/NPILookup?Npi=1407873805","1407873805")</f>
        <v>1407873805</v>
      </c>
      <c r="E31173" t="s">
        <v>10088</v>
      </c>
    </row>
    <row r="31174" spans="1:5" x14ac:dyDescent="0.25">
      <c r="A31174" t="s">
        <v>10058</v>
      </c>
      <c r="B31174" t="s">
        <v>10059</v>
      </c>
      <c r="C31174" s="1" t="s">
        <v>23490</v>
      </c>
      <c r="D31174" s="1" t="str">
        <f>HYPERLINK("https://rhld.insurance.arkansas.gov/NPILookup?Npi=1407878283","1407878283")</f>
        <v>1407878283</v>
      </c>
      <c r="E31174" t="s">
        <v>10125</v>
      </c>
    </row>
    <row r="31175" spans="1:5" x14ac:dyDescent="0.25">
      <c r="A31175" t="s">
        <v>10058</v>
      </c>
      <c r="B31175" t="s">
        <v>10059</v>
      </c>
      <c r="C31175" s="1" t="s">
        <v>23490</v>
      </c>
      <c r="D31175" s="1" t="str">
        <f>HYPERLINK("https://rhld.insurance.arkansas.gov/NPILookup?Npi=1407880255","1407880255")</f>
        <v>1407880255</v>
      </c>
      <c r="E31175" t="s">
        <v>10067</v>
      </c>
    </row>
    <row r="31176" spans="1:5" x14ac:dyDescent="0.25">
      <c r="A31176" t="s">
        <v>10058</v>
      </c>
      <c r="B31176" t="s">
        <v>10059</v>
      </c>
      <c r="C31176" s="1" t="s">
        <v>23490</v>
      </c>
      <c r="D31176" s="1" t="str">
        <f>HYPERLINK("https://rhld.insurance.arkansas.gov/NPILookup?Npi=1407881360","1407881360")</f>
        <v>1407881360</v>
      </c>
      <c r="E31176" t="s">
        <v>10280</v>
      </c>
    </row>
    <row r="31177" spans="1:5" x14ac:dyDescent="0.25">
      <c r="A31177" t="s">
        <v>10058</v>
      </c>
      <c r="B31177" t="s">
        <v>10059</v>
      </c>
      <c r="C31177" s="1" t="s">
        <v>23490</v>
      </c>
      <c r="D31177" s="1" t="str">
        <f>HYPERLINK("https://rhld.insurance.arkansas.gov/NPILookup?Npi=1407958598","1407958598")</f>
        <v>1407958598</v>
      </c>
      <c r="E31177" t="s">
        <v>12735</v>
      </c>
    </row>
    <row r="31178" spans="1:5" x14ac:dyDescent="0.25">
      <c r="A31178" t="s">
        <v>10058</v>
      </c>
      <c r="B31178" t="s">
        <v>10059</v>
      </c>
      <c r="C31178" s="1" t="s">
        <v>23490</v>
      </c>
      <c r="D31178" s="1" t="str">
        <f>HYPERLINK("https://rhld.insurance.arkansas.gov/NPILookup?Npi=1417017658","1417017658")</f>
        <v>1417017658</v>
      </c>
      <c r="E31178" t="s">
        <v>10281</v>
      </c>
    </row>
    <row r="31179" spans="1:5" x14ac:dyDescent="0.25">
      <c r="A31179" t="s">
        <v>10058</v>
      </c>
      <c r="B31179" t="s">
        <v>10059</v>
      </c>
      <c r="C31179" s="1" t="s">
        <v>23490</v>
      </c>
      <c r="D31179" s="1" t="str">
        <f>HYPERLINK("https://rhld.insurance.arkansas.gov/NPILookup?Npi=1417039298","1417039298")</f>
        <v>1417039298</v>
      </c>
      <c r="E31179" t="s">
        <v>10282</v>
      </c>
    </row>
    <row r="31180" spans="1:5" x14ac:dyDescent="0.25">
      <c r="A31180" t="s">
        <v>10058</v>
      </c>
      <c r="B31180" t="s">
        <v>10059</v>
      </c>
      <c r="C31180" s="1" t="s">
        <v>23490</v>
      </c>
      <c r="D31180" s="1" t="str">
        <f>HYPERLINK("https://rhld.insurance.arkansas.gov/NPILookup?Npi=1417039884","1417039884")</f>
        <v>1417039884</v>
      </c>
      <c r="E31180" t="s">
        <v>10125</v>
      </c>
    </row>
    <row r="31181" spans="1:5" x14ac:dyDescent="0.25">
      <c r="A31181" t="s">
        <v>10058</v>
      </c>
      <c r="B31181" t="s">
        <v>10059</v>
      </c>
      <c r="C31181" s="1" t="s">
        <v>23490</v>
      </c>
      <c r="D31181" s="1" t="str">
        <f>HYPERLINK("https://rhld.insurance.arkansas.gov/NPILookup?Npi=1417047929","1417047929")</f>
        <v>1417047929</v>
      </c>
      <c r="E31181" t="s">
        <v>10283</v>
      </c>
    </row>
    <row r="31182" spans="1:5" x14ac:dyDescent="0.25">
      <c r="A31182" t="s">
        <v>10058</v>
      </c>
      <c r="B31182" t="s">
        <v>10059</v>
      </c>
      <c r="C31182" s="1" t="s">
        <v>23490</v>
      </c>
      <c r="D31182" s="1" t="str">
        <f>HYPERLINK("https://rhld.insurance.arkansas.gov/NPILookup?Npi=1417057738","1417057738")</f>
        <v>1417057738</v>
      </c>
      <c r="E31182" t="s">
        <v>10078</v>
      </c>
    </row>
    <row r="31183" spans="1:5" x14ac:dyDescent="0.25">
      <c r="A31183" t="s">
        <v>10058</v>
      </c>
      <c r="B31183" t="s">
        <v>10059</v>
      </c>
      <c r="C31183" s="1" t="s">
        <v>23490</v>
      </c>
      <c r="D31183" s="1" t="str">
        <f>HYPERLINK("https://rhld.insurance.arkansas.gov/NPILookup?Npi=1417090820","1417090820")</f>
        <v>1417090820</v>
      </c>
      <c r="E31183" t="s">
        <v>10284</v>
      </c>
    </row>
    <row r="31184" spans="1:5" x14ac:dyDescent="0.25">
      <c r="A31184" t="s">
        <v>10058</v>
      </c>
      <c r="B31184" t="s">
        <v>10059</v>
      </c>
      <c r="C31184" s="1" t="s">
        <v>23490</v>
      </c>
      <c r="D31184" s="1" t="str">
        <f>HYPERLINK("https://rhld.insurance.arkansas.gov/NPILookup?Npi=1417092032","1417092032")</f>
        <v>1417092032</v>
      </c>
      <c r="E31184" t="s">
        <v>10285</v>
      </c>
    </row>
    <row r="31185" spans="1:5" x14ac:dyDescent="0.25">
      <c r="A31185" t="s">
        <v>10058</v>
      </c>
      <c r="B31185" t="s">
        <v>10059</v>
      </c>
      <c r="C31185" s="1" t="s">
        <v>23490</v>
      </c>
      <c r="D31185" s="1" t="str">
        <f>HYPERLINK("https://rhld.insurance.arkansas.gov/NPILookup?Npi=1417183922","1417183922")</f>
        <v>1417183922</v>
      </c>
      <c r="E31185" t="s">
        <v>10119</v>
      </c>
    </row>
    <row r="31186" spans="1:5" x14ac:dyDescent="0.25">
      <c r="A31186" t="s">
        <v>10058</v>
      </c>
      <c r="B31186" t="s">
        <v>10059</v>
      </c>
      <c r="C31186" s="1" t="s">
        <v>23490</v>
      </c>
      <c r="D31186" s="1" t="str">
        <f>HYPERLINK("https://rhld.insurance.arkansas.gov/NPILookup?Npi=1417196742","1417196742")</f>
        <v>1417196742</v>
      </c>
      <c r="E31186" t="s">
        <v>22809</v>
      </c>
    </row>
    <row r="31187" spans="1:5" x14ac:dyDescent="0.25">
      <c r="A31187" t="s">
        <v>10058</v>
      </c>
      <c r="B31187" t="s">
        <v>10059</v>
      </c>
      <c r="C31187" s="1" t="s">
        <v>23490</v>
      </c>
      <c r="D31187" s="1" t="str">
        <f>HYPERLINK("https://rhld.insurance.arkansas.gov/NPILookup?Npi=1417289166","1417289166")</f>
        <v>1417289166</v>
      </c>
      <c r="E31187" t="s">
        <v>10067</v>
      </c>
    </row>
    <row r="31188" spans="1:5" x14ac:dyDescent="0.25">
      <c r="A31188" t="s">
        <v>10058</v>
      </c>
      <c r="B31188" t="s">
        <v>10059</v>
      </c>
      <c r="C31188" s="1" t="s">
        <v>23490</v>
      </c>
      <c r="D31188" s="1" t="str">
        <f>HYPERLINK("https://rhld.insurance.arkansas.gov/NPILookup?Npi=1417374794","1417374794")</f>
        <v>1417374794</v>
      </c>
      <c r="E31188" t="s">
        <v>13312</v>
      </c>
    </row>
    <row r="31189" spans="1:5" x14ac:dyDescent="0.25">
      <c r="A31189" t="s">
        <v>10058</v>
      </c>
      <c r="B31189" t="s">
        <v>10059</v>
      </c>
      <c r="C31189" s="1" t="s">
        <v>23490</v>
      </c>
      <c r="D31189" s="1" t="str">
        <f>HYPERLINK("https://rhld.insurance.arkansas.gov/NPILookup?Npi=1417458829","1417458829")</f>
        <v>1417458829</v>
      </c>
      <c r="E31189" t="s">
        <v>14655</v>
      </c>
    </row>
    <row r="31190" spans="1:5" x14ac:dyDescent="0.25">
      <c r="A31190" t="s">
        <v>10058</v>
      </c>
      <c r="B31190" t="s">
        <v>10059</v>
      </c>
      <c r="C31190" s="1" t="s">
        <v>23490</v>
      </c>
      <c r="D31190" s="1" t="str">
        <f>HYPERLINK("https://rhld.insurance.arkansas.gov/NPILookup?Npi=1417481300","1417481300")</f>
        <v>1417481300</v>
      </c>
      <c r="E31190" t="s">
        <v>17349</v>
      </c>
    </row>
    <row r="31191" spans="1:5" x14ac:dyDescent="0.25">
      <c r="A31191" t="s">
        <v>10058</v>
      </c>
      <c r="B31191" t="s">
        <v>10059</v>
      </c>
      <c r="C31191" s="1" t="s">
        <v>23490</v>
      </c>
      <c r="D31191" s="1" t="str">
        <f>HYPERLINK("https://rhld.insurance.arkansas.gov/NPILookup?Npi=1417544958","1417544958")</f>
        <v>1417544958</v>
      </c>
      <c r="E31191" t="s">
        <v>18623</v>
      </c>
    </row>
    <row r="31192" spans="1:5" x14ac:dyDescent="0.25">
      <c r="A31192" t="s">
        <v>10058</v>
      </c>
      <c r="B31192" t="s">
        <v>10059</v>
      </c>
      <c r="C31192" s="1" t="s">
        <v>23490</v>
      </c>
      <c r="D31192" s="1" t="str">
        <f>HYPERLINK("https://rhld.insurance.arkansas.gov/NPILookup?Npi=1417644931","1417644931")</f>
        <v>1417644931</v>
      </c>
      <c r="E31192" t="s">
        <v>19267</v>
      </c>
    </row>
    <row r="31193" spans="1:5" x14ac:dyDescent="0.25">
      <c r="A31193" t="s">
        <v>10058</v>
      </c>
      <c r="B31193" t="s">
        <v>10059</v>
      </c>
      <c r="C31193" s="1" t="s">
        <v>23490</v>
      </c>
      <c r="D31193" s="1" t="str">
        <f>HYPERLINK("https://rhld.insurance.arkansas.gov/NPILookup?Npi=1417646902","1417646902")</f>
        <v>1417646902</v>
      </c>
      <c r="E31193" t="s">
        <v>12716</v>
      </c>
    </row>
    <row r="31194" spans="1:5" x14ac:dyDescent="0.25">
      <c r="A31194" t="s">
        <v>10058</v>
      </c>
      <c r="B31194" t="s">
        <v>10059</v>
      </c>
      <c r="C31194" s="1" t="s">
        <v>23490</v>
      </c>
      <c r="D31194" s="1" t="str">
        <f>HYPERLINK("https://rhld.insurance.arkansas.gov/NPILookup?Npi=1417974767","1417974767")</f>
        <v>1417974767</v>
      </c>
      <c r="E31194" t="s">
        <v>10060</v>
      </c>
    </row>
    <row r="31195" spans="1:5" x14ac:dyDescent="0.25">
      <c r="A31195" t="s">
        <v>10058</v>
      </c>
      <c r="B31195" t="s">
        <v>10059</v>
      </c>
      <c r="C31195" s="1" t="s">
        <v>23490</v>
      </c>
      <c r="D31195" s="1" t="str">
        <f>HYPERLINK("https://rhld.insurance.arkansas.gov/NPILookup?Npi=1417974809","1417974809")</f>
        <v>1417974809</v>
      </c>
      <c r="E31195" t="s">
        <v>13312</v>
      </c>
    </row>
    <row r="31196" spans="1:5" x14ac:dyDescent="0.25">
      <c r="A31196" t="s">
        <v>10058</v>
      </c>
      <c r="B31196" t="s">
        <v>10059</v>
      </c>
      <c r="C31196" s="1" t="s">
        <v>23490</v>
      </c>
      <c r="D31196" s="1" t="str">
        <f>HYPERLINK("https://rhld.insurance.arkansas.gov/NPILookup?Npi=1417974817","1417974817")</f>
        <v>1417974817</v>
      </c>
      <c r="E31196" t="s">
        <v>13312</v>
      </c>
    </row>
    <row r="31197" spans="1:5" x14ac:dyDescent="0.25">
      <c r="A31197" t="s">
        <v>10058</v>
      </c>
      <c r="B31197" t="s">
        <v>10059</v>
      </c>
      <c r="C31197" s="1" t="s">
        <v>23490</v>
      </c>
      <c r="D31197" s="1" t="str">
        <f>HYPERLINK("https://rhld.insurance.arkansas.gov/NPILookup?Npi=1417981150","1417981150")</f>
        <v>1417981150</v>
      </c>
      <c r="E31197" t="s">
        <v>10067</v>
      </c>
    </row>
    <row r="31198" spans="1:5" x14ac:dyDescent="0.25">
      <c r="A31198" t="s">
        <v>10058</v>
      </c>
      <c r="B31198" t="s">
        <v>10059</v>
      </c>
      <c r="C31198" s="1" t="s">
        <v>23490</v>
      </c>
      <c r="D31198" s="1" t="str">
        <f>HYPERLINK("https://rhld.insurance.arkansas.gov/NPILookup?Npi=1427043413","1427043413")</f>
        <v>1427043413</v>
      </c>
      <c r="E31198" t="s">
        <v>16824</v>
      </c>
    </row>
    <row r="31199" spans="1:5" x14ac:dyDescent="0.25">
      <c r="A31199" t="s">
        <v>10058</v>
      </c>
      <c r="B31199" t="s">
        <v>10059</v>
      </c>
      <c r="C31199" s="1" t="s">
        <v>23490</v>
      </c>
      <c r="D31199" s="1" t="str">
        <f>HYPERLINK("https://rhld.insurance.arkansas.gov/NPILookup?Npi=1427052000","1427052000")</f>
        <v>1427052000</v>
      </c>
      <c r="E31199" t="s">
        <v>12736</v>
      </c>
    </row>
    <row r="31200" spans="1:5" x14ac:dyDescent="0.25">
      <c r="A31200" t="s">
        <v>10058</v>
      </c>
      <c r="B31200" t="s">
        <v>10059</v>
      </c>
      <c r="C31200" s="1" t="s">
        <v>23490</v>
      </c>
      <c r="D31200" s="1" t="str">
        <f>HYPERLINK("https://rhld.insurance.arkansas.gov/NPILookup?Npi=1427058593","1427058593")</f>
        <v>1427058593</v>
      </c>
      <c r="E31200" t="s">
        <v>10065</v>
      </c>
    </row>
    <row r="31201" spans="1:5" x14ac:dyDescent="0.25">
      <c r="A31201" t="s">
        <v>10058</v>
      </c>
      <c r="B31201" t="s">
        <v>10059</v>
      </c>
      <c r="C31201" s="1" t="s">
        <v>23490</v>
      </c>
      <c r="D31201" s="1" t="str">
        <f>HYPERLINK("https://rhld.insurance.arkansas.gov/NPILookup?Npi=1427075803","1427075803")</f>
        <v>1427075803</v>
      </c>
      <c r="E31201" t="s">
        <v>13312</v>
      </c>
    </row>
    <row r="31202" spans="1:5" x14ac:dyDescent="0.25">
      <c r="A31202" t="s">
        <v>10058</v>
      </c>
      <c r="B31202" t="s">
        <v>10059</v>
      </c>
      <c r="C31202" s="1" t="s">
        <v>23490</v>
      </c>
      <c r="D31202" s="1" t="str">
        <f>HYPERLINK("https://rhld.insurance.arkansas.gov/NPILookup?Npi=1427075811","1427075811")</f>
        <v>1427075811</v>
      </c>
      <c r="E31202" t="s">
        <v>13312</v>
      </c>
    </row>
    <row r="31203" spans="1:5" x14ac:dyDescent="0.25">
      <c r="A31203" t="s">
        <v>10058</v>
      </c>
      <c r="B31203" t="s">
        <v>10059</v>
      </c>
      <c r="C31203" s="1" t="s">
        <v>23490</v>
      </c>
      <c r="D31203" s="1" t="str">
        <f>HYPERLINK("https://rhld.insurance.arkansas.gov/NPILookup?Npi=1427075829","1427075829")</f>
        <v>1427075829</v>
      </c>
      <c r="E31203" t="s">
        <v>10060</v>
      </c>
    </row>
    <row r="31204" spans="1:5" x14ac:dyDescent="0.25">
      <c r="A31204" t="s">
        <v>10058</v>
      </c>
      <c r="B31204" t="s">
        <v>10059</v>
      </c>
      <c r="C31204" s="1" t="s">
        <v>23490</v>
      </c>
      <c r="D31204" s="1" t="str">
        <f>HYPERLINK("https://rhld.insurance.arkansas.gov/NPILookup?Npi=1427075837","1427075837")</f>
        <v>1427075837</v>
      </c>
      <c r="E31204" t="s">
        <v>14656</v>
      </c>
    </row>
    <row r="31205" spans="1:5" x14ac:dyDescent="0.25">
      <c r="A31205" t="s">
        <v>10058</v>
      </c>
      <c r="B31205" t="s">
        <v>10059</v>
      </c>
      <c r="C31205" s="1" t="s">
        <v>23490</v>
      </c>
      <c r="D31205" s="1" t="str">
        <f>HYPERLINK("https://rhld.insurance.arkansas.gov/NPILookup?Npi=1427082270","1427082270")</f>
        <v>1427082270</v>
      </c>
      <c r="E31205" t="s">
        <v>10067</v>
      </c>
    </row>
    <row r="31206" spans="1:5" x14ac:dyDescent="0.25">
      <c r="A31206" t="s">
        <v>10058</v>
      </c>
      <c r="B31206" t="s">
        <v>10059</v>
      </c>
      <c r="C31206" s="1" t="s">
        <v>23490</v>
      </c>
      <c r="D31206" s="1" t="str">
        <f>HYPERLINK("https://rhld.insurance.arkansas.gov/NPILookup?Npi=1427170901","1427170901")</f>
        <v>1427170901</v>
      </c>
      <c r="E31206" t="s">
        <v>13279</v>
      </c>
    </row>
    <row r="31207" spans="1:5" x14ac:dyDescent="0.25">
      <c r="A31207" t="s">
        <v>10058</v>
      </c>
      <c r="B31207" t="s">
        <v>10059</v>
      </c>
      <c r="C31207" s="1" t="s">
        <v>23490</v>
      </c>
      <c r="D31207" s="1" t="str">
        <f>HYPERLINK("https://rhld.insurance.arkansas.gov/NPILookup?Npi=1427181080","1427181080")</f>
        <v>1427181080</v>
      </c>
      <c r="E31207" t="s">
        <v>10286</v>
      </c>
    </row>
    <row r="31208" spans="1:5" x14ac:dyDescent="0.25">
      <c r="A31208" t="s">
        <v>10058</v>
      </c>
      <c r="B31208" t="s">
        <v>10059</v>
      </c>
      <c r="C31208" s="1" t="s">
        <v>23490</v>
      </c>
      <c r="D31208" s="1" t="str">
        <f>HYPERLINK("https://rhld.insurance.arkansas.gov/NPILookup?Npi=1427191154","1427191154")</f>
        <v>1427191154</v>
      </c>
      <c r="E31208" t="s">
        <v>10287</v>
      </c>
    </row>
    <row r="31209" spans="1:5" x14ac:dyDescent="0.25">
      <c r="A31209" t="s">
        <v>10058</v>
      </c>
      <c r="B31209" t="s">
        <v>10059</v>
      </c>
      <c r="C31209" s="1" t="s">
        <v>23490</v>
      </c>
      <c r="D31209" s="1" t="str">
        <f>HYPERLINK("https://rhld.insurance.arkansas.gov/NPILookup?Npi=1427305572","1427305572")</f>
        <v>1427305572</v>
      </c>
      <c r="E31209" t="s">
        <v>10078</v>
      </c>
    </row>
    <row r="31210" spans="1:5" x14ac:dyDescent="0.25">
      <c r="A31210" t="s">
        <v>10058</v>
      </c>
      <c r="B31210" t="s">
        <v>10059</v>
      </c>
      <c r="C31210" s="1" t="s">
        <v>23490</v>
      </c>
      <c r="D31210" s="1" t="str">
        <f>HYPERLINK("https://rhld.insurance.arkansas.gov/NPILookup?Npi=1427432558","1427432558")</f>
        <v>1427432558</v>
      </c>
      <c r="E31210" t="s">
        <v>10084</v>
      </c>
    </row>
    <row r="31211" spans="1:5" x14ac:dyDescent="0.25">
      <c r="A31211" t="s">
        <v>10058</v>
      </c>
      <c r="B31211" t="s">
        <v>10059</v>
      </c>
      <c r="C31211" s="1" t="s">
        <v>23490</v>
      </c>
      <c r="D31211" s="1" t="str">
        <f>HYPERLINK("https://rhld.insurance.arkansas.gov/NPILookup?Npi=1427452168","1427452168")</f>
        <v>1427452168</v>
      </c>
      <c r="E31211" t="s">
        <v>16825</v>
      </c>
    </row>
    <row r="31212" spans="1:5" x14ac:dyDescent="0.25">
      <c r="A31212" t="s">
        <v>10058</v>
      </c>
      <c r="B31212" t="s">
        <v>10059</v>
      </c>
      <c r="C31212" s="1" t="s">
        <v>23490</v>
      </c>
      <c r="D31212" s="1" t="str">
        <f>HYPERLINK("https://rhld.insurance.arkansas.gov/NPILookup?Npi=1427473925","1427473925")</f>
        <v>1427473925</v>
      </c>
      <c r="E31212" t="s">
        <v>18617</v>
      </c>
    </row>
    <row r="31213" spans="1:5" x14ac:dyDescent="0.25">
      <c r="A31213" t="s">
        <v>10058</v>
      </c>
      <c r="B31213" t="s">
        <v>10059</v>
      </c>
      <c r="C31213" s="1" t="s">
        <v>23490</v>
      </c>
      <c r="D31213" s="1" t="str">
        <f>HYPERLINK("https://rhld.insurance.arkansas.gov/NPILookup?Npi=1427493659","1427493659")</f>
        <v>1427493659</v>
      </c>
      <c r="E31213" t="s">
        <v>10288</v>
      </c>
    </row>
    <row r="31214" spans="1:5" x14ac:dyDescent="0.25">
      <c r="A31214" t="s">
        <v>10058</v>
      </c>
      <c r="B31214" t="s">
        <v>10059</v>
      </c>
      <c r="C31214" s="1" t="s">
        <v>23490</v>
      </c>
      <c r="D31214" s="1" t="str">
        <f>HYPERLINK("https://rhld.insurance.arkansas.gov/NPILookup?Npi=1427654623","1427654623")</f>
        <v>1427654623</v>
      </c>
      <c r="E31214" t="s">
        <v>22838</v>
      </c>
    </row>
    <row r="31215" spans="1:5" x14ac:dyDescent="0.25">
      <c r="A31215" t="s">
        <v>10058</v>
      </c>
      <c r="B31215" t="s">
        <v>10059</v>
      </c>
      <c r="C31215" s="1" t="s">
        <v>23490</v>
      </c>
      <c r="D31215" s="1" t="str">
        <f>HYPERLINK("https://rhld.insurance.arkansas.gov/NPILookup?Npi=1437163466","1437163466")</f>
        <v>1437163466</v>
      </c>
      <c r="E31215" t="s">
        <v>16826</v>
      </c>
    </row>
    <row r="31216" spans="1:5" x14ac:dyDescent="0.25">
      <c r="A31216" t="s">
        <v>10058</v>
      </c>
      <c r="B31216" t="s">
        <v>10059</v>
      </c>
      <c r="C31216" s="1" t="s">
        <v>23490</v>
      </c>
      <c r="D31216" s="1" t="str">
        <f>HYPERLINK("https://rhld.insurance.arkansas.gov/NPILookup?Npi=1437164530","1437164530")</f>
        <v>1437164530</v>
      </c>
      <c r="E31216" t="s">
        <v>10066</v>
      </c>
    </row>
    <row r="31217" spans="1:5" x14ac:dyDescent="0.25">
      <c r="A31217" t="s">
        <v>10058</v>
      </c>
      <c r="B31217" t="s">
        <v>10059</v>
      </c>
      <c r="C31217" s="1" t="s">
        <v>23490</v>
      </c>
      <c r="D31217" s="1" t="str">
        <f>HYPERLINK("https://rhld.insurance.arkansas.gov/NPILookup?Npi=1437176773","1437176773")</f>
        <v>1437176773</v>
      </c>
      <c r="E31217" t="s">
        <v>10060</v>
      </c>
    </row>
    <row r="31218" spans="1:5" x14ac:dyDescent="0.25">
      <c r="A31218" t="s">
        <v>10058</v>
      </c>
      <c r="B31218" t="s">
        <v>10059</v>
      </c>
      <c r="C31218" s="1" t="s">
        <v>23490</v>
      </c>
      <c r="D31218" s="1" t="str">
        <f>HYPERLINK("https://rhld.insurance.arkansas.gov/NPILookup?Npi=1437176815","1437176815")</f>
        <v>1437176815</v>
      </c>
      <c r="E31218" t="s">
        <v>13312</v>
      </c>
    </row>
    <row r="31219" spans="1:5" x14ac:dyDescent="0.25">
      <c r="A31219" t="s">
        <v>10058</v>
      </c>
      <c r="B31219" t="s">
        <v>10059</v>
      </c>
      <c r="C31219" s="1" t="s">
        <v>23490</v>
      </c>
      <c r="D31219" s="1" t="str">
        <f>HYPERLINK("https://rhld.insurance.arkansas.gov/NPILookup?Npi=1437216694","1437216694")</f>
        <v>1437216694</v>
      </c>
      <c r="E31219" t="s">
        <v>13317</v>
      </c>
    </row>
    <row r="31220" spans="1:5" x14ac:dyDescent="0.25">
      <c r="A31220" t="s">
        <v>10058</v>
      </c>
      <c r="B31220" t="s">
        <v>10059</v>
      </c>
      <c r="C31220" s="1" t="s">
        <v>23490</v>
      </c>
      <c r="D31220" s="1" t="str">
        <f>HYPERLINK("https://rhld.insurance.arkansas.gov/NPILookup?Npi=1437228756","1437228756")</f>
        <v>1437228756</v>
      </c>
      <c r="E31220" t="s">
        <v>10289</v>
      </c>
    </row>
    <row r="31221" spans="1:5" x14ac:dyDescent="0.25">
      <c r="A31221" t="s">
        <v>10058</v>
      </c>
      <c r="B31221" t="s">
        <v>10059</v>
      </c>
      <c r="C31221" s="1" t="s">
        <v>23490</v>
      </c>
      <c r="D31221" s="1" t="str">
        <f>HYPERLINK("https://rhld.insurance.arkansas.gov/NPILookup?Npi=1437246709","1437246709")</f>
        <v>1437246709</v>
      </c>
      <c r="E31221" t="s">
        <v>10290</v>
      </c>
    </row>
    <row r="31222" spans="1:5" x14ac:dyDescent="0.25">
      <c r="A31222" t="s">
        <v>10058</v>
      </c>
      <c r="B31222" t="s">
        <v>10059</v>
      </c>
      <c r="C31222" s="1" t="s">
        <v>23490</v>
      </c>
      <c r="D31222" s="1" t="str">
        <f>HYPERLINK("https://rhld.insurance.arkansas.gov/NPILookup?Npi=1437249661","1437249661")</f>
        <v>1437249661</v>
      </c>
      <c r="E31222" t="s">
        <v>10066</v>
      </c>
    </row>
    <row r="31223" spans="1:5" x14ac:dyDescent="0.25">
      <c r="A31223" t="s">
        <v>10058</v>
      </c>
      <c r="B31223" t="s">
        <v>10059</v>
      </c>
      <c r="C31223" s="1" t="s">
        <v>23490</v>
      </c>
      <c r="D31223" s="1" t="str">
        <f>HYPERLINK("https://rhld.insurance.arkansas.gov/NPILookup?Npi=1437278017","1437278017")</f>
        <v>1437278017</v>
      </c>
      <c r="E31223" t="s">
        <v>10066</v>
      </c>
    </row>
    <row r="31224" spans="1:5" x14ac:dyDescent="0.25">
      <c r="A31224" t="s">
        <v>10058</v>
      </c>
      <c r="B31224" t="s">
        <v>10059</v>
      </c>
      <c r="C31224" s="1" t="s">
        <v>23490</v>
      </c>
      <c r="D31224" s="1" t="str">
        <f>HYPERLINK("https://rhld.insurance.arkansas.gov/NPILookup?Npi=1437316213","1437316213")</f>
        <v>1437316213</v>
      </c>
      <c r="E31224" t="s">
        <v>10060</v>
      </c>
    </row>
    <row r="31225" spans="1:5" x14ac:dyDescent="0.25">
      <c r="A31225" t="s">
        <v>10058</v>
      </c>
      <c r="B31225" t="s">
        <v>10059</v>
      </c>
      <c r="C31225" s="1" t="s">
        <v>23490</v>
      </c>
      <c r="D31225" s="1" t="str">
        <f>HYPERLINK("https://rhld.insurance.arkansas.gov/NPILookup?Npi=1437358058","1437358058")</f>
        <v>1437358058</v>
      </c>
      <c r="E31225" t="s">
        <v>10060</v>
      </c>
    </row>
    <row r="31226" spans="1:5" x14ac:dyDescent="0.25">
      <c r="A31226" t="s">
        <v>10058</v>
      </c>
      <c r="B31226" t="s">
        <v>10059</v>
      </c>
      <c r="C31226" s="1" t="s">
        <v>23490</v>
      </c>
      <c r="D31226" s="1" t="str">
        <f>HYPERLINK("https://rhld.insurance.arkansas.gov/NPILookup?Npi=1437393311","1437393311")</f>
        <v>1437393311</v>
      </c>
      <c r="E31226" t="s">
        <v>10119</v>
      </c>
    </row>
    <row r="31227" spans="1:5" x14ac:dyDescent="0.25">
      <c r="A31227" t="s">
        <v>10058</v>
      </c>
      <c r="B31227" t="s">
        <v>10059</v>
      </c>
      <c r="C31227" s="1" t="s">
        <v>23490</v>
      </c>
      <c r="D31227" s="1" t="str">
        <f>HYPERLINK("https://rhld.insurance.arkansas.gov/NPILookup?Npi=1437417961","1437417961")</f>
        <v>1437417961</v>
      </c>
      <c r="E31227" t="s">
        <v>10062</v>
      </c>
    </row>
    <row r="31228" spans="1:5" x14ac:dyDescent="0.25">
      <c r="A31228" t="s">
        <v>10058</v>
      </c>
      <c r="B31228" t="s">
        <v>10059</v>
      </c>
      <c r="C31228" s="1" t="s">
        <v>23490</v>
      </c>
      <c r="D31228" s="1" t="str">
        <f>HYPERLINK("https://rhld.insurance.arkansas.gov/NPILookup?Npi=1437521879","1437521879")</f>
        <v>1437521879</v>
      </c>
      <c r="E31228" t="s">
        <v>10060</v>
      </c>
    </row>
    <row r="31229" spans="1:5" x14ac:dyDescent="0.25">
      <c r="A31229" t="s">
        <v>10058</v>
      </c>
      <c r="B31229" t="s">
        <v>10059</v>
      </c>
      <c r="C31229" s="1" t="s">
        <v>23490</v>
      </c>
      <c r="D31229" s="1" t="str">
        <f>HYPERLINK("https://rhld.insurance.arkansas.gov/NPILookup?Npi=1437530250","1437530250")</f>
        <v>1437530250</v>
      </c>
      <c r="E31229" t="s">
        <v>10291</v>
      </c>
    </row>
    <row r="31230" spans="1:5" x14ac:dyDescent="0.25">
      <c r="A31230" t="s">
        <v>10058</v>
      </c>
      <c r="B31230" t="s">
        <v>10059</v>
      </c>
      <c r="C31230" s="1" t="s">
        <v>23490</v>
      </c>
      <c r="D31230" s="1" t="str">
        <f>HYPERLINK("https://rhld.insurance.arkansas.gov/NPILookup?Npi=1437591294","1437591294")</f>
        <v>1437591294</v>
      </c>
      <c r="E31230" t="s">
        <v>10292</v>
      </c>
    </row>
    <row r="31231" spans="1:5" x14ac:dyDescent="0.25">
      <c r="A31231" t="s">
        <v>10058</v>
      </c>
      <c r="B31231" t="s">
        <v>10059</v>
      </c>
      <c r="C31231" s="1" t="s">
        <v>23490</v>
      </c>
      <c r="D31231" s="1" t="str">
        <f>HYPERLINK("https://rhld.insurance.arkansas.gov/NPILookup?Npi=1437609369","1437609369")</f>
        <v>1437609369</v>
      </c>
      <c r="E31231" t="s">
        <v>10084</v>
      </c>
    </row>
    <row r="31232" spans="1:5" x14ac:dyDescent="0.25">
      <c r="A31232" t="s">
        <v>10058</v>
      </c>
      <c r="B31232" t="s">
        <v>10059</v>
      </c>
      <c r="C31232" s="1" t="s">
        <v>23490</v>
      </c>
      <c r="D31232" s="1" t="str">
        <f>HYPERLINK("https://rhld.insurance.arkansas.gov/NPILookup?Npi=1437749850","1437749850")</f>
        <v>1437749850</v>
      </c>
      <c r="E31232" t="s">
        <v>10483</v>
      </c>
    </row>
    <row r="31233" spans="1:5" x14ac:dyDescent="0.25">
      <c r="A31233" t="s">
        <v>10058</v>
      </c>
      <c r="B31233" t="s">
        <v>10059</v>
      </c>
      <c r="C31233" s="1" t="s">
        <v>23490</v>
      </c>
      <c r="D31233" s="1" t="str">
        <f>HYPERLINK("https://rhld.insurance.arkansas.gov/NPILookup?Npi=1437789237","1437789237")</f>
        <v>1437789237</v>
      </c>
      <c r="E31233" t="s">
        <v>10369</v>
      </c>
    </row>
    <row r="31234" spans="1:5" x14ac:dyDescent="0.25">
      <c r="A31234" t="s">
        <v>10058</v>
      </c>
      <c r="B31234" t="s">
        <v>10059</v>
      </c>
      <c r="C31234" s="1" t="s">
        <v>23490</v>
      </c>
      <c r="D31234" s="1" t="str">
        <f>HYPERLINK("https://rhld.insurance.arkansas.gov/NPILookup?Npi=1437850328","1437850328")</f>
        <v>1437850328</v>
      </c>
      <c r="E31234" t="s">
        <v>10483</v>
      </c>
    </row>
    <row r="31235" spans="1:5" x14ac:dyDescent="0.25">
      <c r="A31235" t="s">
        <v>10058</v>
      </c>
      <c r="B31235" t="s">
        <v>10059</v>
      </c>
      <c r="C31235" s="1" t="s">
        <v>23490</v>
      </c>
      <c r="D31235" s="1" t="str">
        <f>HYPERLINK("https://rhld.insurance.arkansas.gov/NPILookup?Npi=1447231345","1447231345")</f>
        <v>1447231345</v>
      </c>
      <c r="E31235" t="s">
        <v>10293</v>
      </c>
    </row>
    <row r="31236" spans="1:5" x14ac:dyDescent="0.25">
      <c r="A31236" t="s">
        <v>10058</v>
      </c>
      <c r="B31236" t="s">
        <v>10059</v>
      </c>
      <c r="C31236" s="1" t="s">
        <v>23490</v>
      </c>
      <c r="D31236" s="1" t="str">
        <f>HYPERLINK("https://rhld.insurance.arkansas.gov/NPILookup?Npi=1447258140","1447258140")</f>
        <v>1447258140</v>
      </c>
      <c r="E31236" t="s">
        <v>10294</v>
      </c>
    </row>
    <row r="31237" spans="1:5" x14ac:dyDescent="0.25">
      <c r="A31237" t="s">
        <v>10058</v>
      </c>
      <c r="B31237" t="s">
        <v>10059</v>
      </c>
      <c r="C31237" s="1" t="s">
        <v>23490</v>
      </c>
      <c r="D31237" s="1" t="str">
        <f>HYPERLINK("https://rhld.insurance.arkansas.gov/NPILookup?Npi=1447265541","1447265541")</f>
        <v>1447265541</v>
      </c>
      <c r="E31237" t="s">
        <v>10066</v>
      </c>
    </row>
    <row r="31238" spans="1:5" x14ac:dyDescent="0.25">
      <c r="A31238" t="s">
        <v>10058</v>
      </c>
      <c r="B31238" t="s">
        <v>10059</v>
      </c>
      <c r="C31238" s="1" t="s">
        <v>23490</v>
      </c>
      <c r="D31238" s="1" t="str">
        <f>HYPERLINK("https://rhld.insurance.arkansas.gov/NPILookup?Npi=1447267448","1447267448")</f>
        <v>1447267448</v>
      </c>
      <c r="E31238" t="s">
        <v>10066</v>
      </c>
    </row>
    <row r="31239" spans="1:5" x14ac:dyDescent="0.25">
      <c r="A31239" t="s">
        <v>10058</v>
      </c>
      <c r="B31239" t="s">
        <v>10059</v>
      </c>
      <c r="C31239" s="1" t="s">
        <v>23490</v>
      </c>
      <c r="D31239" s="1" t="str">
        <f>HYPERLINK("https://rhld.insurance.arkansas.gov/NPILookup?Npi=1447272190","1447272190")</f>
        <v>1447272190</v>
      </c>
      <c r="E31239" t="s">
        <v>10081</v>
      </c>
    </row>
    <row r="31240" spans="1:5" x14ac:dyDescent="0.25">
      <c r="A31240" t="s">
        <v>10058</v>
      </c>
      <c r="B31240" t="s">
        <v>10059</v>
      </c>
      <c r="C31240" s="1" t="s">
        <v>23490</v>
      </c>
      <c r="D31240" s="1" t="str">
        <f>HYPERLINK("https://rhld.insurance.arkansas.gov/NPILookup?Npi=1447273503","1447273503")</f>
        <v>1447273503</v>
      </c>
      <c r="E31240" t="s">
        <v>13312</v>
      </c>
    </row>
    <row r="31241" spans="1:5" x14ac:dyDescent="0.25">
      <c r="A31241" t="s">
        <v>10058</v>
      </c>
      <c r="B31241" t="s">
        <v>10059</v>
      </c>
      <c r="C31241" s="1" t="s">
        <v>23490</v>
      </c>
      <c r="D31241" s="1" t="str">
        <f>HYPERLINK("https://rhld.insurance.arkansas.gov/NPILookup?Npi=1447284229","1447284229")</f>
        <v>1447284229</v>
      </c>
      <c r="E31241" t="s">
        <v>10067</v>
      </c>
    </row>
    <row r="31242" spans="1:5" x14ac:dyDescent="0.25">
      <c r="A31242" t="s">
        <v>10058</v>
      </c>
      <c r="B31242" t="s">
        <v>10059</v>
      </c>
      <c r="C31242" s="1" t="s">
        <v>23490</v>
      </c>
      <c r="D31242" s="1" t="str">
        <f>HYPERLINK("https://rhld.insurance.arkansas.gov/NPILookup?Npi=1447307590","1447307590")</f>
        <v>1447307590</v>
      </c>
      <c r="E31242" t="s">
        <v>10295</v>
      </c>
    </row>
    <row r="31243" spans="1:5" x14ac:dyDescent="0.25">
      <c r="A31243" t="s">
        <v>10058</v>
      </c>
      <c r="B31243" t="s">
        <v>10059</v>
      </c>
      <c r="C31243" s="1" t="s">
        <v>23490</v>
      </c>
      <c r="D31243" s="1" t="str">
        <f>HYPERLINK("https://rhld.insurance.arkansas.gov/NPILookup?Npi=1447317714","1447317714")</f>
        <v>1447317714</v>
      </c>
      <c r="E31243" t="s">
        <v>10296</v>
      </c>
    </row>
    <row r="31244" spans="1:5" x14ac:dyDescent="0.25">
      <c r="A31244" t="s">
        <v>10058</v>
      </c>
      <c r="B31244" t="s">
        <v>10059</v>
      </c>
      <c r="C31244" s="1" t="s">
        <v>23490</v>
      </c>
      <c r="D31244" s="1" t="str">
        <f>HYPERLINK("https://rhld.insurance.arkansas.gov/NPILookup?Npi=1447320502","1447320502")</f>
        <v>1447320502</v>
      </c>
      <c r="E31244" t="s">
        <v>10297</v>
      </c>
    </row>
    <row r="31245" spans="1:5" x14ac:dyDescent="0.25">
      <c r="A31245" t="s">
        <v>10058</v>
      </c>
      <c r="B31245" t="s">
        <v>10059</v>
      </c>
      <c r="C31245" s="1" t="s">
        <v>23490</v>
      </c>
      <c r="D31245" s="1" t="str">
        <f>HYPERLINK("https://rhld.insurance.arkansas.gov/NPILookup?Npi=1447320528","1447320528")</f>
        <v>1447320528</v>
      </c>
      <c r="E31245" t="s">
        <v>10072</v>
      </c>
    </row>
    <row r="31246" spans="1:5" x14ac:dyDescent="0.25">
      <c r="A31246" t="s">
        <v>10058</v>
      </c>
      <c r="B31246" t="s">
        <v>10059</v>
      </c>
      <c r="C31246" s="1" t="s">
        <v>23490</v>
      </c>
      <c r="D31246" s="1" t="str">
        <f>HYPERLINK("https://rhld.insurance.arkansas.gov/NPILookup?Npi=1447321062","1447321062")</f>
        <v>1447321062</v>
      </c>
      <c r="E31246" t="s">
        <v>10153</v>
      </c>
    </row>
    <row r="31247" spans="1:5" x14ac:dyDescent="0.25">
      <c r="A31247" t="s">
        <v>10058</v>
      </c>
      <c r="B31247" t="s">
        <v>10059</v>
      </c>
      <c r="C31247" s="1" t="s">
        <v>23490</v>
      </c>
      <c r="D31247" s="1" t="str">
        <f>HYPERLINK("https://rhld.insurance.arkansas.gov/NPILookup?Npi=1447339114","1447339114")</f>
        <v>1447339114</v>
      </c>
      <c r="E31247" t="s">
        <v>10298</v>
      </c>
    </row>
    <row r="31248" spans="1:5" x14ac:dyDescent="0.25">
      <c r="A31248" t="s">
        <v>10058</v>
      </c>
      <c r="B31248" t="s">
        <v>10059</v>
      </c>
      <c r="C31248" s="1" t="s">
        <v>23490</v>
      </c>
      <c r="D31248" s="1" t="str">
        <f>HYPERLINK("https://rhld.insurance.arkansas.gov/NPILookup?Npi=1447364179","1447364179")</f>
        <v>1447364179</v>
      </c>
      <c r="E31248" t="s">
        <v>10299</v>
      </c>
    </row>
    <row r="31249" spans="1:5" x14ac:dyDescent="0.25">
      <c r="A31249" t="s">
        <v>10058</v>
      </c>
      <c r="B31249" t="s">
        <v>10059</v>
      </c>
      <c r="C31249" s="1" t="s">
        <v>23490</v>
      </c>
      <c r="D31249" s="1" t="str">
        <f>HYPERLINK("https://rhld.insurance.arkansas.gov/NPILookup?Npi=1447364419","1447364419")</f>
        <v>1447364419</v>
      </c>
      <c r="E31249" t="s">
        <v>10300</v>
      </c>
    </row>
    <row r="31250" spans="1:5" x14ac:dyDescent="0.25">
      <c r="A31250" t="s">
        <v>10058</v>
      </c>
      <c r="B31250" t="s">
        <v>10059</v>
      </c>
      <c r="C31250" s="1" t="s">
        <v>23490</v>
      </c>
      <c r="D31250" s="1" t="str">
        <f>HYPERLINK("https://rhld.insurance.arkansas.gov/NPILookup?Npi=1447498555","1447498555")</f>
        <v>1447498555</v>
      </c>
      <c r="E31250" t="s">
        <v>10066</v>
      </c>
    </row>
    <row r="31251" spans="1:5" x14ac:dyDescent="0.25">
      <c r="A31251" t="s">
        <v>10058</v>
      </c>
      <c r="B31251" t="s">
        <v>10059</v>
      </c>
      <c r="C31251" s="1" t="s">
        <v>23490</v>
      </c>
      <c r="D31251" s="1" t="str">
        <f>HYPERLINK("https://rhld.insurance.arkansas.gov/NPILookup?Npi=1447503941","1447503941")</f>
        <v>1447503941</v>
      </c>
      <c r="E31251" t="s">
        <v>10301</v>
      </c>
    </row>
    <row r="31252" spans="1:5" x14ac:dyDescent="0.25">
      <c r="A31252" t="s">
        <v>10058</v>
      </c>
      <c r="B31252" t="s">
        <v>10059</v>
      </c>
      <c r="C31252" s="1" t="s">
        <v>23490</v>
      </c>
      <c r="D31252" s="1" t="str">
        <f>HYPERLINK("https://rhld.insurance.arkansas.gov/NPILookup?Npi=1447590146","1447590146")</f>
        <v>1447590146</v>
      </c>
      <c r="E31252" t="s">
        <v>10302</v>
      </c>
    </row>
    <row r="31253" spans="1:5" x14ac:dyDescent="0.25">
      <c r="A31253" t="s">
        <v>10058</v>
      </c>
      <c r="B31253" t="s">
        <v>10059</v>
      </c>
      <c r="C31253" s="1" t="s">
        <v>23490</v>
      </c>
      <c r="D31253" s="1" t="str">
        <f>HYPERLINK("https://rhld.insurance.arkansas.gov/NPILookup?Npi=1447619572","1447619572")</f>
        <v>1447619572</v>
      </c>
      <c r="E31253" t="s">
        <v>10303</v>
      </c>
    </row>
    <row r="31254" spans="1:5" x14ac:dyDescent="0.25">
      <c r="A31254" t="s">
        <v>10058</v>
      </c>
      <c r="B31254" t="s">
        <v>10059</v>
      </c>
      <c r="C31254" s="1" t="s">
        <v>23490</v>
      </c>
      <c r="D31254" s="1" t="str">
        <f>HYPERLINK("https://rhld.insurance.arkansas.gov/NPILookup?Npi=1447622873","1447622873")</f>
        <v>1447622873</v>
      </c>
      <c r="E31254" t="s">
        <v>13312</v>
      </c>
    </row>
    <row r="31255" spans="1:5" x14ac:dyDescent="0.25">
      <c r="A31255" t="s">
        <v>10058</v>
      </c>
      <c r="B31255" t="s">
        <v>10059</v>
      </c>
      <c r="C31255" s="1" t="s">
        <v>23490</v>
      </c>
      <c r="D31255" s="1" t="str">
        <f>HYPERLINK("https://rhld.insurance.arkansas.gov/NPILookup?Npi=1447640222","1447640222")</f>
        <v>1447640222</v>
      </c>
      <c r="E31255" t="s">
        <v>10304</v>
      </c>
    </row>
    <row r="31256" spans="1:5" x14ac:dyDescent="0.25">
      <c r="A31256" t="s">
        <v>10058</v>
      </c>
      <c r="B31256" t="s">
        <v>10059</v>
      </c>
      <c r="C31256" s="1" t="s">
        <v>23490</v>
      </c>
      <c r="D31256" s="1" t="str">
        <f>HYPERLINK("https://rhld.insurance.arkansas.gov/NPILookup?Npi=1457055972","1457055972")</f>
        <v>1457055972</v>
      </c>
      <c r="E31256" t="s">
        <v>22837</v>
      </c>
    </row>
    <row r="31257" spans="1:5" x14ac:dyDescent="0.25">
      <c r="A31257" t="s">
        <v>10058</v>
      </c>
      <c r="B31257" t="s">
        <v>10059</v>
      </c>
      <c r="C31257" s="1" t="s">
        <v>23490</v>
      </c>
      <c r="D31257" s="1" t="str">
        <f>HYPERLINK("https://rhld.insurance.arkansas.gov/NPILookup?Npi=1457309148","1457309148")</f>
        <v>1457309148</v>
      </c>
      <c r="E31257" t="s">
        <v>10305</v>
      </c>
    </row>
    <row r="31258" spans="1:5" x14ac:dyDescent="0.25">
      <c r="A31258" t="s">
        <v>10058</v>
      </c>
      <c r="B31258" t="s">
        <v>10059</v>
      </c>
      <c r="C31258" s="1" t="s">
        <v>23490</v>
      </c>
      <c r="D31258" s="1" t="str">
        <f>HYPERLINK("https://rhld.insurance.arkansas.gov/NPILookup?Npi=1457409385","1457409385")</f>
        <v>1457409385</v>
      </c>
      <c r="E31258" t="s">
        <v>10306</v>
      </c>
    </row>
    <row r="31259" spans="1:5" x14ac:dyDescent="0.25">
      <c r="A31259" t="s">
        <v>10058</v>
      </c>
      <c r="B31259" t="s">
        <v>10059</v>
      </c>
      <c r="C31259" s="1" t="s">
        <v>23490</v>
      </c>
      <c r="D31259" s="1" t="str">
        <f>HYPERLINK("https://rhld.insurance.arkansas.gov/NPILookup?Npi=1457423238","1457423238")</f>
        <v>1457423238</v>
      </c>
      <c r="E31259" t="s">
        <v>10262</v>
      </c>
    </row>
    <row r="31260" spans="1:5" x14ac:dyDescent="0.25">
      <c r="A31260" t="s">
        <v>10058</v>
      </c>
      <c r="B31260" t="s">
        <v>10059</v>
      </c>
      <c r="C31260" s="1" t="s">
        <v>23490</v>
      </c>
      <c r="D31260" s="1" t="str">
        <f>HYPERLINK("https://rhld.insurance.arkansas.gov/NPILookup?Npi=1457482788","1457482788")</f>
        <v>1457482788</v>
      </c>
      <c r="E31260" t="s">
        <v>7591</v>
      </c>
    </row>
    <row r="31261" spans="1:5" x14ac:dyDescent="0.25">
      <c r="A31261" t="s">
        <v>10058</v>
      </c>
      <c r="B31261" t="s">
        <v>10059</v>
      </c>
      <c r="C31261" s="1" t="s">
        <v>23490</v>
      </c>
      <c r="D31261" s="1" t="str">
        <f>HYPERLINK("https://rhld.insurance.arkansas.gov/NPILookup?Npi=1457523581","1457523581")</f>
        <v>1457523581</v>
      </c>
      <c r="E31261" t="s">
        <v>10066</v>
      </c>
    </row>
    <row r="31262" spans="1:5" x14ac:dyDescent="0.25">
      <c r="A31262" t="s">
        <v>10058</v>
      </c>
      <c r="B31262" t="s">
        <v>10059</v>
      </c>
      <c r="C31262" s="1" t="s">
        <v>23490</v>
      </c>
      <c r="D31262" s="1" t="str">
        <f>HYPERLINK("https://rhld.insurance.arkansas.gov/NPILookup?Npi=1457565400","1457565400")</f>
        <v>1457565400</v>
      </c>
      <c r="E31262" t="s">
        <v>16827</v>
      </c>
    </row>
    <row r="31263" spans="1:5" x14ac:dyDescent="0.25">
      <c r="A31263" t="s">
        <v>10058</v>
      </c>
      <c r="B31263" t="s">
        <v>10059</v>
      </c>
      <c r="C31263" s="1" t="s">
        <v>23490</v>
      </c>
      <c r="D31263" s="1" t="str">
        <f>HYPERLINK("https://rhld.insurance.arkansas.gov/NPILookup?Npi=1457596587","1457596587")</f>
        <v>1457596587</v>
      </c>
      <c r="E31263" t="s">
        <v>13312</v>
      </c>
    </row>
    <row r="31264" spans="1:5" x14ac:dyDescent="0.25">
      <c r="A31264" t="s">
        <v>10058</v>
      </c>
      <c r="B31264" t="s">
        <v>10059</v>
      </c>
      <c r="C31264" s="1" t="s">
        <v>23490</v>
      </c>
      <c r="D31264" s="1" t="str">
        <f>HYPERLINK("https://rhld.insurance.arkansas.gov/NPILookup?Npi=1457608598","1457608598")</f>
        <v>1457608598</v>
      </c>
      <c r="E31264" t="s">
        <v>10078</v>
      </c>
    </row>
    <row r="31265" spans="1:5" x14ac:dyDescent="0.25">
      <c r="A31265" t="s">
        <v>10058</v>
      </c>
      <c r="B31265" t="s">
        <v>10059</v>
      </c>
      <c r="C31265" s="1" t="s">
        <v>23490</v>
      </c>
      <c r="D31265" s="1" t="str">
        <f>HYPERLINK("https://rhld.insurance.arkansas.gov/NPILookup?Npi=1457735458","1457735458")</f>
        <v>1457735458</v>
      </c>
      <c r="E31265" t="s">
        <v>10307</v>
      </c>
    </row>
    <row r="31266" spans="1:5" x14ac:dyDescent="0.25">
      <c r="A31266" t="s">
        <v>10058</v>
      </c>
      <c r="B31266" t="s">
        <v>10059</v>
      </c>
      <c r="C31266" s="1" t="s">
        <v>23490</v>
      </c>
      <c r="D31266" s="1" t="str">
        <f>HYPERLINK("https://rhld.insurance.arkansas.gov/NPILookup?Npi=1467129825","1467129825")</f>
        <v>1467129825</v>
      </c>
      <c r="E31266" t="s">
        <v>19282</v>
      </c>
    </row>
    <row r="31267" spans="1:5" x14ac:dyDescent="0.25">
      <c r="A31267" t="s">
        <v>10058</v>
      </c>
      <c r="B31267" t="s">
        <v>10059</v>
      </c>
      <c r="C31267" s="1" t="s">
        <v>23490</v>
      </c>
      <c r="D31267" s="1" t="str">
        <f>HYPERLINK("https://rhld.insurance.arkansas.gov/NPILookup?Npi=1467432112","1467432112")</f>
        <v>1467432112</v>
      </c>
      <c r="E31267" t="s">
        <v>12737</v>
      </c>
    </row>
    <row r="31268" spans="1:5" x14ac:dyDescent="0.25">
      <c r="A31268" t="s">
        <v>10058</v>
      </c>
      <c r="B31268" t="s">
        <v>10059</v>
      </c>
      <c r="C31268" s="1" t="s">
        <v>23490</v>
      </c>
      <c r="D31268" s="1" t="str">
        <f>HYPERLINK("https://rhld.insurance.arkansas.gov/NPILookup?Npi=1467467720","1467467720")</f>
        <v>1467467720</v>
      </c>
      <c r="E31268" t="s">
        <v>10066</v>
      </c>
    </row>
    <row r="31269" spans="1:5" x14ac:dyDescent="0.25">
      <c r="A31269" t="s">
        <v>10058</v>
      </c>
      <c r="B31269" t="s">
        <v>10059</v>
      </c>
      <c r="C31269" s="1" t="s">
        <v>23490</v>
      </c>
      <c r="D31269" s="1" t="str">
        <f>HYPERLINK("https://rhld.insurance.arkansas.gov/NPILookup?Npi=1467469346","1467469346")</f>
        <v>1467469346</v>
      </c>
      <c r="E31269" t="s">
        <v>10066</v>
      </c>
    </row>
    <row r="31270" spans="1:5" x14ac:dyDescent="0.25">
      <c r="A31270" t="s">
        <v>10058</v>
      </c>
      <c r="B31270" t="s">
        <v>10059</v>
      </c>
      <c r="C31270" s="1" t="s">
        <v>23490</v>
      </c>
      <c r="D31270" s="1" t="str">
        <f>HYPERLINK("https://rhld.insurance.arkansas.gov/NPILookup?Npi=1467469478","1467469478")</f>
        <v>1467469478</v>
      </c>
      <c r="E31270" t="s">
        <v>10066</v>
      </c>
    </row>
    <row r="31271" spans="1:5" x14ac:dyDescent="0.25">
      <c r="A31271" t="s">
        <v>10058</v>
      </c>
      <c r="B31271" t="s">
        <v>10059</v>
      </c>
      <c r="C31271" s="1" t="s">
        <v>23490</v>
      </c>
      <c r="D31271" s="1" t="str">
        <f>HYPERLINK("https://rhld.insurance.arkansas.gov/NPILookup?Npi=1467471441","1467471441")</f>
        <v>1467471441</v>
      </c>
      <c r="E31271" t="s">
        <v>13312</v>
      </c>
    </row>
    <row r="31272" spans="1:5" x14ac:dyDescent="0.25">
      <c r="A31272" t="s">
        <v>10058</v>
      </c>
      <c r="B31272" t="s">
        <v>10059</v>
      </c>
      <c r="C31272" s="1" t="s">
        <v>23490</v>
      </c>
      <c r="D31272" s="1" t="str">
        <f>HYPERLINK("https://rhld.insurance.arkansas.gov/NPILookup?Npi=1467506923","1467506923")</f>
        <v>1467506923</v>
      </c>
      <c r="E31272" t="s">
        <v>10308</v>
      </c>
    </row>
    <row r="31273" spans="1:5" x14ac:dyDescent="0.25">
      <c r="A31273" t="s">
        <v>10058</v>
      </c>
      <c r="B31273" t="s">
        <v>10059</v>
      </c>
      <c r="C31273" s="1" t="s">
        <v>23490</v>
      </c>
      <c r="D31273" s="1" t="str">
        <f>HYPERLINK("https://rhld.insurance.arkansas.gov/NPILookup?Npi=1467508598","1467508598")</f>
        <v>1467508598</v>
      </c>
      <c r="E31273" t="s">
        <v>10309</v>
      </c>
    </row>
    <row r="31274" spans="1:5" x14ac:dyDescent="0.25">
      <c r="A31274" t="s">
        <v>10058</v>
      </c>
      <c r="B31274" t="s">
        <v>10059</v>
      </c>
      <c r="C31274" s="1" t="s">
        <v>23490</v>
      </c>
      <c r="D31274" s="1" t="str">
        <f>HYPERLINK("https://rhld.insurance.arkansas.gov/NPILookup?Npi=1467551093","1467551093")</f>
        <v>1467551093</v>
      </c>
      <c r="E31274" t="s">
        <v>22839</v>
      </c>
    </row>
    <row r="31275" spans="1:5" x14ac:dyDescent="0.25">
      <c r="A31275" t="s">
        <v>10058</v>
      </c>
      <c r="B31275" t="s">
        <v>10059</v>
      </c>
      <c r="C31275" s="1" t="s">
        <v>23490</v>
      </c>
      <c r="D31275" s="1" t="str">
        <f>HYPERLINK("https://rhld.insurance.arkansas.gov/NPILookup?Npi=1467591396","1467591396")</f>
        <v>1467591396</v>
      </c>
      <c r="E31275" t="s">
        <v>7539</v>
      </c>
    </row>
    <row r="31276" spans="1:5" x14ac:dyDescent="0.25">
      <c r="A31276" t="s">
        <v>10058</v>
      </c>
      <c r="B31276" t="s">
        <v>10059</v>
      </c>
      <c r="C31276" s="1" t="s">
        <v>23490</v>
      </c>
      <c r="D31276" s="1" t="str">
        <f>HYPERLINK("https://rhld.insurance.arkansas.gov/NPILookup?Npi=1467693754","1467693754")</f>
        <v>1467693754</v>
      </c>
      <c r="E31276" t="s">
        <v>10310</v>
      </c>
    </row>
    <row r="31277" spans="1:5" x14ac:dyDescent="0.25">
      <c r="A31277" t="s">
        <v>10058</v>
      </c>
      <c r="B31277" t="s">
        <v>10059</v>
      </c>
      <c r="C31277" s="1" t="s">
        <v>23490</v>
      </c>
      <c r="D31277" s="1" t="str">
        <f>HYPERLINK("https://rhld.insurance.arkansas.gov/NPILookup?Npi=1467722868","1467722868")</f>
        <v>1467722868</v>
      </c>
      <c r="E31277" t="s">
        <v>10311</v>
      </c>
    </row>
    <row r="31278" spans="1:5" x14ac:dyDescent="0.25">
      <c r="A31278" t="s">
        <v>10058</v>
      </c>
      <c r="B31278" t="s">
        <v>10059</v>
      </c>
      <c r="C31278" s="1" t="s">
        <v>23490</v>
      </c>
      <c r="D31278" s="1" t="str">
        <f>HYPERLINK("https://rhld.insurance.arkansas.gov/NPILookup?Npi=1467898650","1467898650")</f>
        <v>1467898650</v>
      </c>
      <c r="E31278" t="s">
        <v>10312</v>
      </c>
    </row>
    <row r="31279" spans="1:5" x14ac:dyDescent="0.25">
      <c r="A31279" t="s">
        <v>10058</v>
      </c>
      <c r="B31279" t="s">
        <v>10059</v>
      </c>
      <c r="C31279" s="1" t="s">
        <v>23490</v>
      </c>
      <c r="D31279" s="1" t="str">
        <f>HYPERLINK("https://rhld.insurance.arkansas.gov/NPILookup?Npi=1467916825","1467916825")</f>
        <v>1467916825</v>
      </c>
      <c r="E31279" t="s">
        <v>10503</v>
      </c>
    </row>
    <row r="31280" spans="1:5" x14ac:dyDescent="0.25">
      <c r="A31280" t="s">
        <v>10058</v>
      </c>
      <c r="B31280" t="s">
        <v>10059</v>
      </c>
      <c r="C31280" s="1" t="s">
        <v>23490</v>
      </c>
      <c r="D31280" s="1" t="str">
        <f>HYPERLINK("https://rhld.insurance.arkansas.gov/NPILookup?Npi=1477002012","1477002012")</f>
        <v>1477002012</v>
      </c>
      <c r="E31280" t="s">
        <v>22809</v>
      </c>
    </row>
    <row r="31281" spans="1:5" x14ac:dyDescent="0.25">
      <c r="A31281" t="s">
        <v>10058</v>
      </c>
      <c r="B31281" t="s">
        <v>10059</v>
      </c>
      <c r="C31281" s="1" t="s">
        <v>23490</v>
      </c>
      <c r="D31281" s="1" t="str">
        <f>HYPERLINK("https://rhld.insurance.arkansas.gov/NPILookup?Npi=1477508240","1477508240")</f>
        <v>1477508240</v>
      </c>
      <c r="E31281" t="s">
        <v>10066</v>
      </c>
    </row>
    <row r="31282" spans="1:5" x14ac:dyDescent="0.25">
      <c r="A31282" t="s">
        <v>10058</v>
      </c>
      <c r="B31282" t="s">
        <v>10059</v>
      </c>
      <c r="C31282" s="1" t="s">
        <v>23490</v>
      </c>
      <c r="D31282" s="1" t="str">
        <f>HYPERLINK("https://rhld.insurance.arkansas.gov/NPILookup?Npi=1477547362","1477547362")</f>
        <v>1477547362</v>
      </c>
      <c r="E31282" t="s">
        <v>12738</v>
      </c>
    </row>
    <row r="31283" spans="1:5" x14ac:dyDescent="0.25">
      <c r="A31283" t="s">
        <v>10058</v>
      </c>
      <c r="B31283" t="s">
        <v>10059</v>
      </c>
      <c r="C31283" s="1" t="s">
        <v>23490</v>
      </c>
      <c r="D31283" s="1" t="str">
        <f>HYPERLINK("https://rhld.insurance.arkansas.gov/NPILookup?Npi=1477556926","1477556926")</f>
        <v>1477556926</v>
      </c>
      <c r="E31283" t="s">
        <v>10313</v>
      </c>
    </row>
    <row r="31284" spans="1:5" x14ac:dyDescent="0.25">
      <c r="A31284" t="s">
        <v>10058</v>
      </c>
      <c r="B31284" t="s">
        <v>10059</v>
      </c>
      <c r="C31284" s="1" t="s">
        <v>23490</v>
      </c>
      <c r="D31284" s="1" t="str">
        <f>HYPERLINK("https://rhld.insurance.arkansas.gov/NPILookup?Npi=1477560472","1477560472")</f>
        <v>1477560472</v>
      </c>
      <c r="E31284" t="s">
        <v>10066</v>
      </c>
    </row>
    <row r="31285" spans="1:5" x14ac:dyDescent="0.25">
      <c r="A31285" t="s">
        <v>10058</v>
      </c>
      <c r="B31285" t="s">
        <v>10059</v>
      </c>
      <c r="C31285" s="1" t="s">
        <v>23490</v>
      </c>
      <c r="D31285" s="1" t="str">
        <f>HYPERLINK("https://rhld.insurance.arkansas.gov/NPILookup?Npi=1477568731","1477568731")</f>
        <v>1477568731</v>
      </c>
      <c r="E31285" t="s">
        <v>10066</v>
      </c>
    </row>
    <row r="31286" spans="1:5" x14ac:dyDescent="0.25">
      <c r="A31286" t="s">
        <v>10058</v>
      </c>
      <c r="B31286" t="s">
        <v>10059</v>
      </c>
      <c r="C31286" s="1" t="s">
        <v>23490</v>
      </c>
      <c r="D31286" s="1" t="str">
        <f>HYPERLINK("https://rhld.insurance.arkansas.gov/NPILookup?Npi=1477570976","1477570976")</f>
        <v>1477570976</v>
      </c>
      <c r="E31286" t="s">
        <v>13312</v>
      </c>
    </row>
    <row r="31287" spans="1:5" x14ac:dyDescent="0.25">
      <c r="A31287" t="s">
        <v>10058</v>
      </c>
      <c r="B31287" t="s">
        <v>10059</v>
      </c>
      <c r="C31287" s="1" t="s">
        <v>23490</v>
      </c>
      <c r="D31287" s="1" t="str">
        <f>HYPERLINK("https://rhld.insurance.arkansas.gov/NPILookup?Npi=1477601946","1477601946")</f>
        <v>1477601946</v>
      </c>
      <c r="E31287" t="s">
        <v>10314</v>
      </c>
    </row>
    <row r="31288" spans="1:5" x14ac:dyDescent="0.25">
      <c r="A31288" t="s">
        <v>10058</v>
      </c>
      <c r="B31288" t="s">
        <v>10059</v>
      </c>
      <c r="C31288" s="1" t="s">
        <v>23490</v>
      </c>
      <c r="D31288" s="1" t="str">
        <f>HYPERLINK("https://rhld.insurance.arkansas.gov/NPILookup?Npi=1477618809","1477618809")</f>
        <v>1477618809</v>
      </c>
      <c r="E31288" t="s">
        <v>10315</v>
      </c>
    </row>
    <row r="31289" spans="1:5" x14ac:dyDescent="0.25">
      <c r="A31289" t="s">
        <v>10058</v>
      </c>
      <c r="B31289" t="s">
        <v>10059</v>
      </c>
      <c r="C31289" s="1" t="s">
        <v>23490</v>
      </c>
      <c r="D31289" s="1" t="str">
        <f>HYPERLINK("https://rhld.insurance.arkansas.gov/NPILookup?Npi=1477688463","1477688463")</f>
        <v>1477688463</v>
      </c>
      <c r="E31289" t="s">
        <v>10316</v>
      </c>
    </row>
    <row r="31290" spans="1:5" x14ac:dyDescent="0.25">
      <c r="A31290" t="s">
        <v>10058</v>
      </c>
      <c r="B31290" t="s">
        <v>10059</v>
      </c>
      <c r="C31290" s="1" t="s">
        <v>23490</v>
      </c>
      <c r="D31290" s="1" t="str">
        <f>HYPERLINK("https://rhld.insurance.arkansas.gov/NPILookup?Npi=1477893949","1477893949")</f>
        <v>1477893949</v>
      </c>
      <c r="E31290" t="s">
        <v>10088</v>
      </c>
    </row>
    <row r="31291" spans="1:5" x14ac:dyDescent="0.25">
      <c r="A31291" t="s">
        <v>10058</v>
      </c>
      <c r="B31291" t="s">
        <v>10059</v>
      </c>
      <c r="C31291" s="1" t="s">
        <v>23490</v>
      </c>
      <c r="D31291" s="1" t="str">
        <f>HYPERLINK("https://rhld.insurance.arkansas.gov/NPILookup?Npi=1477908135","1477908135")</f>
        <v>1477908135</v>
      </c>
      <c r="E31291" t="s">
        <v>10317</v>
      </c>
    </row>
    <row r="31292" spans="1:5" x14ac:dyDescent="0.25">
      <c r="A31292" t="s">
        <v>10058</v>
      </c>
      <c r="B31292" t="s">
        <v>10059</v>
      </c>
      <c r="C31292" s="1" t="s">
        <v>23490</v>
      </c>
      <c r="D31292" s="1" t="str">
        <f>HYPERLINK("https://rhld.insurance.arkansas.gov/NPILookup?Npi=1477915940","1477915940")</f>
        <v>1477915940</v>
      </c>
      <c r="E31292" t="s">
        <v>10060</v>
      </c>
    </row>
    <row r="31293" spans="1:5" x14ac:dyDescent="0.25">
      <c r="A31293" t="s">
        <v>10058</v>
      </c>
      <c r="B31293" t="s">
        <v>10059</v>
      </c>
      <c r="C31293" s="1" t="s">
        <v>23490</v>
      </c>
      <c r="D31293" s="1" t="str">
        <f>HYPERLINK("https://rhld.insurance.arkansas.gov/NPILookup?Npi=1477960698","1477960698")</f>
        <v>1477960698</v>
      </c>
      <c r="E31293" t="s">
        <v>22822</v>
      </c>
    </row>
    <row r="31294" spans="1:5" x14ac:dyDescent="0.25">
      <c r="A31294" t="s">
        <v>10058</v>
      </c>
      <c r="B31294" t="s">
        <v>10059</v>
      </c>
      <c r="C31294" s="1" t="s">
        <v>23490</v>
      </c>
      <c r="D31294" s="1" t="str">
        <f>HYPERLINK("https://rhld.insurance.arkansas.gov/NPILookup?Npi=1487100475","1487100475")</f>
        <v>1487100475</v>
      </c>
      <c r="E31294" t="s">
        <v>21356</v>
      </c>
    </row>
    <row r="31295" spans="1:5" x14ac:dyDescent="0.25">
      <c r="A31295" t="s">
        <v>10058</v>
      </c>
      <c r="B31295" t="s">
        <v>10059</v>
      </c>
      <c r="C31295" s="1" t="s">
        <v>23490</v>
      </c>
      <c r="D31295" s="1" t="str">
        <f>HYPERLINK("https://rhld.insurance.arkansas.gov/NPILookup?Npi=1487104725","1487104725")</f>
        <v>1487104725</v>
      </c>
      <c r="E31295" t="s">
        <v>19283</v>
      </c>
    </row>
    <row r="31296" spans="1:5" x14ac:dyDescent="0.25">
      <c r="A31296" t="s">
        <v>10058</v>
      </c>
      <c r="B31296" t="s">
        <v>10059</v>
      </c>
      <c r="C31296" s="1" t="s">
        <v>23490</v>
      </c>
      <c r="D31296" s="1" t="str">
        <f>HYPERLINK("https://rhld.insurance.arkansas.gov/NPILookup?Npi=1487119079","1487119079")</f>
        <v>1487119079</v>
      </c>
      <c r="E31296" t="s">
        <v>16828</v>
      </c>
    </row>
    <row r="31297" spans="1:5" x14ac:dyDescent="0.25">
      <c r="A31297" t="s">
        <v>10058</v>
      </c>
      <c r="B31297" t="s">
        <v>10059</v>
      </c>
      <c r="C31297" s="1" t="s">
        <v>23490</v>
      </c>
      <c r="D31297" s="1" t="str">
        <f>HYPERLINK("https://rhld.insurance.arkansas.gov/NPILookup?Npi=1487222147","1487222147")</f>
        <v>1487222147</v>
      </c>
      <c r="E31297" t="s">
        <v>17811</v>
      </c>
    </row>
    <row r="31298" spans="1:5" x14ac:dyDescent="0.25">
      <c r="A31298" t="s">
        <v>10058</v>
      </c>
      <c r="B31298" t="s">
        <v>10059</v>
      </c>
      <c r="C31298" s="1" t="s">
        <v>23490</v>
      </c>
      <c r="D31298" s="1" t="str">
        <f>HYPERLINK("https://rhld.insurance.arkansas.gov/NPILookup?Npi=1487250015","1487250015")</f>
        <v>1487250015</v>
      </c>
      <c r="E31298" t="s">
        <v>19284</v>
      </c>
    </row>
    <row r="31299" spans="1:5" x14ac:dyDescent="0.25">
      <c r="A31299" t="s">
        <v>10058</v>
      </c>
      <c r="B31299" t="s">
        <v>10059</v>
      </c>
      <c r="C31299" s="1" t="s">
        <v>23490</v>
      </c>
      <c r="D31299" s="1" t="str">
        <f>HYPERLINK("https://rhld.insurance.arkansas.gov/NPILookup?Npi=1487360442","1487360442")</f>
        <v>1487360442</v>
      </c>
      <c r="E31299" t="s">
        <v>22840</v>
      </c>
    </row>
    <row r="31300" spans="1:5" x14ac:dyDescent="0.25">
      <c r="A31300" t="s">
        <v>10058</v>
      </c>
      <c r="B31300" t="s">
        <v>10059</v>
      </c>
      <c r="C31300" s="1" t="s">
        <v>23490</v>
      </c>
      <c r="D31300" s="1" t="str">
        <f>HYPERLINK("https://rhld.insurance.arkansas.gov/NPILookup?Npi=1487373197","1487373197")</f>
        <v>1487373197</v>
      </c>
      <c r="E31300" t="s">
        <v>19270</v>
      </c>
    </row>
    <row r="31301" spans="1:5" x14ac:dyDescent="0.25">
      <c r="A31301" t="s">
        <v>10058</v>
      </c>
      <c r="B31301" t="s">
        <v>10059</v>
      </c>
      <c r="C31301" s="1" t="s">
        <v>23490</v>
      </c>
      <c r="D31301" s="1" t="str">
        <f>HYPERLINK("https://rhld.insurance.arkansas.gov/NPILookup?Npi=1487640579","1487640579")</f>
        <v>1487640579</v>
      </c>
      <c r="E31301" t="s">
        <v>10318</v>
      </c>
    </row>
    <row r="31302" spans="1:5" x14ac:dyDescent="0.25">
      <c r="A31302" t="s">
        <v>10058</v>
      </c>
      <c r="B31302" t="s">
        <v>10059</v>
      </c>
      <c r="C31302" s="1" t="s">
        <v>23490</v>
      </c>
      <c r="D31302" s="1" t="str">
        <f>HYPERLINK("https://rhld.insurance.arkansas.gov/NPILookup?Npi=1487641056","1487641056")</f>
        <v>1487641056</v>
      </c>
      <c r="E31302" t="s">
        <v>12739</v>
      </c>
    </row>
    <row r="31303" spans="1:5" x14ac:dyDescent="0.25">
      <c r="A31303" t="s">
        <v>10058</v>
      </c>
      <c r="B31303" t="s">
        <v>10059</v>
      </c>
      <c r="C31303" s="1" t="s">
        <v>23490</v>
      </c>
      <c r="D31303" s="1" t="str">
        <f>HYPERLINK("https://rhld.insurance.arkansas.gov/NPILookup?Npi=1487661443","1487661443")</f>
        <v>1487661443</v>
      </c>
      <c r="E31303" t="s">
        <v>10066</v>
      </c>
    </row>
    <row r="31304" spans="1:5" x14ac:dyDescent="0.25">
      <c r="A31304" t="s">
        <v>10058</v>
      </c>
      <c r="B31304" t="s">
        <v>10059</v>
      </c>
      <c r="C31304" s="1" t="s">
        <v>23490</v>
      </c>
      <c r="D31304" s="1" t="str">
        <f>HYPERLINK("https://rhld.insurance.arkansas.gov/NPILookup?Npi=1487661583","1487661583")</f>
        <v>1487661583</v>
      </c>
      <c r="E31304" t="s">
        <v>10319</v>
      </c>
    </row>
    <row r="31305" spans="1:5" x14ac:dyDescent="0.25">
      <c r="A31305" t="s">
        <v>10058</v>
      </c>
      <c r="B31305" t="s">
        <v>10059</v>
      </c>
      <c r="C31305" s="1" t="s">
        <v>23490</v>
      </c>
      <c r="D31305" s="1" t="str">
        <f>HYPERLINK("https://rhld.insurance.arkansas.gov/NPILookup?Npi=1487669404","1487669404")</f>
        <v>1487669404</v>
      </c>
      <c r="E31305" t="s">
        <v>10066</v>
      </c>
    </row>
    <row r="31306" spans="1:5" x14ac:dyDescent="0.25">
      <c r="A31306" t="s">
        <v>10058</v>
      </c>
      <c r="B31306" t="s">
        <v>10059</v>
      </c>
      <c r="C31306" s="1" t="s">
        <v>23490</v>
      </c>
      <c r="D31306" s="1" t="str">
        <f>HYPERLINK("https://rhld.insurance.arkansas.gov/NPILookup?Npi=1487669644","1487669644")</f>
        <v>1487669644</v>
      </c>
      <c r="E31306" t="s">
        <v>10066</v>
      </c>
    </row>
    <row r="31307" spans="1:5" x14ac:dyDescent="0.25">
      <c r="A31307" t="s">
        <v>10058</v>
      </c>
      <c r="B31307" t="s">
        <v>10059</v>
      </c>
      <c r="C31307" s="1" t="s">
        <v>23490</v>
      </c>
      <c r="D31307" s="1" t="str">
        <f>HYPERLINK("https://rhld.insurance.arkansas.gov/NPILookup?Npi=1487675310","1487675310")</f>
        <v>1487675310</v>
      </c>
      <c r="E31307" t="s">
        <v>10320</v>
      </c>
    </row>
    <row r="31308" spans="1:5" x14ac:dyDescent="0.25">
      <c r="A31308" t="s">
        <v>10058</v>
      </c>
      <c r="B31308" t="s">
        <v>10059</v>
      </c>
      <c r="C31308" s="1" t="s">
        <v>23490</v>
      </c>
      <c r="D31308" s="1" t="str">
        <f>HYPERLINK("https://rhld.insurance.arkansas.gov/NPILookup?Npi=1487688263","1487688263")</f>
        <v>1487688263</v>
      </c>
      <c r="E31308" t="s">
        <v>10067</v>
      </c>
    </row>
    <row r="31309" spans="1:5" x14ac:dyDescent="0.25">
      <c r="A31309" t="s">
        <v>10058</v>
      </c>
      <c r="B31309" t="s">
        <v>10059</v>
      </c>
      <c r="C31309" s="1" t="s">
        <v>23490</v>
      </c>
      <c r="D31309" s="1" t="str">
        <f>HYPERLINK("https://rhld.insurance.arkansas.gov/NPILookup?Npi=1487714739","1487714739")</f>
        <v>1487714739</v>
      </c>
      <c r="E31309" t="s">
        <v>12740</v>
      </c>
    </row>
    <row r="31310" spans="1:5" x14ac:dyDescent="0.25">
      <c r="A31310" t="s">
        <v>10058</v>
      </c>
      <c r="B31310" t="s">
        <v>10059</v>
      </c>
      <c r="C31310" s="1" t="s">
        <v>23490</v>
      </c>
      <c r="D31310" s="1" t="str">
        <f>HYPERLINK("https://rhld.insurance.arkansas.gov/NPILookup?Npi=1487733747","1487733747")</f>
        <v>1487733747</v>
      </c>
      <c r="E31310" t="s">
        <v>10126</v>
      </c>
    </row>
    <row r="31311" spans="1:5" x14ac:dyDescent="0.25">
      <c r="A31311" t="s">
        <v>10058</v>
      </c>
      <c r="B31311" t="s">
        <v>10059</v>
      </c>
      <c r="C31311" s="1" t="s">
        <v>23490</v>
      </c>
      <c r="D31311" s="1" t="str">
        <f>HYPERLINK("https://rhld.insurance.arkansas.gov/NPILookup?Npi=1487748166","1487748166")</f>
        <v>1487748166</v>
      </c>
      <c r="E31311" t="s">
        <v>10321</v>
      </c>
    </row>
    <row r="31312" spans="1:5" x14ac:dyDescent="0.25">
      <c r="A31312" t="s">
        <v>10058</v>
      </c>
      <c r="B31312" t="s">
        <v>10059</v>
      </c>
      <c r="C31312" s="1" t="s">
        <v>23490</v>
      </c>
      <c r="D31312" s="1" t="str">
        <f>HYPERLINK("https://rhld.insurance.arkansas.gov/NPILookup?Npi=1487764510","1487764510")</f>
        <v>1487764510</v>
      </c>
      <c r="E31312" t="s">
        <v>10322</v>
      </c>
    </row>
    <row r="31313" spans="1:5" x14ac:dyDescent="0.25">
      <c r="A31313" t="s">
        <v>10058</v>
      </c>
      <c r="B31313" t="s">
        <v>10059</v>
      </c>
      <c r="C31313" s="1" t="s">
        <v>23490</v>
      </c>
      <c r="D31313" s="1" t="str">
        <f>HYPERLINK("https://rhld.insurance.arkansas.gov/NPILookup?Npi=1487789400","1487789400")</f>
        <v>1487789400</v>
      </c>
      <c r="E31313" t="s">
        <v>21357</v>
      </c>
    </row>
    <row r="31314" spans="1:5" x14ac:dyDescent="0.25">
      <c r="A31314" t="s">
        <v>10058</v>
      </c>
      <c r="B31314" t="s">
        <v>10059</v>
      </c>
      <c r="C31314" s="1" t="s">
        <v>23490</v>
      </c>
      <c r="D31314" s="1" t="str">
        <f>HYPERLINK("https://rhld.insurance.arkansas.gov/NPILookup?Npi=1487793097","1487793097")</f>
        <v>1487793097</v>
      </c>
      <c r="E31314" t="s">
        <v>17813</v>
      </c>
    </row>
    <row r="31315" spans="1:5" x14ac:dyDescent="0.25">
      <c r="A31315" t="s">
        <v>10058</v>
      </c>
      <c r="B31315" t="s">
        <v>10059</v>
      </c>
      <c r="C31315" s="1" t="s">
        <v>23490</v>
      </c>
      <c r="D31315" s="1" t="str">
        <f>HYPERLINK("https://rhld.insurance.arkansas.gov/NPILookup?Npi=1487806121","1487806121")</f>
        <v>1487806121</v>
      </c>
      <c r="E31315" t="s">
        <v>17814</v>
      </c>
    </row>
    <row r="31316" spans="1:5" x14ac:dyDescent="0.25">
      <c r="A31316" t="s">
        <v>10058</v>
      </c>
      <c r="B31316" t="s">
        <v>10059</v>
      </c>
      <c r="C31316" s="1" t="s">
        <v>23490</v>
      </c>
      <c r="D31316" s="1" t="str">
        <f>HYPERLINK("https://rhld.insurance.arkansas.gov/NPILookup?Npi=1497114144","1497114144")</f>
        <v>1497114144</v>
      </c>
      <c r="E31316" t="s">
        <v>10323</v>
      </c>
    </row>
    <row r="31317" spans="1:5" x14ac:dyDescent="0.25">
      <c r="A31317" t="s">
        <v>10058</v>
      </c>
      <c r="B31317" t="s">
        <v>10059</v>
      </c>
      <c r="C31317" s="1" t="s">
        <v>23490</v>
      </c>
      <c r="D31317" s="1" t="str">
        <f>HYPERLINK("https://rhld.insurance.arkansas.gov/NPILookup?Npi=1497174825","1497174825")</f>
        <v>1497174825</v>
      </c>
      <c r="E31317" t="s">
        <v>10324</v>
      </c>
    </row>
    <row r="31318" spans="1:5" x14ac:dyDescent="0.25">
      <c r="A31318" t="s">
        <v>10058</v>
      </c>
      <c r="B31318" t="s">
        <v>10059</v>
      </c>
      <c r="C31318" s="1" t="s">
        <v>23490</v>
      </c>
      <c r="D31318" s="1" t="str">
        <f>HYPERLINK("https://rhld.insurance.arkansas.gov/NPILookup?Npi=1497186340","1497186340")</f>
        <v>1497186340</v>
      </c>
      <c r="E31318" t="s">
        <v>10325</v>
      </c>
    </row>
    <row r="31319" spans="1:5" x14ac:dyDescent="0.25">
      <c r="A31319" t="s">
        <v>10058</v>
      </c>
      <c r="B31319" t="s">
        <v>10059</v>
      </c>
      <c r="C31319" s="1" t="s">
        <v>23490</v>
      </c>
      <c r="D31319" s="1" t="str">
        <f>HYPERLINK("https://rhld.insurance.arkansas.gov/NPILookup?Npi=1497210355","1497210355")</f>
        <v>1497210355</v>
      </c>
      <c r="E31319" t="s">
        <v>10499</v>
      </c>
    </row>
    <row r="31320" spans="1:5" x14ac:dyDescent="0.25">
      <c r="A31320" t="s">
        <v>10058</v>
      </c>
      <c r="B31320" t="s">
        <v>10059</v>
      </c>
      <c r="C31320" s="1" t="s">
        <v>23490</v>
      </c>
      <c r="D31320" s="1" t="str">
        <f>HYPERLINK("https://rhld.insurance.arkansas.gov/NPILookup?Npi=1497364319","1497364319")</f>
        <v>1497364319</v>
      </c>
      <c r="E31320" t="s">
        <v>14671</v>
      </c>
    </row>
    <row r="31321" spans="1:5" x14ac:dyDescent="0.25">
      <c r="A31321" t="s">
        <v>10058</v>
      </c>
      <c r="B31321" t="s">
        <v>10059</v>
      </c>
      <c r="C31321" s="1" t="s">
        <v>23490</v>
      </c>
      <c r="D31321" s="1" t="str">
        <f>HYPERLINK("https://rhld.insurance.arkansas.gov/NPILookup?Npi=1497755946","1497755946")</f>
        <v>1497755946</v>
      </c>
      <c r="E31321" t="s">
        <v>10326</v>
      </c>
    </row>
    <row r="31322" spans="1:5" x14ac:dyDescent="0.25">
      <c r="A31322" t="s">
        <v>10058</v>
      </c>
      <c r="B31322" t="s">
        <v>10059</v>
      </c>
      <c r="C31322" s="1" t="s">
        <v>23490</v>
      </c>
      <c r="D31322" s="1" t="str">
        <f>HYPERLINK("https://rhld.insurance.arkansas.gov/NPILookup?Npi=1497760664","1497760664")</f>
        <v>1497760664</v>
      </c>
      <c r="E31322" t="s">
        <v>10066</v>
      </c>
    </row>
    <row r="31323" spans="1:5" x14ac:dyDescent="0.25">
      <c r="A31323" t="s">
        <v>10058</v>
      </c>
      <c r="B31323" t="s">
        <v>10059</v>
      </c>
      <c r="C31323" s="1" t="s">
        <v>23490</v>
      </c>
      <c r="D31323" s="1" t="str">
        <f>HYPERLINK("https://rhld.insurance.arkansas.gov/NPILookup?Npi=1497766604","1497766604")</f>
        <v>1497766604</v>
      </c>
      <c r="E31323" t="s">
        <v>10327</v>
      </c>
    </row>
    <row r="31324" spans="1:5" x14ac:dyDescent="0.25">
      <c r="A31324" t="s">
        <v>10058</v>
      </c>
      <c r="B31324" t="s">
        <v>10059</v>
      </c>
      <c r="C31324" s="1" t="s">
        <v>23490</v>
      </c>
      <c r="D31324" s="1" t="str">
        <f>HYPERLINK("https://rhld.insurance.arkansas.gov/NPILookup?Npi=1497790968","1497790968")</f>
        <v>1497790968</v>
      </c>
      <c r="E31324" t="s">
        <v>10187</v>
      </c>
    </row>
    <row r="31325" spans="1:5" x14ac:dyDescent="0.25">
      <c r="A31325" t="s">
        <v>10058</v>
      </c>
      <c r="B31325" t="s">
        <v>10059</v>
      </c>
      <c r="C31325" s="1" t="s">
        <v>23490</v>
      </c>
      <c r="D31325" s="1" t="str">
        <f>HYPERLINK("https://rhld.insurance.arkansas.gov/NPILookup?Npi=1497791859","1497791859")</f>
        <v>1497791859</v>
      </c>
      <c r="E31325" t="s">
        <v>10284</v>
      </c>
    </row>
    <row r="31326" spans="1:5" x14ac:dyDescent="0.25">
      <c r="A31326" t="s">
        <v>10058</v>
      </c>
      <c r="B31326" t="s">
        <v>10059</v>
      </c>
      <c r="C31326" s="1" t="s">
        <v>23490</v>
      </c>
      <c r="D31326" s="1" t="str">
        <f>HYPERLINK("https://rhld.insurance.arkansas.gov/NPILookup?Npi=1497818967","1497818967")</f>
        <v>1497818967</v>
      </c>
      <c r="E31326" t="s">
        <v>22841</v>
      </c>
    </row>
    <row r="31327" spans="1:5" x14ac:dyDescent="0.25">
      <c r="A31327" t="s">
        <v>10058</v>
      </c>
      <c r="B31327" t="s">
        <v>10059</v>
      </c>
      <c r="C31327" s="1" t="s">
        <v>23490</v>
      </c>
      <c r="D31327" s="1" t="str">
        <f>HYPERLINK("https://rhld.insurance.arkansas.gov/NPILookup?Npi=1497828966","1497828966")</f>
        <v>1497828966</v>
      </c>
      <c r="E31327" t="s">
        <v>10087</v>
      </c>
    </row>
    <row r="31328" spans="1:5" x14ac:dyDescent="0.25">
      <c r="A31328" t="s">
        <v>10058</v>
      </c>
      <c r="B31328" t="s">
        <v>10059</v>
      </c>
      <c r="C31328" s="1" t="s">
        <v>23490</v>
      </c>
      <c r="D31328" s="1" t="str">
        <f>HYPERLINK("https://rhld.insurance.arkansas.gov/NPILookup?Npi=1497869697","1497869697")</f>
        <v>1497869697</v>
      </c>
      <c r="E31328" t="s">
        <v>20862</v>
      </c>
    </row>
    <row r="31329" spans="1:5" x14ac:dyDescent="0.25">
      <c r="A31329" t="s">
        <v>10058</v>
      </c>
      <c r="B31329" t="s">
        <v>10059</v>
      </c>
      <c r="C31329" s="1" t="s">
        <v>23490</v>
      </c>
      <c r="D31329" s="1" t="str">
        <f>HYPERLINK("https://rhld.insurance.arkansas.gov/NPILookup?Npi=1497897995","1497897995")</f>
        <v>1497897995</v>
      </c>
      <c r="E31329" t="s">
        <v>10329</v>
      </c>
    </row>
    <row r="31330" spans="1:5" x14ac:dyDescent="0.25">
      <c r="A31330" t="s">
        <v>10058</v>
      </c>
      <c r="B31330" t="s">
        <v>10059</v>
      </c>
      <c r="C31330" s="1" t="s">
        <v>23490</v>
      </c>
      <c r="D31330" s="1" t="str">
        <f>HYPERLINK("https://rhld.insurance.arkansas.gov/NPILookup?Npi=1497962088","1497962088")</f>
        <v>1497962088</v>
      </c>
      <c r="E31330" t="s">
        <v>10066</v>
      </c>
    </row>
    <row r="31331" spans="1:5" x14ac:dyDescent="0.25">
      <c r="A31331" t="s">
        <v>10058</v>
      </c>
      <c r="B31331" t="s">
        <v>10059</v>
      </c>
      <c r="C31331" s="1" t="s">
        <v>23490</v>
      </c>
      <c r="D31331" s="1" t="str">
        <f>HYPERLINK("https://rhld.insurance.arkansas.gov/NPILookup?Npi=1508027491","1508027491")</f>
        <v>1508027491</v>
      </c>
      <c r="E31331" t="s">
        <v>22842</v>
      </c>
    </row>
    <row r="31332" spans="1:5" x14ac:dyDescent="0.25">
      <c r="A31332" t="s">
        <v>10058</v>
      </c>
      <c r="B31332" t="s">
        <v>10059</v>
      </c>
      <c r="C31332" s="1" t="s">
        <v>23490</v>
      </c>
      <c r="D31332" s="1" t="str">
        <f>HYPERLINK("https://rhld.insurance.arkansas.gov/NPILookup?Npi=1508097379","1508097379")</f>
        <v>1508097379</v>
      </c>
      <c r="E31332" t="s">
        <v>10066</v>
      </c>
    </row>
    <row r="31333" spans="1:5" x14ac:dyDescent="0.25">
      <c r="A31333" t="s">
        <v>10058</v>
      </c>
      <c r="B31333" t="s">
        <v>10059</v>
      </c>
      <c r="C31333" s="1" t="s">
        <v>23490</v>
      </c>
      <c r="D31333" s="1" t="str">
        <f>HYPERLINK("https://rhld.insurance.arkansas.gov/NPILookup?Npi=1508147810","1508147810")</f>
        <v>1508147810</v>
      </c>
      <c r="E31333" t="s">
        <v>18624</v>
      </c>
    </row>
    <row r="31334" spans="1:5" x14ac:dyDescent="0.25">
      <c r="A31334" t="s">
        <v>10058</v>
      </c>
      <c r="B31334" t="s">
        <v>10059</v>
      </c>
      <c r="C31334" s="1" t="s">
        <v>23490</v>
      </c>
      <c r="D31334" s="1" t="str">
        <f>HYPERLINK("https://rhld.insurance.arkansas.gov/NPILookup?Npi=1508174095","1508174095")</f>
        <v>1508174095</v>
      </c>
      <c r="E31334" t="s">
        <v>10066</v>
      </c>
    </row>
    <row r="31335" spans="1:5" x14ac:dyDescent="0.25">
      <c r="A31335" t="s">
        <v>10058</v>
      </c>
      <c r="B31335" t="s">
        <v>10059</v>
      </c>
      <c r="C31335" s="1" t="s">
        <v>23490</v>
      </c>
      <c r="D31335" s="1" t="str">
        <f>HYPERLINK("https://rhld.insurance.arkansas.gov/NPILookup?Npi=1508578030","1508578030")</f>
        <v>1508578030</v>
      </c>
      <c r="E31335" t="s">
        <v>10230</v>
      </c>
    </row>
    <row r="31336" spans="1:5" x14ac:dyDescent="0.25">
      <c r="A31336" t="s">
        <v>10058</v>
      </c>
      <c r="B31336" t="s">
        <v>10059</v>
      </c>
      <c r="C31336" s="1" t="s">
        <v>23490</v>
      </c>
      <c r="D31336" s="1" t="str">
        <f>HYPERLINK("https://rhld.insurance.arkansas.gov/NPILookup?Npi=1508585795","1508585795")</f>
        <v>1508585795</v>
      </c>
      <c r="E31336" t="s">
        <v>22843</v>
      </c>
    </row>
    <row r="31337" spans="1:5" x14ac:dyDescent="0.25">
      <c r="A31337" t="s">
        <v>10058</v>
      </c>
      <c r="B31337" t="s">
        <v>10059</v>
      </c>
      <c r="C31337" s="1" t="s">
        <v>23490</v>
      </c>
      <c r="D31337" s="1" t="str">
        <f>HYPERLINK("https://rhld.insurance.arkansas.gov/NPILookup?Npi=1508824434","1508824434")</f>
        <v>1508824434</v>
      </c>
      <c r="E31337" t="s">
        <v>22844</v>
      </c>
    </row>
    <row r="31338" spans="1:5" x14ac:dyDescent="0.25">
      <c r="A31338" t="s">
        <v>10058</v>
      </c>
      <c r="B31338" t="s">
        <v>10059</v>
      </c>
      <c r="C31338" s="1" t="s">
        <v>23490</v>
      </c>
      <c r="D31338" s="1" t="str">
        <f>HYPERLINK("https://rhld.insurance.arkansas.gov/NPILookup?Npi=1508852831","1508852831")</f>
        <v>1508852831</v>
      </c>
      <c r="E31338" t="s">
        <v>10330</v>
      </c>
    </row>
    <row r="31339" spans="1:5" x14ac:dyDescent="0.25">
      <c r="A31339" t="s">
        <v>10058</v>
      </c>
      <c r="B31339" t="s">
        <v>10059</v>
      </c>
      <c r="C31339" s="1" t="s">
        <v>23490</v>
      </c>
      <c r="D31339" s="1" t="str">
        <f>HYPERLINK("https://rhld.insurance.arkansas.gov/NPILookup?Npi=1508853540","1508853540")</f>
        <v>1508853540</v>
      </c>
      <c r="E31339" t="s">
        <v>10331</v>
      </c>
    </row>
    <row r="31340" spans="1:5" x14ac:dyDescent="0.25">
      <c r="A31340" t="s">
        <v>10058</v>
      </c>
      <c r="B31340" t="s">
        <v>10059</v>
      </c>
      <c r="C31340" s="1" t="s">
        <v>23490</v>
      </c>
      <c r="D31340" s="1" t="str">
        <f>HYPERLINK("https://rhld.insurance.arkansas.gov/NPILookup?Npi=1508859737","1508859737")</f>
        <v>1508859737</v>
      </c>
      <c r="E31340" t="s">
        <v>10332</v>
      </c>
    </row>
    <row r="31341" spans="1:5" x14ac:dyDescent="0.25">
      <c r="A31341" t="s">
        <v>10058</v>
      </c>
      <c r="B31341" t="s">
        <v>10059</v>
      </c>
      <c r="C31341" s="1" t="s">
        <v>23490</v>
      </c>
      <c r="D31341" s="1" t="str">
        <f>HYPERLINK("https://rhld.insurance.arkansas.gov/NPILookup?Npi=1508873514","1508873514")</f>
        <v>1508873514</v>
      </c>
      <c r="E31341" t="s">
        <v>10066</v>
      </c>
    </row>
    <row r="31342" spans="1:5" x14ac:dyDescent="0.25">
      <c r="A31342" t="s">
        <v>10058</v>
      </c>
      <c r="B31342" t="s">
        <v>10059</v>
      </c>
      <c r="C31342" s="1" t="s">
        <v>23490</v>
      </c>
      <c r="D31342" s="1" t="str">
        <f>HYPERLINK("https://rhld.insurance.arkansas.gov/NPILookup?Npi=1508883901","1508883901")</f>
        <v>1508883901</v>
      </c>
      <c r="E31342" t="s">
        <v>13312</v>
      </c>
    </row>
    <row r="31343" spans="1:5" x14ac:dyDescent="0.25">
      <c r="A31343" t="s">
        <v>10058</v>
      </c>
      <c r="B31343" t="s">
        <v>10059</v>
      </c>
      <c r="C31343" s="1" t="s">
        <v>23490</v>
      </c>
      <c r="D31343" s="1" t="str">
        <f>HYPERLINK("https://rhld.insurance.arkansas.gov/NPILookup?Npi=1508883927","1508883927")</f>
        <v>1508883927</v>
      </c>
      <c r="E31343" t="s">
        <v>10060</v>
      </c>
    </row>
    <row r="31344" spans="1:5" x14ac:dyDescent="0.25">
      <c r="A31344" t="s">
        <v>10058</v>
      </c>
      <c r="B31344" t="s">
        <v>10059</v>
      </c>
      <c r="C31344" s="1" t="s">
        <v>23490</v>
      </c>
      <c r="D31344" s="1" t="str">
        <f>HYPERLINK("https://rhld.insurance.arkansas.gov/NPILookup?Npi=1508883992","1508883992")</f>
        <v>1508883992</v>
      </c>
      <c r="E31344" t="s">
        <v>13312</v>
      </c>
    </row>
    <row r="31345" spans="1:5" x14ac:dyDescent="0.25">
      <c r="A31345" t="s">
        <v>10058</v>
      </c>
      <c r="B31345" t="s">
        <v>10059</v>
      </c>
      <c r="C31345" s="1" t="s">
        <v>23490</v>
      </c>
      <c r="D31345" s="1" t="str">
        <f>HYPERLINK("https://rhld.insurance.arkansas.gov/NPILookup?Npi=1508890245","1508890245")</f>
        <v>1508890245</v>
      </c>
      <c r="E31345" t="s">
        <v>10067</v>
      </c>
    </row>
    <row r="31346" spans="1:5" x14ac:dyDescent="0.25">
      <c r="A31346" t="s">
        <v>10058</v>
      </c>
      <c r="B31346" t="s">
        <v>10059</v>
      </c>
      <c r="C31346" s="1" t="s">
        <v>23490</v>
      </c>
      <c r="D31346" s="1" t="str">
        <f>HYPERLINK("https://rhld.insurance.arkansas.gov/NPILookup?Npi=1508903139","1508903139")</f>
        <v>1508903139</v>
      </c>
      <c r="E31346" t="s">
        <v>10333</v>
      </c>
    </row>
    <row r="31347" spans="1:5" x14ac:dyDescent="0.25">
      <c r="A31347" t="s">
        <v>10058</v>
      </c>
      <c r="B31347" t="s">
        <v>10059</v>
      </c>
      <c r="C31347" s="1" t="s">
        <v>23490</v>
      </c>
      <c r="D31347" s="1" t="str">
        <f>HYPERLINK("https://rhld.insurance.arkansas.gov/NPILookup?Npi=1508939075","1508939075")</f>
        <v>1508939075</v>
      </c>
      <c r="E31347" t="s">
        <v>10087</v>
      </c>
    </row>
    <row r="31348" spans="1:5" x14ac:dyDescent="0.25">
      <c r="A31348" t="s">
        <v>10058</v>
      </c>
      <c r="B31348" t="s">
        <v>10059</v>
      </c>
      <c r="C31348" s="1" t="s">
        <v>23490</v>
      </c>
      <c r="D31348" s="1" t="str">
        <f>HYPERLINK("https://rhld.insurance.arkansas.gov/NPILookup?Npi=1508950916","1508950916")</f>
        <v>1508950916</v>
      </c>
      <c r="E31348" t="s">
        <v>10334</v>
      </c>
    </row>
    <row r="31349" spans="1:5" x14ac:dyDescent="0.25">
      <c r="A31349" t="s">
        <v>10058</v>
      </c>
      <c r="B31349" t="s">
        <v>10059</v>
      </c>
      <c r="C31349" s="1" t="s">
        <v>23490</v>
      </c>
      <c r="D31349" s="1" t="str">
        <f>HYPERLINK("https://rhld.insurance.arkansas.gov/NPILookup?Npi=1508966821","1508966821")</f>
        <v>1508966821</v>
      </c>
      <c r="E31349" t="s">
        <v>12741</v>
      </c>
    </row>
    <row r="31350" spans="1:5" x14ac:dyDescent="0.25">
      <c r="A31350" t="s">
        <v>10058</v>
      </c>
      <c r="B31350" t="s">
        <v>10059</v>
      </c>
      <c r="C31350" s="1" t="s">
        <v>23490</v>
      </c>
      <c r="D31350" s="1" t="str">
        <f>HYPERLINK("https://rhld.insurance.arkansas.gov/NPILookup?Npi=1508970393","1508970393")</f>
        <v>1508970393</v>
      </c>
      <c r="E31350" t="s">
        <v>10335</v>
      </c>
    </row>
    <row r="31351" spans="1:5" x14ac:dyDescent="0.25">
      <c r="A31351" t="s">
        <v>10058</v>
      </c>
      <c r="B31351" t="s">
        <v>10059</v>
      </c>
      <c r="C31351" s="1" t="s">
        <v>23490</v>
      </c>
      <c r="D31351" s="1" t="str">
        <f>HYPERLINK("https://rhld.insurance.arkansas.gov/NPILookup?Npi=1508972167","1508972167")</f>
        <v>1508972167</v>
      </c>
      <c r="E31351" t="s">
        <v>10336</v>
      </c>
    </row>
    <row r="31352" spans="1:5" x14ac:dyDescent="0.25">
      <c r="A31352" t="s">
        <v>10058</v>
      </c>
      <c r="B31352" t="s">
        <v>10059</v>
      </c>
      <c r="C31352" s="1" t="s">
        <v>23490</v>
      </c>
      <c r="D31352" s="1" t="str">
        <f>HYPERLINK("https://rhld.insurance.arkansas.gov/NPILookup?Npi=1518001296","1518001296")</f>
        <v>1518001296</v>
      </c>
      <c r="E31352" t="s">
        <v>7591</v>
      </c>
    </row>
    <row r="31353" spans="1:5" x14ac:dyDescent="0.25">
      <c r="A31353" t="s">
        <v>10058</v>
      </c>
      <c r="B31353" t="s">
        <v>10059</v>
      </c>
      <c r="C31353" s="1" t="s">
        <v>23490</v>
      </c>
      <c r="D31353" s="1" t="str">
        <f>HYPERLINK("https://rhld.insurance.arkansas.gov/NPILookup?Npi=1518048164","1518048164")</f>
        <v>1518048164</v>
      </c>
      <c r="E31353" t="s">
        <v>10337</v>
      </c>
    </row>
    <row r="31354" spans="1:5" x14ac:dyDescent="0.25">
      <c r="A31354" t="s">
        <v>10058</v>
      </c>
      <c r="B31354" t="s">
        <v>10059</v>
      </c>
      <c r="C31354" s="1" t="s">
        <v>23490</v>
      </c>
      <c r="D31354" s="1" t="str">
        <f>HYPERLINK("https://rhld.insurance.arkansas.gov/NPILookup?Npi=1518069004","1518069004")</f>
        <v>1518069004</v>
      </c>
      <c r="E31354" t="s">
        <v>10514</v>
      </c>
    </row>
    <row r="31355" spans="1:5" x14ac:dyDescent="0.25">
      <c r="A31355" t="s">
        <v>10058</v>
      </c>
      <c r="B31355" t="s">
        <v>10059</v>
      </c>
      <c r="C31355" s="1" t="s">
        <v>23490</v>
      </c>
      <c r="D31355" s="1" t="str">
        <f>HYPERLINK("https://rhld.insurance.arkansas.gov/NPILookup?Npi=1518095181","1518095181")</f>
        <v>1518095181</v>
      </c>
      <c r="E31355" t="s">
        <v>10338</v>
      </c>
    </row>
    <row r="31356" spans="1:5" x14ac:dyDescent="0.25">
      <c r="A31356" t="s">
        <v>10058</v>
      </c>
      <c r="B31356" t="s">
        <v>10059</v>
      </c>
      <c r="C31356" s="1" t="s">
        <v>23490</v>
      </c>
      <c r="D31356" s="1" t="str">
        <f>HYPERLINK("https://rhld.insurance.arkansas.gov/NPILookup?Npi=1518271139","1518271139")</f>
        <v>1518271139</v>
      </c>
      <c r="E31356" t="s">
        <v>10339</v>
      </c>
    </row>
    <row r="31357" spans="1:5" x14ac:dyDescent="0.25">
      <c r="A31357" t="s">
        <v>10058</v>
      </c>
      <c r="B31357" t="s">
        <v>10059</v>
      </c>
      <c r="C31357" s="1" t="s">
        <v>23490</v>
      </c>
      <c r="D31357" s="1" t="str">
        <f>HYPERLINK("https://rhld.insurance.arkansas.gov/NPILookup?Npi=1518345966","1518345966")</f>
        <v>1518345966</v>
      </c>
      <c r="E31357" t="s">
        <v>22845</v>
      </c>
    </row>
    <row r="31358" spans="1:5" x14ac:dyDescent="0.25">
      <c r="A31358" t="s">
        <v>10058</v>
      </c>
      <c r="B31358" t="s">
        <v>10059</v>
      </c>
      <c r="C31358" s="1" t="s">
        <v>23490</v>
      </c>
      <c r="D31358" s="1" t="str">
        <f>HYPERLINK("https://rhld.insurance.arkansas.gov/NPILookup?Npi=1518442706","1518442706")</f>
        <v>1518442706</v>
      </c>
      <c r="E31358" t="s">
        <v>10138</v>
      </c>
    </row>
    <row r="31359" spans="1:5" x14ac:dyDescent="0.25">
      <c r="A31359" t="s">
        <v>10058</v>
      </c>
      <c r="B31359" t="s">
        <v>10059</v>
      </c>
      <c r="C31359" s="1" t="s">
        <v>23490</v>
      </c>
      <c r="D31359" s="1" t="str">
        <f>HYPERLINK("https://rhld.insurance.arkansas.gov/NPILookup?Npi=1518470970","1518470970")</f>
        <v>1518470970</v>
      </c>
      <c r="E31359" t="s">
        <v>14657</v>
      </c>
    </row>
    <row r="31360" spans="1:5" x14ac:dyDescent="0.25">
      <c r="A31360" t="s">
        <v>10058</v>
      </c>
      <c r="B31360" t="s">
        <v>10059</v>
      </c>
      <c r="C31360" s="1" t="s">
        <v>23490</v>
      </c>
      <c r="D31360" s="1" t="str">
        <f>HYPERLINK("https://rhld.insurance.arkansas.gov/NPILookup?Npi=1518479831","1518479831")</f>
        <v>1518479831</v>
      </c>
      <c r="E31360" t="s">
        <v>13317</v>
      </c>
    </row>
    <row r="31361" spans="1:5" x14ac:dyDescent="0.25">
      <c r="A31361" t="s">
        <v>10058</v>
      </c>
      <c r="B31361" t="s">
        <v>10059</v>
      </c>
      <c r="C31361" s="1" t="s">
        <v>23490</v>
      </c>
      <c r="D31361" s="1" t="str">
        <f>HYPERLINK("https://rhld.insurance.arkansas.gov/NPILookup?Npi=1518482447","1518482447")</f>
        <v>1518482447</v>
      </c>
      <c r="E31361" t="s">
        <v>16829</v>
      </c>
    </row>
    <row r="31362" spans="1:5" x14ac:dyDescent="0.25">
      <c r="A31362" t="s">
        <v>10058</v>
      </c>
      <c r="B31362" t="s">
        <v>10059</v>
      </c>
      <c r="C31362" s="1" t="s">
        <v>23490</v>
      </c>
      <c r="D31362" s="1" t="str">
        <f>HYPERLINK("https://rhld.insurance.arkansas.gov/NPILookup?Npi=1518668417","1518668417")</f>
        <v>1518668417</v>
      </c>
      <c r="E31362" t="s">
        <v>10483</v>
      </c>
    </row>
    <row r="31363" spans="1:5" x14ac:dyDescent="0.25">
      <c r="A31363" t="s">
        <v>10058</v>
      </c>
      <c r="B31363" t="s">
        <v>10059</v>
      </c>
      <c r="C31363" s="1" t="s">
        <v>23490</v>
      </c>
      <c r="D31363" s="1" t="str">
        <f>HYPERLINK("https://rhld.insurance.arkansas.gov/NPILookup?Npi=1518697200","1518697200")</f>
        <v>1518697200</v>
      </c>
      <c r="E31363" t="s">
        <v>10212</v>
      </c>
    </row>
    <row r="31364" spans="1:5" x14ac:dyDescent="0.25">
      <c r="A31364" t="s">
        <v>10058</v>
      </c>
      <c r="B31364" t="s">
        <v>10059</v>
      </c>
      <c r="C31364" s="1" t="s">
        <v>23490</v>
      </c>
      <c r="D31364" s="1" t="str">
        <f>HYPERLINK("https://rhld.insurance.arkansas.gov/NPILookup?Npi=1518923887","1518923887")</f>
        <v>1518923887</v>
      </c>
      <c r="E31364" t="s">
        <v>14658</v>
      </c>
    </row>
    <row r="31365" spans="1:5" x14ac:dyDescent="0.25">
      <c r="A31365" t="s">
        <v>10058</v>
      </c>
      <c r="B31365" t="s">
        <v>10059</v>
      </c>
      <c r="C31365" s="1" t="s">
        <v>23490</v>
      </c>
      <c r="D31365" s="1" t="str">
        <f>HYPERLINK("https://rhld.insurance.arkansas.gov/NPILookup?Npi=1518956747","1518956747")</f>
        <v>1518956747</v>
      </c>
      <c r="E31365" t="s">
        <v>10340</v>
      </c>
    </row>
    <row r="31366" spans="1:5" x14ac:dyDescent="0.25">
      <c r="A31366" t="s">
        <v>10058</v>
      </c>
      <c r="B31366" t="s">
        <v>10059</v>
      </c>
      <c r="C31366" s="1" t="s">
        <v>23490</v>
      </c>
      <c r="D31366" s="1" t="str">
        <f>HYPERLINK("https://rhld.insurance.arkansas.gov/NPILookup?Npi=1518980986","1518980986")</f>
        <v>1518980986</v>
      </c>
      <c r="E31366" t="s">
        <v>10341</v>
      </c>
    </row>
    <row r="31367" spans="1:5" x14ac:dyDescent="0.25">
      <c r="A31367" t="s">
        <v>10058</v>
      </c>
      <c r="B31367" t="s">
        <v>10059</v>
      </c>
      <c r="C31367" s="1" t="s">
        <v>23490</v>
      </c>
      <c r="D31367" s="1" t="str">
        <f>HYPERLINK("https://rhld.insurance.arkansas.gov/NPILookup?Npi=1518984871","1518984871")</f>
        <v>1518984871</v>
      </c>
      <c r="E31367" t="s">
        <v>10060</v>
      </c>
    </row>
    <row r="31368" spans="1:5" x14ac:dyDescent="0.25">
      <c r="A31368" t="s">
        <v>10058</v>
      </c>
      <c r="B31368" t="s">
        <v>10059</v>
      </c>
      <c r="C31368" s="1" t="s">
        <v>23490</v>
      </c>
      <c r="D31368" s="1" t="str">
        <f>HYPERLINK("https://rhld.insurance.arkansas.gov/NPILookup?Npi=1518984905","1518984905")</f>
        <v>1518984905</v>
      </c>
      <c r="E31368" t="s">
        <v>13312</v>
      </c>
    </row>
    <row r="31369" spans="1:5" x14ac:dyDescent="0.25">
      <c r="A31369" t="s">
        <v>10058</v>
      </c>
      <c r="B31369" t="s">
        <v>10059</v>
      </c>
      <c r="C31369" s="1" t="s">
        <v>23490</v>
      </c>
      <c r="D31369" s="1" t="str">
        <f>HYPERLINK("https://rhld.insurance.arkansas.gov/NPILookup?Npi=1518984921","1518984921")</f>
        <v>1518984921</v>
      </c>
      <c r="E31369" t="s">
        <v>13312</v>
      </c>
    </row>
    <row r="31370" spans="1:5" x14ac:dyDescent="0.25">
      <c r="A31370" t="s">
        <v>10058</v>
      </c>
      <c r="B31370" t="s">
        <v>10059</v>
      </c>
      <c r="C31370" s="1" t="s">
        <v>23490</v>
      </c>
      <c r="D31370" s="1" t="str">
        <f>HYPERLINK("https://rhld.insurance.arkansas.gov/NPILookup?Npi=1518984996","1518984996")</f>
        <v>1518984996</v>
      </c>
      <c r="E31370" t="s">
        <v>13312</v>
      </c>
    </row>
    <row r="31371" spans="1:5" x14ac:dyDescent="0.25">
      <c r="A31371" t="s">
        <v>10058</v>
      </c>
      <c r="B31371" t="s">
        <v>10059</v>
      </c>
      <c r="C31371" s="1" t="s">
        <v>23490</v>
      </c>
      <c r="D31371" s="1" t="str">
        <f>HYPERLINK("https://rhld.insurance.arkansas.gov/NPILookup?Npi=1518985357","1518985357")</f>
        <v>1518985357</v>
      </c>
      <c r="E31371" t="s">
        <v>10060</v>
      </c>
    </row>
    <row r="31372" spans="1:5" x14ac:dyDescent="0.25">
      <c r="A31372" t="s">
        <v>10058</v>
      </c>
      <c r="B31372" t="s">
        <v>10059</v>
      </c>
      <c r="C31372" s="1" t="s">
        <v>23490</v>
      </c>
      <c r="D31372" s="1" t="str">
        <f>HYPERLINK("https://rhld.insurance.arkansas.gov/NPILookup?Npi=1528019148","1528019148")</f>
        <v>1528019148</v>
      </c>
      <c r="E31372" t="s">
        <v>10342</v>
      </c>
    </row>
    <row r="31373" spans="1:5" x14ac:dyDescent="0.25">
      <c r="A31373" t="s">
        <v>10058</v>
      </c>
      <c r="B31373" t="s">
        <v>10059</v>
      </c>
      <c r="C31373" s="1" t="s">
        <v>23490</v>
      </c>
      <c r="D31373" s="1" t="str">
        <f>HYPERLINK("https://rhld.insurance.arkansas.gov/NPILookup?Npi=1528058112","1528058112")</f>
        <v>1528058112</v>
      </c>
      <c r="E31373" t="s">
        <v>10343</v>
      </c>
    </row>
    <row r="31374" spans="1:5" x14ac:dyDescent="0.25">
      <c r="A31374" t="s">
        <v>10058</v>
      </c>
      <c r="B31374" t="s">
        <v>10059</v>
      </c>
      <c r="C31374" s="1" t="s">
        <v>23490</v>
      </c>
      <c r="D31374" s="1" t="str">
        <f>HYPERLINK("https://rhld.insurance.arkansas.gov/NPILookup?Npi=1528073624","1528073624")</f>
        <v>1528073624</v>
      </c>
      <c r="E31374" t="s">
        <v>10066</v>
      </c>
    </row>
    <row r="31375" spans="1:5" x14ac:dyDescent="0.25">
      <c r="A31375" t="s">
        <v>10058</v>
      </c>
      <c r="B31375" t="s">
        <v>10059</v>
      </c>
      <c r="C31375" s="1" t="s">
        <v>23490</v>
      </c>
      <c r="D31375" s="1" t="str">
        <f>HYPERLINK("https://rhld.insurance.arkansas.gov/NPILookup?Npi=1528085727","1528085727")</f>
        <v>1528085727</v>
      </c>
      <c r="E31375" t="s">
        <v>10060</v>
      </c>
    </row>
    <row r="31376" spans="1:5" x14ac:dyDescent="0.25">
      <c r="A31376" t="s">
        <v>10058</v>
      </c>
      <c r="B31376" t="s">
        <v>10059</v>
      </c>
      <c r="C31376" s="1" t="s">
        <v>23490</v>
      </c>
      <c r="D31376" s="1" t="str">
        <f>HYPERLINK("https://rhld.insurance.arkansas.gov/NPILookup?Npi=1528085867","1528085867")</f>
        <v>1528085867</v>
      </c>
      <c r="E31376" t="s">
        <v>10060</v>
      </c>
    </row>
    <row r="31377" spans="1:5" x14ac:dyDescent="0.25">
      <c r="A31377" t="s">
        <v>10058</v>
      </c>
      <c r="B31377" t="s">
        <v>10059</v>
      </c>
      <c r="C31377" s="1" t="s">
        <v>23490</v>
      </c>
      <c r="D31377" s="1" t="str">
        <f>HYPERLINK("https://rhld.insurance.arkansas.gov/NPILookup?Npi=1528085933","1528085933")</f>
        <v>1528085933</v>
      </c>
      <c r="E31377" t="s">
        <v>10060</v>
      </c>
    </row>
    <row r="31378" spans="1:5" x14ac:dyDescent="0.25">
      <c r="A31378" t="s">
        <v>10058</v>
      </c>
      <c r="B31378" t="s">
        <v>10059</v>
      </c>
      <c r="C31378" s="1" t="s">
        <v>23490</v>
      </c>
      <c r="D31378" s="1" t="str">
        <f>HYPERLINK("https://rhld.insurance.arkansas.gov/NPILookup?Npi=1528085941","1528085941")</f>
        <v>1528085941</v>
      </c>
      <c r="E31378" t="s">
        <v>10061</v>
      </c>
    </row>
    <row r="31379" spans="1:5" x14ac:dyDescent="0.25">
      <c r="A31379" t="s">
        <v>10058</v>
      </c>
      <c r="B31379" t="s">
        <v>10059</v>
      </c>
      <c r="C31379" s="1" t="s">
        <v>23490</v>
      </c>
      <c r="D31379" s="1" t="str">
        <f>HYPERLINK("https://rhld.insurance.arkansas.gov/NPILookup?Npi=1528092236","1528092236")</f>
        <v>1528092236</v>
      </c>
      <c r="E31379" t="s">
        <v>10067</v>
      </c>
    </row>
    <row r="31380" spans="1:5" x14ac:dyDescent="0.25">
      <c r="A31380" t="s">
        <v>10058</v>
      </c>
      <c r="B31380" t="s">
        <v>10059</v>
      </c>
      <c r="C31380" s="1" t="s">
        <v>23490</v>
      </c>
      <c r="D31380" s="1" t="str">
        <f>HYPERLINK("https://rhld.insurance.arkansas.gov/NPILookup?Npi=1528092251","1528092251")</f>
        <v>1528092251</v>
      </c>
      <c r="E31380" t="s">
        <v>10067</v>
      </c>
    </row>
    <row r="31381" spans="1:5" x14ac:dyDescent="0.25">
      <c r="A31381" t="s">
        <v>10058</v>
      </c>
      <c r="B31381" t="s">
        <v>10059</v>
      </c>
      <c r="C31381" s="1" t="s">
        <v>23490</v>
      </c>
      <c r="D31381" s="1" t="str">
        <f>HYPERLINK("https://rhld.insurance.arkansas.gov/NPILookup?Npi=1528124237","1528124237")</f>
        <v>1528124237</v>
      </c>
      <c r="E31381" t="s">
        <v>10137</v>
      </c>
    </row>
    <row r="31382" spans="1:5" x14ac:dyDescent="0.25">
      <c r="A31382" t="s">
        <v>10058</v>
      </c>
      <c r="B31382" t="s">
        <v>10059</v>
      </c>
      <c r="C31382" s="1" t="s">
        <v>23490</v>
      </c>
      <c r="D31382" s="1" t="str">
        <f>HYPERLINK("https://rhld.insurance.arkansas.gov/NPILookup?Npi=1528136470","1528136470")</f>
        <v>1528136470</v>
      </c>
      <c r="E31382" t="s">
        <v>10344</v>
      </c>
    </row>
    <row r="31383" spans="1:5" x14ac:dyDescent="0.25">
      <c r="A31383" t="s">
        <v>10058</v>
      </c>
      <c r="B31383" t="s">
        <v>10059</v>
      </c>
      <c r="C31383" s="1" t="s">
        <v>23490</v>
      </c>
      <c r="D31383" s="1" t="str">
        <f>HYPERLINK("https://rhld.insurance.arkansas.gov/NPILookup?Npi=1528229614","1528229614")</f>
        <v>1528229614</v>
      </c>
      <c r="E31383" t="s">
        <v>10154</v>
      </c>
    </row>
    <row r="31384" spans="1:5" x14ac:dyDescent="0.25">
      <c r="A31384" t="s">
        <v>10058</v>
      </c>
      <c r="B31384" t="s">
        <v>10059</v>
      </c>
      <c r="C31384" s="1" t="s">
        <v>23490</v>
      </c>
      <c r="D31384" s="1" t="str">
        <f>HYPERLINK("https://rhld.insurance.arkansas.gov/NPILookup?Npi=1528362480","1528362480")</f>
        <v>1528362480</v>
      </c>
      <c r="E31384" t="s">
        <v>10135</v>
      </c>
    </row>
    <row r="31385" spans="1:5" x14ac:dyDescent="0.25">
      <c r="A31385" t="s">
        <v>10058</v>
      </c>
      <c r="B31385" t="s">
        <v>10059</v>
      </c>
      <c r="C31385" s="1" t="s">
        <v>23490</v>
      </c>
      <c r="D31385" s="1" t="str">
        <f>HYPERLINK("https://rhld.insurance.arkansas.gov/NPILookup?Npi=1528451648","1528451648")</f>
        <v>1528451648</v>
      </c>
      <c r="E31385" t="s">
        <v>19285</v>
      </c>
    </row>
    <row r="31386" spans="1:5" x14ac:dyDescent="0.25">
      <c r="A31386" t="s">
        <v>10058</v>
      </c>
      <c r="B31386" t="s">
        <v>10059</v>
      </c>
      <c r="C31386" s="1" t="s">
        <v>23490</v>
      </c>
      <c r="D31386" s="1" t="str">
        <f>HYPERLINK("https://rhld.insurance.arkansas.gov/NPILookup?Npi=1528514734","1528514734")</f>
        <v>1528514734</v>
      </c>
      <c r="E31386" t="s">
        <v>12742</v>
      </c>
    </row>
    <row r="31387" spans="1:5" x14ac:dyDescent="0.25">
      <c r="A31387" t="s">
        <v>10058</v>
      </c>
      <c r="B31387" t="s">
        <v>10059</v>
      </c>
      <c r="C31387" s="1" t="s">
        <v>23490</v>
      </c>
      <c r="D31387" s="1" t="str">
        <f>HYPERLINK("https://rhld.insurance.arkansas.gov/NPILookup?Npi=1528547130","1528547130")</f>
        <v>1528547130</v>
      </c>
      <c r="E31387" t="s">
        <v>16814</v>
      </c>
    </row>
    <row r="31388" spans="1:5" x14ac:dyDescent="0.25">
      <c r="A31388" t="s">
        <v>10058</v>
      </c>
      <c r="B31388" t="s">
        <v>10059</v>
      </c>
      <c r="C31388" s="1" t="s">
        <v>23490</v>
      </c>
      <c r="D31388" s="1" t="str">
        <f>HYPERLINK("https://rhld.insurance.arkansas.gov/NPILookup?Npi=1528616992","1528616992")</f>
        <v>1528616992</v>
      </c>
      <c r="E31388" t="s">
        <v>19286</v>
      </c>
    </row>
    <row r="31389" spans="1:5" x14ac:dyDescent="0.25">
      <c r="A31389" t="s">
        <v>10058</v>
      </c>
      <c r="B31389" t="s">
        <v>10059</v>
      </c>
      <c r="C31389" s="1" t="s">
        <v>23490</v>
      </c>
      <c r="D31389" s="1" t="str">
        <f>HYPERLINK("https://rhld.insurance.arkansas.gov/NPILookup?Npi=1528681335","1528681335")</f>
        <v>1528681335</v>
      </c>
      <c r="E31389" t="s">
        <v>19287</v>
      </c>
    </row>
    <row r="31390" spans="1:5" x14ac:dyDescent="0.25">
      <c r="A31390" t="s">
        <v>10058</v>
      </c>
      <c r="B31390" t="s">
        <v>10059</v>
      </c>
      <c r="C31390" s="1" t="s">
        <v>23490</v>
      </c>
      <c r="D31390" s="1" t="str">
        <f>HYPERLINK("https://rhld.insurance.arkansas.gov/NPILookup?Npi=1538134945","1538134945")</f>
        <v>1538134945</v>
      </c>
      <c r="E31390" t="s">
        <v>10135</v>
      </c>
    </row>
    <row r="31391" spans="1:5" x14ac:dyDescent="0.25">
      <c r="A31391" t="s">
        <v>10058</v>
      </c>
      <c r="B31391" t="s">
        <v>10059</v>
      </c>
      <c r="C31391" s="1" t="s">
        <v>23490</v>
      </c>
      <c r="D31391" s="1" t="str">
        <f>HYPERLINK("https://rhld.insurance.arkansas.gov/NPILookup?Npi=1538174636","1538174636")</f>
        <v>1538174636</v>
      </c>
      <c r="E31391" t="s">
        <v>10066</v>
      </c>
    </row>
    <row r="31392" spans="1:5" x14ac:dyDescent="0.25">
      <c r="A31392" t="s">
        <v>10058</v>
      </c>
      <c r="B31392" t="s">
        <v>10059</v>
      </c>
      <c r="C31392" s="1" t="s">
        <v>23490</v>
      </c>
      <c r="D31392" s="1" t="str">
        <f>HYPERLINK("https://rhld.insurance.arkansas.gov/NPILookup?Npi=1538193263","1538193263")</f>
        <v>1538193263</v>
      </c>
      <c r="E31392" t="s">
        <v>10067</v>
      </c>
    </row>
    <row r="31393" spans="1:5" x14ac:dyDescent="0.25">
      <c r="A31393" t="s">
        <v>10058</v>
      </c>
      <c r="B31393" t="s">
        <v>10059</v>
      </c>
      <c r="C31393" s="1" t="s">
        <v>23490</v>
      </c>
      <c r="D31393" s="1" t="str">
        <f>HYPERLINK("https://rhld.insurance.arkansas.gov/NPILookup?Npi=1538193313","1538193313")</f>
        <v>1538193313</v>
      </c>
      <c r="E31393" t="s">
        <v>10067</v>
      </c>
    </row>
    <row r="31394" spans="1:5" x14ac:dyDescent="0.25">
      <c r="A31394" t="s">
        <v>10058</v>
      </c>
      <c r="B31394" t="s">
        <v>10059</v>
      </c>
      <c r="C31394" s="1" t="s">
        <v>23490</v>
      </c>
      <c r="D31394" s="1" t="str">
        <f>HYPERLINK("https://rhld.insurance.arkansas.gov/NPILookup?Npi=1538202619","1538202619")</f>
        <v>1538202619</v>
      </c>
      <c r="E31394" t="s">
        <v>10346</v>
      </c>
    </row>
    <row r="31395" spans="1:5" x14ac:dyDescent="0.25">
      <c r="A31395" t="s">
        <v>10058</v>
      </c>
      <c r="B31395" t="s">
        <v>10059</v>
      </c>
      <c r="C31395" s="1" t="s">
        <v>23490</v>
      </c>
      <c r="D31395" s="1" t="str">
        <f>HYPERLINK("https://rhld.insurance.arkansas.gov/NPILookup?Npi=1538239611","1538239611")</f>
        <v>1538239611</v>
      </c>
      <c r="E31395" t="s">
        <v>10310</v>
      </c>
    </row>
    <row r="31396" spans="1:5" x14ac:dyDescent="0.25">
      <c r="A31396" t="s">
        <v>10058</v>
      </c>
      <c r="B31396" t="s">
        <v>10059</v>
      </c>
      <c r="C31396" s="1" t="s">
        <v>23490</v>
      </c>
      <c r="D31396" s="1" t="str">
        <f>HYPERLINK("https://rhld.insurance.arkansas.gov/NPILookup?Npi=1538288113","1538288113")</f>
        <v>1538288113</v>
      </c>
      <c r="E31396" t="s">
        <v>10347</v>
      </c>
    </row>
    <row r="31397" spans="1:5" x14ac:dyDescent="0.25">
      <c r="A31397" t="s">
        <v>10058</v>
      </c>
      <c r="B31397" t="s">
        <v>10059</v>
      </c>
      <c r="C31397" s="1" t="s">
        <v>23490</v>
      </c>
      <c r="D31397" s="1" t="str">
        <f>HYPERLINK("https://rhld.insurance.arkansas.gov/NPILookup?Npi=1538317987","1538317987")</f>
        <v>1538317987</v>
      </c>
      <c r="E31397" t="s">
        <v>10125</v>
      </c>
    </row>
    <row r="31398" spans="1:5" x14ac:dyDescent="0.25">
      <c r="A31398" t="s">
        <v>10058</v>
      </c>
      <c r="B31398" t="s">
        <v>10059</v>
      </c>
      <c r="C31398" s="1" t="s">
        <v>23490</v>
      </c>
      <c r="D31398" s="1" t="str">
        <f>HYPERLINK("https://rhld.insurance.arkansas.gov/NPILookup?Npi=1538457528","1538457528")</f>
        <v>1538457528</v>
      </c>
      <c r="E31398" t="s">
        <v>10081</v>
      </c>
    </row>
    <row r="31399" spans="1:5" x14ac:dyDescent="0.25">
      <c r="A31399" t="s">
        <v>10058</v>
      </c>
      <c r="B31399" t="s">
        <v>10059</v>
      </c>
      <c r="C31399" s="1" t="s">
        <v>23490</v>
      </c>
      <c r="D31399" s="1" t="str">
        <f>HYPERLINK("https://rhld.insurance.arkansas.gov/NPILookup?Npi=1538527569","1538527569")</f>
        <v>1538527569</v>
      </c>
      <c r="E31399" t="s">
        <v>10348</v>
      </c>
    </row>
    <row r="31400" spans="1:5" x14ac:dyDescent="0.25">
      <c r="A31400" t="s">
        <v>10058</v>
      </c>
      <c r="B31400" t="s">
        <v>10059</v>
      </c>
      <c r="C31400" s="1" t="s">
        <v>23490</v>
      </c>
      <c r="D31400" s="1" t="str">
        <f>HYPERLINK("https://rhld.insurance.arkansas.gov/NPILookup?Npi=1538529508","1538529508")</f>
        <v>1538529508</v>
      </c>
      <c r="E31400" t="s">
        <v>10144</v>
      </c>
    </row>
    <row r="31401" spans="1:5" x14ac:dyDescent="0.25">
      <c r="A31401" t="s">
        <v>10058</v>
      </c>
      <c r="B31401" t="s">
        <v>10059</v>
      </c>
      <c r="C31401" s="1" t="s">
        <v>23490</v>
      </c>
      <c r="D31401" s="1" t="str">
        <f>HYPERLINK("https://rhld.insurance.arkansas.gov/NPILookup?Npi=1538884499","1538884499")</f>
        <v>1538884499</v>
      </c>
      <c r="E31401" t="s">
        <v>22809</v>
      </c>
    </row>
    <row r="31402" spans="1:5" x14ac:dyDescent="0.25">
      <c r="A31402" t="s">
        <v>10058</v>
      </c>
      <c r="B31402" t="s">
        <v>10059</v>
      </c>
      <c r="C31402" s="1" t="s">
        <v>23490</v>
      </c>
      <c r="D31402" s="1" t="str">
        <f>HYPERLINK("https://rhld.insurance.arkansas.gov/NPILookup?Npi=1548206634","1548206634")</f>
        <v>1548206634</v>
      </c>
      <c r="E31402" t="s">
        <v>10349</v>
      </c>
    </row>
    <row r="31403" spans="1:5" x14ac:dyDescent="0.25">
      <c r="A31403" t="s">
        <v>10058</v>
      </c>
      <c r="B31403" t="s">
        <v>10059</v>
      </c>
      <c r="C31403" s="1" t="s">
        <v>23490</v>
      </c>
      <c r="D31403" s="1" t="str">
        <f>HYPERLINK("https://rhld.insurance.arkansas.gov/NPILookup?Npi=1548262132","1548262132")</f>
        <v>1548262132</v>
      </c>
      <c r="E31403" t="s">
        <v>18625</v>
      </c>
    </row>
    <row r="31404" spans="1:5" x14ac:dyDescent="0.25">
      <c r="A31404" t="s">
        <v>10058</v>
      </c>
      <c r="B31404" t="s">
        <v>10059</v>
      </c>
      <c r="C31404" s="1" t="s">
        <v>23490</v>
      </c>
      <c r="D31404" s="1" t="str">
        <f>HYPERLINK("https://rhld.insurance.arkansas.gov/NPILookup?Npi=1548271125","1548271125")</f>
        <v>1548271125</v>
      </c>
      <c r="E31404" t="s">
        <v>10350</v>
      </c>
    </row>
    <row r="31405" spans="1:5" x14ac:dyDescent="0.25">
      <c r="A31405" t="s">
        <v>10058</v>
      </c>
      <c r="B31405" t="s">
        <v>10059</v>
      </c>
      <c r="C31405" s="1" t="s">
        <v>23490</v>
      </c>
      <c r="D31405" s="1" t="str">
        <f>HYPERLINK("https://rhld.insurance.arkansas.gov/NPILookup?Npi=1548277551","1548277551")</f>
        <v>1548277551</v>
      </c>
      <c r="E31405" t="s">
        <v>10066</v>
      </c>
    </row>
    <row r="31406" spans="1:5" x14ac:dyDescent="0.25">
      <c r="A31406" t="s">
        <v>10058</v>
      </c>
      <c r="B31406" t="s">
        <v>10059</v>
      </c>
      <c r="C31406" s="1" t="s">
        <v>23490</v>
      </c>
      <c r="D31406" s="1" t="str">
        <f>HYPERLINK("https://rhld.insurance.arkansas.gov/NPILookup?Npi=1548287741","1548287741")</f>
        <v>1548287741</v>
      </c>
      <c r="E31406" t="s">
        <v>10060</v>
      </c>
    </row>
    <row r="31407" spans="1:5" x14ac:dyDescent="0.25">
      <c r="A31407" t="s">
        <v>10058</v>
      </c>
      <c r="B31407" t="s">
        <v>10059</v>
      </c>
      <c r="C31407" s="1" t="s">
        <v>23490</v>
      </c>
      <c r="D31407" s="1" t="str">
        <f>HYPERLINK("https://rhld.insurance.arkansas.gov/NPILookup?Npi=1548301344","1548301344")</f>
        <v>1548301344</v>
      </c>
      <c r="E31407" t="s">
        <v>10351</v>
      </c>
    </row>
    <row r="31408" spans="1:5" x14ac:dyDescent="0.25">
      <c r="A31408" t="s">
        <v>10058</v>
      </c>
      <c r="B31408" t="s">
        <v>10059</v>
      </c>
      <c r="C31408" s="1" t="s">
        <v>23490</v>
      </c>
      <c r="D31408" s="1" t="str">
        <f>HYPERLINK("https://rhld.insurance.arkansas.gov/NPILookup?Npi=1548321805","1548321805")</f>
        <v>1548321805</v>
      </c>
      <c r="E31408" t="s">
        <v>10352</v>
      </c>
    </row>
    <row r="31409" spans="1:5" x14ac:dyDescent="0.25">
      <c r="A31409" t="s">
        <v>10058</v>
      </c>
      <c r="B31409" t="s">
        <v>10059</v>
      </c>
      <c r="C31409" s="1" t="s">
        <v>23490</v>
      </c>
      <c r="D31409" s="1" t="str">
        <f>HYPERLINK("https://rhld.insurance.arkansas.gov/NPILookup?Npi=1548349715","1548349715")</f>
        <v>1548349715</v>
      </c>
      <c r="E31409" t="s">
        <v>10353</v>
      </c>
    </row>
    <row r="31410" spans="1:5" x14ac:dyDescent="0.25">
      <c r="A31410" t="s">
        <v>10058</v>
      </c>
      <c r="B31410" t="s">
        <v>10059</v>
      </c>
      <c r="C31410" s="1" t="s">
        <v>23490</v>
      </c>
      <c r="D31410" s="1" t="str">
        <f>HYPERLINK("https://rhld.insurance.arkansas.gov/NPILookup?Npi=1548358633","1548358633")</f>
        <v>1548358633</v>
      </c>
      <c r="E31410" t="s">
        <v>22846</v>
      </c>
    </row>
    <row r="31411" spans="1:5" x14ac:dyDescent="0.25">
      <c r="A31411" t="s">
        <v>10058</v>
      </c>
      <c r="B31411" t="s">
        <v>10059</v>
      </c>
      <c r="C31411" s="1" t="s">
        <v>23490</v>
      </c>
      <c r="D31411" s="1" t="str">
        <f>HYPERLINK("https://rhld.insurance.arkansas.gov/NPILookup?Npi=1548371610","1548371610")</f>
        <v>1548371610</v>
      </c>
      <c r="E31411" t="s">
        <v>12743</v>
      </c>
    </row>
    <row r="31412" spans="1:5" x14ac:dyDescent="0.25">
      <c r="A31412" t="s">
        <v>10058</v>
      </c>
      <c r="B31412" t="s">
        <v>10059</v>
      </c>
      <c r="C31412" s="1" t="s">
        <v>23490</v>
      </c>
      <c r="D31412" s="1" t="str">
        <f>HYPERLINK("https://rhld.insurance.arkansas.gov/NPILookup?Npi=1548395825","1548395825")</f>
        <v>1548395825</v>
      </c>
      <c r="E31412" t="s">
        <v>10354</v>
      </c>
    </row>
    <row r="31413" spans="1:5" x14ac:dyDescent="0.25">
      <c r="A31413" t="s">
        <v>10058</v>
      </c>
      <c r="B31413" t="s">
        <v>10059</v>
      </c>
      <c r="C31413" s="1" t="s">
        <v>23490</v>
      </c>
      <c r="D31413" s="1" t="str">
        <f>HYPERLINK("https://rhld.insurance.arkansas.gov/NPILookup?Npi=1548527757","1548527757")</f>
        <v>1548527757</v>
      </c>
      <c r="E31413" t="s">
        <v>10355</v>
      </c>
    </row>
    <row r="31414" spans="1:5" x14ac:dyDescent="0.25">
      <c r="A31414" t="s">
        <v>10058</v>
      </c>
      <c r="B31414" t="s">
        <v>10059</v>
      </c>
      <c r="C31414" s="1" t="s">
        <v>23490</v>
      </c>
      <c r="D31414" s="1" t="str">
        <f>HYPERLINK("https://rhld.insurance.arkansas.gov/NPILookup?Npi=1548528268","1548528268")</f>
        <v>1548528268</v>
      </c>
      <c r="E31414" t="s">
        <v>22809</v>
      </c>
    </row>
    <row r="31415" spans="1:5" x14ac:dyDescent="0.25">
      <c r="A31415" t="s">
        <v>10058</v>
      </c>
      <c r="B31415" t="s">
        <v>10059</v>
      </c>
      <c r="C31415" s="1" t="s">
        <v>23490</v>
      </c>
      <c r="D31415" s="1" t="str">
        <f>HYPERLINK("https://rhld.insurance.arkansas.gov/NPILookup?Npi=1548575814","1548575814")</f>
        <v>1548575814</v>
      </c>
      <c r="E31415" t="s">
        <v>10125</v>
      </c>
    </row>
    <row r="31416" spans="1:5" x14ac:dyDescent="0.25">
      <c r="A31416" t="s">
        <v>10058</v>
      </c>
      <c r="B31416" t="s">
        <v>10059</v>
      </c>
      <c r="C31416" s="1" t="s">
        <v>23490</v>
      </c>
      <c r="D31416" s="1" t="str">
        <f>HYPERLINK("https://rhld.insurance.arkansas.gov/NPILookup?Npi=1548611288","1548611288")</f>
        <v>1548611288</v>
      </c>
      <c r="E31416" t="s">
        <v>10113</v>
      </c>
    </row>
    <row r="31417" spans="1:5" x14ac:dyDescent="0.25">
      <c r="A31417" t="s">
        <v>10058</v>
      </c>
      <c r="B31417" t="s">
        <v>10059</v>
      </c>
      <c r="C31417" s="1" t="s">
        <v>23490</v>
      </c>
      <c r="D31417" s="1" t="str">
        <f>HYPERLINK("https://rhld.insurance.arkansas.gov/NPILookup?Npi=1548671407","1548671407")</f>
        <v>1548671407</v>
      </c>
      <c r="E31417" t="s">
        <v>13318</v>
      </c>
    </row>
    <row r="31418" spans="1:5" x14ac:dyDescent="0.25">
      <c r="A31418" t="s">
        <v>10058</v>
      </c>
      <c r="B31418" t="s">
        <v>10059</v>
      </c>
      <c r="C31418" s="1" t="s">
        <v>23490</v>
      </c>
      <c r="D31418" s="1" t="str">
        <f>HYPERLINK("https://rhld.insurance.arkansas.gov/NPILookup?Npi=1548735558","1548735558")</f>
        <v>1548735558</v>
      </c>
      <c r="E31418" t="s">
        <v>10389</v>
      </c>
    </row>
    <row r="31419" spans="1:5" x14ac:dyDescent="0.25">
      <c r="A31419" t="s">
        <v>10058</v>
      </c>
      <c r="B31419" t="s">
        <v>10059</v>
      </c>
      <c r="C31419" s="1" t="s">
        <v>23490</v>
      </c>
      <c r="D31419" s="1" t="str">
        <f>HYPERLINK("https://rhld.insurance.arkansas.gov/NPILookup?Npi=1548953508","1548953508")</f>
        <v>1548953508</v>
      </c>
      <c r="E31419" t="s">
        <v>10357</v>
      </c>
    </row>
    <row r="31420" spans="1:5" x14ac:dyDescent="0.25">
      <c r="A31420" t="s">
        <v>10058</v>
      </c>
      <c r="B31420" t="s">
        <v>10059</v>
      </c>
      <c r="C31420" s="1" t="s">
        <v>23490</v>
      </c>
      <c r="D31420" s="1" t="str">
        <f>HYPERLINK("https://rhld.insurance.arkansas.gov/NPILookup?Npi=1558038653","1558038653")</f>
        <v>1558038653</v>
      </c>
      <c r="E31420" t="s">
        <v>10569</v>
      </c>
    </row>
    <row r="31421" spans="1:5" x14ac:dyDescent="0.25">
      <c r="A31421" t="s">
        <v>10058</v>
      </c>
      <c r="B31421" t="s">
        <v>10059</v>
      </c>
      <c r="C31421" s="1" t="s">
        <v>23490</v>
      </c>
      <c r="D31421" s="1" t="str">
        <f>HYPERLINK("https://rhld.insurance.arkansas.gov/NPILookup?Npi=1558086561","1558086561")</f>
        <v>1558086561</v>
      </c>
      <c r="E31421" t="s">
        <v>22847</v>
      </c>
    </row>
    <row r="31422" spans="1:5" x14ac:dyDescent="0.25">
      <c r="A31422" t="s">
        <v>10058</v>
      </c>
      <c r="B31422" t="s">
        <v>10059</v>
      </c>
      <c r="C31422" s="1" t="s">
        <v>23490</v>
      </c>
      <c r="D31422" s="1" t="str">
        <f>HYPERLINK("https://rhld.insurance.arkansas.gov/NPILookup?Npi=1558324624","1558324624")</f>
        <v>1558324624</v>
      </c>
      <c r="E31422" t="s">
        <v>10356</v>
      </c>
    </row>
    <row r="31423" spans="1:5" x14ac:dyDescent="0.25">
      <c r="A31423" t="s">
        <v>10058</v>
      </c>
      <c r="B31423" t="s">
        <v>10059</v>
      </c>
      <c r="C31423" s="1" t="s">
        <v>23490</v>
      </c>
      <c r="D31423" s="1" t="str">
        <f>HYPERLINK("https://rhld.insurance.arkansas.gov/NPILookup?Npi=1558376558","1558376558")</f>
        <v>1558376558</v>
      </c>
      <c r="E31423" t="s">
        <v>10066</v>
      </c>
    </row>
    <row r="31424" spans="1:5" x14ac:dyDescent="0.25">
      <c r="A31424" t="s">
        <v>10058</v>
      </c>
      <c r="B31424" t="s">
        <v>10059</v>
      </c>
      <c r="C31424" s="1" t="s">
        <v>23490</v>
      </c>
      <c r="D31424" s="1" t="str">
        <f>HYPERLINK("https://rhld.insurance.arkansas.gov/NPILookup?Npi=1558376814","1558376814")</f>
        <v>1558376814</v>
      </c>
      <c r="E31424" t="s">
        <v>10066</v>
      </c>
    </row>
    <row r="31425" spans="1:5" x14ac:dyDescent="0.25">
      <c r="A31425" t="s">
        <v>10058</v>
      </c>
      <c r="B31425" t="s">
        <v>10059</v>
      </c>
      <c r="C31425" s="1" t="s">
        <v>23490</v>
      </c>
      <c r="D31425" s="1" t="str">
        <f>HYPERLINK("https://rhld.insurance.arkansas.gov/NPILookup?Npi=1558378562","1558378562")</f>
        <v>1558378562</v>
      </c>
      <c r="E31425" t="s">
        <v>10066</v>
      </c>
    </row>
    <row r="31426" spans="1:5" x14ac:dyDescent="0.25">
      <c r="A31426" t="s">
        <v>10058</v>
      </c>
      <c r="B31426" t="s">
        <v>10059</v>
      </c>
      <c r="C31426" s="1" t="s">
        <v>23490</v>
      </c>
      <c r="D31426" s="1" t="str">
        <f>HYPERLINK("https://rhld.insurance.arkansas.gov/NPILookup?Npi=1558380535","1558380535")</f>
        <v>1558380535</v>
      </c>
      <c r="E31426" t="s">
        <v>13312</v>
      </c>
    </row>
    <row r="31427" spans="1:5" x14ac:dyDescent="0.25">
      <c r="A31427" t="s">
        <v>10058</v>
      </c>
      <c r="B31427" t="s">
        <v>10059</v>
      </c>
      <c r="C31427" s="1" t="s">
        <v>23490</v>
      </c>
      <c r="D31427" s="1" t="str">
        <f>HYPERLINK("https://rhld.insurance.arkansas.gov/NPILookup?Npi=1558390633","1558390633")</f>
        <v>1558390633</v>
      </c>
      <c r="E31427" t="s">
        <v>10357</v>
      </c>
    </row>
    <row r="31428" spans="1:5" x14ac:dyDescent="0.25">
      <c r="A31428" t="s">
        <v>10058</v>
      </c>
      <c r="B31428" t="s">
        <v>10059</v>
      </c>
      <c r="C31428" s="1" t="s">
        <v>23490</v>
      </c>
      <c r="D31428" s="1" t="str">
        <f>HYPERLINK("https://rhld.insurance.arkansas.gov/NPILookup?Npi=1558447763","1558447763")</f>
        <v>1558447763</v>
      </c>
      <c r="E31428" t="s">
        <v>10358</v>
      </c>
    </row>
    <row r="31429" spans="1:5" x14ac:dyDescent="0.25">
      <c r="A31429" t="s">
        <v>10058</v>
      </c>
      <c r="B31429" t="s">
        <v>10059</v>
      </c>
      <c r="C31429" s="1" t="s">
        <v>23490</v>
      </c>
      <c r="D31429" s="1" t="str">
        <f>HYPERLINK("https://rhld.insurance.arkansas.gov/NPILookup?Npi=1558455907","1558455907")</f>
        <v>1558455907</v>
      </c>
      <c r="E31429" t="s">
        <v>10359</v>
      </c>
    </row>
    <row r="31430" spans="1:5" x14ac:dyDescent="0.25">
      <c r="A31430" t="s">
        <v>10058</v>
      </c>
      <c r="B31430" t="s">
        <v>10059</v>
      </c>
      <c r="C31430" s="1" t="s">
        <v>23490</v>
      </c>
      <c r="D31430" s="1" t="str">
        <f>HYPERLINK("https://rhld.insurance.arkansas.gov/NPILookup?Npi=1558471185","1558471185")</f>
        <v>1558471185</v>
      </c>
      <c r="E31430" t="s">
        <v>10360</v>
      </c>
    </row>
    <row r="31431" spans="1:5" x14ac:dyDescent="0.25">
      <c r="A31431" t="s">
        <v>10058</v>
      </c>
      <c r="B31431" t="s">
        <v>10059</v>
      </c>
      <c r="C31431" s="1" t="s">
        <v>23490</v>
      </c>
      <c r="D31431" s="1" t="str">
        <f>HYPERLINK("https://rhld.insurance.arkansas.gov/NPILookup?Npi=1558475269","1558475269")</f>
        <v>1558475269</v>
      </c>
      <c r="E31431" t="s">
        <v>16830</v>
      </c>
    </row>
    <row r="31432" spans="1:5" x14ac:dyDescent="0.25">
      <c r="A31432" t="s">
        <v>10058</v>
      </c>
      <c r="B31432" t="s">
        <v>10059</v>
      </c>
      <c r="C31432" s="1" t="s">
        <v>23490</v>
      </c>
      <c r="D31432" s="1" t="str">
        <f>HYPERLINK("https://rhld.insurance.arkansas.gov/NPILookup?Npi=1558490219","1558490219")</f>
        <v>1558490219</v>
      </c>
      <c r="E31432" t="s">
        <v>10361</v>
      </c>
    </row>
    <row r="31433" spans="1:5" x14ac:dyDescent="0.25">
      <c r="A31433" t="s">
        <v>10058</v>
      </c>
      <c r="B31433" t="s">
        <v>10059</v>
      </c>
      <c r="C31433" s="1" t="s">
        <v>23490</v>
      </c>
      <c r="D31433" s="1" t="str">
        <f>HYPERLINK("https://rhld.insurance.arkansas.gov/NPILookup?Npi=1558568741","1558568741")</f>
        <v>1558568741</v>
      </c>
      <c r="E31433" t="s">
        <v>10066</v>
      </c>
    </row>
    <row r="31434" spans="1:5" x14ac:dyDescent="0.25">
      <c r="A31434" t="s">
        <v>10058</v>
      </c>
      <c r="B31434" t="s">
        <v>10059</v>
      </c>
      <c r="C31434" s="1" t="s">
        <v>23490</v>
      </c>
      <c r="D31434" s="1" t="str">
        <f>HYPERLINK("https://rhld.insurance.arkansas.gov/NPILookup?Npi=1558641084","1558641084")</f>
        <v>1558641084</v>
      </c>
      <c r="E31434" t="s">
        <v>10067</v>
      </c>
    </row>
    <row r="31435" spans="1:5" x14ac:dyDescent="0.25">
      <c r="A31435" t="s">
        <v>10058</v>
      </c>
      <c r="B31435" t="s">
        <v>10059</v>
      </c>
      <c r="C31435" s="1" t="s">
        <v>23490</v>
      </c>
      <c r="D31435" s="1" t="str">
        <f>HYPERLINK("https://rhld.insurance.arkansas.gov/NPILookup?Npi=1558741611","1558741611")</f>
        <v>1558741611</v>
      </c>
      <c r="E31435" t="s">
        <v>13312</v>
      </c>
    </row>
    <row r="31436" spans="1:5" x14ac:dyDescent="0.25">
      <c r="A31436" t="s">
        <v>10058</v>
      </c>
      <c r="B31436" t="s">
        <v>10059</v>
      </c>
      <c r="C31436" s="1" t="s">
        <v>23490</v>
      </c>
      <c r="D31436" s="1" t="str">
        <f>HYPERLINK("https://rhld.insurance.arkansas.gov/NPILookup?Npi=1558763672","1558763672")</f>
        <v>1558763672</v>
      </c>
      <c r="E31436" t="s">
        <v>10062</v>
      </c>
    </row>
    <row r="31437" spans="1:5" x14ac:dyDescent="0.25">
      <c r="A31437" t="s">
        <v>10058</v>
      </c>
      <c r="B31437" t="s">
        <v>10059</v>
      </c>
      <c r="C31437" s="1" t="s">
        <v>23490</v>
      </c>
      <c r="D31437" s="1" t="str">
        <f>HYPERLINK("https://rhld.insurance.arkansas.gov/NPILookup?Npi=1558764159","1558764159")</f>
        <v>1558764159</v>
      </c>
      <c r="E31437" t="s">
        <v>10362</v>
      </c>
    </row>
    <row r="31438" spans="1:5" x14ac:dyDescent="0.25">
      <c r="A31438" t="s">
        <v>10058</v>
      </c>
      <c r="B31438" t="s">
        <v>10059</v>
      </c>
      <c r="C31438" s="1" t="s">
        <v>23490</v>
      </c>
      <c r="D31438" s="1" t="str">
        <f>HYPERLINK("https://rhld.insurance.arkansas.gov/NPILookup?Npi=1558772400","1558772400")</f>
        <v>1558772400</v>
      </c>
      <c r="E31438" t="s">
        <v>10363</v>
      </c>
    </row>
    <row r="31439" spans="1:5" x14ac:dyDescent="0.25">
      <c r="A31439" t="s">
        <v>10058</v>
      </c>
      <c r="B31439" t="s">
        <v>10059</v>
      </c>
      <c r="C31439" s="1" t="s">
        <v>23490</v>
      </c>
      <c r="D31439" s="1" t="str">
        <f>HYPERLINK("https://rhld.insurance.arkansas.gov/NPILookup?Npi=1558797613","1558797613")</f>
        <v>1558797613</v>
      </c>
      <c r="E31439" t="s">
        <v>10099</v>
      </c>
    </row>
    <row r="31440" spans="1:5" x14ac:dyDescent="0.25">
      <c r="A31440" t="s">
        <v>10058</v>
      </c>
      <c r="B31440" t="s">
        <v>10059</v>
      </c>
      <c r="C31440" s="1" t="s">
        <v>23490</v>
      </c>
      <c r="D31440" s="1" t="str">
        <f>HYPERLINK("https://rhld.insurance.arkansas.gov/NPILookup?Npi=1558897751","1558897751")</f>
        <v>1558897751</v>
      </c>
      <c r="E31440" t="s">
        <v>10078</v>
      </c>
    </row>
    <row r="31441" spans="1:5" x14ac:dyDescent="0.25">
      <c r="A31441" t="s">
        <v>10058</v>
      </c>
      <c r="B31441" t="s">
        <v>10059</v>
      </c>
      <c r="C31441" s="1" t="s">
        <v>23490</v>
      </c>
      <c r="D31441" s="1" t="str">
        <f>HYPERLINK("https://rhld.insurance.arkansas.gov/NPILookup?Npi=1558968958","1558968958")</f>
        <v>1558968958</v>
      </c>
      <c r="E31441" t="s">
        <v>22848</v>
      </c>
    </row>
    <row r="31442" spans="1:5" x14ac:dyDescent="0.25">
      <c r="A31442" t="s">
        <v>10058</v>
      </c>
      <c r="B31442" t="s">
        <v>10059</v>
      </c>
      <c r="C31442" s="1" t="s">
        <v>23490</v>
      </c>
      <c r="D31442" s="1" t="str">
        <f>HYPERLINK("https://rhld.insurance.arkansas.gov/NPILookup?Npi=1568042992","1568042992")</f>
        <v>1568042992</v>
      </c>
      <c r="E31442" t="s">
        <v>19288</v>
      </c>
    </row>
    <row r="31443" spans="1:5" x14ac:dyDescent="0.25">
      <c r="A31443" t="s">
        <v>10058</v>
      </c>
      <c r="B31443" t="s">
        <v>10059</v>
      </c>
      <c r="C31443" s="1" t="s">
        <v>23490</v>
      </c>
      <c r="D31443" s="1" t="str">
        <f>HYPERLINK("https://rhld.insurance.arkansas.gov/NPILookup?Npi=1568075547","1568075547")</f>
        <v>1568075547</v>
      </c>
      <c r="E31443" t="s">
        <v>14634</v>
      </c>
    </row>
    <row r="31444" spans="1:5" x14ac:dyDescent="0.25">
      <c r="A31444" t="s">
        <v>10058</v>
      </c>
      <c r="B31444" t="s">
        <v>10059</v>
      </c>
      <c r="C31444" s="1" t="s">
        <v>23490</v>
      </c>
      <c r="D31444" s="1" t="str">
        <f>HYPERLINK("https://rhld.insurance.arkansas.gov/NPILookup?Npi=1568477198","1568477198")</f>
        <v>1568477198</v>
      </c>
      <c r="E31444" t="s">
        <v>10172</v>
      </c>
    </row>
    <row r="31445" spans="1:5" x14ac:dyDescent="0.25">
      <c r="A31445" t="s">
        <v>10058</v>
      </c>
      <c r="B31445" t="s">
        <v>10059</v>
      </c>
      <c r="C31445" s="1" t="s">
        <v>23490</v>
      </c>
      <c r="D31445" s="1" t="str">
        <f>HYPERLINK("https://rhld.insurance.arkansas.gov/NPILookup?Npi=1568477826","1568477826")</f>
        <v>1568477826</v>
      </c>
      <c r="E31445" t="s">
        <v>10066</v>
      </c>
    </row>
    <row r="31446" spans="1:5" x14ac:dyDescent="0.25">
      <c r="A31446" t="s">
        <v>10058</v>
      </c>
      <c r="B31446" t="s">
        <v>10059</v>
      </c>
      <c r="C31446" s="1" t="s">
        <v>23490</v>
      </c>
      <c r="D31446" s="1" t="str">
        <f>HYPERLINK("https://rhld.insurance.arkansas.gov/NPILookup?Npi=1568479566","1568479566")</f>
        <v>1568479566</v>
      </c>
      <c r="E31446" t="s">
        <v>10066</v>
      </c>
    </row>
    <row r="31447" spans="1:5" x14ac:dyDescent="0.25">
      <c r="A31447" t="s">
        <v>10058</v>
      </c>
      <c r="B31447" t="s">
        <v>10059</v>
      </c>
      <c r="C31447" s="1" t="s">
        <v>23490</v>
      </c>
      <c r="D31447" s="1" t="str">
        <f>HYPERLINK("https://rhld.insurance.arkansas.gov/NPILookup?Npi=1568489060","1568489060")</f>
        <v>1568489060</v>
      </c>
      <c r="E31447" t="s">
        <v>13312</v>
      </c>
    </row>
    <row r="31448" spans="1:5" x14ac:dyDescent="0.25">
      <c r="A31448" t="s">
        <v>10058</v>
      </c>
      <c r="B31448" t="s">
        <v>10059</v>
      </c>
      <c r="C31448" s="1" t="s">
        <v>23490</v>
      </c>
      <c r="D31448" s="1" t="str">
        <f>HYPERLINK("https://rhld.insurance.arkansas.gov/NPILookup?Npi=1568496347","1568496347")</f>
        <v>1568496347</v>
      </c>
      <c r="E31448" t="s">
        <v>10067</v>
      </c>
    </row>
    <row r="31449" spans="1:5" x14ac:dyDescent="0.25">
      <c r="A31449" t="s">
        <v>10058</v>
      </c>
      <c r="B31449" t="s">
        <v>10059</v>
      </c>
      <c r="C31449" s="1" t="s">
        <v>23490</v>
      </c>
      <c r="D31449" s="1" t="str">
        <f>HYPERLINK("https://rhld.insurance.arkansas.gov/NPILookup?Npi=1568501914","1568501914")</f>
        <v>1568501914</v>
      </c>
      <c r="E31449" t="s">
        <v>12744</v>
      </c>
    </row>
    <row r="31450" spans="1:5" x14ac:dyDescent="0.25">
      <c r="A31450" t="s">
        <v>10058</v>
      </c>
      <c r="B31450" t="s">
        <v>10059</v>
      </c>
      <c r="C31450" s="1" t="s">
        <v>23490</v>
      </c>
      <c r="D31450" s="1" t="str">
        <f>HYPERLINK("https://rhld.insurance.arkansas.gov/NPILookup?Npi=1568784031","1568784031")</f>
        <v>1568784031</v>
      </c>
      <c r="E31450" t="s">
        <v>10364</v>
      </c>
    </row>
    <row r="31451" spans="1:5" x14ac:dyDescent="0.25">
      <c r="A31451" t="s">
        <v>10058</v>
      </c>
      <c r="B31451" t="s">
        <v>10059</v>
      </c>
      <c r="C31451" s="1" t="s">
        <v>23490</v>
      </c>
      <c r="D31451" s="1" t="str">
        <f>HYPERLINK("https://rhld.insurance.arkansas.gov/NPILookup?Npi=1568865368","1568865368")</f>
        <v>1568865368</v>
      </c>
      <c r="E31451" t="s">
        <v>10062</v>
      </c>
    </row>
    <row r="31452" spans="1:5" x14ac:dyDescent="0.25">
      <c r="A31452" t="s">
        <v>10058</v>
      </c>
      <c r="B31452" t="s">
        <v>10059</v>
      </c>
      <c r="C31452" s="1" t="s">
        <v>23490</v>
      </c>
      <c r="D31452" s="1" t="str">
        <f>HYPERLINK("https://rhld.insurance.arkansas.gov/NPILookup?Npi=1568892164","1568892164")</f>
        <v>1568892164</v>
      </c>
      <c r="E31452" t="s">
        <v>14659</v>
      </c>
    </row>
    <row r="31453" spans="1:5" x14ac:dyDescent="0.25">
      <c r="A31453" t="s">
        <v>10058</v>
      </c>
      <c r="B31453" t="s">
        <v>10059</v>
      </c>
      <c r="C31453" s="1" t="s">
        <v>23490</v>
      </c>
      <c r="D31453" s="1" t="str">
        <f>HYPERLINK("https://rhld.insurance.arkansas.gov/NPILookup?Npi=1568895761","1568895761")</f>
        <v>1568895761</v>
      </c>
      <c r="E31453" t="s">
        <v>10365</v>
      </c>
    </row>
    <row r="31454" spans="1:5" x14ac:dyDescent="0.25">
      <c r="A31454" t="s">
        <v>10058</v>
      </c>
      <c r="B31454" t="s">
        <v>10059</v>
      </c>
      <c r="C31454" s="1" t="s">
        <v>23490</v>
      </c>
      <c r="D31454" s="1" t="str">
        <f>HYPERLINK("https://rhld.insurance.arkansas.gov/NPILookup?Npi=1568939759","1568939759")</f>
        <v>1568939759</v>
      </c>
      <c r="E31454" t="s">
        <v>22849</v>
      </c>
    </row>
    <row r="31455" spans="1:5" x14ac:dyDescent="0.25">
      <c r="A31455" t="s">
        <v>10058</v>
      </c>
      <c r="B31455" t="s">
        <v>10059</v>
      </c>
      <c r="C31455" s="1" t="s">
        <v>23490</v>
      </c>
      <c r="D31455" s="1" t="str">
        <f>HYPERLINK("https://rhld.insurance.arkansas.gov/NPILookup?Npi=1578274106","1578274106")</f>
        <v>1578274106</v>
      </c>
      <c r="E31455" t="s">
        <v>22850</v>
      </c>
    </row>
    <row r="31456" spans="1:5" x14ac:dyDescent="0.25">
      <c r="A31456" t="s">
        <v>10058</v>
      </c>
      <c r="B31456" t="s">
        <v>10059</v>
      </c>
      <c r="C31456" s="1" t="s">
        <v>23490</v>
      </c>
      <c r="D31456" s="1" t="str">
        <f>HYPERLINK("https://rhld.insurance.arkansas.gov/NPILookup?Npi=1578562195","1578562195")</f>
        <v>1578562195</v>
      </c>
      <c r="E31456" t="s">
        <v>12745</v>
      </c>
    </row>
    <row r="31457" spans="1:5" x14ac:dyDescent="0.25">
      <c r="A31457" t="s">
        <v>10058</v>
      </c>
      <c r="B31457" t="s">
        <v>10059</v>
      </c>
      <c r="C31457" s="1" t="s">
        <v>23490</v>
      </c>
      <c r="D31457" s="1" t="str">
        <f>HYPERLINK("https://rhld.insurance.arkansas.gov/NPILookup?Npi=1578563060","1578563060")</f>
        <v>1578563060</v>
      </c>
      <c r="E31457" t="s">
        <v>10366</v>
      </c>
    </row>
    <row r="31458" spans="1:5" x14ac:dyDescent="0.25">
      <c r="A31458" t="s">
        <v>10058</v>
      </c>
      <c r="B31458" t="s">
        <v>10059</v>
      </c>
      <c r="C31458" s="1" t="s">
        <v>23490</v>
      </c>
      <c r="D31458" s="1" t="str">
        <f>HYPERLINK("https://rhld.insurance.arkansas.gov/NPILookup?Npi=1578578738","1578578738")</f>
        <v>1578578738</v>
      </c>
      <c r="E31458" t="s">
        <v>10066</v>
      </c>
    </row>
    <row r="31459" spans="1:5" x14ac:dyDescent="0.25">
      <c r="A31459" t="s">
        <v>10058</v>
      </c>
      <c r="B31459" t="s">
        <v>10059</v>
      </c>
      <c r="C31459" s="1" t="s">
        <v>23490</v>
      </c>
      <c r="D31459" s="1" t="str">
        <f>HYPERLINK("https://rhld.insurance.arkansas.gov/NPILookup?Npi=1578584538","1578584538")</f>
        <v>1578584538</v>
      </c>
      <c r="E31459" t="s">
        <v>10367</v>
      </c>
    </row>
    <row r="31460" spans="1:5" x14ac:dyDescent="0.25">
      <c r="A31460" t="s">
        <v>10058</v>
      </c>
      <c r="B31460" t="s">
        <v>10059</v>
      </c>
      <c r="C31460" s="1" t="s">
        <v>23490</v>
      </c>
      <c r="D31460" s="1" t="str">
        <f>HYPERLINK("https://rhld.insurance.arkansas.gov/NPILookup?Npi=1578656732","1578656732")</f>
        <v>1578656732</v>
      </c>
      <c r="E31460" t="s">
        <v>10368</v>
      </c>
    </row>
    <row r="31461" spans="1:5" x14ac:dyDescent="0.25">
      <c r="A31461" t="s">
        <v>10058</v>
      </c>
      <c r="B31461" t="s">
        <v>10059</v>
      </c>
      <c r="C31461" s="1" t="s">
        <v>23490</v>
      </c>
      <c r="D31461" s="1" t="str">
        <f>HYPERLINK("https://rhld.insurance.arkansas.gov/NPILookup?Npi=1578681755","1578681755")</f>
        <v>1578681755</v>
      </c>
      <c r="E31461" t="s">
        <v>13319</v>
      </c>
    </row>
    <row r="31462" spans="1:5" x14ac:dyDescent="0.25">
      <c r="A31462" t="s">
        <v>10058</v>
      </c>
      <c r="B31462" t="s">
        <v>10059</v>
      </c>
      <c r="C31462" s="1" t="s">
        <v>23490</v>
      </c>
      <c r="D31462" s="1" t="str">
        <f>HYPERLINK("https://rhld.insurance.arkansas.gov/NPILookup?Npi=1578754701","1578754701")</f>
        <v>1578754701</v>
      </c>
      <c r="E31462" t="s">
        <v>10369</v>
      </c>
    </row>
    <row r="31463" spans="1:5" x14ac:dyDescent="0.25">
      <c r="A31463" t="s">
        <v>10058</v>
      </c>
      <c r="B31463" t="s">
        <v>10059</v>
      </c>
      <c r="C31463" s="1" t="s">
        <v>23490</v>
      </c>
      <c r="D31463" s="1" t="str">
        <f>HYPERLINK("https://rhld.insurance.arkansas.gov/NPILookup?Npi=1578863759","1578863759")</f>
        <v>1578863759</v>
      </c>
      <c r="E31463" t="s">
        <v>10370</v>
      </c>
    </row>
    <row r="31464" spans="1:5" x14ac:dyDescent="0.25">
      <c r="A31464" t="s">
        <v>10058</v>
      </c>
      <c r="B31464" t="s">
        <v>10059</v>
      </c>
      <c r="C31464" s="1" t="s">
        <v>23490</v>
      </c>
      <c r="D31464" s="1" t="str">
        <f>HYPERLINK("https://rhld.insurance.arkansas.gov/NPILookup?Npi=1578967212","1578967212")</f>
        <v>1578967212</v>
      </c>
      <c r="E31464" t="s">
        <v>10062</v>
      </c>
    </row>
    <row r="31465" spans="1:5" x14ac:dyDescent="0.25">
      <c r="A31465" t="s">
        <v>10058</v>
      </c>
      <c r="B31465" t="s">
        <v>10059</v>
      </c>
      <c r="C31465" s="1" t="s">
        <v>23490</v>
      </c>
      <c r="D31465" s="1" t="str">
        <f>HYPERLINK("https://rhld.insurance.arkansas.gov/NPILookup?Npi=1578995007","1578995007")</f>
        <v>1578995007</v>
      </c>
      <c r="E31465" t="s">
        <v>18617</v>
      </c>
    </row>
    <row r="31466" spans="1:5" x14ac:dyDescent="0.25">
      <c r="A31466" t="s">
        <v>10058</v>
      </c>
      <c r="B31466" t="s">
        <v>10059</v>
      </c>
      <c r="C31466" s="1" t="s">
        <v>23490</v>
      </c>
      <c r="D31466" s="1" t="str">
        <f>HYPERLINK("https://rhld.insurance.arkansas.gov/NPILookup?Npi=1588015713","1588015713")</f>
        <v>1588015713</v>
      </c>
      <c r="E31466" t="s">
        <v>4075</v>
      </c>
    </row>
    <row r="31467" spans="1:5" x14ac:dyDescent="0.25">
      <c r="A31467" t="s">
        <v>10058</v>
      </c>
      <c r="B31467" t="s">
        <v>10059</v>
      </c>
      <c r="C31467" s="1" t="s">
        <v>23490</v>
      </c>
      <c r="D31467" s="1" t="str">
        <f>HYPERLINK("https://rhld.insurance.arkansas.gov/NPILookup?Npi=1588023105","1588023105")</f>
        <v>1588023105</v>
      </c>
      <c r="E31467" t="s">
        <v>22898</v>
      </c>
    </row>
    <row r="31468" spans="1:5" x14ac:dyDescent="0.25">
      <c r="A31468" t="s">
        <v>10058</v>
      </c>
      <c r="B31468" t="s">
        <v>10059</v>
      </c>
      <c r="C31468" s="1" t="s">
        <v>23490</v>
      </c>
      <c r="D31468" s="1" t="str">
        <f>HYPERLINK("https://rhld.insurance.arkansas.gov/NPILookup?Npi=1588036552","1588036552")</f>
        <v>1588036552</v>
      </c>
      <c r="E31468" t="s">
        <v>7601</v>
      </c>
    </row>
    <row r="31469" spans="1:5" x14ac:dyDescent="0.25">
      <c r="A31469" t="s">
        <v>10058</v>
      </c>
      <c r="B31469" t="s">
        <v>10059</v>
      </c>
      <c r="C31469" s="1" t="s">
        <v>23490</v>
      </c>
      <c r="D31469" s="1" t="str">
        <f>HYPERLINK("https://rhld.insurance.arkansas.gov/NPILookup?Npi=1588077283","1588077283")</f>
        <v>1588077283</v>
      </c>
      <c r="E31469" t="s">
        <v>10371</v>
      </c>
    </row>
    <row r="31470" spans="1:5" x14ac:dyDescent="0.25">
      <c r="A31470" t="s">
        <v>10058</v>
      </c>
      <c r="B31470" t="s">
        <v>10059</v>
      </c>
      <c r="C31470" s="1" t="s">
        <v>23490</v>
      </c>
      <c r="D31470" s="1" t="str">
        <f>HYPERLINK("https://rhld.insurance.arkansas.gov/NPILookup?Npi=1588091201","1588091201")</f>
        <v>1588091201</v>
      </c>
      <c r="E31470" t="s">
        <v>10065</v>
      </c>
    </row>
    <row r="31471" spans="1:5" x14ac:dyDescent="0.25">
      <c r="A31471" t="s">
        <v>10058</v>
      </c>
      <c r="B31471" t="s">
        <v>10059</v>
      </c>
      <c r="C31471" s="1" t="s">
        <v>23490</v>
      </c>
      <c r="D31471" s="1" t="str">
        <f>HYPERLINK("https://rhld.insurance.arkansas.gov/NPILookup?Npi=1588115877","1588115877")</f>
        <v>1588115877</v>
      </c>
      <c r="E31471" t="s">
        <v>19289</v>
      </c>
    </row>
    <row r="31472" spans="1:5" x14ac:dyDescent="0.25">
      <c r="A31472" t="s">
        <v>10058</v>
      </c>
      <c r="B31472" t="s">
        <v>10059</v>
      </c>
      <c r="C31472" s="1" t="s">
        <v>23490</v>
      </c>
      <c r="D31472" s="1" t="str">
        <f>HYPERLINK("https://rhld.insurance.arkansas.gov/NPILookup?Npi=1588124770","1588124770")</f>
        <v>1588124770</v>
      </c>
      <c r="E31472" t="s">
        <v>17347</v>
      </c>
    </row>
    <row r="31473" spans="1:5" x14ac:dyDescent="0.25">
      <c r="A31473" t="s">
        <v>10058</v>
      </c>
      <c r="B31473" t="s">
        <v>10059</v>
      </c>
      <c r="C31473" s="1" t="s">
        <v>23490</v>
      </c>
      <c r="D31473" s="1" t="str">
        <f>HYPERLINK("https://rhld.insurance.arkansas.gov/NPILookup?Npi=1588132328","1588132328")</f>
        <v>1588132328</v>
      </c>
      <c r="E31473" t="s">
        <v>16831</v>
      </c>
    </row>
    <row r="31474" spans="1:5" x14ac:dyDescent="0.25">
      <c r="A31474" t="s">
        <v>10058</v>
      </c>
      <c r="B31474" t="s">
        <v>10059</v>
      </c>
      <c r="C31474" s="1" t="s">
        <v>23490</v>
      </c>
      <c r="D31474" s="1" t="str">
        <f>HYPERLINK("https://rhld.insurance.arkansas.gov/NPILookup?Npi=1588215040","1588215040")</f>
        <v>1588215040</v>
      </c>
      <c r="E31474" t="s">
        <v>19290</v>
      </c>
    </row>
    <row r="31475" spans="1:5" x14ac:dyDescent="0.25">
      <c r="A31475" t="s">
        <v>10058</v>
      </c>
      <c r="B31475" t="s">
        <v>10059</v>
      </c>
      <c r="C31475" s="1" t="s">
        <v>23490</v>
      </c>
      <c r="D31475" s="1" t="str">
        <f>HYPERLINK("https://rhld.insurance.arkansas.gov/NPILookup?Npi=1588622880","1588622880")</f>
        <v>1588622880</v>
      </c>
      <c r="E31475" t="s">
        <v>7516</v>
      </c>
    </row>
    <row r="31476" spans="1:5" x14ac:dyDescent="0.25">
      <c r="A31476" t="s">
        <v>10058</v>
      </c>
      <c r="B31476" t="s">
        <v>10059</v>
      </c>
      <c r="C31476" s="1" t="s">
        <v>23490</v>
      </c>
      <c r="D31476" s="1" t="str">
        <f>HYPERLINK("https://rhld.insurance.arkansas.gov/NPILookup?Npi=1588679187","1588679187")</f>
        <v>1588679187</v>
      </c>
      <c r="E31476" t="s">
        <v>17815</v>
      </c>
    </row>
    <row r="31477" spans="1:5" x14ac:dyDescent="0.25">
      <c r="A31477" t="s">
        <v>10058</v>
      </c>
      <c r="B31477" t="s">
        <v>10059</v>
      </c>
      <c r="C31477" s="1" t="s">
        <v>23490</v>
      </c>
      <c r="D31477" s="1" t="str">
        <f>HYPERLINK("https://rhld.insurance.arkansas.gov/NPILookup?Npi=1588681019","1588681019")</f>
        <v>1588681019</v>
      </c>
      <c r="E31477" t="s">
        <v>10060</v>
      </c>
    </row>
    <row r="31478" spans="1:5" x14ac:dyDescent="0.25">
      <c r="A31478" t="s">
        <v>10058</v>
      </c>
      <c r="B31478" t="s">
        <v>10059</v>
      </c>
      <c r="C31478" s="1" t="s">
        <v>23490</v>
      </c>
      <c r="D31478" s="1" t="str">
        <f>HYPERLINK("https://rhld.insurance.arkansas.gov/NPILookup?Npi=1588701692","1588701692")</f>
        <v>1588701692</v>
      </c>
      <c r="E31478" t="s">
        <v>10066</v>
      </c>
    </row>
    <row r="31479" spans="1:5" x14ac:dyDescent="0.25">
      <c r="A31479" t="s">
        <v>10058</v>
      </c>
      <c r="B31479" t="s">
        <v>10059</v>
      </c>
      <c r="C31479" s="1" t="s">
        <v>23490</v>
      </c>
      <c r="D31479" s="1" t="str">
        <f>HYPERLINK("https://rhld.insurance.arkansas.gov/NPILookup?Npi=1588720460","1588720460")</f>
        <v>1588720460</v>
      </c>
      <c r="E31479" t="s">
        <v>10372</v>
      </c>
    </row>
    <row r="31480" spans="1:5" x14ac:dyDescent="0.25">
      <c r="A31480" t="s">
        <v>10058</v>
      </c>
      <c r="B31480" t="s">
        <v>10059</v>
      </c>
      <c r="C31480" s="1" t="s">
        <v>23490</v>
      </c>
      <c r="D31480" s="1" t="str">
        <f>HYPERLINK("https://rhld.insurance.arkansas.gov/NPILookup?Npi=1588730246","1588730246")</f>
        <v>1588730246</v>
      </c>
      <c r="E31480" t="s">
        <v>10168</v>
      </c>
    </row>
    <row r="31481" spans="1:5" x14ac:dyDescent="0.25">
      <c r="A31481" t="s">
        <v>10058</v>
      </c>
      <c r="B31481" t="s">
        <v>10059</v>
      </c>
      <c r="C31481" s="1" t="s">
        <v>23490</v>
      </c>
      <c r="D31481" s="1" t="str">
        <f>HYPERLINK("https://rhld.insurance.arkansas.gov/NPILookup?Npi=1588737811","1588737811")</f>
        <v>1588737811</v>
      </c>
      <c r="E31481" t="s">
        <v>10087</v>
      </c>
    </row>
    <row r="31482" spans="1:5" x14ac:dyDescent="0.25">
      <c r="A31482" t="s">
        <v>10058</v>
      </c>
      <c r="B31482" t="s">
        <v>10059</v>
      </c>
      <c r="C31482" s="1" t="s">
        <v>23490</v>
      </c>
      <c r="D31482" s="1" t="str">
        <f>HYPERLINK("https://rhld.insurance.arkansas.gov/NPILookup?Npi=1588779136","1588779136")</f>
        <v>1588779136</v>
      </c>
      <c r="E31482" t="s">
        <v>12746</v>
      </c>
    </row>
    <row r="31483" spans="1:5" x14ac:dyDescent="0.25">
      <c r="A31483" t="s">
        <v>10058</v>
      </c>
      <c r="B31483" t="s">
        <v>10059</v>
      </c>
      <c r="C31483" s="1" t="s">
        <v>23490</v>
      </c>
      <c r="D31483" s="1" t="str">
        <f>HYPERLINK("https://rhld.insurance.arkansas.gov/NPILookup?Npi=1588900344","1588900344")</f>
        <v>1588900344</v>
      </c>
      <c r="E31483" t="s">
        <v>10373</v>
      </c>
    </row>
    <row r="31484" spans="1:5" x14ac:dyDescent="0.25">
      <c r="A31484" t="s">
        <v>10058</v>
      </c>
      <c r="B31484" t="s">
        <v>10059</v>
      </c>
      <c r="C31484" s="1" t="s">
        <v>23490</v>
      </c>
      <c r="D31484" s="1" t="str">
        <f>HYPERLINK("https://rhld.insurance.arkansas.gov/NPILookup?Npi=1588941322","1588941322")</f>
        <v>1588941322</v>
      </c>
      <c r="E31484" t="s">
        <v>10085</v>
      </c>
    </row>
    <row r="31485" spans="1:5" x14ac:dyDescent="0.25">
      <c r="A31485" t="s">
        <v>10058</v>
      </c>
      <c r="B31485" t="s">
        <v>10059</v>
      </c>
      <c r="C31485" s="1" t="s">
        <v>23490</v>
      </c>
      <c r="D31485" s="1" t="str">
        <f>HYPERLINK("https://rhld.insurance.arkansas.gov/NPILookup?Npi=1598018806","1598018806")</f>
        <v>1598018806</v>
      </c>
      <c r="E31485" t="s">
        <v>16832</v>
      </c>
    </row>
    <row r="31486" spans="1:5" x14ac:dyDescent="0.25">
      <c r="A31486" t="s">
        <v>10058</v>
      </c>
      <c r="B31486" t="s">
        <v>10059</v>
      </c>
      <c r="C31486" s="1" t="s">
        <v>23490</v>
      </c>
      <c r="D31486" s="1" t="str">
        <f>HYPERLINK("https://rhld.insurance.arkansas.gov/NPILookup?Npi=1598047953","1598047953")</f>
        <v>1598047953</v>
      </c>
      <c r="E31486" t="s">
        <v>10081</v>
      </c>
    </row>
    <row r="31487" spans="1:5" x14ac:dyDescent="0.25">
      <c r="A31487" t="s">
        <v>10058</v>
      </c>
      <c r="B31487" t="s">
        <v>10059</v>
      </c>
      <c r="C31487" s="1" t="s">
        <v>23490</v>
      </c>
      <c r="D31487" s="1" t="str">
        <f>HYPERLINK("https://rhld.insurance.arkansas.gov/NPILookup?Npi=1598167280","1598167280")</f>
        <v>1598167280</v>
      </c>
      <c r="E31487" t="s">
        <v>10374</v>
      </c>
    </row>
    <row r="31488" spans="1:5" x14ac:dyDescent="0.25">
      <c r="A31488" t="s">
        <v>10058</v>
      </c>
      <c r="B31488" t="s">
        <v>10059</v>
      </c>
      <c r="C31488" s="1" t="s">
        <v>23490</v>
      </c>
      <c r="D31488" s="1" t="str">
        <f>HYPERLINK("https://rhld.insurance.arkansas.gov/NPILookup?Npi=1598235913","1598235913")</f>
        <v>1598235913</v>
      </c>
      <c r="E31488" t="s">
        <v>16833</v>
      </c>
    </row>
    <row r="31489" spans="1:5" x14ac:dyDescent="0.25">
      <c r="A31489" t="s">
        <v>10058</v>
      </c>
      <c r="B31489" t="s">
        <v>10059</v>
      </c>
      <c r="C31489" s="1" t="s">
        <v>23490</v>
      </c>
      <c r="D31489" s="1" t="str">
        <f>HYPERLINK("https://rhld.insurance.arkansas.gov/NPILookup?Npi=1598393605","1598393605")</f>
        <v>1598393605</v>
      </c>
      <c r="E31489" t="s">
        <v>16818</v>
      </c>
    </row>
    <row r="31490" spans="1:5" x14ac:dyDescent="0.25">
      <c r="A31490" t="s">
        <v>10058</v>
      </c>
      <c r="B31490" t="s">
        <v>10059</v>
      </c>
      <c r="C31490" s="1" t="s">
        <v>23490</v>
      </c>
      <c r="D31490" s="1" t="str">
        <f>HYPERLINK("https://rhld.insurance.arkansas.gov/NPILookup?Npi=1598751562","1598751562")</f>
        <v>1598751562</v>
      </c>
      <c r="E31490" t="s">
        <v>6270</v>
      </c>
    </row>
    <row r="31491" spans="1:5" x14ac:dyDescent="0.25">
      <c r="A31491" t="s">
        <v>10058</v>
      </c>
      <c r="B31491" t="s">
        <v>10059</v>
      </c>
      <c r="C31491" s="1" t="s">
        <v>23490</v>
      </c>
      <c r="D31491" s="1" t="str">
        <f>HYPERLINK("https://rhld.insurance.arkansas.gov/NPILookup?Npi=1598751984","1598751984")</f>
        <v>1598751984</v>
      </c>
      <c r="E31491" t="s">
        <v>10375</v>
      </c>
    </row>
    <row r="31492" spans="1:5" x14ac:dyDescent="0.25">
      <c r="A31492" t="s">
        <v>10058</v>
      </c>
      <c r="B31492" t="s">
        <v>10059</v>
      </c>
      <c r="C31492" s="1" t="s">
        <v>23490</v>
      </c>
      <c r="D31492" s="1" t="str">
        <f>HYPERLINK("https://rhld.insurance.arkansas.gov/NPILookup?Npi=1598776163","1598776163")</f>
        <v>1598776163</v>
      </c>
      <c r="E31492" t="s">
        <v>10376</v>
      </c>
    </row>
    <row r="31493" spans="1:5" x14ac:dyDescent="0.25">
      <c r="A31493" t="s">
        <v>10058</v>
      </c>
      <c r="B31493" t="s">
        <v>10059</v>
      </c>
      <c r="C31493" s="1" t="s">
        <v>23490</v>
      </c>
      <c r="D31493" s="1" t="str">
        <f>HYPERLINK("https://rhld.insurance.arkansas.gov/NPILookup?Npi=1598782815","1598782815")</f>
        <v>1598782815</v>
      </c>
      <c r="E31493" t="s">
        <v>10060</v>
      </c>
    </row>
    <row r="31494" spans="1:5" x14ac:dyDescent="0.25">
      <c r="A31494" t="s">
        <v>10058</v>
      </c>
      <c r="B31494" t="s">
        <v>10059</v>
      </c>
      <c r="C31494" s="1" t="s">
        <v>23490</v>
      </c>
      <c r="D31494" s="1" t="str">
        <f>HYPERLINK("https://rhld.insurance.arkansas.gov/NPILookup?Npi=1598782989","1598782989")</f>
        <v>1598782989</v>
      </c>
      <c r="E31494" t="s">
        <v>13312</v>
      </c>
    </row>
    <row r="31495" spans="1:5" x14ac:dyDescent="0.25">
      <c r="A31495" t="s">
        <v>10058</v>
      </c>
      <c r="B31495" t="s">
        <v>10059</v>
      </c>
      <c r="C31495" s="1" t="s">
        <v>23490</v>
      </c>
      <c r="D31495" s="1" t="str">
        <f>HYPERLINK("https://rhld.insurance.arkansas.gov/NPILookup?Npi=1598782997","1598782997")</f>
        <v>1598782997</v>
      </c>
      <c r="E31495" t="s">
        <v>13312</v>
      </c>
    </row>
    <row r="31496" spans="1:5" x14ac:dyDescent="0.25">
      <c r="A31496" t="s">
        <v>10058</v>
      </c>
      <c r="B31496" t="s">
        <v>10059</v>
      </c>
      <c r="C31496" s="1" t="s">
        <v>23490</v>
      </c>
      <c r="D31496" s="1" t="str">
        <f>HYPERLINK("https://rhld.insurance.arkansas.gov/NPILookup?Npi=1598799348","1598799348")</f>
        <v>1598799348</v>
      </c>
      <c r="E31496" t="s">
        <v>10067</v>
      </c>
    </row>
    <row r="31497" spans="1:5" x14ac:dyDescent="0.25">
      <c r="A31497" t="s">
        <v>10058</v>
      </c>
      <c r="B31497" t="s">
        <v>10059</v>
      </c>
      <c r="C31497" s="1" t="s">
        <v>23490</v>
      </c>
      <c r="D31497" s="1" t="str">
        <f>HYPERLINK("https://rhld.insurance.arkansas.gov/NPILookup?Npi=1598808859","1598808859")</f>
        <v>1598808859</v>
      </c>
      <c r="E31497" t="s">
        <v>10377</v>
      </c>
    </row>
    <row r="31498" spans="1:5" x14ac:dyDescent="0.25">
      <c r="A31498" t="s">
        <v>10058</v>
      </c>
      <c r="B31498" t="s">
        <v>10059</v>
      </c>
      <c r="C31498" s="1" t="s">
        <v>23490</v>
      </c>
      <c r="D31498" s="1" t="str">
        <f>HYPERLINK("https://rhld.insurance.arkansas.gov/NPILookup?Npi=1598825960","1598825960")</f>
        <v>1598825960</v>
      </c>
      <c r="E31498" t="s">
        <v>10378</v>
      </c>
    </row>
    <row r="31499" spans="1:5" x14ac:dyDescent="0.25">
      <c r="A31499" t="s">
        <v>10058</v>
      </c>
      <c r="B31499" t="s">
        <v>10059</v>
      </c>
      <c r="C31499" s="1" t="s">
        <v>23490</v>
      </c>
      <c r="D31499" s="1" t="str">
        <f>HYPERLINK("https://rhld.insurance.arkansas.gov/NPILookup?Npi=1609044528","1609044528")</f>
        <v>1609044528</v>
      </c>
      <c r="E31499" t="s">
        <v>10066</v>
      </c>
    </row>
    <row r="31500" spans="1:5" x14ac:dyDescent="0.25">
      <c r="A31500" t="s">
        <v>10058</v>
      </c>
      <c r="B31500" t="s">
        <v>10059</v>
      </c>
      <c r="C31500" s="1" t="s">
        <v>23490</v>
      </c>
      <c r="D31500" s="1" t="str">
        <f>HYPERLINK("https://rhld.insurance.arkansas.gov/NPILookup?Npi=1609058510","1609058510")</f>
        <v>1609058510</v>
      </c>
      <c r="E31500" t="s">
        <v>10119</v>
      </c>
    </row>
    <row r="31501" spans="1:5" x14ac:dyDescent="0.25">
      <c r="A31501" t="s">
        <v>10058</v>
      </c>
      <c r="B31501" t="s">
        <v>10059</v>
      </c>
      <c r="C31501" s="1" t="s">
        <v>23490</v>
      </c>
      <c r="D31501" s="1" t="str">
        <f>HYPERLINK("https://rhld.insurance.arkansas.gov/NPILookup?Npi=1609206721","1609206721")</f>
        <v>1609206721</v>
      </c>
      <c r="E31501" t="s">
        <v>10379</v>
      </c>
    </row>
    <row r="31502" spans="1:5" x14ac:dyDescent="0.25">
      <c r="A31502" t="s">
        <v>10058</v>
      </c>
      <c r="B31502" t="s">
        <v>10059</v>
      </c>
      <c r="C31502" s="1" t="s">
        <v>23490</v>
      </c>
      <c r="D31502" s="1" t="str">
        <f>HYPERLINK("https://rhld.insurance.arkansas.gov/NPILookup?Npi=1609248913","1609248913")</f>
        <v>1609248913</v>
      </c>
      <c r="E31502" t="s">
        <v>10063</v>
      </c>
    </row>
    <row r="31503" spans="1:5" x14ac:dyDescent="0.25">
      <c r="A31503" t="s">
        <v>10058</v>
      </c>
      <c r="B31503" t="s">
        <v>10059</v>
      </c>
      <c r="C31503" s="1" t="s">
        <v>23490</v>
      </c>
      <c r="D31503" s="1" t="str">
        <f>HYPERLINK("https://rhld.insurance.arkansas.gov/NPILookup?Npi=1609267889","1609267889")</f>
        <v>1609267889</v>
      </c>
      <c r="E31503" t="s">
        <v>13312</v>
      </c>
    </row>
    <row r="31504" spans="1:5" x14ac:dyDescent="0.25">
      <c r="A31504" t="s">
        <v>10058</v>
      </c>
      <c r="B31504" t="s">
        <v>10059</v>
      </c>
      <c r="C31504" s="1" t="s">
        <v>23490</v>
      </c>
      <c r="D31504" s="1" t="str">
        <f>HYPERLINK("https://rhld.insurance.arkansas.gov/NPILookup?Npi=1609297449","1609297449")</f>
        <v>1609297449</v>
      </c>
      <c r="E31504" t="s">
        <v>10380</v>
      </c>
    </row>
    <row r="31505" spans="1:5" x14ac:dyDescent="0.25">
      <c r="A31505" t="s">
        <v>10058</v>
      </c>
      <c r="B31505" t="s">
        <v>10059</v>
      </c>
      <c r="C31505" s="1" t="s">
        <v>23490</v>
      </c>
      <c r="D31505" s="1" t="str">
        <f>HYPERLINK("https://rhld.insurance.arkansas.gov/NPILookup?Npi=1609323922","1609323922")</f>
        <v>1609323922</v>
      </c>
      <c r="E31505" t="s">
        <v>19291</v>
      </c>
    </row>
    <row r="31506" spans="1:5" x14ac:dyDescent="0.25">
      <c r="A31506" t="s">
        <v>10058</v>
      </c>
      <c r="B31506" t="s">
        <v>10059</v>
      </c>
      <c r="C31506" s="1" t="s">
        <v>23490</v>
      </c>
      <c r="D31506" s="1" t="str">
        <f>HYPERLINK("https://rhld.insurance.arkansas.gov/NPILookup?Npi=1609352566","1609352566")</f>
        <v>1609352566</v>
      </c>
      <c r="E31506" t="s">
        <v>10521</v>
      </c>
    </row>
    <row r="31507" spans="1:5" x14ac:dyDescent="0.25">
      <c r="A31507" t="s">
        <v>10058</v>
      </c>
      <c r="B31507" t="s">
        <v>10059</v>
      </c>
      <c r="C31507" s="1" t="s">
        <v>23490</v>
      </c>
      <c r="D31507" s="1" t="str">
        <f>HYPERLINK("https://rhld.insurance.arkansas.gov/NPILookup?Npi=1609525138","1609525138")</f>
        <v>1609525138</v>
      </c>
      <c r="E31507" t="s">
        <v>22851</v>
      </c>
    </row>
    <row r="31508" spans="1:5" x14ac:dyDescent="0.25">
      <c r="A31508" t="s">
        <v>10058</v>
      </c>
      <c r="B31508" t="s">
        <v>10059</v>
      </c>
      <c r="C31508" s="1" t="s">
        <v>23490</v>
      </c>
      <c r="D31508" s="1" t="str">
        <f>HYPERLINK("https://rhld.insurance.arkansas.gov/NPILookup?Npi=1609531797","1609531797")</f>
        <v>1609531797</v>
      </c>
      <c r="E31508" t="s">
        <v>16836</v>
      </c>
    </row>
    <row r="31509" spans="1:5" x14ac:dyDescent="0.25">
      <c r="A31509" t="s">
        <v>10058</v>
      </c>
      <c r="B31509" t="s">
        <v>10059</v>
      </c>
      <c r="C31509" s="1" t="s">
        <v>23490</v>
      </c>
      <c r="D31509" s="1" t="str">
        <f>HYPERLINK("https://rhld.insurance.arkansas.gov/NPILookup?Npi=1609572551","1609572551")</f>
        <v>1609572551</v>
      </c>
      <c r="E31509" t="s">
        <v>10076</v>
      </c>
    </row>
    <row r="31510" spans="1:5" x14ac:dyDescent="0.25">
      <c r="A31510" t="s">
        <v>10058</v>
      </c>
      <c r="B31510" t="s">
        <v>10059</v>
      </c>
      <c r="C31510" s="1" t="s">
        <v>23490</v>
      </c>
      <c r="D31510" s="1" t="str">
        <f>HYPERLINK("https://rhld.insurance.arkansas.gov/NPILookup?Npi=1609800457","1609800457")</f>
        <v>1609800457</v>
      </c>
      <c r="E31510" t="s">
        <v>10067</v>
      </c>
    </row>
    <row r="31511" spans="1:5" x14ac:dyDescent="0.25">
      <c r="A31511" t="s">
        <v>10058</v>
      </c>
      <c r="B31511" t="s">
        <v>10059</v>
      </c>
      <c r="C31511" s="1" t="s">
        <v>23490</v>
      </c>
      <c r="D31511" s="1" t="str">
        <f>HYPERLINK("https://rhld.insurance.arkansas.gov/NPILookup?Npi=1609827302","1609827302")</f>
        <v>1609827302</v>
      </c>
      <c r="E31511" t="s">
        <v>10342</v>
      </c>
    </row>
    <row r="31512" spans="1:5" x14ac:dyDescent="0.25">
      <c r="A31512" t="s">
        <v>10058</v>
      </c>
      <c r="B31512" t="s">
        <v>10059</v>
      </c>
      <c r="C31512" s="1" t="s">
        <v>23490</v>
      </c>
      <c r="D31512" s="1" t="str">
        <f>HYPERLINK("https://rhld.insurance.arkansas.gov/NPILookup?Npi=1609877414","1609877414")</f>
        <v>1609877414</v>
      </c>
      <c r="E31512" t="s">
        <v>10065</v>
      </c>
    </row>
    <row r="31513" spans="1:5" x14ac:dyDescent="0.25">
      <c r="A31513" t="s">
        <v>10058</v>
      </c>
      <c r="B31513" t="s">
        <v>10059</v>
      </c>
      <c r="C31513" s="1" t="s">
        <v>23490</v>
      </c>
      <c r="D31513" s="1" t="str">
        <f>HYPERLINK("https://rhld.insurance.arkansas.gov/NPILookup?Npi=1609881705","1609881705")</f>
        <v>1609881705</v>
      </c>
      <c r="E31513" t="s">
        <v>10066</v>
      </c>
    </row>
    <row r="31514" spans="1:5" x14ac:dyDescent="0.25">
      <c r="A31514" t="s">
        <v>10058</v>
      </c>
      <c r="B31514" t="s">
        <v>10059</v>
      </c>
      <c r="C31514" s="1" t="s">
        <v>23490</v>
      </c>
      <c r="D31514" s="1" t="str">
        <f>HYPERLINK("https://rhld.insurance.arkansas.gov/NPILookup?Npi=1609893015","1609893015")</f>
        <v>1609893015</v>
      </c>
      <c r="E31514" t="s">
        <v>13312</v>
      </c>
    </row>
    <row r="31515" spans="1:5" x14ac:dyDescent="0.25">
      <c r="A31515" t="s">
        <v>10058</v>
      </c>
      <c r="B31515" t="s">
        <v>10059</v>
      </c>
      <c r="C31515" s="1" t="s">
        <v>23490</v>
      </c>
      <c r="D31515" s="1" t="str">
        <f>HYPERLINK("https://rhld.insurance.arkansas.gov/NPILookup?Npi=1609893080","1609893080")</f>
        <v>1609893080</v>
      </c>
      <c r="E31515" t="s">
        <v>13312</v>
      </c>
    </row>
    <row r="31516" spans="1:5" x14ac:dyDescent="0.25">
      <c r="A31516" t="s">
        <v>10058</v>
      </c>
      <c r="B31516" t="s">
        <v>10059</v>
      </c>
      <c r="C31516" s="1" t="s">
        <v>23490</v>
      </c>
      <c r="D31516" s="1" t="str">
        <f>HYPERLINK("https://rhld.insurance.arkansas.gov/NPILookup?Npi=1609893098","1609893098")</f>
        <v>1609893098</v>
      </c>
      <c r="E31516" t="s">
        <v>13312</v>
      </c>
    </row>
    <row r="31517" spans="1:5" x14ac:dyDescent="0.25">
      <c r="A31517" t="s">
        <v>10058</v>
      </c>
      <c r="B31517" t="s">
        <v>10059</v>
      </c>
      <c r="C31517" s="1" t="s">
        <v>23490</v>
      </c>
      <c r="D31517" s="1" t="str">
        <f>HYPERLINK("https://rhld.insurance.arkansas.gov/NPILookup?Npi=1609893890","1609893890")</f>
        <v>1609893890</v>
      </c>
      <c r="E31517" t="s">
        <v>10060</v>
      </c>
    </row>
    <row r="31518" spans="1:5" x14ac:dyDescent="0.25">
      <c r="A31518" t="s">
        <v>10058</v>
      </c>
      <c r="B31518" t="s">
        <v>10059</v>
      </c>
      <c r="C31518" s="1" t="s">
        <v>23490</v>
      </c>
      <c r="D31518" s="1" t="str">
        <f>HYPERLINK("https://rhld.insurance.arkansas.gov/NPILookup?Npi=1609914696","1609914696")</f>
        <v>1609914696</v>
      </c>
      <c r="E31518" t="s">
        <v>12747</v>
      </c>
    </row>
    <row r="31519" spans="1:5" x14ac:dyDescent="0.25">
      <c r="A31519" t="s">
        <v>10058</v>
      </c>
      <c r="B31519" t="s">
        <v>10059</v>
      </c>
      <c r="C31519" s="1" t="s">
        <v>23490</v>
      </c>
      <c r="D31519" s="1" t="str">
        <f>HYPERLINK("https://rhld.insurance.arkansas.gov/NPILookup?Npi=1609938349","1609938349")</f>
        <v>1609938349</v>
      </c>
      <c r="E31519" t="s">
        <v>10381</v>
      </c>
    </row>
    <row r="31520" spans="1:5" x14ac:dyDescent="0.25">
      <c r="A31520" t="s">
        <v>10058</v>
      </c>
      <c r="B31520" t="s">
        <v>10059</v>
      </c>
      <c r="C31520" s="1" t="s">
        <v>23490</v>
      </c>
      <c r="D31520" s="1" t="str">
        <f>HYPERLINK("https://rhld.insurance.arkansas.gov/NPILookup?Npi=1609947068","1609947068")</f>
        <v>1609947068</v>
      </c>
      <c r="E31520" t="s">
        <v>17350</v>
      </c>
    </row>
    <row r="31521" spans="1:5" x14ac:dyDescent="0.25">
      <c r="A31521" t="s">
        <v>10058</v>
      </c>
      <c r="B31521" t="s">
        <v>10059</v>
      </c>
      <c r="C31521" s="1" t="s">
        <v>23490</v>
      </c>
      <c r="D31521" s="1" t="str">
        <f>HYPERLINK("https://rhld.insurance.arkansas.gov/NPILookup?Npi=1609949163","1609949163")</f>
        <v>1609949163</v>
      </c>
      <c r="E31521" t="s">
        <v>21358</v>
      </c>
    </row>
    <row r="31522" spans="1:5" x14ac:dyDescent="0.25">
      <c r="A31522" t="s">
        <v>10058</v>
      </c>
      <c r="B31522" t="s">
        <v>10059</v>
      </c>
      <c r="C31522" s="1" t="s">
        <v>23490</v>
      </c>
      <c r="D31522" s="1" t="str">
        <f>HYPERLINK("https://rhld.insurance.arkansas.gov/NPILookup?Npi=1609980028","1609980028")</f>
        <v>1609980028</v>
      </c>
      <c r="E31522" t="s">
        <v>10382</v>
      </c>
    </row>
    <row r="31523" spans="1:5" x14ac:dyDescent="0.25">
      <c r="A31523" t="s">
        <v>10058</v>
      </c>
      <c r="B31523" t="s">
        <v>10059</v>
      </c>
      <c r="C31523" s="1" t="s">
        <v>23490</v>
      </c>
      <c r="D31523" s="1" t="str">
        <f>HYPERLINK("https://rhld.insurance.arkansas.gov/NPILookup?Npi=1619028602","1619028602")</f>
        <v>1619028602</v>
      </c>
      <c r="E31523" t="s">
        <v>10383</v>
      </c>
    </row>
    <row r="31524" spans="1:5" x14ac:dyDescent="0.25">
      <c r="A31524" t="s">
        <v>10058</v>
      </c>
      <c r="B31524" t="s">
        <v>10059</v>
      </c>
      <c r="C31524" s="1" t="s">
        <v>23490</v>
      </c>
      <c r="D31524" s="1" t="str">
        <f>HYPERLINK("https://rhld.insurance.arkansas.gov/NPILookup?Npi=1619046711","1619046711")</f>
        <v>1619046711</v>
      </c>
      <c r="E31524" t="s">
        <v>10384</v>
      </c>
    </row>
    <row r="31525" spans="1:5" x14ac:dyDescent="0.25">
      <c r="A31525" t="s">
        <v>10058</v>
      </c>
      <c r="B31525" t="s">
        <v>10059</v>
      </c>
      <c r="C31525" s="1" t="s">
        <v>23490</v>
      </c>
      <c r="D31525" s="1" t="str">
        <f>HYPERLINK("https://rhld.insurance.arkansas.gov/NPILookup?Npi=1619055860","1619055860")</f>
        <v>1619055860</v>
      </c>
      <c r="E31525" t="s">
        <v>10385</v>
      </c>
    </row>
    <row r="31526" spans="1:5" x14ac:dyDescent="0.25">
      <c r="A31526" t="s">
        <v>10058</v>
      </c>
      <c r="B31526" t="s">
        <v>10059</v>
      </c>
      <c r="C31526" s="1" t="s">
        <v>23490</v>
      </c>
      <c r="D31526" s="1" t="str">
        <f>HYPERLINK("https://rhld.insurance.arkansas.gov/NPILookup?Npi=1619082658","1619082658")</f>
        <v>1619082658</v>
      </c>
      <c r="E31526" t="s">
        <v>10386</v>
      </c>
    </row>
    <row r="31527" spans="1:5" x14ac:dyDescent="0.25">
      <c r="A31527" t="s">
        <v>10058</v>
      </c>
      <c r="B31527" t="s">
        <v>10059</v>
      </c>
      <c r="C31527" s="1" t="s">
        <v>23490</v>
      </c>
      <c r="D31527" s="1" t="str">
        <f>HYPERLINK("https://rhld.insurance.arkansas.gov/NPILookup?Npi=1619213212","1619213212")</f>
        <v>1619213212</v>
      </c>
      <c r="E31527" t="s">
        <v>10509</v>
      </c>
    </row>
    <row r="31528" spans="1:5" x14ac:dyDescent="0.25">
      <c r="A31528" t="s">
        <v>10058</v>
      </c>
      <c r="B31528" t="s">
        <v>10059</v>
      </c>
      <c r="C31528" s="1" t="s">
        <v>23490</v>
      </c>
      <c r="D31528" s="1" t="str">
        <f>HYPERLINK("https://rhld.insurance.arkansas.gov/NPILookup?Npi=1619246493","1619246493")</f>
        <v>1619246493</v>
      </c>
      <c r="E31528" t="s">
        <v>10387</v>
      </c>
    </row>
    <row r="31529" spans="1:5" x14ac:dyDescent="0.25">
      <c r="A31529" t="s">
        <v>10058</v>
      </c>
      <c r="B31529" t="s">
        <v>10059</v>
      </c>
      <c r="C31529" s="1" t="s">
        <v>23490</v>
      </c>
      <c r="D31529" s="1" t="str">
        <f>HYPERLINK("https://rhld.insurance.arkansas.gov/NPILookup?Npi=1619285079","1619285079")</f>
        <v>1619285079</v>
      </c>
      <c r="E31529" t="s">
        <v>10388</v>
      </c>
    </row>
    <row r="31530" spans="1:5" x14ac:dyDescent="0.25">
      <c r="A31530" t="s">
        <v>10058</v>
      </c>
      <c r="B31530" t="s">
        <v>10059</v>
      </c>
      <c r="C31530" s="1" t="s">
        <v>23490</v>
      </c>
      <c r="D31530" s="1" t="str">
        <f>HYPERLINK("https://rhld.insurance.arkansas.gov/NPILookup?Npi=1619290186","1619290186")</f>
        <v>1619290186</v>
      </c>
      <c r="E31530" t="s">
        <v>10066</v>
      </c>
    </row>
    <row r="31531" spans="1:5" x14ac:dyDescent="0.25">
      <c r="A31531" t="s">
        <v>10058</v>
      </c>
      <c r="B31531" t="s">
        <v>10059</v>
      </c>
      <c r="C31531" s="1" t="s">
        <v>23490</v>
      </c>
      <c r="D31531" s="1" t="str">
        <f>HYPERLINK("https://rhld.insurance.arkansas.gov/NPILookup?Npi=1619305976","1619305976")</f>
        <v>1619305976</v>
      </c>
      <c r="E31531" t="s">
        <v>10389</v>
      </c>
    </row>
    <row r="31532" spans="1:5" x14ac:dyDescent="0.25">
      <c r="A31532" t="s">
        <v>10058</v>
      </c>
      <c r="B31532" t="s">
        <v>10059</v>
      </c>
      <c r="C31532" s="1" t="s">
        <v>23490</v>
      </c>
      <c r="D31532" s="1" t="str">
        <f>HYPERLINK("https://rhld.insurance.arkansas.gov/NPILookup?Npi=1619326881","1619326881")</f>
        <v>1619326881</v>
      </c>
      <c r="E31532" t="s">
        <v>10390</v>
      </c>
    </row>
    <row r="31533" spans="1:5" x14ac:dyDescent="0.25">
      <c r="A31533" t="s">
        <v>10058</v>
      </c>
      <c r="B31533" t="s">
        <v>10059</v>
      </c>
      <c r="C31533" s="1" t="s">
        <v>23490</v>
      </c>
      <c r="D31533" s="1" t="str">
        <f>HYPERLINK("https://rhld.insurance.arkansas.gov/NPILookup?Npi=1619336013","1619336013")</f>
        <v>1619336013</v>
      </c>
      <c r="E31533" t="s">
        <v>10170</v>
      </c>
    </row>
    <row r="31534" spans="1:5" x14ac:dyDescent="0.25">
      <c r="A31534" t="s">
        <v>10058</v>
      </c>
      <c r="B31534" t="s">
        <v>10059</v>
      </c>
      <c r="C31534" s="1" t="s">
        <v>23490</v>
      </c>
      <c r="D31534" s="1" t="str">
        <f>HYPERLINK("https://rhld.insurance.arkansas.gov/NPILookup?Npi=1619368792","1619368792")</f>
        <v>1619368792</v>
      </c>
      <c r="E31534" t="s">
        <v>10063</v>
      </c>
    </row>
    <row r="31535" spans="1:5" x14ac:dyDescent="0.25">
      <c r="A31535" t="s">
        <v>10058</v>
      </c>
      <c r="B31535" t="s">
        <v>10059</v>
      </c>
      <c r="C31535" s="1" t="s">
        <v>23490</v>
      </c>
      <c r="D31535" s="1" t="str">
        <f>HYPERLINK("https://rhld.insurance.arkansas.gov/NPILookup?Npi=1619374360","1619374360")</f>
        <v>1619374360</v>
      </c>
      <c r="E31535" t="s">
        <v>10391</v>
      </c>
    </row>
    <row r="31536" spans="1:5" x14ac:dyDescent="0.25">
      <c r="A31536" t="s">
        <v>10058</v>
      </c>
      <c r="B31536" t="s">
        <v>10059</v>
      </c>
      <c r="C31536" s="1" t="s">
        <v>23490</v>
      </c>
      <c r="D31536" s="1" t="str">
        <f>HYPERLINK("https://rhld.insurance.arkansas.gov/NPILookup?Npi=1619396892","1619396892")</f>
        <v>1619396892</v>
      </c>
      <c r="E31536" t="s">
        <v>10392</v>
      </c>
    </row>
    <row r="31537" spans="1:5" x14ac:dyDescent="0.25">
      <c r="A31537" t="s">
        <v>10058</v>
      </c>
      <c r="B31537" t="s">
        <v>10059</v>
      </c>
      <c r="C31537" s="1" t="s">
        <v>23490</v>
      </c>
      <c r="D31537" s="1" t="str">
        <f>HYPERLINK("https://rhld.insurance.arkansas.gov/NPILookup?Npi=1619596731","1619596731")</f>
        <v>1619596731</v>
      </c>
      <c r="E31537" t="s">
        <v>22852</v>
      </c>
    </row>
    <row r="31538" spans="1:5" x14ac:dyDescent="0.25">
      <c r="A31538" t="s">
        <v>10058</v>
      </c>
      <c r="B31538" t="s">
        <v>10059</v>
      </c>
      <c r="C31538" s="1" t="s">
        <v>23490</v>
      </c>
      <c r="D31538" s="1" t="str">
        <f>HYPERLINK("https://rhld.insurance.arkansas.gov/NPILookup?Npi=1619982717","1619982717")</f>
        <v>1619982717</v>
      </c>
      <c r="E31538" t="s">
        <v>10066</v>
      </c>
    </row>
    <row r="31539" spans="1:5" x14ac:dyDescent="0.25">
      <c r="A31539" t="s">
        <v>10058</v>
      </c>
      <c r="B31539" t="s">
        <v>10059</v>
      </c>
      <c r="C31539" s="1" t="s">
        <v>23490</v>
      </c>
      <c r="D31539" s="1" t="str">
        <f>HYPERLINK("https://rhld.insurance.arkansas.gov/NPILookup?Npi=1619991767","1619991767")</f>
        <v>1619991767</v>
      </c>
      <c r="E31539" t="s">
        <v>10393</v>
      </c>
    </row>
    <row r="31540" spans="1:5" x14ac:dyDescent="0.25">
      <c r="A31540" t="s">
        <v>10058</v>
      </c>
      <c r="B31540" t="s">
        <v>10059</v>
      </c>
      <c r="C31540" s="1" t="s">
        <v>23490</v>
      </c>
      <c r="D31540" s="1" t="str">
        <f>HYPERLINK("https://rhld.insurance.arkansas.gov/NPILookup?Npi=1619994951","1619994951")</f>
        <v>1619994951</v>
      </c>
      <c r="E31540" t="s">
        <v>10060</v>
      </c>
    </row>
    <row r="31541" spans="1:5" x14ac:dyDescent="0.25">
      <c r="A31541" t="s">
        <v>10058</v>
      </c>
      <c r="B31541" t="s">
        <v>10059</v>
      </c>
      <c r="C31541" s="1" t="s">
        <v>23490</v>
      </c>
      <c r="D31541" s="1" t="str">
        <f>HYPERLINK("https://rhld.insurance.arkansas.gov/NPILookup?Npi=1629002357","1629002357")</f>
        <v>1629002357</v>
      </c>
      <c r="E31541" t="s">
        <v>10067</v>
      </c>
    </row>
    <row r="31542" spans="1:5" x14ac:dyDescent="0.25">
      <c r="A31542" t="s">
        <v>10058</v>
      </c>
      <c r="B31542" t="s">
        <v>10059</v>
      </c>
      <c r="C31542" s="1" t="s">
        <v>23490</v>
      </c>
      <c r="D31542" s="1" t="str">
        <f>HYPERLINK("https://rhld.insurance.arkansas.gov/NPILookup?Npi=1629078605","1629078605")</f>
        <v>1629078605</v>
      </c>
      <c r="E31542" t="s">
        <v>10394</v>
      </c>
    </row>
    <row r="31543" spans="1:5" x14ac:dyDescent="0.25">
      <c r="A31543" t="s">
        <v>10058</v>
      </c>
      <c r="B31543" t="s">
        <v>10059</v>
      </c>
      <c r="C31543" s="1" t="s">
        <v>23490</v>
      </c>
      <c r="D31543" s="1" t="str">
        <f>HYPERLINK("https://rhld.insurance.arkansas.gov/NPILookup?Npi=1629083720","1629083720")</f>
        <v>1629083720</v>
      </c>
      <c r="E31543" t="s">
        <v>10066</v>
      </c>
    </row>
    <row r="31544" spans="1:5" x14ac:dyDescent="0.25">
      <c r="A31544" t="s">
        <v>10058</v>
      </c>
      <c r="B31544" t="s">
        <v>10059</v>
      </c>
      <c r="C31544" s="1" t="s">
        <v>23490</v>
      </c>
      <c r="D31544" s="1" t="str">
        <f>HYPERLINK("https://rhld.insurance.arkansas.gov/NPILookup?Npi=1629103643","1629103643")</f>
        <v>1629103643</v>
      </c>
      <c r="E31544" t="s">
        <v>10395</v>
      </c>
    </row>
    <row r="31545" spans="1:5" x14ac:dyDescent="0.25">
      <c r="A31545" t="s">
        <v>10058</v>
      </c>
      <c r="B31545" t="s">
        <v>10059</v>
      </c>
      <c r="C31545" s="1" t="s">
        <v>23490</v>
      </c>
      <c r="D31545" s="1" t="str">
        <f>HYPERLINK("https://rhld.insurance.arkansas.gov/NPILookup?Npi=1629148705","1629148705")</f>
        <v>1629148705</v>
      </c>
      <c r="E31545" t="s">
        <v>10072</v>
      </c>
    </row>
    <row r="31546" spans="1:5" x14ac:dyDescent="0.25">
      <c r="A31546" t="s">
        <v>10058</v>
      </c>
      <c r="B31546" t="s">
        <v>10059</v>
      </c>
      <c r="C31546" s="1" t="s">
        <v>23490</v>
      </c>
      <c r="D31546" s="1" t="str">
        <f>HYPERLINK("https://rhld.insurance.arkansas.gov/NPILookup?Npi=1629182696","1629182696")</f>
        <v>1629182696</v>
      </c>
      <c r="E31546" t="s">
        <v>10396</v>
      </c>
    </row>
    <row r="31547" spans="1:5" x14ac:dyDescent="0.25">
      <c r="A31547" t="s">
        <v>10058</v>
      </c>
      <c r="B31547" t="s">
        <v>10059</v>
      </c>
      <c r="C31547" s="1" t="s">
        <v>23490</v>
      </c>
      <c r="D31547" s="1" t="str">
        <f>HYPERLINK("https://rhld.insurance.arkansas.gov/NPILookup?Npi=1629184957","1629184957")</f>
        <v>1629184957</v>
      </c>
      <c r="E31547" t="s">
        <v>10397</v>
      </c>
    </row>
    <row r="31548" spans="1:5" x14ac:dyDescent="0.25">
      <c r="A31548" t="s">
        <v>10058</v>
      </c>
      <c r="B31548" t="s">
        <v>10059</v>
      </c>
      <c r="C31548" s="1" t="s">
        <v>23490</v>
      </c>
      <c r="D31548" s="1" t="str">
        <f>HYPERLINK("https://rhld.insurance.arkansas.gov/NPILookup?Npi=1629377742","1629377742")</f>
        <v>1629377742</v>
      </c>
      <c r="E31548" t="s">
        <v>10398</v>
      </c>
    </row>
    <row r="31549" spans="1:5" x14ac:dyDescent="0.25">
      <c r="A31549" t="s">
        <v>10058</v>
      </c>
      <c r="B31549" t="s">
        <v>10059</v>
      </c>
      <c r="C31549" s="1" t="s">
        <v>23490</v>
      </c>
      <c r="D31549" s="1" t="str">
        <f>HYPERLINK("https://rhld.insurance.arkansas.gov/NPILookup?Npi=1629481353","1629481353")</f>
        <v>1629481353</v>
      </c>
      <c r="E31549" t="s">
        <v>10061</v>
      </c>
    </row>
    <row r="31550" spans="1:5" x14ac:dyDescent="0.25">
      <c r="A31550" t="s">
        <v>10058</v>
      </c>
      <c r="B31550" t="s">
        <v>10059</v>
      </c>
      <c r="C31550" s="1" t="s">
        <v>23490</v>
      </c>
      <c r="D31550" s="1" t="str">
        <f>HYPERLINK("https://rhld.insurance.arkansas.gov/NPILookup?Npi=1629481395","1629481395")</f>
        <v>1629481395</v>
      </c>
      <c r="E31550" t="s">
        <v>13312</v>
      </c>
    </row>
    <row r="31551" spans="1:5" x14ac:dyDescent="0.25">
      <c r="A31551" t="s">
        <v>10058</v>
      </c>
      <c r="B31551" t="s">
        <v>10059</v>
      </c>
      <c r="C31551" s="1" t="s">
        <v>23490</v>
      </c>
      <c r="D31551" s="1" t="str">
        <f>HYPERLINK("https://rhld.insurance.arkansas.gov/NPILookup?Npi=1629519301","1629519301")</f>
        <v>1629519301</v>
      </c>
      <c r="E31551" t="s">
        <v>16834</v>
      </c>
    </row>
    <row r="31552" spans="1:5" x14ac:dyDescent="0.25">
      <c r="A31552" t="s">
        <v>10058</v>
      </c>
      <c r="B31552" t="s">
        <v>10059</v>
      </c>
      <c r="C31552" s="1" t="s">
        <v>23490</v>
      </c>
      <c r="D31552" s="1" t="str">
        <f>HYPERLINK("https://rhld.insurance.arkansas.gov/NPILookup?Npi=1629525944","1629525944")</f>
        <v>1629525944</v>
      </c>
      <c r="E31552" t="s">
        <v>22853</v>
      </c>
    </row>
    <row r="31553" spans="1:5" x14ac:dyDescent="0.25">
      <c r="A31553" t="s">
        <v>10058</v>
      </c>
      <c r="B31553" t="s">
        <v>10059</v>
      </c>
      <c r="C31553" s="1" t="s">
        <v>23490</v>
      </c>
      <c r="D31553" s="1" t="str">
        <f>HYPERLINK("https://rhld.insurance.arkansas.gov/NPILookup?Npi=1629542493","1629542493")</f>
        <v>1629542493</v>
      </c>
      <c r="E31553" t="s">
        <v>10194</v>
      </c>
    </row>
    <row r="31554" spans="1:5" x14ac:dyDescent="0.25">
      <c r="A31554" t="s">
        <v>10058</v>
      </c>
      <c r="B31554" t="s">
        <v>10059</v>
      </c>
      <c r="C31554" s="1" t="s">
        <v>23490</v>
      </c>
      <c r="D31554" s="1" t="str">
        <f>HYPERLINK("https://rhld.insurance.arkansas.gov/NPILookup?Npi=1639157092","1639157092")</f>
        <v>1639157092</v>
      </c>
      <c r="E31554" t="s">
        <v>10066</v>
      </c>
    </row>
    <row r="31555" spans="1:5" x14ac:dyDescent="0.25">
      <c r="A31555" t="s">
        <v>10058</v>
      </c>
      <c r="B31555" t="s">
        <v>10059</v>
      </c>
      <c r="C31555" s="1" t="s">
        <v>23490</v>
      </c>
      <c r="D31555" s="1" t="str">
        <f>HYPERLINK("https://rhld.insurance.arkansas.gov/NPILookup?Npi=1639176548","1639176548")</f>
        <v>1639176548</v>
      </c>
      <c r="E31555" t="s">
        <v>10399</v>
      </c>
    </row>
    <row r="31556" spans="1:5" x14ac:dyDescent="0.25">
      <c r="A31556" t="s">
        <v>10058</v>
      </c>
      <c r="B31556" t="s">
        <v>10059</v>
      </c>
      <c r="C31556" s="1" t="s">
        <v>23490</v>
      </c>
      <c r="D31556" s="1" t="str">
        <f>HYPERLINK("https://rhld.insurance.arkansas.gov/NPILookup?Npi=1639180219","1639180219")</f>
        <v>1639180219</v>
      </c>
      <c r="E31556" t="s">
        <v>17811</v>
      </c>
    </row>
    <row r="31557" spans="1:5" x14ac:dyDescent="0.25">
      <c r="A31557" t="s">
        <v>10058</v>
      </c>
      <c r="B31557" t="s">
        <v>10059</v>
      </c>
      <c r="C31557" s="1" t="s">
        <v>23490</v>
      </c>
      <c r="D31557" s="1" t="str">
        <f>HYPERLINK("https://rhld.insurance.arkansas.gov/NPILookup?Npi=1639186646","1639186646")</f>
        <v>1639186646</v>
      </c>
      <c r="E31557" t="s">
        <v>10066</v>
      </c>
    </row>
    <row r="31558" spans="1:5" x14ac:dyDescent="0.25">
      <c r="A31558" t="s">
        <v>10058</v>
      </c>
      <c r="B31558" t="s">
        <v>10059</v>
      </c>
      <c r="C31558" s="1" t="s">
        <v>23490</v>
      </c>
      <c r="D31558" s="1" t="str">
        <f>HYPERLINK("https://rhld.insurance.arkansas.gov/NPILookup?Npi=1639191398","1639191398")</f>
        <v>1639191398</v>
      </c>
      <c r="E31558" t="s">
        <v>10181</v>
      </c>
    </row>
    <row r="31559" spans="1:5" x14ac:dyDescent="0.25">
      <c r="A31559" t="s">
        <v>10058</v>
      </c>
      <c r="B31559" t="s">
        <v>10059</v>
      </c>
      <c r="C31559" s="1" t="s">
        <v>23490</v>
      </c>
      <c r="D31559" s="1" t="str">
        <f>HYPERLINK("https://rhld.insurance.arkansas.gov/NPILookup?Npi=1639194350","1639194350")</f>
        <v>1639194350</v>
      </c>
      <c r="E31559" t="s">
        <v>10067</v>
      </c>
    </row>
    <row r="31560" spans="1:5" x14ac:dyDescent="0.25">
      <c r="A31560" t="s">
        <v>10058</v>
      </c>
      <c r="B31560" t="s">
        <v>10059</v>
      </c>
      <c r="C31560" s="1" t="s">
        <v>23490</v>
      </c>
      <c r="D31560" s="1" t="str">
        <f>HYPERLINK("https://rhld.insurance.arkansas.gov/NPILookup?Npi=1639197163","1639197163")</f>
        <v>1639197163</v>
      </c>
      <c r="E31560" t="s">
        <v>10060</v>
      </c>
    </row>
    <row r="31561" spans="1:5" x14ac:dyDescent="0.25">
      <c r="A31561" t="s">
        <v>10058</v>
      </c>
      <c r="B31561" t="s">
        <v>10059</v>
      </c>
      <c r="C31561" s="1" t="s">
        <v>23490</v>
      </c>
      <c r="D31561" s="1" t="str">
        <f>HYPERLINK("https://rhld.insurance.arkansas.gov/NPILookup?Npi=1639252257","1639252257")</f>
        <v>1639252257</v>
      </c>
      <c r="E31561" t="s">
        <v>10066</v>
      </c>
    </row>
    <row r="31562" spans="1:5" x14ac:dyDescent="0.25">
      <c r="A31562" t="s">
        <v>10058</v>
      </c>
      <c r="B31562" t="s">
        <v>10059</v>
      </c>
      <c r="C31562" s="1" t="s">
        <v>23490</v>
      </c>
      <c r="D31562" s="1" t="str">
        <f>HYPERLINK("https://rhld.insurance.arkansas.gov/NPILookup?Npi=1639273733","1639273733")</f>
        <v>1639273733</v>
      </c>
      <c r="E31562" t="s">
        <v>10067</v>
      </c>
    </row>
    <row r="31563" spans="1:5" x14ac:dyDescent="0.25">
      <c r="A31563" t="s">
        <v>10058</v>
      </c>
      <c r="B31563" t="s">
        <v>10059</v>
      </c>
      <c r="C31563" s="1" t="s">
        <v>23490</v>
      </c>
      <c r="D31563" s="1" t="str">
        <f>HYPERLINK("https://rhld.insurance.arkansas.gov/NPILookup?Npi=1639302730","1639302730")</f>
        <v>1639302730</v>
      </c>
      <c r="E31563" t="s">
        <v>10066</v>
      </c>
    </row>
    <row r="31564" spans="1:5" x14ac:dyDescent="0.25">
      <c r="A31564" t="s">
        <v>10058</v>
      </c>
      <c r="B31564" t="s">
        <v>10059</v>
      </c>
      <c r="C31564" s="1" t="s">
        <v>23490</v>
      </c>
      <c r="D31564" s="1" t="str">
        <f>HYPERLINK("https://rhld.insurance.arkansas.gov/NPILookup?Npi=1639489990","1639489990")</f>
        <v>1639489990</v>
      </c>
      <c r="E31564" t="s">
        <v>10400</v>
      </c>
    </row>
    <row r="31565" spans="1:5" x14ac:dyDescent="0.25">
      <c r="A31565" t="s">
        <v>10058</v>
      </c>
      <c r="B31565" t="s">
        <v>10059</v>
      </c>
      <c r="C31565" s="1" t="s">
        <v>23490</v>
      </c>
      <c r="D31565" s="1" t="str">
        <f>HYPERLINK("https://rhld.insurance.arkansas.gov/NPILookup?Npi=1639540594","1639540594")</f>
        <v>1639540594</v>
      </c>
      <c r="E31565" t="s">
        <v>10067</v>
      </c>
    </row>
    <row r="31566" spans="1:5" x14ac:dyDescent="0.25">
      <c r="A31566" t="s">
        <v>10058</v>
      </c>
      <c r="B31566" t="s">
        <v>10059</v>
      </c>
      <c r="C31566" s="1" t="s">
        <v>23490</v>
      </c>
      <c r="D31566" s="1" t="str">
        <f>HYPERLINK("https://rhld.insurance.arkansas.gov/NPILookup?Npi=1639560444","1639560444")</f>
        <v>1639560444</v>
      </c>
      <c r="E31566" t="s">
        <v>10127</v>
      </c>
    </row>
    <row r="31567" spans="1:5" x14ac:dyDescent="0.25">
      <c r="A31567" t="s">
        <v>10058</v>
      </c>
      <c r="B31567" t="s">
        <v>10059</v>
      </c>
      <c r="C31567" s="1" t="s">
        <v>23490</v>
      </c>
      <c r="D31567" s="1" t="str">
        <f>HYPERLINK("https://rhld.insurance.arkansas.gov/NPILookup?Npi=1639609381","1639609381")</f>
        <v>1639609381</v>
      </c>
      <c r="E31567" t="s">
        <v>10078</v>
      </c>
    </row>
    <row r="31568" spans="1:5" x14ac:dyDescent="0.25">
      <c r="A31568" t="s">
        <v>10058</v>
      </c>
      <c r="B31568" t="s">
        <v>10059</v>
      </c>
      <c r="C31568" s="1" t="s">
        <v>23490</v>
      </c>
      <c r="D31568" s="1" t="str">
        <f>HYPERLINK("https://rhld.insurance.arkansas.gov/NPILookup?Npi=1639797061","1639797061")</f>
        <v>1639797061</v>
      </c>
      <c r="E31568" t="s">
        <v>10387</v>
      </c>
    </row>
    <row r="31569" spans="1:5" x14ac:dyDescent="0.25">
      <c r="A31569" t="s">
        <v>10058</v>
      </c>
      <c r="B31569" t="s">
        <v>10059</v>
      </c>
      <c r="C31569" s="1" t="s">
        <v>23490</v>
      </c>
      <c r="D31569" s="1" t="str">
        <f>HYPERLINK("https://rhld.insurance.arkansas.gov/NPILookup?Npi=1649212242","1649212242")</f>
        <v>1649212242</v>
      </c>
      <c r="E31569" t="s">
        <v>10354</v>
      </c>
    </row>
    <row r="31570" spans="1:5" x14ac:dyDescent="0.25">
      <c r="A31570" t="s">
        <v>10058</v>
      </c>
      <c r="B31570" t="s">
        <v>10059</v>
      </c>
      <c r="C31570" s="1" t="s">
        <v>23490</v>
      </c>
      <c r="D31570" s="1" t="str">
        <f>HYPERLINK("https://rhld.insurance.arkansas.gov/NPILookup?Npi=1649218728","1649218728")</f>
        <v>1649218728</v>
      </c>
      <c r="E31570" t="s">
        <v>10401</v>
      </c>
    </row>
    <row r="31571" spans="1:5" x14ac:dyDescent="0.25">
      <c r="A31571" t="s">
        <v>10058</v>
      </c>
      <c r="B31571" t="s">
        <v>10059</v>
      </c>
      <c r="C31571" s="1" t="s">
        <v>23490</v>
      </c>
      <c r="D31571" s="1" t="str">
        <f>HYPERLINK("https://rhld.insurance.arkansas.gov/NPILookup?Npi=1649280389","1649280389")</f>
        <v>1649280389</v>
      </c>
      <c r="E31571" t="s">
        <v>10402</v>
      </c>
    </row>
    <row r="31572" spans="1:5" x14ac:dyDescent="0.25">
      <c r="A31572" t="s">
        <v>10058</v>
      </c>
      <c r="B31572" t="s">
        <v>10059</v>
      </c>
      <c r="C31572" s="1" t="s">
        <v>23490</v>
      </c>
      <c r="D31572" s="1" t="str">
        <f>HYPERLINK("https://rhld.insurance.arkansas.gov/NPILookup?Npi=1649285644","1649285644")</f>
        <v>1649285644</v>
      </c>
      <c r="E31572" t="s">
        <v>10066</v>
      </c>
    </row>
    <row r="31573" spans="1:5" x14ac:dyDescent="0.25">
      <c r="A31573" t="s">
        <v>10058</v>
      </c>
      <c r="B31573" t="s">
        <v>10059</v>
      </c>
      <c r="C31573" s="1" t="s">
        <v>23490</v>
      </c>
      <c r="D31573" s="1" t="str">
        <f>HYPERLINK("https://rhld.insurance.arkansas.gov/NPILookup?Npi=1649285909","1649285909")</f>
        <v>1649285909</v>
      </c>
      <c r="E31573" t="s">
        <v>10066</v>
      </c>
    </row>
    <row r="31574" spans="1:5" x14ac:dyDescent="0.25">
      <c r="A31574" t="s">
        <v>10058</v>
      </c>
      <c r="B31574" t="s">
        <v>10059</v>
      </c>
      <c r="C31574" s="1" t="s">
        <v>23490</v>
      </c>
      <c r="D31574" s="1" t="str">
        <f>HYPERLINK("https://rhld.insurance.arkansas.gov/NPILookup?Npi=1649310038","1649310038")</f>
        <v>1649310038</v>
      </c>
      <c r="E31574" t="s">
        <v>6411</v>
      </c>
    </row>
    <row r="31575" spans="1:5" x14ac:dyDescent="0.25">
      <c r="A31575" t="s">
        <v>10058</v>
      </c>
      <c r="B31575" t="s">
        <v>10059</v>
      </c>
      <c r="C31575" s="1" t="s">
        <v>23490</v>
      </c>
      <c r="D31575" s="1" t="str">
        <f>HYPERLINK("https://rhld.insurance.arkansas.gov/NPILookup?Npi=1649324880","1649324880")</f>
        <v>1649324880</v>
      </c>
      <c r="E31575" t="s">
        <v>10403</v>
      </c>
    </row>
    <row r="31576" spans="1:5" x14ac:dyDescent="0.25">
      <c r="A31576" t="s">
        <v>10058</v>
      </c>
      <c r="B31576" t="s">
        <v>10059</v>
      </c>
      <c r="C31576" s="1" t="s">
        <v>23490</v>
      </c>
      <c r="D31576" s="1" t="str">
        <f>HYPERLINK("https://rhld.insurance.arkansas.gov/NPILookup?Npi=1649332511","1649332511")</f>
        <v>1649332511</v>
      </c>
      <c r="E31576" t="s">
        <v>10404</v>
      </c>
    </row>
    <row r="31577" spans="1:5" x14ac:dyDescent="0.25">
      <c r="A31577" t="s">
        <v>10058</v>
      </c>
      <c r="B31577" t="s">
        <v>10059</v>
      </c>
      <c r="C31577" s="1" t="s">
        <v>23490</v>
      </c>
      <c r="D31577" s="1" t="str">
        <f>HYPERLINK("https://rhld.insurance.arkansas.gov/NPILookup?Npi=1649377920","1649377920")</f>
        <v>1649377920</v>
      </c>
      <c r="E31577" t="s">
        <v>10405</v>
      </c>
    </row>
    <row r="31578" spans="1:5" x14ac:dyDescent="0.25">
      <c r="A31578" t="s">
        <v>10058</v>
      </c>
      <c r="B31578" t="s">
        <v>10059</v>
      </c>
      <c r="C31578" s="1" t="s">
        <v>23490</v>
      </c>
      <c r="D31578" s="1" t="str">
        <f>HYPERLINK("https://rhld.insurance.arkansas.gov/NPILookup?Npi=1649380270","1649380270")</f>
        <v>1649380270</v>
      </c>
      <c r="E31578" t="s">
        <v>10360</v>
      </c>
    </row>
    <row r="31579" spans="1:5" x14ac:dyDescent="0.25">
      <c r="A31579" t="s">
        <v>10058</v>
      </c>
      <c r="B31579" t="s">
        <v>10059</v>
      </c>
      <c r="C31579" s="1" t="s">
        <v>23490</v>
      </c>
      <c r="D31579" s="1" t="str">
        <f>HYPERLINK("https://rhld.insurance.arkansas.gov/NPILookup?Npi=1649515941","1649515941")</f>
        <v>1649515941</v>
      </c>
      <c r="E31579" t="s">
        <v>10078</v>
      </c>
    </row>
    <row r="31580" spans="1:5" x14ac:dyDescent="0.25">
      <c r="A31580" t="s">
        <v>10058</v>
      </c>
      <c r="B31580" t="s">
        <v>10059</v>
      </c>
      <c r="C31580" s="1" t="s">
        <v>23490</v>
      </c>
      <c r="D31580" s="1" t="str">
        <f>HYPERLINK("https://rhld.insurance.arkansas.gov/NPILookup?Npi=1649585985","1649585985")</f>
        <v>1649585985</v>
      </c>
      <c r="E31580" t="s">
        <v>10406</v>
      </c>
    </row>
    <row r="31581" spans="1:5" x14ac:dyDescent="0.25">
      <c r="A31581" t="s">
        <v>10058</v>
      </c>
      <c r="B31581" t="s">
        <v>10059</v>
      </c>
      <c r="C31581" s="1" t="s">
        <v>23490</v>
      </c>
      <c r="D31581" s="1" t="str">
        <f>HYPERLINK("https://rhld.insurance.arkansas.gov/NPILookup?Npi=1649635459","1649635459")</f>
        <v>1649635459</v>
      </c>
      <c r="E31581" t="s">
        <v>13312</v>
      </c>
    </row>
    <row r="31582" spans="1:5" x14ac:dyDescent="0.25">
      <c r="A31582" t="s">
        <v>10058</v>
      </c>
      <c r="B31582" t="s">
        <v>10059</v>
      </c>
      <c r="C31582" s="1" t="s">
        <v>23490</v>
      </c>
      <c r="D31582" s="1" t="str">
        <f>HYPERLINK("https://rhld.insurance.arkansas.gov/NPILookup?Npi=1649673443","1649673443")</f>
        <v>1649673443</v>
      </c>
      <c r="E31582" t="s">
        <v>10062</v>
      </c>
    </row>
    <row r="31583" spans="1:5" x14ac:dyDescent="0.25">
      <c r="A31583" t="s">
        <v>10058</v>
      </c>
      <c r="B31583" t="s">
        <v>10059</v>
      </c>
      <c r="C31583" s="1" t="s">
        <v>23490</v>
      </c>
      <c r="D31583" s="1" t="str">
        <f>HYPERLINK("https://rhld.insurance.arkansas.gov/NPILookup?Npi=1649740739","1649740739")</f>
        <v>1649740739</v>
      </c>
      <c r="E31583" t="s">
        <v>14660</v>
      </c>
    </row>
    <row r="31584" spans="1:5" x14ac:dyDescent="0.25">
      <c r="A31584" t="s">
        <v>10058</v>
      </c>
      <c r="B31584" t="s">
        <v>10059</v>
      </c>
      <c r="C31584" s="1" t="s">
        <v>23490</v>
      </c>
      <c r="D31584" s="1" t="str">
        <f>HYPERLINK("https://rhld.insurance.arkansas.gov/NPILookup?Npi=1649785908","1649785908")</f>
        <v>1649785908</v>
      </c>
      <c r="E31584" t="s">
        <v>14661</v>
      </c>
    </row>
    <row r="31585" spans="1:5" x14ac:dyDescent="0.25">
      <c r="A31585" t="s">
        <v>10058</v>
      </c>
      <c r="B31585" t="s">
        <v>10059</v>
      </c>
      <c r="C31585" s="1" t="s">
        <v>23490</v>
      </c>
      <c r="D31585" s="1" t="str">
        <f>HYPERLINK("https://rhld.insurance.arkansas.gov/NPILookup?Npi=1659386910","1659386910")</f>
        <v>1659386910</v>
      </c>
      <c r="E31585" t="s">
        <v>10066</v>
      </c>
    </row>
    <row r="31586" spans="1:5" x14ac:dyDescent="0.25">
      <c r="A31586" t="s">
        <v>10058</v>
      </c>
      <c r="B31586" t="s">
        <v>10059</v>
      </c>
      <c r="C31586" s="1" t="s">
        <v>23490</v>
      </c>
      <c r="D31586" s="1" t="str">
        <f>HYPERLINK("https://rhld.insurance.arkansas.gov/NPILookup?Npi=1659388650","1659388650")</f>
        <v>1659388650</v>
      </c>
      <c r="E31586" t="s">
        <v>10066</v>
      </c>
    </row>
    <row r="31587" spans="1:5" x14ac:dyDescent="0.25">
      <c r="A31587" t="s">
        <v>10058</v>
      </c>
      <c r="B31587" t="s">
        <v>10059</v>
      </c>
      <c r="C31587" s="1" t="s">
        <v>23490</v>
      </c>
      <c r="D31587" s="1" t="str">
        <f>HYPERLINK("https://rhld.insurance.arkansas.gov/NPILookup?Npi=1659398154","1659398154")</f>
        <v>1659398154</v>
      </c>
      <c r="E31587" t="s">
        <v>13312</v>
      </c>
    </row>
    <row r="31588" spans="1:5" x14ac:dyDescent="0.25">
      <c r="A31588" t="s">
        <v>10058</v>
      </c>
      <c r="B31588" t="s">
        <v>10059</v>
      </c>
      <c r="C31588" s="1" t="s">
        <v>23490</v>
      </c>
      <c r="D31588" s="1" t="str">
        <f>HYPERLINK("https://rhld.insurance.arkansas.gov/NPILookup?Npi=1659416972","1659416972")</f>
        <v>1659416972</v>
      </c>
      <c r="E31588" t="s">
        <v>10407</v>
      </c>
    </row>
    <row r="31589" spans="1:5" x14ac:dyDescent="0.25">
      <c r="A31589" t="s">
        <v>10058</v>
      </c>
      <c r="B31589" t="s">
        <v>10059</v>
      </c>
      <c r="C31589" s="1" t="s">
        <v>23490</v>
      </c>
      <c r="D31589" s="1" t="str">
        <f>HYPERLINK("https://rhld.insurance.arkansas.gov/NPILookup?Npi=1659541936","1659541936")</f>
        <v>1659541936</v>
      </c>
      <c r="E31589" t="s">
        <v>10066</v>
      </c>
    </row>
    <row r="31590" spans="1:5" x14ac:dyDescent="0.25">
      <c r="A31590" t="s">
        <v>10058</v>
      </c>
      <c r="B31590" t="s">
        <v>10059</v>
      </c>
      <c r="C31590" s="1" t="s">
        <v>23490</v>
      </c>
      <c r="D31590" s="1" t="str">
        <f>HYPERLINK("https://rhld.insurance.arkansas.gov/NPILookup?Npi=1659619120","1659619120")</f>
        <v>1659619120</v>
      </c>
      <c r="E31590" t="s">
        <v>10408</v>
      </c>
    </row>
    <row r="31591" spans="1:5" x14ac:dyDescent="0.25">
      <c r="A31591" t="s">
        <v>10058</v>
      </c>
      <c r="B31591" t="s">
        <v>10059</v>
      </c>
      <c r="C31591" s="1" t="s">
        <v>23490</v>
      </c>
      <c r="D31591" s="1" t="str">
        <f>HYPERLINK("https://rhld.insurance.arkansas.gov/NPILookup?Npi=1659628212","1659628212")</f>
        <v>1659628212</v>
      </c>
      <c r="E31591" t="s">
        <v>10066</v>
      </c>
    </row>
    <row r="31592" spans="1:5" x14ac:dyDescent="0.25">
      <c r="A31592" t="s">
        <v>10058</v>
      </c>
      <c r="B31592" t="s">
        <v>10059</v>
      </c>
      <c r="C31592" s="1" t="s">
        <v>23490</v>
      </c>
      <c r="D31592" s="1" t="str">
        <f>HYPERLINK("https://rhld.insurance.arkansas.gov/NPILookup?Npi=1659629152","1659629152")</f>
        <v>1659629152</v>
      </c>
      <c r="E31592" t="s">
        <v>10409</v>
      </c>
    </row>
    <row r="31593" spans="1:5" x14ac:dyDescent="0.25">
      <c r="A31593" t="s">
        <v>10058</v>
      </c>
      <c r="B31593" t="s">
        <v>10059</v>
      </c>
      <c r="C31593" s="1" t="s">
        <v>23490</v>
      </c>
      <c r="D31593" s="1" t="str">
        <f>HYPERLINK("https://rhld.insurance.arkansas.gov/NPILookup?Npi=1659648285","1659648285")</f>
        <v>1659648285</v>
      </c>
      <c r="E31593" t="s">
        <v>10188</v>
      </c>
    </row>
    <row r="31594" spans="1:5" x14ac:dyDescent="0.25">
      <c r="A31594" t="s">
        <v>10058</v>
      </c>
      <c r="B31594" t="s">
        <v>10059</v>
      </c>
      <c r="C31594" s="1" t="s">
        <v>23490</v>
      </c>
      <c r="D31594" s="1" t="str">
        <f>HYPERLINK("https://rhld.insurance.arkansas.gov/NPILookup?Npi=1659703411","1659703411")</f>
        <v>1659703411</v>
      </c>
      <c r="E31594" t="s">
        <v>10078</v>
      </c>
    </row>
    <row r="31595" spans="1:5" x14ac:dyDescent="0.25">
      <c r="A31595" t="s">
        <v>10058</v>
      </c>
      <c r="B31595" t="s">
        <v>10059</v>
      </c>
      <c r="C31595" s="1" t="s">
        <v>23490</v>
      </c>
      <c r="D31595" s="1" t="str">
        <f>HYPERLINK("https://rhld.insurance.arkansas.gov/NPILookup?Npi=1659746584","1659746584")</f>
        <v>1659746584</v>
      </c>
      <c r="E31595" t="s">
        <v>10410</v>
      </c>
    </row>
    <row r="31596" spans="1:5" x14ac:dyDescent="0.25">
      <c r="A31596" t="s">
        <v>10058</v>
      </c>
      <c r="B31596" t="s">
        <v>10059</v>
      </c>
      <c r="C31596" s="1" t="s">
        <v>23490</v>
      </c>
      <c r="D31596" s="1" t="str">
        <f>HYPERLINK("https://rhld.insurance.arkansas.gov/NPILookup?Npi=1659756104","1659756104")</f>
        <v>1659756104</v>
      </c>
      <c r="E31596" t="s">
        <v>10411</v>
      </c>
    </row>
    <row r="31597" spans="1:5" x14ac:dyDescent="0.25">
      <c r="A31597" t="s">
        <v>10058</v>
      </c>
      <c r="B31597" t="s">
        <v>10059</v>
      </c>
      <c r="C31597" s="1" t="s">
        <v>23490</v>
      </c>
      <c r="D31597" s="1" t="str">
        <f>HYPERLINK("https://rhld.insurance.arkansas.gov/NPILookup?Npi=1659866341","1659866341")</f>
        <v>1659866341</v>
      </c>
      <c r="E31597" t="s">
        <v>14662</v>
      </c>
    </row>
    <row r="31598" spans="1:5" x14ac:dyDescent="0.25">
      <c r="A31598" t="s">
        <v>10058</v>
      </c>
      <c r="B31598" t="s">
        <v>10059</v>
      </c>
      <c r="C31598" s="1" t="s">
        <v>23490</v>
      </c>
      <c r="D31598" s="1" t="str">
        <f>HYPERLINK("https://rhld.insurance.arkansas.gov/NPILookup?Npi=1669032173","1669032173")</f>
        <v>1669032173</v>
      </c>
      <c r="E31598" t="s">
        <v>10498</v>
      </c>
    </row>
    <row r="31599" spans="1:5" x14ac:dyDescent="0.25">
      <c r="A31599" t="s">
        <v>10058</v>
      </c>
      <c r="B31599" t="s">
        <v>10059</v>
      </c>
      <c r="C31599" s="1" t="s">
        <v>23490</v>
      </c>
      <c r="D31599" s="1" t="str">
        <f>HYPERLINK("https://rhld.insurance.arkansas.gov/NPILookup?Npi=1669408381","1669408381")</f>
        <v>1669408381</v>
      </c>
      <c r="E31599" t="s">
        <v>10412</v>
      </c>
    </row>
    <row r="31600" spans="1:5" x14ac:dyDescent="0.25">
      <c r="A31600" t="s">
        <v>10058</v>
      </c>
      <c r="B31600" t="s">
        <v>10059</v>
      </c>
      <c r="C31600" s="1" t="s">
        <v>23490</v>
      </c>
      <c r="D31600" s="1" t="str">
        <f>HYPERLINK("https://rhld.insurance.arkansas.gov/NPILookup?Npi=1669423810","1669423810")</f>
        <v>1669423810</v>
      </c>
      <c r="E31600" t="s">
        <v>10413</v>
      </c>
    </row>
    <row r="31601" spans="1:5" x14ac:dyDescent="0.25">
      <c r="A31601" t="s">
        <v>10058</v>
      </c>
      <c r="B31601" t="s">
        <v>10059</v>
      </c>
      <c r="C31601" s="1" t="s">
        <v>23490</v>
      </c>
      <c r="D31601" s="1" t="str">
        <f>HYPERLINK("https://rhld.insurance.arkansas.gov/NPILookup?Npi=1669482683","1669482683")</f>
        <v>1669482683</v>
      </c>
      <c r="E31601" t="s">
        <v>10414</v>
      </c>
    </row>
    <row r="31602" spans="1:5" x14ac:dyDescent="0.25">
      <c r="A31602" t="s">
        <v>10058</v>
      </c>
      <c r="B31602" t="s">
        <v>10059</v>
      </c>
      <c r="C31602" s="1" t="s">
        <v>23490</v>
      </c>
      <c r="D31602" s="1" t="str">
        <f>HYPERLINK("https://rhld.insurance.arkansas.gov/NPILookup?Npi=1669487294","1669487294")</f>
        <v>1669487294</v>
      </c>
      <c r="E31602" t="s">
        <v>10415</v>
      </c>
    </row>
    <row r="31603" spans="1:5" x14ac:dyDescent="0.25">
      <c r="A31603" t="s">
        <v>10058</v>
      </c>
      <c r="B31603" t="s">
        <v>10059</v>
      </c>
      <c r="C31603" s="1" t="s">
        <v>23490</v>
      </c>
      <c r="D31603" s="1" t="str">
        <f>HYPERLINK("https://rhld.insurance.arkansas.gov/NPILookup?Npi=1669491643","1669491643")</f>
        <v>1669491643</v>
      </c>
      <c r="E31603" t="s">
        <v>13312</v>
      </c>
    </row>
    <row r="31604" spans="1:5" x14ac:dyDescent="0.25">
      <c r="A31604" t="s">
        <v>10058</v>
      </c>
      <c r="B31604" t="s">
        <v>10059</v>
      </c>
      <c r="C31604" s="1" t="s">
        <v>23490</v>
      </c>
      <c r="D31604" s="1" t="str">
        <f>HYPERLINK("https://rhld.insurance.arkansas.gov/NPILookup?Npi=1669517215","1669517215")</f>
        <v>1669517215</v>
      </c>
      <c r="E31604" t="s">
        <v>10416</v>
      </c>
    </row>
    <row r="31605" spans="1:5" x14ac:dyDescent="0.25">
      <c r="A31605" t="s">
        <v>10058</v>
      </c>
      <c r="B31605" t="s">
        <v>10059</v>
      </c>
      <c r="C31605" s="1" t="s">
        <v>23490</v>
      </c>
      <c r="D31605" s="1" t="str">
        <f>HYPERLINK("https://rhld.insurance.arkansas.gov/NPILookup?Npi=1669555710","1669555710")</f>
        <v>1669555710</v>
      </c>
      <c r="E31605" t="s">
        <v>10417</v>
      </c>
    </row>
    <row r="31606" spans="1:5" x14ac:dyDescent="0.25">
      <c r="A31606" t="s">
        <v>10058</v>
      </c>
      <c r="B31606" t="s">
        <v>10059</v>
      </c>
      <c r="C31606" s="1" t="s">
        <v>23490</v>
      </c>
      <c r="D31606" s="1" t="str">
        <f>HYPERLINK("https://rhld.insurance.arkansas.gov/NPILookup?Npi=1669602785","1669602785")</f>
        <v>1669602785</v>
      </c>
      <c r="E31606" t="s">
        <v>10219</v>
      </c>
    </row>
    <row r="31607" spans="1:5" x14ac:dyDescent="0.25">
      <c r="A31607" t="s">
        <v>10058</v>
      </c>
      <c r="B31607" t="s">
        <v>10059</v>
      </c>
      <c r="C31607" s="1" t="s">
        <v>23490</v>
      </c>
      <c r="D31607" s="1" t="str">
        <f>HYPERLINK("https://rhld.insurance.arkansas.gov/NPILookup?Npi=1669619094","1669619094")</f>
        <v>1669619094</v>
      </c>
      <c r="E31607" t="s">
        <v>10418</v>
      </c>
    </row>
    <row r="31608" spans="1:5" x14ac:dyDescent="0.25">
      <c r="A31608" t="s">
        <v>10058</v>
      </c>
      <c r="B31608" t="s">
        <v>10059</v>
      </c>
      <c r="C31608" s="1" t="s">
        <v>23490</v>
      </c>
      <c r="D31608" s="1" t="str">
        <f>HYPERLINK("https://rhld.insurance.arkansas.gov/NPILookup?Npi=1669712428","1669712428")</f>
        <v>1669712428</v>
      </c>
      <c r="E31608" t="s">
        <v>10419</v>
      </c>
    </row>
    <row r="31609" spans="1:5" x14ac:dyDescent="0.25">
      <c r="A31609" t="s">
        <v>10058</v>
      </c>
      <c r="B31609" t="s">
        <v>10059</v>
      </c>
      <c r="C31609" s="1" t="s">
        <v>23490</v>
      </c>
      <c r="D31609" s="1" t="str">
        <f>HYPERLINK("https://rhld.insurance.arkansas.gov/NPILookup?Npi=1669816146","1669816146")</f>
        <v>1669816146</v>
      </c>
      <c r="E31609" t="s">
        <v>13312</v>
      </c>
    </row>
    <row r="31610" spans="1:5" x14ac:dyDescent="0.25">
      <c r="A31610" t="s">
        <v>10058</v>
      </c>
      <c r="B31610" t="s">
        <v>10059</v>
      </c>
      <c r="C31610" s="1" t="s">
        <v>23490</v>
      </c>
      <c r="D31610" s="1" t="str">
        <f>HYPERLINK("https://rhld.insurance.arkansas.gov/NPILookup?Npi=1669826954","1669826954")</f>
        <v>1669826954</v>
      </c>
      <c r="E31610" t="s">
        <v>17351</v>
      </c>
    </row>
    <row r="31611" spans="1:5" x14ac:dyDescent="0.25">
      <c r="A31611" t="s">
        <v>10058</v>
      </c>
      <c r="B31611" t="s">
        <v>10059</v>
      </c>
      <c r="C31611" s="1" t="s">
        <v>23490</v>
      </c>
      <c r="D31611" s="1" t="str">
        <f>HYPERLINK("https://rhld.insurance.arkansas.gov/NPILookup?Npi=1669835484","1669835484")</f>
        <v>1669835484</v>
      </c>
      <c r="E31611" t="s">
        <v>12748</v>
      </c>
    </row>
    <row r="31612" spans="1:5" x14ac:dyDescent="0.25">
      <c r="A31612" t="s">
        <v>10058</v>
      </c>
      <c r="B31612" t="s">
        <v>10059</v>
      </c>
      <c r="C31612" s="1" t="s">
        <v>23490</v>
      </c>
      <c r="D31612" s="1" t="str">
        <f>HYPERLINK("https://rhld.insurance.arkansas.gov/NPILookup?Npi=1669875597","1669875597")</f>
        <v>1669875597</v>
      </c>
      <c r="E31612" t="s">
        <v>10420</v>
      </c>
    </row>
    <row r="31613" spans="1:5" x14ac:dyDescent="0.25">
      <c r="A31613" t="s">
        <v>10058</v>
      </c>
      <c r="B31613" t="s">
        <v>10059</v>
      </c>
      <c r="C31613" s="1" t="s">
        <v>23490</v>
      </c>
      <c r="D31613" s="1" t="str">
        <f>HYPERLINK("https://rhld.insurance.arkansas.gov/NPILookup?Npi=1679120281","1679120281")</f>
        <v>1679120281</v>
      </c>
      <c r="E31613" t="s">
        <v>10194</v>
      </c>
    </row>
    <row r="31614" spans="1:5" x14ac:dyDescent="0.25">
      <c r="A31614" t="s">
        <v>10058</v>
      </c>
      <c r="B31614" t="s">
        <v>10059</v>
      </c>
      <c r="C31614" s="1" t="s">
        <v>23490</v>
      </c>
      <c r="D31614" s="1" t="str">
        <f>HYPERLINK("https://rhld.insurance.arkansas.gov/NPILookup?Npi=1679137053","1679137053")</f>
        <v>1679137053</v>
      </c>
      <c r="E31614" t="s">
        <v>14663</v>
      </c>
    </row>
    <row r="31615" spans="1:5" x14ac:dyDescent="0.25">
      <c r="A31615" t="s">
        <v>10058</v>
      </c>
      <c r="B31615" t="s">
        <v>10059</v>
      </c>
      <c r="C31615" s="1" t="s">
        <v>23490</v>
      </c>
      <c r="D31615" s="1" t="str">
        <f>HYPERLINK("https://rhld.insurance.arkansas.gov/NPILookup?Npi=1679563712","1679563712")</f>
        <v>1679563712</v>
      </c>
      <c r="E31615" t="s">
        <v>21358</v>
      </c>
    </row>
    <row r="31616" spans="1:5" x14ac:dyDescent="0.25">
      <c r="A31616" t="s">
        <v>10058</v>
      </c>
      <c r="B31616" t="s">
        <v>10059</v>
      </c>
      <c r="C31616" s="1" t="s">
        <v>23490</v>
      </c>
      <c r="D31616" s="1" t="str">
        <f>HYPERLINK("https://rhld.insurance.arkansas.gov/NPILookup?Npi=1679568729","1679568729")</f>
        <v>1679568729</v>
      </c>
      <c r="E31616" t="s">
        <v>10421</v>
      </c>
    </row>
    <row r="31617" spans="1:5" x14ac:dyDescent="0.25">
      <c r="A31617" t="s">
        <v>10058</v>
      </c>
      <c r="B31617" t="s">
        <v>10059</v>
      </c>
      <c r="C31617" s="1" t="s">
        <v>23490</v>
      </c>
      <c r="D31617" s="1" t="str">
        <f>HYPERLINK("https://rhld.insurance.arkansas.gov/NPILookup?Npi=1679588693","1679588693")</f>
        <v>1679588693</v>
      </c>
      <c r="E31617" t="s">
        <v>10066</v>
      </c>
    </row>
    <row r="31618" spans="1:5" x14ac:dyDescent="0.25">
      <c r="A31618" t="s">
        <v>10058</v>
      </c>
      <c r="B31618" t="s">
        <v>10059</v>
      </c>
      <c r="C31618" s="1" t="s">
        <v>23490</v>
      </c>
      <c r="D31618" s="1" t="str">
        <f>HYPERLINK("https://rhld.insurance.arkansas.gov/NPILookup?Npi=1679623995","1679623995")</f>
        <v>1679623995</v>
      </c>
      <c r="E31618" t="s">
        <v>10422</v>
      </c>
    </row>
    <row r="31619" spans="1:5" x14ac:dyDescent="0.25">
      <c r="A31619" t="s">
        <v>10058</v>
      </c>
      <c r="B31619" t="s">
        <v>10059</v>
      </c>
      <c r="C31619" s="1" t="s">
        <v>23490</v>
      </c>
      <c r="D31619" s="1" t="str">
        <f>HYPERLINK("https://rhld.insurance.arkansas.gov/NPILookup?Npi=1679649339","1679649339")</f>
        <v>1679649339</v>
      </c>
      <c r="E31619" t="s">
        <v>10423</v>
      </c>
    </row>
    <row r="31620" spans="1:5" x14ac:dyDescent="0.25">
      <c r="A31620" t="s">
        <v>10058</v>
      </c>
      <c r="B31620" t="s">
        <v>10059</v>
      </c>
      <c r="C31620" s="1" t="s">
        <v>23490</v>
      </c>
      <c r="D31620" s="1" t="str">
        <f>HYPERLINK("https://rhld.insurance.arkansas.gov/NPILookup?Npi=1679654818","1679654818")</f>
        <v>1679654818</v>
      </c>
      <c r="E31620" t="s">
        <v>20863</v>
      </c>
    </row>
    <row r="31621" spans="1:5" x14ac:dyDescent="0.25">
      <c r="A31621" t="s">
        <v>10058</v>
      </c>
      <c r="B31621" t="s">
        <v>10059</v>
      </c>
      <c r="C31621" s="1" t="s">
        <v>23490</v>
      </c>
      <c r="D31621" s="1" t="str">
        <f>HYPERLINK("https://rhld.insurance.arkansas.gov/NPILookup?Npi=1679676662","1679676662")</f>
        <v>1679676662</v>
      </c>
      <c r="E31621" t="s">
        <v>10066</v>
      </c>
    </row>
    <row r="31622" spans="1:5" x14ac:dyDescent="0.25">
      <c r="A31622" t="s">
        <v>10058</v>
      </c>
      <c r="B31622" t="s">
        <v>10059</v>
      </c>
      <c r="C31622" s="1" t="s">
        <v>23490</v>
      </c>
      <c r="D31622" s="1" t="str">
        <f>HYPERLINK("https://rhld.insurance.arkansas.gov/NPILookup?Npi=1679906226","1679906226")</f>
        <v>1679906226</v>
      </c>
      <c r="E31622" t="s">
        <v>10215</v>
      </c>
    </row>
    <row r="31623" spans="1:5" x14ac:dyDescent="0.25">
      <c r="A31623" t="s">
        <v>10058</v>
      </c>
      <c r="B31623" t="s">
        <v>10059</v>
      </c>
      <c r="C31623" s="1" t="s">
        <v>23490</v>
      </c>
      <c r="D31623" s="1" t="str">
        <f>HYPERLINK("https://rhld.insurance.arkansas.gov/NPILookup?Npi=1689077430","1689077430")</f>
        <v>1689077430</v>
      </c>
      <c r="E31623" t="s">
        <v>14664</v>
      </c>
    </row>
    <row r="31624" spans="1:5" x14ac:dyDescent="0.25">
      <c r="A31624" t="s">
        <v>10058</v>
      </c>
      <c r="B31624" t="s">
        <v>10059</v>
      </c>
      <c r="C31624" s="1" t="s">
        <v>23490</v>
      </c>
      <c r="D31624" s="1" t="str">
        <f>HYPERLINK("https://rhld.insurance.arkansas.gov/NPILookup?Npi=1689113136","1689113136")</f>
        <v>1689113136</v>
      </c>
      <c r="E31624" t="s">
        <v>14665</v>
      </c>
    </row>
    <row r="31625" spans="1:5" x14ac:dyDescent="0.25">
      <c r="A31625" t="s">
        <v>10058</v>
      </c>
      <c r="B31625" t="s">
        <v>10059</v>
      </c>
      <c r="C31625" s="1" t="s">
        <v>23490</v>
      </c>
      <c r="D31625" s="1" t="str">
        <f>HYPERLINK("https://rhld.insurance.arkansas.gov/NPILookup?Npi=1689382822","1689382822")</f>
        <v>1689382822</v>
      </c>
      <c r="E31625" t="s">
        <v>22854</v>
      </c>
    </row>
    <row r="31626" spans="1:5" x14ac:dyDescent="0.25">
      <c r="A31626" t="s">
        <v>10058</v>
      </c>
      <c r="B31626" t="s">
        <v>10059</v>
      </c>
      <c r="C31626" s="1" t="s">
        <v>23490</v>
      </c>
      <c r="D31626" s="1" t="str">
        <f>HYPERLINK("https://rhld.insurance.arkansas.gov/NPILookup?Npi=1689662819","1689662819")</f>
        <v>1689662819</v>
      </c>
      <c r="E31626" t="s">
        <v>17816</v>
      </c>
    </row>
    <row r="31627" spans="1:5" x14ac:dyDescent="0.25">
      <c r="A31627" t="s">
        <v>10058</v>
      </c>
      <c r="B31627" t="s">
        <v>10059</v>
      </c>
      <c r="C31627" s="1" t="s">
        <v>23490</v>
      </c>
      <c r="D31627" s="1" t="str">
        <f>HYPERLINK("https://rhld.insurance.arkansas.gov/NPILookup?Npi=1689673832","1689673832")</f>
        <v>1689673832</v>
      </c>
      <c r="E31627" t="s">
        <v>10188</v>
      </c>
    </row>
    <row r="31628" spans="1:5" x14ac:dyDescent="0.25">
      <c r="A31628" t="s">
        <v>10058</v>
      </c>
      <c r="B31628" t="s">
        <v>10059</v>
      </c>
      <c r="C31628" s="1" t="s">
        <v>23490</v>
      </c>
      <c r="D31628" s="1" t="str">
        <f>HYPERLINK("https://rhld.insurance.arkansas.gov/NPILookup?Npi=1689685109","1689685109")</f>
        <v>1689685109</v>
      </c>
      <c r="E31628" t="s">
        <v>10088</v>
      </c>
    </row>
    <row r="31629" spans="1:5" x14ac:dyDescent="0.25">
      <c r="A31629" t="s">
        <v>10058</v>
      </c>
      <c r="B31629" t="s">
        <v>10059</v>
      </c>
      <c r="C31629" s="1" t="s">
        <v>23490</v>
      </c>
      <c r="D31629" s="1" t="str">
        <f>HYPERLINK("https://rhld.insurance.arkansas.gov/NPILookup?Npi=1689689614","1689689614")</f>
        <v>1689689614</v>
      </c>
      <c r="E31629" t="s">
        <v>10066</v>
      </c>
    </row>
    <row r="31630" spans="1:5" x14ac:dyDescent="0.25">
      <c r="A31630" t="s">
        <v>10058</v>
      </c>
      <c r="B31630" t="s">
        <v>10059</v>
      </c>
      <c r="C31630" s="1" t="s">
        <v>23490</v>
      </c>
      <c r="D31630" s="1" t="str">
        <f>HYPERLINK("https://rhld.insurance.arkansas.gov/NPILookup?Npi=1689691081","1689691081")</f>
        <v>1689691081</v>
      </c>
      <c r="E31630" t="s">
        <v>10088</v>
      </c>
    </row>
    <row r="31631" spans="1:5" x14ac:dyDescent="0.25">
      <c r="A31631" t="s">
        <v>10058</v>
      </c>
      <c r="B31631" t="s">
        <v>10059</v>
      </c>
      <c r="C31631" s="1" t="s">
        <v>23490</v>
      </c>
      <c r="D31631" s="1" t="str">
        <f>HYPERLINK("https://rhld.insurance.arkansas.gov/NPILookup?Npi=1689702334","1689702334")</f>
        <v>1689702334</v>
      </c>
      <c r="E31631" t="s">
        <v>10424</v>
      </c>
    </row>
    <row r="31632" spans="1:5" x14ac:dyDescent="0.25">
      <c r="A31632" t="s">
        <v>10058</v>
      </c>
      <c r="B31632" t="s">
        <v>10059</v>
      </c>
      <c r="C31632" s="1" t="s">
        <v>23490</v>
      </c>
      <c r="D31632" s="1" t="str">
        <f>HYPERLINK("https://rhld.insurance.arkansas.gov/NPILookup?Npi=1689706897","1689706897")</f>
        <v>1689706897</v>
      </c>
      <c r="E31632" t="s">
        <v>10425</v>
      </c>
    </row>
    <row r="31633" spans="1:5" x14ac:dyDescent="0.25">
      <c r="A31633" t="s">
        <v>10058</v>
      </c>
      <c r="B31633" t="s">
        <v>10059</v>
      </c>
      <c r="C31633" s="1" t="s">
        <v>23490</v>
      </c>
      <c r="D31633" s="1" t="str">
        <f>HYPERLINK("https://rhld.insurance.arkansas.gov/NPILookup?Npi=1689749426","1689749426")</f>
        <v>1689749426</v>
      </c>
      <c r="E31633" t="s">
        <v>10426</v>
      </c>
    </row>
    <row r="31634" spans="1:5" x14ac:dyDescent="0.25">
      <c r="A31634" t="s">
        <v>10058</v>
      </c>
      <c r="B31634" t="s">
        <v>10059</v>
      </c>
      <c r="C31634" s="1" t="s">
        <v>23490</v>
      </c>
      <c r="D31634" s="1" t="str">
        <f>HYPERLINK("https://rhld.insurance.arkansas.gov/NPILookup?Npi=1689774903","1689774903")</f>
        <v>1689774903</v>
      </c>
      <c r="E31634" t="s">
        <v>10078</v>
      </c>
    </row>
    <row r="31635" spans="1:5" x14ac:dyDescent="0.25">
      <c r="A31635" t="s">
        <v>10058</v>
      </c>
      <c r="B31635" t="s">
        <v>10059</v>
      </c>
      <c r="C31635" s="1" t="s">
        <v>23490</v>
      </c>
      <c r="D31635" s="1" t="str">
        <f>HYPERLINK("https://rhld.insurance.arkansas.gov/NPILookup?Npi=1689787376","1689787376")</f>
        <v>1689787376</v>
      </c>
      <c r="E31635" t="s">
        <v>10427</v>
      </c>
    </row>
    <row r="31636" spans="1:5" x14ac:dyDescent="0.25">
      <c r="A31636" t="s">
        <v>10058</v>
      </c>
      <c r="B31636" t="s">
        <v>10059</v>
      </c>
      <c r="C31636" s="1" t="s">
        <v>23490</v>
      </c>
      <c r="D31636" s="1" t="str">
        <f>HYPERLINK("https://rhld.insurance.arkansas.gov/NPILookup?Npi=1689861023","1689861023")</f>
        <v>1689861023</v>
      </c>
      <c r="E31636" t="s">
        <v>10066</v>
      </c>
    </row>
    <row r="31637" spans="1:5" x14ac:dyDescent="0.25">
      <c r="A31637" t="s">
        <v>10058</v>
      </c>
      <c r="B31637" t="s">
        <v>10059</v>
      </c>
      <c r="C31637" s="1" t="s">
        <v>23490</v>
      </c>
      <c r="D31637" s="1" t="str">
        <f>HYPERLINK("https://rhld.insurance.arkansas.gov/NPILookup?Npi=1689866089","1689866089")</f>
        <v>1689866089</v>
      </c>
      <c r="E31637" t="s">
        <v>12749</v>
      </c>
    </row>
    <row r="31638" spans="1:5" x14ac:dyDescent="0.25">
      <c r="A31638" t="s">
        <v>10058</v>
      </c>
      <c r="B31638" t="s">
        <v>10059</v>
      </c>
      <c r="C31638" s="1" t="s">
        <v>23490</v>
      </c>
      <c r="D31638" s="1" t="str">
        <f>HYPERLINK("https://rhld.insurance.arkansas.gov/NPILookup?Npi=1689882185","1689882185")</f>
        <v>1689882185</v>
      </c>
      <c r="E31638" t="s">
        <v>10365</v>
      </c>
    </row>
    <row r="31639" spans="1:5" x14ac:dyDescent="0.25">
      <c r="A31639" t="s">
        <v>10058</v>
      </c>
      <c r="B31639" t="s">
        <v>10059</v>
      </c>
      <c r="C31639" s="1" t="s">
        <v>23490</v>
      </c>
      <c r="D31639" s="1" t="str">
        <f>HYPERLINK("https://rhld.insurance.arkansas.gov/NPILookup?Npi=1689915423","1689915423")</f>
        <v>1689915423</v>
      </c>
      <c r="E31639" t="s">
        <v>10428</v>
      </c>
    </row>
    <row r="31640" spans="1:5" x14ac:dyDescent="0.25">
      <c r="A31640" t="s">
        <v>10058</v>
      </c>
      <c r="B31640" t="s">
        <v>10059</v>
      </c>
      <c r="C31640" s="1" t="s">
        <v>23490</v>
      </c>
      <c r="D31640" s="1" t="str">
        <f>HYPERLINK("https://rhld.insurance.arkansas.gov/NPILookup?Npi=1689927782","1689927782")</f>
        <v>1689927782</v>
      </c>
      <c r="E31640" t="s">
        <v>10429</v>
      </c>
    </row>
    <row r="31641" spans="1:5" x14ac:dyDescent="0.25">
      <c r="A31641" t="s">
        <v>10058</v>
      </c>
      <c r="B31641" t="s">
        <v>10059</v>
      </c>
      <c r="C31641" s="1" t="s">
        <v>23490</v>
      </c>
      <c r="D31641" s="1" t="str">
        <f>HYPERLINK("https://rhld.insurance.arkansas.gov/NPILookup?Npi=1699176743","1699176743")</f>
        <v>1699176743</v>
      </c>
      <c r="E31641" t="s">
        <v>13312</v>
      </c>
    </row>
    <row r="31642" spans="1:5" x14ac:dyDescent="0.25">
      <c r="A31642" t="s">
        <v>10058</v>
      </c>
      <c r="B31642" t="s">
        <v>10059</v>
      </c>
      <c r="C31642" s="1" t="s">
        <v>23490</v>
      </c>
      <c r="D31642" s="1" t="str">
        <f>HYPERLINK("https://rhld.insurance.arkansas.gov/NPILookup?Npi=1699254391","1699254391")</f>
        <v>1699254391</v>
      </c>
      <c r="E31642" t="s">
        <v>16814</v>
      </c>
    </row>
    <row r="31643" spans="1:5" x14ac:dyDescent="0.25">
      <c r="A31643" t="s">
        <v>10058</v>
      </c>
      <c r="B31643" t="s">
        <v>10059</v>
      </c>
      <c r="C31643" s="1" t="s">
        <v>23490</v>
      </c>
      <c r="D31643" s="1" t="str">
        <f>HYPERLINK("https://rhld.insurance.arkansas.gov/NPILookup?Npi=1699260083","1699260083")</f>
        <v>1699260083</v>
      </c>
      <c r="E31643" t="s">
        <v>19281</v>
      </c>
    </row>
    <row r="31644" spans="1:5" x14ac:dyDescent="0.25">
      <c r="A31644" t="s">
        <v>10058</v>
      </c>
      <c r="B31644" t="s">
        <v>10059</v>
      </c>
      <c r="C31644" s="1" t="s">
        <v>23490</v>
      </c>
      <c r="D31644" s="1" t="str">
        <f>HYPERLINK("https://rhld.insurance.arkansas.gov/NPILookup?Npi=1699368779","1699368779")</f>
        <v>1699368779</v>
      </c>
      <c r="E31644" t="s">
        <v>19292</v>
      </c>
    </row>
    <row r="31645" spans="1:5" x14ac:dyDescent="0.25">
      <c r="A31645" t="s">
        <v>10058</v>
      </c>
      <c r="B31645" t="s">
        <v>10059</v>
      </c>
      <c r="C31645" s="1" t="s">
        <v>23490</v>
      </c>
      <c r="D31645" s="1" t="str">
        <f>HYPERLINK("https://rhld.insurance.arkansas.gov/NPILookup?Npi=1699398602","1699398602")</f>
        <v>1699398602</v>
      </c>
      <c r="E31645" t="s">
        <v>10066</v>
      </c>
    </row>
    <row r="31646" spans="1:5" x14ac:dyDescent="0.25">
      <c r="A31646" t="s">
        <v>10058</v>
      </c>
      <c r="B31646" t="s">
        <v>10059</v>
      </c>
      <c r="C31646" s="1" t="s">
        <v>23490</v>
      </c>
      <c r="D31646" s="1" t="str">
        <f>HYPERLINK("https://rhld.insurance.arkansas.gov/NPILookup?Npi=1699447508","1699447508")</f>
        <v>1699447508</v>
      </c>
      <c r="E31646" t="s">
        <v>10066</v>
      </c>
    </row>
    <row r="31647" spans="1:5" x14ac:dyDescent="0.25">
      <c r="A31647" t="s">
        <v>10058</v>
      </c>
      <c r="B31647" t="s">
        <v>10059</v>
      </c>
      <c r="C31647" s="1" t="s">
        <v>23490</v>
      </c>
      <c r="D31647" s="1" t="str">
        <f>HYPERLINK("https://rhld.insurance.arkansas.gov/NPILookup?Npi=1699460964","1699460964")</f>
        <v>1699460964</v>
      </c>
      <c r="E31647" t="s">
        <v>10367</v>
      </c>
    </row>
    <row r="31648" spans="1:5" x14ac:dyDescent="0.25">
      <c r="A31648" t="s">
        <v>10058</v>
      </c>
      <c r="B31648" t="s">
        <v>10059</v>
      </c>
      <c r="C31648" s="1" t="s">
        <v>23490</v>
      </c>
      <c r="D31648" s="1" t="str">
        <f>HYPERLINK("https://rhld.insurance.arkansas.gov/NPILookup?Npi=1699466656","1699466656")</f>
        <v>1699466656</v>
      </c>
      <c r="E31648" t="s">
        <v>22855</v>
      </c>
    </row>
    <row r="31649" spans="1:5" x14ac:dyDescent="0.25">
      <c r="A31649" t="s">
        <v>10058</v>
      </c>
      <c r="B31649" t="s">
        <v>10059</v>
      </c>
      <c r="C31649" s="1" t="s">
        <v>23490</v>
      </c>
      <c r="D31649" s="1" t="str">
        <f>HYPERLINK("https://rhld.insurance.arkansas.gov/NPILookup?Npi=1699709337","1699709337")</f>
        <v>1699709337</v>
      </c>
      <c r="E31649" t="s">
        <v>10067</v>
      </c>
    </row>
    <row r="31650" spans="1:5" x14ac:dyDescent="0.25">
      <c r="A31650" t="s">
        <v>10058</v>
      </c>
      <c r="B31650" t="s">
        <v>10059</v>
      </c>
      <c r="C31650" s="1" t="s">
        <v>23490</v>
      </c>
      <c r="D31650" s="1" t="str">
        <f>HYPERLINK("https://rhld.insurance.arkansas.gov/NPILookup?Npi=1699774208","1699774208")</f>
        <v>1699774208</v>
      </c>
      <c r="E31650" t="s">
        <v>10065</v>
      </c>
    </row>
    <row r="31651" spans="1:5" x14ac:dyDescent="0.25">
      <c r="A31651" t="s">
        <v>10058</v>
      </c>
      <c r="B31651" t="s">
        <v>10059</v>
      </c>
      <c r="C31651" s="1" t="s">
        <v>23490</v>
      </c>
      <c r="D31651" s="1" t="str">
        <f>HYPERLINK("https://rhld.insurance.arkansas.gov/NPILookup?Npi=1699789545","1699789545")</f>
        <v>1699789545</v>
      </c>
      <c r="E31651" t="s">
        <v>13320</v>
      </c>
    </row>
    <row r="31652" spans="1:5" x14ac:dyDescent="0.25">
      <c r="A31652" t="s">
        <v>10058</v>
      </c>
      <c r="B31652" t="s">
        <v>10059</v>
      </c>
      <c r="C31652" s="1" t="s">
        <v>23490</v>
      </c>
      <c r="D31652" s="1" t="str">
        <f>HYPERLINK("https://rhld.insurance.arkansas.gov/NPILookup?Npi=1699790311","1699790311")</f>
        <v>1699790311</v>
      </c>
      <c r="E31652" t="s">
        <v>10430</v>
      </c>
    </row>
    <row r="31653" spans="1:5" x14ac:dyDescent="0.25">
      <c r="A31653" t="s">
        <v>10058</v>
      </c>
      <c r="B31653" t="s">
        <v>10059</v>
      </c>
      <c r="C31653" s="1" t="s">
        <v>23490</v>
      </c>
      <c r="D31653" s="1" t="str">
        <f>HYPERLINK("https://rhld.insurance.arkansas.gov/NPILookup?Npi=1699792085","1699792085")</f>
        <v>1699792085</v>
      </c>
      <c r="E31653" t="s">
        <v>13312</v>
      </c>
    </row>
    <row r="31654" spans="1:5" x14ac:dyDescent="0.25">
      <c r="A31654" t="s">
        <v>10058</v>
      </c>
      <c r="B31654" t="s">
        <v>10059</v>
      </c>
      <c r="C31654" s="1" t="s">
        <v>23490</v>
      </c>
      <c r="D31654" s="1" t="str">
        <f>HYPERLINK("https://rhld.insurance.arkansas.gov/NPILookup?Npi=1699792093","1699792093")</f>
        <v>1699792093</v>
      </c>
      <c r="E31654" t="s">
        <v>13312</v>
      </c>
    </row>
    <row r="31655" spans="1:5" x14ac:dyDescent="0.25">
      <c r="A31655" t="s">
        <v>10058</v>
      </c>
      <c r="B31655" t="s">
        <v>10059</v>
      </c>
      <c r="C31655" s="1" t="s">
        <v>23490</v>
      </c>
      <c r="D31655" s="1" t="str">
        <f>HYPERLINK("https://rhld.insurance.arkansas.gov/NPILookup?Npi=1699792721","1699792721")</f>
        <v>1699792721</v>
      </c>
      <c r="E31655" t="s">
        <v>10060</v>
      </c>
    </row>
    <row r="31656" spans="1:5" x14ac:dyDescent="0.25">
      <c r="A31656" t="s">
        <v>10058</v>
      </c>
      <c r="B31656" t="s">
        <v>10059</v>
      </c>
      <c r="C31656" s="1" t="s">
        <v>23490</v>
      </c>
      <c r="D31656" s="1" t="str">
        <f>HYPERLINK("https://rhld.insurance.arkansas.gov/NPILookup?Npi=1699848168","1699848168")</f>
        <v>1699848168</v>
      </c>
      <c r="E31656" t="s">
        <v>10087</v>
      </c>
    </row>
    <row r="31657" spans="1:5" x14ac:dyDescent="0.25">
      <c r="A31657" t="s">
        <v>10058</v>
      </c>
      <c r="B31657" t="s">
        <v>10059</v>
      </c>
      <c r="C31657" s="1" t="s">
        <v>23490</v>
      </c>
      <c r="D31657" s="1" t="str">
        <f>HYPERLINK("https://rhld.insurance.arkansas.gov/NPILookup?Npi=1699858217","1699858217")</f>
        <v>1699858217</v>
      </c>
      <c r="E31657" t="s">
        <v>10126</v>
      </c>
    </row>
    <row r="31658" spans="1:5" x14ac:dyDescent="0.25">
      <c r="A31658" t="s">
        <v>10058</v>
      </c>
      <c r="B31658" t="s">
        <v>10059</v>
      </c>
      <c r="C31658" s="1" t="s">
        <v>23490</v>
      </c>
      <c r="D31658" s="1" t="str">
        <f>HYPERLINK("https://rhld.insurance.arkansas.gov/NPILookup?Npi=1699866178","1699866178")</f>
        <v>1699866178</v>
      </c>
      <c r="E31658" t="s">
        <v>10431</v>
      </c>
    </row>
    <row r="31659" spans="1:5" x14ac:dyDescent="0.25">
      <c r="A31659" t="s">
        <v>10058</v>
      </c>
      <c r="B31659" t="s">
        <v>10059</v>
      </c>
      <c r="C31659" s="1" t="s">
        <v>23490</v>
      </c>
      <c r="D31659" s="1" t="str">
        <f>HYPERLINK("https://rhld.insurance.arkansas.gov/NPILookup?Npi=1699875914","1699875914")</f>
        <v>1699875914</v>
      </c>
      <c r="E31659" t="s">
        <v>10078</v>
      </c>
    </row>
    <row r="31660" spans="1:5" x14ac:dyDescent="0.25">
      <c r="A31660" t="s">
        <v>10058</v>
      </c>
      <c r="B31660" t="s">
        <v>10059</v>
      </c>
      <c r="C31660" s="1" t="s">
        <v>23490</v>
      </c>
      <c r="D31660" s="1" t="str">
        <f>HYPERLINK("https://rhld.insurance.arkansas.gov/NPILookup?Npi=1700037595","1700037595")</f>
        <v>1700037595</v>
      </c>
      <c r="E31660" t="s">
        <v>10432</v>
      </c>
    </row>
    <row r="31661" spans="1:5" x14ac:dyDescent="0.25">
      <c r="A31661" t="s">
        <v>10058</v>
      </c>
      <c r="B31661" t="s">
        <v>10059</v>
      </c>
      <c r="C31661" s="1" t="s">
        <v>23490</v>
      </c>
      <c r="D31661" s="1" t="str">
        <f>HYPERLINK("https://rhld.insurance.arkansas.gov/NPILookup?Npi=1700334455","1700334455")</f>
        <v>1700334455</v>
      </c>
      <c r="E31661" t="s">
        <v>10063</v>
      </c>
    </row>
    <row r="31662" spans="1:5" x14ac:dyDescent="0.25">
      <c r="A31662" t="s">
        <v>10058</v>
      </c>
      <c r="B31662" t="s">
        <v>10059</v>
      </c>
      <c r="C31662" s="1" t="s">
        <v>23490</v>
      </c>
      <c r="D31662" s="1" t="str">
        <f>HYPERLINK("https://rhld.insurance.arkansas.gov/NPILookup?Npi=1700342011","1700342011")</f>
        <v>1700342011</v>
      </c>
      <c r="E31662" t="s">
        <v>13323</v>
      </c>
    </row>
    <row r="31663" spans="1:5" x14ac:dyDescent="0.25">
      <c r="A31663" t="s">
        <v>10058</v>
      </c>
      <c r="B31663" t="s">
        <v>10059</v>
      </c>
      <c r="C31663" s="1" t="s">
        <v>23490</v>
      </c>
      <c r="D31663" s="1" t="str">
        <f>HYPERLINK("https://rhld.insurance.arkansas.gov/NPILookup?Npi=1700436706","1700436706")</f>
        <v>1700436706</v>
      </c>
      <c r="E31663" t="s">
        <v>22856</v>
      </c>
    </row>
    <row r="31664" spans="1:5" x14ac:dyDescent="0.25">
      <c r="A31664" t="s">
        <v>10058</v>
      </c>
      <c r="B31664" t="s">
        <v>10059</v>
      </c>
      <c r="C31664" s="1" t="s">
        <v>23490</v>
      </c>
      <c r="D31664" s="1" t="str">
        <f>HYPERLINK("https://rhld.insurance.arkansas.gov/NPILookup?Npi=1700517307","1700517307")</f>
        <v>1700517307</v>
      </c>
      <c r="E31664" t="s">
        <v>13320</v>
      </c>
    </row>
    <row r="31665" spans="1:5" x14ac:dyDescent="0.25">
      <c r="A31665" t="s">
        <v>10058</v>
      </c>
      <c r="B31665" t="s">
        <v>10059</v>
      </c>
      <c r="C31665" s="1" t="s">
        <v>23490</v>
      </c>
      <c r="D31665" s="1" t="str">
        <f>HYPERLINK("https://rhld.insurance.arkansas.gov/NPILookup?Npi=1700524774","1700524774")</f>
        <v>1700524774</v>
      </c>
      <c r="E31665" t="s">
        <v>22810</v>
      </c>
    </row>
    <row r="31666" spans="1:5" x14ac:dyDescent="0.25">
      <c r="A31666" t="s">
        <v>10058</v>
      </c>
      <c r="B31666" t="s">
        <v>10059</v>
      </c>
      <c r="C31666" s="1" t="s">
        <v>23490</v>
      </c>
      <c r="D31666" s="1" t="str">
        <f>HYPERLINK("https://rhld.insurance.arkansas.gov/NPILookup?Npi=1700810439","1700810439")</f>
        <v>1700810439</v>
      </c>
      <c r="E31666" t="s">
        <v>10067</v>
      </c>
    </row>
    <row r="31667" spans="1:5" x14ac:dyDescent="0.25">
      <c r="A31667" t="s">
        <v>10058</v>
      </c>
      <c r="B31667" t="s">
        <v>10059</v>
      </c>
      <c r="C31667" s="1" t="s">
        <v>23490</v>
      </c>
      <c r="D31667" s="1" t="str">
        <f>HYPERLINK("https://rhld.insurance.arkansas.gov/NPILookup?Npi=1700898798","1700898798")</f>
        <v>1700898798</v>
      </c>
      <c r="E31667" t="s">
        <v>10066</v>
      </c>
    </row>
    <row r="31668" spans="1:5" x14ac:dyDescent="0.25">
      <c r="A31668" t="s">
        <v>10058</v>
      </c>
      <c r="B31668" t="s">
        <v>10059</v>
      </c>
      <c r="C31668" s="1" t="s">
        <v>23490</v>
      </c>
      <c r="D31668" s="1" t="str">
        <f>HYPERLINK("https://rhld.insurance.arkansas.gov/NPILookup?Npi=1700947272","1700947272")</f>
        <v>1700947272</v>
      </c>
      <c r="E31668" t="s">
        <v>10433</v>
      </c>
    </row>
    <row r="31669" spans="1:5" x14ac:dyDescent="0.25">
      <c r="A31669" t="s">
        <v>10058</v>
      </c>
      <c r="B31669" t="s">
        <v>10059</v>
      </c>
      <c r="C31669" s="1" t="s">
        <v>23490</v>
      </c>
      <c r="D31669" s="1" t="str">
        <f>HYPERLINK("https://rhld.insurance.arkansas.gov/NPILookup?Npi=1700989878","1700989878")</f>
        <v>1700989878</v>
      </c>
      <c r="E31669" t="s">
        <v>10434</v>
      </c>
    </row>
    <row r="31670" spans="1:5" x14ac:dyDescent="0.25">
      <c r="A31670" t="s">
        <v>10058</v>
      </c>
      <c r="B31670" t="s">
        <v>10059</v>
      </c>
      <c r="C31670" s="1" t="s">
        <v>23490</v>
      </c>
      <c r="D31670" s="1" t="str">
        <f>HYPERLINK("https://rhld.insurance.arkansas.gov/NPILookup?Npi=1710040506","1710040506")</f>
        <v>1710040506</v>
      </c>
      <c r="E31670" t="s">
        <v>10267</v>
      </c>
    </row>
    <row r="31671" spans="1:5" x14ac:dyDescent="0.25">
      <c r="A31671" t="s">
        <v>10058</v>
      </c>
      <c r="B31671" t="s">
        <v>10059</v>
      </c>
      <c r="C31671" s="1" t="s">
        <v>23490</v>
      </c>
      <c r="D31671" s="1" t="str">
        <f>HYPERLINK("https://rhld.insurance.arkansas.gov/NPILookup?Npi=1710057898","1710057898")</f>
        <v>1710057898</v>
      </c>
      <c r="E31671" t="s">
        <v>10072</v>
      </c>
    </row>
    <row r="31672" spans="1:5" x14ac:dyDescent="0.25">
      <c r="A31672" t="s">
        <v>10058</v>
      </c>
      <c r="B31672" t="s">
        <v>10059</v>
      </c>
      <c r="C31672" s="1" t="s">
        <v>23490</v>
      </c>
      <c r="D31672" s="1" t="str">
        <f>HYPERLINK("https://rhld.insurance.arkansas.gov/NPILookup?Npi=1710060124","1710060124")</f>
        <v>1710060124</v>
      </c>
      <c r="E31672" t="s">
        <v>10066</v>
      </c>
    </row>
    <row r="31673" spans="1:5" x14ac:dyDescent="0.25">
      <c r="A31673" t="s">
        <v>10058</v>
      </c>
      <c r="B31673" t="s">
        <v>10059</v>
      </c>
      <c r="C31673" s="1" t="s">
        <v>23490</v>
      </c>
      <c r="D31673" s="1" t="str">
        <f>HYPERLINK("https://rhld.insurance.arkansas.gov/NPILookup?Npi=1710099668","1710099668")</f>
        <v>1710099668</v>
      </c>
      <c r="E31673" t="s">
        <v>10435</v>
      </c>
    </row>
    <row r="31674" spans="1:5" x14ac:dyDescent="0.25">
      <c r="A31674" t="s">
        <v>10058</v>
      </c>
      <c r="B31674" t="s">
        <v>10059</v>
      </c>
      <c r="C31674" s="1" t="s">
        <v>23490</v>
      </c>
      <c r="D31674" s="1" t="str">
        <f>HYPERLINK("https://rhld.insurance.arkansas.gov/NPILookup?Npi=1710124037","1710124037")</f>
        <v>1710124037</v>
      </c>
      <c r="E31674" t="s">
        <v>10436</v>
      </c>
    </row>
    <row r="31675" spans="1:5" x14ac:dyDescent="0.25">
      <c r="A31675" t="s">
        <v>10058</v>
      </c>
      <c r="B31675" t="s">
        <v>10059</v>
      </c>
      <c r="C31675" s="1" t="s">
        <v>23490</v>
      </c>
      <c r="D31675" s="1" t="str">
        <f>HYPERLINK("https://rhld.insurance.arkansas.gov/NPILookup?Npi=1710223722","1710223722")</f>
        <v>1710223722</v>
      </c>
      <c r="E31675" t="s">
        <v>13312</v>
      </c>
    </row>
    <row r="31676" spans="1:5" x14ac:dyDescent="0.25">
      <c r="A31676" t="s">
        <v>10058</v>
      </c>
      <c r="B31676" t="s">
        <v>10059</v>
      </c>
      <c r="C31676" s="1" t="s">
        <v>23490</v>
      </c>
      <c r="D31676" s="1" t="str">
        <f>HYPERLINK("https://rhld.insurance.arkansas.gov/NPILookup?Npi=1710267240","1710267240")</f>
        <v>1710267240</v>
      </c>
      <c r="E31676" t="s">
        <v>10067</v>
      </c>
    </row>
    <row r="31677" spans="1:5" x14ac:dyDescent="0.25">
      <c r="A31677" t="s">
        <v>10058</v>
      </c>
      <c r="B31677" t="s">
        <v>10059</v>
      </c>
      <c r="C31677" s="1" t="s">
        <v>23490</v>
      </c>
      <c r="D31677" s="1" t="str">
        <f>HYPERLINK("https://rhld.insurance.arkansas.gov/NPILookup?Npi=1710355243","1710355243")</f>
        <v>1710355243</v>
      </c>
      <c r="E31677" t="s">
        <v>13312</v>
      </c>
    </row>
    <row r="31678" spans="1:5" x14ac:dyDescent="0.25">
      <c r="A31678" t="s">
        <v>10058</v>
      </c>
      <c r="B31678" t="s">
        <v>10059</v>
      </c>
      <c r="C31678" s="1" t="s">
        <v>23490</v>
      </c>
      <c r="D31678" s="1" t="str">
        <f>HYPERLINK("https://rhld.insurance.arkansas.gov/NPILookup?Npi=1710372214","1710372214")</f>
        <v>1710372214</v>
      </c>
      <c r="E31678" t="s">
        <v>10437</v>
      </c>
    </row>
    <row r="31679" spans="1:5" x14ac:dyDescent="0.25">
      <c r="A31679" t="s">
        <v>10058</v>
      </c>
      <c r="B31679" t="s">
        <v>10059</v>
      </c>
      <c r="C31679" s="1" t="s">
        <v>23490</v>
      </c>
      <c r="D31679" s="1" t="str">
        <f>HYPERLINK("https://rhld.insurance.arkansas.gov/NPILookup?Npi=1710383690","1710383690")</f>
        <v>1710383690</v>
      </c>
      <c r="E31679" t="s">
        <v>10085</v>
      </c>
    </row>
    <row r="31680" spans="1:5" x14ac:dyDescent="0.25">
      <c r="A31680" t="s">
        <v>10058</v>
      </c>
      <c r="B31680" t="s">
        <v>10059</v>
      </c>
      <c r="C31680" s="1" t="s">
        <v>23490</v>
      </c>
      <c r="D31680" s="1" t="str">
        <f>HYPERLINK("https://rhld.insurance.arkansas.gov/NPILookup?Npi=1710643762","1710643762")</f>
        <v>1710643762</v>
      </c>
      <c r="E31680" t="s">
        <v>22857</v>
      </c>
    </row>
    <row r="31681" spans="1:5" x14ac:dyDescent="0.25">
      <c r="A31681" t="s">
        <v>10058</v>
      </c>
      <c r="B31681" t="s">
        <v>10059</v>
      </c>
      <c r="C31681" s="1" t="s">
        <v>23490</v>
      </c>
      <c r="D31681" s="1" t="str">
        <f>HYPERLINK("https://rhld.insurance.arkansas.gov/NPILookup?Npi=1710902432","1710902432")</f>
        <v>1710902432</v>
      </c>
      <c r="E31681" t="s">
        <v>10067</v>
      </c>
    </row>
    <row r="31682" spans="1:5" x14ac:dyDescent="0.25">
      <c r="A31682" t="s">
        <v>10058</v>
      </c>
      <c r="B31682" t="s">
        <v>10059</v>
      </c>
      <c r="C31682" s="1" t="s">
        <v>23490</v>
      </c>
      <c r="D31682" s="1" t="str">
        <f>HYPERLINK("https://rhld.insurance.arkansas.gov/NPILookup?Npi=1710904917","1710904917")</f>
        <v>1710904917</v>
      </c>
      <c r="E31682" t="s">
        <v>10061</v>
      </c>
    </row>
    <row r="31683" spans="1:5" x14ac:dyDescent="0.25">
      <c r="A31683" t="s">
        <v>10058</v>
      </c>
      <c r="B31683" t="s">
        <v>10059</v>
      </c>
      <c r="C31683" s="1" t="s">
        <v>23490</v>
      </c>
      <c r="D31683" s="1" t="str">
        <f>HYPERLINK("https://rhld.insurance.arkansas.gov/NPILookup?Npi=1710909460","1710909460")</f>
        <v>1710909460</v>
      </c>
      <c r="E31683" t="s">
        <v>10081</v>
      </c>
    </row>
    <row r="31684" spans="1:5" x14ac:dyDescent="0.25">
      <c r="A31684" t="s">
        <v>10058</v>
      </c>
      <c r="B31684" t="s">
        <v>10059</v>
      </c>
      <c r="C31684" s="1" t="s">
        <v>23490</v>
      </c>
      <c r="D31684" s="1" t="str">
        <f>HYPERLINK("https://rhld.insurance.arkansas.gov/NPILookup?Npi=1710911441","1710911441")</f>
        <v>1710911441</v>
      </c>
      <c r="E31684" t="s">
        <v>10067</v>
      </c>
    </row>
    <row r="31685" spans="1:5" x14ac:dyDescent="0.25">
      <c r="A31685" t="s">
        <v>10058</v>
      </c>
      <c r="B31685" t="s">
        <v>10059</v>
      </c>
      <c r="C31685" s="1" t="s">
        <v>23490</v>
      </c>
      <c r="D31685" s="1" t="str">
        <f>HYPERLINK("https://rhld.insurance.arkansas.gov/NPILookup?Npi=1710959614","1710959614")</f>
        <v>1710959614</v>
      </c>
      <c r="E31685" t="s">
        <v>10194</v>
      </c>
    </row>
    <row r="31686" spans="1:5" x14ac:dyDescent="0.25">
      <c r="A31686" t="s">
        <v>10058</v>
      </c>
      <c r="B31686" t="s">
        <v>10059</v>
      </c>
      <c r="C31686" s="1" t="s">
        <v>23490</v>
      </c>
      <c r="D31686" s="1" t="str">
        <f>HYPERLINK("https://rhld.insurance.arkansas.gov/NPILookup?Npi=1710992813","1710992813")</f>
        <v>1710992813</v>
      </c>
      <c r="E31686" t="s">
        <v>10066</v>
      </c>
    </row>
    <row r="31687" spans="1:5" x14ac:dyDescent="0.25">
      <c r="A31687" t="s">
        <v>10058</v>
      </c>
      <c r="B31687" t="s">
        <v>10059</v>
      </c>
      <c r="C31687" s="1" t="s">
        <v>23490</v>
      </c>
      <c r="D31687" s="1" t="str">
        <f>HYPERLINK("https://rhld.insurance.arkansas.gov/NPILookup?Npi=1710994892","1710994892")</f>
        <v>1710994892</v>
      </c>
      <c r="E31687" t="s">
        <v>10066</v>
      </c>
    </row>
    <row r="31688" spans="1:5" x14ac:dyDescent="0.25">
      <c r="A31688" t="s">
        <v>10058</v>
      </c>
      <c r="B31688" t="s">
        <v>10059</v>
      </c>
      <c r="C31688" s="1" t="s">
        <v>23490</v>
      </c>
      <c r="D31688" s="1" t="str">
        <f>HYPERLINK("https://rhld.insurance.arkansas.gov/NPILookup?Npi=1710996756","1710996756")</f>
        <v>1710996756</v>
      </c>
      <c r="E31688" t="s">
        <v>22858</v>
      </c>
    </row>
    <row r="31689" spans="1:5" x14ac:dyDescent="0.25">
      <c r="A31689" t="s">
        <v>10058</v>
      </c>
      <c r="B31689" t="s">
        <v>10059</v>
      </c>
      <c r="C31689" s="1" t="s">
        <v>23490</v>
      </c>
      <c r="D31689" s="1" t="str">
        <f>HYPERLINK("https://rhld.insurance.arkansas.gov/NPILookup?Npi=1720005218","1720005218")</f>
        <v>1720005218</v>
      </c>
      <c r="E31689" t="s">
        <v>13312</v>
      </c>
    </row>
    <row r="31690" spans="1:5" x14ac:dyDescent="0.25">
      <c r="A31690" t="s">
        <v>10058</v>
      </c>
      <c r="B31690" t="s">
        <v>10059</v>
      </c>
      <c r="C31690" s="1" t="s">
        <v>23490</v>
      </c>
      <c r="D31690" s="1" t="str">
        <f>HYPERLINK("https://rhld.insurance.arkansas.gov/NPILookup?Npi=1720005226","1720005226")</f>
        <v>1720005226</v>
      </c>
      <c r="E31690" t="s">
        <v>13312</v>
      </c>
    </row>
    <row r="31691" spans="1:5" x14ac:dyDescent="0.25">
      <c r="A31691" t="s">
        <v>10058</v>
      </c>
      <c r="B31691" t="s">
        <v>10059</v>
      </c>
      <c r="C31691" s="1" t="s">
        <v>23490</v>
      </c>
      <c r="D31691" s="1" t="str">
        <f>HYPERLINK("https://rhld.insurance.arkansas.gov/NPILookup?Npi=1720012453","1720012453")</f>
        <v>1720012453</v>
      </c>
      <c r="E31691" t="s">
        <v>10067</v>
      </c>
    </row>
    <row r="31692" spans="1:5" x14ac:dyDescent="0.25">
      <c r="A31692" t="s">
        <v>10058</v>
      </c>
      <c r="B31692" t="s">
        <v>10059</v>
      </c>
      <c r="C31692" s="1" t="s">
        <v>23490</v>
      </c>
      <c r="D31692" s="1" t="str">
        <f>HYPERLINK("https://rhld.insurance.arkansas.gov/NPILookup?Npi=1720046725","1720046725")</f>
        <v>1720046725</v>
      </c>
      <c r="E31692" t="s">
        <v>22830</v>
      </c>
    </row>
    <row r="31693" spans="1:5" x14ac:dyDescent="0.25">
      <c r="A31693" t="s">
        <v>10058</v>
      </c>
      <c r="B31693" t="s">
        <v>10059</v>
      </c>
      <c r="C31693" s="1" t="s">
        <v>23490</v>
      </c>
      <c r="D31693" s="1" t="str">
        <f>HYPERLINK("https://rhld.insurance.arkansas.gov/NPILookup?Npi=1720094105","1720094105")</f>
        <v>1720094105</v>
      </c>
      <c r="E31693" t="s">
        <v>10066</v>
      </c>
    </row>
    <row r="31694" spans="1:5" x14ac:dyDescent="0.25">
      <c r="A31694" t="s">
        <v>10058</v>
      </c>
      <c r="B31694" t="s">
        <v>10059</v>
      </c>
      <c r="C31694" s="1" t="s">
        <v>23490</v>
      </c>
      <c r="D31694" s="1" t="str">
        <f>HYPERLINK("https://rhld.insurance.arkansas.gov/NPILookup?Npi=1720120173","1720120173")</f>
        <v>1720120173</v>
      </c>
      <c r="E31694" t="s">
        <v>13321</v>
      </c>
    </row>
    <row r="31695" spans="1:5" x14ac:dyDescent="0.25">
      <c r="A31695" t="s">
        <v>10058</v>
      </c>
      <c r="B31695" t="s">
        <v>10059</v>
      </c>
      <c r="C31695" s="1" t="s">
        <v>23490</v>
      </c>
      <c r="D31695" s="1" t="str">
        <f>HYPERLINK("https://rhld.insurance.arkansas.gov/NPILookup?Npi=1720140346","1720140346")</f>
        <v>1720140346</v>
      </c>
      <c r="E31695" t="s">
        <v>17352</v>
      </c>
    </row>
    <row r="31696" spans="1:5" x14ac:dyDescent="0.25">
      <c r="A31696" t="s">
        <v>10058</v>
      </c>
      <c r="B31696" t="s">
        <v>10059</v>
      </c>
      <c r="C31696" s="1" t="s">
        <v>23490</v>
      </c>
      <c r="D31696" s="1" t="str">
        <f>HYPERLINK("https://rhld.insurance.arkansas.gov/NPILookup?Npi=1720145717","1720145717")</f>
        <v>1720145717</v>
      </c>
      <c r="E31696" t="s">
        <v>10137</v>
      </c>
    </row>
    <row r="31697" spans="1:5" x14ac:dyDescent="0.25">
      <c r="A31697" t="s">
        <v>10058</v>
      </c>
      <c r="B31697" t="s">
        <v>10059</v>
      </c>
      <c r="C31697" s="1" t="s">
        <v>23490</v>
      </c>
      <c r="D31697" s="1" t="str">
        <f>HYPERLINK("https://rhld.insurance.arkansas.gov/NPILookup?Npi=1720215643","1720215643")</f>
        <v>1720215643</v>
      </c>
      <c r="E31697" t="s">
        <v>10088</v>
      </c>
    </row>
    <row r="31698" spans="1:5" x14ac:dyDescent="0.25">
      <c r="A31698" t="s">
        <v>10058</v>
      </c>
      <c r="B31698" t="s">
        <v>10059</v>
      </c>
      <c r="C31698" s="1" t="s">
        <v>23490</v>
      </c>
      <c r="D31698" s="1" t="str">
        <f>HYPERLINK("https://rhld.insurance.arkansas.gov/NPILookup?Npi=1720217524","1720217524")</f>
        <v>1720217524</v>
      </c>
      <c r="E31698" t="s">
        <v>10119</v>
      </c>
    </row>
    <row r="31699" spans="1:5" x14ac:dyDescent="0.25">
      <c r="A31699" t="s">
        <v>10058</v>
      </c>
      <c r="B31699" t="s">
        <v>10059</v>
      </c>
      <c r="C31699" s="1" t="s">
        <v>23490</v>
      </c>
      <c r="D31699" s="1" t="str">
        <f>HYPERLINK("https://rhld.insurance.arkansas.gov/NPILookup?Npi=1720268378","1720268378")</f>
        <v>1720268378</v>
      </c>
      <c r="E31699" t="s">
        <v>13322</v>
      </c>
    </row>
    <row r="31700" spans="1:5" x14ac:dyDescent="0.25">
      <c r="A31700" t="s">
        <v>10058</v>
      </c>
      <c r="B31700" t="s">
        <v>10059</v>
      </c>
      <c r="C31700" s="1" t="s">
        <v>23490</v>
      </c>
      <c r="D31700" s="1" t="str">
        <f>HYPERLINK("https://rhld.insurance.arkansas.gov/NPILookup?Npi=1720357908","1720357908")</f>
        <v>1720357908</v>
      </c>
      <c r="E31700" t="s">
        <v>10438</v>
      </c>
    </row>
    <row r="31701" spans="1:5" x14ac:dyDescent="0.25">
      <c r="A31701" t="s">
        <v>10058</v>
      </c>
      <c r="B31701" t="s">
        <v>10059</v>
      </c>
      <c r="C31701" s="1" t="s">
        <v>23490</v>
      </c>
      <c r="D31701" s="1" t="str">
        <f>HYPERLINK("https://rhld.insurance.arkansas.gov/NPILookup?Npi=1720410467","1720410467")</f>
        <v>1720410467</v>
      </c>
      <c r="E31701" t="s">
        <v>10078</v>
      </c>
    </row>
    <row r="31702" spans="1:5" x14ac:dyDescent="0.25">
      <c r="A31702" t="s">
        <v>10058</v>
      </c>
      <c r="B31702" t="s">
        <v>10059</v>
      </c>
      <c r="C31702" s="1" t="s">
        <v>23490</v>
      </c>
      <c r="D31702" s="1" t="str">
        <f>HYPERLINK("https://rhld.insurance.arkansas.gov/NPILookup?Npi=1720415128","1720415128")</f>
        <v>1720415128</v>
      </c>
      <c r="E31702" t="s">
        <v>10066</v>
      </c>
    </row>
    <row r="31703" spans="1:5" x14ac:dyDescent="0.25">
      <c r="A31703" t="s">
        <v>10058</v>
      </c>
      <c r="B31703" t="s">
        <v>10059</v>
      </c>
      <c r="C31703" s="1" t="s">
        <v>23490</v>
      </c>
      <c r="D31703" s="1" t="str">
        <f>HYPERLINK("https://rhld.insurance.arkansas.gov/NPILookup?Npi=1720492564","1720492564")</f>
        <v>1720492564</v>
      </c>
      <c r="E31703" t="s">
        <v>13312</v>
      </c>
    </row>
    <row r="31704" spans="1:5" x14ac:dyDescent="0.25">
      <c r="A31704" t="s">
        <v>10058</v>
      </c>
      <c r="B31704" t="s">
        <v>10059</v>
      </c>
      <c r="C31704" s="1" t="s">
        <v>23490</v>
      </c>
      <c r="D31704" s="1" t="str">
        <f>HYPERLINK("https://rhld.insurance.arkansas.gov/NPILookup?Npi=1720519747","1720519747")</f>
        <v>1720519747</v>
      </c>
      <c r="E31704" t="s">
        <v>10066</v>
      </c>
    </row>
    <row r="31705" spans="1:5" x14ac:dyDescent="0.25">
      <c r="A31705" t="s">
        <v>10058</v>
      </c>
      <c r="B31705" t="s">
        <v>10059</v>
      </c>
      <c r="C31705" s="1" t="s">
        <v>23490</v>
      </c>
      <c r="D31705" s="1" t="str">
        <f>HYPERLINK("https://rhld.insurance.arkansas.gov/NPILookup?Npi=1730108770","1730108770")</f>
        <v>1730108770</v>
      </c>
      <c r="E31705" t="s">
        <v>10439</v>
      </c>
    </row>
    <row r="31706" spans="1:5" x14ac:dyDescent="0.25">
      <c r="A31706" t="s">
        <v>10058</v>
      </c>
      <c r="B31706" t="s">
        <v>10059</v>
      </c>
      <c r="C31706" s="1" t="s">
        <v>23490</v>
      </c>
      <c r="D31706" s="1" t="str">
        <f>HYPERLINK("https://rhld.insurance.arkansas.gov/NPILookup?Npi=1730121336","1730121336")</f>
        <v>1730121336</v>
      </c>
      <c r="E31706" t="s">
        <v>10440</v>
      </c>
    </row>
    <row r="31707" spans="1:5" x14ac:dyDescent="0.25">
      <c r="A31707" t="s">
        <v>10058</v>
      </c>
      <c r="B31707" t="s">
        <v>10059</v>
      </c>
      <c r="C31707" s="1" t="s">
        <v>23490</v>
      </c>
      <c r="D31707" s="1" t="str">
        <f>HYPERLINK("https://rhld.insurance.arkansas.gov/NPILookup?Npi=1730173600","1730173600")</f>
        <v>1730173600</v>
      </c>
      <c r="E31707" t="s">
        <v>10441</v>
      </c>
    </row>
    <row r="31708" spans="1:5" x14ac:dyDescent="0.25">
      <c r="A31708" t="s">
        <v>10058</v>
      </c>
      <c r="B31708" t="s">
        <v>10059</v>
      </c>
      <c r="C31708" s="1" t="s">
        <v>23490</v>
      </c>
      <c r="D31708" s="1" t="str">
        <f>HYPERLINK("https://rhld.insurance.arkansas.gov/NPILookup?Npi=1730194093","1730194093")</f>
        <v>1730194093</v>
      </c>
      <c r="E31708" t="s">
        <v>10066</v>
      </c>
    </row>
    <row r="31709" spans="1:5" x14ac:dyDescent="0.25">
      <c r="A31709" t="s">
        <v>10058</v>
      </c>
      <c r="B31709" t="s">
        <v>10059</v>
      </c>
      <c r="C31709" s="1" t="s">
        <v>23490</v>
      </c>
      <c r="D31709" s="1" t="str">
        <f>HYPERLINK("https://rhld.insurance.arkansas.gov/NPILookup?Npi=1730194341","1730194341")</f>
        <v>1730194341</v>
      </c>
      <c r="E31709" t="s">
        <v>12750</v>
      </c>
    </row>
    <row r="31710" spans="1:5" x14ac:dyDescent="0.25">
      <c r="A31710" t="s">
        <v>10058</v>
      </c>
      <c r="B31710" t="s">
        <v>10059</v>
      </c>
      <c r="C31710" s="1" t="s">
        <v>23490</v>
      </c>
      <c r="D31710" s="1" t="str">
        <f>HYPERLINK("https://rhld.insurance.arkansas.gov/NPILookup?Npi=1730196734","1730196734")</f>
        <v>1730196734</v>
      </c>
      <c r="E31710" t="s">
        <v>10066</v>
      </c>
    </row>
    <row r="31711" spans="1:5" x14ac:dyDescent="0.25">
      <c r="A31711" t="s">
        <v>10058</v>
      </c>
      <c r="B31711" t="s">
        <v>10059</v>
      </c>
      <c r="C31711" s="1" t="s">
        <v>23490</v>
      </c>
      <c r="D31711" s="1" t="str">
        <f>HYPERLINK("https://rhld.insurance.arkansas.gov/NPILookup?Npi=1730196742","1730196742")</f>
        <v>1730196742</v>
      </c>
      <c r="E31711" t="s">
        <v>10066</v>
      </c>
    </row>
    <row r="31712" spans="1:5" x14ac:dyDescent="0.25">
      <c r="A31712" t="s">
        <v>10058</v>
      </c>
      <c r="B31712" t="s">
        <v>10059</v>
      </c>
      <c r="C31712" s="1" t="s">
        <v>23490</v>
      </c>
      <c r="D31712" s="1" t="str">
        <f>HYPERLINK("https://rhld.insurance.arkansas.gov/NPILookup?Npi=1730198110","1730198110")</f>
        <v>1730198110</v>
      </c>
      <c r="E31712" t="s">
        <v>13323</v>
      </c>
    </row>
    <row r="31713" spans="1:5" x14ac:dyDescent="0.25">
      <c r="A31713" t="s">
        <v>10058</v>
      </c>
      <c r="B31713" t="s">
        <v>10059</v>
      </c>
      <c r="C31713" s="1" t="s">
        <v>23490</v>
      </c>
      <c r="D31713" s="1" t="str">
        <f>HYPERLINK("https://rhld.insurance.arkansas.gov/NPILookup?Npi=1730222738","1730222738")</f>
        <v>1730222738</v>
      </c>
      <c r="E31713" t="s">
        <v>10442</v>
      </c>
    </row>
    <row r="31714" spans="1:5" x14ac:dyDescent="0.25">
      <c r="A31714" t="s">
        <v>10058</v>
      </c>
      <c r="B31714" t="s">
        <v>10059</v>
      </c>
      <c r="C31714" s="1" t="s">
        <v>23490</v>
      </c>
      <c r="D31714" s="1" t="str">
        <f>HYPERLINK("https://rhld.insurance.arkansas.gov/NPILookup?Npi=1730245614","1730245614")</f>
        <v>1730245614</v>
      </c>
      <c r="E31714" t="s">
        <v>10443</v>
      </c>
    </row>
    <row r="31715" spans="1:5" x14ac:dyDescent="0.25">
      <c r="A31715" t="s">
        <v>10058</v>
      </c>
      <c r="B31715" t="s">
        <v>10059</v>
      </c>
      <c r="C31715" s="1" t="s">
        <v>23490</v>
      </c>
      <c r="D31715" s="1" t="str">
        <f>HYPERLINK("https://rhld.insurance.arkansas.gov/NPILookup?Npi=1730249475","1730249475")</f>
        <v>1730249475</v>
      </c>
      <c r="E31715" t="s">
        <v>10444</v>
      </c>
    </row>
    <row r="31716" spans="1:5" x14ac:dyDescent="0.25">
      <c r="A31716" t="s">
        <v>10058</v>
      </c>
      <c r="B31716" t="s">
        <v>10059</v>
      </c>
      <c r="C31716" s="1" t="s">
        <v>23490</v>
      </c>
      <c r="D31716" s="1" t="str">
        <f>HYPERLINK("https://rhld.insurance.arkansas.gov/NPILookup?Npi=1730252206","1730252206")</f>
        <v>1730252206</v>
      </c>
      <c r="E31716" t="s">
        <v>10087</v>
      </c>
    </row>
    <row r="31717" spans="1:5" x14ac:dyDescent="0.25">
      <c r="A31717" t="s">
        <v>10058</v>
      </c>
      <c r="B31717" t="s">
        <v>10059</v>
      </c>
      <c r="C31717" s="1" t="s">
        <v>23490</v>
      </c>
      <c r="D31717" s="1" t="str">
        <f>HYPERLINK("https://rhld.insurance.arkansas.gov/NPILookup?Npi=1730290784","1730290784")</f>
        <v>1730290784</v>
      </c>
      <c r="E31717" t="s">
        <v>10445</v>
      </c>
    </row>
    <row r="31718" spans="1:5" x14ac:dyDescent="0.25">
      <c r="A31718" t="s">
        <v>10058</v>
      </c>
      <c r="B31718" t="s">
        <v>10059</v>
      </c>
      <c r="C31718" s="1" t="s">
        <v>23490</v>
      </c>
      <c r="D31718" s="1" t="str">
        <f>HYPERLINK("https://rhld.insurance.arkansas.gov/NPILookup?Npi=1730310988","1730310988")</f>
        <v>1730310988</v>
      </c>
      <c r="E31718" t="s">
        <v>10085</v>
      </c>
    </row>
    <row r="31719" spans="1:5" x14ac:dyDescent="0.25">
      <c r="A31719" t="s">
        <v>10058</v>
      </c>
      <c r="B31719" t="s">
        <v>10059</v>
      </c>
      <c r="C31719" s="1" t="s">
        <v>23490</v>
      </c>
      <c r="D31719" s="1" t="str">
        <f>HYPERLINK("https://rhld.insurance.arkansas.gov/NPILookup?Npi=1730427840","1730427840")</f>
        <v>1730427840</v>
      </c>
      <c r="E31719" t="s">
        <v>12751</v>
      </c>
    </row>
    <row r="31720" spans="1:5" x14ac:dyDescent="0.25">
      <c r="A31720" t="s">
        <v>10058</v>
      </c>
      <c r="B31720" t="s">
        <v>10059</v>
      </c>
      <c r="C31720" s="1" t="s">
        <v>23490</v>
      </c>
      <c r="D31720" s="1" t="str">
        <f>HYPERLINK("https://rhld.insurance.arkansas.gov/NPILookup?Npi=1730460338","1730460338")</f>
        <v>1730460338</v>
      </c>
      <c r="E31720" t="s">
        <v>14666</v>
      </c>
    </row>
    <row r="31721" spans="1:5" x14ac:dyDescent="0.25">
      <c r="A31721" t="s">
        <v>10058</v>
      </c>
      <c r="B31721" t="s">
        <v>10059</v>
      </c>
      <c r="C31721" s="1" t="s">
        <v>23490</v>
      </c>
      <c r="D31721" s="1" t="str">
        <f>HYPERLINK("https://rhld.insurance.arkansas.gov/NPILookup?Npi=1730651373","1730651373")</f>
        <v>1730651373</v>
      </c>
      <c r="E31721" t="s">
        <v>16835</v>
      </c>
    </row>
    <row r="31722" spans="1:5" x14ac:dyDescent="0.25">
      <c r="A31722" t="s">
        <v>10058</v>
      </c>
      <c r="B31722" t="s">
        <v>10059</v>
      </c>
      <c r="C31722" s="1" t="s">
        <v>23490</v>
      </c>
      <c r="D31722" s="1" t="str">
        <f>HYPERLINK("https://rhld.insurance.arkansas.gov/NPILookup?Npi=1730653155","1730653155")</f>
        <v>1730653155</v>
      </c>
      <c r="E31722" t="s">
        <v>14667</v>
      </c>
    </row>
    <row r="31723" spans="1:5" x14ac:dyDescent="0.25">
      <c r="A31723" t="s">
        <v>10058</v>
      </c>
      <c r="B31723" t="s">
        <v>10059</v>
      </c>
      <c r="C31723" s="1" t="s">
        <v>23490</v>
      </c>
      <c r="D31723" s="1" t="str">
        <f>HYPERLINK("https://rhld.insurance.arkansas.gov/NPILookup?Npi=1730675745","1730675745")</f>
        <v>1730675745</v>
      </c>
      <c r="E31723" t="s">
        <v>20864</v>
      </c>
    </row>
    <row r="31724" spans="1:5" x14ac:dyDescent="0.25">
      <c r="A31724" t="s">
        <v>10058</v>
      </c>
      <c r="B31724" t="s">
        <v>10059</v>
      </c>
      <c r="C31724" s="1" t="s">
        <v>23490</v>
      </c>
      <c r="D31724" s="1" t="str">
        <f>HYPERLINK("https://rhld.insurance.arkansas.gov/NPILookup?Npi=1740202753","1740202753")</f>
        <v>1740202753</v>
      </c>
      <c r="E31724" t="s">
        <v>22859</v>
      </c>
    </row>
    <row r="31725" spans="1:5" x14ac:dyDescent="0.25">
      <c r="A31725" t="s">
        <v>10058</v>
      </c>
      <c r="B31725" t="s">
        <v>10059</v>
      </c>
      <c r="C31725" s="1" t="s">
        <v>23490</v>
      </c>
      <c r="D31725" s="1" t="str">
        <f>HYPERLINK("https://rhld.insurance.arkansas.gov/NPILookup?Npi=1740207240","1740207240")</f>
        <v>1740207240</v>
      </c>
      <c r="E31725" t="s">
        <v>13312</v>
      </c>
    </row>
    <row r="31726" spans="1:5" x14ac:dyDescent="0.25">
      <c r="A31726" t="s">
        <v>10058</v>
      </c>
      <c r="B31726" t="s">
        <v>10059</v>
      </c>
      <c r="C31726" s="1" t="s">
        <v>23490</v>
      </c>
      <c r="D31726" s="1" t="str">
        <f>HYPERLINK("https://rhld.insurance.arkansas.gov/NPILookup?Npi=1740295740","1740295740")</f>
        <v>1740295740</v>
      </c>
      <c r="E31726" t="s">
        <v>10066</v>
      </c>
    </row>
    <row r="31727" spans="1:5" x14ac:dyDescent="0.25">
      <c r="A31727" t="s">
        <v>10058</v>
      </c>
      <c r="B31727" t="s">
        <v>10059</v>
      </c>
      <c r="C31727" s="1" t="s">
        <v>23490</v>
      </c>
      <c r="D31727" s="1" t="str">
        <f>HYPERLINK("https://rhld.insurance.arkansas.gov/NPILookup?Npi=1740334184","1740334184")</f>
        <v>1740334184</v>
      </c>
      <c r="E31727" t="s">
        <v>10446</v>
      </c>
    </row>
    <row r="31728" spans="1:5" x14ac:dyDescent="0.25">
      <c r="A31728" t="s">
        <v>10058</v>
      </c>
      <c r="B31728" t="s">
        <v>10059</v>
      </c>
      <c r="C31728" s="1" t="s">
        <v>23490</v>
      </c>
      <c r="D31728" s="1" t="str">
        <f>HYPERLINK("https://rhld.insurance.arkansas.gov/NPILookup?Npi=1740340124","1740340124")</f>
        <v>1740340124</v>
      </c>
      <c r="E31728" t="s">
        <v>10447</v>
      </c>
    </row>
    <row r="31729" spans="1:5" x14ac:dyDescent="0.25">
      <c r="A31729" t="s">
        <v>10058</v>
      </c>
      <c r="B31729" t="s">
        <v>10059</v>
      </c>
      <c r="C31729" s="1" t="s">
        <v>23490</v>
      </c>
      <c r="D31729" s="1" t="str">
        <f>HYPERLINK("https://rhld.insurance.arkansas.gov/NPILookup?Npi=1740342385","1740342385")</f>
        <v>1740342385</v>
      </c>
      <c r="E31729" t="s">
        <v>10448</v>
      </c>
    </row>
    <row r="31730" spans="1:5" x14ac:dyDescent="0.25">
      <c r="A31730" t="s">
        <v>10058</v>
      </c>
      <c r="B31730" t="s">
        <v>10059</v>
      </c>
      <c r="C31730" s="1" t="s">
        <v>23490</v>
      </c>
      <c r="D31730" s="1" t="str">
        <f>HYPERLINK("https://rhld.insurance.arkansas.gov/NPILookup?Npi=1740361500","1740361500")</f>
        <v>1740361500</v>
      </c>
      <c r="E31730" t="s">
        <v>10449</v>
      </c>
    </row>
    <row r="31731" spans="1:5" x14ac:dyDescent="0.25">
      <c r="A31731" t="s">
        <v>10058</v>
      </c>
      <c r="B31731" t="s">
        <v>10059</v>
      </c>
      <c r="C31731" s="1" t="s">
        <v>23490</v>
      </c>
      <c r="D31731" s="1" t="str">
        <f>HYPERLINK("https://rhld.insurance.arkansas.gov/NPILookup?Npi=1740371475","1740371475")</f>
        <v>1740371475</v>
      </c>
      <c r="E31731" t="s">
        <v>10450</v>
      </c>
    </row>
    <row r="31732" spans="1:5" x14ac:dyDescent="0.25">
      <c r="A31732" t="s">
        <v>10058</v>
      </c>
      <c r="B31732" t="s">
        <v>10059</v>
      </c>
      <c r="C31732" s="1" t="s">
        <v>23490</v>
      </c>
      <c r="D31732" s="1" t="str">
        <f>HYPERLINK("https://rhld.insurance.arkansas.gov/NPILookup?Npi=1740420157","1740420157")</f>
        <v>1740420157</v>
      </c>
      <c r="E31732" t="s">
        <v>10451</v>
      </c>
    </row>
    <row r="31733" spans="1:5" x14ac:dyDescent="0.25">
      <c r="A31733" t="s">
        <v>10058</v>
      </c>
      <c r="B31733" t="s">
        <v>10059</v>
      </c>
      <c r="C31733" s="1" t="s">
        <v>23490</v>
      </c>
      <c r="D31733" s="1" t="str">
        <f>HYPERLINK("https://rhld.insurance.arkansas.gov/NPILookup?Npi=1740560192","1740560192")</f>
        <v>1740560192</v>
      </c>
      <c r="E31733" t="s">
        <v>10452</v>
      </c>
    </row>
    <row r="31734" spans="1:5" x14ac:dyDescent="0.25">
      <c r="A31734" t="s">
        <v>10058</v>
      </c>
      <c r="B31734" t="s">
        <v>10059</v>
      </c>
      <c r="C31734" s="1" t="s">
        <v>23490</v>
      </c>
      <c r="D31734" s="1" t="str">
        <f>HYPERLINK("https://rhld.insurance.arkansas.gov/NPILookup?Npi=1740594704","1740594704")</f>
        <v>1740594704</v>
      </c>
      <c r="E31734" t="s">
        <v>10453</v>
      </c>
    </row>
    <row r="31735" spans="1:5" x14ac:dyDescent="0.25">
      <c r="A31735" t="s">
        <v>10058</v>
      </c>
      <c r="B31735" t="s">
        <v>10059</v>
      </c>
      <c r="C31735" s="1" t="s">
        <v>23490</v>
      </c>
      <c r="D31735" s="1" t="str">
        <f>HYPERLINK("https://rhld.insurance.arkansas.gov/NPILookup?Npi=1740693969","1740693969")</f>
        <v>1740693969</v>
      </c>
      <c r="E31735" t="s">
        <v>10454</v>
      </c>
    </row>
    <row r="31736" spans="1:5" x14ac:dyDescent="0.25">
      <c r="A31736" t="s">
        <v>10058</v>
      </c>
      <c r="B31736" t="s">
        <v>10059</v>
      </c>
      <c r="C31736" s="1" t="s">
        <v>23490</v>
      </c>
      <c r="D31736" s="1" t="str">
        <f>HYPERLINK("https://rhld.insurance.arkansas.gov/NPILookup?Npi=1740825363","1740825363")</f>
        <v>1740825363</v>
      </c>
      <c r="E31736" t="s">
        <v>10170</v>
      </c>
    </row>
    <row r="31737" spans="1:5" x14ac:dyDescent="0.25">
      <c r="A31737" t="s">
        <v>10058</v>
      </c>
      <c r="B31737" t="s">
        <v>10059</v>
      </c>
      <c r="C31737" s="1" t="s">
        <v>23490</v>
      </c>
      <c r="D31737" s="1" t="str">
        <f>HYPERLINK("https://rhld.insurance.arkansas.gov/NPILookup?Npi=1740831072","1740831072")</f>
        <v>1740831072</v>
      </c>
      <c r="E31737" t="s">
        <v>19293</v>
      </c>
    </row>
    <row r="31738" spans="1:5" x14ac:dyDescent="0.25">
      <c r="A31738" t="s">
        <v>10058</v>
      </c>
      <c r="B31738" t="s">
        <v>10059</v>
      </c>
      <c r="C31738" s="1" t="s">
        <v>23490</v>
      </c>
      <c r="D31738" s="1" t="str">
        <f>HYPERLINK("https://rhld.insurance.arkansas.gov/NPILookup?Npi=1740913805","1740913805")</f>
        <v>1740913805</v>
      </c>
      <c r="E31738" t="s">
        <v>18623</v>
      </c>
    </row>
    <row r="31739" spans="1:5" x14ac:dyDescent="0.25">
      <c r="A31739" t="s">
        <v>10058</v>
      </c>
      <c r="B31739" t="s">
        <v>10059</v>
      </c>
      <c r="C31739" s="1" t="s">
        <v>23490</v>
      </c>
      <c r="D31739" s="1" t="str">
        <f>HYPERLINK("https://rhld.insurance.arkansas.gov/NPILookup?Npi=1750020053","1750020053")</f>
        <v>1750020053</v>
      </c>
      <c r="E31739" t="s">
        <v>22860</v>
      </c>
    </row>
    <row r="31740" spans="1:5" x14ac:dyDescent="0.25">
      <c r="A31740" t="s">
        <v>10058</v>
      </c>
      <c r="B31740" t="s">
        <v>10059</v>
      </c>
      <c r="C31740" s="1" t="s">
        <v>23490</v>
      </c>
      <c r="D31740" s="1" t="str">
        <f>HYPERLINK("https://rhld.insurance.arkansas.gov/NPILookup?Npi=1750326146","1750326146")</f>
        <v>1750326146</v>
      </c>
      <c r="E31740" t="s">
        <v>10455</v>
      </c>
    </row>
    <row r="31741" spans="1:5" x14ac:dyDescent="0.25">
      <c r="A31741" t="s">
        <v>10058</v>
      </c>
      <c r="B31741" t="s">
        <v>10059</v>
      </c>
      <c r="C31741" s="1" t="s">
        <v>23490</v>
      </c>
      <c r="D31741" s="1" t="str">
        <f>HYPERLINK("https://rhld.insurance.arkansas.gov/NPILookup?Npi=1750396743","1750396743")</f>
        <v>1750396743</v>
      </c>
      <c r="E31741" t="s">
        <v>10066</v>
      </c>
    </row>
    <row r="31742" spans="1:5" x14ac:dyDescent="0.25">
      <c r="A31742" t="s">
        <v>10058</v>
      </c>
      <c r="B31742" t="s">
        <v>10059</v>
      </c>
      <c r="C31742" s="1" t="s">
        <v>23490</v>
      </c>
      <c r="D31742" s="1" t="str">
        <f>HYPERLINK("https://rhld.insurance.arkansas.gov/NPILookup?Npi=1750421079","1750421079")</f>
        <v>1750421079</v>
      </c>
      <c r="E31742" t="s">
        <v>22861</v>
      </c>
    </row>
    <row r="31743" spans="1:5" x14ac:dyDescent="0.25">
      <c r="A31743" t="s">
        <v>10058</v>
      </c>
      <c r="B31743" t="s">
        <v>10059</v>
      </c>
      <c r="C31743" s="1" t="s">
        <v>23490</v>
      </c>
      <c r="D31743" s="1" t="str">
        <f>HYPERLINK("https://rhld.insurance.arkansas.gov/NPILookup?Npi=1750450607","1750450607")</f>
        <v>1750450607</v>
      </c>
      <c r="E31743" t="s">
        <v>12752</v>
      </c>
    </row>
    <row r="31744" spans="1:5" x14ac:dyDescent="0.25">
      <c r="A31744" t="s">
        <v>10058</v>
      </c>
      <c r="B31744" t="s">
        <v>10059</v>
      </c>
      <c r="C31744" s="1" t="s">
        <v>23490</v>
      </c>
      <c r="D31744" s="1" t="str">
        <f>HYPERLINK("https://rhld.insurance.arkansas.gov/NPILookup?Npi=1750464806","1750464806")</f>
        <v>1750464806</v>
      </c>
      <c r="E31744" t="s">
        <v>10456</v>
      </c>
    </row>
    <row r="31745" spans="1:5" x14ac:dyDescent="0.25">
      <c r="A31745" t="s">
        <v>10058</v>
      </c>
      <c r="B31745" t="s">
        <v>10059</v>
      </c>
      <c r="C31745" s="1" t="s">
        <v>23490</v>
      </c>
      <c r="D31745" s="1" t="str">
        <f>HYPERLINK("https://rhld.insurance.arkansas.gov/NPILookup?Npi=1750470449","1750470449")</f>
        <v>1750470449</v>
      </c>
      <c r="E31745" t="s">
        <v>10138</v>
      </c>
    </row>
    <row r="31746" spans="1:5" x14ac:dyDescent="0.25">
      <c r="A31746" t="s">
        <v>10058</v>
      </c>
      <c r="B31746" t="s">
        <v>10059</v>
      </c>
      <c r="C31746" s="1" t="s">
        <v>23490</v>
      </c>
      <c r="D31746" s="1" t="str">
        <f>HYPERLINK("https://rhld.insurance.arkansas.gov/NPILookup?Npi=1750515631","1750515631")</f>
        <v>1750515631</v>
      </c>
      <c r="E31746" t="s">
        <v>13312</v>
      </c>
    </row>
    <row r="31747" spans="1:5" x14ac:dyDescent="0.25">
      <c r="A31747" t="s">
        <v>10058</v>
      </c>
      <c r="B31747" t="s">
        <v>10059</v>
      </c>
      <c r="C31747" s="1" t="s">
        <v>23490</v>
      </c>
      <c r="D31747" s="1" t="str">
        <f>HYPERLINK("https://rhld.insurance.arkansas.gov/NPILookup?Npi=1750533816","1750533816")</f>
        <v>1750533816</v>
      </c>
      <c r="E31747" t="s">
        <v>10457</v>
      </c>
    </row>
    <row r="31748" spans="1:5" x14ac:dyDescent="0.25">
      <c r="A31748" t="s">
        <v>10058</v>
      </c>
      <c r="B31748" t="s">
        <v>10059</v>
      </c>
      <c r="C31748" s="1" t="s">
        <v>23490</v>
      </c>
      <c r="D31748" s="1" t="str">
        <f>HYPERLINK("https://rhld.insurance.arkansas.gov/NPILookup?Npi=1750663100","1750663100")</f>
        <v>1750663100</v>
      </c>
      <c r="E31748" t="s">
        <v>10458</v>
      </c>
    </row>
    <row r="31749" spans="1:5" x14ac:dyDescent="0.25">
      <c r="A31749" t="s">
        <v>10058</v>
      </c>
      <c r="B31749" t="s">
        <v>10059</v>
      </c>
      <c r="C31749" s="1" t="s">
        <v>23490</v>
      </c>
      <c r="D31749" s="1" t="str">
        <f>HYPERLINK("https://rhld.insurance.arkansas.gov/NPILookup?Npi=1750730057","1750730057")</f>
        <v>1750730057</v>
      </c>
      <c r="E31749" t="s">
        <v>10086</v>
      </c>
    </row>
    <row r="31750" spans="1:5" x14ac:dyDescent="0.25">
      <c r="A31750" t="s">
        <v>10058</v>
      </c>
      <c r="B31750" t="s">
        <v>10059</v>
      </c>
      <c r="C31750" s="1" t="s">
        <v>23490</v>
      </c>
      <c r="D31750" s="1" t="str">
        <f>HYPERLINK("https://rhld.insurance.arkansas.gov/NPILookup?Npi=1750808424","1750808424")</f>
        <v>1750808424</v>
      </c>
      <c r="E31750" t="s">
        <v>10066</v>
      </c>
    </row>
    <row r="31751" spans="1:5" x14ac:dyDescent="0.25">
      <c r="A31751" t="s">
        <v>10058</v>
      </c>
      <c r="B31751" t="s">
        <v>10059</v>
      </c>
      <c r="C31751" s="1" t="s">
        <v>23490</v>
      </c>
      <c r="D31751" s="1" t="str">
        <f>HYPERLINK("https://rhld.insurance.arkansas.gov/NPILookup?Npi=1750859195","1750859195")</f>
        <v>1750859195</v>
      </c>
      <c r="E31751" t="s">
        <v>16836</v>
      </c>
    </row>
    <row r="31752" spans="1:5" x14ac:dyDescent="0.25">
      <c r="A31752" t="s">
        <v>10058</v>
      </c>
      <c r="B31752" t="s">
        <v>10059</v>
      </c>
      <c r="C31752" s="1" t="s">
        <v>23490</v>
      </c>
      <c r="D31752" s="1" t="str">
        <f>HYPERLINK("https://rhld.insurance.arkansas.gov/NPILookup?Npi=1750934287","1750934287")</f>
        <v>1750934287</v>
      </c>
      <c r="E31752" t="s">
        <v>16837</v>
      </c>
    </row>
    <row r="31753" spans="1:5" x14ac:dyDescent="0.25">
      <c r="A31753" t="s">
        <v>10058</v>
      </c>
      <c r="B31753" t="s">
        <v>10059</v>
      </c>
      <c r="C31753" s="1" t="s">
        <v>23490</v>
      </c>
      <c r="D31753" s="1" t="str">
        <f>HYPERLINK("https://rhld.insurance.arkansas.gov/NPILookup?Npi=1760025274","1760025274")</f>
        <v>1760025274</v>
      </c>
      <c r="E31753" t="s">
        <v>19294</v>
      </c>
    </row>
    <row r="31754" spans="1:5" x14ac:dyDescent="0.25">
      <c r="A31754" t="s">
        <v>10058</v>
      </c>
      <c r="B31754" t="s">
        <v>10059</v>
      </c>
      <c r="C31754" s="1" t="s">
        <v>23490</v>
      </c>
      <c r="D31754" s="1" t="str">
        <f>HYPERLINK("https://rhld.insurance.arkansas.gov/NPILookup?Npi=1760404412","1760404412")</f>
        <v>1760404412</v>
      </c>
      <c r="E31754" t="s">
        <v>10365</v>
      </c>
    </row>
    <row r="31755" spans="1:5" x14ac:dyDescent="0.25">
      <c r="A31755" t="s">
        <v>10058</v>
      </c>
      <c r="B31755" t="s">
        <v>10059</v>
      </c>
      <c r="C31755" s="1" t="s">
        <v>23490</v>
      </c>
      <c r="D31755" s="1" t="str">
        <f>HYPERLINK("https://rhld.insurance.arkansas.gov/NPILookup?Npi=1760428254","1760428254")</f>
        <v>1760428254</v>
      </c>
      <c r="E31755" t="s">
        <v>13324</v>
      </c>
    </row>
    <row r="31756" spans="1:5" x14ac:dyDescent="0.25">
      <c r="A31756" t="s">
        <v>10058</v>
      </c>
      <c r="B31756" t="s">
        <v>10059</v>
      </c>
      <c r="C31756" s="1" t="s">
        <v>23490</v>
      </c>
      <c r="D31756" s="1" t="str">
        <f>HYPERLINK("https://rhld.insurance.arkansas.gov/NPILookup?Npi=1760470520","1760470520")</f>
        <v>1760470520</v>
      </c>
      <c r="E31756" t="s">
        <v>10459</v>
      </c>
    </row>
    <row r="31757" spans="1:5" x14ac:dyDescent="0.25">
      <c r="A31757" t="s">
        <v>10058</v>
      </c>
      <c r="B31757" t="s">
        <v>10059</v>
      </c>
      <c r="C31757" s="1" t="s">
        <v>23490</v>
      </c>
      <c r="D31757" s="1" t="str">
        <f>HYPERLINK("https://rhld.insurance.arkansas.gov/NPILookup?Npi=1760497937","1760497937")</f>
        <v>1760497937</v>
      </c>
      <c r="E31757" t="s">
        <v>10066</v>
      </c>
    </row>
    <row r="31758" spans="1:5" x14ac:dyDescent="0.25">
      <c r="A31758" t="s">
        <v>10058</v>
      </c>
      <c r="B31758" t="s">
        <v>10059</v>
      </c>
      <c r="C31758" s="1" t="s">
        <v>23490</v>
      </c>
      <c r="D31758" s="1" t="str">
        <f>HYPERLINK("https://rhld.insurance.arkansas.gov/NPILookup?Npi=1760523625","1760523625")</f>
        <v>1760523625</v>
      </c>
      <c r="E31758" t="s">
        <v>10460</v>
      </c>
    </row>
    <row r="31759" spans="1:5" x14ac:dyDescent="0.25">
      <c r="A31759" t="s">
        <v>10058</v>
      </c>
      <c r="B31759" t="s">
        <v>10059</v>
      </c>
      <c r="C31759" s="1" t="s">
        <v>23490</v>
      </c>
      <c r="D31759" s="1" t="str">
        <f>HYPERLINK("https://rhld.insurance.arkansas.gov/NPILookup?Npi=1760533509","1760533509")</f>
        <v>1760533509</v>
      </c>
      <c r="E31759" t="s">
        <v>10256</v>
      </c>
    </row>
    <row r="31760" spans="1:5" x14ac:dyDescent="0.25">
      <c r="A31760" t="s">
        <v>10058</v>
      </c>
      <c r="B31760" t="s">
        <v>10059</v>
      </c>
      <c r="C31760" s="1" t="s">
        <v>23490</v>
      </c>
      <c r="D31760" s="1" t="str">
        <f>HYPERLINK("https://rhld.insurance.arkansas.gov/NPILookup?Npi=1760555239","1760555239")</f>
        <v>1760555239</v>
      </c>
      <c r="E31760" t="s">
        <v>10087</v>
      </c>
    </row>
    <row r="31761" spans="1:5" x14ac:dyDescent="0.25">
      <c r="A31761" t="s">
        <v>10058</v>
      </c>
      <c r="B31761" t="s">
        <v>10059</v>
      </c>
      <c r="C31761" s="1" t="s">
        <v>23490</v>
      </c>
      <c r="D31761" s="1" t="str">
        <f>HYPERLINK("https://rhld.insurance.arkansas.gov/NPILookup?Npi=1760576011","1760576011")</f>
        <v>1760576011</v>
      </c>
      <c r="E31761" t="s">
        <v>17817</v>
      </c>
    </row>
    <row r="31762" spans="1:5" x14ac:dyDescent="0.25">
      <c r="A31762" t="s">
        <v>10058</v>
      </c>
      <c r="B31762" t="s">
        <v>10059</v>
      </c>
      <c r="C31762" s="1" t="s">
        <v>23490</v>
      </c>
      <c r="D31762" s="1" t="str">
        <f>HYPERLINK("https://rhld.insurance.arkansas.gov/NPILookup?Npi=1760590855","1760590855")</f>
        <v>1760590855</v>
      </c>
      <c r="E31762" t="s">
        <v>10461</v>
      </c>
    </row>
    <row r="31763" spans="1:5" x14ac:dyDescent="0.25">
      <c r="A31763" t="s">
        <v>10058</v>
      </c>
      <c r="B31763" t="s">
        <v>10059</v>
      </c>
      <c r="C31763" s="1" t="s">
        <v>23490</v>
      </c>
      <c r="D31763" s="1" t="str">
        <f>HYPERLINK("https://rhld.insurance.arkansas.gov/NPILookup?Npi=1760603104","1760603104")</f>
        <v>1760603104</v>
      </c>
      <c r="E31763" t="s">
        <v>10462</v>
      </c>
    </row>
    <row r="31764" spans="1:5" x14ac:dyDescent="0.25">
      <c r="A31764" t="s">
        <v>10058</v>
      </c>
      <c r="B31764" t="s">
        <v>10059</v>
      </c>
      <c r="C31764" s="1" t="s">
        <v>23490</v>
      </c>
      <c r="D31764" s="1" t="str">
        <f>HYPERLINK("https://rhld.insurance.arkansas.gov/NPILookup?Npi=1760640585","1760640585")</f>
        <v>1760640585</v>
      </c>
      <c r="E31764" t="s">
        <v>10066</v>
      </c>
    </row>
    <row r="31765" spans="1:5" x14ac:dyDescent="0.25">
      <c r="A31765" t="s">
        <v>10058</v>
      </c>
      <c r="B31765" t="s">
        <v>10059</v>
      </c>
      <c r="C31765" s="1" t="s">
        <v>23490</v>
      </c>
      <c r="D31765" s="1" t="str">
        <f>HYPERLINK("https://rhld.insurance.arkansas.gov/NPILookup?Npi=1760710370","1760710370")</f>
        <v>1760710370</v>
      </c>
      <c r="E31765" t="s">
        <v>10345</v>
      </c>
    </row>
    <row r="31766" spans="1:5" x14ac:dyDescent="0.25">
      <c r="A31766" t="s">
        <v>10058</v>
      </c>
      <c r="B31766" t="s">
        <v>10059</v>
      </c>
      <c r="C31766" s="1" t="s">
        <v>23490</v>
      </c>
      <c r="D31766" s="1" t="str">
        <f>HYPERLINK("https://rhld.insurance.arkansas.gov/NPILookup?Npi=1760803035","1760803035")</f>
        <v>1760803035</v>
      </c>
      <c r="E31766" t="s">
        <v>10066</v>
      </c>
    </row>
    <row r="31767" spans="1:5" x14ac:dyDescent="0.25">
      <c r="A31767" t="s">
        <v>10058</v>
      </c>
      <c r="B31767" t="s">
        <v>10059</v>
      </c>
      <c r="C31767" s="1" t="s">
        <v>23490</v>
      </c>
      <c r="D31767" s="1" t="str">
        <f>HYPERLINK("https://rhld.insurance.arkansas.gov/NPILookup?Npi=1760924088","1760924088")</f>
        <v>1760924088</v>
      </c>
      <c r="E31767" t="s">
        <v>14668</v>
      </c>
    </row>
    <row r="31768" spans="1:5" x14ac:dyDescent="0.25">
      <c r="A31768" t="s">
        <v>10058</v>
      </c>
      <c r="B31768" t="s">
        <v>10059</v>
      </c>
      <c r="C31768" s="1" t="s">
        <v>23490</v>
      </c>
      <c r="D31768" s="1" t="str">
        <f>HYPERLINK("https://rhld.insurance.arkansas.gov/NPILookup?Npi=1760951602","1760951602")</f>
        <v>1760951602</v>
      </c>
      <c r="E31768" t="s">
        <v>10125</v>
      </c>
    </row>
    <row r="31769" spans="1:5" x14ac:dyDescent="0.25">
      <c r="A31769" t="s">
        <v>10058</v>
      </c>
      <c r="B31769" t="s">
        <v>10059</v>
      </c>
      <c r="C31769" s="1" t="s">
        <v>23490</v>
      </c>
      <c r="D31769" s="1" t="str">
        <f>HYPERLINK("https://rhld.insurance.arkansas.gov/NPILookup?Npi=1770055923","1770055923")</f>
        <v>1770055923</v>
      </c>
      <c r="E31769" t="s">
        <v>16838</v>
      </c>
    </row>
    <row r="31770" spans="1:5" x14ac:dyDescent="0.25">
      <c r="A31770" t="s">
        <v>10058</v>
      </c>
      <c r="B31770" t="s">
        <v>10059</v>
      </c>
      <c r="C31770" s="1" t="s">
        <v>23490</v>
      </c>
      <c r="D31770" s="1" t="str">
        <f>HYPERLINK("https://rhld.insurance.arkansas.gov/NPILookup?Npi=1770134611","1770134611")</f>
        <v>1770134611</v>
      </c>
      <c r="E31770" t="s">
        <v>19295</v>
      </c>
    </row>
    <row r="31771" spans="1:5" x14ac:dyDescent="0.25">
      <c r="A31771" t="s">
        <v>10058</v>
      </c>
      <c r="B31771" t="s">
        <v>10059</v>
      </c>
      <c r="C31771" s="1" t="s">
        <v>23490</v>
      </c>
      <c r="D31771" s="1" t="str">
        <f>HYPERLINK("https://rhld.insurance.arkansas.gov/NPILookup?Npi=1770146128","1770146128")</f>
        <v>1770146128</v>
      </c>
      <c r="E31771" t="s">
        <v>16839</v>
      </c>
    </row>
    <row r="31772" spans="1:5" x14ac:dyDescent="0.25">
      <c r="A31772" t="s">
        <v>10058</v>
      </c>
      <c r="B31772" t="s">
        <v>10059</v>
      </c>
      <c r="C31772" s="1" t="s">
        <v>23490</v>
      </c>
      <c r="D31772" s="1" t="str">
        <f>HYPERLINK("https://rhld.insurance.arkansas.gov/NPILookup?Npi=1770280349","1770280349")</f>
        <v>1770280349</v>
      </c>
      <c r="E31772" t="s">
        <v>22862</v>
      </c>
    </row>
    <row r="31773" spans="1:5" x14ac:dyDescent="0.25">
      <c r="A31773" t="s">
        <v>10058</v>
      </c>
      <c r="B31773" t="s">
        <v>10059</v>
      </c>
      <c r="C31773" s="1" t="s">
        <v>23490</v>
      </c>
      <c r="D31773" s="1" t="str">
        <f>HYPERLINK("https://rhld.insurance.arkansas.gov/NPILookup?Npi=1770500035","1770500035")</f>
        <v>1770500035</v>
      </c>
      <c r="E31773" t="s">
        <v>10060</v>
      </c>
    </row>
    <row r="31774" spans="1:5" x14ac:dyDescent="0.25">
      <c r="A31774" t="s">
        <v>10058</v>
      </c>
      <c r="B31774" t="s">
        <v>10059</v>
      </c>
      <c r="C31774" s="1" t="s">
        <v>23490</v>
      </c>
      <c r="D31774" s="1" t="str">
        <f>HYPERLINK("https://rhld.insurance.arkansas.gov/NPILookup?Npi=1770500175","1770500175")</f>
        <v>1770500175</v>
      </c>
      <c r="E31774" t="s">
        <v>13312</v>
      </c>
    </row>
    <row r="31775" spans="1:5" x14ac:dyDescent="0.25">
      <c r="A31775" t="s">
        <v>10058</v>
      </c>
      <c r="B31775" t="s">
        <v>10059</v>
      </c>
      <c r="C31775" s="1" t="s">
        <v>23490</v>
      </c>
      <c r="D31775" s="1" t="str">
        <f>HYPERLINK("https://rhld.insurance.arkansas.gov/NPILookup?Npi=1770505471","1770505471")</f>
        <v>1770505471</v>
      </c>
      <c r="E31775" t="s">
        <v>10215</v>
      </c>
    </row>
    <row r="31776" spans="1:5" x14ac:dyDescent="0.25">
      <c r="A31776" t="s">
        <v>10058</v>
      </c>
      <c r="B31776" t="s">
        <v>10059</v>
      </c>
      <c r="C31776" s="1" t="s">
        <v>23490</v>
      </c>
      <c r="D31776" s="1" t="str">
        <f>HYPERLINK("https://rhld.insurance.arkansas.gov/NPILookup?Npi=1770570491","1770570491")</f>
        <v>1770570491</v>
      </c>
      <c r="E31776" t="s">
        <v>10463</v>
      </c>
    </row>
    <row r="31777" spans="1:5" x14ac:dyDescent="0.25">
      <c r="A31777" t="s">
        <v>10058</v>
      </c>
      <c r="B31777" t="s">
        <v>10059</v>
      </c>
      <c r="C31777" s="1" t="s">
        <v>23490</v>
      </c>
      <c r="D31777" s="1" t="str">
        <f>HYPERLINK("https://rhld.insurance.arkansas.gov/NPILookup?Npi=1770648677","1770648677")</f>
        <v>1770648677</v>
      </c>
      <c r="E31777" t="s">
        <v>18626</v>
      </c>
    </row>
    <row r="31778" spans="1:5" x14ac:dyDescent="0.25">
      <c r="A31778" t="s">
        <v>10058</v>
      </c>
      <c r="B31778" t="s">
        <v>10059</v>
      </c>
      <c r="C31778" s="1" t="s">
        <v>23490</v>
      </c>
      <c r="D31778" s="1" t="str">
        <f>HYPERLINK("https://rhld.insurance.arkansas.gov/NPILookup?Npi=1770656241","1770656241")</f>
        <v>1770656241</v>
      </c>
      <c r="E31778" t="s">
        <v>10087</v>
      </c>
    </row>
    <row r="31779" spans="1:5" x14ac:dyDescent="0.25">
      <c r="A31779" t="s">
        <v>10058</v>
      </c>
      <c r="B31779" t="s">
        <v>10059</v>
      </c>
      <c r="C31779" s="1" t="s">
        <v>23490</v>
      </c>
      <c r="D31779" s="1" t="str">
        <f>HYPERLINK("https://rhld.insurance.arkansas.gov/NPILookup?Npi=1770676918","1770676918")</f>
        <v>1770676918</v>
      </c>
      <c r="E31779" t="s">
        <v>18627</v>
      </c>
    </row>
    <row r="31780" spans="1:5" x14ac:dyDescent="0.25">
      <c r="A31780" t="s">
        <v>10058</v>
      </c>
      <c r="B31780" t="s">
        <v>10059</v>
      </c>
      <c r="C31780" s="1" t="s">
        <v>23490</v>
      </c>
      <c r="D31780" s="1" t="str">
        <f>HYPERLINK("https://rhld.insurance.arkansas.gov/NPILookup?Npi=1770683096","1770683096")</f>
        <v>1770683096</v>
      </c>
      <c r="E31780" t="s">
        <v>10078</v>
      </c>
    </row>
    <row r="31781" spans="1:5" x14ac:dyDescent="0.25">
      <c r="A31781" t="s">
        <v>10058</v>
      </c>
      <c r="B31781" t="s">
        <v>10059</v>
      </c>
      <c r="C31781" s="1" t="s">
        <v>23490</v>
      </c>
      <c r="D31781" s="1" t="str">
        <f>HYPERLINK("https://rhld.insurance.arkansas.gov/NPILookup?Npi=1770838518","1770838518")</f>
        <v>1770838518</v>
      </c>
      <c r="E31781" t="s">
        <v>10066</v>
      </c>
    </row>
    <row r="31782" spans="1:5" x14ac:dyDescent="0.25">
      <c r="A31782" t="s">
        <v>10058</v>
      </c>
      <c r="B31782" t="s">
        <v>10059</v>
      </c>
      <c r="C31782" s="1" t="s">
        <v>23490</v>
      </c>
      <c r="D31782" s="1" t="str">
        <f>HYPERLINK("https://rhld.insurance.arkansas.gov/NPILookup?Npi=1770973711","1770973711")</f>
        <v>1770973711</v>
      </c>
      <c r="E31782" t="s">
        <v>10372</v>
      </c>
    </row>
    <row r="31783" spans="1:5" x14ac:dyDescent="0.25">
      <c r="A31783" t="s">
        <v>10058</v>
      </c>
      <c r="B31783" t="s">
        <v>10059</v>
      </c>
      <c r="C31783" s="1" t="s">
        <v>23490</v>
      </c>
      <c r="D31783" s="1" t="str">
        <f>HYPERLINK("https://rhld.insurance.arkansas.gov/NPILookup?Npi=1780073106","1780073106")</f>
        <v>1780073106</v>
      </c>
      <c r="E31783" t="s">
        <v>10066</v>
      </c>
    </row>
    <row r="31784" spans="1:5" x14ac:dyDescent="0.25">
      <c r="A31784" t="s">
        <v>10058</v>
      </c>
      <c r="B31784" t="s">
        <v>10059</v>
      </c>
      <c r="C31784" s="1" t="s">
        <v>23490</v>
      </c>
      <c r="D31784" s="1" t="str">
        <f>HYPERLINK("https://rhld.insurance.arkansas.gov/NPILookup?Npi=1780084491","1780084491")</f>
        <v>1780084491</v>
      </c>
      <c r="E31784" t="s">
        <v>10078</v>
      </c>
    </row>
    <row r="31785" spans="1:5" x14ac:dyDescent="0.25">
      <c r="A31785" t="s">
        <v>10058</v>
      </c>
      <c r="B31785" t="s">
        <v>10059</v>
      </c>
      <c r="C31785" s="1" t="s">
        <v>23490</v>
      </c>
      <c r="D31785" s="1" t="str">
        <f>HYPERLINK("https://rhld.insurance.arkansas.gov/NPILookup?Npi=1780120691","1780120691")</f>
        <v>1780120691</v>
      </c>
      <c r="E31785" t="s">
        <v>14669</v>
      </c>
    </row>
    <row r="31786" spans="1:5" x14ac:dyDescent="0.25">
      <c r="A31786" t="s">
        <v>10058</v>
      </c>
      <c r="B31786" t="s">
        <v>10059</v>
      </c>
      <c r="C31786" s="1" t="s">
        <v>23490</v>
      </c>
      <c r="D31786" s="1" t="str">
        <f>HYPERLINK("https://rhld.insurance.arkansas.gov/NPILookup?Npi=1780139154","1780139154")</f>
        <v>1780139154</v>
      </c>
      <c r="E31786" t="s">
        <v>10067</v>
      </c>
    </row>
    <row r="31787" spans="1:5" x14ac:dyDescent="0.25">
      <c r="A31787" t="s">
        <v>10058</v>
      </c>
      <c r="B31787" t="s">
        <v>10059</v>
      </c>
      <c r="C31787" s="1" t="s">
        <v>23490</v>
      </c>
      <c r="D31787" s="1" t="str">
        <f>HYPERLINK("https://rhld.insurance.arkansas.gov/NPILookup?Npi=1780601179","1780601179")</f>
        <v>1780601179</v>
      </c>
      <c r="E31787" t="s">
        <v>13312</v>
      </c>
    </row>
    <row r="31788" spans="1:5" x14ac:dyDescent="0.25">
      <c r="A31788" t="s">
        <v>10058</v>
      </c>
      <c r="B31788" t="s">
        <v>10059</v>
      </c>
      <c r="C31788" s="1" t="s">
        <v>23490</v>
      </c>
      <c r="D31788" s="1" t="str">
        <f>HYPERLINK("https://rhld.insurance.arkansas.gov/NPILookup?Npi=1780601187","1780601187")</f>
        <v>1780601187</v>
      </c>
      <c r="E31788" t="s">
        <v>13312</v>
      </c>
    </row>
    <row r="31789" spans="1:5" x14ac:dyDescent="0.25">
      <c r="A31789" t="s">
        <v>10058</v>
      </c>
      <c r="B31789" t="s">
        <v>10059</v>
      </c>
      <c r="C31789" s="1" t="s">
        <v>23490</v>
      </c>
      <c r="D31789" s="1" t="str">
        <f>HYPERLINK("https://rhld.insurance.arkansas.gov/NPILookup?Npi=1780602524","1780602524")</f>
        <v>1780602524</v>
      </c>
      <c r="E31789" t="s">
        <v>10060</v>
      </c>
    </row>
    <row r="31790" spans="1:5" x14ac:dyDescent="0.25">
      <c r="A31790" t="s">
        <v>10058</v>
      </c>
      <c r="B31790" t="s">
        <v>10059</v>
      </c>
      <c r="C31790" s="1" t="s">
        <v>23490</v>
      </c>
      <c r="D31790" s="1" t="str">
        <f>HYPERLINK("https://rhld.insurance.arkansas.gov/NPILookup?Npi=1780603969","1780603969")</f>
        <v>1780603969</v>
      </c>
      <c r="E31790" t="s">
        <v>10464</v>
      </c>
    </row>
    <row r="31791" spans="1:5" x14ac:dyDescent="0.25">
      <c r="A31791" t="s">
        <v>10058</v>
      </c>
      <c r="B31791" t="s">
        <v>10059</v>
      </c>
      <c r="C31791" s="1" t="s">
        <v>23490</v>
      </c>
      <c r="D31791" s="1" t="str">
        <f>HYPERLINK("https://rhld.insurance.arkansas.gov/NPILookup?Npi=1780618538","1780618538")</f>
        <v>1780618538</v>
      </c>
      <c r="E31791" t="s">
        <v>10067</v>
      </c>
    </row>
    <row r="31792" spans="1:5" x14ac:dyDescent="0.25">
      <c r="A31792" t="s">
        <v>10058</v>
      </c>
      <c r="B31792" t="s">
        <v>10059</v>
      </c>
      <c r="C31792" s="1" t="s">
        <v>23490</v>
      </c>
      <c r="D31792" s="1" t="str">
        <f>HYPERLINK("https://rhld.insurance.arkansas.gov/NPILookup?Npi=1780681932","1780681932")</f>
        <v>1780681932</v>
      </c>
      <c r="E31792" t="s">
        <v>10465</v>
      </c>
    </row>
    <row r="31793" spans="1:5" x14ac:dyDescent="0.25">
      <c r="A31793" t="s">
        <v>10058</v>
      </c>
      <c r="B31793" t="s">
        <v>10059</v>
      </c>
      <c r="C31793" s="1" t="s">
        <v>23490</v>
      </c>
      <c r="D31793" s="1" t="str">
        <f>HYPERLINK("https://rhld.insurance.arkansas.gov/NPILookup?Npi=1780757252","1780757252")</f>
        <v>1780757252</v>
      </c>
      <c r="E31793" t="s">
        <v>10087</v>
      </c>
    </row>
    <row r="31794" spans="1:5" x14ac:dyDescent="0.25">
      <c r="A31794" t="s">
        <v>10058</v>
      </c>
      <c r="B31794" t="s">
        <v>10059</v>
      </c>
      <c r="C31794" s="1" t="s">
        <v>23490</v>
      </c>
      <c r="D31794" s="1" t="str">
        <f>HYPERLINK("https://rhld.insurance.arkansas.gov/NPILookup?Npi=1780798751","1780798751")</f>
        <v>1780798751</v>
      </c>
      <c r="E31794" t="s">
        <v>10466</v>
      </c>
    </row>
    <row r="31795" spans="1:5" x14ac:dyDescent="0.25">
      <c r="A31795" t="s">
        <v>10058</v>
      </c>
      <c r="B31795" t="s">
        <v>10059</v>
      </c>
      <c r="C31795" s="1" t="s">
        <v>23490</v>
      </c>
      <c r="D31795" s="1" t="str">
        <f>HYPERLINK("https://rhld.insurance.arkansas.gov/NPILookup?Npi=1780959684","1780959684")</f>
        <v>1780959684</v>
      </c>
      <c r="E31795" t="s">
        <v>7591</v>
      </c>
    </row>
    <row r="31796" spans="1:5" x14ac:dyDescent="0.25">
      <c r="A31796" t="s">
        <v>10058</v>
      </c>
      <c r="B31796" t="s">
        <v>10059</v>
      </c>
      <c r="C31796" s="1" t="s">
        <v>23490</v>
      </c>
      <c r="D31796" s="1" t="str">
        <f>HYPERLINK("https://rhld.insurance.arkansas.gov/NPILookup?Npi=1780973693","1780973693")</f>
        <v>1780973693</v>
      </c>
      <c r="E31796" t="s">
        <v>13312</v>
      </c>
    </row>
    <row r="31797" spans="1:5" x14ac:dyDescent="0.25">
      <c r="A31797" t="s">
        <v>10058</v>
      </c>
      <c r="B31797" t="s">
        <v>10059</v>
      </c>
      <c r="C31797" s="1" t="s">
        <v>23490</v>
      </c>
      <c r="D31797" s="1" t="str">
        <f>HYPERLINK("https://rhld.insurance.arkansas.gov/NPILookup?Npi=1780989616","1780989616")</f>
        <v>1780989616</v>
      </c>
      <c r="E31797" t="s">
        <v>10129</v>
      </c>
    </row>
    <row r="31798" spans="1:5" x14ac:dyDescent="0.25">
      <c r="A31798" t="s">
        <v>10058</v>
      </c>
      <c r="B31798" t="s">
        <v>10059</v>
      </c>
      <c r="C31798" s="1" t="s">
        <v>23490</v>
      </c>
      <c r="D31798" s="1" t="str">
        <f>HYPERLINK("https://rhld.insurance.arkansas.gov/NPILookup?Npi=1790027449","1790027449")</f>
        <v>1790027449</v>
      </c>
      <c r="E31798" t="s">
        <v>10467</v>
      </c>
    </row>
    <row r="31799" spans="1:5" x14ac:dyDescent="0.25">
      <c r="A31799" t="s">
        <v>10058</v>
      </c>
      <c r="B31799" t="s">
        <v>10059</v>
      </c>
      <c r="C31799" s="1" t="s">
        <v>23490</v>
      </c>
      <c r="D31799" s="1" t="str">
        <f>HYPERLINK("https://rhld.insurance.arkansas.gov/NPILookup?Npi=1790034460","1790034460")</f>
        <v>1790034460</v>
      </c>
      <c r="E31799" t="s">
        <v>10468</v>
      </c>
    </row>
    <row r="31800" spans="1:5" x14ac:dyDescent="0.25">
      <c r="A31800" t="s">
        <v>10058</v>
      </c>
      <c r="B31800" t="s">
        <v>10059</v>
      </c>
      <c r="C31800" s="1" t="s">
        <v>23490</v>
      </c>
      <c r="D31800" s="1" t="str">
        <f>HYPERLINK("https://rhld.insurance.arkansas.gov/NPILookup?Npi=1790116523","1790116523")</f>
        <v>1790116523</v>
      </c>
      <c r="E31800" t="s">
        <v>10469</v>
      </c>
    </row>
    <row r="31801" spans="1:5" x14ac:dyDescent="0.25">
      <c r="A31801" t="s">
        <v>10058</v>
      </c>
      <c r="B31801" t="s">
        <v>10059</v>
      </c>
      <c r="C31801" s="1" t="s">
        <v>23490</v>
      </c>
      <c r="D31801" s="1" t="str">
        <f>HYPERLINK("https://rhld.insurance.arkansas.gov/NPILookup?Npi=1790135309","1790135309")</f>
        <v>1790135309</v>
      </c>
      <c r="E31801" t="s">
        <v>12753</v>
      </c>
    </row>
    <row r="31802" spans="1:5" x14ac:dyDescent="0.25">
      <c r="A31802" t="s">
        <v>10058</v>
      </c>
      <c r="B31802" t="s">
        <v>10059</v>
      </c>
      <c r="C31802" s="1" t="s">
        <v>23490</v>
      </c>
      <c r="D31802" s="1" t="str">
        <f>HYPERLINK("https://rhld.insurance.arkansas.gov/NPILookup?Npi=1790139111","1790139111")</f>
        <v>1790139111</v>
      </c>
      <c r="E31802" t="s">
        <v>10470</v>
      </c>
    </row>
    <row r="31803" spans="1:5" x14ac:dyDescent="0.25">
      <c r="A31803" t="s">
        <v>10058</v>
      </c>
      <c r="B31803" t="s">
        <v>10059</v>
      </c>
      <c r="C31803" s="1" t="s">
        <v>23490</v>
      </c>
      <c r="D31803" s="1" t="str">
        <f>HYPERLINK("https://rhld.insurance.arkansas.gov/NPILookup?Npi=1790141216","1790141216")</f>
        <v>1790141216</v>
      </c>
      <c r="E31803" t="s">
        <v>10471</v>
      </c>
    </row>
    <row r="31804" spans="1:5" x14ac:dyDescent="0.25">
      <c r="A31804" t="s">
        <v>10058</v>
      </c>
      <c r="B31804" t="s">
        <v>10059</v>
      </c>
      <c r="C31804" s="1" t="s">
        <v>23490</v>
      </c>
      <c r="D31804" s="1" t="str">
        <f>HYPERLINK("https://rhld.insurance.arkansas.gov/NPILookup?Npi=1790306124","1790306124")</f>
        <v>1790306124</v>
      </c>
      <c r="E31804" t="s">
        <v>10170</v>
      </c>
    </row>
    <row r="31805" spans="1:5" x14ac:dyDescent="0.25">
      <c r="A31805" t="s">
        <v>10058</v>
      </c>
      <c r="B31805" t="s">
        <v>10059</v>
      </c>
      <c r="C31805" s="1" t="s">
        <v>23490</v>
      </c>
      <c r="D31805" s="1" t="str">
        <f>HYPERLINK("https://rhld.insurance.arkansas.gov/NPILookup?Npi=1790702041","1790702041")</f>
        <v>1790702041</v>
      </c>
      <c r="E31805" t="s">
        <v>10060</v>
      </c>
    </row>
    <row r="31806" spans="1:5" x14ac:dyDescent="0.25">
      <c r="A31806" t="s">
        <v>10058</v>
      </c>
      <c r="B31806" t="s">
        <v>10059</v>
      </c>
      <c r="C31806" s="1" t="s">
        <v>23490</v>
      </c>
      <c r="D31806" s="1" t="str">
        <f>HYPERLINK("https://rhld.insurance.arkansas.gov/NPILookup?Npi=1790702108","1790702108")</f>
        <v>1790702108</v>
      </c>
      <c r="E31806" t="s">
        <v>13312</v>
      </c>
    </row>
    <row r="31807" spans="1:5" x14ac:dyDescent="0.25">
      <c r="A31807" t="s">
        <v>10058</v>
      </c>
      <c r="B31807" t="s">
        <v>10059</v>
      </c>
      <c r="C31807" s="1" t="s">
        <v>23490</v>
      </c>
      <c r="D31807" s="1" t="str">
        <f>HYPERLINK("https://rhld.insurance.arkansas.gov/NPILookup?Npi=1790702116","1790702116")</f>
        <v>1790702116</v>
      </c>
      <c r="E31807" t="s">
        <v>10060</v>
      </c>
    </row>
    <row r="31808" spans="1:5" x14ac:dyDescent="0.25">
      <c r="A31808" t="s">
        <v>10058</v>
      </c>
      <c r="B31808" t="s">
        <v>10059</v>
      </c>
      <c r="C31808" s="1" t="s">
        <v>23490</v>
      </c>
      <c r="D31808" s="1" t="str">
        <f>HYPERLINK("https://rhld.insurance.arkansas.gov/NPILookup?Npi=1790702173","1790702173")</f>
        <v>1790702173</v>
      </c>
      <c r="E31808" t="s">
        <v>13312</v>
      </c>
    </row>
    <row r="31809" spans="1:5" x14ac:dyDescent="0.25">
      <c r="A31809" t="s">
        <v>10058</v>
      </c>
      <c r="B31809" t="s">
        <v>10059</v>
      </c>
      <c r="C31809" s="1" t="s">
        <v>23490</v>
      </c>
      <c r="D31809" s="1" t="str">
        <f>HYPERLINK("https://rhld.insurance.arkansas.gov/NPILookup?Npi=1790702181","1790702181")</f>
        <v>1790702181</v>
      </c>
      <c r="E31809" t="s">
        <v>13312</v>
      </c>
    </row>
    <row r="31810" spans="1:5" x14ac:dyDescent="0.25">
      <c r="A31810" t="s">
        <v>10058</v>
      </c>
      <c r="B31810" t="s">
        <v>10059</v>
      </c>
      <c r="C31810" s="1" t="s">
        <v>23490</v>
      </c>
      <c r="D31810" s="1" t="str">
        <f>HYPERLINK("https://rhld.insurance.arkansas.gov/NPILookup?Npi=1790719540","1790719540")</f>
        <v>1790719540</v>
      </c>
      <c r="E31810" t="s">
        <v>10067</v>
      </c>
    </row>
    <row r="31811" spans="1:5" x14ac:dyDescent="0.25">
      <c r="A31811" t="s">
        <v>10058</v>
      </c>
      <c r="B31811" t="s">
        <v>10059</v>
      </c>
      <c r="C31811" s="1" t="s">
        <v>23490</v>
      </c>
      <c r="D31811" s="1" t="str">
        <f>HYPERLINK("https://rhld.insurance.arkansas.gov/NPILookup?Npi=1790790061","1790790061")</f>
        <v>1790790061</v>
      </c>
      <c r="E31811" t="s">
        <v>10066</v>
      </c>
    </row>
    <row r="31812" spans="1:5" x14ac:dyDescent="0.25">
      <c r="A31812" t="s">
        <v>10058</v>
      </c>
      <c r="B31812" t="s">
        <v>10059</v>
      </c>
      <c r="C31812" s="1" t="s">
        <v>23490</v>
      </c>
      <c r="D31812" s="1" t="str">
        <f>HYPERLINK("https://rhld.insurance.arkansas.gov/NPILookup?Npi=1790833564","1790833564")</f>
        <v>1790833564</v>
      </c>
      <c r="E31812" t="s">
        <v>7578</v>
      </c>
    </row>
    <row r="31813" spans="1:5" x14ac:dyDescent="0.25">
      <c r="A31813" t="s">
        <v>10058</v>
      </c>
      <c r="B31813" t="s">
        <v>10059</v>
      </c>
      <c r="C31813" s="1" t="s">
        <v>23490</v>
      </c>
      <c r="D31813" s="1" t="str">
        <f>HYPERLINK("https://rhld.insurance.arkansas.gov/NPILookup?Npi=1790849560","1790849560")</f>
        <v>1790849560</v>
      </c>
      <c r="E31813" t="s">
        <v>20865</v>
      </c>
    </row>
    <row r="31814" spans="1:5" x14ac:dyDescent="0.25">
      <c r="A31814" t="s">
        <v>10058</v>
      </c>
      <c r="B31814" t="s">
        <v>10059</v>
      </c>
      <c r="C31814" s="1" t="s">
        <v>23490</v>
      </c>
      <c r="D31814" s="1" t="str">
        <f>HYPERLINK("https://rhld.insurance.arkansas.gov/NPILookup?Npi=1790854271","1790854271")</f>
        <v>1790854271</v>
      </c>
      <c r="E31814" t="s">
        <v>10170</v>
      </c>
    </row>
    <row r="31815" spans="1:5" x14ac:dyDescent="0.25">
      <c r="A31815" t="s">
        <v>10058</v>
      </c>
      <c r="B31815" t="s">
        <v>10059</v>
      </c>
      <c r="C31815" s="1" t="s">
        <v>23490</v>
      </c>
      <c r="D31815" s="1" t="str">
        <f>HYPERLINK("https://rhld.insurance.arkansas.gov/NPILookup?Npi=1790868107","1790868107")</f>
        <v>1790868107</v>
      </c>
      <c r="E31815" t="s">
        <v>10066</v>
      </c>
    </row>
    <row r="31816" spans="1:5" x14ac:dyDescent="0.25">
      <c r="A31816" t="s">
        <v>10058</v>
      </c>
      <c r="B31816" t="s">
        <v>10059</v>
      </c>
      <c r="C31816" s="1" t="s">
        <v>23490</v>
      </c>
      <c r="D31816" s="1" t="str">
        <f>HYPERLINK("https://rhld.insurance.arkansas.gov/NPILookup?Npi=1790890713","1790890713")</f>
        <v>1790890713</v>
      </c>
      <c r="E31816" t="s">
        <v>10472</v>
      </c>
    </row>
    <row r="31817" spans="1:5" x14ac:dyDescent="0.25">
      <c r="A31817" t="s">
        <v>10058</v>
      </c>
      <c r="B31817" t="s">
        <v>10059</v>
      </c>
      <c r="C31817" s="1" t="s">
        <v>23490</v>
      </c>
      <c r="D31817" s="1" t="str">
        <f>HYPERLINK("https://rhld.insurance.arkansas.gov/NPILookup?Npi=1790975902","1790975902")</f>
        <v>1790975902</v>
      </c>
      <c r="E31817" t="s">
        <v>22863</v>
      </c>
    </row>
    <row r="31818" spans="1:5" x14ac:dyDescent="0.25">
      <c r="A31818" t="s">
        <v>10058</v>
      </c>
      <c r="B31818" t="s">
        <v>10059</v>
      </c>
      <c r="C31818" s="1" t="s">
        <v>23490</v>
      </c>
      <c r="D31818" s="1" t="str">
        <f>HYPERLINK("https://rhld.insurance.arkansas.gov/NPILookup?Npi=1801167408","1801167408")</f>
        <v>1801167408</v>
      </c>
      <c r="E31818" t="s">
        <v>10081</v>
      </c>
    </row>
    <row r="31819" spans="1:5" x14ac:dyDescent="0.25">
      <c r="A31819" t="s">
        <v>10058</v>
      </c>
      <c r="B31819" t="s">
        <v>10059</v>
      </c>
      <c r="C31819" s="1" t="s">
        <v>23490</v>
      </c>
      <c r="D31819" s="1" t="str">
        <f>HYPERLINK("https://rhld.insurance.arkansas.gov/NPILookup?Npi=1801185574","1801185574")</f>
        <v>1801185574</v>
      </c>
      <c r="E31819" t="s">
        <v>17353</v>
      </c>
    </row>
    <row r="31820" spans="1:5" x14ac:dyDescent="0.25">
      <c r="A31820" t="s">
        <v>10058</v>
      </c>
      <c r="B31820" t="s">
        <v>10059</v>
      </c>
      <c r="C31820" s="1" t="s">
        <v>23490</v>
      </c>
      <c r="D31820" s="1" t="str">
        <f>HYPERLINK("https://rhld.insurance.arkansas.gov/NPILookup?Npi=1801425624","1801425624")</f>
        <v>1801425624</v>
      </c>
      <c r="E31820" t="s">
        <v>10065</v>
      </c>
    </row>
    <row r="31821" spans="1:5" x14ac:dyDescent="0.25">
      <c r="A31821" t="s">
        <v>10058</v>
      </c>
      <c r="B31821" t="s">
        <v>10059</v>
      </c>
      <c r="C31821" s="1" t="s">
        <v>23490</v>
      </c>
      <c r="D31821" s="1" t="str">
        <f>HYPERLINK("https://rhld.insurance.arkansas.gov/NPILookup?Npi=1801446380","1801446380")</f>
        <v>1801446380</v>
      </c>
      <c r="E31821" t="s">
        <v>16840</v>
      </c>
    </row>
    <row r="31822" spans="1:5" x14ac:dyDescent="0.25">
      <c r="A31822" t="s">
        <v>10058</v>
      </c>
      <c r="B31822" t="s">
        <v>10059</v>
      </c>
      <c r="C31822" s="1" t="s">
        <v>23490</v>
      </c>
      <c r="D31822" s="1" t="str">
        <f>HYPERLINK("https://rhld.insurance.arkansas.gov/NPILookup?Npi=1801447214","1801447214")</f>
        <v>1801447214</v>
      </c>
      <c r="E31822" t="s">
        <v>19296</v>
      </c>
    </row>
    <row r="31823" spans="1:5" x14ac:dyDescent="0.25">
      <c r="A31823" t="s">
        <v>10058</v>
      </c>
      <c r="B31823" t="s">
        <v>10059</v>
      </c>
      <c r="C31823" s="1" t="s">
        <v>23490</v>
      </c>
      <c r="D31823" s="1" t="str">
        <f>HYPERLINK("https://rhld.insurance.arkansas.gov/NPILookup?Npi=1801484217","1801484217")</f>
        <v>1801484217</v>
      </c>
      <c r="E31823" t="s">
        <v>19297</v>
      </c>
    </row>
    <row r="31824" spans="1:5" x14ac:dyDescent="0.25">
      <c r="A31824" t="s">
        <v>10058</v>
      </c>
      <c r="B31824" t="s">
        <v>10059</v>
      </c>
      <c r="C31824" s="1" t="s">
        <v>23490</v>
      </c>
      <c r="D31824" s="1" t="str">
        <f>HYPERLINK("https://rhld.insurance.arkansas.gov/NPILookup?Npi=1801801907","1801801907")</f>
        <v>1801801907</v>
      </c>
      <c r="E31824" t="s">
        <v>10066</v>
      </c>
    </row>
    <row r="31825" spans="1:5" x14ac:dyDescent="0.25">
      <c r="A31825" t="s">
        <v>10058</v>
      </c>
      <c r="B31825" t="s">
        <v>10059</v>
      </c>
      <c r="C31825" s="1" t="s">
        <v>23490</v>
      </c>
      <c r="D31825" s="1" t="str">
        <f>HYPERLINK("https://rhld.insurance.arkansas.gov/NPILookup?Npi=1801803846","1801803846")</f>
        <v>1801803846</v>
      </c>
      <c r="E31825" t="s">
        <v>10284</v>
      </c>
    </row>
    <row r="31826" spans="1:5" x14ac:dyDescent="0.25">
      <c r="A31826" t="s">
        <v>10058</v>
      </c>
      <c r="B31826" t="s">
        <v>10059</v>
      </c>
      <c r="C31826" s="1" t="s">
        <v>23490</v>
      </c>
      <c r="D31826" s="1" t="str">
        <f>HYPERLINK("https://rhld.insurance.arkansas.gov/NPILookup?Npi=1801808837","1801808837")</f>
        <v>1801808837</v>
      </c>
      <c r="E31826" t="s">
        <v>13323</v>
      </c>
    </row>
    <row r="31827" spans="1:5" x14ac:dyDescent="0.25">
      <c r="A31827" t="s">
        <v>10058</v>
      </c>
      <c r="B31827" t="s">
        <v>10059</v>
      </c>
      <c r="C31827" s="1" t="s">
        <v>23490</v>
      </c>
      <c r="D31827" s="1" t="str">
        <f>HYPERLINK("https://rhld.insurance.arkansas.gov/NPILookup?Npi=1801816616","1801816616")</f>
        <v>1801816616</v>
      </c>
      <c r="E31827" t="s">
        <v>10473</v>
      </c>
    </row>
    <row r="31828" spans="1:5" x14ac:dyDescent="0.25">
      <c r="A31828" t="s">
        <v>10058</v>
      </c>
      <c r="B31828" t="s">
        <v>10059</v>
      </c>
      <c r="C31828" s="1" t="s">
        <v>23490</v>
      </c>
      <c r="D31828" s="1" t="str">
        <f>HYPERLINK("https://rhld.insurance.arkansas.gov/NPILookup?Npi=1801818554","1801818554")</f>
        <v>1801818554</v>
      </c>
      <c r="E31828" t="s">
        <v>10081</v>
      </c>
    </row>
    <row r="31829" spans="1:5" x14ac:dyDescent="0.25">
      <c r="A31829" t="s">
        <v>10058</v>
      </c>
      <c r="B31829" t="s">
        <v>10059</v>
      </c>
      <c r="C31829" s="1" t="s">
        <v>23490</v>
      </c>
      <c r="D31829" s="1" t="str">
        <f>HYPERLINK("https://rhld.insurance.arkansas.gov/NPILookup?Npi=1801819818","1801819818")</f>
        <v>1801819818</v>
      </c>
      <c r="E31829" t="s">
        <v>7560</v>
      </c>
    </row>
    <row r="31830" spans="1:5" x14ac:dyDescent="0.25">
      <c r="A31830" t="s">
        <v>10058</v>
      </c>
      <c r="B31830" t="s">
        <v>10059</v>
      </c>
      <c r="C31830" s="1" t="s">
        <v>23490</v>
      </c>
      <c r="D31830" s="1" t="str">
        <f>HYPERLINK("https://rhld.insurance.arkansas.gov/NPILookup?Npi=1801885041","1801885041")</f>
        <v>1801885041</v>
      </c>
      <c r="E31830" t="s">
        <v>10474</v>
      </c>
    </row>
    <row r="31831" spans="1:5" x14ac:dyDescent="0.25">
      <c r="A31831" t="s">
        <v>10058</v>
      </c>
      <c r="B31831" t="s">
        <v>10059</v>
      </c>
      <c r="C31831" s="1" t="s">
        <v>23490</v>
      </c>
      <c r="D31831" s="1" t="str">
        <f>HYPERLINK("https://rhld.insurance.arkansas.gov/NPILookup?Npi=1801895842","1801895842")</f>
        <v>1801895842</v>
      </c>
      <c r="E31831" t="s">
        <v>10475</v>
      </c>
    </row>
    <row r="31832" spans="1:5" x14ac:dyDescent="0.25">
      <c r="A31832" t="s">
        <v>10058</v>
      </c>
      <c r="B31832" t="s">
        <v>10059</v>
      </c>
      <c r="C31832" s="1" t="s">
        <v>23490</v>
      </c>
      <c r="D31832" s="1" t="str">
        <f>HYPERLINK("https://rhld.insurance.arkansas.gov/NPILookup?Npi=1801908892","1801908892")</f>
        <v>1801908892</v>
      </c>
      <c r="E31832" t="s">
        <v>10476</v>
      </c>
    </row>
    <row r="31833" spans="1:5" x14ac:dyDescent="0.25">
      <c r="A31833" t="s">
        <v>10058</v>
      </c>
      <c r="B31833" t="s">
        <v>10059</v>
      </c>
      <c r="C31833" s="1" t="s">
        <v>23490</v>
      </c>
      <c r="D31833" s="1" t="str">
        <f>HYPERLINK("https://rhld.insurance.arkansas.gov/NPILookup?Npi=1801922216","1801922216")</f>
        <v>1801922216</v>
      </c>
      <c r="E31833" t="s">
        <v>10477</v>
      </c>
    </row>
    <row r="31834" spans="1:5" x14ac:dyDescent="0.25">
      <c r="A31834" t="s">
        <v>10058</v>
      </c>
      <c r="B31834" t="s">
        <v>10059</v>
      </c>
      <c r="C31834" s="1" t="s">
        <v>23490</v>
      </c>
      <c r="D31834" s="1" t="str">
        <f>HYPERLINK("https://rhld.insurance.arkansas.gov/NPILookup?Npi=1801966981","1801966981")</f>
        <v>1801966981</v>
      </c>
      <c r="E31834" t="s">
        <v>10310</v>
      </c>
    </row>
    <row r="31835" spans="1:5" x14ac:dyDescent="0.25">
      <c r="A31835" t="s">
        <v>10058</v>
      </c>
      <c r="B31835" t="s">
        <v>10059</v>
      </c>
      <c r="C31835" s="1" t="s">
        <v>23490</v>
      </c>
      <c r="D31835" s="1" t="str">
        <f>HYPERLINK("https://rhld.insurance.arkansas.gov/NPILookup?Npi=1801970413","1801970413")</f>
        <v>1801970413</v>
      </c>
      <c r="E31835" t="s">
        <v>10478</v>
      </c>
    </row>
    <row r="31836" spans="1:5" x14ac:dyDescent="0.25">
      <c r="A31836" t="s">
        <v>10058</v>
      </c>
      <c r="B31836" t="s">
        <v>10059</v>
      </c>
      <c r="C31836" s="1" t="s">
        <v>23490</v>
      </c>
      <c r="D31836" s="1" t="str">
        <f>HYPERLINK("https://rhld.insurance.arkansas.gov/NPILookup?Npi=1801985452","1801985452")</f>
        <v>1801985452</v>
      </c>
      <c r="E31836" t="s">
        <v>10479</v>
      </c>
    </row>
    <row r="31837" spans="1:5" x14ac:dyDescent="0.25">
      <c r="A31837" t="s">
        <v>10058</v>
      </c>
      <c r="B31837" t="s">
        <v>10059</v>
      </c>
      <c r="C31837" s="1" t="s">
        <v>23490</v>
      </c>
      <c r="D31837" s="1" t="str">
        <f>HYPERLINK("https://rhld.insurance.arkansas.gov/NPILookup?Npi=1811026156","1811026156")</f>
        <v>1811026156</v>
      </c>
      <c r="E31837" t="s">
        <v>10480</v>
      </c>
    </row>
    <row r="31838" spans="1:5" x14ac:dyDescent="0.25">
      <c r="A31838" t="s">
        <v>10058</v>
      </c>
      <c r="B31838" t="s">
        <v>10059</v>
      </c>
      <c r="C31838" s="1" t="s">
        <v>23490</v>
      </c>
      <c r="D31838" s="1" t="str">
        <f>HYPERLINK("https://rhld.insurance.arkansas.gov/NPILookup?Npi=1811031446","1811031446")</f>
        <v>1811031446</v>
      </c>
      <c r="E31838" t="s">
        <v>10481</v>
      </c>
    </row>
    <row r="31839" spans="1:5" x14ac:dyDescent="0.25">
      <c r="A31839" t="s">
        <v>10058</v>
      </c>
      <c r="B31839" t="s">
        <v>10059</v>
      </c>
      <c r="C31839" s="1" t="s">
        <v>23490</v>
      </c>
      <c r="D31839" s="1" t="str">
        <f>HYPERLINK("https://rhld.insurance.arkansas.gov/NPILookup?Npi=1811054521","1811054521")</f>
        <v>1811054521</v>
      </c>
      <c r="E31839" t="s">
        <v>10137</v>
      </c>
    </row>
    <row r="31840" spans="1:5" x14ac:dyDescent="0.25">
      <c r="A31840" t="s">
        <v>10058</v>
      </c>
      <c r="B31840" t="s">
        <v>10059</v>
      </c>
      <c r="C31840" s="1" t="s">
        <v>23490</v>
      </c>
      <c r="D31840" s="1" t="str">
        <f>HYPERLINK("https://rhld.insurance.arkansas.gov/NPILookup?Npi=1811237316","1811237316")</f>
        <v>1811237316</v>
      </c>
      <c r="E31840" t="s">
        <v>10482</v>
      </c>
    </row>
    <row r="31841" spans="1:5" x14ac:dyDescent="0.25">
      <c r="A31841" t="s">
        <v>10058</v>
      </c>
      <c r="B31841" t="s">
        <v>10059</v>
      </c>
      <c r="C31841" s="1" t="s">
        <v>23490</v>
      </c>
      <c r="D31841" s="1" t="str">
        <f>HYPERLINK("https://rhld.insurance.arkansas.gov/NPILookup?Npi=1811414972","1811414972")</f>
        <v>1811414972</v>
      </c>
      <c r="E31841" t="s">
        <v>22809</v>
      </c>
    </row>
    <row r="31842" spans="1:5" x14ac:dyDescent="0.25">
      <c r="A31842" t="s">
        <v>10058</v>
      </c>
      <c r="B31842" t="s">
        <v>10059</v>
      </c>
      <c r="C31842" s="1" t="s">
        <v>23490</v>
      </c>
      <c r="D31842" s="1" t="str">
        <f>HYPERLINK("https://rhld.insurance.arkansas.gov/NPILookup?Npi=1811546021","1811546021")</f>
        <v>1811546021</v>
      </c>
      <c r="E31842" t="s">
        <v>19298</v>
      </c>
    </row>
    <row r="31843" spans="1:5" x14ac:dyDescent="0.25">
      <c r="A31843" t="s">
        <v>10058</v>
      </c>
      <c r="B31843" t="s">
        <v>10059</v>
      </c>
      <c r="C31843" s="1" t="s">
        <v>23490</v>
      </c>
      <c r="D31843" s="1" t="str">
        <f>HYPERLINK("https://rhld.insurance.arkansas.gov/NPILookup?Npi=1811553100","1811553100")</f>
        <v>1811553100</v>
      </c>
      <c r="E31843" t="s">
        <v>16841</v>
      </c>
    </row>
    <row r="31844" spans="1:5" x14ac:dyDescent="0.25">
      <c r="A31844" t="s">
        <v>10058</v>
      </c>
      <c r="B31844" t="s">
        <v>10059</v>
      </c>
      <c r="C31844" s="1" t="s">
        <v>23490</v>
      </c>
      <c r="D31844" s="1" t="str">
        <f>HYPERLINK("https://rhld.insurance.arkansas.gov/NPILookup?Npi=1811902091","1811902091")</f>
        <v>1811902091</v>
      </c>
      <c r="E31844" t="s">
        <v>10483</v>
      </c>
    </row>
    <row r="31845" spans="1:5" x14ac:dyDescent="0.25">
      <c r="A31845" t="s">
        <v>10058</v>
      </c>
      <c r="B31845" t="s">
        <v>10059</v>
      </c>
      <c r="C31845" s="1" t="s">
        <v>23490</v>
      </c>
      <c r="D31845" s="1" t="str">
        <f>HYPERLINK("https://rhld.insurance.arkansas.gov/NPILookup?Npi=1811902174","1811902174")</f>
        <v>1811902174</v>
      </c>
      <c r="E31845" t="s">
        <v>10066</v>
      </c>
    </row>
    <row r="31846" spans="1:5" x14ac:dyDescent="0.25">
      <c r="A31846" t="s">
        <v>10058</v>
      </c>
      <c r="B31846" t="s">
        <v>10059</v>
      </c>
      <c r="C31846" s="1" t="s">
        <v>23490</v>
      </c>
      <c r="D31846" s="1" t="str">
        <f>HYPERLINK("https://rhld.insurance.arkansas.gov/NPILookup?Npi=1811914302","1811914302")</f>
        <v>1811914302</v>
      </c>
      <c r="E31846" t="s">
        <v>13312</v>
      </c>
    </row>
    <row r="31847" spans="1:5" x14ac:dyDescent="0.25">
      <c r="A31847" t="s">
        <v>10058</v>
      </c>
      <c r="B31847" t="s">
        <v>10059</v>
      </c>
      <c r="C31847" s="1" t="s">
        <v>23490</v>
      </c>
      <c r="D31847" s="1" t="str">
        <f>HYPERLINK("https://rhld.insurance.arkansas.gov/NPILookup?Npi=1811915390","1811915390")</f>
        <v>1811915390</v>
      </c>
      <c r="E31847" t="s">
        <v>10060</v>
      </c>
    </row>
    <row r="31848" spans="1:5" x14ac:dyDescent="0.25">
      <c r="A31848" t="s">
        <v>10058</v>
      </c>
      <c r="B31848" t="s">
        <v>10059</v>
      </c>
      <c r="C31848" s="1" t="s">
        <v>23490</v>
      </c>
      <c r="D31848" s="1" t="str">
        <f>HYPERLINK("https://rhld.insurance.arkansas.gov/NPILookup?Npi=1811962889","1811962889")</f>
        <v>1811962889</v>
      </c>
      <c r="E31848" t="s">
        <v>10135</v>
      </c>
    </row>
    <row r="31849" spans="1:5" x14ac:dyDescent="0.25">
      <c r="A31849" t="s">
        <v>10058</v>
      </c>
      <c r="B31849" t="s">
        <v>10059</v>
      </c>
      <c r="C31849" s="1" t="s">
        <v>23490</v>
      </c>
      <c r="D31849" s="1" t="str">
        <f>HYPERLINK("https://rhld.insurance.arkansas.gov/NPILookup?Npi=1811983406","1811983406")</f>
        <v>1811983406</v>
      </c>
      <c r="E31849" t="s">
        <v>10484</v>
      </c>
    </row>
    <row r="31850" spans="1:5" x14ac:dyDescent="0.25">
      <c r="A31850" t="s">
        <v>10058</v>
      </c>
      <c r="B31850" t="s">
        <v>10059</v>
      </c>
      <c r="C31850" s="1" t="s">
        <v>23490</v>
      </c>
      <c r="D31850" s="1" t="str">
        <f>HYPERLINK("https://rhld.insurance.arkansas.gov/NPILookup?Npi=1821003088","1821003088")</f>
        <v>1821003088</v>
      </c>
      <c r="E31850" t="s">
        <v>10066</v>
      </c>
    </row>
    <row r="31851" spans="1:5" x14ac:dyDescent="0.25">
      <c r="A31851" t="s">
        <v>10058</v>
      </c>
      <c r="B31851" t="s">
        <v>10059</v>
      </c>
      <c r="C31851" s="1" t="s">
        <v>23490</v>
      </c>
      <c r="D31851" s="1" t="str">
        <f>HYPERLINK("https://rhld.insurance.arkansas.gov/NPILookup?Npi=1821003187","1821003187")</f>
        <v>1821003187</v>
      </c>
      <c r="E31851" t="s">
        <v>10066</v>
      </c>
    </row>
    <row r="31852" spans="1:5" x14ac:dyDescent="0.25">
      <c r="A31852" t="s">
        <v>10058</v>
      </c>
      <c r="B31852" t="s">
        <v>10059</v>
      </c>
      <c r="C31852" s="1" t="s">
        <v>23490</v>
      </c>
      <c r="D31852" s="1" t="str">
        <f>HYPERLINK("https://rhld.insurance.arkansas.gov/NPILookup?Npi=1821003435","1821003435")</f>
        <v>1821003435</v>
      </c>
      <c r="E31852" t="s">
        <v>12754</v>
      </c>
    </row>
    <row r="31853" spans="1:5" x14ac:dyDescent="0.25">
      <c r="A31853" t="s">
        <v>10058</v>
      </c>
      <c r="B31853" t="s">
        <v>10059</v>
      </c>
      <c r="C31853" s="1" t="s">
        <v>23490</v>
      </c>
      <c r="D31853" s="1" t="str">
        <f>HYPERLINK("https://rhld.insurance.arkansas.gov/NPILookup?Npi=1821005836","1821005836")</f>
        <v>1821005836</v>
      </c>
      <c r="E31853" t="s">
        <v>10066</v>
      </c>
    </row>
    <row r="31854" spans="1:5" x14ac:dyDescent="0.25">
      <c r="A31854" t="s">
        <v>10058</v>
      </c>
      <c r="B31854" t="s">
        <v>10059</v>
      </c>
      <c r="C31854" s="1" t="s">
        <v>23490</v>
      </c>
      <c r="D31854" s="1" t="str">
        <f>HYPERLINK("https://rhld.insurance.arkansas.gov/NPILookup?Npi=1821015066","1821015066")</f>
        <v>1821015066</v>
      </c>
      <c r="E31854" t="s">
        <v>10127</v>
      </c>
    </row>
    <row r="31855" spans="1:5" x14ac:dyDescent="0.25">
      <c r="A31855" t="s">
        <v>10058</v>
      </c>
      <c r="B31855" t="s">
        <v>10059</v>
      </c>
      <c r="C31855" s="1" t="s">
        <v>23490</v>
      </c>
      <c r="D31855" s="1" t="str">
        <f>HYPERLINK("https://rhld.insurance.arkansas.gov/NPILookup?Npi=1821016304","1821016304")</f>
        <v>1821016304</v>
      </c>
      <c r="E31855" t="s">
        <v>10060</v>
      </c>
    </row>
    <row r="31856" spans="1:5" x14ac:dyDescent="0.25">
      <c r="A31856" t="s">
        <v>10058</v>
      </c>
      <c r="B31856" t="s">
        <v>10059</v>
      </c>
      <c r="C31856" s="1" t="s">
        <v>23490</v>
      </c>
      <c r="D31856" s="1" t="str">
        <f>HYPERLINK("https://rhld.insurance.arkansas.gov/NPILookup?Npi=1821018417","1821018417")</f>
        <v>1821018417</v>
      </c>
      <c r="E31856" t="s">
        <v>22864</v>
      </c>
    </row>
    <row r="31857" spans="1:5" x14ac:dyDescent="0.25">
      <c r="A31857" t="s">
        <v>10058</v>
      </c>
      <c r="B31857" t="s">
        <v>10059</v>
      </c>
      <c r="C31857" s="1" t="s">
        <v>23490</v>
      </c>
      <c r="D31857" s="1" t="str">
        <f>HYPERLINK("https://rhld.insurance.arkansas.gov/NPILookup?Npi=1821083619","1821083619")</f>
        <v>1821083619</v>
      </c>
      <c r="E31857" t="s">
        <v>10066</v>
      </c>
    </row>
    <row r="31858" spans="1:5" x14ac:dyDescent="0.25">
      <c r="A31858" t="s">
        <v>10058</v>
      </c>
      <c r="B31858" t="s">
        <v>10059</v>
      </c>
      <c r="C31858" s="1" t="s">
        <v>23490</v>
      </c>
      <c r="D31858" s="1" t="str">
        <f>HYPERLINK("https://rhld.insurance.arkansas.gov/NPILookup?Npi=1821102815","1821102815")</f>
        <v>1821102815</v>
      </c>
      <c r="E31858" t="s">
        <v>10485</v>
      </c>
    </row>
    <row r="31859" spans="1:5" x14ac:dyDescent="0.25">
      <c r="A31859" t="s">
        <v>10058</v>
      </c>
      <c r="B31859" t="s">
        <v>10059</v>
      </c>
      <c r="C31859" s="1" t="s">
        <v>23490</v>
      </c>
      <c r="D31859" s="1" t="str">
        <f>HYPERLINK("https://rhld.insurance.arkansas.gov/NPILookup?Npi=1821130618","1821130618")</f>
        <v>1821130618</v>
      </c>
      <c r="E31859" t="s">
        <v>10486</v>
      </c>
    </row>
    <row r="31860" spans="1:5" x14ac:dyDescent="0.25">
      <c r="A31860" t="s">
        <v>10058</v>
      </c>
      <c r="B31860" t="s">
        <v>10059</v>
      </c>
      <c r="C31860" s="1" t="s">
        <v>23490</v>
      </c>
      <c r="D31860" s="1" t="str">
        <f>HYPERLINK("https://rhld.insurance.arkansas.gov/NPILookup?Npi=1821181264","1821181264")</f>
        <v>1821181264</v>
      </c>
      <c r="E31860" t="s">
        <v>10487</v>
      </c>
    </row>
    <row r="31861" spans="1:5" x14ac:dyDescent="0.25">
      <c r="A31861" t="s">
        <v>10058</v>
      </c>
      <c r="B31861" t="s">
        <v>10059</v>
      </c>
      <c r="C31861" s="1" t="s">
        <v>23490</v>
      </c>
      <c r="D31861" s="1" t="str">
        <f>HYPERLINK("https://rhld.insurance.arkansas.gov/NPILookup?Npi=1821255977","1821255977")</f>
        <v>1821255977</v>
      </c>
      <c r="E31861" t="s">
        <v>10066</v>
      </c>
    </row>
    <row r="31862" spans="1:5" x14ac:dyDescent="0.25">
      <c r="A31862" t="s">
        <v>10058</v>
      </c>
      <c r="B31862" t="s">
        <v>10059</v>
      </c>
      <c r="C31862" s="1" t="s">
        <v>23490</v>
      </c>
      <c r="D31862" s="1" t="str">
        <f>HYPERLINK("https://rhld.insurance.arkansas.gov/NPILookup?Npi=1821335845","1821335845")</f>
        <v>1821335845</v>
      </c>
      <c r="E31862" t="s">
        <v>10488</v>
      </c>
    </row>
    <row r="31863" spans="1:5" x14ac:dyDescent="0.25">
      <c r="A31863" t="s">
        <v>10058</v>
      </c>
      <c r="B31863" t="s">
        <v>10059</v>
      </c>
      <c r="C31863" s="1" t="s">
        <v>23490</v>
      </c>
      <c r="D31863" s="1" t="str">
        <f>HYPERLINK("https://rhld.insurance.arkansas.gov/NPILookup?Npi=1821404468","1821404468")</f>
        <v>1821404468</v>
      </c>
      <c r="E31863" t="s">
        <v>13312</v>
      </c>
    </row>
    <row r="31864" spans="1:5" x14ac:dyDescent="0.25">
      <c r="A31864" t="s">
        <v>10058</v>
      </c>
      <c r="B31864" t="s">
        <v>10059</v>
      </c>
      <c r="C31864" s="1" t="s">
        <v>23490</v>
      </c>
      <c r="D31864" s="1" t="str">
        <f>HYPERLINK("https://rhld.insurance.arkansas.gov/NPILookup?Npi=1821421520","1821421520")</f>
        <v>1821421520</v>
      </c>
      <c r="E31864" t="s">
        <v>10081</v>
      </c>
    </row>
    <row r="31865" spans="1:5" x14ac:dyDescent="0.25">
      <c r="A31865" t="s">
        <v>10058</v>
      </c>
      <c r="B31865" t="s">
        <v>10059</v>
      </c>
      <c r="C31865" s="1" t="s">
        <v>23490</v>
      </c>
      <c r="D31865" s="1" t="str">
        <f>HYPERLINK("https://rhld.insurance.arkansas.gov/NPILookup?Npi=1821460163","1821460163")</f>
        <v>1821460163</v>
      </c>
      <c r="E31865" t="s">
        <v>10078</v>
      </c>
    </row>
    <row r="31866" spans="1:5" x14ac:dyDescent="0.25">
      <c r="A31866" t="s">
        <v>10058</v>
      </c>
      <c r="B31866" t="s">
        <v>10059</v>
      </c>
      <c r="C31866" s="1" t="s">
        <v>23490</v>
      </c>
      <c r="D31866" s="1" t="str">
        <f>HYPERLINK("https://rhld.insurance.arkansas.gov/NPILookup?Npi=1821475195","1821475195")</f>
        <v>1821475195</v>
      </c>
      <c r="E31866" t="s">
        <v>13312</v>
      </c>
    </row>
    <row r="31867" spans="1:5" x14ac:dyDescent="0.25">
      <c r="A31867" t="s">
        <v>10058</v>
      </c>
      <c r="B31867" t="s">
        <v>10059</v>
      </c>
      <c r="C31867" s="1" t="s">
        <v>23490</v>
      </c>
      <c r="D31867" s="1" t="str">
        <f>HYPERLINK("https://rhld.insurance.arkansas.gov/NPILookup?Npi=1821537929","1821537929")</f>
        <v>1821537929</v>
      </c>
      <c r="E31867" t="s">
        <v>14670</v>
      </c>
    </row>
    <row r="31868" spans="1:5" x14ac:dyDescent="0.25">
      <c r="A31868" t="s">
        <v>10058</v>
      </c>
      <c r="B31868" t="s">
        <v>10059</v>
      </c>
      <c r="C31868" s="1" t="s">
        <v>23490</v>
      </c>
      <c r="D31868" s="1" t="str">
        <f>HYPERLINK("https://rhld.insurance.arkansas.gov/NPILookup?Npi=1821612326","1821612326")</f>
        <v>1821612326</v>
      </c>
      <c r="E31868" t="s">
        <v>19299</v>
      </c>
    </row>
    <row r="31869" spans="1:5" x14ac:dyDescent="0.25">
      <c r="A31869" t="s">
        <v>10058</v>
      </c>
      <c r="B31869" t="s">
        <v>10059</v>
      </c>
      <c r="C31869" s="1" t="s">
        <v>23490</v>
      </c>
      <c r="D31869" s="1" t="str">
        <f>HYPERLINK("https://rhld.insurance.arkansas.gov/NPILookup?Npi=1831116334","1831116334")</f>
        <v>1831116334</v>
      </c>
      <c r="E31869" t="s">
        <v>13312</v>
      </c>
    </row>
    <row r="31870" spans="1:5" x14ac:dyDescent="0.25">
      <c r="A31870" t="s">
        <v>10058</v>
      </c>
      <c r="B31870" t="s">
        <v>10059</v>
      </c>
      <c r="C31870" s="1" t="s">
        <v>23490</v>
      </c>
      <c r="D31870" s="1" t="str">
        <f>HYPERLINK("https://rhld.insurance.arkansas.gov/NPILookup?Npi=1831123561","1831123561")</f>
        <v>1831123561</v>
      </c>
      <c r="E31870" t="s">
        <v>10067</v>
      </c>
    </row>
    <row r="31871" spans="1:5" x14ac:dyDescent="0.25">
      <c r="A31871" t="s">
        <v>10058</v>
      </c>
      <c r="B31871" t="s">
        <v>10059</v>
      </c>
      <c r="C31871" s="1" t="s">
        <v>23490</v>
      </c>
      <c r="D31871" s="1" t="str">
        <f>HYPERLINK("https://rhld.insurance.arkansas.gov/NPILookup?Npi=1831194703","1831194703")</f>
        <v>1831194703</v>
      </c>
      <c r="E31871" t="s">
        <v>10489</v>
      </c>
    </row>
    <row r="31872" spans="1:5" x14ac:dyDescent="0.25">
      <c r="A31872" t="s">
        <v>10058</v>
      </c>
      <c r="B31872" t="s">
        <v>10059</v>
      </c>
      <c r="C31872" s="1" t="s">
        <v>23490</v>
      </c>
      <c r="D31872" s="1" t="str">
        <f>HYPERLINK("https://rhld.insurance.arkansas.gov/NPILookup?Npi=1831274125","1831274125")</f>
        <v>1831274125</v>
      </c>
      <c r="E31872" t="s">
        <v>13325</v>
      </c>
    </row>
    <row r="31873" spans="1:5" x14ac:dyDescent="0.25">
      <c r="A31873" t="s">
        <v>10058</v>
      </c>
      <c r="B31873" t="s">
        <v>10059</v>
      </c>
      <c r="C31873" s="1" t="s">
        <v>23490</v>
      </c>
      <c r="D31873" s="1" t="str">
        <f>HYPERLINK("https://rhld.insurance.arkansas.gov/NPILookup?Npi=1831280742","1831280742")</f>
        <v>1831280742</v>
      </c>
      <c r="E31873" t="s">
        <v>10490</v>
      </c>
    </row>
    <row r="31874" spans="1:5" x14ac:dyDescent="0.25">
      <c r="A31874" t="s">
        <v>10058</v>
      </c>
      <c r="B31874" t="s">
        <v>10059</v>
      </c>
      <c r="C31874" s="1" t="s">
        <v>23490</v>
      </c>
      <c r="D31874" s="1" t="str">
        <f>HYPERLINK("https://rhld.insurance.arkansas.gov/NPILookup?Npi=1831306489","1831306489")</f>
        <v>1831306489</v>
      </c>
      <c r="E31874" t="s">
        <v>10491</v>
      </c>
    </row>
    <row r="31875" spans="1:5" x14ac:dyDescent="0.25">
      <c r="A31875" t="s">
        <v>10058</v>
      </c>
      <c r="B31875" t="s">
        <v>10059</v>
      </c>
      <c r="C31875" s="1" t="s">
        <v>23490</v>
      </c>
      <c r="D31875" s="1" t="str">
        <f>HYPERLINK("https://rhld.insurance.arkansas.gov/NPILookup?Npi=1831327022","1831327022")</f>
        <v>1831327022</v>
      </c>
      <c r="E31875" t="s">
        <v>10492</v>
      </c>
    </row>
    <row r="31876" spans="1:5" x14ac:dyDescent="0.25">
      <c r="A31876" t="s">
        <v>10058</v>
      </c>
      <c r="B31876" t="s">
        <v>10059</v>
      </c>
      <c r="C31876" s="1" t="s">
        <v>23490</v>
      </c>
      <c r="D31876" s="1" t="str">
        <f>HYPERLINK("https://rhld.insurance.arkansas.gov/NPILookup?Npi=1831435452","1831435452")</f>
        <v>1831435452</v>
      </c>
      <c r="E31876" t="s">
        <v>18617</v>
      </c>
    </row>
    <row r="31877" spans="1:5" x14ac:dyDescent="0.25">
      <c r="A31877" t="s">
        <v>10058</v>
      </c>
      <c r="B31877" t="s">
        <v>10059</v>
      </c>
      <c r="C31877" s="1" t="s">
        <v>23490</v>
      </c>
      <c r="D31877" s="1" t="str">
        <f>HYPERLINK("https://rhld.insurance.arkansas.gov/NPILookup?Npi=1831484146","1831484146")</f>
        <v>1831484146</v>
      </c>
      <c r="E31877" t="s">
        <v>10493</v>
      </c>
    </row>
    <row r="31878" spans="1:5" x14ac:dyDescent="0.25">
      <c r="A31878" t="s">
        <v>10058</v>
      </c>
      <c r="B31878" t="s">
        <v>10059</v>
      </c>
      <c r="C31878" s="1" t="s">
        <v>23490</v>
      </c>
      <c r="D31878" s="1" t="str">
        <f>HYPERLINK("https://rhld.insurance.arkansas.gov/NPILookup?Npi=1831490531","1831490531")</f>
        <v>1831490531</v>
      </c>
      <c r="E31878" t="s">
        <v>10494</v>
      </c>
    </row>
    <row r="31879" spans="1:5" x14ac:dyDescent="0.25">
      <c r="A31879" t="s">
        <v>10058</v>
      </c>
      <c r="B31879" t="s">
        <v>10059</v>
      </c>
      <c r="C31879" s="1" t="s">
        <v>23490</v>
      </c>
      <c r="D31879" s="1" t="str">
        <f>HYPERLINK("https://rhld.insurance.arkansas.gov/NPILookup?Npi=1831504257","1831504257")</f>
        <v>1831504257</v>
      </c>
      <c r="E31879" t="s">
        <v>10063</v>
      </c>
    </row>
    <row r="31880" spans="1:5" x14ac:dyDescent="0.25">
      <c r="A31880" t="s">
        <v>10058</v>
      </c>
      <c r="B31880" t="s">
        <v>10059</v>
      </c>
      <c r="C31880" s="1" t="s">
        <v>23490</v>
      </c>
      <c r="D31880" s="1" t="str">
        <f>HYPERLINK("https://rhld.insurance.arkansas.gov/NPILookup?Npi=1831536283","1831536283")</f>
        <v>1831536283</v>
      </c>
      <c r="E31880" t="s">
        <v>10495</v>
      </c>
    </row>
    <row r="31881" spans="1:5" x14ac:dyDescent="0.25">
      <c r="A31881" t="s">
        <v>10058</v>
      </c>
      <c r="B31881" t="s">
        <v>10059</v>
      </c>
      <c r="C31881" s="1" t="s">
        <v>23490</v>
      </c>
      <c r="D31881" s="1" t="str">
        <f>HYPERLINK("https://rhld.insurance.arkansas.gov/NPILookup?Npi=1831599489","1831599489")</f>
        <v>1831599489</v>
      </c>
      <c r="E31881" t="s">
        <v>10066</v>
      </c>
    </row>
    <row r="31882" spans="1:5" x14ac:dyDescent="0.25">
      <c r="A31882" t="s">
        <v>10058</v>
      </c>
      <c r="B31882" t="s">
        <v>10059</v>
      </c>
      <c r="C31882" s="1" t="s">
        <v>23490</v>
      </c>
      <c r="D31882" s="1" t="str">
        <f>HYPERLINK("https://rhld.insurance.arkansas.gov/NPILookup?Npi=1831664564","1831664564")</f>
        <v>1831664564</v>
      </c>
      <c r="E31882" t="s">
        <v>14671</v>
      </c>
    </row>
    <row r="31883" spans="1:5" x14ac:dyDescent="0.25">
      <c r="A31883" t="s">
        <v>10058</v>
      </c>
      <c r="B31883" t="s">
        <v>10059</v>
      </c>
      <c r="C31883" s="1" t="s">
        <v>23490</v>
      </c>
      <c r="D31883" s="1" t="str">
        <f>HYPERLINK("https://rhld.insurance.arkansas.gov/NPILookup?Npi=1831759646","1831759646")</f>
        <v>1831759646</v>
      </c>
      <c r="E31883" t="s">
        <v>10270</v>
      </c>
    </row>
    <row r="31884" spans="1:5" x14ac:dyDescent="0.25">
      <c r="A31884" t="s">
        <v>10058</v>
      </c>
      <c r="B31884" t="s">
        <v>10059</v>
      </c>
      <c r="C31884" s="1" t="s">
        <v>23490</v>
      </c>
      <c r="D31884" s="1" t="str">
        <f>HYPERLINK("https://rhld.insurance.arkansas.gov/NPILookup?Npi=1841275260","1841275260")</f>
        <v>1841275260</v>
      </c>
      <c r="E31884" t="s">
        <v>10496</v>
      </c>
    </row>
    <row r="31885" spans="1:5" x14ac:dyDescent="0.25">
      <c r="A31885" t="s">
        <v>10058</v>
      </c>
      <c r="B31885" t="s">
        <v>10059</v>
      </c>
      <c r="C31885" s="1" t="s">
        <v>23490</v>
      </c>
      <c r="D31885" s="1" t="str">
        <f>HYPERLINK("https://rhld.insurance.arkansas.gov/NPILookup?Npi=1841282662","1841282662")</f>
        <v>1841282662</v>
      </c>
      <c r="E31885" t="s">
        <v>10497</v>
      </c>
    </row>
    <row r="31886" spans="1:5" x14ac:dyDescent="0.25">
      <c r="A31886" t="s">
        <v>10058</v>
      </c>
      <c r="B31886" t="s">
        <v>10059</v>
      </c>
      <c r="C31886" s="1" t="s">
        <v>23490</v>
      </c>
      <c r="D31886" s="1" t="str">
        <f>HYPERLINK("https://rhld.insurance.arkansas.gov/NPILookup?Npi=1841291150","1841291150")</f>
        <v>1841291150</v>
      </c>
      <c r="E31886" t="s">
        <v>10498</v>
      </c>
    </row>
    <row r="31887" spans="1:5" x14ac:dyDescent="0.25">
      <c r="A31887" t="s">
        <v>10058</v>
      </c>
      <c r="B31887" t="s">
        <v>10059</v>
      </c>
      <c r="C31887" s="1" t="s">
        <v>23490</v>
      </c>
      <c r="D31887" s="1" t="str">
        <f>HYPERLINK("https://rhld.insurance.arkansas.gov/NPILookup?Npi=1841321940","1841321940")</f>
        <v>1841321940</v>
      </c>
      <c r="E31887" t="s">
        <v>23387</v>
      </c>
    </row>
    <row r="31888" spans="1:5" x14ac:dyDescent="0.25">
      <c r="A31888" t="s">
        <v>10058</v>
      </c>
      <c r="B31888" t="s">
        <v>10059</v>
      </c>
      <c r="C31888" s="1" t="s">
        <v>23490</v>
      </c>
      <c r="D31888" s="1" t="str">
        <f>HYPERLINK("https://rhld.insurance.arkansas.gov/NPILookup?Npi=1841339645","1841339645")</f>
        <v>1841339645</v>
      </c>
      <c r="E31888" t="s">
        <v>10500</v>
      </c>
    </row>
    <row r="31889" spans="1:5" x14ac:dyDescent="0.25">
      <c r="A31889" t="s">
        <v>10058</v>
      </c>
      <c r="B31889" t="s">
        <v>10059</v>
      </c>
      <c r="C31889" s="1" t="s">
        <v>23490</v>
      </c>
      <c r="D31889" s="1" t="str">
        <f>HYPERLINK("https://rhld.insurance.arkansas.gov/NPILookup?Npi=1841351731","1841351731")</f>
        <v>1841351731</v>
      </c>
      <c r="E31889" t="s">
        <v>10163</v>
      </c>
    </row>
    <row r="31890" spans="1:5" x14ac:dyDescent="0.25">
      <c r="A31890" t="s">
        <v>10058</v>
      </c>
      <c r="B31890" t="s">
        <v>10059</v>
      </c>
      <c r="C31890" s="1" t="s">
        <v>23490</v>
      </c>
      <c r="D31890" s="1" t="str">
        <f>HYPERLINK("https://rhld.insurance.arkansas.gov/NPILookup?Npi=1841356870","1841356870")</f>
        <v>1841356870</v>
      </c>
      <c r="E31890" t="s">
        <v>10501</v>
      </c>
    </row>
    <row r="31891" spans="1:5" x14ac:dyDescent="0.25">
      <c r="A31891" t="s">
        <v>10058</v>
      </c>
      <c r="B31891" t="s">
        <v>10059</v>
      </c>
      <c r="C31891" s="1" t="s">
        <v>23490</v>
      </c>
      <c r="D31891" s="1" t="str">
        <f>HYPERLINK("https://rhld.insurance.arkansas.gov/NPILookup?Npi=1841399888","1841399888")</f>
        <v>1841399888</v>
      </c>
      <c r="E31891" t="s">
        <v>22818</v>
      </c>
    </row>
    <row r="31892" spans="1:5" x14ac:dyDescent="0.25">
      <c r="A31892" t="s">
        <v>10058</v>
      </c>
      <c r="B31892" t="s">
        <v>10059</v>
      </c>
      <c r="C31892" s="1" t="s">
        <v>23490</v>
      </c>
      <c r="D31892" s="1" t="str">
        <f>HYPERLINK("https://rhld.insurance.arkansas.gov/NPILookup?Npi=1841534674","1841534674")</f>
        <v>1841534674</v>
      </c>
      <c r="E31892" t="s">
        <v>10502</v>
      </c>
    </row>
    <row r="31893" spans="1:5" x14ac:dyDescent="0.25">
      <c r="A31893" t="s">
        <v>10058</v>
      </c>
      <c r="B31893" t="s">
        <v>10059</v>
      </c>
      <c r="C31893" s="1" t="s">
        <v>23490</v>
      </c>
      <c r="D31893" s="1" t="str">
        <f>HYPERLINK("https://rhld.insurance.arkansas.gov/NPILookup?Npi=1841542701","1841542701")</f>
        <v>1841542701</v>
      </c>
      <c r="E31893" t="s">
        <v>14672</v>
      </c>
    </row>
    <row r="31894" spans="1:5" x14ac:dyDescent="0.25">
      <c r="A31894" t="s">
        <v>10058</v>
      </c>
      <c r="B31894" t="s">
        <v>10059</v>
      </c>
      <c r="C31894" s="1" t="s">
        <v>23490</v>
      </c>
      <c r="D31894" s="1" t="str">
        <f>HYPERLINK("https://rhld.insurance.arkansas.gov/NPILookup?Npi=1841606936","1841606936")</f>
        <v>1841606936</v>
      </c>
      <c r="E31894" t="s">
        <v>22818</v>
      </c>
    </row>
    <row r="31895" spans="1:5" x14ac:dyDescent="0.25">
      <c r="A31895" t="s">
        <v>10058</v>
      </c>
      <c r="B31895" t="s">
        <v>10059</v>
      </c>
      <c r="C31895" s="1" t="s">
        <v>23490</v>
      </c>
      <c r="D31895" s="1" t="str">
        <f>HYPERLINK("https://rhld.insurance.arkansas.gov/NPILookup?Npi=1841676269","1841676269")</f>
        <v>1841676269</v>
      </c>
      <c r="E31895" t="s">
        <v>10503</v>
      </c>
    </row>
    <row r="31896" spans="1:5" x14ac:dyDescent="0.25">
      <c r="A31896" t="s">
        <v>10058</v>
      </c>
      <c r="B31896" t="s">
        <v>10059</v>
      </c>
      <c r="C31896" s="1" t="s">
        <v>23490</v>
      </c>
      <c r="D31896" s="1" t="str">
        <f>HYPERLINK("https://rhld.insurance.arkansas.gov/NPILookup?Npi=1841809274","1841809274")</f>
        <v>1841809274</v>
      </c>
      <c r="E31896" t="s">
        <v>10232</v>
      </c>
    </row>
    <row r="31897" spans="1:5" x14ac:dyDescent="0.25">
      <c r="A31897" t="s">
        <v>10058</v>
      </c>
      <c r="B31897" t="s">
        <v>10059</v>
      </c>
      <c r="C31897" s="1" t="s">
        <v>23490</v>
      </c>
      <c r="D31897" s="1" t="str">
        <f>HYPERLINK("https://rhld.insurance.arkansas.gov/NPILookup?Npi=1841841715","1841841715")</f>
        <v>1841841715</v>
      </c>
      <c r="E31897" t="s">
        <v>10121</v>
      </c>
    </row>
    <row r="31898" spans="1:5" x14ac:dyDescent="0.25">
      <c r="A31898" t="s">
        <v>10058</v>
      </c>
      <c r="B31898" t="s">
        <v>10059</v>
      </c>
      <c r="C31898" s="1" t="s">
        <v>23490</v>
      </c>
      <c r="D31898" s="1" t="str">
        <f>HYPERLINK("https://rhld.insurance.arkansas.gov/NPILookup?Npi=1851097794","1851097794")</f>
        <v>1851097794</v>
      </c>
      <c r="E31898" t="s">
        <v>10278</v>
      </c>
    </row>
    <row r="31899" spans="1:5" x14ac:dyDescent="0.25">
      <c r="A31899" t="s">
        <v>10058</v>
      </c>
      <c r="B31899" t="s">
        <v>10059</v>
      </c>
      <c r="C31899" s="1" t="s">
        <v>23490</v>
      </c>
      <c r="D31899" s="1" t="str">
        <f>HYPERLINK("https://rhld.insurance.arkansas.gov/NPILookup?Npi=1851421861","1851421861")</f>
        <v>1851421861</v>
      </c>
      <c r="E31899" t="s">
        <v>10504</v>
      </c>
    </row>
    <row r="31900" spans="1:5" x14ac:dyDescent="0.25">
      <c r="A31900" t="s">
        <v>10058</v>
      </c>
      <c r="B31900" t="s">
        <v>10059</v>
      </c>
      <c r="C31900" s="1" t="s">
        <v>23490</v>
      </c>
      <c r="D31900" s="1" t="str">
        <f>HYPERLINK("https://rhld.insurance.arkansas.gov/NPILookup?Npi=1851431399","1851431399")</f>
        <v>1851431399</v>
      </c>
      <c r="E31900" t="s">
        <v>10505</v>
      </c>
    </row>
    <row r="31901" spans="1:5" x14ac:dyDescent="0.25">
      <c r="A31901" t="s">
        <v>10058</v>
      </c>
      <c r="B31901" t="s">
        <v>10059</v>
      </c>
      <c r="C31901" s="1" t="s">
        <v>23490</v>
      </c>
      <c r="D31901" s="1" t="str">
        <f>HYPERLINK("https://rhld.insurance.arkansas.gov/NPILookup?Npi=1851433858","1851433858")</f>
        <v>1851433858</v>
      </c>
      <c r="E31901" t="s">
        <v>13280</v>
      </c>
    </row>
    <row r="31902" spans="1:5" x14ac:dyDescent="0.25">
      <c r="A31902" t="s">
        <v>10058</v>
      </c>
      <c r="B31902" t="s">
        <v>10059</v>
      </c>
      <c r="C31902" s="1" t="s">
        <v>23490</v>
      </c>
      <c r="D31902" s="1" t="str">
        <f>HYPERLINK("https://rhld.insurance.arkansas.gov/NPILookup?Npi=1851443774","1851443774")</f>
        <v>1851443774</v>
      </c>
      <c r="E31902" t="s">
        <v>18628</v>
      </c>
    </row>
    <row r="31903" spans="1:5" x14ac:dyDescent="0.25">
      <c r="A31903" t="s">
        <v>10058</v>
      </c>
      <c r="B31903" t="s">
        <v>10059</v>
      </c>
      <c r="C31903" s="1" t="s">
        <v>23490</v>
      </c>
      <c r="D31903" s="1" t="str">
        <f>HYPERLINK("https://rhld.insurance.arkansas.gov/NPILookup?Npi=1851448526","1851448526")</f>
        <v>1851448526</v>
      </c>
      <c r="E31903" t="s">
        <v>7578</v>
      </c>
    </row>
    <row r="31904" spans="1:5" x14ac:dyDescent="0.25">
      <c r="A31904" t="s">
        <v>10058</v>
      </c>
      <c r="B31904" t="s">
        <v>10059</v>
      </c>
      <c r="C31904" s="1" t="s">
        <v>23490</v>
      </c>
      <c r="D31904" s="1" t="str">
        <f>HYPERLINK("https://rhld.insurance.arkansas.gov/NPILookup?Npi=1851471155","1851471155")</f>
        <v>1851471155</v>
      </c>
      <c r="E31904" t="s">
        <v>10506</v>
      </c>
    </row>
    <row r="31905" spans="1:5" x14ac:dyDescent="0.25">
      <c r="A31905" t="s">
        <v>10058</v>
      </c>
      <c r="B31905" t="s">
        <v>10059</v>
      </c>
      <c r="C31905" s="1" t="s">
        <v>23490</v>
      </c>
      <c r="D31905" s="1" t="str">
        <f>HYPERLINK("https://rhld.insurance.arkansas.gov/NPILookup?Npi=1851475990","1851475990")</f>
        <v>1851475990</v>
      </c>
      <c r="E31905" t="s">
        <v>10066</v>
      </c>
    </row>
    <row r="31906" spans="1:5" x14ac:dyDescent="0.25">
      <c r="A31906" t="s">
        <v>10058</v>
      </c>
      <c r="B31906" t="s">
        <v>10059</v>
      </c>
      <c r="C31906" s="1" t="s">
        <v>23490</v>
      </c>
      <c r="D31906" s="1" t="str">
        <f>HYPERLINK("https://rhld.insurance.arkansas.gov/NPILookup?Npi=1851480537","1851480537")</f>
        <v>1851480537</v>
      </c>
      <c r="E31906" t="s">
        <v>10507</v>
      </c>
    </row>
    <row r="31907" spans="1:5" x14ac:dyDescent="0.25">
      <c r="A31907" t="s">
        <v>10058</v>
      </c>
      <c r="B31907" t="s">
        <v>10059</v>
      </c>
      <c r="C31907" s="1" t="s">
        <v>23490</v>
      </c>
      <c r="D31907" s="1" t="str">
        <f>HYPERLINK("https://rhld.insurance.arkansas.gov/NPILookup?Npi=1851485809","1851485809")</f>
        <v>1851485809</v>
      </c>
      <c r="E31907" t="s">
        <v>10508</v>
      </c>
    </row>
    <row r="31908" spans="1:5" x14ac:dyDescent="0.25">
      <c r="A31908" t="s">
        <v>10058</v>
      </c>
      <c r="B31908" t="s">
        <v>10059</v>
      </c>
      <c r="C31908" s="1" t="s">
        <v>23490</v>
      </c>
      <c r="D31908" s="1" t="str">
        <f>HYPERLINK("https://rhld.insurance.arkansas.gov/NPILookup?Npi=1851495782","1851495782")</f>
        <v>1851495782</v>
      </c>
      <c r="E31908" t="s">
        <v>10086</v>
      </c>
    </row>
    <row r="31909" spans="1:5" x14ac:dyDescent="0.25">
      <c r="A31909" t="s">
        <v>10058</v>
      </c>
      <c r="B31909" t="s">
        <v>10059</v>
      </c>
      <c r="C31909" s="1" t="s">
        <v>23490</v>
      </c>
      <c r="D31909" s="1" t="str">
        <f>HYPERLINK("https://rhld.insurance.arkansas.gov/NPILookup?Npi=1851530240","1851530240")</f>
        <v>1851530240</v>
      </c>
      <c r="E31909" t="s">
        <v>20866</v>
      </c>
    </row>
    <row r="31910" spans="1:5" x14ac:dyDescent="0.25">
      <c r="A31910" t="s">
        <v>10058</v>
      </c>
      <c r="B31910" t="s">
        <v>10059</v>
      </c>
      <c r="C31910" s="1" t="s">
        <v>23490</v>
      </c>
      <c r="D31910" s="1" t="str">
        <f>HYPERLINK("https://rhld.insurance.arkansas.gov/NPILookup?Npi=1851811939","1851811939")</f>
        <v>1851811939</v>
      </c>
      <c r="E31910" t="s">
        <v>10501</v>
      </c>
    </row>
    <row r="31911" spans="1:5" x14ac:dyDescent="0.25">
      <c r="A31911" t="s">
        <v>10058</v>
      </c>
      <c r="B31911" t="s">
        <v>10059</v>
      </c>
      <c r="C31911" s="1" t="s">
        <v>23490</v>
      </c>
      <c r="D31911" s="1" t="str">
        <f>HYPERLINK("https://rhld.insurance.arkansas.gov/NPILookup?Npi=1861408247","1861408247")</f>
        <v>1861408247</v>
      </c>
      <c r="E31911" t="s">
        <v>10066</v>
      </c>
    </row>
    <row r="31912" spans="1:5" x14ac:dyDescent="0.25">
      <c r="A31912" t="s">
        <v>10058</v>
      </c>
      <c r="B31912" t="s">
        <v>10059</v>
      </c>
      <c r="C31912" s="1" t="s">
        <v>23490</v>
      </c>
      <c r="D31912" s="1" t="str">
        <f>HYPERLINK("https://rhld.insurance.arkansas.gov/NPILookup?Npi=1861415721","1861415721")</f>
        <v>1861415721</v>
      </c>
      <c r="E31912" t="s">
        <v>10400</v>
      </c>
    </row>
    <row r="31913" spans="1:5" x14ac:dyDescent="0.25">
      <c r="A31913" t="s">
        <v>10058</v>
      </c>
      <c r="B31913" t="s">
        <v>10059</v>
      </c>
      <c r="C31913" s="1" t="s">
        <v>23490</v>
      </c>
      <c r="D31913" s="1" t="str">
        <f>HYPERLINK("https://rhld.insurance.arkansas.gov/NPILookup?Npi=1861419269","1861419269")</f>
        <v>1861419269</v>
      </c>
      <c r="E31913" t="s">
        <v>13312</v>
      </c>
    </row>
    <row r="31914" spans="1:5" x14ac:dyDescent="0.25">
      <c r="A31914" t="s">
        <v>10058</v>
      </c>
      <c r="B31914" t="s">
        <v>10059</v>
      </c>
      <c r="C31914" s="1" t="s">
        <v>23490</v>
      </c>
      <c r="D31914" s="1" t="str">
        <f>HYPERLINK("https://rhld.insurance.arkansas.gov/NPILookup?Npi=1861426504","1861426504")</f>
        <v>1861426504</v>
      </c>
      <c r="E31914" t="s">
        <v>10067</v>
      </c>
    </row>
    <row r="31915" spans="1:5" x14ac:dyDescent="0.25">
      <c r="A31915" t="s">
        <v>10058</v>
      </c>
      <c r="B31915" t="s">
        <v>10059</v>
      </c>
      <c r="C31915" s="1" t="s">
        <v>23490</v>
      </c>
      <c r="D31915" s="1" t="str">
        <f>HYPERLINK("https://rhld.insurance.arkansas.gov/NPILookup?Npi=1861438772","1861438772")</f>
        <v>1861438772</v>
      </c>
      <c r="E31915" t="s">
        <v>10510</v>
      </c>
    </row>
    <row r="31916" spans="1:5" x14ac:dyDescent="0.25">
      <c r="A31916" t="s">
        <v>10058</v>
      </c>
      <c r="B31916" t="s">
        <v>10059</v>
      </c>
      <c r="C31916" s="1" t="s">
        <v>23490</v>
      </c>
      <c r="D31916" s="1" t="str">
        <f>HYPERLINK("https://rhld.insurance.arkansas.gov/NPILookup?Npi=1861493447","1861493447")</f>
        <v>1861493447</v>
      </c>
      <c r="E31916" t="s">
        <v>10511</v>
      </c>
    </row>
    <row r="31917" spans="1:5" x14ac:dyDescent="0.25">
      <c r="A31917" t="s">
        <v>10058</v>
      </c>
      <c r="B31917" t="s">
        <v>10059</v>
      </c>
      <c r="C31917" s="1" t="s">
        <v>23490</v>
      </c>
      <c r="D31917" s="1" t="str">
        <f>HYPERLINK("https://rhld.insurance.arkansas.gov/NPILookup?Npi=1861523730","1861523730")</f>
        <v>1861523730</v>
      </c>
      <c r="E31917" t="s">
        <v>10512</v>
      </c>
    </row>
    <row r="31918" spans="1:5" x14ac:dyDescent="0.25">
      <c r="A31918" t="s">
        <v>10058</v>
      </c>
      <c r="B31918" t="s">
        <v>10059</v>
      </c>
      <c r="C31918" s="1" t="s">
        <v>23490</v>
      </c>
      <c r="D31918" s="1" t="str">
        <f>HYPERLINK("https://rhld.insurance.arkansas.gov/NPILookup?Npi=1861528267","1861528267")</f>
        <v>1861528267</v>
      </c>
      <c r="E31918" t="s">
        <v>19300</v>
      </c>
    </row>
    <row r="31919" spans="1:5" x14ac:dyDescent="0.25">
      <c r="A31919" t="s">
        <v>10058</v>
      </c>
      <c r="B31919" t="s">
        <v>10059</v>
      </c>
      <c r="C31919" s="1" t="s">
        <v>23490</v>
      </c>
      <c r="D31919" s="1" t="str">
        <f>HYPERLINK("https://rhld.insurance.arkansas.gov/NPILookup?Npi=1861565335","1861565335")</f>
        <v>1861565335</v>
      </c>
      <c r="E31919" t="s">
        <v>10087</v>
      </c>
    </row>
    <row r="31920" spans="1:5" x14ac:dyDescent="0.25">
      <c r="A31920" t="s">
        <v>10058</v>
      </c>
      <c r="B31920" t="s">
        <v>10059</v>
      </c>
      <c r="C31920" s="1" t="s">
        <v>23490</v>
      </c>
      <c r="D31920" s="1" t="str">
        <f>HYPERLINK("https://rhld.insurance.arkansas.gov/NPILookup?Npi=1861573016","1861573016")</f>
        <v>1861573016</v>
      </c>
      <c r="E31920" t="s">
        <v>10513</v>
      </c>
    </row>
    <row r="31921" spans="1:5" x14ac:dyDescent="0.25">
      <c r="A31921" t="s">
        <v>10058</v>
      </c>
      <c r="B31921" t="s">
        <v>10059</v>
      </c>
      <c r="C31921" s="1" t="s">
        <v>23490</v>
      </c>
      <c r="D31921" s="1" t="str">
        <f>HYPERLINK("https://rhld.insurance.arkansas.gov/NPILookup?Npi=1861587669","1861587669")</f>
        <v>1861587669</v>
      </c>
      <c r="E31921" t="s">
        <v>10514</v>
      </c>
    </row>
    <row r="31922" spans="1:5" x14ac:dyDescent="0.25">
      <c r="A31922" t="s">
        <v>10058</v>
      </c>
      <c r="B31922" t="s">
        <v>10059</v>
      </c>
      <c r="C31922" s="1" t="s">
        <v>23490</v>
      </c>
      <c r="D31922" s="1" t="str">
        <f>HYPERLINK("https://rhld.insurance.arkansas.gov/NPILookup?Npi=1861592180","1861592180")</f>
        <v>1861592180</v>
      </c>
      <c r="E31922" t="s">
        <v>10138</v>
      </c>
    </row>
    <row r="31923" spans="1:5" x14ac:dyDescent="0.25">
      <c r="A31923" t="s">
        <v>10058</v>
      </c>
      <c r="B31923" t="s">
        <v>10059</v>
      </c>
      <c r="C31923" s="1" t="s">
        <v>23490</v>
      </c>
      <c r="D31923" s="1" t="str">
        <f>HYPERLINK("https://rhld.insurance.arkansas.gov/NPILookup?Npi=1861673915","1861673915")</f>
        <v>1861673915</v>
      </c>
      <c r="E31923" t="s">
        <v>19301</v>
      </c>
    </row>
    <row r="31924" spans="1:5" x14ac:dyDescent="0.25">
      <c r="A31924" t="s">
        <v>10058</v>
      </c>
      <c r="B31924" t="s">
        <v>10059</v>
      </c>
      <c r="C31924" s="1" t="s">
        <v>23490</v>
      </c>
      <c r="D31924" s="1" t="str">
        <f>HYPERLINK("https://rhld.insurance.arkansas.gov/NPILookup?Npi=1861721227","1861721227")</f>
        <v>1861721227</v>
      </c>
      <c r="E31924" t="s">
        <v>10153</v>
      </c>
    </row>
    <row r="31925" spans="1:5" x14ac:dyDescent="0.25">
      <c r="A31925" t="s">
        <v>10058</v>
      </c>
      <c r="B31925" t="s">
        <v>10059</v>
      </c>
      <c r="C31925" s="1" t="s">
        <v>23490</v>
      </c>
      <c r="D31925" s="1" t="str">
        <f>HYPERLINK("https://rhld.insurance.arkansas.gov/NPILookup?Npi=1861743130","1861743130")</f>
        <v>1861743130</v>
      </c>
      <c r="E31925" t="s">
        <v>10515</v>
      </c>
    </row>
    <row r="31926" spans="1:5" x14ac:dyDescent="0.25">
      <c r="A31926" t="s">
        <v>10058</v>
      </c>
      <c r="B31926" t="s">
        <v>10059</v>
      </c>
      <c r="C31926" s="1" t="s">
        <v>23490</v>
      </c>
      <c r="D31926" s="1" t="str">
        <f>HYPERLINK("https://rhld.insurance.arkansas.gov/NPILookup?Npi=1861797813","1861797813")</f>
        <v>1861797813</v>
      </c>
      <c r="E31926" t="s">
        <v>10516</v>
      </c>
    </row>
    <row r="31927" spans="1:5" x14ac:dyDescent="0.25">
      <c r="A31927" t="s">
        <v>10058</v>
      </c>
      <c r="B31927" t="s">
        <v>10059</v>
      </c>
      <c r="C31927" s="1" t="s">
        <v>23490</v>
      </c>
      <c r="D31927" s="1" t="str">
        <f>HYPERLINK("https://rhld.insurance.arkansas.gov/NPILookup?Npi=1871060475","1871060475")</f>
        <v>1871060475</v>
      </c>
      <c r="E31927" t="s">
        <v>10517</v>
      </c>
    </row>
    <row r="31928" spans="1:5" x14ac:dyDescent="0.25">
      <c r="A31928" t="s">
        <v>10058</v>
      </c>
      <c r="B31928" t="s">
        <v>10059</v>
      </c>
      <c r="C31928" s="1" t="s">
        <v>23490</v>
      </c>
      <c r="D31928" s="1" t="str">
        <f>HYPERLINK("https://rhld.insurance.arkansas.gov/NPILookup?Npi=1871075325","1871075325")</f>
        <v>1871075325</v>
      </c>
      <c r="E31928" t="s">
        <v>12755</v>
      </c>
    </row>
    <row r="31929" spans="1:5" x14ac:dyDescent="0.25">
      <c r="A31929" t="s">
        <v>10058</v>
      </c>
      <c r="B31929" t="s">
        <v>10059</v>
      </c>
      <c r="C31929" s="1" t="s">
        <v>23490</v>
      </c>
      <c r="D31929" s="1" t="str">
        <f>HYPERLINK("https://rhld.insurance.arkansas.gov/NPILookup?Npi=1871128306","1871128306")</f>
        <v>1871128306</v>
      </c>
      <c r="E31929" t="s">
        <v>10469</v>
      </c>
    </row>
    <row r="31930" spans="1:5" x14ac:dyDescent="0.25">
      <c r="A31930" t="s">
        <v>10058</v>
      </c>
      <c r="B31930" t="s">
        <v>10059</v>
      </c>
      <c r="C31930" s="1" t="s">
        <v>23490</v>
      </c>
      <c r="D31930" s="1" t="str">
        <f>HYPERLINK("https://rhld.insurance.arkansas.gov/NPILookup?Npi=1871500876","1871500876")</f>
        <v>1871500876</v>
      </c>
      <c r="E31930" t="s">
        <v>10066</v>
      </c>
    </row>
    <row r="31931" spans="1:5" x14ac:dyDescent="0.25">
      <c r="A31931" t="s">
        <v>10058</v>
      </c>
      <c r="B31931" t="s">
        <v>10059</v>
      </c>
      <c r="C31931" s="1" t="s">
        <v>23490</v>
      </c>
      <c r="D31931" s="1" t="str">
        <f>HYPERLINK("https://rhld.insurance.arkansas.gov/NPILookup?Npi=1871508812","1871508812")</f>
        <v>1871508812</v>
      </c>
      <c r="E31931" t="s">
        <v>10066</v>
      </c>
    </row>
    <row r="31932" spans="1:5" x14ac:dyDescent="0.25">
      <c r="A31932" t="s">
        <v>10058</v>
      </c>
      <c r="B31932" t="s">
        <v>10059</v>
      </c>
      <c r="C31932" s="1" t="s">
        <v>23490</v>
      </c>
      <c r="D31932" s="1" t="str">
        <f>HYPERLINK("https://rhld.insurance.arkansas.gov/NPILookup?Npi=1871510057","1871510057")</f>
        <v>1871510057</v>
      </c>
      <c r="E31932" t="s">
        <v>10060</v>
      </c>
    </row>
    <row r="31933" spans="1:5" x14ac:dyDescent="0.25">
      <c r="A31933" t="s">
        <v>10058</v>
      </c>
      <c r="B31933" t="s">
        <v>10059</v>
      </c>
      <c r="C31933" s="1" t="s">
        <v>23490</v>
      </c>
      <c r="D31933" s="1" t="str">
        <f>HYPERLINK("https://rhld.insurance.arkansas.gov/NPILookup?Npi=1871510149","1871510149")</f>
        <v>1871510149</v>
      </c>
      <c r="E31933" t="s">
        <v>10061</v>
      </c>
    </row>
    <row r="31934" spans="1:5" x14ac:dyDescent="0.25">
      <c r="A31934" t="s">
        <v>10058</v>
      </c>
      <c r="B31934" t="s">
        <v>10059</v>
      </c>
      <c r="C31934" s="1" t="s">
        <v>23490</v>
      </c>
      <c r="D31934" s="1" t="str">
        <f>HYPERLINK("https://rhld.insurance.arkansas.gov/NPILookup?Npi=1871510263","1871510263")</f>
        <v>1871510263</v>
      </c>
      <c r="E31934" t="s">
        <v>13312</v>
      </c>
    </row>
    <row r="31935" spans="1:5" x14ac:dyDescent="0.25">
      <c r="A31935" t="s">
        <v>10058</v>
      </c>
      <c r="B31935" t="s">
        <v>10059</v>
      </c>
      <c r="C31935" s="1" t="s">
        <v>23490</v>
      </c>
      <c r="D31935" s="1" t="str">
        <f>HYPERLINK("https://rhld.insurance.arkansas.gov/NPILookup?Npi=1871510271","1871510271")</f>
        <v>1871510271</v>
      </c>
      <c r="E31935" t="s">
        <v>13312</v>
      </c>
    </row>
    <row r="31936" spans="1:5" x14ac:dyDescent="0.25">
      <c r="A31936" t="s">
        <v>10058</v>
      </c>
      <c r="B31936" t="s">
        <v>10059</v>
      </c>
      <c r="C31936" s="1" t="s">
        <v>23490</v>
      </c>
      <c r="D31936" s="1" t="str">
        <f>HYPERLINK("https://rhld.insurance.arkansas.gov/NPILookup?Npi=1871527622","1871527622")</f>
        <v>1871527622</v>
      </c>
      <c r="E31936" t="s">
        <v>10067</v>
      </c>
    </row>
    <row r="31937" spans="1:5" x14ac:dyDescent="0.25">
      <c r="A31937" t="s">
        <v>10058</v>
      </c>
      <c r="B31937" t="s">
        <v>10059</v>
      </c>
      <c r="C31937" s="1" t="s">
        <v>23490</v>
      </c>
      <c r="D31937" s="1" t="str">
        <f>HYPERLINK("https://rhld.insurance.arkansas.gov/NPILookup?Npi=1871530204","1871530204")</f>
        <v>1871530204</v>
      </c>
      <c r="E31937" t="s">
        <v>10073</v>
      </c>
    </row>
    <row r="31938" spans="1:5" x14ac:dyDescent="0.25">
      <c r="A31938" t="s">
        <v>10058</v>
      </c>
      <c r="B31938" t="s">
        <v>10059</v>
      </c>
      <c r="C31938" s="1" t="s">
        <v>23490</v>
      </c>
      <c r="D31938" s="1" t="str">
        <f>HYPERLINK("https://rhld.insurance.arkansas.gov/NPILookup?Npi=1871694513","1871694513")</f>
        <v>1871694513</v>
      </c>
      <c r="E31938" t="s">
        <v>10517</v>
      </c>
    </row>
    <row r="31939" spans="1:5" x14ac:dyDescent="0.25">
      <c r="A31939" t="s">
        <v>10058</v>
      </c>
      <c r="B31939" t="s">
        <v>10059</v>
      </c>
      <c r="C31939" s="1" t="s">
        <v>23490</v>
      </c>
      <c r="D31939" s="1" t="str">
        <f>HYPERLINK("https://rhld.insurance.arkansas.gov/NPILookup?Npi=1871725903","1871725903")</f>
        <v>1871725903</v>
      </c>
      <c r="E31939" t="s">
        <v>10518</v>
      </c>
    </row>
    <row r="31940" spans="1:5" x14ac:dyDescent="0.25">
      <c r="A31940" t="s">
        <v>10058</v>
      </c>
      <c r="B31940" t="s">
        <v>10059</v>
      </c>
      <c r="C31940" s="1" t="s">
        <v>23490</v>
      </c>
      <c r="D31940" s="1" t="str">
        <f>HYPERLINK("https://rhld.insurance.arkansas.gov/NPILookup?Npi=1871875807","1871875807")</f>
        <v>1871875807</v>
      </c>
      <c r="E31940" t="s">
        <v>10135</v>
      </c>
    </row>
    <row r="31941" spans="1:5" x14ac:dyDescent="0.25">
      <c r="A31941" t="s">
        <v>10058</v>
      </c>
      <c r="B31941" t="s">
        <v>10059</v>
      </c>
      <c r="C31941" s="1" t="s">
        <v>23490</v>
      </c>
      <c r="D31941" s="1" t="str">
        <f>HYPERLINK("https://rhld.insurance.arkansas.gov/NPILookup?Npi=1871892067","1871892067")</f>
        <v>1871892067</v>
      </c>
      <c r="E31941" t="s">
        <v>10062</v>
      </c>
    </row>
    <row r="31942" spans="1:5" x14ac:dyDescent="0.25">
      <c r="A31942" t="s">
        <v>10058</v>
      </c>
      <c r="B31942" t="s">
        <v>10059</v>
      </c>
      <c r="C31942" s="1" t="s">
        <v>23490</v>
      </c>
      <c r="D31942" s="1" t="str">
        <f>HYPERLINK("https://rhld.insurance.arkansas.gov/NPILookup?Npi=1871978064","1871978064")</f>
        <v>1871978064</v>
      </c>
      <c r="E31942" t="s">
        <v>10519</v>
      </c>
    </row>
    <row r="31943" spans="1:5" x14ac:dyDescent="0.25">
      <c r="A31943" t="s">
        <v>10058</v>
      </c>
      <c r="B31943" t="s">
        <v>10059</v>
      </c>
      <c r="C31943" s="1" t="s">
        <v>23490</v>
      </c>
      <c r="D31943" s="1" t="str">
        <f>HYPERLINK("https://rhld.insurance.arkansas.gov/NPILookup?Npi=1881098499","1881098499")</f>
        <v>1881098499</v>
      </c>
      <c r="E31943" t="s">
        <v>13312</v>
      </c>
    </row>
    <row r="31944" spans="1:5" x14ac:dyDescent="0.25">
      <c r="A31944" t="s">
        <v>10058</v>
      </c>
      <c r="B31944" t="s">
        <v>10059</v>
      </c>
      <c r="C31944" s="1" t="s">
        <v>23490</v>
      </c>
      <c r="D31944" s="1" t="str">
        <f>HYPERLINK("https://rhld.insurance.arkansas.gov/NPILookup?Npi=1881609147","1881609147")</f>
        <v>1881609147</v>
      </c>
      <c r="E31944" t="s">
        <v>10066</v>
      </c>
    </row>
    <row r="31945" spans="1:5" x14ac:dyDescent="0.25">
      <c r="A31945" t="s">
        <v>10058</v>
      </c>
      <c r="B31945" t="s">
        <v>10059</v>
      </c>
      <c r="C31945" s="1" t="s">
        <v>23490</v>
      </c>
      <c r="D31945" s="1" t="str">
        <f>HYPERLINK("https://rhld.insurance.arkansas.gov/NPILookup?Npi=1881609899","1881609899")</f>
        <v>1881609899</v>
      </c>
      <c r="E31945" t="s">
        <v>10520</v>
      </c>
    </row>
    <row r="31946" spans="1:5" x14ac:dyDescent="0.25">
      <c r="A31946" t="s">
        <v>10058</v>
      </c>
      <c r="B31946" t="s">
        <v>10059</v>
      </c>
      <c r="C31946" s="1" t="s">
        <v>23490</v>
      </c>
      <c r="D31946" s="1" t="str">
        <f>HYPERLINK("https://rhld.insurance.arkansas.gov/NPILookup?Npi=1881611267","1881611267")</f>
        <v>1881611267</v>
      </c>
      <c r="E31946" t="s">
        <v>13312</v>
      </c>
    </row>
    <row r="31947" spans="1:5" x14ac:dyDescent="0.25">
      <c r="A31947" t="s">
        <v>10058</v>
      </c>
      <c r="B31947" t="s">
        <v>10059</v>
      </c>
      <c r="C31947" s="1" t="s">
        <v>23490</v>
      </c>
      <c r="D31947" s="1" t="str">
        <f>HYPERLINK("https://rhld.insurance.arkansas.gov/NPILookup?Npi=1881611275","1881611275")</f>
        <v>1881611275</v>
      </c>
      <c r="E31947" t="s">
        <v>13312</v>
      </c>
    </row>
    <row r="31948" spans="1:5" x14ac:dyDescent="0.25">
      <c r="A31948" t="s">
        <v>10058</v>
      </c>
      <c r="B31948" t="s">
        <v>10059</v>
      </c>
      <c r="C31948" s="1" t="s">
        <v>23490</v>
      </c>
      <c r="D31948" s="1" t="str">
        <f>HYPERLINK("https://rhld.insurance.arkansas.gov/NPILookup?Npi=1881611283","1881611283")</f>
        <v>1881611283</v>
      </c>
      <c r="E31948" t="s">
        <v>13312</v>
      </c>
    </row>
    <row r="31949" spans="1:5" x14ac:dyDescent="0.25">
      <c r="A31949" t="s">
        <v>10058</v>
      </c>
      <c r="B31949" t="s">
        <v>10059</v>
      </c>
      <c r="C31949" s="1" t="s">
        <v>23490</v>
      </c>
      <c r="D31949" s="1" t="str">
        <f>HYPERLINK("https://rhld.insurance.arkansas.gov/NPILookup?Npi=1881628626","1881628626")</f>
        <v>1881628626</v>
      </c>
      <c r="E31949" t="s">
        <v>10067</v>
      </c>
    </row>
    <row r="31950" spans="1:5" x14ac:dyDescent="0.25">
      <c r="A31950" t="s">
        <v>10058</v>
      </c>
      <c r="B31950" t="s">
        <v>10059</v>
      </c>
      <c r="C31950" s="1" t="s">
        <v>23490</v>
      </c>
      <c r="D31950" s="1" t="str">
        <f>HYPERLINK("https://rhld.insurance.arkansas.gov/NPILookup?Npi=1881670818","1881670818")</f>
        <v>1881670818</v>
      </c>
      <c r="E31950" t="s">
        <v>10521</v>
      </c>
    </row>
    <row r="31951" spans="1:5" x14ac:dyDescent="0.25">
      <c r="A31951" t="s">
        <v>10058</v>
      </c>
      <c r="B31951" t="s">
        <v>10059</v>
      </c>
      <c r="C31951" s="1" t="s">
        <v>23490</v>
      </c>
      <c r="D31951" s="1" t="str">
        <f>HYPERLINK("https://rhld.insurance.arkansas.gov/NPILookup?Npi=1881688786","1881688786")</f>
        <v>1881688786</v>
      </c>
      <c r="E31951" t="s">
        <v>10522</v>
      </c>
    </row>
    <row r="31952" spans="1:5" x14ac:dyDescent="0.25">
      <c r="A31952" t="s">
        <v>10058</v>
      </c>
      <c r="B31952" t="s">
        <v>10059</v>
      </c>
      <c r="C31952" s="1" t="s">
        <v>23490</v>
      </c>
      <c r="D31952" s="1" t="str">
        <f>HYPERLINK("https://rhld.insurance.arkansas.gov/NPILookup?Npi=1881703379","1881703379")</f>
        <v>1881703379</v>
      </c>
      <c r="E31952" t="s">
        <v>10523</v>
      </c>
    </row>
    <row r="31953" spans="1:5" x14ac:dyDescent="0.25">
      <c r="A31953" t="s">
        <v>10058</v>
      </c>
      <c r="B31953" t="s">
        <v>10059</v>
      </c>
      <c r="C31953" s="1" t="s">
        <v>23490</v>
      </c>
      <c r="D31953" s="1" t="str">
        <f>HYPERLINK("https://rhld.insurance.arkansas.gov/NPILookup?Npi=1881757706","1881757706")</f>
        <v>1881757706</v>
      </c>
      <c r="E31953" t="s">
        <v>10524</v>
      </c>
    </row>
    <row r="31954" spans="1:5" x14ac:dyDescent="0.25">
      <c r="A31954" t="s">
        <v>10058</v>
      </c>
      <c r="B31954" t="s">
        <v>10059</v>
      </c>
      <c r="C31954" s="1" t="s">
        <v>23490</v>
      </c>
      <c r="D31954" s="1" t="str">
        <f>HYPERLINK("https://rhld.insurance.arkansas.gov/NPILookup?Npi=1881767358","1881767358")</f>
        <v>1881767358</v>
      </c>
      <c r="E31954" t="s">
        <v>10087</v>
      </c>
    </row>
    <row r="31955" spans="1:5" x14ac:dyDescent="0.25">
      <c r="A31955" t="s">
        <v>10058</v>
      </c>
      <c r="B31955" t="s">
        <v>10059</v>
      </c>
      <c r="C31955" s="1" t="s">
        <v>23490</v>
      </c>
      <c r="D31955" s="1" t="str">
        <f>HYPERLINK("https://rhld.insurance.arkansas.gov/NPILookup?Npi=1881909638","1881909638")</f>
        <v>1881909638</v>
      </c>
      <c r="E31955" t="s">
        <v>10078</v>
      </c>
    </row>
    <row r="31956" spans="1:5" x14ac:dyDescent="0.25">
      <c r="A31956" t="s">
        <v>10058</v>
      </c>
      <c r="B31956" t="s">
        <v>10059</v>
      </c>
      <c r="C31956" s="1" t="s">
        <v>23490</v>
      </c>
      <c r="D31956" s="1" t="str">
        <f>HYPERLINK("https://rhld.insurance.arkansas.gov/NPILookup?Npi=1881949063","1881949063")</f>
        <v>1881949063</v>
      </c>
      <c r="E31956" t="s">
        <v>10525</v>
      </c>
    </row>
    <row r="31957" spans="1:5" x14ac:dyDescent="0.25">
      <c r="A31957" t="s">
        <v>10058</v>
      </c>
      <c r="B31957" t="s">
        <v>10059</v>
      </c>
      <c r="C31957" s="1" t="s">
        <v>23490</v>
      </c>
      <c r="D31957" s="1" t="str">
        <f>HYPERLINK("https://rhld.insurance.arkansas.gov/NPILookup?Npi=1891123675","1891123675")</f>
        <v>1891123675</v>
      </c>
      <c r="E31957" t="s">
        <v>10526</v>
      </c>
    </row>
    <row r="31958" spans="1:5" x14ac:dyDescent="0.25">
      <c r="A31958" t="s">
        <v>10058</v>
      </c>
      <c r="B31958" t="s">
        <v>10059</v>
      </c>
      <c r="C31958" s="1" t="s">
        <v>23490</v>
      </c>
      <c r="D31958" s="1" t="str">
        <f>HYPERLINK("https://rhld.insurance.arkansas.gov/NPILookup?Npi=1891143020","1891143020")</f>
        <v>1891143020</v>
      </c>
      <c r="E31958" t="s">
        <v>13312</v>
      </c>
    </row>
    <row r="31959" spans="1:5" x14ac:dyDescent="0.25">
      <c r="A31959" t="s">
        <v>10058</v>
      </c>
      <c r="B31959" t="s">
        <v>10059</v>
      </c>
      <c r="C31959" s="1" t="s">
        <v>23490</v>
      </c>
      <c r="D31959" s="1" t="str">
        <f>HYPERLINK("https://rhld.insurance.arkansas.gov/NPILookup?Npi=1891170437","1891170437")</f>
        <v>1891170437</v>
      </c>
      <c r="E31959" t="s">
        <v>10527</v>
      </c>
    </row>
    <row r="31960" spans="1:5" x14ac:dyDescent="0.25">
      <c r="A31960" t="s">
        <v>10058</v>
      </c>
      <c r="B31960" t="s">
        <v>10059</v>
      </c>
      <c r="C31960" s="1" t="s">
        <v>23490</v>
      </c>
      <c r="D31960" s="1" t="str">
        <f>HYPERLINK("https://rhld.insurance.arkansas.gov/NPILookup?Npi=1891181798","1891181798")</f>
        <v>1891181798</v>
      </c>
      <c r="E31960" t="s">
        <v>10528</v>
      </c>
    </row>
    <row r="31961" spans="1:5" x14ac:dyDescent="0.25">
      <c r="A31961" t="s">
        <v>10058</v>
      </c>
      <c r="B31961" t="s">
        <v>10059</v>
      </c>
      <c r="C31961" s="1" t="s">
        <v>23490</v>
      </c>
      <c r="D31961" s="1" t="str">
        <f>HYPERLINK("https://rhld.insurance.arkansas.gov/NPILookup?Npi=1891729521","1891729521")</f>
        <v>1891729521</v>
      </c>
      <c r="E31961" t="s">
        <v>10067</v>
      </c>
    </row>
    <row r="31962" spans="1:5" x14ac:dyDescent="0.25">
      <c r="A31962" t="s">
        <v>10058</v>
      </c>
      <c r="B31962" t="s">
        <v>10059</v>
      </c>
      <c r="C31962" s="1" t="s">
        <v>23490</v>
      </c>
      <c r="D31962" s="1" t="str">
        <f>HYPERLINK("https://rhld.insurance.arkansas.gov/NPILookup?Npi=1891778635","1891778635")</f>
        <v>1891778635</v>
      </c>
      <c r="E31962" t="s">
        <v>10529</v>
      </c>
    </row>
    <row r="31963" spans="1:5" x14ac:dyDescent="0.25">
      <c r="A31963" t="s">
        <v>10058</v>
      </c>
      <c r="B31963" t="s">
        <v>10059</v>
      </c>
      <c r="C31963" s="1" t="s">
        <v>23490</v>
      </c>
      <c r="D31963" s="1" t="str">
        <f>HYPERLINK("https://rhld.insurance.arkansas.gov/NPILookup?Npi=1891789574","1891789574")</f>
        <v>1891789574</v>
      </c>
      <c r="E31963" t="s">
        <v>12716</v>
      </c>
    </row>
    <row r="31964" spans="1:5" x14ac:dyDescent="0.25">
      <c r="A31964" t="s">
        <v>10058</v>
      </c>
      <c r="B31964" t="s">
        <v>10059</v>
      </c>
      <c r="C31964" s="1" t="s">
        <v>23490</v>
      </c>
      <c r="D31964" s="1" t="str">
        <f>HYPERLINK("https://rhld.insurance.arkansas.gov/NPILookup?Npi=1891789715","1891789715")</f>
        <v>1891789715</v>
      </c>
      <c r="E31964" t="s">
        <v>10530</v>
      </c>
    </row>
    <row r="31965" spans="1:5" x14ac:dyDescent="0.25">
      <c r="A31965" t="s">
        <v>10058</v>
      </c>
      <c r="B31965" t="s">
        <v>10059</v>
      </c>
      <c r="C31965" s="1" t="s">
        <v>23490</v>
      </c>
      <c r="D31965" s="1" t="str">
        <f>HYPERLINK("https://rhld.insurance.arkansas.gov/NPILookup?Npi=1891835757","1891835757")</f>
        <v>1891835757</v>
      </c>
      <c r="E31965" t="s">
        <v>10531</v>
      </c>
    </row>
    <row r="31966" spans="1:5" x14ac:dyDescent="0.25">
      <c r="A31966" t="s">
        <v>10058</v>
      </c>
      <c r="B31966" t="s">
        <v>10059</v>
      </c>
      <c r="C31966" s="1" t="s">
        <v>23490</v>
      </c>
      <c r="D31966" s="1" t="str">
        <f>HYPERLINK("https://rhld.insurance.arkansas.gov/NPILookup?Npi=1891837290","1891837290")</f>
        <v>1891837290</v>
      </c>
      <c r="E31966" t="s">
        <v>10099</v>
      </c>
    </row>
    <row r="31967" spans="1:5" x14ac:dyDescent="0.25">
      <c r="A31967" t="s">
        <v>10058</v>
      </c>
      <c r="B31967" t="s">
        <v>10059</v>
      </c>
      <c r="C31967" s="1" t="s">
        <v>23490</v>
      </c>
      <c r="D31967" s="1" t="str">
        <f>HYPERLINK("https://rhld.insurance.arkansas.gov/NPILookup?Npi=1891899738","1891899738")</f>
        <v>1891899738</v>
      </c>
      <c r="E31967" t="s">
        <v>10086</v>
      </c>
    </row>
    <row r="31968" spans="1:5" x14ac:dyDescent="0.25">
      <c r="A31968" t="s">
        <v>10058</v>
      </c>
      <c r="B31968" t="s">
        <v>10059</v>
      </c>
      <c r="C31968" s="1" t="s">
        <v>23490</v>
      </c>
      <c r="D31968" s="1" t="str">
        <f>HYPERLINK("https://rhld.insurance.arkansas.gov/NPILookup?Npi=1891946687","1891946687")</f>
        <v>1891946687</v>
      </c>
      <c r="E31968" t="s">
        <v>10532</v>
      </c>
    </row>
    <row r="31969" spans="1:5" x14ac:dyDescent="0.25">
      <c r="A31969" t="s">
        <v>10058</v>
      </c>
      <c r="B31969" t="s">
        <v>10059</v>
      </c>
      <c r="C31969" s="1" t="s">
        <v>23490</v>
      </c>
      <c r="D31969" s="1" t="str">
        <f>HYPERLINK("https://rhld.insurance.arkansas.gov/NPILookup?Npi=1902043227","1902043227")</f>
        <v>1902043227</v>
      </c>
      <c r="E31969" t="s">
        <v>10533</v>
      </c>
    </row>
    <row r="31970" spans="1:5" x14ac:dyDescent="0.25">
      <c r="A31970" t="s">
        <v>10058</v>
      </c>
      <c r="B31970" t="s">
        <v>10059</v>
      </c>
      <c r="C31970" s="1" t="s">
        <v>23490</v>
      </c>
      <c r="D31970" s="1" t="str">
        <f>HYPERLINK("https://rhld.insurance.arkansas.gov/NPILookup?Npi=1902052285","1902052285")</f>
        <v>1902052285</v>
      </c>
      <c r="E31970" t="s">
        <v>10066</v>
      </c>
    </row>
    <row r="31971" spans="1:5" x14ac:dyDescent="0.25">
      <c r="A31971" t="s">
        <v>10058</v>
      </c>
      <c r="B31971" t="s">
        <v>10059</v>
      </c>
      <c r="C31971" s="1" t="s">
        <v>23490</v>
      </c>
      <c r="D31971" s="1" t="str">
        <f>HYPERLINK("https://rhld.insurance.arkansas.gov/NPILookup?Npi=1902121338","1902121338")</f>
        <v>1902121338</v>
      </c>
      <c r="E31971" t="s">
        <v>10066</v>
      </c>
    </row>
    <row r="31972" spans="1:5" x14ac:dyDescent="0.25">
      <c r="A31972" t="s">
        <v>10058</v>
      </c>
      <c r="B31972" t="s">
        <v>10059</v>
      </c>
      <c r="C31972" s="1" t="s">
        <v>23490</v>
      </c>
      <c r="D31972" s="1" t="str">
        <f>HYPERLINK("https://rhld.insurance.arkansas.gov/NPILookup?Npi=1902176142","1902176142")</f>
        <v>1902176142</v>
      </c>
      <c r="E31972" t="s">
        <v>10365</v>
      </c>
    </row>
    <row r="31973" spans="1:5" x14ac:dyDescent="0.25">
      <c r="A31973" t="s">
        <v>10058</v>
      </c>
      <c r="B31973" t="s">
        <v>10059</v>
      </c>
      <c r="C31973" s="1" t="s">
        <v>23490</v>
      </c>
      <c r="D31973" s="1" t="str">
        <f>HYPERLINK("https://rhld.insurance.arkansas.gov/NPILookup?Npi=1902191067","1902191067")</f>
        <v>1902191067</v>
      </c>
      <c r="E31973" t="s">
        <v>10061</v>
      </c>
    </row>
    <row r="31974" spans="1:5" x14ac:dyDescent="0.25">
      <c r="A31974" t="s">
        <v>10058</v>
      </c>
      <c r="B31974" t="s">
        <v>10059</v>
      </c>
      <c r="C31974" s="1" t="s">
        <v>23490</v>
      </c>
      <c r="D31974" s="1" t="str">
        <f>HYPERLINK("https://rhld.insurance.arkansas.gov/NPILookup?Npi=1902299571","1902299571")</f>
        <v>1902299571</v>
      </c>
      <c r="E31974" t="s">
        <v>22809</v>
      </c>
    </row>
    <row r="31975" spans="1:5" x14ac:dyDescent="0.25">
      <c r="A31975" t="s">
        <v>10058</v>
      </c>
      <c r="B31975" t="s">
        <v>10059</v>
      </c>
      <c r="C31975" s="1" t="s">
        <v>23490</v>
      </c>
      <c r="D31975" s="1" t="str">
        <f>HYPERLINK("https://rhld.insurance.arkansas.gov/NPILookup?Npi=1902359342","1902359342")</f>
        <v>1902359342</v>
      </c>
      <c r="E31975" t="s">
        <v>10534</v>
      </c>
    </row>
    <row r="31976" spans="1:5" x14ac:dyDescent="0.25">
      <c r="A31976" t="s">
        <v>10058</v>
      </c>
      <c r="B31976" t="s">
        <v>10059</v>
      </c>
      <c r="C31976" s="1" t="s">
        <v>23490</v>
      </c>
      <c r="D31976" s="1" t="str">
        <f>HYPERLINK("https://rhld.insurance.arkansas.gov/NPILookup?Npi=1902373814","1902373814")</f>
        <v>1902373814</v>
      </c>
      <c r="E31976" t="s">
        <v>16842</v>
      </c>
    </row>
    <row r="31977" spans="1:5" x14ac:dyDescent="0.25">
      <c r="A31977" t="s">
        <v>10058</v>
      </c>
      <c r="B31977" t="s">
        <v>10059</v>
      </c>
      <c r="C31977" s="1" t="s">
        <v>23490</v>
      </c>
      <c r="D31977" s="1" t="str">
        <f>HYPERLINK("https://rhld.insurance.arkansas.gov/NPILookup?Npi=1902803042","1902803042")</f>
        <v>1902803042</v>
      </c>
      <c r="E31977" t="s">
        <v>10535</v>
      </c>
    </row>
    <row r="31978" spans="1:5" x14ac:dyDescent="0.25">
      <c r="A31978" t="s">
        <v>10058</v>
      </c>
      <c r="B31978" t="s">
        <v>10059</v>
      </c>
      <c r="C31978" s="1" t="s">
        <v>23490</v>
      </c>
      <c r="D31978" s="1" t="str">
        <f>HYPERLINK("https://rhld.insurance.arkansas.gov/NPILookup?Npi=1902805260","1902805260")</f>
        <v>1902805260</v>
      </c>
      <c r="E31978" t="s">
        <v>10536</v>
      </c>
    </row>
    <row r="31979" spans="1:5" x14ac:dyDescent="0.25">
      <c r="A31979" t="s">
        <v>10058</v>
      </c>
      <c r="B31979" t="s">
        <v>10059</v>
      </c>
      <c r="C31979" s="1" t="s">
        <v>23490</v>
      </c>
      <c r="D31979" s="1" t="str">
        <f>HYPERLINK("https://rhld.insurance.arkansas.gov/NPILookup?Npi=1902811268","1902811268")</f>
        <v>1902811268</v>
      </c>
      <c r="E31979" t="s">
        <v>10066</v>
      </c>
    </row>
    <row r="31980" spans="1:5" x14ac:dyDescent="0.25">
      <c r="A31980" t="s">
        <v>10058</v>
      </c>
      <c r="B31980" t="s">
        <v>10059</v>
      </c>
      <c r="C31980" s="1" t="s">
        <v>23490</v>
      </c>
      <c r="D31980" s="1" t="str">
        <f>HYPERLINK("https://rhld.insurance.arkansas.gov/NPILookup?Npi=1902821622","1902821622")</f>
        <v>1902821622</v>
      </c>
      <c r="E31980" t="s">
        <v>10067</v>
      </c>
    </row>
    <row r="31981" spans="1:5" x14ac:dyDescent="0.25">
      <c r="A31981" t="s">
        <v>10058</v>
      </c>
      <c r="B31981" t="s">
        <v>10059</v>
      </c>
      <c r="C31981" s="1" t="s">
        <v>23490</v>
      </c>
      <c r="D31981" s="1" t="str">
        <f>HYPERLINK("https://rhld.insurance.arkansas.gov/NPILookup?Npi=1902823495","1902823495")</f>
        <v>1902823495</v>
      </c>
      <c r="E31981" t="s">
        <v>13312</v>
      </c>
    </row>
    <row r="31982" spans="1:5" x14ac:dyDescent="0.25">
      <c r="A31982" t="s">
        <v>10058</v>
      </c>
      <c r="B31982" t="s">
        <v>10059</v>
      </c>
      <c r="C31982" s="1" t="s">
        <v>23490</v>
      </c>
      <c r="D31982" s="1" t="str">
        <f>HYPERLINK("https://rhld.insurance.arkansas.gov/NPILookup?Npi=1902824485","1902824485")</f>
        <v>1902824485</v>
      </c>
      <c r="E31982" t="s">
        <v>10060</v>
      </c>
    </row>
    <row r="31983" spans="1:5" x14ac:dyDescent="0.25">
      <c r="A31983" t="s">
        <v>10058</v>
      </c>
      <c r="B31983" t="s">
        <v>10059</v>
      </c>
      <c r="C31983" s="1" t="s">
        <v>23490</v>
      </c>
      <c r="D31983" s="1" t="str">
        <f>HYPERLINK("https://rhld.insurance.arkansas.gov/NPILookup?Npi=1902838949","1902838949")</f>
        <v>1902838949</v>
      </c>
      <c r="E31983" t="s">
        <v>16843</v>
      </c>
    </row>
    <row r="31984" spans="1:5" x14ac:dyDescent="0.25">
      <c r="A31984" t="s">
        <v>10058</v>
      </c>
      <c r="B31984" t="s">
        <v>10059</v>
      </c>
      <c r="C31984" s="1" t="s">
        <v>23490</v>
      </c>
      <c r="D31984" s="1" t="str">
        <f>HYPERLINK("https://rhld.insurance.arkansas.gov/NPILookup?Npi=1902946668","1902946668")</f>
        <v>1902946668</v>
      </c>
      <c r="E31984" t="s">
        <v>10537</v>
      </c>
    </row>
    <row r="31985" spans="1:5" x14ac:dyDescent="0.25">
      <c r="A31985" t="s">
        <v>10058</v>
      </c>
      <c r="B31985" t="s">
        <v>10059</v>
      </c>
      <c r="C31985" s="1" t="s">
        <v>23490</v>
      </c>
      <c r="D31985" s="1" t="str">
        <f>HYPERLINK("https://rhld.insurance.arkansas.gov/NPILookup?Npi=1902954969","1902954969")</f>
        <v>1902954969</v>
      </c>
      <c r="E31985" t="s">
        <v>10121</v>
      </c>
    </row>
    <row r="31986" spans="1:5" x14ac:dyDescent="0.25">
      <c r="A31986" t="s">
        <v>10058</v>
      </c>
      <c r="B31986" t="s">
        <v>10059</v>
      </c>
      <c r="C31986" s="1" t="s">
        <v>23490</v>
      </c>
      <c r="D31986" s="1" t="str">
        <f>HYPERLINK("https://rhld.insurance.arkansas.gov/NPILookup?Npi=1902961113","1902961113")</f>
        <v>1902961113</v>
      </c>
      <c r="E31986" t="s">
        <v>10538</v>
      </c>
    </row>
    <row r="31987" spans="1:5" x14ac:dyDescent="0.25">
      <c r="A31987" t="s">
        <v>10058</v>
      </c>
      <c r="B31987" t="s">
        <v>10059</v>
      </c>
      <c r="C31987" s="1" t="s">
        <v>23490</v>
      </c>
      <c r="D31987" s="1" t="str">
        <f>HYPERLINK("https://rhld.insurance.arkansas.gov/NPILookup?Npi=1912049073","1912049073")</f>
        <v>1912049073</v>
      </c>
      <c r="E31987" t="s">
        <v>10539</v>
      </c>
    </row>
    <row r="31988" spans="1:5" x14ac:dyDescent="0.25">
      <c r="A31988" t="s">
        <v>10058</v>
      </c>
      <c r="B31988" t="s">
        <v>10059</v>
      </c>
      <c r="C31988" s="1" t="s">
        <v>23490</v>
      </c>
      <c r="D31988" s="1" t="str">
        <f>HYPERLINK("https://rhld.insurance.arkansas.gov/NPILookup?Npi=1912087446","1912087446")</f>
        <v>1912087446</v>
      </c>
      <c r="E31988" t="s">
        <v>10540</v>
      </c>
    </row>
    <row r="31989" spans="1:5" x14ac:dyDescent="0.25">
      <c r="A31989" t="s">
        <v>10058</v>
      </c>
      <c r="B31989" t="s">
        <v>10059</v>
      </c>
      <c r="C31989" s="1" t="s">
        <v>23490</v>
      </c>
      <c r="D31989" s="1" t="str">
        <f>HYPERLINK("https://rhld.insurance.arkansas.gov/NPILookup?Npi=1912306036","1912306036")</f>
        <v>1912306036</v>
      </c>
      <c r="E31989" t="s">
        <v>10063</v>
      </c>
    </row>
    <row r="31990" spans="1:5" x14ac:dyDescent="0.25">
      <c r="A31990" t="s">
        <v>10058</v>
      </c>
      <c r="B31990" t="s">
        <v>10059</v>
      </c>
      <c r="C31990" s="1" t="s">
        <v>23490</v>
      </c>
      <c r="D31990" s="1" t="str">
        <f>HYPERLINK("https://rhld.insurance.arkansas.gov/NPILookup?Npi=1912312828","1912312828")</f>
        <v>1912312828</v>
      </c>
      <c r="E31990" t="s">
        <v>18629</v>
      </c>
    </row>
    <row r="31991" spans="1:5" x14ac:dyDescent="0.25">
      <c r="A31991" t="s">
        <v>10058</v>
      </c>
      <c r="B31991" t="s">
        <v>10059</v>
      </c>
      <c r="C31991" s="1" t="s">
        <v>23490</v>
      </c>
      <c r="D31991" s="1" t="str">
        <f>HYPERLINK("https://rhld.insurance.arkansas.gov/NPILookup?Npi=1912381609","1912381609")</f>
        <v>1912381609</v>
      </c>
      <c r="E31991" t="s">
        <v>20867</v>
      </c>
    </row>
    <row r="31992" spans="1:5" x14ac:dyDescent="0.25">
      <c r="A31992" t="s">
        <v>10058</v>
      </c>
      <c r="B31992" t="s">
        <v>10059</v>
      </c>
      <c r="C31992" s="1" t="s">
        <v>23490</v>
      </c>
      <c r="D31992" s="1" t="str">
        <f>HYPERLINK("https://rhld.insurance.arkansas.gov/NPILookup?Npi=1912447806","1912447806")</f>
        <v>1912447806</v>
      </c>
      <c r="E31992" t="s">
        <v>14673</v>
      </c>
    </row>
    <row r="31993" spans="1:5" x14ac:dyDescent="0.25">
      <c r="A31993" t="s">
        <v>10058</v>
      </c>
      <c r="B31993" t="s">
        <v>10059</v>
      </c>
      <c r="C31993" s="1" t="s">
        <v>23490</v>
      </c>
      <c r="D31993" s="1" t="str">
        <f>HYPERLINK("https://rhld.insurance.arkansas.gov/NPILookup?Npi=1912517897","1912517897")</f>
        <v>1912517897</v>
      </c>
      <c r="E31993" t="s">
        <v>19274</v>
      </c>
    </row>
    <row r="31994" spans="1:5" x14ac:dyDescent="0.25">
      <c r="A31994" t="s">
        <v>10058</v>
      </c>
      <c r="B31994" t="s">
        <v>10059</v>
      </c>
      <c r="C31994" s="1" t="s">
        <v>23490</v>
      </c>
      <c r="D31994" s="1" t="str">
        <f>HYPERLINK("https://rhld.insurance.arkansas.gov/NPILookup?Npi=1912525692","1912525692")</f>
        <v>1912525692</v>
      </c>
      <c r="E31994" t="s">
        <v>18630</v>
      </c>
    </row>
    <row r="31995" spans="1:5" x14ac:dyDescent="0.25">
      <c r="A31995" t="s">
        <v>10058</v>
      </c>
      <c r="B31995" t="s">
        <v>10059</v>
      </c>
      <c r="C31995" s="1" t="s">
        <v>23490</v>
      </c>
      <c r="D31995" s="1" t="str">
        <f>HYPERLINK("https://rhld.insurance.arkansas.gov/NPILookup?Npi=1912537713","1912537713")</f>
        <v>1912537713</v>
      </c>
      <c r="E31995" t="s">
        <v>16817</v>
      </c>
    </row>
    <row r="31996" spans="1:5" x14ac:dyDescent="0.25">
      <c r="A31996" t="s">
        <v>10058</v>
      </c>
      <c r="B31996" t="s">
        <v>10059</v>
      </c>
      <c r="C31996" s="1" t="s">
        <v>23490</v>
      </c>
      <c r="D31996" s="1" t="str">
        <f>HYPERLINK("https://rhld.insurance.arkansas.gov/NPILookup?Npi=1912540329","1912540329")</f>
        <v>1912540329</v>
      </c>
      <c r="E31996" t="s">
        <v>16844</v>
      </c>
    </row>
    <row r="31997" spans="1:5" x14ac:dyDescent="0.25">
      <c r="A31997" t="s">
        <v>10058</v>
      </c>
      <c r="B31997" t="s">
        <v>10059</v>
      </c>
      <c r="C31997" s="1" t="s">
        <v>23490</v>
      </c>
      <c r="D31997" s="1" t="str">
        <f>HYPERLINK("https://rhld.insurance.arkansas.gov/NPILookup?Npi=1912567850","1912567850")</f>
        <v>1912567850</v>
      </c>
      <c r="E31997" t="s">
        <v>16845</v>
      </c>
    </row>
    <row r="31998" spans="1:5" x14ac:dyDescent="0.25">
      <c r="A31998" t="s">
        <v>10058</v>
      </c>
      <c r="B31998" t="s">
        <v>10059</v>
      </c>
      <c r="C31998" s="1" t="s">
        <v>23490</v>
      </c>
      <c r="D31998" s="1" t="str">
        <f>HYPERLINK("https://rhld.insurance.arkansas.gov/NPILookup?Npi=1912639964","1912639964")</f>
        <v>1912639964</v>
      </c>
      <c r="E31998" t="s">
        <v>10470</v>
      </c>
    </row>
    <row r="31999" spans="1:5" x14ac:dyDescent="0.25">
      <c r="A31999" t="s">
        <v>10058</v>
      </c>
      <c r="B31999" t="s">
        <v>10059</v>
      </c>
      <c r="C31999" s="1" t="s">
        <v>23490</v>
      </c>
      <c r="D31999" s="1" t="str">
        <f>HYPERLINK("https://rhld.insurance.arkansas.gov/NPILookup?Npi=1912698069","1912698069")</f>
        <v>1912698069</v>
      </c>
      <c r="E31999" t="s">
        <v>16828</v>
      </c>
    </row>
    <row r="32000" spans="1:5" x14ac:dyDescent="0.25">
      <c r="A32000" t="s">
        <v>10058</v>
      </c>
      <c r="B32000" t="s">
        <v>10059</v>
      </c>
      <c r="C32000" s="1" t="s">
        <v>23490</v>
      </c>
      <c r="D32000" s="1" t="str">
        <f>HYPERLINK("https://rhld.insurance.arkansas.gov/NPILookup?Npi=1912912163","1912912163")</f>
        <v>1912912163</v>
      </c>
      <c r="E32000" t="s">
        <v>10066</v>
      </c>
    </row>
    <row r="32001" spans="1:5" x14ac:dyDescent="0.25">
      <c r="A32001" t="s">
        <v>10058</v>
      </c>
      <c r="B32001" t="s">
        <v>10059</v>
      </c>
      <c r="C32001" s="1" t="s">
        <v>23490</v>
      </c>
      <c r="D32001" s="1" t="str">
        <f>HYPERLINK("https://rhld.insurance.arkansas.gov/NPILookup?Npi=1912912270","1912912270")</f>
        <v>1912912270</v>
      </c>
      <c r="E32001" t="s">
        <v>10066</v>
      </c>
    </row>
    <row r="32002" spans="1:5" x14ac:dyDescent="0.25">
      <c r="A32002" t="s">
        <v>10058</v>
      </c>
      <c r="B32002" t="s">
        <v>10059</v>
      </c>
      <c r="C32002" s="1" t="s">
        <v>23490</v>
      </c>
      <c r="D32002" s="1" t="str">
        <f>HYPERLINK("https://rhld.insurance.arkansas.gov/NPILookup?Npi=1922025022","1922025022")</f>
        <v>1922025022</v>
      </c>
      <c r="E32002" t="s">
        <v>10060</v>
      </c>
    </row>
    <row r="32003" spans="1:5" x14ac:dyDescent="0.25">
      <c r="A32003" t="s">
        <v>10058</v>
      </c>
      <c r="B32003" t="s">
        <v>10059</v>
      </c>
      <c r="C32003" s="1" t="s">
        <v>23490</v>
      </c>
      <c r="D32003" s="1" t="str">
        <f>HYPERLINK("https://rhld.insurance.arkansas.gov/NPILookup?Npi=1922025428","1922025428")</f>
        <v>1922025428</v>
      </c>
      <c r="E32003" t="s">
        <v>13312</v>
      </c>
    </row>
    <row r="32004" spans="1:5" x14ac:dyDescent="0.25">
      <c r="A32004" t="s">
        <v>10058</v>
      </c>
      <c r="B32004" t="s">
        <v>10059</v>
      </c>
      <c r="C32004" s="1" t="s">
        <v>23490</v>
      </c>
      <c r="D32004" s="1" t="str">
        <f>HYPERLINK("https://rhld.insurance.arkansas.gov/NPILookup?Npi=1922142025","1922142025")</f>
        <v>1922142025</v>
      </c>
      <c r="E32004" t="s">
        <v>10541</v>
      </c>
    </row>
    <row r="32005" spans="1:5" x14ac:dyDescent="0.25">
      <c r="A32005" t="s">
        <v>10058</v>
      </c>
      <c r="B32005" t="s">
        <v>10059</v>
      </c>
      <c r="C32005" s="1" t="s">
        <v>23490</v>
      </c>
      <c r="D32005" s="1" t="str">
        <f>HYPERLINK("https://rhld.insurance.arkansas.gov/NPILookup?Npi=1922178771","1922178771")</f>
        <v>1922178771</v>
      </c>
      <c r="E32005" t="s">
        <v>10066</v>
      </c>
    </row>
    <row r="32006" spans="1:5" x14ac:dyDescent="0.25">
      <c r="A32006" t="s">
        <v>10058</v>
      </c>
      <c r="B32006" t="s">
        <v>10059</v>
      </c>
      <c r="C32006" s="1" t="s">
        <v>23490</v>
      </c>
      <c r="D32006" s="1" t="str">
        <f>HYPERLINK("https://rhld.insurance.arkansas.gov/NPILookup?Npi=1922192327","1922192327")</f>
        <v>1922192327</v>
      </c>
      <c r="E32006" t="s">
        <v>10542</v>
      </c>
    </row>
    <row r="32007" spans="1:5" x14ac:dyDescent="0.25">
      <c r="A32007" t="s">
        <v>10058</v>
      </c>
      <c r="B32007" t="s">
        <v>10059</v>
      </c>
      <c r="C32007" s="1" t="s">
        <v>23490</v>
      </c>
      <c r="D32007" s="1" t="str">
        <f>HYPERLINK("https://rhld.insurance.arkansas.gov/NPILookup?Npi=1922285352","1922285352")</f>
        <v>1922285352</v>
      </c>
      <c r="E32007" t="s">
        <v>10543</v>
      </c>
    </row>
    <row r="32008" spans="1:5" x14ac:dyDescent="0.25">
      <c r="A32008" t="s">
        <v>10058</v>
      </c>
      <c r="B32008" t="s">
        <v>10059</v>
      </c>
      <c r="C32008" s="1" t="s">
        <v>23490</v>
      </c>
      <c r="D32008" s="1" t="str">
        <f>HYPERLINK("https://rhld.insurance.arkansas.gov/NPILookup?Npi=1922349901","1922349901")</f>
        <v>1922349901</v>
      </c>
      <c r="E32008" t="s">
        <v>13312</v>
      </c>
    </row>
    <row r="32009" spans="1:5" x14ac:dyDescent="0.25">
      <c r="A32009" t="s">
        <v>10058</v>
      </c>
      <c r="B32009" t="s">
        <v>10059</v>
      </c>
      <c r="C32009" s="1" t="s">
        <v>23490</v>
      </c>
      <c r="D32009" s="1" t="str">
        <f>HYPERLINK("https://rhld.insurance.arkansas.gov/NPILookup?Npi=1922375559","1922375559")</f>
        <v>1922375559</v>
      </c>
      <c r="E32009" t="s">
        <v>10544</v>
      </c>
    </row>
    <row r="32010" spans="1:5" x14ac:dyDescent="0.25">
      <c r="A32010" t="s">
        <v>10058</v>
      </c>
      <c r="B32010" t="s">
        <v>10059</v>
      </c>
      <c r="C32010" s="1" t="s">
        <v>23490</v>
      </c>
      <c r="D32010" s="1" t="str">
        <f>HYPERLINK("https://rhld.insurance.arkansas.gov/NPILookup?Npi=1922410067","1922410067")</f>
        <v>1922410067</v>
      </c>
      <c r="E32010" t="s">
        <v>10545</v>
      </c>
    </row>
    <row r="32011" spans="1:5" x14ac:dyDescent="0.25">
      <c r="A32011" t="s">
        <v>10058</v>
      </c>
      <c r="B32011" t="s">
        <v>10059</v>
      </c>
      <c r="C32011" s="1" t="s">
        <v>23490</v>
      </c>
      <c r="D32011" s="1" t="str">
        <f>HYPERLINK("https://rhld.insurance.arkansas.gov/NPILookup?Npi=1922418615","1922418615")</f>
        <v>1922418615</v>
      </c>
      <c r="E32011" t="s">
        <v>10546</v>
      </c>
    </row>
    <row r="32012" spans="1:5" x14ac:dyDescent="0.25">
      <c r="A32012" t="s">
        <v>10058</v>
      </c>
      <c r="B32012" t="s">
        <v>10059</v>
      </c>
      <c r="C32012" s="1" t="s">
        <v>23490</v>
      </c>
      <c r="D32012" s="1" t="str">
        <f>HYPERLINK("https://rhld.insurance.arkansas.gov/NPILookup?Npi=1922559343","1922559343")</f>
        <v>1922559343</v>
      </c>
      <c r="E32012" t="s">
        <v>14653</v>
      </c>
    </row>
    <row r="32013" spans="1:5" x14ac:dyDescent="0.25">
      <c r="A32013" t="s">
        <v>10058</v>
      </c>
      <c r="B32013" t="s">
        <v>10059</v>
      </c>
      <c r="C32013" s="1" t="s">
        <v>23490</v>
      </c>
      <c r="D32013" s="1" t="str">
        <f>HYPERLINK("https://rhld.insurance.arkansas.gov/NPILookup?Npi=1922620483","1922620483")</f>
        <v>1922620483</v>
      </c>
      <c r="E32013" t="s">
        <v>18631</v>
      </c>
    </row>
    <row r="32014" spans="1:5" x14ac:dyDescent="0.25">
      <c r="A32014" t="s">
        <v>10058</v>
      </c>
      <c r="B32014" t="s">
        <v>10059</v>
      </c>
      <c r="C32014" s="1" t="s">
        <v>23490</v>
      </c>
      <c r="D32014" s="1" t="str">
        <f>HYPERLINK("https://rhld.insurance.arkansas.gov/NPILookup?Npi=1922630797","1922630797")</f>
        <v>1922630797</v>
      </c>
      <c r="E32014" t="s">
        <v>10539</v>
      </c>
    </row>
    <row r="32015" spans="1:5" x14ac:dyDescent="0.25">
      <c r="A32015" t="s">
        <v>10058</v>
      </c>
      <c r="B32015" t="s">
        <v>10059</v>
      </c>
      <c r="C32015" s="1" t="s">
        <v>23490</v>
      </c>
      <c r="D32015" s="1" t="str">
        <f>HYPERLINK("https://rhld.insurance.arkansas.gov/NPILookup?Npi=1922643006","1922643006")</f>
        <v>1922643006</v>
      </c>
      <c r="E32015" t="s">
        <v>19302</v>
      </c>
    </row>
    <row r="32016" spans="1:5" x14ac:dyDescent="0.25">
      <c r="A32016" t="s">
        <v>10058</v>
      </c>
      <c r="B32016" t="s">
        <v>10059</v>
      </c>
      <c r="C32016" s="1" t="s">
        <v>23490</v>
      </c>
      <c r="D32016" s="1" t="str">
        <f>HYPERLINK("https://rhld.insurance.arkansas.gov/NPILookup?Npi=1922656222","1922656222")</f>
        <v>1922656222</v>
      </c>
      <c r="E32016" t="s">
        <v>23388</v>
      </c>
    </row>
    <row r="32017" spans="1:5" x14ac:dyDescent="0.25">
      <c r="A32017" t="s">
        <v>10058</v>
      </c>
      <c r="B32017" t="s">
        <v>10059</v>
      </c>
      <c r="C32017" s="1" t="s">
        <v>23490</v>
      </c>
      <c r="D32017" s="1" t="str">
        <f>HYPERLINK("https://rhld.insurance.arkansas.gov/NPILookup?Npi=1922680677","1922680677")</f>
        <v>1922680677</v>
      </c>
      <c r="E32017" t="s">
        <v>19303</v>
      </c>
    </row>
    <row r="32018" spans="1:5" x14ac:dyDescent="0.25">
      <c r="A32018" t="s">
        <v>10058</v>
      </c>
      <c r="B32018" t="s">
        <v>10059</v>
      </c>
      <c r="C32018" s="1" t="s">
        <v>23490</v>
      </c>
      <c r="D32018" s="1" t="str">
        <f>HYPERLINK("https://rhld.insurance.arkansas.gov/NPILookup?Npi=1922737964","1922737964")</f>
        <v>1922737964</v>
      </c>
      <c r="E32018" t="s">
        <v>22865</v>
      </c>
    </row>
    <row r="32019" spans="1:5" x14ac:dyDescent="0.25">
      <c r="A32019" t="s">
        <v>10058</v>
      </c>
      <c r="B32019" t="s">
        <v>10059</v>
      </c>
      <c r="C32019" s="1" t="s">
        <v>23490</v>
      </c>
      <c r="D32019" s="1" t="str">
        <f>HYPERLINK("https://rhld.insurance.arkansas.gov/NPILookup?Npi=1932114170","1932114170")</f>
        <v>1932114170</v>
      </c>
      <c r="E32019" t="s">
        <v>10066</v>
      </c>
    </row>
    <row r="32020" spans="1:5" x14ac:dyDescent="0.25">
      <c r="A32020" t="s">
        <v>10058</v>
      </c>
      <c r="B32020" t="s">
        <v>10059</v>
      </c>
      <c r="C32020" s="1" t="s">
        <v>23490</v>
      </c>
      <c r="D32020" s="1" t="str">
        <f>HYPERLINK("https://rhld.insurance.arkansas.gov/NPILookup?Npi=1932114964","1932114964")</f>
        <v>1932114964</v>
      </c>
      <c r="E32020" t="s">
        <v>10066</v>
      </c>
    </row>
    <row r="32021" spans="1:5" x14ac:dyDescent="0.25">
      <c r="A32021" t="s">
        <v>10058</v>
      </c>
      <c r="B32021" t="s">
        <v>10059</v>
      </c>
      <c r="C32021" s="1" t="s">
        <v>23490</v>
      </c>
      <c r="D32021" s="1" t="str">
        <f>HYPERLINK("https://rhld.insurance.arkansas.gov/NPILookup?Npi=1932126117","1932126117")</f>
        <v>1932126117</v>
      </c>
      <c r="E32021" t="s">
        <v>10127</v>
      </c>
    </row>
    <row r="32022" spans="1:5" x14ac:dyDescent="0.25">
      <c r="A32022" t="s">
        <v>10058</v>
      </c>
      <c r="B32022" t="s">
        <v>10059</v>
      </c>
      <c r="C32022" s="1" t="s">
        <v>23490</v>
      </c>
      <c r="D32022" s="1" t="str">
        <f>HYPERLINK("https://rhld.insurance.arkansas.gov/NPILookup?Npi=1932128915","1932128915")</f>
        <v>1932128915</v>
      </c>
      <c r="E32022" t="s">
        <v>13312</v>
      </c>
    </row>
    <row r="32023" spans="1:5" x14ac:dyDescent="0.25">
      <c r="A32023" t="s">
        <v>10058</v>
      </c>
      <c r="B32023" t="s">
        <v>10059</v>
      </c>
      <c r="C32023" s="1" t="s">
        <v>23490</v>
      </c>
      <c r="D32023" s="1" t="str">
        <f>HYPERLINK("https://rhld.insurance.arkansas.gov/NPILookup?Npi=1932150448","1932150448")</f>
        <v>1932150448</v>
      </c>
      <c r="E32023" t="s">
        <v>10547</v>
      </c>
    </row>
    <row r="32024" spans="1:5" x14ac:dyDescent="0.25">
      <c r="A32024" t="s">
        <v>10058</v>
      </c>
      <c r="B32024" t="s">
        <v>10059</v>
      </c>
      <c r="C32024" s="1" t="s">
        <v>23490</v>
      </c>
      <c r="D32024" s="1" t="str">
        <f>HYPERLINK("https://rhld.insurance.arkansas.gov/NPILookup?Npi=1932208972","1932208972")</f>
        <v>1932208972</v>
      </c>
      <c r="E32024" t="s">
        <v>22818</v>
      </c>
    </row>
    <row r="32025" spans="1:5" x14ac:dyDescent="0.25">
      <c r="A32025" t="s">
        <v>10058</v>
      </c>
      <c r="B32025" t="s">
        <v>10059</v>
      </c>
      <c r="C32025" s="1" t="s">
        <v>23490</v>
      </c>
      <c r="D32025" s="1" t="str">
        <f>HYPERLINK("https://rhld.insurance.arkansas.gov/NPILookup?Npi=1932215415","1932215415")</f>
        <v>1932215415</v>
      </c>
      <c r="E32025" t="s">
        <v>10548</v>
      </c>
    </row>
    <row r="32026" spans="1:5" x14ac:dyDescent="0.25">
      <c r="A32026" t="s">
        <v>10058</v>
      </c>
      <c r="B32026" t="s">
        <v>10059</v>
      </c>
      <c r="C32026" s="1" t="s">
        <v>23490</v>
      </c>
      <c r="D32026" s="1" t="str">
        <f>HYPERLINK("https://rhld.insurance.arkansas.gov/NPILookup?Npi=1932261658","1932261658")</f>
        <v>1932261658</v>
      </c>
      <c r="E32026" t="s">
        <v>10549</v>
      </c>
    </row>
    <row r="32027" spans="1:5" x14ac:dyDescent="0.25">
      <c r="A32027" t="s">
        <v>10058</v>
      </c>
      <c r="B32027" t="s">
        <v>10059</v>
      </c>
      <c r="C32027" s="1" t="s">
        <v>23490</v>
      </c>
      <c r="D32027" s="1" t="str">
        <f>HYPERLINK("https://rhld.insurance.arkansas.gov/NPILookup?Npi=1932271590","1932271590")</f>
        <v>1932271590</v>
      </c>
      <c r="E32027" t="s">
        <v>10550</v>
      </c>
    </row>
    <row r="32028" spans="1:5" x14ac:dyDescent="0.25">
      <c r="A32028" t="s">
        <v>10058</v>
      </c>
      <c r="B32028" t="s">
        <v>10059</v>
      </c>
      <c r="C32028" s="1" t="s">
        <v>23490</v>
      </c>
      <c r="D32028" s="1" t="str">
        <f>HYPERLINK("https://rhld.insurance.arkansas.gov/NPILookup?Npi=1932272267","1932272267")</f>
        <v>1932272267</v>
      </c>
      <c r="E32028" t="s">
        <v>10087</v>
      </c>
    </row>
    <row r="32029" spans="1:5" x14ac:dyDescent="0.25">
      <c r="A32029" t="s">
        <v>10058</v>
      </c>
      <c r="B32029" t="s">
        <v>10059</v>
      </c>
      <c r="C32029" s="1" t="s">
        <v>23490</v>
      </c>
      <c r="D32029" s="1" t="str">
        <f>HYPERLINK("https://rhld.insurance.arkansas.gov/NPILookup?Npi=1932274362","1932274362")</f>
        <v>1932274362</v>
      </c>
      <c r="E32029" t="s">
        <v>10551</v>
      </c>
    </row>
    <row r="32030" spans="1:5" x14ac:dyDescent="0.25">
      <c r="A32030" t="s">
        <v>10058</v>
      </c>
      <c r="B32030" t="s">
        <v>10059</v>
      </c>
      <c r="C32030" s="1" t="s">
        <v>23490</v>
      </c>
      <c r="D32030" s="1" t="str">
        <f>HYPERLINK("https://rhld.insurance.arkansas.gov/NPILookup?Npi=1932338779","1932338779")</f>
        <v>1932338779</v>
      </c>
      <c r="E32030" t="s">
        <v>10066</v>
      </c>
    </row>
    <row r="32031" spans="1:5" x14ac:dyDescent="0.25">
      <c r="A32031" t="s">
        <v>10058</v>
      </c>
      <c r="B32031" t="s">
        <v>10059</v>
      </c>
      <c r="C32031" s="1" t="s">
        <v>23490</v>
      </c>
      <c r="D32031" s="1" t="str">
        <f>HYPERLINK("https://rhld.insurance.arkansas.gov/NPILookup?Npi=1932424991","1932424991")</f>
        <v>1932424991</v>
      </c>
      <c r="E32031" t="s">
        <v>10345</v>
      </c>
    </row>
    <row r="32032" spans="1:5" x14ac:dyDescent="0.25">
      <c r="A32032" t="s">
        <v>10058</v>
      </c>
      <c r="B32032" t="s">
        <v>10059</v>
      </c>
      <c r="C32032" s="1" t="s">
        <v>23490</v>
      </c>
      <c r="D32032" s="1" t="str">
        <f>HYPERLINK("https://rhld.insurance.arkansas.gov/NPILookup?Npi=1932566650","1932566650")</f>
        <v>1932566650</v>
      </c>
      <c r="E32032" t="s">
        <v>10552</v>
      </c>
    </row>
    <row r="32033" spans="1:5" x14ac:dyDescent="0.25">
      <c r="A32033" t="s">
        <v>10058</v>
      </c>
      <c r="B32033" t="s">
        <v>10059</v>
      </c>
      <c r="C32033" s="1" t="s">
        <v>23490</v>
      </c>
      <c r="D32033" s="1" t="str">
        <f>HYPERLINK("https://rhld.insurance.arkansas.gov/NPILookup?Npi=1932683992","1932683992")</f>
        <v>1932683992</v>
      </c>
      <c r="E32033" t="s">
        <v>10514</v>
      </c>
    </row>
    <row r="32034" spans="1:5" x14ac:dyDescent="0.25">
      <c r="A32034" t="s">
        <v>10058</v>
      </c>
      <c r="B32034" t="s">
        <v>10059</v>
      </c>
      <c r="C32034" s="1" t="s">
        <v>23490</v>
      </c>
      <c r="D32034" s="1" t="str">
        <f>HYPERLINK("https://rhld.insurance.arkansas.gov/NPILookup?Npi=1932705944","1932705944")</f>
        <v>1932705944</v>
      </c>
      <c r="E32034" t="s">
        <v>10170</v>
      </c>
    </row>
    <row r="32035" spans="1:5" x14ac:dyDescent="0.25">
      <c r="A32035" t="s">
        <v>10058</v>
      </c>
      <c r="B32035" t="s">
        <v>10059</v>
      </c>
      <c r="C32035" s="1" t="s">
        <v>23490</v>
      </c>
      <c r="D32035" s="1" t="str">
        <f>HYPERLINK("https://rhld.insurance.arkansas.gov/NPILookup?Npi=1942215371","1942215371")</f>
        <v>1942215371</v>
      </c>
      <c r="E32035" t="s">
        <v>10066</v>
      </c>
    </row>
    <row r="32036" spans="1:5" x14ac:dyDescent="0.25">
      <c r="A32036" t="s">
        <v>10058</v>
      </c>
      <c r="B32036" t="s">
        <v>10059</v>
      </c>
      <c r="C32036" s="1" t="s">
        <v>23490</v>
      </c>
      <c r="D32036" s="1" t="str">
        <f>HYPERLINK("https://rhld.insurance.arkansas.gov/NPILookup?Npi=1942234679","1942234679")</f>
        <v>1942234679</v>
      </c>
      <c r="E32036" t="s">
        <v>10067</v>
      </c>
    </row>
    <row r="32037" spans="1:5" x14ac:dyDescent="0.25">
      <c r="A32037" t="s">
        <v>10058</v>
      </c>
      <c r="B32037" t="s">
        <v>10059</v>
      </c>
      <c r="C32037" s="1" t="s">
        <v>23490</v>
      </c>
      <c r="D32037" s="1" t="str">
        <f>HYPERLINK("https://rhld.insurance.arkansas.gov/NPILookup?Npi=1942296827","1942296827")</f>
        <v>1942296827</v>
      </c>
      <c r="E32037" t="s">
        <v>10553</v>
      </c>
    </row>
    <row r="32038" spans="1:5" x14ac:dyDescent="0.25">
      <c r="A32038" t="s">
        <v>10058</v>
      </c>
      <c r="B32038" t="s">
        <v>10059</v>
      </c>
      <c r="C32038" s="1" t="s">
        <v>23490</v>
      </c>
      <c r="D32038" s="1" t="str">
        <f>HYPERLINK("https://rhld.insurance.arkansas.gov/NPILookup?Npi=1942337811","1942337811")</f>
        <v>1942337811</v>
      </c>
      <c r="E32038" t="s">
        <v>10554</v>
      </c>
    </row>
    <row r="32039" spans="1:5" x14ac:dyDescent="0.25">
      <c r="A32039" t="s">
        <v>10058</v>
      </c>
      <c r="B32039" t="s">
        <v>10059</v>
      </c>
      <c r="C32039" s="1" t="s">
        <v>23490</v>
      </c>
      <c r="D32039" s="1" t="str">
        <f>HYPERLINK("https://rhld.insurance.arkansas.gov/NPILookup?Npi=1942348024","1942348024")</f>
        <v>1942348024</v>
      </c>
      <c r="E32039" t="s">
        <v>10555</v>
      </c>
    </row>
    <row r="32040" spans="1:5" x14ac:dyDescent="0.25">
      <c r="A32040" t="s">
        <v>10058</v>
      </c>
      <c r="B32040" t="s">
        <v>10059</v>
      </c>
      <c r="C32040" s="1" t="s">
        <v>23490</v>
      </c>
      <c r="D32040" s="1" t="str">
        <f>HYPERLINK("https://rhld.insurance.arkansas.gov/NPILookup?Npi=1942373410","1942373410")</f>
        <v>1942373410</v>
      </c>
      <c r="E32040" t="s">
        <v>10087</v>
      </c>
    </row>
    <row r="32041" spans="1:5" x14ac:dyDescent="0.25">
      <c r="A32041" t="s">
        <v>10058</v>
      </c>
      <c r="B32041" t="s">
        <v>10059</v>
      </c>
      <c r="C32041" s="1" t="s">
        <v>23490</v>
      </c>
      <c r="D32041" s="1" t="str">
        <f>HYPERLINK("https://rhld.insurance.arkansas.gov/NPILookup?Npi=1942384748","1942384748")</f>
        <v>1942384748</v>
      </c>
      <c r="E32041" t="s">
        <v>21359</v>
      </c>
    </row>
    <row r="32042" spans="1:5" x14ac:dyDescent="0.25">
      <c r="A32042" t="s">
        <v>10058</v>
      </c>
      <c r="B32042" t="s">
        <v>10059</v>
      </c>
      <c r="C32042" s="1" t="s">
        <v>23490</v>
      </c>
      <c r="D32042" s="1" t="str">
        <f>HYPERLINK("https://rhld.insurance.arkansas.gov/NPILookup?Npi=1942453220","1942453220")</f>
        <v>1942453220</v>
      </c>
      <c r="E32042" t="s">
        <v>10556</v>
      </c>
    </row>
    <row r="32043" spans="1:5" x14ac:dyDescent="0.25">
      <c r="A32043" t="s">
        <v>10058</v>
      </c>
      <c r="B32043" t="s">
        <v>10059</v>
      </c>
      <c r="C32043" s="1" t="s">
        <v>23490</v>
      </c>
      <c r="D32043" s="1" t="str">
        <f>HYPERLINK("https://rhld.insurance.arkansas.gov/NPILookup?Npi=1942486576","1942486576")</f>
        <v>1942486576</v>
      </c>
      <c r="E32043" t="s">
        <v>10078</v>
      </c>
    </row>
    <row r="32044" spans="1:5" x14ac:dyDescent="0.25">
      <c r="A32044" t="s">
        <v>10058</v>
      </c>
      <c r="B32044" t="s">
        <v>10059</v>
      </c>
      <c r="C32044" s="1" t="s">
        <v>23490</v>
      </c>
      <c r="D32044" s="1" t="str">
        <f>HYPERLINK("https://rhld.insurance.arkansas.gov/NPILookup?Npi=1942525084","1942525084")</f>
        <v>1942525084</v>
      </c>
      <c r="E32044" t="s">
        <v>19304</v>
      </c>
    </row>
    <row r="32045" spans="1:5" x14ac:dyDescent="0.25">
      <c r="A32045" t="s">
        <v>10058</v>
      </c>
      <c r="B32045" t="s">
        <v>10059</v>
      </c>
      <c r="C32045" s="1" t="s">
        <v>23490</v>
      </c>
      <c r="D32045" s="1" t="str">
        <f>HYPERLINK("https://rhld.insurance.arkansas.gov/NPILookup?Npi=1942540026","1942540026")</f>
        <v>1942540026</v>
      </c>
      <c r="E32045" t="s">
        <v>12755</v>
      </c>
    </row>
    <row r="32046" spans="1:5" x14ac:dyDescent="0.25">
      <c r="A32046" t="s">
        <v>10058</v>
      </c>
      <c r="B32046" t="s">
        <v>10059</v>
      </c>
      <c r="C32046" s="1" t="s">
        <v>23490</v>
      </c>
      <c r="D32046" s="1" t="str">
        <f>HYPERLINK("https://rhld.insurance.arkansas.gov/NPILookup?Npi=1942606306","1942606306")</f>
        <v>1942606306</v>
      </c>
      <c r="E32046" t="s">
        <v>10078</v>
      </c>
    </row>
    <row r="32047" spans="1:5" x14ac:dyDescent="0.25">
      <c r="A32047" t="s">
        <v>10058</v>
      </c>
      <c r="B32047" t="s">
        <v>10059</v>
      </c>
      <c r="C32047" s="1" t="s">
        <v>23490</v>
      </c>
      <c r="D32047" s="1" t="str">
        <f>HYPERLINK("https://rhld.insurance.arkansas.gov/NPILookup?Npi=1942611504","1942611504")</f>
        <v>1942611504</v>
      </c>
      <c r="E32047" t="s">
        <v>10557</v>
      </c>
    </row>
    <row r="32048" spans="1:5" x14ac:dyDescent="0.25">
      <c r="A32048" t="s">
        <v>10058</v>
      </c>
      <c r="B32048" t="s">
        <v>10059</v>
      </c>
      <c r="C32048" s="1" t="s">
        <v>23490</v>
      </c>
      <c r="D32048" s="1" t="str">
        <f>HYPERLINK("https://rhld.insurance.arkansas.gov/NPILookup?Npi=1942645569","1942645569")</f>
        <v>1942645569</v>
      </c>
      <c r="E32048" t="s">
        <v>10558</v>
      </c>
    </row>
    <row r="32049" spans="1:5" x14ac:dyDescent="0.25">
      <c r="A32049" t="s">
        <v>10058</v>
      </c>
      <c r="B32049" t="s">
        <v>10059</v>
      </c>
      <c r="C32049" s="1" t="s">
        <v>23490</v>
      </c>
      <c r="D32049" s="1" t="str">
        <f>HYPERLINK("https://rhld.insurance.arkansas.gov/NPILookup?Npi=1942756465","1942756465")</f>
        <v>1942756465</v>
      </c>
      <c r="E32049" t="s">
        <v>10559</v>
      </c>
    </row>
    <row r="32050" spans="1:5" x14ac:dyDescent="0.25">
      <c r="A32050" t="s">
        <v>10058</v>
      </c>
      <c r="B32050" t="s">
        <v>10059</v>
      </c>
      <c r="C32050" s="1" t="s">
        <v>23490</v>
      </c>
      <c r="D32050" s="1" t="str">
        <f>HYPERLINK("https://rhld.insurance.arkansas.gov/NPILookup?Npi=1942881578","1942881578")</f>
        <v>1942881578</v>
      </c>
      <c r="E32050" t="s">
        <v>10360</v>
      </c>
    </row>
    <row r="32051" spans="1:5" x14ac:dyDescent="0.25">
      <c r="A32051" t="s">
        <v>10058</v>
      </c>
      <c r="B32051" t="s">
        <v>10059</v>
      </c>
      <c r="C32051" s="1" t="s">
        <v>23490</v>
      </c>
      <c r="D32051" s="1" t="str">
        <f>HYPERLINK("https://rhld.insurance.arkansas.gov/NPILookup?Npi=1952071813","1952071813")</f>
        <v>1952071813</v>
      </c>
      <c r="E32051" t="s">
        <v>19305</v>
      </c>
    </row>
    <row r="32052" spans="1:5" x14ac:dyDescent="0.25">
      <c r="A32052" t="s">
        <v>10058</v>
      </c>
      <c r="B32052" t="s">
        <v>10059</v>
      </c>
      <c r="C32052" s="1" t="s">
        <v>23490</v>
      </c>
      <c r="D32052" s="1" t="str">
        <f>HYPERLINK("https://rhld.insurance.arkansas.gov/NPILookup?Npi=1952078123","1952078123")</f>
        <v>1952078123</v>
      </c>
      <c r="E32052" t="s">
        <v>19306</v>
      </c>
    </row>
    <row r="32053" spans="1:5" x14ac:dyDescent="0.25">
      <c r="A32053" t="s">
        <v>10058</v>
      </c>
      <c r="B32053" t="s">
        <v>10059</v>
      </c>
      <c r="C32053" s="1" t="s">
        <v>23490</v>
      </c>
      <c r="D32053" s="1" t="str">
        <f>HYPERLINK("https://rhld.insurance.arkansas.gov/NPILookup?Npi=1952317331","1952317331")</f>
        <v>1952317331</v>
      </c>
      <c r="E32053" t="s">
        <v>10066</v>
      </c>
    </row>
    <row r="32054" spans="1:5" x14ac:dyDescent="0.25">
      <c r="A32054" t="s">
        <v>10058</v>
      </c>
      <c r="B32054" t="s">
        <v>10059</v>
      </c>
      <c r="C32054" s="1" t="s">
        <v>23490</v>
      </c>
      <c r="D32054" s="1" t="str">
        <f>HYPERLINK("https://rhld.insurance.arkansas.gov/NPILookup?Npi=1952317687","1952317687")</f>
        <v>1952317687</v>
      </c>
      <c r="E32054" t="s">
        <v>13323</v>
      </c>
    </row>
    <row r="32055" spans="1:5" x14ac:dyDescent="0.25">
      <c r="A32055" t="s">
        <v>10058</v>
      </c>
      <c r="B32055" t="s">
        <v>10059</v>
      </c>
      <c r="C32055" s="1" t="s">
        <v>23490</v>
      </c>
      <c r="D32055" s="1" t="str">
        <f>HYPERLINK("https://rhld.insurance.arkansas.gov/NPILookup?Npi=1952328353","1952328353")</f>
        <v>1952328353</v>
      </c>
      <c r="E32055" t="s">
        <v>10088</v>
      </c>
    </row>
    <row r="32056" spans="1:5" x14ac:dyDescent="0.25">
      <c r="A32056" t="s">
        <v>10058</v>
      </c>
      <c r="B32056" t="s">
        <v>10059</v>
      </c>
      <c r="C32056" s="1" t="s">
        <v>23490</v>
      </c>
      <c r="D32056" s="1" t="str">
        <f>HYPERLINK("https://rhld.insurance.arkansas.gov/NPILookup?Npi=1952401275","1952401275")</f>
        <v>1952401275</v>
      </c>
      <c r="E32056" t="s">
        <v>10078</v>
      </c>
    </row>
    <row r="32057" spans="1:5" x14ac:dyDescent="0.25">
      <c r="A32057" t="s">
        <v>10058</v>
      </c>
      <c r="B32057" t="s">
        <v>10059</v>
      </c>
      <c r="C32057" s="1" t="s">
        <v>23490</v>
      </c>
      <c r="D32057" s="1" t="str">
        <f>HYPERLINK("https://rhld.insurance.arkansas.gov/NPILookup?Npi=1952473332","1952473332")</f>
        <v>1952473332</v>
      </c>
      <c r="E32057" t="s">
        <v>18617</v>
      </c>
    </row>
    <row r="32058" spans="1:5" x14ac:dyDescent="0.25">
      <c r="A32058" t="s">
        <v>10058</v>
      </c>
      <c r="B32058" t="s">
        <v>10059</v>
      </c>
      <c r="C32058" s="1" t="s">
        <v>23490</v>
      </c>
      <c r="D32058" s="1" t="str">
        <f>HYPERLINK("https://rhld.insurance.arkansas.gov/NPILookup?Npi=1952474421","1952474421")</f>
        <v>1952474421</v>
      </c>
      <c r="E32058" t="s">
        <v>10087</v>
      </c>
    </row>
    <row r="32059" spans="1:5" x14ac:dyDescent="0.25">
      <c r="A32059" t="s">
        <v>10058</v>
      </c>
      <c r="B32059" t="s">
        <v>10059</v>
      </c>
      <c r="C32059" s="1" t="s">
        <v>23490</v>
      </c>
      <c r="D32059" s="1" t="str">
        <f>HYPERLINK("https://rhld.insurance.arkansas.gov/NPILookup?Npi=1952530248","1952530248")</f>
        <v>1952530248</v>
      </c>
      <c r="E32059" t="s">
        <v>17811</v>
      </c>
    </row>
    <row r="32060" spans="1:5" x14ac:dyDescent="0.25">
      <c r="A32060" t="s">
        <v>10058</v>
      </c>
      <c r="B32060" t="s">
        <v>10059</v>
      </c>
      <c r="C32060" s="1" t="s">
        <v>23490</v>
      </c>
      <c r="D32060" s="1" t="str">
        <f>HYPERLINK("https://rhld.insurance.arkansas.gov/NPILookup?Npi=1952564205","1952564205")</f>
        <v>1952564205</v>
      </c>
      <c r="E32060" t="s">
        <v>10066</v>
      </c>
    </row>
    <row r="32061" spans="1:5" x14ac:dyDescent="0.25">
      <c r="A32061" t="s">
        <v>10058</v>
      </c>
      <c r="B32061" t="s">
        <v>10059</v>
      </c>
      <c r="C32061" s="1" t="s">
        <v>23490</v>
      </c>
      <c r="D32061" s="1" t="str">
        <f>HYPERLINK("https://rhld.insurance.arkansas.gov/NPILookup?Npi=1952647943","1952647943")</f>
        <v>1952647943</v>
      </c>
      <c r="E32061" t="s">
        <v>10560</v>
      </c>
    </row>
    <row r="32062" spans="1:5" x14ac:dyDescent="0.25">
      <c r="A32062" t="s">
        <v>10058</v>
      </c>
      <c r="B32062" t="s">
        <v>10059</v>
      </c>
      <c r="C32062" s="1" t="s">
        <v>23490</v>
      </c>
      <c r="D32062" s="1" t="str">
        <f>HYPERLINK("https://rhld.insurance.arkansas.gov/NPILookup?Npi=1952814857","1952814857")</f>
        <v>1952814857</v>
      </c>
      <c r="E32062" t="s">
        <v>14674</v>
      </c>
    </row>
    <row r="32063" spans="1:5" x14ac:dyDescent="0.25">
      <c r="A32063" t="s">
        <v>10058</v>
      </c>
      <c r="B32063" t="s">
        <v>10059</v>
      </c>
      <c r="C32063" s="1" t="s">
        <v>23490</v>
      </c>
      <c r="D32063" s="1" t="str">
        <f>HYPERLINK("https://rhld.insurance.arkansas.gov/NPILookup?Npi=1952881401","1952881401")</f>
        <v>1952881401</v>
      </c>
      <c r="E32063" t="s">
        <v>16814</v>
      </c>
    </row>
    <row r="32064" spans="1:5" x14ac:dyDescent="0.25">
      <c r="A32064" t="s">
        <v>10058</v>
      </c>
      <c r="B32064" t="s">
        <v>10059</v>
      </c>
      <c r="C32064" s="1" t="s">
        <v>23490</v>
      </c>
      <c r="D32064" s="1" t="str">
        <f>HYPERLINK("https://rhld.insurance.arkansas.gov/NPILookup?Npi=1962026583","1962026583")</f>
        <v>1962026583</v>
      </c>
      <c r="E32064" t="s">
        <v>18632</v>
      </c>
    </row>
    <row r="32065" spans="1:5" x14ac:dyDescent="0.25">
      <c r="A32065" t="s">
        <v>10058</v>
      </c>
      <c r="B32065" t="s">
        <v>10059</v>
      </c>
      <c r="C32065" s="1" t="s">
        <v>23490</v>
      </c>
      <c r="D32065" s="1" t="str">
        <f>HYPERLINK("https://rhld.insurance.arkansas.gov/NPILookup?Npi=1962053843","1962053843")</f>
        <v>1962053843</v>
      </c>
      <c r="E32065" t="s">
        <v>22866</v>
      </c>
    </row>
    <row r="32066" spans="1:5" x14ac:dyDescent="0.25">
      <c r="A32066" t="s">
        <v>10058</v>
      </c>
      <c r="B32066" t="s">
        <v>10059</v>
      </c>
      <c r="C32066" s="1" t="s">
        <v>23490</v>
      </c>
      <c r="D32066" s="1" t="str">
        <f>HYPERLINK("https://rhld.insurance.arkansas.gov/NPILookup?Npi=1962421974","1962421974")</f>
        <v>1962421974</v>
      </c>
      <c r="E32066" t="s">
        <v>10060</v>
      </c>
    </row>
    <row r="32067" spans="1:5" x14ac:dyDescent="0.25">
      <c r="A32067" t="s">
        <v>10058</v>
      </c>
      <c r="B32067" t="s">
        <v>10059</v>
      </c>
      <c r="C32067" s="1" t="s">
        <v>23490</v>
      </c>
      <c r="D32067" s="1" t="str">
        <f>HYPERLINK("https://rhld.insurance.arkansas.gov/NPILookup?Npi=1962429217","1962429217")</f>
        <v>1962429217</v>
      </c>
      <c r="E32067" t="s">
        <v>10060</v>
      </c>
    </row>
    <row r="32068" spans="1:5" x14ac:dyDescent="0.25">
      <c r="A32068" t="s">
        <v>10058</v>
      </c>
      <c r="B32068" t="s">
        <v>10059</v>
      </c>
      <c r="C32068" s="1" t="s">
        <v>23490</v>
      </c>
      <c r="D32068" s="1" t="str">
        <f>HYPERLINK("https://rhld.insurance.arkansas.gov/NPILookup?Npi=1962429357","1962429357")</f>
        <v>1962429357</v>
      </c>
      <c r="E32068" t="s">
        <v>13312</v>
      </c>
    </row>
    <row r="32069" spans="1:5" x14ac:dyDescent="0.25">
      <c r="A32069" t="s">
        <v>10058</v>
      </c>
      <c r="B32069" t="s">
        <v>10059</v>
      </c>
      <c r="C32069" s="1" t="s">
        <v>23490</v>
      </c>
      <c r="D32069" s="1" t="str">
        <f>HYPERLINK("https://rhld.insurance.arkansas.gov/NPILookup?Npi=1962436717","1962436717")</f>
        <v>1962436717</v>
      </c>
      <c r="E32069" t="s">
        <v>10067</v>
      </c>
    </row>
    <row r="32070" spans="1:5" x14ac:dyDescent="0.25">
      <c r="A32070" t="s">
        <v>10058</v>
      </c>
      <c r="B32070" t="s">
        <v>10059</v>
      </c>
      <c r="C32070" s="1" t="s">
        <v>23490</v>
      </c>
      <c r="D32070" s="1" t="str">
        <f>HYPERLINK("https://rhld.insurance.arkansas.gov/NPILookup?Npi=1962468181","1962468181")</f>
        <v>1962468181</v>
      </c>
      <c r="E32070" t="s">
        <v>10561</v>
      </c>
    </row>
    <row r="32071" spans="1:5" x14ac:dyDescent="0.25">
      <c r="A32071" t="s">
        <v>10058</v>
      </c>
      <c r="B32071" t="s">
        <v>10059</v>
      </c>
      <c r="C32071" s="1" t="s">
        <v>23490</v>
      </c>
      <c r="D32071" s="1" t="str">
        <f>HYPERLINK("https://rhld.insurance.arkansas.gov/NPILookup?Npi=1962502286","1962502286")</f>
        <v>1962502286</v>
      </c>
      <c r="E32071" t="s">
        <v>10078</v>
      </c>
    </row>
    <row r="32072" spans="1:5" x14ac:dyDescent="0.25">
      <c r="A32072" t="s">
        <v>10058</v>
      </c>
      <c r="B32072" t="s">
        <v>10059</v>
      </c>
      <c r="C32072" s="1" t="s">
        <v>23490</v>
      </c>
      <c r="D32072" s="1" t="str">
        <f>HYPERLINK("https://rhld.insurance.arkansas.gov/NPILookup?Npi=1962516930","1962516930")</f>
        <v>1962516930</v>
      </c>
      <c r="E32072" t="s">
        <v>10562</v>
      </c>
    </row>
    <row r="32073" spans="1:5" x14ac:dyDescent="0.25">
      <c r="A32073" t="s">
        <v>10058</v>
      </c>
      <c r="B32073" t="s">
        <v>10059</v>
      </c>
      <c r="C32073" s="1" t="s">
        <v>23490</v>
      </c>
      <c r="D32073" s="1" t="str">
        <f>HYPERLINK("https://rhld.insurance.arkansas.gov/NPILookup?Npi=1962529685","1962529685")</f>
        <v>1962529685</v>
      </c>
      <c r="E32073" t="s">
        <v>10066</v>
      </c>
    </row>
    <row r="32074" spans="1:5" x14ac:dyDescent="0.25">
      <c r="A32074" t="s">
        <v>10058</v>
      </c>
      <c r="B32074" t="s">
        <v>10059</v>
      </c>
      <c r="C32074" s="1" t="s">
        <v>23490</v>
      </c>
      <c r="D32074" s="1" t="str">
        <f>HYPERLINK("https://rhld.insurance.arkansas.gov/NPILookup?Npi=1962553404","1962553404")</f>
        <v>1962553404</v>
      </c>
      <c r="E32074" t="s">
        <v>10563</v>
      </c>
    </row>
    <row r="32075" spans="1:5" x14ac:dyDescent="0.25">
      <c r="A32075" t="s">
        <v>10058</v>
      </c>
      <c r="B32075" t="s">
        <v>10059</v>
      </c>
      <c r="C32075" s="1" t="s">
        <v>23490</v>
      </c>
      <c r="D32075" s="1" t="str">
        <f>HYPERLINK("https://rhld.insurance.arkansas.gov/NPILookup?Npi=1962636829","1962636829")</f>
        <v>1962636829</v>
      </c>
      <c r="E32075" t="s">
        <v>10302</v>
      </c>
    </row>
    <row r="32076" spans="1:5" x14ac:dyDescent="0.25">
      <c r="A32076" t="s">
        <v>10058</v>
      </c>
      <c r="B32076" t="s">
        <v>10059</v>
      </c>
      <c r="C32076" s="1" t="s">
        <v>23490</v>
      </c>
      <c r="D32076" s="1" t="str">
        <f>HYPERLINK("https://rhld.insurance.arkansas.gov/NPILookup?Npi=1962652552","1962652552")</f>
        <v>1962652552</v>
      </c>
      <c r="E32076" t="s">
        <v>10066</v>
      </c>
    </row>
    <row r="32077" spans="1:5" x14ac:dyDescent="0.25">
      <c r="A32077" t="s">
        <v>10058</v>
      </c>
      <c r="B32077" t="s">
        <v>10059</v>
      </c>
      <c r="C32077" s="1" t="s">
        <v>23490</v>
      </c>
      <c r="D32077" s="1" t="str">
        <f>HYPERLINK("https://rhld.insurance.arkansas.gov/NPILookup?Npi=1962721464","1962721464")</f>
        <v>1962721464</v>
      </c>
      <c r="E32077" t="s">
        <v>10485</v>
      </c>
    </row>
    <row r="32078" spans="1:5" x14ac:dyDescent="0.25">
      <c r="A32078" t="s">
        <v>10058</v>
      </c>
      <c r="B32078" t="s">
        <v>10059</v>
      </c>
      <c r="C32078" s="1" t="s">
        <v>23490</v>
      </c>
      <c r="D32078" s="1" t="str">
        <f>HYPERLINK("https://rhld.insurance.arkansas.gov/NPILookup?Npi=1962746990","1962746990")</f>
        <v>1962746990</v>
      </c>
      <c r="E32078" t="s">
        <v>10564</v>
      </c>
    </row>
    <row r="32079" spans="1:5" x14ac:dyDescent="0.25">
      <c r="A32079" t="s">
        <v>10058</v>
      </c>
      <c r="B32079" t="s">
        <v>10059</v>
      </c>
      <c r="C32079" s="1" t="s">
        <v>23490</v>
      </c>
      <c r="D32079" s="1" t="str">
        <f>HYPERLINK("https://rhld.insurance.arkansas.gov/NPILookup?Npi=1962791483","1962791483")</f>
        <v>1962791483</v>
      </c>
      <c r="E32079" t="s">
        <v>10565</v>
      </c>
    </row>
    <row r="32080" spans="1:5" x14ac:dyDescent="0.25">
      <c r="A32080" t="s">
        <v>10058</v>
      </c>
      <c r="B32080" t="s">
        <v>10059</v>
      </c>
      <c r="C32080" s="1" t="s">
        <v>23490</v>
      </c>
      <c r="D32080" s="1" t="str">
        <f>HYPERLINK("https://rhld.insurance.arkansas.gov/NPILookup?Npi=1962806620","1962806620")</f>
        <v>1962806620</v>
      </c>
      <c r="E32080" t="s">
        <v>13312</v>
      </c>
    </row>
    <row r="32081" spans="1:5" x14ac:dyDescent="0.25">
      <c r="A32081" t="s">
        <v>10058</v>
      </c>
      <c r="B32081" t="s">
        <v>10059</v>
      </c>
      <c r="C32081" s="1" t="s">
        <v>23490</v>
      </c>
      <c r="D32081" s="1" t="str">
        <f>HYPERLINK("https://rhld.insurance.arkansas.gov/NPILookup?Npi=1962852954","1962852954")</f>
        <v>1962852954</v>
      </c>
      <c r="E32081" t="s">
        <v>10063</v>
      </c>
    </row>
    <row r="32082" spans="1:5" x14ac:dyDescent="0.25">
      <c r="A32082" t="s">
        <v>10058</v>
      </c>
      <c r="B32082" t="s">
        <v>10059</v>
      </c>
      <c r="C32082" s="1" t="s">
        <v>23490</v>
      </c>
      <c r="D32082" s="1" t="str">
        <f>HYPERLINK("https://rhld.insurance.arkansas.gov/NPILookup?Npi=1962960344","1962960344")</f>
        <v>1962960344</v>
      </c>
      <c r="E32082" t="s">
        <v>14632</v>
      </c>
    </row>
    <row r="32083" spans="1:5" x14ac:dyDescent="0.25">
      <c r="A32083" t="s">
        <v>10058</v>
      </c>
      <c r="B32083" t="s">
        <v>10059</v>
      </c>
      <c r="C32083" s="1" t="s">
        <v>23490</v>
      </c>
      <c r="D32083" s="1" t="str">
        <f>HYPERLINK("https://rhld.insurance.arkansas.gov/NPILookup?Npi=1962983395","1962983395")</f>
        <v>1962983395</v>
      </c>
      <c r="E32083" t="s">
        <v>10413</v>
      </c>
    </row>
    <row r="32084" spans="1:5" x14ac:dyDescent="0.25">
      <c r="A32084" t="s">
        <v>10058</v>
      </c>
      <c r="B32084" t="s">
        <v>10059</v>
      </c>
      <c r="C32084" s="1" t="s">
        <v>23490</v>
      </c>
      <c r="D32084" s="1" t="str">
        <f>HYPERLINK("https://rhld.insurance.arkansas.gov/NPILookup?Npi=1972051464","1972051464")</f>
        <v>1972051464</v>
      </c>
      <c r="E32084" t="s">
        <v>10328</v>
      </c>
    </row>
    <row r="32085" spans="1:5" x14ac:dyDescent="0.25">
      <c r="A32085" t="s">
        <v>10058</v>
      </c>
      <c r="B32085" t="s">
        <v>10059</v>
      </c>
      <c r="C32085" s="1" t="s">
        <v>23490</v>
      </c>
      <c r="D32085" s="1" t="str">
        <f>HYPERLINK("https://rhld.insurance.arkansas.gov/NPILookup?Npi=1972518231","1972518231")</f>
        <v>1972518231</v>
      </c>
      <c r="E32085" t="s">
        <v>10066</v>
      </c>
    </row>
    <row r="32086" spans="1:5" x14ac:dyDescent="0.25">
      <c r="A32086" t="s">
        <v>10058</v>
      </c>
      <c r="B32086" t="s">
        <v>10059</v>
      </c>
      <c r="C32086" s="1" t="s">
        <v>23490</v>
      </c>
      <c r="D32086" s="1" t="str">
        <f>HYPERLINK("https://rhld.insurance.arkansas.gov/NPILookup?Npi=1972518249","1972518249")</f>
        <v>1972518249</v>
      </c>
      <c r="E32086" t="s">
        <v>10066</v>
      </c>
    </row>
    <row r="32087" spans="1:5" x14ac:dyDescent="0.25">
      <c r="A32087" t="s">
        <v>10058</v>
      </c>
      <c r="B32087" t="s">
        <v>10059</v>
      </c>
      <c r="C32087" s="1" t="s">
        <v>23490</v>
      </c>
      <c r="D32087" s="1" t="str">
        <f>HYPERLINK("https://rhld.insurance.arkansas.gov/NPILookup?Npi=1972519445","1972519445")</f>
        <v>1972519445</v>
      </c>
      <c r="E32087" t="s">
        <v>10066</v>
      </c>
    </row>
    <row r="32088" spans="1:5" x14ac:dyDescent="0.25">
      <c r="A32088" t="s">
        <v>10058</v>
      </c>
      <c r="B32088" t="s">
        <v>10059</v>
      </c>
      <c r="C32088" s="1" t="s">
        <v>23490</v>
      </c>
      <c r="D32088" s="1" t="str">
        <f>HYPERLINK("https://rhld.insurance.arkansas.gov/NPILookup?Npi=1972520294","1972520294")</f>
        <v>1972520294</v>
      </c>
      <c r="E32088" t="s">
        <v>10060</v>
      </c>
    </row>
    <row r="32089" spans="1:5" x14ac:dyDescent="0.25">
      <c r="A32089" t="s">
        <v>10058</v>
      </c>
      <c r="B32089" t="s">
        <v>10059</v>
      </c>
      <c r="C32089" s="1" t="s">
        <v>23490</v>
      </c>
      <c r="D32089" s="1" t="str">
        <f>HYPERLINK("https://rhld.insurance.arkansas.gov/NPILookup?Npi=1972520351","1972520351")</f>
        <v>1972520351</v>
      </c>
      <c r="E32089" t="s">
        <v>13312</v>
      </c>
    </row>
    <row r="32090" spans="1:5" x14ac:dyDescent="0.25">
      <c r="A32090" t="s">
        <v>10058</v>
      </c>
      <c r="B32090" t="s">
        <v>10059</v>
      </c>
      <c r="C32090" s="1" t="s">
        <v>23490</v>
      </c>
      <c r="D32090" s="1" t="str">
        <f>HYPERLINK("https://rhld.insurance.arkansas.gov/NPILookup?Npi=1972520369","1972520369")</f>
        <v>1972520369</v>
      </c>
      <c r="E32090" t="s">
        <v>13312</v>
      </c>
    </row>
    <row r="32091" spans="1:5" x14ac:dyDescent="0.25">
      <c r="A32091" t="s">
        <v>10058</v>
      </c>
      <c r="B32091" t="s">
        <v>10059</v>
      </c>
      <c r="C32091" s="1" t="s">
        <v>23490</v>
      </c>
      <c r="D32091" s="1" t="str">
        <f>HYPERLINK("https://rhld.insurance.arkansas.gov/NPILookup?Npi=1972520377","1972520377")</f>
        <v>1972520377</v>
      </c>
      <c r="E32091" t="s">
        <v>13312</v>
      </c>
    </row>
    <row r="32092" spans="1:5" x14ac:dyDescent="0.25">
      <c r="A32092" t="s">
        <v>10058</v>
      </c>
      <c r="B32092" t="s">
        <v>10059</v>
      </c>
      <c r="C32092" s="1" t="s">
        <v>23490</v>
      </c>
      <c r="D32092" s="1" t="str">
        <f>HYPERLINK("https://rhld.insurance.arkansas.gov/NPILookup?Npi=1972537710","1972537710")</f>
        <v>1972537710</v>
      </c>
      <c r="E32092" t="s">
        <v>10067</v>
      </c>
    </row>
    <row r="32093" spans="1:5" x14ac:dyDescent="0.25">
      <c r="A32093" t="s">
        <v>10058</v>
      </c>
      <c r="B32093" t="s">
        <v>10059</v>
      </c>
      <c r="C32093" s="1" t="s">
        <v>23490</v>
      </c>
      <c r="D32093" s="1" t="str">
        <f>HYPERLINK("https://rhld.insurance.arkansas.gov/NPILookup?Npi=1972544393","1972544393")</f>
        <v>1972544393</v>
      </c>
      <c r="E32093" t="s">
        <v>10066</v>
      </c>
    </row>
    <row r="32094" spans="1:5" x14ac:dyDescent="0.25">
      <c r="A32094" t="s">
        <v>10058</v>
      </c>
      <c r="B32094" t="s">
        <v>10059</v>
      </c>
      <c r="C32094" s="1" t="s">
        <v>23490</v>
      </c>
      <c r="D32094" s="1" t="str">
        <f>HYPERLINK("https://rhld.insurance.arkansas.gov/NPILookup?Npi=1972554335","1972554335")</f>
        <v>1972554335</v>
      </c>
      <c r="E32094" t="s">
        <v>10566</v>
      </c>
    </row>
    <row r="32095" spans="1:5" x14ac:dyDescent="0.25">
      <c r="A32095" t="s">
        <v>10058</v>
      </c>
      <c r="B32095" t="s">
        <v>10059</v>
      </c>
      <c r="C32095" s="1" t="s">
        <v>23490</v>
      </c>
      <c r="D32095" s="1" t="str">
        <f>HYPERLINK("https://rhld.insurance.arkansas.gov/NPILookup?Npi=1972616126","1972616126")</f>
        <v>1972616126</v>
      </c>
      <c r="E32095" t="s">
        <v>16846</v>
      </c>
    </row>
    <row r="32096" spans="1:5" x14ac:dyDescent="0.25">
      <c r="A32096" t="s">
        <v>10058</v>
      </c>
      <c r="B32096" t="s">
        <v>10059</v>
      </c>
      <c r="C32096" s="1" t="s">
        <v>23490</v>
      </c>
      <c r="D32096" s="1" t="str">
        <f>HYPERLINK("https://rhld.insurance.arkansas.gov/NPILookup?Npi=1972676443","1972676443")</f>
        <v>1972676443</v>
      </c>
      <c r="E32096" t="s">
        <v>10087</v>
      </c>
    </row>
    <row r="32097" spans="1:5" x14ac:dyDescent="0.25">
      <c r="A32097" t="s">
        <v>10058</v>
      </c>
      <c r="B32097" t="s">
        <v>10059</v>
      </c>
      <c r="C32097" s="1" t="s">
        <v>23490</v>
      </c>
      <c r="D32097" s="1" t="str">
        <f>HYPERLINK("https://rhld.insurance.arkansas.gov/NPILookup?Npi=1972693950","1972693950")</f>
        <v>1972693950</v>
      </c>
      <c r="E32097" t="s">
        <v>18633</v>
      </c>
    </row>
    <row r="32098" spans="1:5" x14ac:dyDescent="0.25">
      <c r="A32098" t="s">
        <v>10058</v>
      </c>
      <c r="B32098" t="s">
        <v>10059</v>
      </c>
      <c r="C32098" s="1" t="s">
        <v>23490</v>
      </c>
      <c r="D32098" s="1" t="str">
        <f>HYPERLINK("https://rhld.insurance.arkansas.gov/NPILookup?Npi=1972722825","1972722825")</f>
        <v>1972722825</v>
      </c>
      <c r="E32098" t="s">
        <v>10567</v>
      </c>
    </row>
    <row r="32099" spans="1:5" x14ac:dyDescent="0.25">
      <c r="A32099" t="s">
        <v>10058</v>
      </c>
      <c r="B32099" t="s">
        <v>10059</v>
      </c>
      <c r="C32099" s="1" t="s">
        <v>23490</v>
      </c>
      <c r="D32099" s="1" t="str">
        <f>HYPERLINK("https://rhld.insurance.arkansas.gov/NPILookup?Npi=1972832962","1972832962")</f>
        <v>1972832962</v>
      </c>
      <c r="E32099" t="s">
        <v>10568</v>
      </c>
    </row>
    <row r="32100" spans="1:5" x14ac:dyDescent="0.25">
      <c r="A32100" t="s">
        <v>10058</v>
      </c>
      <c r="B32100" t="s">
        <v>10059</v>
      </c>
      <c r="C32100" s="1" t="s">
        <v>23490</v>
      </c>
      <c r="D32100" s="1" t="str">
        <f>HYPERLINK("https://rhld.insurance.arkansas.gov/NPILookup?Npi=1972895670","1972895670")</f>
        <v>1972895670</v>
      </c>
      <c r="E32100" t="s">
        <v>10569</v>
      </c>
    </row>
    <row r="32101" spans="1:5" x14ac:dyDescent="0.25">
      <c r="A32101" t="s">
        <v>10058</v>
      </c>
      <c r="B32101" t="s">
        <v>10059</v>
      </c>
      <c r="C32101" s="1" t="s">
        <v>23490</v>
      </c>
      <c r="D32101" s="1" t="str">
        <f>HYPERLINK("https://rhld.insurance.arkansas.gov/NPILookup?Npi=1972904811","1972904811")</f>
        <v>1972904811</v>
      </c>
      <c r="E32101" t="s">
        <v>13312</v>
      </c>
    </row>
    <row r="32102" spans="1:5" x14ac:dyDescent="0.25">
      <c r="A32102" t="s">
        <v>10058</v>
      </c>
      <c r="B32102" t="s">
        <v>10059</v>
      </c>
      <c r="C32102" s="1" t="s">
        <v>23490</v>
      </c>
      <c r="D32102" s="1" t="str">
        <f>HYPERLINK("https://rhld.insurance.arkansas.gov/NPILookup?Npi=1972907582","1972907582")</f>
        <v>1972907582</v>
      </c>
      <c r="E32102" t="s">
        <v>13312</v>
      </c>
    </row>
    <row r="32103" spans="1:5" x14ac:dyDescent="0.25">
      <c r="A32103" t="s">
        <v>10058</v>
      </c>
      <c r="B32103" t="s">
        <v>10059</v>
      </c>
      <c r="C32103" s="1" t="s">
        <v>23490</v>
      </c>
      <c r="D32103" s="1" t="str">
        <f>HYPERLINK("https://rhld.insurance.arkansas.gov/NPILookup?Npi=1972972529","1972972529")</f>
        <v>1972972529</v>
      </c>
      <c r="E32103" t="s">
        <v>10570</v>
      </c>
    </row>
    <row r="32104" spans="1:5" x14ac:dyDescent="0.25">
      <c r="A32104" t="s">
        <v>10058</v>
      </c>
      <c r="B32104" t="s">
        <v>10059</v>
      </c>
      <c r="C32104" s="1" t="s">
        <v>23490</v>
      </c>
      <c r="D32104" s="1" t="str">
        <f>HYPERLINK("https://rhld.insurance.arkansas.gov/NPILookup?Npi=1982078887","1982078887")</f>
        <v>1982078887</v>
      </c>
      <c r="E32104" t="s">
        <v>10571</v>
      </c>
    </row>
    <row r="32105" spans="1:5" x14ac:dyDescent="0.25">
      <c r="A32105" t="s">
        <v>10058</v>
      </c>
      <c r="B32105" t="s">
        <v>10059</v>
      </c>
      <c r="C32105" s="1" t="s">
        <v>23490</v>
      </c>
      <c r="D32105" s="1" t="str">
        <f>HYPERLINK("https://rhld.insurance.arkansas.gov/NPILookup?Npi=1982176426","1982176426")</f>
        <v>1982176426</v>
      </c>
      <c r="E32105" t="s">
        <v>22867</v>
      </c>
    </row>
    <row r="32106" spans="1:5" x14ac:dyDescent="0.25">
      <c r="A32106" t="s">
        <v>10058</v>
      </c>
      <c r="B32106" t="s">
        <v>10059</v>
      </c>
      <c r="C32106" s="1" t="s">
        <v>23490</v>
      </c>
      <c r="D32106" s="1" t="str">
        <f>HYPERLINK("https://rhld.insurance.arkansas.gov/NPILookup?Npi=1982194106","1982194106")</f>
        <v>1982194106</v>
      </c>
      <c r="E32106" t="s">
        <v>14675</v>
      </c>
    </row>
    <row r="32107" spans="1:5" x14ac:dyDescent="0.25">
      <c r="A32107" t="s">
        <v>10058</v>
      </c>
      <c r="B32107" t="s">
        <v>10059</v>
      </c>
      <c r="C32107" s="1" t="s">
        <v>23490</v>
      </c>
      <c r="D32107" s="1" t="str">
        <f>HYPERLINK("https://rhld.insurance.arkansas.gov/NPILookup?Npi=1982198388","1982198388")</f>
        <v>1982198388</v>
      </c>
      <c r="E32107" t="s">
        <v>14676</v>
      </c>
    </row>
    <row r="32108" spans="1:5" x14ac:dyDescent="0.25">
      <c r="A32108" t="s">
        <v>10058</v>
      </c>
      <c r="B32108" t="s">
        <v>10059</v>
      </c>
      <c r="C32108" s="1" t="s">
        <v>23490</v>
      </c>
      <c r="D32108" s="1" t="str">
        <f>HYPERLINK("https://rhld.insurance.arkansas.gov/NPILookup?Npi=1982254082","1982254082")</f>
        <v>1982254082</v>
      </c>
      <c r="E32108" t="s">
        <v>10302</v>
      </c>
    </row>
    <row r="32109" spans="1:5" x14ac:dyDescent="0.25">
      <c r="A32109" t="s">
        <v>10058</v>
      </c>
      <c r="B32109" t="s">
        <v>10059</v>
      </c>
      <c r="C32109" s="1" t="s">
        <v>23490</v>
      </c>
      <c r="D32109" s="1" t="str">
        <f>HYPERLINK("https://rhld.insurance.arkansas.gov/NPILookup?Npi=1982621256","1982621256")</f>
        <v>1982621256</v>
      </c>
      <c r="E32109" t="s">
        <v>10060</v>
      </c>
    </row>
    <row r="32110" spans="1:5" x14ac:dyDescent="0.25">
      <c r="A32110" t="s">
        <v>10058</v>
      </c>
      <c r="B32110" t="s">
        <v>10059</v>
      </c>
      <c r="C32110" s="1" t="s">
        <v>23490</v>
      </c>
      <c r="D32110" s="1" t="str">
        <f>HYPERLINK("https://rhld.insurance.arkansas.gov/NPILookup?Npi=1982621363","1982621363")</f>
        <v>1982621363</v>
      </c>
      <c r="E32110" t="s">
        <v>13312</v>
      </c>
    </row>
    <row r="32111" spans="1:5" x14ac:dyDescent="0.25">
      <c r="A32111" t="s">
        <v>10058</v>
      </c>
      <c r="B32111" t="s">
        <v>10059</v>
      </c>
      <c r="C32111" s="1" t="s">
        <v>23490</v>
      </c>
      <c r="D32111" s="1" t="str">
        <f>HYPERLINK("https://rhld.insurance.arkansas.gov/NPILookup?Npi=1982621371","1982621371")</f>
        <v>1982621371</v>
      </c>
      <c r="E32111" t="s">
        <v>13312</v>
      </c>
    </row>
    <row r="32112" spans="1:5" x14ac:dyDescent="0.25">
      <c r="A32112" t="s">
        <v>10058</v>
      </c>
      <c r="B32112" t="s">
        <v>10059</v>
      </c>
      <c r="C32112" s="1" t="s">
        <v>23490</v>
      </c>
      <c r="D32112" s="1" t="str">
        <f>HYPERLINK("https://rhld.insurance.arkansas.gov/NPILookup?Npi=1982652145","1982652145")</f>
        <v>1982652145</v>
      </c>
      <c r="E32112" t="s">
        <v>7597</v>
      </c>
    </row>
    <row r="32113" spans="1:5" x14ac:dyDescent="0.25">
      <c r="A32113" t="s">
        <v>10058</v>
      </c>
      <c r="B32113" t="s">
        <v>10059</v>
      </c>
      <c r="C32113" s="1" t="s">
        <v>23490</v>
      </c>
      <c r="D32113" s="1" t="str">
        <f>HYPERLINK("https://rhld.insurance.arkansas.gov/NPILookup?Npi=1982686614","1982686614")</f>
        <v>1982686614</v>
      </c>
      <c r="E32113" t="s">
        <v>10099</v>
      </c>
    </row>
    <row r="32114" spans="1:5" x14ac:dyDescent="0.25">
      <c r="A32114" t="s">
        <v>10058</v>
      </c>
      <c r="B32114" t="s">
        <v>10059</v>
      </c>
      <c r="C32114" s="1" t="s">
        <v>23490</v>
      </c>
      <c r="D32114" s="1" t="str">
        <f>HYPERLINK("https://rhld.insurance.arkansas.gov/NPILookup?Npi=1982698981","1982698981")</f>
        <v>1982698981</v>
      </c>
      <c r="E32114" t="s">
        <v>10441</v>
      </c>
    </row>
    <row r="32115" spans="1:5" x14ac:dyDescent="0.25">
      <c r="A32115" t="s">
        <v>10058</v>
      </c>
      <c r="B32115" t="s">
        <v>10059</v>
      </c>
      <c r="C32115" s="1" t="s">
        <v>23490</v>
      </c>
      <c r="D32115" s="1" t="str">
        <f>HYPERLINK("https://rhld.insurance.arkansas.gov/NPILookup?Npi=1982719902","1982719902")</f>
        <v>1982719902</v>
      </c>
      <c r="E32115" t="s">
        <v>10572</v>
      </c>
    </row>
    <row r="32116" spans="1:5" x14ac:dyDescent="0.25">
      <c r="A32116" t="s">
        <v>10058</v>
      </c>
      <c r="B32116" t="s">
        <v>10059</v>
      </c>
      <c r="C32116" s="1" t="s">
        <v>23490</v>
      </c>
      <c r="D32116" s="1" t="str">
        <f>HYPERLINK("https://rhld.insurance.arkansas.gov/NPILookup?Npi=1982777405","1982777405")</f>
        <v>1982777405</v>
      </c>
      <c r="E32116" t="s">
        <v>10113</v>
      </c>
    </row>
    <row r="32117" spans="1:5" x14ac:dyDescent="0.25">
      <c r="A32117" t="s">
        <v>10058</v>
      </c>
      <c r="B32117" t="s">
        <v>10059</v>
      </c>
      <c r="C32117" s="1" t="s">
        <v>23490</v>
      </c>
      <c r="D32117" s="1" t="str">
        <f>HYPERLINK("https://rhld.insurance.arkansas.gov/NPILookup?Npi=1982787396","1982787396")</f>
        <v>1982787396</v>
      </c>
      <c r="E32117" t="s">
        <v>10066</v>
      </c>
    </row>
    <row r="32118" spans="1:5" x14ac:dyDescent="0.25">
      <c r="A32118" t="s">
        <v>10058</v>
      </c>
      <c r="B32118" t="s">
        <v>10059</v>
      </c>
      <c r="C32118" s="1" t="s">
        <v>23490</v>
      </c>
      <c r="D32118" s="1" t="str">
        <f>HYPERLINK("https://rhld.insurance.arkansas.gov/NPILookup?Npi=1982855763","1982855763")</f>
        <v>1982855763</v>
      </c>
      <c r="E32118" t="s">
        <v>10573</v>
      </c>
    </row>
    <row r="32119" spans="1:5" x14ac:dyDescent="0.25">
      <c r="A32119" t="s">
        <v>10058</v>
      </c>
      <c r="B32119" t="s">
        <v>10059</v>
      </c>
      <c r="C32119" s="1" t="s">
        <v>23490</v>
      </c>
      <c r="D32119" s="1" t="str">
        <f>HYPERLINK("https://rhld.insurance.arkansas.gov/NPILookup?Npi=1982958484","1982958484")</f>
        <v>1982958484</v>
      </c>
      <c r="E32119" t="s">
        <v>10574</v>
      </c>
    </row>
    <row r="32120" spans="1:5" x14ac:dyDescent="0.25">
      <c r="A32120" t="s">
        <v>10058</v>
      </c>
      <c r="B32120" t="s">
        <v>10059</v>
      </c>
      <c r="C32120" s="1" t="s">
        <v>23490</v>
      </c>
      <c r="D32120" s="1" t="str">
        <f>HYPERLINK("https://rhld.insurance.arkansas.gov/NPILookup?Npi=1992122808","1992122808")</f>
        <v>1992122808</v>
      </c>
      <c r="E32120" t="s">
        <v>13312</v>
      </c>
    </row>
    <row r="32121" spans="1:5" x14ac:dyDescent="0.25">
      <c r="A32121" t="s">
        <v>10058</v>
      </c>
      <c r="B32121" t="s">
        <v>10059</v>
      </c>
      <c r="C32121" s="1" t="s">
        <v>23490</v>
      </c>
      <c r="D32121" s="1" t="str">
        <f>HYPERLINK("https://rhld.insurance.arkansas.gov/NPILookup?Npi=1992134381","1992134381")</f>
        <v>1992134381</v>
      </c>
      <c r="E32121" t="s">
        <v>17818</v>
      </c>
    </row>
    <row r="32122" spans="1:5" x14ac:dyDescent="0.25">
      <c r="A32122" t="s">
        <v>10058</v>
      </c>
      <c r="B32122" t="s">
        <v>10059</v>
      </c>
      <c r="C32122" s="1" t="s">
        <v>23490</v>
      </c>
      <c r="D32122" s="1" t="str">
        <f>HYPERLINK("https://rhld.insurance.arkansas.gov/NPILookup?Npi=1992221287","1992221287")</f>
        <v>1992221287</v>
      </c>
      <c r="E32122" t="s">
        <v>17811</v>
      </c>
    </row>
    <row r="32123" spans="1:5" x14ac:dyDescent="0.25">
      <c r="A32123" t="s">
        <v>10058</v>
      </c>
      <c r="B32123" t="s">
        <v>10059</v>
      </c>
      <c r="C32123" s="1" t="s">
        <v>23490</v>
      </c>
      <c r="D32123" s="1" t="str">
        <f>HYPERLINK("https://rhld.insurance.arkansas.gov/NPILookup?Npi=1992248702","1992248702")</f>
        <v>1992248702</v>
      </c>
      <c r="E32123" t="s">
        <v>10509</v>
      </c>
    </row>
    <row r="32124" spans="1:5" x14ac:dyDescent="0.25">
      <c r="A32124" t="s">
        <v>10058</v>
      </c>
      <c r="B32124" t="s">
        <v>10059</v>
      </c>
      <c r="C32124" s="1" t="s">
        <v>23490</v>
      </c>
      <c r="D32124" s="1" t="str">
        <f>HYPERLINK("https://rhld.insurance.arkansas.gov/NPILookup?Npi=1992369318","1992369318")</f>
        <v>1992369318</v>
      </c>
      <c r="E32124" t="s">
        <v>10421</v>
      </c>
    </row>
    <row r="32125" spans="1:5" x14ac:dyDescent="0.25">
      <c r="A32125" t="s">
        <v>10058</v>
      </c>
      <c r="B32125" t="s">
        <v>10059</v>
      </c>
      <c r="C32125" s="1" t="s">
        <v>23490</v>
      </c>
      <c r="D32125" s="1" t="str">
        <f>HYPERLINK("https://rhld.insurance.arkansas.gov/NPILookup?Npi=1992703243","1992703243")</f>
        <v>1992703243</v>
      </c>
      <c r="E32125" t="s">
        <v>10575</v>
      </c>
    </row>
    <row r="32126" spans="1:5" x14ac:dyDescent="0.25">
      <c r="A32126" t="s">
        <v>10058</v>
      </c>
      <c r="B32126" t="s">
        <v>10059</v>
      </c>
      <c r="C32126" s="1" t="s">
        <v>23490</v>
      </c>
      <c r="D32126" s="1" t="str">
        <f>HYPERLINK("https://rhld.insurance.arkansas.gov/NPILookup?Npi=1992739627","1992739627")</f>
        <v>1992739627</v>
      </c>
      <c r="E32126" t="s">
        <v>10067</v>
      </c>
    </row>
    <row r="32127" spans="1:5" x14ac:dyDescent="0.25">
      <c r="A32127" t="s">
        <v>10058</v>
      </c>
      <c r="B32127" t="s">
        <v>10059</v>
      </c>
      <c r="C32127" s="1" t="s">
        <v>23490</v>
      </c>
      <c r="D32127" s="1" t="str">
        <f>HYPERLINK("https://rhld.insurance.arkansas.gov/NPILookup?Npi=1992758882","1992758882")</f>
        <v>1992758882</v>
      </c>
      <c r="E32127" t="s">
        <v>23389</v>
      </c>
    </row>
    <row r="32128" spans="1:5" x14ac:dyDescent="0.25">
      <c r="A32128" t="s">
        <v>10058</v>
      </c>
      <c r="B32128" t="s">
        <v>10059</v>
      </c>
      <c r="C32128" s="1" t="s">
        <v>23490</v>
      </c>
      <c r="D32128" s="1" t="str">
        <f>HYPERLINK("https://rhld.insurance.arkansas.gov/NPILookup?Npi=1992802748","1992802748")</f>
        <v>1992802748</v>
      </c>
      <c r="E32128" t="s">
        <v>22868</v>
      </c>
    </row>
    <row r="32129" spans="1:5" x14ac:dyDescent="0.25">
      <c r="A32129" t="s">
        <v>10058</v>
      </c>
      <c r="B32129" t="s">
        <v>10059</v>
      </c>
      <c r="C32129" s="1" t="s">
        <v>23490</v>
      </c>
      <c r="D32129" s="1" t="str">
        <f>HYPERLINK("https://rhld.insurance.arkansas.gov/NPILookup?Npi=1992809560","1992809560")</f>
        <v>1992809560</v>
      </c>
      <c r="E32129" t="s">
        <v>10576</v>
      </c>
    </row>
    <row r="32130" spans="1:5" x14ac:dyDescent="0.25">
      <c r="A32130" t="s">
        <v>10058</v>
      </c>
      <c r="B32130" t="s">
        <v>10059</v>
      </c>
      <c r="C32130" s="1" t="s">
        <v>23490</v>
      </c>
      <c r="D32130" s="1" t="str">
        <f>HYPERLINK("https://rhld.insurance.arkansas.gov/NPILookup?Npi=1992848493","1992848493")</f>
        <v>1992848493</v>
      </c>
      <c r="E32130" t="s">
        <v>10577</v>
      </c>
    </row>
    <row r="32131" spans="1:5" x14ac:dyDescent="0.25">
      <c r="A32131" t="s">
        <v>10058</v>
      </c>
      <c r="B32131" t="s">
        <v>10059</v>
      </c>
      <c r="C32131" s="1" t="s">
        <v>23490</v>
      </c>
      <c r="D32131" s="1" t="str">
        <f>HYPERLINK("https://rhld.insurance.arkansas.gov/NPILookup?Npi=1992849764","1992849764")</f>
        <v>1992849764</v>
      </c>
      <c r="E32131" t="s">
        <v>10578</v>
      </c>
    </row>
    <row r="32132" spans="1:5" x14ac:dyDescent="0.25">
      <c r="A32132" t="s">
        <v>10058</v>
      </c>
      <c r="B32132" t="s">
        <v>10059</v>
      </c>
      <c r="C32132" s="1" t="s">
        <v>23490</v>
      </c>
      <c r="D32132" s="1" t="str">
        <f>HYPERLINK("https://rhld.insurance.arkansas.gov/NPILookup?Npi=1992875074","1992875074")</f>
        <v>1992875074</v>
      </c>
      <c r="E32132" t="s">
        <v>18617</v>
      </c>
    </row>
    <row r="32133" spans="1:5" x14ac:dyDescent="0.25">
      <c r="A32133" t="s">
        <v>10058</v>
      </c>
      <c r="B32133" t="s">
        <v>10059</v>
      </c>
      <c r="C32133" s="1" t="s">
        <v>23490</v>
      </c>
      <c r="D32133" s="19" t="str">
        <f>HYPERLINK("https://rhld.insurance.arkansas.gov/NPILookup?Npi=1992981336","1992981336")</f>
        <v>1992981336</v>
      </c>
      <c r="E32133" t="s">
        <v>13312</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120"/>
  <sheetViews>
    <sheetView zoomScale="78" zoomScaleNormal="78" workbookViewId="0">
      <selection activeCell="E6" sqref="E6"/>
    </sheetView>
  </sheetViews>
  <sheetFormatPr defaultRowHeight="15" x14ac:dyDescent="0.25"/>
  <cols>
    <col min="1" max="1" width="7.85546875" customWidth="1"/>
    <col min="2" max="2" width="38.140625" customWidth="1"/>
    <col min="3" max="3" width="13.5703125" bestFit="1" customWidth="1"/>
    <col min="4" max="4" width="12.140625" bestFit="1" customWidth="1"/>
    <col min="5" max="9" width="15.7109375" customWidth="1"/>
    <col min="10" max="10" width="55" customWidth="1"/>
    <col min="11" max="11" width="18" style="16" customWidth="1"/>
    <col min="12" max="12" width="33.28515625" style="16" customWidth="1"/>
    <col min="13" max="13" width="14.42578125" customWidth="1"/>
    <col min="14" max="14" width="13.28515625" customWidth="1"/>
    <col min="15" max="15" width="103.42578125" bestFit="1" customWidth="1"/>
  </cols>
  <sheetData>
    <row r="1" spans="1:15" ht="18.75" x14ac:dyDescent="0.3">
      <c r="A1" s="33" t="s">
        <v>17371</v>
      </c>
      <c r="B1" s="33"/>
      <c r="C1" s="33"/>
      <c r="D1" s="33"/>
      <c r="E1" s="33"/>
      <c r="F1" s="33"/>
      <c r="G1" s="33"/>
      <c r="H1" s="33"/>
      <c r="I1" s="33"/>
      <c r="J1" s="33"/>
      <c r="K1" s="33"/>
      <c r="L1" s="33"/>
      <c r="M1" s="33"/>
      <c r="N1" s="33"/>
      <c r="O1" s="33"/>
    </row>
    <row r="2" spans="1:15" s="15" customFormat="1" ht="76.5" customHeight="1" x14ac:dyDescent="0.25">
      <c r="A2" s="12" t="s">
        <v>8420</v>
      </c>
      <c r="B2" s="13" t="s">
        <v>18</v>
      </c>
      <c r="C2" s="13" t="s">
        <v>0</v>
      </c>
      <c r="D2" s="13" t="s">
        <v>17354</v>
      </c>
      <c r="E2" s="13" t="s">
        <v>17355</v>
      </c>
      <c r="F2" s="13" t="s">
        <v>17356</v>
      </c>
      <c r="G2" s="13" t="s">
        <v>17357</v>
      </c>
      <c r="H2" s="13" t="s">
        <v>17358</v>
      </c>
      <c r="I2" s="14" t="s">
        <v>17359</v>
      </c>
      <c r="J2" s="13" t="s">
        <v>17360</v>
      </c>
      <c r="K2" s="13" t="s">
        <v>17361</v>
      </c>
      <c r="L2" s="13" t="s">
        <v>17362</v>
      </c>
      <c r="M2" s="17" t="s">
        <v>17363</v>
      </c>
      <c r="N2" s="17" t="s">
        <v>17364</v>
      </c>
      <c r="O2" s="17" t="s">
        <v>17365</v>
      </c>
    </row>
    <row r="3" spans="1:15" x14ac:dyDescent="0.25">
      <c r="A3" t="s">
        <v>1</v>
      </c>
      <c r="B3" t="s">
        <v>19</v>
      </c>
      <c r="C3" s="18" t="str">
        <f>HYPERLINK("https://rhld.insurance.arkansas.gov/NPILookup?Npi=1013114610","1013114610")</f>
        <v>1013114610</v>
      </c>
      <c r="D3" t="s">
        <v>22880</v>
      </c>
      <c r="E3" t="s">
        <v>17366</v>
      </c>
      <c r="F3">
        <v>1</v>
      </c>
      <c r="G3">
        <v>2</v>
      </c>
      <c r="H3">
        <v>0</v>
      </c>
      <c r="I3">
        <v>0</v>
      </c>
      <c r="J3" t="s">
        <v>23390</v>
      </c>
      <c r="K3" t="s">
        <v>18640</v>
      </c>
      <c r="L3" t="s">
        <v>18640</v>
      </c>
      <c r="M3">
        <v>2</v>
      </c>
      <c r="N3" t="s">
        <v>17367</v>
      </c>
      <c r="O3" t="s">
        <v>23391</v>
      </c>
    </row>
    <row r="4" spans="1:15" x14ac:dyDescent="0.25">
      <c r="A4" t="s">
        <v>1</v>
      </c>
      <c r="B4" t="s">
        <v>19</v>
      </c>
      <c r="C4" s="18" t="str">
        <f>HYPERLINK("https://rhld.insurance.arkansas.gov/NPILookup?Npi=1013152446","1013152446")</f>
        <v>1013152446</v>
      </c>
      <c r="D4" t="s">
        <v>23392</v>
      </c>
      <c r="E4" t="s">
        <v>17368</v>
      </c>
      <c r="F4">
        <v>1</v>
      </c>
      <c r="G4">
        <v>0</v>
      </c>
      <c r="H4">
        <v>0</v>
      </c>
      <c r="I4">
        <v>0</v>
      </c>
      <c r="J4" t="s">
        <v>23393</v>
      </c>
      <c r="K4" t="s">
        <v>18640</v>
      </c>
      <c r="L4" t="s">
        <v>18640</v>
      </c>
      <c r="M4">
        <v>0</v>
      </c>
      <c r="N4" t="s">
        <v>17367</v>
      </c>
      <c r="O4" t="s">
        <v>23394</v>
      </c>
    </row>
    <row r="5" spans="1:15" x14ac:dyDescent="0.25">
      <c r="A5" t="s">
        <v>1</v>
      </c>
      <c r="B5" t="s">
        <v>19</v>
      </c>
      <c r="C5" s="18" t="str">
        <f>HYPERLINK("https://rhld.insurance.arkansas.gov/NPILookup?Npi=1013598093","1013598093")</f>
        <v>1013598093</v>
      </c>
      <c r="D5" t="s">
        <v>23392</v>
      </c>
      <c r="E5" t="s">
        <v>17368</v>
      </c>
      <c r="F5">
        <v>1</v>
      </c>
      <c r="G5">
        <v>0</v>
      </c>
      <c r="H5">
        <v>0</v>
      </c>
      <c r="I5">
        <v>0</v>
      </c>
      <c r="J5" t="s">
        <v>23393</v>
      </c>
      <c r="K5" t="s">
        <v>18640</v>
      </c>
      <c r="L5" t="s">
        <v>18640</v>
      </c>
      <c r="M5">
        <v>0</v>
      </c>
      <c r="N5" t="s">
        <v>17367</v>
      </c>
      <c r="O5" t="s">
        <v>23394</v>
      </c>
    </row>
    <row r="6" spans="1:15" x14ac:dyDescent="0.25">
      <c r="A6" t="s">
        <v>1</v>
      </c>
      <c r="B6" t="s">
        <v>19</v>
      </c>
      <c r="C6" s="18" t="str">
        <f>HYPERLINK("https://rhld.insurance.arkansas.gov/NPILookup?Npi=1023646734","1023646734")</f>
        <v>1023646734</v>
      </c>
      <c r="D6" t="s">
        <v>22883</v>
      </c>
      <c r="E6" t="s">
        <v>17366</v>
      </c>
      <c r="F6">
        <v>1</v>
      </c>
      <c r="G6">
        <v>3</v>
      </c>
      <c r="H6">
        <v>0</v>
      </c>
      <c r="I6">
        <v>0</v>
      </c>
      <c r="J6" t="s">
        <v>23390</v>
      </c>
      <c r="K6" t="s">
        <v>18640</v>
      </c>
      <c r="L6" t="s">
        <v>18640</v>
      </c>
      <c r="M6">
        <v>3</v>
      </c>
      <c r="N6" t="s">
        <v>17367</v>
      </c>
      <c r="O6" t="s">
        <v>23391</v>
      </c>
    </row>
    <row r="7" spans="1:15" x14ac:dyDescent="0.25">
      <c r="A7" t="s">
        <v>1</v>
      </c>
      <c r="B7" t="s">
        <v>19</v>
      </c>
      <c r="C7" s="18" t="str">
        <f>HYPERLINK("https://rhld.insurance.arkansas.gov/NPILookup?Npi=1033824867","1033824867")</f>
        <v>1033824867</v>
      </c>
      <c r="D7" t="s">
        <v>22885</v>
      </c>
      <c r="E7" t="s">
        <v>17366</v>
      </c>
      <c r="F7">
        <v>1</v>
      </c>
      <c r="G7">
        <v>3</v>
      </c>
      <c r="H7">
        <v>0</v>
      </c>
      <c r="I7">
        <v>0</v>
      </c>
      <c r="J7" t="s">
        <v>23390</v>
      </c>
      <c r="K7" t="s">
        <v>18640</v>
      </c>
      <c r="L7" t="s">
        <v>18640</v>
      </c>
      <c r="M7">
        <v>3</v>
      </c>
      <c r="N7" t="s">
        <v>17367</v>
      </c>
      <c r="O7" t="s">
        <v>23391</v>
      </c>
    </row>
    <row r="8" spans="1:15" x14ac:dyDescent="0.25">
      <c r="A8" t="s">
        <v>1</v>
      </c>
      <c r="B8" t="s">
        <v>19</v>
      </c>
      <c r="C8" s="18" t="str">
        <f>HYPERLINK("https://rhld.insurance.arkansas.gov/NPILookup?Npi=1083190318","1083190318")</f>
        <v>1083190318</v>
      </c>
      <c r="D8" t="s">
        <v>22888</v>
      </c>
      <c r="E8" t="s">
        <v>17366</v>
      </c>
      <c r="F8">
        <v>1</v>
      </c>
      <c r="G8">
        <v>3</v>
      </c>
      <c r="H8">
        <v>0</v>
      </c>
      <c r="I8">
        <v>0</v>
      </c>
      <c r="J8" t="s">
        <v>23390</v>
      </c>
      <c r="K8" t="s">
        <v>18640</v>
      </c>
      <c r="L8" t="s">
        <v>18640</v>
      </c>
      <c r="M8">
        <v>3</v>
      </c>
      <c r="N8" t="s">
        <v>17367</v>
      </c>
      <c r="O8" t="s">
        <v>23391</v>
      </c>
    </row>
    <row r="9" spans="1:15" x14ac:dyDescent="0.25">
      <c r="A9" t="s">
        <v>1</v>
      </c>
      <c r="B9" t="s">
        <v>19</v>
      </c>
      <c r="C9" s="18" t="str">
        <f>HYPERLINK("https://rhld.insurance.arkansas.gov/NPILookup?Npi=1083347256","1083347256")</f>
        <v>1083347256</v>
      </c>
      <c r="D9" t="s">
        <v>22889</v>
      </c>
      <c r="E9" t="s">
        <v>17366</v>
      </c>
      <c r="F9">
        <v>1</v>
      </c>
      <c r="G9">
        <v>3</v>
      </c>
      <c r="H9">
        <v>0</v>
      </c>
      <c r="I9">
        <v>0</v>
      </c>
      <c r="J9" t="s">
        <v>23390</v>
      </c>
      <c r="K9" t="s">
        <v>18640</v>
      </c>
      <c r="L9" t="s">
        <v>18640</v>
      </c>
      <c r="M9">
        <v>3</v>
      </c>
      <c r="N9" t="s">
        <v>17367</v>
      </c>
      <c r="O9" t="s">
        <v>23391</v>
      </c>
    </row>
    <row r="10" spans="1:15" x14ac:dyDescent="0.25">
      <c r="A10" t="s">
        <v>1</v>
      </c>
      <c r="B10" t="s">
        <v>19</v>
      </c>
      <c r="C10" s="18" t="str">
        <f>HYPERLINK("https://rhld.insurance.arkansas.gov/NPILookup?Npi=1104526573","1104526573")</f>
        <v>1104526573</v>
      </c>
      <c r="D10" t="s">
        <v>22892</v>
      </c>
      <c r="E10" t="s">
        <v>17366</v>
      </c>
      <c r="F10">
        <v>1</v>
      </c>
      <c r="G10">
        <v>3</v>
      </c>
      <c r="H10">
        <v>0</v>
      </c>
      <c r="I10">
        <v>0</v>
      </c>
      <c r="J10" t="s">
        <v>23390</v>
      </c>
      <c r="K10" t="s">
        <v>18640</v>
      </c>
      <c r="L10" t="s">
        <v>18640</v>
      </c>
      <c r="M10">
        <v>3</v>
      </c>
      <c r="N10" t="s">
        <v>17367</v>
      </c>
      <c r="O10" t="s">
        <v>23391</v>
      </c>
    </row>
    <row r="11" spans="1:15" x14ac:dyDescent="0.25">
      <c r="A11" t="s">
        <v>1</v>
      </c>
      <c r="B11" t="s">
        <v>19</v>
      </c>
      <c r="C11" s="18" t="str">
        <f>HYPERLINK("https://rhld.insurance.arkansas.gov/NPILookup?Npi=1124641816","1124641816")</f>
        <v>1124641816</v>
      </c>
      <c r="D11" t="s">
        <v>22895</v>
      </c>
      <c r="E11" t="s">
        <v>17366</v>
      </c>
      <c r="F11">
        <v>1</v>
      </c>
      <c r="G11">
        <v>3</v>
      </c>
      <c r="H11">
        <v>0</v>
      </c>
      <c r="I11">
        <v>0</v>
      </c>
      <c r="J11" t="s">
        <v>23390</v>
      </c>
      <c r="K11" t="s">
        <v>18640</v>
      </c>
      <c r="L11" t="s">
        <v>18640</v>
      </c>
      <c r="M11">
        <v>3</v>
      </c>
      <c r="N11" t="s">
        <v>17367</v>
      </c>
      <c r="O11" t="s">
        <v>23391</v>
      </c>
    </row>
    <row r="12" spans="1:15" x14ac:dyDescent="0.25">
      <c r="A12" t="s">
        <v>1</v>
      </c>
      <c r="B12" t="s">
        <v>19</v>
      </c>
      <c r="C12" s="18" t="str">
        <f>HYPERLINK("https://rhld.insurance.arkansas.gov/NPILookup?Npi=1124673439","1124673439")</f>
        <v>1124673439</v>
      </c>
      <c r="D12" t="s">
        <v>5951</v>
      </c>
      <c r="E12" t="s">
        <v>17366</v>
      </c>
      <c r="F12">
        <v>1</v>
      </c>
      <c r="G12">
        <v>3</v>
      </c>
      <c r="H12">
        <v>0</v>
      </c>
      <c r="I12">
        <v>0</v>
      </c>
      <c r="J12" t="s">
        <v>23390</v>
      </c>
      <c r="K12" t="s">
        <v>18640</v>
      </c>
      <c r="L12" t="s">
        <v>18640</v>
      </c>
      <c r="M12">
        <v>3</v>
      </c>
      <c r="N12" t="s">
        <v>17367</v>
      </c>
      <c r="O12" t="s">
        <v>23391</v>
      </c>
    </row>
    <row r="13" spans="1:15" x14ac:dyDescent="0.25">
      <c r="A13" t="s">
        <v>1</v>
      </c>
      <c r="B13" t="s">
        <v>19</v>
      </c>
      <c r="C13" s="18" t="str">
        <f>HYPERLINK("https://rhld.insurance.arkansas.gov/NPILookup?Npi=1124806450","1124806450")</f>
        <v>1124806450</v>
      </c>
      <c r="D13" t="s">
        <v>22896</v>
      </c>
      <c r="E13" t="s">
        <v>17366</v>
      </c>
      <c r="F13">
        <v>1</v>
      </c>
      <c r="G13">
        <v>3</v>
      </c>
      <c r="H13">
        <v>0</v>
      </c>
      <c r="I13">
        <v>0</v>
      </c>
      <c r="J13" t="s">
        <v>23390</v>
      </c>
      <c r="K13" t="s">
        <v>18640</v>
      </c>
      <c r="L13" t="s">
        <v>18640</v>
      </c>
      <c r="M13">
        <v>3</v>
      </c>
      <c r="N13" t="s">
        <v>17367</v>
      </c>
      <c r="O13" t="s">
        <v>23391</v>
      </c>
    </row>
    <row r="14" spans="1:15" x14ac:dyDescent="0.25">
      <c r="A14" t="s">
        <v>1</v>
      </c>
      <c r="B14" t="s">
        <v>19</v>
      </c>
      <c r="C14" s="18" t="str">
        <f>HYPERLINK("https://rhld.insurance.arkansas.gov/NPILookup?Npi=1134534282","1134534282")</f>
        <v>1134534282</v>
      </c>
      <c r="D14" t="s">
        <v>22897</v>
      </c>
      <c r="E14" t="s">
        <v>17366</v>
      </c>
      <c r="F14">
        <v>1</v>
      </c>
      <c r="G14">
        <v>2</v>
      </c>
      <c r="H14">
        <v>0</v>
      </c>
      <c r="I14">
        <v>0</v>
      </c>
      <c r="J14" t="s">
        <v>23390</v>
      </c>
      <c r="K14" t="s">
        <v>18640</v>
      </c>
      <c r="L14" t="s">
        <v>18640</v>
      </c>
      <c r="M14">
        <v>2</v>
      </c>
      <c r="N14" t="s">
        <v>17367</v>
      </c>
      <c r="O14" t="s">
        <v>23391</v>
      </c>
    </row>
    <row r="15" spans="1:15" x14ac:dyDescent="0.25">
      <c r="A15" t="s">
        <v>1</v>
      </c>
      <c r="B15" t="s">
        <v>19</v>
      </c>
      <c r="C15" s="18" t="str">
        <f>HYPERLINK("https://rhld.insurance.arkansas.gov/NPILookup?Npi=1144920281","1144920281")</f>
        <v>1144920281</v>
      </c>
      <c r="D15" t="s">
        <v>22899</v>
      </c>
      <c r="E15" t="s">
        <v>17366</v>
      </c>
      <c r="F15">
        <v>1</v>
      </c>
      <c r="G15">
        <v>2</v>
      </c>
      <c r="H15">
        <v>0</v>
      </c>
      <c r="I15">
        <v>0</v>
      </c>
      <c r="J15" t="s">
        <v>23390</v>
      </c>
      <c r="K15" t="s">
        <v>18640</v>
      </c>
      <c r="L15" t="s">
        <v>18640</v>
      </c>
      <c r="M15">
        <v>2</v>
      </c>
      <c r="N15" t="s">
        <v>17367</v>
      </c>
      <c r="O15" t="s">
        <v>23391</v>
      </c>
    </row>
    <row r="16" spans="1:15" x14ac:dyDescent="0.25">
      <c r="A16" t="s">
        <v>1</v>
      </c>
      <c r="B16" t="s">
        <v>19</v>
      </c>
      <c r="C16" s="18" t="str">
        <f>HYPERLINK("https://rhld.insurance.arkansas.gov/NPILookup?Npi=1164125795","1164125795")</f>
        <v>1164125795</v>
      </c>
      <c r="D16" t="s">
        <v>22901</v>
      </c>
      <c r="E16" t="s">
        <v>17366</v>
      </c>
      <c r="F16">
        <v>1</v>
      </c>
      <c r="G16">
        <v>3</v>
      </c>
      <c r="H16">
        <v>0</v>
      </c>
      <c r="I16">
        <v>0</v>
      </c>
      <c r="J16" t="s">
        <v>23390</v>
      </c>
      <c r="K16" t="s">
        <v>18640</v>
      </c>
      <c r="L16" t="s">
        <v>18640</v>
      </c>
      <c r="M16">
        <v>3</v>
      </c>
      <c r="N16" t="s">
        <v>17367</v>
      </c>
      <c r="O16" t="s">
        <v>23391</v>
      </c>
    </row>
    <row r="17" spans="1:15" x14ac:dyDescent="0.25">
      <c r="A17" t="s">
        <v>1</v>
      </c>
      <c r="B17" t="s">
        <v>19</v>
      </c>
      <c r="C17" s="18" t="str">
        <f>HYPERLINK("https://rhld.insurance.arkansas.gov/NPILookup?Npi=1184118051","1184118051")</f>
        <v>1184118051</v>
      </c>
      <c r="D17" t="s">
        <v>8470</v>
      </c>
      <c r="E17" t="s">
        <v>17366</v>
      </c>
      <c r="F17">
        <v>1</v>
      </c>
      <c r="G17">
        <v>2</v>
      </c>
      <c r="H17">
        <v>0</v>
      </c>
      <c r="I17">
        <v>0</v>
      </c>
      <c r="J17" t="s">
        <v>23390</v>
      </c>
      <c r="K17" t="s">
        <v>18640</v>
      </c>
      <c r="L17" t="s">
        <v>18640</v>
      </c>
      <c r="M17">
        <v>2</v>
      </c>
      <c r="N17" t="s">
        <v>17367</v>
      </c>
      <c r="O17" t="s">
        <v>23391</v>
      </c>
    </row>
    <row r="18" spans="1:15" x14ac:dyDescent="0.25">
      <c r="A18" t="s">
        <v>1</v>
      </c>
      <c r="B18" t="s">
        <v>19</v>
      </c>
      <c r="C18" s="18" t="str">
        <f>HYPERLINK("https://rhld.insurance.arkansas.gov/NPILookup?Npi=1194285478","1194285478")</f>
        <v>1194285478</v>
      </c>
      <c r="D18" t="s">
        <v>22904</v>
      </c>
      <c r="E18" t="s">
        <v>17366</v>
      </c>
      <c r="F18">
        <v>1</v>
      </c>
      <c r="G18">
        <v>3</v>
      </c>
      <c r="H18">
        <v>0</v>
      </c>
      <c r="I18">
        <v>0</v>
      </c>
      <c r="J18" t="s">
        <v>23390</v>
      </c>
      <c r="K18" t="s">
        <v>18640</v>
      </c>
      <c r="L18" t="s">
        <v>18640</v>
      </c>
      <c r="M18">
        <v>3</v>
      </c>
      <c r="N18" t="s">
        <v>17367</v>
      </c>
      <c r="O18" t="s">
        <v>23391</v>
      </c>
    </row>
    <row r="19" spans="1:15" x14ac:dyDescent="0.25">
      <c r="A19" t="s">
        <v>1</v>
      </c>
      <c r="B19" t="s">
        <v>19</v>
      </c>
      <c r="C19" s="18" t="str">
        <f>HYPERLINK("https://rhld.insurance.arkansas.gov/NPILookup?Npi=1205402351","1205402351")</f>
        <v>1205402351</v>
      </c>
      <c r="D19" t="s">
        <v>22907</v>
      </c>
      <c r="E19" t="s">
        <v>17366</v>
      </c>
      <c r="F19">
        <v>1</v>
      </c>
      <c r="G19">
        <v>2</v>
      </c>
      <c r="H19">
        <v>0</v>
      </c>
      <c r="I19">
        <v>0</v>
      </c>
      <c r="J19" t="s">
        <v>23390</v>
      </c>
      <c r="K19" t="s">
        <v>18640</v>
      </c>
      <c r="L19" t="s">
        <v>18640</v>
      </c>
      <c r="M19">
        <v>2</v>
      </c>
      <c r="N19" t="s">
        <v>17367</v>
      </c>
      <c r="O19" t="s">
        <v>23391</v>
      </c>
    </row>
    <row r="20" spans="1:15" x14ac:dyDescent="0.25">
      <c r="A20" t="s">
        <v>1</v>
      </c>
      <c r="B20" t="s">
        <v>19</v>
      </c>
      <c r="C20" s="18" t="str">
        <f>HYPERLINK("https://rhld.insurance.arkansas.gov/NPILookup?Npi=1215459169","1215459169")</f>
        <v>1215459169</v>
      </c>
      <c r="D20" t="s">
        <v>22909</v>
      </c>
      <c r="E20" t="s">
        <v>17366</v>
      </c>
      <c r="F20">
        <v>1</v>
      </c>
      <c r="G20">
        <v>2</v>
      </c>
      <c r="H20">
        <v>0</v>
      </c>
      <c r="I20">
        <v>0</v>
      </c>
      <c r="J20" t="s">
        <v>23390</v>
      </c>
      <c r="K20" t="s">
        <v>18640</v>
      </c>
      <c r="L20" t="s">
        <v>18640</v>
      </c>
      <c r="M20">
        <v>2</v>
      </c>
      <c r="N20" t="s">
        <v>17367</v>
      </c>
      <c r="O20" t="s">
        <v>23391</v>
      </c>
    </row>
    <row r="21" spans="1:15" x14ac:dyDescent="0.25">
      <c r="A21" t="s">
        <v>1</v>
      </c>
      <c r="B21" t="s">
        <v>19</v>
      </c>
      <c r="C21" s="18" t="str">
        <f>HYPERLINK("https://rhld.insurance.arkansas.gov/NPILookup?Npi=1215564315","1215564315")</f>
        <v>1215564315</v>
      </c>
      <c r="D21" t="s">
        <v>22910</v>
      </c>
      <c r="E21" t="s">
        <v>17366</v>
      </c>
      <c r="F21">
        <v>1</v>
      </c>
      <c r="G21">
        <v>3</v>
      </c>
      <c r="H21">
        <v>0</v>
      </c>
      <c r="I21">
        <v>0</v>
      </c>
      <c r="J21" t="s">
        <v>23390</v>
      </c>
      <c r="K21" t="s">
        <v>18640</v>
      </c>
      <c r="L21" t="s">
        <v>18640</v>
      </c>
      <c r="M21">
        <v>3</v>
      </c>
      <c r="N21" t="s">
        <v>17367</v>
      </c>
      <c r="O21" t="s">
        <v>23391</v>
      </c>
    </row>
    <row r="22" spans="1:15" x14ac:dyDescent="0.25">
      <c r="A22" t="s">
        <v>1</v>
      </c>
      <c r="B22" t="s">
        <v>19</v>
      </c>
      <c r="C22" s="18" t="str">
        <f>HYPERLINK("https://rhld.insurance.arkansas.gov/NPILookup?Npi=1225659998","1225659998")</f>
        <v>1225659998</v>
      </c>
      <c r="D22" t="s">
        <v>22911</v>
      </c>
      <c r="E22" t="s">
        <v>17366</v>
      </c>
      <c r="F22">
        <v>1</v>
      </c>
      <c r="G22">
        <v>3</v>
      </c>
      <c r="H22">
        <v>0</v>
      </c>
      <c r="I22">
        <v>0</v>
      </c>
      <c r="J22" t="s">
        <v>23390</v>
      </c>
      <c r="K22" t="s">
        <v>18640</v>
      </c>
      <c r="L22" t="s">
        <v>18640</v>
      </c>
      <c r="M22">
        <v>3</v>
      </c>
      <c r="N22" t="s">
        <v>17367</v>
      </c>
      <c r="O22" t="s">
        <v>23391</v>
      </c>
    </row>
    <row r="23" spans="1:15" x14ac:dyDescent="0.25">
      <c r="A23" t="s">
        <v>1</v>
      </c>
      <c r="B23" t="s">
        <v>19</v>
      </c>
      <c r="C23" s="18" t="str">
        <f>HYPERLINK("https://rhld.insurance.arkansas.gov/NPILookup?Npi=1255710885","1255710885")</f>
        <v>1255710885</v>
      </c>
      <c r="D23" t="s">
        <v>22914</v>
      </c>
      <c r="E23" t="s">
        <v>17366</v>
      </c>
      <c r="F23">
        <v>1</v>
      </c>
      <c r="G23">
        <v>2</v>
      </c>
      <c r="H23">
        <v>0</v>
      </c>
      <c r="I23">
        <v>0</v>
      </c>
      <c r="J23" t="s">
        <v>23390</v>
      </c>
      <c r="K23" t="s">
        <v>18640</v>
      </c>
      <c r="L23" t="s">
        <v>18640</v>
      </c>
      <c r="M23">
        <v>2</v>
      </c>
      <c r="N23" t="s">
        <v>17367</v>
      </c>
      <c r="O23" t="s">
        <v>23391</v>
      </c>
    </row>
    <row r="24" spans="1:15" x14ac:dyDescent="0.25">
      <c r="A24" t="s">
        <v>1</v>
      </c>
      <c r="B24" t="s">
        <v>19</v>
      </c>
      <c r="C24" s="18" t="str">
        <f>HYPERLINK("https://rhld.insurance.arkansas.gov/NPILookup?Npi=1255781555","1255781555")</f>
        <v>1255781555</v>
      </c>
      <c r="D24" t="s">
        <v>22915</v>
      </c>
      <c r="E24" t="s">
        <v>17366</v>
      </c>
      <c r="F24">
        <v>2</v>
      </c>
      <c r="G24">
        <v>3</v>
      </c>
      <c r="H24">
        <v>0</v>
      </c>
      <c r="I24">
        <v>0</v>
      </c>
      <c r="J24" t="s">
        <v>23395</v>
      </c>
      <c r="K24" t="s">
        <v>18640</v>
      </c>
      <c r="L24" t="s">
        <v>18640</v>
      </c>
      <c r="M24">
        <v>3</v>
      </c>
      <c r="N24" t="s">
        <v>17367</v>
      </c>
      <c r="O24" t="s">
        <v>23391</v>
      </c>
    </row>
    <row r="25" spans="1:15" x14ac:dyDescent="0.25">
      <c r="A25" t="s">
        <v>1</v>
      </c>
      <c r="B25" t="s">
        <v>19</v>
      </c>
      <c r="C25" s="18" t="str">
        <f>HYPERLINK("https://rhld.insurance.arkansas.gov/NPILookup?Npi=1306475470","1306475470")</f>
        <v>1306475470</v>
      </c>
      <c r="D25" t="s">
        <v>22919</v>
      </c>
      <c r="E25" t="s">
        <v>17366</v>
      </c>
      <c r="F25">
        <v>1</v>
      </c>
      <c r="G25">
        <v>3</v>
      </c>
      <c r="H25">
        <v>0</v>
      </c>
      <c r="I25">
        <v>0</v>
      </c>
      <c r="J25" t="s">
        <v>23390</v>
      </c>
      <c r="K25" t="s">
        <v>18640</v>
      </c>
      <c r="L25" t="s">
        <v>18640</v>
      </c>
      <c r="M25">
        <v>3</v>
      </c>
      <c r="N25" t="s">
        <v>17367</v>
      </c>
      <c r="O25" t="s">
        <v>23391</v>
      </c>
    </row>
    <row r="26" spans="1:15" x14ac:dyDescent="0.25">
      <c r="A26" t="s">
        <v>1</v>
      </c>
      <c r="B26" t="s">
        <v>19</v>
      </c>
      <c r="C26" s="18" t="str">
        <f>HYPERLINK("https://rhld.insurance.arkansas.gov/NPILookup?Npi=1336140839","1336140839")</f>
        <v>1336140839</v>
      </c>
      <c r="D26" t="s">
        <v>23392</v>
      </c>
      <c r="E26" t="s">
        <v>17368</v>
      </c>
      <c r="F26">
        <v>1</v>
      </c>
      <c r="G26">
        <v>3</v>
      </c>
      <c r="H26">
        <v>0</v>
      </c>
      <c r="I26">
        <v>0</v>
      </c>
      <c r="J26" t="s">
        <v>23393</v>
      </c>
      <c r="K26" t="s">
        <v>18640</v>
      </c>
      <c r="L26" t="s">
        <v>18640</v>
      </c>
      <c r="M26">
        <v>3</v>
      </c>
      <c r="N26" t="s">
        <v>17367</v>
      </c>
      <c r="O26" t="s">
        <v>23391</v>
      </c>
    </row>
    <row r="27" spans="1:15" x14ac:dyDescent="0.25">
      <c r="A27" t="s">
        <v>1</v>
      </c>
      <c r="B27" t="s">
        <v>19</v>
      </c>
      <c r="C27" s="18" t="str">
        <f>HYPERLINK("https://rhld.insurance.arkansas.gov/NPILookup?Npi=1356902951","1356902951")</f>
        <v>1356902951</v>
      </c>
      <c r="D27" t="s">
        <v>22926</v>
      </c>
      <c r="E27" t="s">
        <v>17366</v>
      </c>
      <c r="F27">
        <v>1</v>
      </c>
      <c r="G27">
        <v>2</v>
      </c>
      <c r="H27">
        <v>0</v>
      </c>
      <c r="I27">
        <v>0</v>
      </c>
      <c r="J27" t="s">
        <v>23390</v>
      </c>
      <c r="K27" t="s">
        <v>18640</v>
      </c>
      <c r="L27" t="s">
        <v>18640</v>
      </c>
      <c r="M27">
        <v>2</v>
      </c>
      <c r="N27" t="s">
        <v>17367</v>
      </c>
      <c r="O27" t="s">
        <v>23391</v>
      </c>
    </row>
    <row r="28" spans="1:15" x14ac:dyDescent="0.25">
      <c r="A28" t="s">
        <v>1</v>
      </c>
      <c r="B28" t="s">
        <v>19</v>
      </c>
      <c r="C28" s="18" t="str">
        <f>HYPERLINK("https://rhld.insurance.arkansas.gov/NPILookup?Npi=1366070765","1366070765")</f>
        <v>1366070765</v>
      </c>
      <c r="D28" t="s">
        <v>22927</v>
      </c>
      <c r="E28" t="s">
        <v>17366</v>
      </c>
      <c r="F28">
        <v>1</v>
      </c>
      <c r="G28">
        <v>3</v>
      </c>
      <c r="H28">
        <v>0</v>
      </c>
      <c r="I28">
        <v>0</v>
      </c>
      <c r="J28" t="s">
        <v>23390</v>
      </c>
      <c r="K28" t="s">
        <v>18640</v>
      </c>
      <c r="L28" t="s">
        <v>18640</v>
      </c>
      <c r="M28">
        <v>3</v>
      </c>
      <c r="N28" t="s">
        <v>17367</v>
      </c>
      <c r="O28" t="s">
        <v>23391</v>
      </c>
    </row>
    <row r="29" spans="1:15" x14ac:dyDescent="0.25">
      <c r="A29" t="s">
        <v>1</v>
      </c>
      <c r="B29" t="s">
        <v>19</v>
      </c>
      <c r="C29" s="18" t="str">
        <f>HYPERLINK("https://rhld.insurance.arkansas.gov/NPILookup?Npi=1386668762","1386668762")</f>
        <v>1386668762</v>
      </c>
      <c r="D29" t="s">
        <v>1381</v>
      </c>
      <c r="E29" t="s">
        <v>17368</v>
      </c>
      <c r="F29">
        <v>1</v>
      </c>
      <c r="G29">
        <v>3</v>
      </c>
      <c r="H29">
        <v>0</v>
      </c>
      <c r="I29">
        <v>0</v>
      </c>
      <c r="J29" t="s">
        <v>17370</v>
      </c>
      <c r="K29" t="s">
        <v>18640</v>
      </c>
      <c r="L29" t="s">
        <v>18640</v>
      </c>
      <c r="M29">
        <v>3</v>
      </c>
      <c r="N29" t="s">
        <v>17367</v>
      </c>
      <c r="O29" t="s">
        <v>23391</v>
      </c>
    </row>
    <row r="30" spans="1:15" x14ac:dyDescent="0.25">
      <c r="A30" t="s">
        <v>1</v>
      </c>
      <c r="B30" t="s">
        <v>19</v>
      </c>
      <c r="C30" s="18" t="str">
        <f>HYPERLINK("https://rhld.insurance.arkansas.gov/NPILookup?Npi=1407169162","1407169162")</f>
        <v>1407169162</v>
      </c>
      <c r="D30" t="s">
        <v>1432</v>
      </c>
      <c r="E30" t="s">
        <v>17368</v>
      </c>
      <c r="F30">
        <v>1</v>
      </c>
      <c r="G30">
        <v>3</v>
      </c>
      <c r="H30">
        <v>0</v>
      </c>
      <c r="I30">
        <v>0</v>
      </c>
      <c r="J30" t="s">
        <v>17370</v>
      </c>
      <c r="K30" t="s">
        <v>18640</v>
      </c>
      <c r="L30" t="s">
        <v>18640</v>
      </c>
      <c r="M30">
        <v>3</v>
      </c>
      <c r="N30" t="s">
        <v>17367</v>
      </c>
      <c r="O30" t="s">
        <v>23391</v>
      </c>
    </row>
    <row r="31" spans="1:15" x14ac:dyDescent="0.25">
      <c r="A31" t="s">
        <v>1</v>
      </c>
      <c r="B31" t="s">
        <v>19</v>
      </c>
      <c r="C31" s="18" t="str">
        <f>HYPERLINK("https://rhld.insurance.arkansas.gov/NPILookup?Npi=1417512070","1417512070")</f>
        <v>1417512070</v>
      </c>
      <c r="D31" t="s">
        <v>22929</v>
      </c>
      <c r="E31" t="s">
        <v>17366</v>
      </c>
      <c r="F31">
        <v>1</v>
      </c>
      <c r="G31">
        <v>2</v>
      </c>
      <c r="H31">
        <v>0</v>
      </c>
      <c r="I31">
        <v>0</v>
      </c>
      <c r="J31" t="s">
        <v>23390</v>
      </c>
      <c r="K31" t="s">
        <v>18640</v>
      </c>
      <c r="L31" t="s">
        <v>18640</v>
      </c>
      <c r="M31">
        <v>2</v>
      </c>
      <c r="N31" t="s">
        <v>17367</v>
      </c>
      <c r="O31" t="s">
        <v>23391</v>
      </c>
    </row>
    <row r="32" spans="1:15" x14ac:dyDescent="0.25">
      <c r="A32" t="s">
        <v>1</v>
      </c>
      <c r="B32" t="s">
        <v>19</v>
      </c>
      <c r="C32" s="18" t="str">
        <f>HYPERLINK("https://rhld.insurance.arkansas.gov/NPILookup?Npi=1427668250","1427668250")</f>
        <v>1427668250</v>
      </c>
      <c r="D32" t="s">
        <v>22931</v>
      </c>
      <c r="E32" t="s">
        <v>17366</v>
      </c>
      <c r="F32">
        <v>1</v>
      </c>
      <c r="G32">
        <v>3</v>
      </c>
      <c r="H32">
        <v>0</v>
      </c>
      <c r="I32">
        <v>0</v>
      </c>
      <c r="J32" t="s">
        <v>23390</v>
      </c>
      <c r="K32" t="s">
        <v>18640</v>
      </c>
      <c r="L32" t="s">
        <v>18640</v>
      </c>
      <c r="M32">
        <v>3</v>
      </c>
      <c r="N32" t="s">
        <v>17367</v>
      </c>
      <c r="O32" t="s">
        <v>23391</v>
      </c>
    </row>
    <row r="33" spans="1:15" x14ac:dyDescent="0.25">
      <c r="A33" t="s">
        <v>1</v>
      </c>
      <c r="B33" t="s">
        <v>19</v>
      </c>
      <c r="C33" s="18" t="str">
        <f>HYPERLINK("https://rhld.insurance.arkansas.gov/NPILookup?Npi=1427679133","1427679133")</f>
        <v>1427679133</v>
      </c>
      <c r="D33" t="s">
        <v>22932</v>
      </c>
      <c r="E33" t="s">
        <v>17366</v>
      </c>
      <c r="F33">
        <v>1</v>
      </c>
      <c r="G33">
        <v>3</v>
      </c>
      <c r="H33">
        <v>0</v>
      </c>
      <c r="I33">
        <v>0</v>
      </c>
      <c r="J33" t="s">
        <v>23390</v>
      </c>
      <c r="K33" t="s">
        <v>18640</v>
      </c>
      <c r="L33" t="s">
        <v>18640</v>
      </c>
      <c r="M33">
        <v>3</v>
      </c>
      <c r="N33" t="s">
        <v>17367</v>
      </c>
      <c r="O33" t="s">
        <v>23391</v>
      </c>
    </row>
    <row r="34" spans="1:15" x14ac:dyDescent="0.25">
      <c r="A34" t="s">
        <v>1</v>
      </c>
      <c r="B34" t="s">
        <v>19</v>
      </c>
      <c r="C34" s="18" t="str">
        <f>HYPERLINK("https://rhld.insurance.arkansas.gov/NPILookup?Npi=1437166774","1437166774")</f>
        <v>1437166774</v>
      </c>
      <c r="D34" t="s">
        <v>1541</v>
      </c>
      <c r="E34" t="s">
        <v>17368</v>
      </c>
      <c r="F34">
        <v>1</v>
      </c>
      <c r="G34">
        <v>3</v>
      </c>
      <c r="H34">
        <v>0</v>
      </c>
      <c r="I34">
        <v>0</v>
      </c>
      <c r="J34" t="s">
        <v>17370</v>
      </c>
      <c r="K34" t="s">
        <v>18640</v>
      </c>
      <c r="L34" t="s">
        <v>18640</v>
      </c>
      <c r="M34">
        <v>3</v>
      </c>
      <c r="N34" t="s">
        <v>17367</v>
      </c>
      <c r="O34" t="s">
        <v>23391</v>
      </c>
    </row>
    <row r="35" spans="1:15" x14ac:dyDescent="0.25">
      <c r="A35" t="s">
        <v>1</v>
      </c>
      <c r="B35" t="s">
        <v>19</v>
      </c>
      <c r="C35" s="18" t="str">
        <f>HYPERLINK("https://rhld.insurance.arkansas.gov/NPILookup?Npi=1437718483","1437718483")</f>
        <v>1437718483</v>
      </c>
      <c r="D35" t="s">
        <v>22933</v>
      </c>
      <c r="E35" t="s">
        <v>17366</v>
      </c>
      <c r="F35">
        <v>1</v>
      </c>
      <c r="G35">
        <v>2</v>
      </c>
      <c r="H35">
        <v>0</v>
      </c>
      <c r="I35">
        <v>0</v>
      </c>
      <c r="J35" t="s">
        <v>23390</v>
      </c>
      <c r="K35" t="s">
        <v>18640</v>
      </c>
      <c r="L35" t="s">
        <v>18640</v>
      </c>
      <c r="M35">
        <v>2</v>
      </c>
      <c r="N35" t="s">
        <v>17367</v>
      </c>
      <c r="O35" t="s">
        <v>23391</v>
      </c>
    </row>
    <row r="36" spans="1:15" x14ac:dyDescent="0.25">
      <c r="A36" t="s">
        <v>1</v>
      </c>
      <c r="B36" t="s">
        <v>19</v>
      </c>
      <c r="C36" s="18" t="str">
        <f>HYPERLINK("https://rhld.insurance.arkansas.gov/NPILookup?Npi=1447579073","1447579073")</f>
        <v>1447579073</v>
      </c>
      <c r="D36" t="s">
        <v>22935</v>
      </c>
      <c r="E36" t="s">
        <v>17366</v>
      </c>
      <c r="F36">
        <v>1</v>
      </c>
      <c r="G36">
        <v>3</v>
      </c>
      <c r="H36">
        <v>0</v>
      </c>
      <c r="I36">
        <v>0</v>
      </c>
      <c r="J36" t="s">
        <v>23390</v>
      </c>
      <c r="K36" t="s">
        <v>18640</v>
      </c>
      <c r="L36" t="s">
        <v>18640</v>
      </c>
      <c r="M36">
        <v>3</v>
      </c>
      <c r="N36" t="s">
        <v>17367</v>
      </c>
      <c r="O36" t="s">
        <v>23391</v>
      </c>
    </row>
    <row r="37" spans="1:15" x14ac:dyDescent="0.25">
      <c r="A37" t="s">
        <v>1</v>
      </c>
      <c r="B37" t="s">
        <v>19</v>
      </c>
      <c r="C37" s="18" t="str">
        <f>HYPERLINK("https://rhld.insurance.arkansas.gov/NPILookup?Npi=1447785787","1447785787")</f>
        <v>1447785787</v>
      </c>
      <c r="D37" t="s">
        <v>22936</v>
      </c>
      <c r="E37" t="s">
        <v>17366</v>
      </c>
      <c r="F37">
        <v>1</v>
      </c>
      <c r="G37">
        <v>2</v>
      </c>
      <c r="H37">
        <v>0</v>
      </c>
      <c r="I37">
        <v>0</v>
      </c>
      <c r="J37" t="s">
        <v>23390</v>
      </c>
      <c r="K37" t="s">
        <v>18640</v>
      </c>
      <c r="L37" t="s">
        <v>18640</v>
      </c>
      <c r="M37">
        <v>2</v>
      </c>
      <c r="N37" t="s">
        <v>17367</v>
      </c>
      <c r="O37" t="s">
        <v>23391</v>
      </c>
    </row>
    <row r="38" spans="1:15" x14ac:dyDescent="0.25">
      <c r="A38" t="s">
        <v>1</v>
      </c>
      <c r="B38" t="s">
        <v>19</v>
      </c>
      <c r="C38" s="18" t="str">
        <f>HYPERLINK("https://rhld.insurance.arkansas.gov/NPILookup?Npi=1467071902","1467071902")</f>
        <v>1467071902</v>
      </c>
      <c r="D38" t="s">
        <v>22939</v>
      </c>
      <c r="E38" t="s">
        <v>17366</v>
      </c>
      <c r="F38">
        <v>1</v>
      </c>
      <c r="G38">
        <v>3</v>
      </c>
      <c r="H38">
        <v>0</v>
      </c>
      <c r="I38">
        <v>0</v>
      </c>
      <c r="J38" t="s">
        <v>23390</v>
      </c>
      <c r="K38" t="s">
        <v>18640</v>
      </c>
      <c r="L38" t="s">
        <v>18640</v>
      </c>
      <c r="M38">
        <v>3</v>
      </c>
      <c r="N38" t="s">
        <v>17367</v>
      </c>
      <c r="O38" t="s">
        <v>23391</v>
      </c>
    </row>
    <row r="39" spans="1:15" x14ac:dyDescent="0.25">
      <c r="A39" t="s">
        <v>1</v>
      </c>
      <c r="B39" t="s">
        <v>19</v>
      </c>
      <c r="C39" s="18" t="str">
        <f>HYPERLINK("https://rhld.insurance.arkansas.gov/NPILookup?Npi=1467953026","1467953026")</f>
        <v>1467953026</v>
      </c>
      <c r="D39" t="s">
        <v>22940</v>
      </c>
      <c r="E39" t="s">
        <v>17366</v>
      </c>
      <c r="F39">
        <v>1</v>
      </c>
      <c r="G39">
        <v>2</v>
      </c>
      <c r="H39">
        <v>0</v>
      </c>
      <c r="I39">
        <v>0</v>
      </c>
      <c r="J39" t="s">
        <v>23390</v>
      </c>
      <c r="K39" t="s">
        <v>18640</v>
      </c>
      <c r="L39" t="s">
        <v>18640</v>
      </c>
      <c r="M39">
        <v>2</v>
      </c>
      <c r="N39" t="s">
        <v>17367</v>
      </c>
      <c r="O39" t="s">
        <v>23391</v>
      </c>
    </row>
    <row r="40" spans="1:15" x14ac:dyDescent="0.25">
      <c r="A40" t="s">
        <v>1</v>
      </c>
      <c r="B40" t="s">
        <v>19</v>
      </c>
      <c r="C40" s="18" t="str">
        <f>HYPERLINK("https://rhld.insurance.arkansas.gov/NPILookup?Npi=1487343752","1487343752")</f>
        <v>1487343752</v>
      </c>
      <c r="D40" t="s">
        <v>22943</v>
      </c>
      <c r="E40" t="s">
        <v>17366</v>
      </c>
      <c r="F40">
        <v>1</v>
      </c>
      <c r="G40">
        <v>2</v>
      </c>
      <c r="H40">
        <v>0</v>
      </c>
      <c r="I40">
        <v>0</v>
      </c>
      <c r="J40" t="s">
        <v>23390</v>
      </c>
      <c r="K40" t="s">
        <v>18640</v>
      </c>
      <c r="L40" t="s">
        <v>18640</v>
      </c>
      <c r="M40">
        <v>2</v>
      </c>
      <c r="N40" t="s">
        <v>17367</v>
      </c>
      <c r="O40" t="s">
        <v>23391</v>
      </c>
    </row>
    <row r="41" spans="1:15" x14ac:dyDescent="0.25">
      <c r="A41" t="s">
        <v>1</v>
      </c>
      <c r="B41" t="s">
        <v>19</v>
      </c>
      <c r="C41" s="18" t="str">
        <f>HYPERLINK("https://rhld.insurance.arkansas.gov/NPILookup?Npi=1487815387","1487815387")</f>
        <v>1487815387</v>
      </c>
      <c r="D41" t="s">
        <v>22944</v>
      </c>
      <c r="E41" t="s">
        <v>17366</v>
      </c>
      <c r="F41">
        <v>1</v>
      </c>
      <c r="G41">
        <v>3</v>
      </c>
      <c r="H41">
        <v>0</v>
      </c>
      <c r="I41">
        <v>0</v>
      </c>
      <c r="J41" t="s">
        <v>23390</v>
      </c>
      <c r="K41" t="s">
        <v>18640</v>
      </c>
      <c r="L41" t="s">
        <v>18640</v>
      </c>
      <c r="M41">
        <v>3</v>
      </c>
      <c r="N41" t="s">
        <v>17367</v>
      </c>
      <c r="O41" t="s">
        <v>23391</v>
      </c>
    </row>
    <row r="42" spans="1:15" x14ac:dyDescent="0.25">
      <c r="A42" t="s">
        <v>1</v>
      </c>
      <c r="B42" t="s">
        <v>19</v>
      </c>
      <c r="C42" s="18" t="str">
        <f>HYPERLINK("https://rhld.insurance.arkansas.gov/NPILookup?Npi=1487856936","1487856936")</f>
        <v>1487856936</v>
      </c>
      <c r="D42" t="s">
        <v>22945</v>
      </c>
      <c r="E42" t="s">
        <v>17366</v>
      </c>
      <c r="F42">
        <v>1</v>
      </c>
      <c r="G42">
        <v>3</v>
      </c>
      <c r="H42">
        <v>0</v>
      </c>
      <c r="I42">
        <v>0</v>
      </c>
      <c r="J42" t="s">
        <v>23390</v>
      </c>
      <c r="K42" t="s">
        <v>18640</v>
      </c>
      <c r="L42" t="s">
        <v>18640</v>
      </c>
      <c r="M42">
        <v>3</v>
      </c>
      <c r="N42" t="s">
        <v>17367</v>
      </c>
      <c r="O42" t="s">
        <v>23391</v>
      </c>
    </row>
    <row r="43" spans="1:15" x14ac:dyDescent="0.25">
      <c r="A43" t="s">
        <v>1</v>
      </c>
      <c r="B43" t="s">
        <v>19</v>
      </c>
      <c r="C43" s="18" t="str">
        <f>HYPERLINK("https://rhld.insurance.arkansas.gov/NPILookup?Npi=1508487042","1508487042")</f>
        <v>1508487042</v>
      </c>
      <c r="D43" t="s">
        <v>22948</v>
      </c>
      <c r="E43" t="s">
        <v>17366</v>
      </c>
      <c r="F43">
        <v>1</v>
      </c>
      <c r="G43">
        <v>3</v>
      </c>
      <c r="H43">
        <v>0</v>
      </c>
      <c r="I43">
        <v>0</v>
      </c>
      <c r="J43" t="s">
        <v>23390</v>
      </c>
      <c r="K43" t="s">
        <v>18640</v>
      </c>
      <c r="L43" t="s">
        <v>18640</v>
      </c>
      <c r="M43">
        <v>3</v>
      </c>
      <c r="N43" t="s">
        <v>17367</v>
      </c>
      <c r="O43" t="s">
        <v>23391</v>
      </c>
    </row>
    <row r="44" spans="1:15" x14ac:dyDescent="0.25">
      <c r="A44" t="s">
        <v>1</v>
      </c>
      <c r="B44" t="s">
        <v>19</v>
      </c>
      <c r="C44" s="18" t="str">
        <f>HYPERLINK("https://rhld.insurance.arkansas.gov/NPILookup?Npi=1508493610","1508493610")</f>
        <v>1508493610</v>
      </c>
      <c r="D44" t="s">
        <v>22949</v>
      </c>
      <c r="E44" t="s">
        <v>17366</v>
      </c>
      <c r="F44">
        <v>1</v>
      </c>
      <c r="G44">
        <v>3</v>
      </c>
      <c r="H44">
        <v>0</v>
      </c>
      <c r="I44">
        <v>0</v>
      </c>
      <c r="J44" t="s">
        <v>23390</v>
      </c>
      <c r="K44" t="s">
        <v>18640</v>
      </c>
      <c r="L44" t="s">
        <v>18640</v>
      </c>
      <c r="M44">
        <v>3</v>
      </c>
      <c r="N44" t="s">
        <v>17367</v>
      </c>
      <c r="O44" t="s">
        <v>23391</v>
      </c>
    </row>
    <row r="45" spans="1:15" x14ac:dyDescent="0.25">
      <c r="A45" t="s">
        <v>1</v>
      </c>
      <c r="B45" t="s">
        <v>19</v>
      </c>
      <c r="C45" s="18" t="str">
        <f>HYPERLINK("https://rhld.insurance.arkansas.gov/NPILookup?Npi=1528689239","1528689239")</f>
        <v>1528689239</v>
      </c>
      <c r="D45" t="s">
        <v>22951</v>
      </c>
      <c r="E45" t="s">
        <v>17366</v>
      </c>
      <c r="F45">
        <v>1</v>
      </c>
      <c r="G45">
        <v>3</v>
      </c>
      <c r="H45">
        <v>0</v>
      </c>
      <c r="I45">
        <v>0</v>
      </c>
      <c r="J45" t="s">
        <v>23390</v>
      </c>
      <c r="K45" t="s">
        <v>18640</v>
      </c>
      <c r="L45" t="s">
        <v>18640</v>
      </c>
      <c r="M45">
        <v>3</v>
      </c>
      <c r="N45" t="s">
        <v>17367</v>
      </c>
      <c r="O45" t="s">
        <v>23391</v>
      </c>
    </row>
    <row r="46" spans="1:15" x14ac:dyDescent="0.25">
      <c r="A46" t="s">
        <v>1</v>
      </c>
      <c r="B46" t="s">
        <v>19</v>
      </c>
      <c r="C46" s="18" t="str">
        <f>HYPERLINK("https://rhld.insurance.arkansas.gov/NPILookup?Npi=1528694544","1528694544")</f>
        <v>1528694544</v>
      </c>
      <c r="D46" t="s">
        <v>22952</v>
      </c>
      <c r="E46" t="s">
        <v>17366</v>
      </c>
      <c r="F46">
        <v>1</v>
      </c>
      <c r="G46">
        <v>3</v>
      </c>
      <c r="H46">
        <v>0</v>
      </c>
      <c r="I46">
        <v>0</v>
      </c>
      <c r="J46" t="s">
        <v>23390</v>
      </c>
      <c r="K46" t="s">
        <v>18640</v>
      </c>
      <c r="L46" t="s">
        <v>18640</v>
      </c>
      <c r="M46">
        <v>3</v>
      </c>
      <c r="N46" t="s">
        <v>17367</v>
      </c>
      <c r="O46" t="s">
        <v>23391</v>
      </c>
    </row>
    <row r="47" spans="1:15" x14ac:dyDescent="0.25">
      <c r="A47" t="s">
        <v>1</v>
      </c>
      <c r="B47" t="s">
        <v>19</v>
      </c>
      <c r="C47" s="18" t="str">
        <f>HYPERLINK("https://rhld.insurance.arkansas.gov/NPILookup?Npi=1538948484","1538948484")</f>
        <v>1538948484</v>
      </c>
      <c r="D47" t="s">
        <v>22953</v>
      </c>
      <c r="E47" t="s">
        <v>17366</v>
      </c>
      <c r="F47">
        <v>1</v>
      </c>
      <c r="G47">
        <v>3</v>
      </c>
      <c r="H47">
        <v>0</v>
      </c>
      <c r="I47">
        <v>0</v>
      </c>
      <c r="J47" t="s">
        <v>23390</v>
      </c>
      <c r="K47" t="s">
        <v>18640</v>
      </c>
      <c r="L47" t="s">
        <v>18640</v>
      </c>
      <c r="M47">
        <v>3</v>
      </c>
      <c r="N47" t="s">
        <v>17367</v>
      </c>
      <c r="O47" t="s">
        <v>23391</v>
      </c>
    </row>
    <row r="48" spans="1:15" x14ac:dyDescent="0.25">
      <c r="A48" t="s">
        <v>1</v>
      </c>
      <c r="B48" t="s">
        <v>19</v>
      </c>
      <c r="C48" s="18" t="str">
        <f>HYPERLINK("https://rhld.insurance.arkansas.gov/NPILookup?Npi=1548858749","1548858749")</f>
        <v>1548858749</v>
      </c>
      <c r="D48" t="s">
        <v>22954</v>
      </c>
      <c r="E48" t="s">
        <v>17366</v>
      </c>
      <c r="F48">
        <v>1</v>
      </c>
      <c r="G48">
        <v>2</v>
      </c>
      <c r="H48">
        <v>0</v>
      </c>
      <c r="I48">
        <v>0</v>
      </c>
      <c r="J48" t="s">
        <v>23390</v>
      </c>
      <c r="K48" t="s">
        <v>18640</v>
      </c>
      <c r="L48" t="s">
        <v>18640</v>
      </c>
      <c r="M48">
        <v>2</v>
      </c>
      <c r="N48" t="s">
        <v>17367</v>
      </c>
      <c r="O48" t="s">
        <v>23391</v>
      </c>
    </row>
    <row r="49" spans="1:15" x14ac:dyDescent="0.25">
      <c r="A49" t="s">
        <v>1</v>
      </c>
      <c r="B49" t="s">
        <v>19</v>
      </c>
      <c r="C49" s="18" t="str">
        <f>HYPERLINK("https://rhld.insurance.arkansas.gov/NPILookup?Npi=1548871510","1548871510")</f>
        <v>1548871510</v>
      </c>
      <c r="D49" t="s">
        <v>22955</v>
      </c>
      <c r="E49" t="s">
        <v>17366</v>
      </c>
      <c r="F49">
        <v>1</v>
      </c>
      <c r="G49">
        <v>3</v>
      </c>
      <c r="H49">
        <v>0</v>
      </c>
      <c r="I49">
        <v>0</v>
      </c>
      <c r="J49" t="s">
        <v>23390</v>
      </c>
      <c r="K49" t="s">
        <v>18640</v>
      </c>
      <c r="L49" t="s">
        <v>18640</v>
      </c>
      <c r="M49">
        <v>3</v>
      </c>
      <c r="N49" t="s">
        <v>17367</v>
      </c>
      <c r="O49" t="s">
        <v>23391</v>
      </c>
    </row>
    <row r="50" spans="1:15" x14ac:dyDescent="0.25">
      <c r="A50" t="s">
        <v>1</v>
      </c>
      <c r="B50" t="s">
        <v>19</v>
      </c>
      <c r="C50" s="18" t="str">
        <f>HYPERLINK("https://rhld.insurance.arkansas.gov/NPILookup?Npi=1568089555","1568089555")</f>
        <v>1568089555</v>
      </c>
      <c r="D50" t="s">
        <v>12327</v>
      </c>
      <c r="E50" t="s">
        <v>17366</v>
      </c>
      <c r="F50">
        <v>1</v>
      </c>
      <c r="G50">
        <v>3</v>
      </c>
      <c r="H50">
        <v>0</v>
      </c>
      <c r="I50">
        <v>0</v>
      </c>
      <c r="J50" t="s">
        <v>23390</v>
      </c>
      <c r="K50" t="s">
        <v>18640</v>
      </c>
      <c r="L50" t="s">
        <v>18640</v>
      </c>
      <c r="M50">
        <v>3</v>
      </c>
      <c r="N50" t="s">
        <v>17367</v>
      </c>
      <c r="O50" t="s">
        <v>23391</v>
      </c>
    </row>
    <row r="51" spans="1:15" x14ac:dyDescent="0.25">
      <c r="A51" t="s">
        <v>1</v>
      </c>
      <c r="B51" t="s">
        <v>19</v>
      </c>
      <c r="C51" s="18" t="str">
        <f>HYPERLINK("https://rhld.insurance.arkansas.gov/NPILookup?Npi=1568090959","1568090959")</f>
        <v>1568090959</v>
      </c>
      <c r="D51" t="s">
        <v>22956</v>
      </c>
      <c r="E51" t="s">
        <v>17366</v>
      </c>
      <c r="F51">
        <v>1</v>
      </c>
      <c r="G51">
        <v>3</v>
      </c>
      <c r="H51">
        <v>0</v>
      </c>
      <c r="I51">
        <v>0</v>
      </c>
      <c r="J51" t="s">
        <v>23390</v>
      </c>
      <c r="K51" t="s">
        <v>18640</v>
      </c>
      <c r="L51" t="s">
        <v>18640</v>
      </c>
      <c r="M51">
        <v>3</v>
      </c>
      <c r="N51" t="s">
        <v>17367</v>
      </c>
      <c r="O51" t="s">
        <v>23391</v>
      </c>
    </row>
    <row r="52" spans="1:15" x14ac:dyDescent="0.25">
      <c r="A52" t="s">
        <v>1</v>
      </c>
      <c r="B52" t="s">
        <v>19</v>
      </c>
      <c r="C52" s="18" t="str">
        <f>HYPERLINK("https://rhld.insurance.arkansas.gov/NPILookup?Npi=1568811321","1568811321")</f>
        <v>1568811321</v>
      </c>
      <c r="D52" t="s">
        <v>22957</v>
      </c>
      <c r="E52" t="s">
        <v>17366</v>
      </c>
      <c r="F52">
        <v>1</v>
      </c>
      <c r="G52">
        <v>2</v>
      </c>
      <c r="H52">
        <v>0</v>
      </c>
      <c r="I52">
        <v>0</v>
      </c>
      <c r="J52" t="s">
        <v>23390</v>
      </c>
      <c r="K52" t="s">
        <v>18640</v>
      </c>
      <c r="L52" t="s">
        <v>18640</v>
      </c>
      <c r="M52">
        <v>2</v>
      </c>
      <c r="N52" t="s">
        <v>17367</v>
      </c>
      <c r="O52" t="s">
        <v>23391</v>
      </c>
    </row>
    <row r="53" spans="1:15" x14ac:dyDescent="0.25">
      <c r="A53" t="s">
        <v>1</v>
      </c>
      <c r="B53" t="s">
        <v>19</v>
      </c>
      <c r="C53" s="18" t="str">
        <f>HYPERLINK("https://rhld.insurance.arkansas.gov/NPILookup?Npi=1568959674","1568959674")</f>
        <v>1568959674</v>
      </c>
      <c r="D53" t="s">
        <v>22958</v>
      </c>
      <c r="E53" t="s">
        <v>17366</v>
      </c>
      <c r="F53">
        <v>1</v>
      </c>
      <c r="G53">
        <v>3</v>
      </c>
      <c r="H53">
        <v>0</v>
      </c>
      <c r="I53">
        <v>0</v>
      </c>
      <c r="J53" t="s">
        <v>23390</v>
      </c>
      <c r="K53" t="s">
        <v>18640</v>
      </c>
      <c r="L53" t="s">
        <v>18640</v>
      </c>
      <c r="M53">
        <v>3</v>
      </c>
      <c r="N53" t="s">
        <v>17367</v>
      </c>
      <c r="O53" t="s">
        <v>23391</v>
      </c>
    </row>
    <row r="54" spans="1:15" x14ac:dyDescent="0.25">
      <c r="A54" t="s">
        <v>1</v>
      </c>
      <c r="B54" t="s">
        <v>19</v>
      </c>
      <c r="C54" s="18" t="str">
        <f>HYPERLINK("https://rhld.insurance.arkansas.gov/NPILookup?Npi=1588293062","1588293062")</f>
        <v>1588293062</v>
      </c>
      <c r="D54" t="s">
        <v>22959</v>
      </c>
      <c r="E54" t="s">
        <v>17366</v>
      </c>
      <c r="F54">
        <v>1</v>
      </c>
      <c r="G54">
        <v>3</v>
      </c>
      <c r="H54">
        <v>0</v>
      </c>
      <c r="I54">
        <v>0</v>
      </c>
      <c r="J54" t="s">
        <v>23390</v>
      </c>
      <c r="K54" t="s">
        <v>18640</v>
      </c>
      <c r="L54" t="s">
        <v>18640</v>
      </c>
      <c r="M54">
        <v>3</v>
      </c>
      <c r="N54" t="s">
        <v>17367</v>
      </c>
      <c r="O54" t="s">
        <v>23391</v>
      </c>
    </row>
    <row r="55" spans="1:15" x14ac:dyDescent="0.25">
      <c r="A55" t="s">
        <v>1</v>
      </c>
      <c r="B55" t="s">
        <v>19</v>
      </c>
      <c r="C55" s="18" t="str">
        <f>HYPERLINK("https://rhld.insurance.arkansas.gov/NPILookup?Npi=1588635320","1588635320")</f>
        <v>1588635320</v>
      </c>
      <c r="D55" t="s">
        <v>2061</v>
      </c>
      <c r="E55" t="s">
        <v>17368</v>
      </c>
      <c r="F55">
        <v>1</v>
      </c>
      <c r="G55">
        <v>3</v>
      </c>
      <c r="H55">
        <v>0</v>
      </c>
      <c r="I55">
        <v>0</v>
      </c>
      <c r="J55" t="s">
        <v>17370</v>
      </c>
      <c r="K55" t="s">
        <v>18640</v>
      </c>
      <c r="L55" t="s">
        <v>18640</v>
      </c>
      <c r="M55">
        <v>3</v>
      </c>
      <c r="N55" t="s">
        <v>17367</v>
      </c>
      <c r="O55" t="s">
        <v>23391</v>
      </c>
    </row>
    <row r="56" spans="1:15" x14ac:dyDescent="0.25">
      <c r="A56" t="s">
        <v>1</v>
      </c>
      <c r="B56" t="s">
        <v>19</v>
      </c>
      <c r="C56" s="18" t="str">
        <f>HYPERLINK("https://rhld.insurance.arkansas.gov/NPILookup?Npi=1598387417","1598387417")</f>
        <v>1598387417</v>
      </c>
      <c r="D56" t="s">
        <v>22962</v>
      </c>
      <c r="E56" t="s">
        <v>17366</v>
      </c>
      <c r="F56">
        <v>1</v>
      </c>
      <c r="G56">
        <v>3</v>
      </c>
      <c r="H56">
        <v>0</v>
      </c>
      <c r="I56">
        <v>0</v>
      </c>
      <c r="J56" t="s">
        <v>23390</v>
      </c>
      <c r="K56" t="s">
        <v>18640</v>
      </c>
      <c r="L56" t="s">
        <v>18640</v>
      </c>
      <c r="M56">
        <v>3</v>
      </c>
      <c r="N56" t="s">
        <v>17367</v>
      </c>
      <c r="O56" t="s">
        <v>23391</v>
      </c>
    </row>
    <row r="57" spans="1:15" x14ac:dyDescent="0.25">
      <c r="A57" t="s">
        <v>1</v>
      </c>
      <c r="B57" t="s">
        <v>19</v>
      </c>
      <c r="C57" s="18" t="str">
        <f>HYPERLINK("https://rhld.insurance.arkansas.gov/NPILookup?Npi=1609570431","1609570431")</f>
        <v>1609570431</v>
      </c>
      <c r="D57" t="s">
        <v>22963</v>
      </c>
      <c r="E57" t="s">
        <v>17366</v>
      </c>
      <c r="F57">
        <v>1</v>
      </c>
      <c r="G57">
        <v>3</v>
      </c>
      <c r="H57">
        <v>0</v>
      </c>
      <c r="I57">
        <v>0</v>
      </c>
      <c r="J57" t="s">
        <v>23390</v>
      </c>
      <c r="K57" t="s">
        <v>18640</v>
      </c>
      <c r="L57" t="s">
        <v>18640</v>
      </c>
      <c r="M57">
        <v>3</v>
      </c>
      <c r="N57" t="s">
        <v>17367</v>
      </c>
      <c r="O57" t="s">
        <v>23391</v>
      </c>
    </row>
    <row r="58" spans="1:15" x14ac:dyDescent="0.25">
      <c r="A58" t="s">
        <v>1</v>
      </c>
      <c r="B58" t="s">
        <v>19</v>
      </c>
      <c r="C58" s="18" t="str">
        <f>HYPERLINK("https://rhld.insurance.arkansas.gov/NPILookup?Npi=1649634585","1649634585")</f>
        <v>1649634585</v>
      </c>
      <c r="D58" t="s">
        <v>22965</v>
      </c>
      <c r="E58" t="s">
        <v>17366</v>
      </c>
      <c r="F58">
        <v>1</v>
      </c>
      <c r="G58">
        <v>3</v>
      </c>
      <c r="H58">
        <v>0</v>
      </c>
      <c r="I58">
        <v>0</v>
      </c>
      <c r="J58" t="s">
        <v>23390</v>
      </c>
      <c r="K58" t="s">
        <v>18640</v>
      </c>
      <c r="L58" t="s">
        <v>18640</v>
      </c>
      <c r="M58">
        <v>3</v>
      </c>
      <c r="N58" t="s">
        <v>17367</v>
      </c>
      <c r="O58" t="s">
        <v>23391</v>
      </c>
    </row>
    <row r="59" spans="1:15" x14ac:dyDescent="0.25">
      <c r="A59" t="s">
        <v>1</v>
      </c>
      <c r="B59" t="s">
        <v>19</v>
      </c>
      <c r="C59" s="18" t="str">
        <f>HYPERLINK("https://rhld.insurance.arkansas.gov/NPILookup?Npi=1659395960","1659395960")</f>
        <v>1659395960</v>
      </c>
      <c r="D59" t="s">
        <v>22967</v>
      </c>
      <c r="E59" t="s">
        <v>17366</v>
      </c>
      <c r="F59">
        <v>1</v>
      </c>
      <c r="G59">
        <v>2</v>
      </c>
      <c r="H59">
        <v>0</v>
      </c>
      <c r="I59">
        <v>0</v>
      </c>
      <c r="J59" t="s">
        <v>23390</v>
      </c>
      <c r="K59" t="s">
        <v>18640</v>
      </c>
      <c r="L59" t="s">
        <v>18640</v>
      </c>
      <c r="M59">
        <v>2</v>
      </c>
      <c r="N59" t="s">
        <v>17367</v>
      </c>
      <c r="O59" t="s">
        <v>23391</v>
      </c>
    </row>
    <row r="60" spans="1:15" x14ac:dyDescent="0.25">
      <c r="A60" t="s">
        <v>1</v>
      </c>
      <c r="B60" t="s">
        <v>19</v>
      </c>
      <c r="C60" s="18" t="str">
        <f>HYPERLINK("https://rhld.insurance.arkansas.gov/NPILookup?Npi=1659908614","1659908614")</f>
        <v>1659908614</v>
      </c>
      <c r="D60" t="s">
        <v>22968</v>
      </c>
      <c r="E60" t="s">
        <v>17366</v>
      </c>
      <c r="F60">
        <v>1</v>
      </c>
      <c r="G60">
        <v>3</v>
      </c>
      <c r="H60">
        <v>0</v>
      </c>
      <c r="I60">
        <v>0</v>
      </c>
      <c r="J60" t="s">
        <v>23390</v>
      </c>
      <c r="K60" t="s">
        <v>18640</v>
      </c>
      <c r="L60" t="s">
        <v>18640</v>
      </c>
      <c r="M60">
        <v>3</v>
      </c>
      <c r="N60" t="s">
        <v>17367</v>
      </c>
      <c r="O60" t="s">
        <v>23391</v>
      </c>
    </row>
    <row r="61" spans="1:15" x14ac:dyDescent="0.25">
      <c r="A61" t="s">
        <v>1</v>
      </c>
      <c r="B61" t="s">
        <v>19</v>
      </c>
      <c r="C61" s="18" t="str">
        <f>HYPERLINK("https://rhld.insurance.arkansas.gov/NPILookup?Npi=1689383366","1689383366")</f>
        <v>1689383366</v>
      </c>
      <c r="D61" t="s">
        <v>22975</v>
      </c>
      <c r="E61" t="s">
        <v>17366</v>
      </c>
      <c r="F61">
        <v>1</v>
      </c>
      <c r="G61">
        <v>2</v>
      </c>
      <c r="H61">
        <v>0</v>
      </c>
      <c r="I61">
        <v>0</v>
      </c>
      <c r="J61" t="s">
        <v>23390</v>
      </c>
      <c r="K61" t="s">
        <v>18640</v>
      </c>
      <c r="L61" t="s">
        <v>18640</v>
      </c>
      <c r="M61">
        <v>2</v>
      </c>
      <c r="N61" t="s">
        <v>17367</v>
      </c>
      <c r="O61" t="s">
        <v>23391</v>
      </c>
    </row>
    <row r="62" spans="1:15" x14ac:dyDescent="0.25">
      <c r="A62" t="s">
        <v>1</v>
      </c>
      <c r="B62" t="s">
        <v>19</v>
      </c>
      <c r="C62" s="18" t="str">
        <f>HYPERLINK("https://rhld.insurance.arkansas.gov/NPILookup?Npi=1760006001","1760006001")</f>
        <v>1760006001</v>
      </c>
      <c r="D62" t="s">
        <v>22980</v>
      </c>
      <c r="E62" t="s">
        <v>17366</v>
      </c>
      <c r="F62">
        <v>1</v>
      </c>
      <c r="G62">
        <v>2</v>
      </c>
      <c r="H62">
        <v>0</v>
      </c>
      <c r="I62">
        <v>0</v>
      </c>
      <c r="J62" t="s">
        <v>23390</v>
      </c>
      <c r="K62" t="s">
        <v>18640</v>
      </c>
      <c r="L62" t="s">
        <v>18640</v>
      </c>
      <c r="M62">
        <v>2</v>
      </c>
      <c r="N62" t="s">
        <v>17367</v>
      </c>
      <c r="O62" t="s">
        <v>23391</v>
      </c>
    </row>
    <row r="63" spans="1:15" x14ac:dyDescent="0.25">
      <c r="A63" t="s">
        <v>1</v>
      </c>
      <c r="B63" t="s">
        <v>19</v>
      </c>
      <c r="C63" s="18" t="str">
        <f>HYPERLINK("https://rhld.insurance.arkansas.gov/NPILookup?Npi=1760731608","1760731608")</f>
        <v>1760731608</v>
      </c>
      <c r="D63" t="s">
        <v>22981</v>
      </c>
      <c r="E63" t="s">
        <v>17366</v>
      </c>
      <c r="F63">
        <v>1</v>
      </c>
      <c r="G63">
        <v>2</v>
      </c>
      <c r="H63">
        <v>0</v>
      </c>
      <c r="I63">
        <v>0</v>
      </c>
      <c r="J63" t="s">
        <v>23390</v>
      </c>
      <c r="K63" t="s">
        <v>18640</v>
      </c>
      <c r="L63" t="s">
        <v>18640</v>
      </c>
      <c r="M63">
        <v>2</v>
      </c>
      <c r="N63" t="s">
        <v>17367</v>
      </c>
      <c r="O63" t="s">
        <v>23391</v>
      </c>
    </row>
    <row r="64" spans="1:15" x14ac:dyDescent="0.25">
      <c r="A64" t="s">
        <v>1</v>
      </c>
      <c r="B64" t="s">
        <v>19</v>
      </c>
      <c r="C64" s="18" t="str">
        <f>HYPERLINK("https://rhld.insurance.arkansas.gov/NPILookup?Npi=1770520900","1770520900")</f>
        <v>1770520900</v>
      </c>
      <c r="D64" t="s">
        <v>22983</v>
      </c>
      <c r="E64" t="s">
        <v>17366</v>
      </c>
      <c r="F64">
        <v>1</v>
      </c>
      <c r="G64">
        <v>3</v>
      </c>
      <c r="H64">
        <v>0</v>
      </c>
      <c r="I64">
        <v>0</v>
      </c>
      <c r="J64" t="s">
        <v>23390</v>
      </c>
      <c r="K64" t="s">
        <v>18640</v>
      </c>
      <c r="L64" t="s">
        <v>18640</v>
      </c>
      <c r="M64">
        <v>3</v>
      </c>
      <c r="N64" t="s">
        <v>17367</v>
      </c>
      <c r="O64" t="s">
        <v>23391</v>
      </c>
    </row>
    <row r="65" spans="1:15" x14ac:dyDescent="0.25">
      <c r="A65" t="s">
        <v>1</v>
      </c>
      <c r="B65" t="s">
        <v>19</v>
      </c>
      <c r="C65" s="18" t="str">
        <f>HYPERLINK("https://rhld.insurance.arkansas.gov/NPILookup?Npi=1780274043","1780274043")</f>
        <v>1780274043</v>
      </c>
      <c r="D65" t="s">
        <v>22986</v>
      </c>
      <c r="E65" t="s">
        <v>17366</v>
      </c>
      <c r="F65">
        <v>1</v>
      </c>
      <c r="G65">
        <v>3</v>
      </c>
      <c r="H65">
        <v>0</v>
      </c>
      <c r="I65">
        <v>0</v>
      </c>
      <c r="J65" t="s">
        <v>23390</v>
      </c>
      <c r="K65" t="s">
        <v>18640</v>
      </c>
      <c r="L65" t="s">
        <v>18640</v>
      </c>
      <c r="M65">
        <v>3</v>
      </c>
      <c r="N65" t="s">
        <v>17367</v>
      </c>
      <c r="O65" t="s">
        <v>23391</v>
      </c>
    </row>
    <row r="66" spans="1:15" x14ac:dyDescent="0.25">
      <c r="A66" t="s">
        <v>1</v>
      </c>
      <c r="B66" t="s">
        <v>19</v>
      </c>
      <c r="C66" s="18" t="str">
        <f>HYPERLINK("https://rhld.insurance.arkansas.gov/NPILookup?Npi=1801410527","1801410527")</f>
        <v>1801410527</v>
      </c>
      <c r="D66" t="s">
        <v>22987</v>
      </c>
      <c r="E66" t="s">
        <v>17366</v>
      </c>
      <c r="F66">
        <v>1</v>
      </c>
      <c r="G66">
        <v>3</v>
      </c>
      <c r="H66">
        <v>0</v>
      </c>
      <c r="I66">
        <v>0</v>
      </c>
      <c r="J66" t="s">
        <v>23390</v>
      </c>
      <c r="K66" t="s">
        <v>18640</v>
      </c>
      <c r="L66" t="s">
        <v>18640</v>
      </c>
      <c r="M66">
        <v>3</v>
      </c>
      <c r="N66" t="s">
        <v>17367</v>
      </c>
      <c r="O66" t="s">
        <v>23391</v>
      </c>
    </row>
    <row r="67" spans="1:15" x14ac:dyDescent="0.25">
      <c r="A67" t="s">
        <v>1</v>
      </c>
      <c r="B67" t="s">
        <v>19</v>
      </c>
      <c r="C67" s="18" t="str">
        <f>HYPERLINK("https://rhld.insurance.arkansas.gov/NPILookup?Npi=1801483946","1801483946")</f>
        <v>1801483946</v>
      </c>
      <c r="D67" t="s">
        <v>22988</v>
      </c>
      <c r="E67" t="s">
        <v>17366</v>
      </c>
      <c r="F67">
        <v>1</v>
      </c>
      <c r="G67">
        <v>3</v>
      </c>
      <c r="H67">
        <v>0</v>
      </c>
      <c r="I67">
        <v>0</v>
      </c>
      <c r="J67" t="s">
        <v>23390</v>
      </c>
      <c r="K67" t="s">
        <v>18640</v>
      </c>
      <c r="L67" t="s">
        <v>18640</v>
      </c>
      <c r="M67">
        <v>3</v>
      </c>
      <c r="N67" t="s">
        <v>17367</v>
      </c>
      <c r="O67" t="s">
        <v>23391</v>
      </c>
    </row>
    <row r="68" spans="1:15" x14ac:dyDescent="0.25">
      <c r="A68" t="s">
        <v>1</v>
      </c>
      <c r="B68" t="s">
        <v>19</v>
      </c>
      <c r="C68" s="18" t="str">
        <f>HYPERLINK("https://rhld.insurance.arkansas.gov/NPILookup?Npi=1811525017","1811525017")</f>
        <v>1811525017</v>
      </c>
      <c r="D68" t="s">
        <v>22989</v>
      </c>
      <c r="E68" t="s">
        <v>17366</v>
      </c>
      <c r="F68">
        <v>1</v>
      </c>
      <c r="G68">
        <v>3</v>
      </c>
      <c r="H68">
        <v>0</v>
      </c>
      <c r="I68">
        <v>0</v>
      </c>
      <c r="J68" t="s">
        <v>23390</v>
      </c>
      <c r="K68" t="s">
        <v>18640</v>
      </c>
      <c r="L68" t="s">
        <v>18640</v>
      </c>
      <c r="M68">
        <v>3</v>
      </c>
      <c r="N68" t="s">
        <v>17367</v>
      </c>
      <c r="O68" t="s">
        <v>23391</v>
      </c>
    </row>
    <row r="69" spans="1:15" x14ac:dyDescent="0.25">
      <c r="A69" t="s">
        <v>1</v>
      </c>
      <c r="B69" t="s">
        <v>19</v>
      </c>
      <c r="C69" s="18" t="str">
        <f>HYPERLINK("https://rhld.insurance.arkansas.gov/NPILookup?Npi=1821026329","1821026329")</f>
        <v>1821026329</v>
      </c>
      <c r="D69" t="s">
        <v>2869</v>
      </c>
      <c r="E69" t="s">
        <v>17368</v>
      </c>
      <c r="F69">
        <v>1</v>
      </c>
      <c r="G69">
        <v>2</v>
      </c>
      <c r="H69">
        <v>0</v>
      </c>
      <c r="I69">
        <v>0</v>
      </c>
      <c r="J69" t="s">
        <v>17370</v>
      </c>
      <c r="K69" t="s">
        <v>18640</v>
      </c>
      <c r="L69" t="s">
        <v>18640</v>
      </c>
      <c r="M69">
        <v>2</v>
      </c>
      <c r="N69" t="s">
        <v>17367</v>
      </c>
      <c r="O69" t="s">
        <v>23391</v>
      </c>
    </row>
    <row r="70" spans="1:15" x14ac:dyDescent="0.25">
      <c r="A70" t="s">
        <v>1</v>
      </c>
      <c r="B70" t="s">
        <v>19</v>
      </c>
      <c r="C70" s="18" t="str">
        <f>HYPERLINK("https://rhld.insurance.arkansas.gov/NPILookup?Npi=1821589250","1821589250")</f>
        <v>1821589250</v>
      </c>
      <c r="D70" t="s">
        <v>22990</v>
      </c>
      <c r="E70" t="s">
        <v>17366</v>
      </c>
      <c r="F70">
        <v>1</v>
      </c>
      <c r="G70">
        <v>3</v>
      </c>
      <c r="H70">
        <v>0</v>
      </c>
      <c r="I70">
        <v>0</v>
      </c>
      <c r="J70" t="s">
        <v>23390</v>
      </c>
      <c r="K70" t="s">
        <v>18640</v>
      </c>
      <c r="L70" t="s">
        <v>18640</v>
      </c>
      <c r="M70">
        <v>3</v>
      </c>
      <c r="N70" t="s">
        <v>17367</v>
      </c>
      <c r="O70" t="s">
        <v>23391</v>
      </c>
    </row>
    <row r="71" spans="1:15" x14ac:dyDescent="0.25">
      <c r="A71" t="s">
        <v>1</v>
      </c>
      <c r="B71" t="s">
        <v>19</v>
      </c>
      <c r="C71" s="18" t="str">
        <f>HYPERLINK("https://rhld.insurance.arkansas.gov/NPILookup?Npi=1831727148","1831727148")</f>
        <v>1831727148</v>
      </c>
      <c r="D71" t="s">
        <v>22992</v>
      </c>
      <c r="E71" t="s">
        <v>17366</v>
      </c>
      <c r="F71">
        <v>1</v>
      </c>
      <c r="G71">
        <v>2</v>
      </c>
      <c r="H71">
        <v>0</v>
      </c>
      <c r="I71">
        <v>0</v>
      </c>
      <c r="J71" t="s">
        <v>23390</v>
      </c>
      <c r="K71" t="s">
        <v>18640</v>
      </c>
      <c r="L71" t="s">
        <v>18640</v>
      </c>
      <c r="M71">
        <v>2</v>
      </c>
      <c r="N71" t="s">
        <v>17367</v>
      </c>
      <c r="O71" t="s">
        <v>23391</v>
      </c>
    </row>
    <row r="72" spans="1:15" x14ac:dyDescent="0.25">
      <c r="A72" t="s">
        <v>1</v>
      </c>
      <c r="B72" t="s">
        <v>19</v>
      </c>
      <c r="C72" s="18" t="str">
        <f>HYPERLINK("https://rhld.insurance.arkansas.gov/NPILookup?Npi=1851470231","1851470231")</f>
        <v>1851470231</v>
      </c>
      <c r="D72" t="s">
        <v>22994</v>
      </c>
      <c r="E72" t="s">
        <v>17366</v>
      </c>
      <c r="F72">
        <v>1</v>
      </c>
      <c r="G72">
        <v>3</v>
      </c>
      <c r="H72">
        <v>0</v>
      </c>
      <c r="I72">
        <v>0</v>
      </c>
      <c r="J72" t="s">
        <v>23390</v>
      </c>
      <c r="K72" t="s">
        <v>18640</v>
      </c>
      <c r="L72" t="s">
        <v>18640</v>
      </c>
      <c r="M72">
        <v>3</v>
      </c>
      <c r="N72" t="s">
        <v>17367</v>
      </c>
      <c r="O72" t="s">
        <v>23391</v>
      </c>
    </row>
    <row r="73" spans="1:15" x14ac:dyDescent="0.25">
      <c r="A73" t="s">
        <v>1</v>
      </c>
      <c r="B73" t="s">
        <v>19</v>
      </c>
      <c r="C73" s="18" t="str">
        <f>HYPERLINK("https://rhld.insurance.arkansas.gov/NPILookup?Npi=1851573349","1851573349")</f>
        <v>1851573349</v>
      </c>
      <c r="D73" t="s">
        <v>22995</v>
      </c>
      <c r="E73" t="s">
        <v>17366</v>
      </c>
      <c r="F73">
        <v>1</v>
      </c>
      <c r="G73">
        <v>2</v>
      </c>
      <c r="H73">
        <v>0</v>
      </c>
      <c r="I73">
        <v>0</v>
      </c>
      <c r="J73" t="s">
        <v>23390</v>
      </c>
      <c r="K73" t="s">
        <v>18640</v>
      </c>
      <c r="L73" t="s">
        <v>18640</v>
      </c>
      <c r="M73">
        <v>2</v>
      </c>
      <c r="N73" t="s">
        <v>17367</v>
      </c>
      <c r="O73" t="s">
        <v>23391</v>
      </c>
    </row>
    <row r="74" spans="1:15" x14ac:dyDescent="0.25">
      <c r="A74" t="s">
        <v>1</v>
      </c>
      <c r="B74" t="s">
        <v>19</v>
      </c>
      <c r="C74" s="18" t="str">
        <f>HYPERLINK("https://rhld.insurance.arkansas.gov/NPILookup?Npi=1851929673","1851929673")</f>
        <v>1851929673</v>
      </c>
      <c r="D74" t="s">
        <v>22997</v>
      </c>
      <c r="E74" t="s">
        <v>17366</v>
      </c>
      <c r="F74">
        <v>1</v>
      </c>
      <c r="G74">
        <v>3</v>
      </c>
      <c r="H74">
        <v>0</v>
      </c>
      <c r="I74">
        <v>0</v>
      </c>
      <c r="J74" t="s">
        <v>23390</v>
      </c>
      <c r="K74" t="s">
        <v>18640</v>
      </c>
      <c r="L74" t="s">
        <v>18640</v>
      </c>
      <c r="M74">
        <v>3</v>
      </c>
      <c r="N74" t="s">
        <v>17367</v>
      </c>
      <c r="O74" t="s">
        <v>23391</v>
      </c>
    </row>
    <row r="75" spans="1:15" x14ac:dyDescent="0.25">
      <c r="A75" t="s">
        <v>1</v>
      </c>
      <c r="B75" t="s">
        <v>19</v>
      </c>
      <c r="C75" s="18" t="str">
        <f>HYPERLINK("https://rhld.insurance.arkansas.gov/NPILookup?Npi=1861020240","1861020240")</f>
        <v>1861020240</v>
      </c>
      <c r="D75" t="s">
        <v>22998</v>
      </c>
      <c r="E75" t="s">
        <v>17366</v>
      </c>
      <c r="F75">
        <v>1</v>
      </c>
      <c r="G75">
        <v>3</v>
      </c>
      <c r="H75">
        <v>0</v>
      </c>
      <c r="I75">
        <v>0</v>
      </c>
      <c r="J75" t="s">
        <v>23390</v>
      </c>
      <c r="K75" t="s">
        <v>18640</v>
      </c>
      <c r="L75" t="s">
        <v>18640</v>
      </c>
      <c r="M75">
        <v>3</v>
      </c>
      <c r="N75" t="s">
        <v>17367</v>
      </c>
      <c r="O75" t="s">
        <v>23391</v>
      </c>
    </row>
    <row r="76" spans="1:15" x14ac:dyDescent="0.25">
      <c r="A76" t="s">
        <v>1</v>
      </c>
      <c r="B76" t="s">
        <v>19</v>
      </c>
      <c r="C76" s="18" t="str">
        <f>HYPERLINK("https://rhld.insurance.arkansas.gov/NPILookup?Npi=1861021040","1861021040")</f>
        <v>1861021040</v>
      </c>
      <c r="D76" t="s">
        <v>22999</v>
      </c>
      <c r="E76" t="s">
        <v>17366</v>
      </c>
      <c r="F76">
        <v>1</v>
      </c>
      <c r="G76">
        <v>3</v>
      </c>
      <c r="H76">
        <v>0</v>
      </c>
      <c r="I76">
        <v>0</v>
      </c>
      <c r="J76" t="s">
        <v>23390</v>
      </c>
      <c r="K76" t="s">
        <v>18640</v>
      </c>
      <c r="L76" t="s">
        <v>18640</v>
      </c>
      <c r="M76">
        <v>3</v>
      </c>
      <c r="N76" t="s">
        <v>17367</v>
      </c>
      <c r="O76" t="s">
        <v>23391</v>
      </c>
    </row>
    <row r="77" spans="1:15" x14ac:dyDescent="0.25">
      <c r="A77" t="s">
        <v>1</v>
      </c>
      <c r="B77" t="s">
        <v>19</v>
      </c>
      <c r="C77" s="18" t="str">
        <f>HYPERLINK("https://rhld.insurance.arkansas.gov/NPILookup?Npi=1861021636","1861021636")</f>
        <v>1861021636</v>
      </c>
      <c r="D77" t="s">
        <v>23000</v>
      </c>
      <c r="E77" t="s">
        <v>17366</v>
      </c>
      <c r="F77">
        <v>1</v>
      </c>
      <c r="G77">
        <v>2</v>
      </c>
      <c r="H77">
        <v>0</v>
      </c>
      <c r="I77">
        <v>0</v>
      </c>
      <c r="J77" t="s">
        <v>23390</v>
      </c>
      <c r="K77" t="s">
        <v>18640</v>
      </c>
      <c r="L77" t="s">
        <v>18640</v>
      </c>
      <c r="M77">
        <v>2</v>
      </c>
      <c r="N77" t="s">
        <v>17367</v>
      </c>
      <c r="O77" t="s">
        <v>23391</v>
      </c>
    </row>
    <row r="78" spans="1:15" x14ac:dyDescent="0.25">
      <c r="A78" t="s">
        <v>1</v>
      </c>
      <c r="B78" t="s">
        <v>19</v>
      </c>
      <c r="C78" s="18" t="str">
        <f>HYPERLINK("https://rhld.insurance.arkansas.gov/NPILookup?Npi=1881222073","1881222073")</f>
        <v>1881222073</v>
      </c>
      <c r="D78" t="s">
        <v>23002</v>
      </c>
      <c r="E78" t="s">
        <v>17366</v>
      </c>
      <c r="F78">
        <v>1</v>
      </c>
      <c r="G78">
        <v>3</v>
      </c>
      <c r="H78">
        <v>0</v>
      </c>
      <c r="I78">
        <v>0</v>
      </c>
      <c r="J78" t="s">
        <v>23390</v>
      </c>
      <c r="K78" t="s">
        <v>18640</v>
      </c>
      <c r="L78" t="s">
        <v>18640</v>
      </c>
      <c r="M78">
        <v>3</v>
      </c>
      <c r="N78" t="s">
        <v>17367</v>
      </c>
      <c r="O78" t="s">
        <v>23391</v>
      </c>
    </row>
    <row r="79" spans="1:15" x14ac:dyDescent="0.25">
      <c r="A79" t="s">
        <v>1</v>
      </c>
      <c r="B79" t="s">
        <v>19</v>
      </c>
      <c r="C79" s="18" t="str">
        <f>HYPERLINK("https://rhld.insurance.arkansas.gov/NPILookup?Npi=1891315008","1891315008")</f>
        <v>1891315008</v>
      </c>
      <c r="D79" t="s">
        <v>23003</v>
      </c>
      <c r="E79" t="s">
        <v>17366</v>
      </c>
      <c r="F79">
        <v>1</v>
      </c>
      <c r="G79">
        <v>3</v>
      </c>
      <c r="H79">
        <v>0</v>
      </c>
      <c r="I79">
        <v>0</v>
      </c>
      <c r="J79" t="s">
        <v>23390</v>
      </c>
      <c r="K79" t="s">
        <v>18640</v>
      </c>
      <c r="L79" t="s">
        <v>18640</v>
      </c>
      <c r="M79">
        <v>3</v>
      </c>
      <c r="N79" t="s">
        <v>17367</v>
      </c>
      <c r="O79" t="s">
        <v>23391</v>
      </c>
    </row>
    <row r="80" spans="1:15" x14ac:dyDescent="0.25">
      <c r="A80" t="s">
        <v>1</v>
      </c>
      <c r="B80" t="s">
        <v>19</v>
      </c>
      <c r="C80" s="18" t="str">
        <f>HYPERLINK("https://rhld.insurance.arkansas.gov/NPILookup?Npi=1912529090","1912529090")</f>
        <v>1912529090</v>
      </c>
      <c r="D80" t="s">
        <v>23005</v>
      </c>
      <c r="E80" t="s">
        <v>17366</v>
      </c>
      <c r="F80">
        <v>1</v>
      </c>
      <c r="G80">
        <v>3</v>
      </c>
      <c r="H80">
        <v>0</v>
      </c>
      <c r="I80">
        <v>0</v>
      </c>
      <c r="J80" t="s">
        <v>23390</v>
      </c>
      <c r="K80" t="s">
        <v>18640</v>
      </c>
      <c r="L80" t="s">
        <v>18640</v>
      </c>
      <c r="M80">
        <v>3</v>
      </c>
      <c r="N80" t="s">
        <v>17367</v>
      </c>
      <c r="O80" t="s">
        <v>23391</v>
      </c>
    </row>
    <row r="81" spans="1:15" x14ac:dyDescent="0.25">
      <c r="A81" t="s">
        <v>1</v>
      </c>
      <c r="B81" t="s">
        <v>19</v>
      </c>
      <c r="C81" s="18" t="str">
        <f>HYPERLINK("https://rhld.insurance.arkansas.gov/NPILookup?Npi=1922627249","1922627249")</f>
        <v>1922627249</v>
      </c>
      <c r="D81" t="s">
        <v>23007</v>
      </c>
      <c r="E81" t="s">
        <v>17366</v>
      </c>
      <c r="F81">
        <v>1</v>
      </c>
      <c r="G81">
        <v>3</v>
      </c>
      <c r="H81">
        <v>0</v>
      </c>
      <c r="I81">
        <v>0</v>
      </c>
      <c r="J81" t="s">
        <v>23390</v>
      </c>
      <c r="K81" t="s">
        <v>18640</v>
      </c>
      <c r="L81" t="s">
        <v>18640</v>
      </c>
      <c r="M81">
        <v>3</v>
      </c>
      <c r="N81" t="s">
        <v>17367</v>
      </c>
      <c r="O81" t="s">
        <v>23391</v>
      </c>
    </row>
    <row r="82" spans="1:15" x14ac:dyDescent="0.25">
      <c r="A82" t="s">
        <v>1</v>
      </c>
      <c r="B82" t="s">
        <v>19</v>
      </c>
      <c r="C82" s="18" t="str">
        <f>HYPERLINK("https://rhld.insurance.arkansas.gov/NPILookup?Npi=1922629666","1922629666")</f>
        <v>1922629666</v>
      </c>
      <c r="D82" t="s">
        <v>23008</v>
      </c>
      <c r="E82" t="s">
        <v>17366</v>
      </c>
      <c r="F82">
        <v>1</v>
      </c>
      <c r="G82">
        <v>3</v>
      </c>
      <c r="H82">
        <v>0</v>
      </c>
      <c r="I82">
        <v>0</v>
      </c>
      <c r="J82" t="s">
        <v>23390</v>
      </c>
      <c r="K82" t="s">
        <v>18640</v>
      </c>
      <c r="L82" t="s">
        <v>18640</v>
      </c>
      <c r="M82">
        <v>3</v>
      </c>
      <c r="N82" t="s">
        <v>17367</v>
      </c>
      <c r="O82" t="s">
        <v>23391</v>
      </c>
    </row>
    <row r="83" spans="1:15" x14ac:dyDescent="0.25">
      <c r="A83" t="s">
        <v>1</v>
      </c>
      <c r="B83" t="s">
        <v>19</v>
      </c>
      <c r="C83" s="18" t="str">
        <f>HYPERLINK("https://rhld.insurance.arkansas.gov/NPILookup?Npi=1932631439","1932631439")</f>
        <v>1932631439</v>
      </c>
      <c r="D83" t="s">
        <v>23009</v>
      </c>
      <c r="E83" t="s">
        <v>17366</v>
      </c>
      <c r="F83">
        <v>1</v>
      </c>
      <c r="G83">
        <v>2</v>
      </c>
      <c r="H83">
        <v>0</v>
      </c>
      <c r="I83">
        <v>0</v>
      </c>
      <c r="J83" t="s">
        <v>23390</v>
      </c>
      <c r="K83" t="s">
        <v>18640</v>
      </c>
      <c r="L83" t="s">
        <v>18640</v>
      </c>
      <c r="M83">
        <v>2</v>
      </c>
      <c r="N83" t="s">
        <v>17367</v>
      </c>
      <c r="O83" t="s">
        <v>23391</v>
      </c>
    </row>
    <row r="84" spans="1:15" x14ac:dyDescent="0.25">
      <c r="A84" t="s">
        <v>1</v>
      </c>
      <c r="B84" t="s">
        <v>19</v>
      </c>
      <c r="C84" s="18" t="str">
        <f>HYPERLINK("https://rhld.insurance.arkansas.gov/NPILookup?Npi=1932737244","1932737244")</f>
        <v>1932737244</v>
      </c>
      <c r="D84" t="s">
        <v>23011</v>
      </c>
      <c r="E84" t="s">
        <v>17366</v>
      </c>
      <c r="F84">
        <v>1</v>
      </c>
      <c r="G84">
        <v>3</v>
      </c>
      <c r="H84">
        <v>0</v>
      </c>
      <c r="I84">
        <v>0</v>
      </c>
      <c r="J84" t="s">
        <v>23390</v>
      </c>
      <c r="K84" t="s">
        <v>18640</v>
      </c>
      <c r="L84" t="s">
        <v>18640</v>
      </c>
      <c r="M84">
        <v>3</v>
      </c>
      <c r="N84" t="s">
        <v>17367</v>
      </c>
      <c r="O84" t="s">
        <v>23391</v>
      </c>
    </row>
    <row r="85" spans="1:15" x14ac:dyDescent="0.25">
      <c r="A85" t="s">
        <v>1</v>
      </c>
      <c r="B85" t="s">
        <v>19</v>
      </c>
      <c r="C85" s="18" t="str">
        <f>HYPERLINK("https://rhld.insurance.arkansas.gov/NPILookup?Npi=1972258721","1972258721")</f>
        <v>1972258721</v>
      </c>
      <c r="D85" t="s">
        <v>8892</v>
      </c>
      <c r="E85" t="s">
        <v>17366</v>
      </c>
      <c r="F85">
        <v>1</v>
      </c>
      <c r="G85">
        <v>3</v>
      </c>
      <c r="H85">
        <v>0</v>
      </c>
      <c r="I85">
        <v>0</v>
      </c>
      <c r="J85" t="s">
        <v>23390</v>
      </c>
      <c r="K85" t="s">
        <v>18640</v>
      </c>
      <c r="L85" t="s">
        <v>18640</v>
      </c>
      <c r="M85">
        <v>3</v>
      </c>
      <c r="N85" t="s">
        <v>17367</v>
      </c>
      <c r="O85" t="s">
        <v>23391</v>
      </c>
    </row>
    <row r="86" spans="1:15" x14ac:dyDescent="0.25">
      <c r="A86" t="s">
        <v>1</v>
      </c>
      <c r="B86" t="s">
        <v>19</v>
      </c>
      <c r="C86" s="18" t="str">
        <f>HYPERLINK("https://rhld.insurance.arkansas.gov/NPILookup?Npi=1982165692","1982165692")</f>
        <v>1982165692</v>
      </c>
      <c r="D86" t="s">
        <v>23014</v>
      </c>
      <c r="E86" t="s">
        <v>17366</v>
      </c>
      <c r="F86">
        <v>1</v>
      </c>
      <c r="G86">
        <v>3</v>
      </c>
      <c r="H86">
        <v>0</v>
      </c>
      <c r="I86">
        <v>0</v>
      </c>
      <c r="J86" t="s">
        <v>23390</v>
      </c>
      <c r="K86" t="s">
        <v>18640</v>
      </c>
      <c r="L86" t="s">
        <v>18640</v>
      </c>
      <c r="M86">
        <v>3</v>
      </c>
      <c r="N86" t="s">
        <v>17367</v>
      </c>
      <c r="O86" t="s">
        <v>23391</v>
      </c>
    </row>
    <row r="87" spans="1:15" x14ac:dyDescent="0.25">
      <c r="A87" t="s">
        <v>1</v>
      </c>
      <c r="B87" t="s">
        <v>19</v>
      </c>
      <c r="C87" s="18" t="str">
        <f>HYPERLINK("https://rhld.insurance.arkansas.gov/NPILookup?Npi=1992585459","1992585459")</f>
        <v>1992585459</v>
      </c>
      <c r="D87" t="s">
        <v>18577</v>
      </c>
      <c r="E87" t="s">
        <v>17366</v>
      </c>
      <c r="F87">
        <v>1</v>
      </c>
      <c r="G87">
        <v>3</v>
      </c>
      <c r="H87">
        <v>0</v>
      </c>
      <c r="I87">
        <v>0</v>
      </c>
      <c r="J87" t="s">
        <v>23390</v>
      </c>
      <c r="K87" t="s">
        <v>18640</v>
      </c>
      <c r="L87" t="s">
        <v>18640</v>
      </c>
      <c r="M87">
        <v>3</v>
      </c>
      <c r="N87" t="s">
        <v>17367</v>
      </c>
      <c r="O87" t="s">
        <v>23391</v>
      </c>
    </row>
    <row r="88" spans="1:15" x14ac:dyDescent="0.25">
      <c r="A88" t="s">
        <v>2</v>
      </c>
      <c r="B88" t="s">
        <v>3458</v>
      </c>
      <c r="C88" s="18" t="str">
        <f>HYPERLINK("https://rhld.insurance.arkansas.gov/NPILookup?Npi=1013114610","1013114610")</f>
        <v>1013114610</v>
      </c>
      <c r="D88" t="s">
        <v>22880</v>
      </c>
      <c r="E88" t="s">
        <v>17366</v>
      </c>
      <c r="F88">
        <v>1</v>
      </c>
      <c r="G88">
        <v>2</v>
      </c>
      <c r="H88">
        <v>0</v>
      </c>
      <c r="I88">
        <v>0</v>
      </c>
      <c r="J88" t="s">
        <v>23390</v>
      </c>
      <c r="K88" t="s">
        <v>18640</v>
      </c>
      <c r="L88" t="s">
        <v>18640</v>
      </c>
      <c r="M88">
        <v>2</v>
      </c>
      <c r="N88" t="s">
        <v>17367</v>
      </c>
      <c r="O88" t="s">
        <v>23391</v>
      </c>
    </row>
    <row r="89" spans="1:15" x14ac:dyDescent="0.25">
      <c r="A89" t="s">
        <v>2</v>
      </c>
      <c r="B89" t="s">
        <v>3458</v>
      </c>
      <c r="C89" s="18" t="str">
        <f>HYPERLINK("https://rhld.insurance.arkansas.gov/NPILookup?Npi=1013152446","1013152446")</f>
        <v>1013152446</v>
      </c>
      <c r="D89" t="s">
        <v>23392</v>
      </c>
      <c r="E89" t="s">
        <v>17368</v>
      </c>
      <c r="F89">
        <v>1</v>
      </c>
      <c r="G89">
        <v>0</v>
      </c>
      <c r="H89">
        <v>0</v>
      </c>
      <c r="I89">
        <v>0</v>
      </c>
      <c r="J89" t="s">
        <v>23393</v>
      </c>
      <c r="K89" t="s">
        <v>18640</v>
      </c>
      <c r="L89" t="s">
        <v>18640</v>
      </c>
      <c r="M89">
        <v>0</v>
      </c>
      <c r="N89" t="s">
        <v>17367</v>
      </c>
      <c r="O89" t="s">
        <v>23394</v>
      </c>
    </row>
    <row r="90" spans="1:15" x14ac:dyDescent="0.25">
      <c r="A90" t="s">
        <v>2</v>
      </c>
      <c r="B90" t="s">
        <v>3458</v>
      </c>
      <c r="C90" s="18" t="str">
        <f>HYPERLINK("https://rhld.insurance.arkansas.gov/NPILookup?Npi=1013598093","1013598093")</f>
        <v>1013598093</v>
      </c>
      <c r="D90" t="s">
        <v>23392</v>
      </c>
      <c r="E90" t="s">
        <v>17368</v>
      </c>
      <c r="F90">
        <v>1</v>
      </c>
      <c r="G90">
        <v>0</v>
      </c>
      <c r="H90">
        <v>0</v>
      </c>
      <c r="I90">
        <v>0</v>
      </c>
      <c r="J90" t="s">
        <v>23393</v>
      </c>
      <c r="K90" t="s">
        <v>18640</v>
      </c>
      <c r="L90" t="s">
        <v>18640</v>
      </c>
      <c r="M90">
        <v>0</v>
      </c>
      <c r="N90" t="s">
        <v>17367</v>
      </c>
      <c r="O90" t="s">
        <v>23394</v>
      </c>
    </row>
    <row r="91" spans="1:15" x14ac:dyDescent="0.25">
      <c r="A91" t="s">
        <v>2</v>
      </c>
      <c r="B91" t="s">
        <v>3458</v>
      </c>
      <c r="C91" s="18" t="str">
        <f>HYPERLINK("https://rhld.insurance.arkansas.gov/NPILookup?Npi=1023646734","1023646734")</f>
        <v>1023646734</v>
      </c>
      <c r="D91" t="s">
        <v>22883</v>
      </c>
      <c r="E91" t="s">
        <v>17366</v>
      </c>
      <c r="F91">
        <v>1</v>
      </c>
      <c r="G91">
        <v>2</v>
      </c>
      <c r="H91">
        <v>1</v>
      </c>
      <c r="I91">
        <v>0</v>
      </c>
      <c r="J91" t="s">
        <v>23390</v>
      </c>
      <c r="K91" t="s">
        <v>18640</v>
      </c>
      <c r="L91" t="s">
        <v>23396</v>
      </c>
      <c r="M91">
        <v>1</v>
      </c>
      <c r="N91" t="s">
        <v>17369</v>
      </c>
      <c r="O91" t="s">
        <v>21361</v>
      </c>
    </row>
    <row r="92" spans="1:15" x14ac:dyDescent="0.25">
      <c r="A92" t="s">
        <v>2</v>
      </c>
      <c r="B92" t="s">
        <v>3458</v>
      </c>
      <c r="C92" s="18" t="str">
        <f>HYPERLINK("https://rhld.insurance.arkansas.gov/NPILookup?Npi=1033824867","1033824867")</f>
        <v>1033824867</v>
      </c>
      <c r="D92" t="s">
        <v>22885</v>
      </c>
      <c r="E92" t="s">
        <v>17366</v>
      </c>
      <c r="F92">
        <v>1</v>
      </c>
      <c r="G92">
        <v>2</v>
      </c>
      <c r="H92">
        <v>1</v>
      </c>
      <c r="I92">
        <v>0</v>
      </c>
      <c r="J92" t="s">
        <v>23390</v>
      </c>
      <c r="K92" t="s">
        <v>18640</v>
      </c>
      <c r="L92" t="s">
        <v>23397</v>
      </c>
      <c r="M92">
        <v>1</v>
      </c>
      <c r="N92" t="s">
        <v>17369</v>
      </c>
      <c r="O92" t="s">
        <v>21361</v>
      </c>
    </row>
    <row r="93" spans="1:15" x14ac:dyDescent="0.25">
      <c r="A93" t="s">
        <v>2</v>
      </c>
      <c r="B93" t="s">
        <v>3458</v>
      </c>
      <c r="C93" s="18" t="str">
        <f>HYPERLINK("https://rhld.insurance.arkansas.gov/NPILookup?Npi=1083190318","1083190318")</f>
        <v>1083190318</v>
      </c>
      <c r="D93" t="s">
        <v>22888</v>
      </c>
      <c r="E93" t="s">
        <v>17366</v>
      </c>
      <c r="F93">
        <v>1</v>
      </c>
      <c r="G93">
        <v>3</v>
      </c>
      <c r="H93">
        <v>0</v>
      </c>
      <c r="I93">
        <v>0</v>
      </c>
      <c r="J93" t="s">
        <v>23390</v>
      </c>
      <c r="K93" t="s">
        <v>18640</v>
      </c>
      <c r="L93" t="s">
        <v>18640</v>
      </c>
      <c r="M93">
        <v>3</v>
      </c>
      <c r="N93" t="s">
        <v>17367</v>
      </c>
      <c r="O93" t="s">
        <v>23391</v>
      </c>
    </row>
    <row r="94" spans="1:15" x14ac:dyDescent="0.25">
      <c r="A94" t="s">
        <v>2</v>
      </c>
      <c r="B94" t="s">
        <v>3458</v>
      </c>
      <c r="C94" s="18" t="str">
        <f>HYPERLINK("https://rhld.insurance.arkansas.gov/NPILookup?Npi=1083347256","1083347256")</f>
        <v>1083347256</v>
      </c>
      <c r="D94" t="s">
        <v>22889</v>
      </c>
      <c r="E94" t="s">
        <v>17366</v>
      </c>
      <c r="F94">
        <v>1</v>
      </c>
      <c r="G94">
        <v>3</v>
      </c>
      <c r="H94">
        <v>0</v>
      </c>
      <c r="I94">
        <v>0</v>
      </c>
      <c r="J94" t="s">
        <v>23390</v>
      </c>
      <c r="K94" t="s">
        <v>18640</v>
      </c>
      <c r="L94" t="s">
        <v>18640</v>
      </c>
      <c r="M94">
        <v>3</v>
      </c>
      <c r="N94" t="s">
        <v>17367</v>
      </c>
      <c r="O94" t="s">
        <v>23391</v>
      </c>
    </row>
    <row r="95" spans="1:15" x14ac:dyDescent="0.25">
      <c r="A95" t="s">
        <v>2</v>
      </c>
      <c r="B95" t="s">
        <v>3458</v>
      </c>
      <c r="C95" s="18" t="str">
        <f>HYPERLINK("https://rhld.insurance.arkansas.gov/NPILookup?Npi=1104526573","1104526573")</f>
        <v>1104526573</v>
      </c>
      <c r="D95" t="s">
        <v>22892</v>
      </c>
      <c r="E95" t="s">
        <v>17366</v>
      </c>
      <c r="F95">
        <v>1</v>
      </c>
      <c r="G95">
        <v>3</v>
      </c>
      <c r="H95">
        <v>0</v>
      </c>
      <c r="I95">
        <v>0</v>
      </c>
      <c r="J95" t="s">
        <v>23390</v>
      </c>
      <c r="K95" t="s">
        <v>18640</v>
      </c>
      <c r="L95" t="s">
        <v>18640</v>
      </c>
      <c r="M95">
        <v>3</v>
      </c>
      <c r="N95" t="s">
        <v>17367</v>
      </c>
      <c r="O95" t="s">
        <v>23391</v>
      </c>
    </row>
    <row r="96" spans="1:15" x14ac:dyDescent="0.25">
      <c r="A96" t="s">
        <v>2</v>
      </c>
      <c r="B96" t="s">
        <v>3458</v>
      </c>
      <c r="C96" s="18" t="str">
        <f>HYPERLINK("https://rhld.insurance.arkansas.gov/NPILookup?Npi=1124641816","1124641816")</f>
        <v>1124641816</v>
      </c>
      <c r="D96" t="s">
        <v>22895</v>
      </c>
      <c r="E96" t="s">
        <v>17366</v>
      </c>
      <c r="F96">
        <v>1</v>
      </c>
      <c r="G96">
        <v>3</v>
      </c>
      <c r="H96">
        <v>0</v>
      </c>
      <c r="I96">
        <v>0</v>
      </c>
      <c r="J96" t="s">
        <v>23390</v>
      </c>
      <c r="K96" t="s">
        <v>18640</v>
      </c>
      <c r="L96" t="s">
        <v>18640</v>
      </c>
      <c r="M96">
        <v>3</v>
      </c>
      <c r="N96" t="s">
        <v>17367</v>
      </c>
      <c r="O96" t="s">
        <v>23391</v>
      </c>
    </row>
    <row r="97" spans="1:15" x14ac:dyDescent="0.25">
      <c r="A97" t="s">
        <v>2</v>
      </c>
      <c r="B97" t="s">
        <v>3458</v>
      </c>
      <c r="C97" s="18" t="str">
        <f>HYPERLINK("https://rhld.insurance.arkansas.gov/NPILookup?Npi=1124673439","1124673439")</f>
        <v>1124673439</v>
      </c>
      <c r="D97" t="s">
        <v>5951</v>
      </c>
      <c r="E97" t="s">
        <v>17366</v>
      </c>
      <c r="F97">
        <v>1</v>
      </c>
      <c r="G97">
        <v>3</v>
      </c>
      <c r="H97">
        <v>0</v>
      </c>
      <c r="I97">
        <v>0</v>
      </c>
      <c r="J97" t="s">
        <v>23390</v>
      </c>
      <c r="K97" t="s">
        <v>18640</v>
      </c>
      <c r="L97" t="s">
        <v>18640</v>
      </c>
      <c r="M97">
        <v>3</v>
      </c>
      <c r="N97" t="s">
        <v>17367</v>
      </c>
      <c r="O97" t="s">
        <v>23391</v>
      </c>
    </row>
    <row r="98" spans="1:15" x14ac:dyDescent="0.25">
      <c r="A98" t="s">
        <v>2</v>
      </c>
      <c r="B98" t="s">
        <v>3458</v>
      </c>
      <c r="C98" s="18" t="str">
        <f>HYPERLINK("https://rhld.insurance.arkansas.gov/NPILookup?Npi=1124806450","1124806450")</f>
        <v>1124806450</v>
      </c>
      <c r="D98" t="s">
        <v>22896</v>
      </c>
      <c r="E98" t="s">
        <v>17366</v>
      </c>
      <c r="F98">
        <v>1</v>
      </c>
      <c r="G98">
        <v>3</v>
      </c>
      <c r="H98">
        <v>0</v>
      </c>
      <c r="I98">
        <v>0</v>
      </c>
      <c r="J98" t="s">
        <v>23390</v>
      </c>
      <c r="K98" t="s">
        <v>18640</v>
      </c>
      <c r="L98" t="s">
        <v>18640</v>
      </c>
      <c r="M98">
        <v>3</v>
      </c>
      <c r="N98" t="s">
        <v>17367</v>
      </c>
      <c r="O98" t="s">
        <v>23391</v>
      </c>
    </row>
    <row r="99" spans="1:15" x14ac:dyDescent="0.25">
      <c r="A99" t="s">
        <v>2</v>
      </c>
      <c r="B99" t="s">
        <v>3458</v>
      </c>
      <c r="C99" s="18" t="str">
        <f>HYPERLINK("https://rhld.insurance.arkansas.gov/NPILookup?Npi=1134183395","1134183395")</f>
        <v>1134183395</v>
      </c>
      <c r="D99" t="s">
        <v>3529</v>
      </c>
      <c r="E99" t="s">
        <v>17368</v>
      </c>
      <c r="F99">
        <v>1</v>
      </c>
      <c r="G99">
        <v>2</v>
      </c>
      <c r="H99">
        <v>0</v>
      </c>
      <c r="I99">
        <v>0</v>
      </c>
      <c r="J99" t="s">
        <v>17370</v>
      </c>
      <c r="K99" t="s">
        <v>18640</v>
      </c>
      <c r="L99" t="s">
        <v>18640</v>
      </c>
      <c r="M99">
        <v>2</v>
      </c>
      <c r="N99" t="s">
        <v>17367</v>
      </c>
      <c r="O99" t="s">
        <v>23391</v>
      </c>
    </row>
    <row r="100" spans="1:15" x14ac:dyDescent="0.25">
      <c r="A100" t="s">
        <v>2</v>
      </c>
      <c r="B100" t="s">
        <v>3458</v>
      </c>
      <c r="C100" s="18" t="str">
        <f>HYPERLINK("https://rhld.insurance.arkansas.gov/NPILookup?Npi=1134534282","1134534282")</f>
        <v>1134534282</v>
      </c>
      <c r="D100" t="s">
        <v>22897</v>
      </c>
      <c r="E100" t="s">
        <v>17366</v>
      </c>
      <c r="F100">
        <v>1</v>
      </c>
      <c r="G100">
        <v>2</v>
      </c>
      <c r="H100">
        <v>0</v>
      </c>
      <c r="I100">
        <v>0</v>
      </c>
      <c r="J100" t="s">
        <v>23390</v>
      </c>
      <c r="K100" t="s">
        <v>18640</v>
      </c>
      <c r="L100" t="s">
        <v>18640</v>
      </c>
      <c r="M100">
        <v>2</v>
      </c>
      <c r="N100" t="s">
        <v>17367</v>
      </c>
      <c r="O100" t="s">
        <v>23391</v>
      </c>
    </row>
    <row r="101" spans="1:15" x14ac:dyDescent="0.25">
      <c r="A101" t="s">
        <v>2</v>
      </c>
      <c r="B101" t="s">
        <v>3458</v>
      </c>
      <c r="C101" s="18" t="str">
        <f>HYPERLINK("https://rhld.insurance.arkansas.gov/NPILookup?Npi=1144920281","1144920281")</f>
        <v>1144920281</v>
      </c>
      <c r="D101" t="s">
        <v>22899</v>
      </c>
      <c r="E101" t="s">
        <v>17366</v>
      </c>
      <c r="F101">
        <v>1</v>
      </c>
      <c r="G101">
        <v>2</v>
      </c>
      <c r="H101">
        <v>0</v>
      </c>
      <c r="I101">
        <v>0</v>
      </c>
      <c r="J101" t="s">
        <v>23390</v>
      </c>
      <c r="K101" t="s">
        <v>18640</v>
      </c>
      <c r="L101" t="s">
        <v>18640</v>
      </c>
      <c r="M101">
        <v>2</v>
      </c>
      <c r="N101" t="s">
        <v>17367</v>
      </c>
      <c r="O101" t="s">
        <v>23391</v>
      </c>
    </row>
    <row r="102" spans="1:15" x14ac:dyDescent="0.25">
      <c r="A102" t="s">
        <v>2</v>
      </c>
      <c r="B102" t="s">
        <v>3458</v>
      </c>
      <c r="C102" s="18" t="str">
        <f>HYPERLINK("https://rhld.insurance.arkansas.gov/NPILookup?Npi=1164125795","1164125795")</f>
        <v>1164125795</v>
      </c>
      <c r="D102" t="s">
        <v>22901</v>
      </c>
      <c r="E102" t="s">
        <v>17366</v>
      </c>
      <c r="F102">
        <v>1</v>
      </c>
      <c r="G102">
        <v>3</v>
      </c>
      <c r="H102">
        <v>0</v>
      </c>
      <c r="I102">
        <v>0</v>
      </c>
      <c r="J102" t="s">
        <v>23390</v>
      </c>
      <c r="K102" t="s">
        <v>18640</v>
      </c>
      <c r="L102" t="s">
        <v>18640</v>
      </c>
      <c r="M102">
        <v>3</v>
      </c>
      <c r="N102" t="s">
        <v>17367</v>
      </c>
      <c r="O102" t="s">
        <v>23391</v>
      </c>
    </row>
    <row r="103" spans="1:15" x14ac:dyDescent="0.25">
      <c r="A103" t="s">
        <v>2</v>
      </c>
      <c r="B103" t="s">
        <v>3458</v>
      </c>
      <c r="C103" s="18" t="str">
        <f>HYPERLINK("https://rhld.insurance.arkansas.gov/NPILookup?Npi=1184118051","1184118051")</f>
        <v>1184118051</v>
      </c>
      <c r="D103" t="s">
        <v>8470</v>
      </c>
      <c r="E103" t="s">
        <v>17366</v>
      </c>
      <c r="F103">
        <v>1</v>
      </c>
      <c r="G103">
        <v>2</v>
      </c>
      <c r="H103">
        <v>0</v>
      </c>
      <c r="I103">
        <v>0</v>
      </c>
      <c r="J103" t="s">
        <v>23390</v>
      </c>
      <c r="K103" t="s">
        <v>18640</v>
      </c>
      <c r="L103" t="s">
        <v>18640</v>
      </c>
      <c r="M103">
        <v>2</v>
      </c>
      <c r="N103" t="s">
        <v>17367</v>
      </c>
      <c r="O103" t="s">
        <v>23391</v>
      </c>
    </row>
    <row r="104" spans="1:15" x14ac:dyDescent="0.25">
      <c r="A104" t="s">
        <v>2</v>
      </c>
      <c r="B104" t="s">
        <v>3458</v>
      </c>
      <c r="C104" s="18" t="str">
        <f>HYPERLINK("https://rhld.insurance.arkansas.gov/NPILookup?Npi=1194285478","1194285478")</f>
        <v>1194285478</v>
      </c>
      <c r="D104" t="s">
        <v>22904</v>
      </c>
      <c r="E104" t="s">
        <v>17366</v>
      </c>
      <c r="F104">
        <v>1</v>
      </c>
      <c r="G104">
        <v>3</v>
      </c>
      <c r="H104">
        <v>0</v>
      </c>
      <c r="I104">
        <v>0</v>
      </c>
      <c r="J104" t="s">
        <v>23390</v>
      </c>
      <c r="K104" t="s">
        <v>18640</v>
      </c>
      <c r="L104" t="s">
        <v>18640</v>
      </c>
      <c r="M104">
        <v>3</v>
      </c>
      <c r="N104" t="s">
        <v>17367</v>
      </c>
      <c r="O104" t="s">
        <v>23391</v>
      </c>
    </row>
    <row r="105" spans="1:15" x14ac:dyDescent="0.25">
      <c r="A105" t="s">
        <v>2</v>
      </c>
      <c r="B105" t="s">
        <v>3458</v>
      </c>
      <c r="C105" s="18" t="str">
        <f>HYPERLINK("https://rhld.insurance.arkansas.gov/NPILookup?Npi=1205402351","1205402351")</f>
        <v>1205402351</v>
      </c>
      <c r="D105" t="s">
        <v>22907</v>
      </c>
      <c r="E105" t="s">
        <v>17366</v>
      </c>
      <c r="F105">
        <v>1</v>
      </c>
      <c r="G105">
        <v>2</v>
      </c>
      <c r="H105">
        <v>0</v>
      </c>
      <c r="I105">
        <v>0</v>
      </c>
      <c r="J105" t="s">
        <v>23390</v>
      </c>
      <c r="K105" t="s">
        <v>18640</v>
      </c>
      <c r="L105" t="s">
        <v>18640</v>
      </c>
      <c r="M105">
        <v>2</v>
      </c>
      <c r="N105" t="s">
        <v>17367</v>
      </c>
      <c r="O105" t="s">
        <v>23391</v>
      </c>
    </row>
    <row r="106" spans="1:15" x14ac:dyDescent="0.25">
      <c r="A106" t="s">
        <v>2</v>
      </c>
      <c r="B106" t="s">
        <v>3458</v>
      </c>
      <c r="C106" s="18" t="str">
        <f>HYPERLINK("https://rhld.insurance.arkansas.gov/NPILookup?Npi=1215459169","1215459169")</f>
        <v>1215459169</v>
      </c>
      <c r="D106" t="s">
        <v>22909</v>
      </c>
      <c r="E106" t="s">
        <v>17366</v>
      </c>
      <c r="F106">
        <v>1</v>
      </c>
      <c r="G106">
        <v>2</v>
      </c>
      <c r="H106">
        <v>0</v>
      </c>
      <c r="I106">
        <v>0</v>
      </c>
      <c r="J106" t="s">
        <v>23390</v>
      </c>
      <c r="K106" t="s">
        <v>18640</v>
      </c>
      <c r="L106" t="s">
        <v>18640</v>
      </c>
      <c r="M106">
        <v>2</v>
      </c>
      <c r="N106" t="s">
        <v>17367</v>
      </c>
      <c r="O106" t="s">
        <v>23391</v>
      </c>
    </row>
    <row r="107" spans="1:15" x14ac:dyDescent="0.25">
      <c r="A107" t="s">
        <v>2</v>
      </c>
      <c r="B107" t="s">
        <v>3458</v>
      </c>
      <c r="C107" s="18" t="str">
        <f>HYPERLINK("https://rhld.insurance.arkansas.gov/NPILookup?Npi=1215564315","1215564315")</f>
        <v>1215564315</v>
      </c>
      <c r="D107" t="s">
        <v>22910</v>
      </c>
      <c r="E107" t="s">
        <v>17366</v>
      </c>
      <c r="F107">
        <v>1</v>
      </c>
      <c r="G107">
        <v>3</v>
      </c>
      <c r="H107">
        <v>0</v>
      </c>
      <c r="I107">
        <v>0</v>
      </c>
      <c r="J107" t="s">
        <v>23390</v>
      </c>
      <c r="K107" t="s">
        <v>18640</v>
      </c>
      <c r="L107" t="s">
        <v>18640</v>
      </c>
      <c r="M107">
        <v>3</v>
      </c>
      <c r="N107" t="s">
        <v>17367</v>
      </c>
      <c r="O107" t="s">
        <v>23391</v>
      </c>
    </row>
    <row r="108" spans="1:15" x14ac:dyDescent="0.25">
      <c r="A108" t="s">
        <v>2</v>
      </c>
      <c r="B108" t="s">
        <v>3458</v>
      </c>
      <c r="C108" s="18" t="str">
        <f>HYPERLINK("https://rhld.insurance.arkansas.gov/NPILookup?Npi=1225659998","1225659998")</f>
        <v>1225659998</v>
      </c>
      <c r="D108" t="s">
        <v>22911</v>
      </c>
      <c r="E108" t="s">
        <v>17366</v>
      </c>
      <c r="F108">
        <v>1</v>
      </c>
      <c r="G108">
        <v>3</v>
      </c>
      <c r="H108">
        <v>0</v>
      </c>
      <c r="I108">
        <v>0</v>
      </c>
      <c r="J108" t="s">
        <v>23390</v>
      </c>
      <c r="K108" t="s">
        <v>18640</v>
      </c>
      <c r="L108" t="s">
        <v>18640</v>
      </c>
      <c r="M108">
        <v>3</v>
      </c>
      <c r="N108" t="s">
        <v>17367</v>
      </c>
      <c r="O108" t="s">
        <v>23391</v>
      </c>
    </row>
    <row r="109" spans="1:15" x14ac:dyDescent="0.25">
      <c r="A109" t="s">
        <v>2</v>
      </c>
      <c r="B109" t="s">
        <v>3458</v>
      </c>
      <c r="C109" s="18" t="str">
        <f>HYPERLINK("https://rhld.insurance.arkansas.gov/NPILookup?Npi=1255710885","1255710885")</f>
        <v>1255710885</v>
      </c>
      <c r="D109" t="s">
        <v>22914</v>
      </c>
      <c r="E109" t="s">
        <v>17366</v>
      </c>
      <c r="F109">
        <v>1</v>
      </c>
      <c r="G109">
        <v>2</v>
      </c>
      <c r="H109">
        <v>0</v>
      </c>
      <c r="I109">
        <v>0</v>
      </c>
      <c r="J109" t="s">
        <v>23390</v>
      </c>
      <c r="K109" t="s">
        <v>18640</v>
      </c>
      <c r="L109" t="s">
        <v>18640</v>
      </c>
      <c r="M109">
        <v>2</v>
      </c>
      <c r="N109" t="s">
        <v>17367</v>
      </c>
      <c r="O109" t="s">
        <v>23391</v>
      </c>
    </row>
    <row r="110" spans="1:15" x14ac:dyDescent="0.25">
      <c r="A110" t="s">
        <v>2</v>
      </c>
      <c r="B110" t="s">
        <v>3458</v>
      </c>
      <c r="C110" s="18" t="str">
        <f>HYPERLINK("https://rhld.insurance.arkansas.gov/NPILookup?Npi=1255781555","1255781555")</f>
        <v>1255781555</v>
      </c>
      <c r="D110" t="s">
        <v>22915</v>
      </c>
      <c r="E110" t="s">
        <v>17366</v>
      </c>
      <c r="F110">
        <v>2</v>
      </c>
      <c r="G110">
        <v>3</v>
      </c>
      <c r="H110">
        <v>0</v>
      </c>
      <c r="I110">
        <v>0</v>
      </c>
      <c r="J110" t="s">
        <v>23395</v>
      </c>
      <c r="K110" t="s">
        <v>18640</v>
      </c>
      <c r="L110" t="s">
        <v>18640</v>
      </c>
      <c r="M110">
        <v>3</v>
      </c>
      <c r="N110" t="s">
        <v>17367</v>
      </c>
      <c r="O110" t="s">
        <v>23391</v>
      </c>
    </row>
    <row r="111" spans="1:15" x14ac:dyDescent="0.25">
      <c r="A111" t="s">
        <v>2</v>
      </c>
      <c r="B111" t="s">
        <v>3458</v>
      </c>
      <c r="C111" s="18" t="str">
        <f>HYPERLINK("https://rhld.insurance.arkansas.gov/NPILookup?Npi=1255918157","1255918157")</f>
        <v>1255918157</v>
      </c>
      <c r="D111" t="s">
        <v>21506</v>
      </c>
      <c r="E111" t="s">
        <v>17366</v>
      </c>
      <c r="F111">
        <v>1</v>
      </c>
      <c r="G111">
        <v>3</v>
      </c>
      <c r="H111">
        <v>0</v>
      </c>
      <c r="I111">
        <v>0</v>
      </c>
      <c r="J111" t="s">
        <v>23390</v>
      </c>
      <c r="K111" t="s">
        <v>18640</v>
      </c>
      <c r="L111" t="s">
        <v>18640</v>
      </c>
      <c r="M111">
        <v>3</v>
      </c>
      <c r="N111" t="s">
        <v>17367</v>
      </c>
      <c r="O111" t="s">
        <v>23391</v>
      </c>
    </row>
    <row r="112" spans="1:15" x14ac:dyDescent="0.25">
      <c r="A112" t="s">
        <v>2</v>
      </c>
      <c r="B112" t="s">
        <v>3458</v>
      </c>
      <c r="C112" s="18" t="str">
        <f>HYPERLINK("https://rhld.insurance.arkansas.gov/NPILookup?Npi=1306475470","1306475470")</f>
        <v>1306475470</v>
      </c>
      <c r="D112" t="s">
        <v>22919</v>
      </c>
      <c r="E112" t="s">
        <v>17366</v>
      </c>
      <c r="F112">
        <v>1</v>
      </c>
      <c r="G112">
        <v>3</v>
      </c>
      <c r="H112">
        <v>0</v>
      </c>
      <c r="I112">
        <v>0</v>
      </c>
      <c r="J112" t="s">
        <v>23390</v>
      </c>
      <c r="K112" t="s">
        <v>18640</v>
      </c>
      <c r="L112" t="s">
        <v>18640</v>
      </c>
      <c r="M112">
        <v>3</v>
      </c>
      <c r="N112" t="s">
        <v>17367</v>
      </c>
      <c r="O112" t="s">
        <v>23391</v>
      </c>
    </row>
    <row r="113" spans="1:15" x14ac:dyDescent="0.25">
      <c r="A113" t="s">
        <v>2</v>
      </c>
      <c r="B113" t="s">
        <v>3458</v>
      </c>
      <c r="C113" s="18" t="str">
        <f>HYPERLINK("https://rhld.insurance.arkansas.gov/NPILookup?Npi=1356902951","1356902951")</f>
        <v>1356902951</v>
      </c>
      <c r="D113" t="s">
        <v>22926</v>
      </c>
      <c r="E113" t="s">
        <v>17366</v>
      </c>
      <c r="F113">
        <v>1</v>
      </c>
      <c r="G113">
        <v>2</v>
      </c>
      <c r="H113">
        <v>0</v>
      </c>
      <c r="I113">
        <v>0</v>
      </c>
      <c r="J113" t="s">
        <v>23390</v>
      </c>
      <c r="K113" t="s">
        <v>18640</v>
      </c>
      <c r="L113" t="s">
        <v>18640</v>
      </c>
      <c r="M113">
        <v>2</v>
      </c>
      <c r="N113" t="s">
        <v>17367</v>
      </c>
      <c r="O113" t="s">
        <v>23391</v>
      </c>
    </row>
    <row r="114" spans="1:15" x14ac:dyDescent="0.25">
      <c r="A114" t="s">
        <v>2</v>
      </c>
      <c r="B114" t="s">
        <v>3458</v>
      </c>
      <c r="C114" s="18" t="str">
        <f>HYPERLINK("https://rhld.insurance.arkansas.gov/NPILookup?Npi=1366070765","1366070765")</f>
        <v>1366070765</v>
      </c>
      <c r="D114" t="s">
        <v>22927</v>
      </c>
      <c r="E114" t="s">
        <v>17366</v>
      </c>
      <c r="F114">
        <v>1</v>
      </c>
      <c r="G114">
        <v>3</v>
      </c>
      <c r="H114">
        <v>0</v>
      </c>
      <c r="I114">
        <v>0</v>
      </c>
      <c r="J114" t="s">
        <v>23390</v>
      </c>
      <c r="K114" t="s">
        <v>18640</v>
      </c>
      <c r="L114" t="s">
        <v>18640</v>
      </c>
      <c r="M114">
        <v>3</v>
      </c>
      <c r="N114" t="s">
        <v>17367</v>
      </c>
      <c r="O114" t="s">
        <v>23391</v>
      </c>
    </row>
    <row r="115" spans="1:15" x14ac:dyDescent="0.25">
      <c r="A115" t="s">
        <v>2</v>
      </c>
      <c r="B115" t="s">
        <v>3458</v>
      </c>
      <c r="C115" s="18" t="str">
        <f>HYPERLINK("https://rhld.insurance.arkansas.gov/NPILookup?Npi=1407169162","1407169162")</f>
        <v>1407169162</v>
      </c>
      <c r="D115" t="s">
        <v>1432</v>
      </c>
      <c r="E115" t="s">
        <v>17368</v>
      </c>
      <c r="F115">
        <v>1</v>
      </c>
      <c r="G115">
        <v>3</v>
      </c>
      <c r="H115">
        <v>0</v>
      </c>
      <c r="I115">
        <v>0</v>
      </c>
      <c r="J115" t="s">
        <v>17370</v>
      </c>
      <c r="K115" t="s">
        <v>18640</v>
      </c>
      <c r="L115" t="s">
        <v>18640</v>
      </c>
      <c r="M115">
        <v>3</v>
      </c>
      <c r="N115" t="s">
        <v>17367</v>
      </c>
      <c r="O115" t="s">
        <v>23391</v>
      </c>
    </row>
    <row r="116" spans="1:15" x14ac:dyDescent="0.25">
      <c r="A116" t="s">
        <v>2</v>
      </c>
      <c r="B116" t="s">
        <v>3458</v>
      </c>
      <c r="C116" s="18" t="str">
        <f>HYPERLINK("https://rhld.insurance.arkansas.gov/NPILookup?Npi=1417512070","1417512070")</f>
        <v>1417512070</v>
      </c>
      <c r="D116" t="s">
        <v>22929</v>
      </c>
      <c r="E116" t="s">
        <v>17366</v>
      </c>
      <c r="F116">
        <v>1</v>
      </c>
      <c r="G116">
        <v>2</v>
      </c>
      <c r="H116">
        <v>0</v>
      </c>
      <c r="I116">
        <v>0</v>
      </c>
      <c r="J116" t="s">
        <v>23390</v>
      </c>
      <c r="K116" t="s">
        <v>18640</v>
      </c>
      <c r="L116" t="s">
        <v>18640</v>
      </c>
      <c r="M116">
        <v>2</v>
      </c>
      <c r="N116" t="s">
        <v>17367</v>
      </c>
      <c r="O116" t="s">
        <v>23391</v>
      </c>
    </row>
    <row r="117" spans="1:15" x14ac:dyDescent="0.25">
      <c r="A117" t="s">
        <v>2</v>
      </c>
      <c r="B117" t="s">
        <v>3458</v>
      </c>
      <c r="C117" s="18" t="str">
        <f>HYPERLINK("https://rhld.insurance.arkansas.gov/NPILookup?Npi=1427668250","1427668250")</f>
        <v>1427668250</v>
      </c>
      <c r="D117" t="s">
        <v>22931</v>
      </c>
      <c r="E117" t="s">
        <v>17366</v>
      </c>
      <c r="F117">
        <v>1</v>
      </c>
      <c r="G117">
        <v>3</v>
      </c>
      <c r="H117">
        <v>0</v>
      </c>
      <c r="I117">
        <v>0</v>
      </c>
      <c r="J117" t="s">
        <v>23390</v>
      </c>
      <c r="K117" t="s">
        <v>18640</v>
      </c>
      <c r="L117" t="s">
        <v>18640</v>
      </c>
      <c r="M117">
        <v>3</v>
      </c>
      <c r="N117" t="s">
        <v>17367</v>
      </c>
      <c r="O117" t="s">
        <v>23391</v>
      </c>
    </row>
    <row r="118" spans="1:15" x14ac:dyDescent="0.25">
      <c r="A118" t="s">
        <v>2</v>
      </c>
      <c r="B118" t="s">
        <v>3458</v>
      </c>
      <c r="C118" s="18" t="str">
        <f>HYPERLINK("https://rhld.insurance.arkansas.gov/NPILookup?Npi=1427679133","1427679133")</f>
        <v>1427679133</v>
      </c>
      <c r="D118" t="s">
        <v>22932</v>
      </c>
      <c r="E118" t="s">
        <v>17366</v>
      </c>
      <c r="F118">
        <v>1</v>
      </c>
      <c r="G118">
        <v>3</v>
      </c>
      <c r="H118">
        <v>0</v>
      </c>
      <c r="I118">
        <v>0</v>
      </c>
      <c r="J118" t="s">
        <v>23390</v>
      </c>
      <c r="K118" t="s">
        <v>18640</v>
      </c>
      <c r="L118" t="s">
        <v>18640</v>
      </c>
      <c r="M118">
        <v>3</v>
      </c>
      <c r="N118" t="s">
        <v>17367</v>
      </c>
      <c r="O118" t="s">
        <v>23391</v>
      </c>
    </row>
    <row r="119" spans="1:15" x14ac:dyDescent="0.25">
      <c r="A119" t="s">
        <v>2</v>
      </c>
      <c r="B119" t="s">
        <v>3458</v>
      </c>
      <c r="C119" s="18" t="str">
        <f>HYPERLINK("https://rhld.insurance.arkansas.gov/NPILookup?Npi=1437166774","1437166774")</f>
        <v>1437166774</v>
      </c>
      <c r="D119" t="s">
        <v>1541</v>
      </c>
      <c r="E119" t="s">
        <v>17368</v>
      </c>
      <c r="F119">
        <v>1</v>
      </c>
      <c r="G119">
        <v>3</v>
      </c>
      <c r="H119">
        <v>0</v>
      </c>
      <c r="I119">
        <v>0</v>
      </c>
      <c r="J119" t="s">
        <v>17370</v>
      </c>
      <c r="K119" t="s">
        <v>18640</v>
      </c>
      <c r="L119" t="s">
        <v>18640</v>
      </c>
      <c r="M119">
        <v>3</v>
      </c>
      <c r="N119" t="s">
        <v>17367</v>
      </c>
      <c r="O119" t="s">
        <v>23391</v>
      </c>
    </row>
    <row r="120" spans="1:15" x14ac:dyDescent="0.25">
      <c r="A120" t="s">
        <v>2</v>
      </c>
      <c r="B120" t="s">
        <v>3458</v>
      </c>
      <c r="C120" s="18" t="str">
        <f>HYPERLINK("https://rhld.insurance.arkansas.gov/NPILookup?Npi=1437718483","1437718483")</f>
        <v>1437718483</v>
      </c>
      <c r="D120" t="s">
        <v>22933</v>
      </c>
      <c r="E120" t="s">
        <v>17366</v>
      </c>
      <c r="F120">
        <v>1</v>
      </c>
      <c r="G120">
        <v>2</v>
      </c>
      <c r="H120">
        <v>0</v>
      </c>
      <c r="I120">
        <v>0</v>
      </c>
      <c r="J120" t="s">
        <v>23390</v>
      </c>
      <c r="K120" t="s">
        <v>18640</v>
      </c>
      <c r="L120" t="s">
        <v>18640</v>
      </c>
      <c r="M120">
        <v>2</v>
      </c>
      <c r="N120" t="s">
        <v>17367</v>
      </c>
      <c r="O120" t="s">
        <v>23391</v>
      </c>
    </row>
    <row r="121" spans="1:15" x14ac:dyDescent="0.25">
      <c r="A121" t="s">
        <v>2</v>
      </c>
      <c r="B121" t="s">
        <v>3458</v>
      </c>
      <c r="C121" s="18" t="str">
        <f>HYPERLINK("https://rhld.insurance.arkansas.gov/NPILookup?Npi=1447579073","1447579073")</f>
        <v>1447579073</v>
      </c>
      <c r="D121" t="s">
        <v>22935</v>
      </c>
      <c r="E121" t="s">
        <v>17366</v>
      </c>
      <c r="F121">
        <v>1</v>
      </c>
      <c r="G121">
        <v>3</v>
      </c>
      <c r="H121">
        <v>0</v>
      </c>
      <c r="I121">
        <v>0</v>
      </c>
      <c r="J121" t="s">
        <v>23390</v>
      </c>
      <c r="K121" t="s">
        <v>18640</v>
      </c>
      <c r="L121" t="s">
        <v>18640</v>
      </c>
      <c r="M121">
        <v>3</v>
      </c>
      <c r="N121" t="s">
        <v>17367</v>
      </c>
      <c r="O121" t="s">
        <v>23391</v>
      </c>
    </row>
    <row r="122" spans="1:15" x14ac:dyDescent="0.25">
      <c r="A122" t="s">
        <v>2</v>
      </c>
      <c r="B122" t="s">
        <v>3458</v>
      </c>
      <c r="C122" s="18" t="str">
        <f>HYPERLINK("https://rhld.insurance.arkansas.gov/NPILookup?Npi=1447785787","1447785787")</f>
        <v>1447785787</v>
      </c>
      <c r="D122" t="s">
        <v>22936</v>
      </c>
      <c r="E122" t="s">
        <v>17366</v>
      </c>
      <c r="F122">
        <v>1</v>
      </c>
      <c r="G122">
        <v>2</v>
      </c>
      <c r="H122">
        <v>0</v>
      </c>
      <c r="I122">
        <v>0</v>
      </c>
      <c r="J122" t="s">
        <v>23390</v>
      </c>
      <c r="K122" t="s">
        <v>18640</v>
      </c>
      <c r="L122" t="s">
        <v>18640</v>
      </c>
      <c r="M122">
        <v>2</v>
      </c>
      <c r="N122" t="s">
        <v>17367</v>
      </c>
      <c r="O122" t="s">
        <v>23391</v>
      </c>
    </row>
    <row r="123" spans="1:15" x14ac:dyDescent="0.25">
      <c r="A123" t="s">
        <v>2</v>
      </c>
      <c r="B123" t="s">
        <v>3458</v>
      </c>
      <c r="C123" s="18" t="str">
        <f>HYPERLINK("https://rhld.insurance.arkansas.gov/NPILookup?Npi=1467071902","1467071902")</f>
        <v>1467071902</v>
      </c>
      <c r="D123" t="s">
        <v>22939</v>
      </c>
      <c r="E123" t="s">
        <v>17366</v>
      </c>
      <c r="F123">
        <v>1</v>
      </c>
      <c r="G123">
        <v>3</v>
      </c>
      <c r="H123">
        <v>0</v>
      </c>
      <c r="I123">
        <v>0</v>
      </c>
      <c r="J123" t="s">
        <v>23390</v>
      </c>
      <c r="K123" t="s">
        <v>18640</v>
      </c>
      <c r="L123" t="s">
        <v>18640</v>
      </c>
      <c r="M123">
        <v>3</v>
      </c>
      <c r="N123" t="s">
        <v>17367</v>
      </c>
      <c r="O123" t="s">
        <v>23391</v>
      </c>
    </row>
    <row r="124" spans="1:15" x14ac:dyDescent="0.25">
      <c r="A124" t="s">
        <v>2</v>
      </c>
      <c r="B124" t="s">
        <v>3458</v>
      </c>
      <c r="C124" s="18" t="str">
        <f>HYPERLINK("https://rhld.insurance.arkansas.gov/NPILookup?Npi=1467953026","1467953026")</f>
        <v>1467953026</v>
      </c>
      <c r="D124" t="s">
        <v>22940</v>
      </c>
      <c r="E124" t="s">
        <v>17366</v>
      </c>
      <c r="F124">
        <v>1</v>
      </c>
      <c r="G124">
        <v>2</v>
      </c>
      <c r="H124">
        <v>0</v>
      </c>
      <c r="I124">
        <v>0</v>
      </c>
      <c r="J124" t="s">
        <v>23390</v>
      </c>
      <c r="K124" t="s">
        <v>18640</v>
      </c>
      <c r="L124" t="s">
        <v>18640</v>
      </c>
      <c r="M124">
        <v>2</v>
      </c>
      <c r="N124" t="s">
        <v>17367</v>
      </c>
      <c r="O124" t="s">
        <v>23391</v>
      </c>
    </row>
    <row r="125" spans="1:15" x14ac:dyDescent="0.25">
      <c r="A125" t="s">
        <v>2</v>
      </c>
      <c r="B125" t="s">
        <v>3458</v>
      </c>
      <c r="C125" s="18" t="str">
        <f>HYPERLINK("https://rhld.insurance.arkansas.gov/NPILookup?Npi=1487343752","1487343752")</f>
        <v>1487343752</v>
      </c>
      <c r="D125" t="s">
        <v>22943</v>
      </c>
      <c r="E125" t="s">
        <v>17366</v>
      </c>
      <c r="F125">
        <v>1</v>
      </c>
      <c r="G125">
        <v>2</v>
      </c>
      <c r="H125">
        <v>0</v>
      </c>
      <c r="I125">
        <v>0</v>
      </c>
      <c r="J125" t="s">
        <v>23390</v>
      </c>
      <c r="K125" t="s">
        <v>18640</v>
      </c>
      <c r="L125" t="s">
        <v>18640</v>
      </c>
      <c r="M125">
        <v>2</v>
      </c>
      <c r="N125" t="s">
        <v>17367</v>
      </c>
      <c r="O125" t="s">
        <v>23391</v>
      </c>
    </row>
    <row r="126" spans="1:15" x14ac:dyDescent="0.25">
      <c r="A126" t="s">
        <v>2</v>
      </c>
      <c r="B126" t="s">
        <v>3458</v>
      </c>
      <c r="C126" s="18" t="str">
        <f>HYPERLINK("https://rhld.insurance.arkansas.gov/NPILookup?Npi=1487815387","1487815387")</f>
        <v>1487815387</v>
      </c>
      <c r="D126" t="s">
        <v>22944</v>
      </c>
      <c r="E126" t="s">
        <v>17366</v>
      </c>
      <c r="F126">
        <v>1</v>
      </c>
      <c r="G126">
        <v>3</v>
      </c>
      <c r="H126">
        <v>0</v>
      </c>
      <c r="I126">
        <v>0</v>
      </c>
      <c r="J126" t="s">
        <v>23390</v>
      </c>
      <c r="K126" t="s">
        <v>18640</v>
      </c>
      <c r="L126" t="s">
        <v>18640</v>
      </c>
      <c r="M126">
        <v>3</v>
      </c>
      <c r="N126" t="s">
        <v>17367</v>
      </c>
      <c r="O126" t="s">
        <v>23391</v>
      </c>
    </row>
    <row r="127" spans="1:15" x14ac:dyDescent="0.25">
      <c r="A127" t="s">
        <v>2</v>
      </c>
      <c r="B127" t="s">
        <v>3458</v>
      </c>
      <c r="C127" s="18" t="str">
        <f>HYPERLINK("https://rhld.insurance.arkansas.gov/NPILookup?Npi=1487856936","1487856936")</f>
        <v>1487856936</v>
      </c>
      <c r="D127" t="s">
        <v>22945</v>
      </c>
      <c r="E127" t="s">
        <v>17366</v>
      </c>
      <c r="F127">
        <v>1</v>
      </c>
      <c r="G127">
        <v>3</v>
      </c>
      <c r="H127">
        <v>0</v>
      </c>
      <c r="I127">
        <v>0</v>
      </c>
      <c r="J127" t="s">
        <v>23390</v>
      </c>
      <c r="K127" t="s">
        <v>18640</v>
      </c>
      <c r="L127" t="s">
        <v>18640</v>
      </c>
      <c r="M127">
        <v>3</v>
      </c>
      <c r="N127" t="s">
        <v>17367</v>
      </c>
      <c r="O127" t="s">
        <v>23391</v>
      </c>
    </row>
    <row r="128" spans="1:15" x14ac:dyDescent="0.25">
      <c r="A128" t="s">
        <v>2</v>
      </c>
      <c r="B128" t="s">
        <v>3458</v>
      </c>
      <c r="C128" s="18" t="str">
        <f>HYPERLINK("https://rhld.insurance.arkansas.gov/NPILookup?Npi=1508487042","1508487042")</f>
        <v>1508487042</v>
      </c>
      <c r="D128" t="s">
        <v>22948</v>
      </c>
      <c r="E128" t="s">
        <v>17366</v>
      </c>
      <c r="F128">
        <v>1</v>
      </c>
      <c r="G128">
        <v>3</v>
      </c>
      <c r="H128">
        <v>0</v>
      </c>
      <c r="I128">
        <v>0</v>
      </c>
      <c r="J128" t="s">
        <v>23390</v>
      </c>
      <c r="K128" t="s">
        <v>18640</v>
      </c>
      <c r="L128" t="s">
        <v>18640</v>
      </c>
      <c r="M128">
        <v>3</v>
      </c>
      <c r="N128" t="s">
        <v>17367</v>
      </c>
      <c r="O128" t="s">
        <v>23391</v>
      </c>
    </row>
    <row r="129" spans="1:15" x14ac:dyDescent="0.25">
      <c r="A129" t="s">
        <v>2</v>
      </c>
      <c r="B129" t="s">
        <v>3458</v>
      </c>
      <c r="C129" s="18" t="str">
        <f>HYPERLINK("https://rhld.insurance.arkansas.gov/NPILookup?Npi=1508493610","1508493610")</f>
        <v>1508493610</v>
      </c>
      <c r="D129" t="s">
        <v>22949</v>
      </c>
      <c r="E129" t="s">
        <v>17366</v>
      </c>
      <c r="F129">
        <v>1</v>
      </c>
      <c r="G129">
        <v>3</v>
      </c>
      <c r="H129">
        <v>0</v>
      </c>
      <c r="I129">
        <v>0</v>
      </c>
      <c r="J129" t="s">
        <v>23390</v>
      </c>
      <c r="K129" t="s">
        <v>18640</v>
      </c>
      <c r="L129" t="s">
        <v>18640</v>
      </c>
      <c r="M129">
        <v>3</v>
      </c>
      <c r="N129" t="s">
        <v>17367</v>
      </c>
      <c r="O129" t="s">
        <v>23391</v>
      </c>
    </row>
    <row r="130" spans="1:15" x14ac:dyDescent="0.25">
      <c r="A130" t="s">
        <v>2</v>
      </c>
      <c r="B130" t="s">
        <v>3458</v>
      </c>
      <c r="C130" s="18" t="str">
        <f>HYPERLINK("https://rhld.insurance.arkansas.gov/NPILookup?Npi=1528689239","1528689239")</f>
        <v>1528689239</v>
      </c>
      <c r="D130" t="s">
        <v>22951</v>
      </c>
      <c r="E130" t="s">
        <v>17366</v>
      </c>
      <c r="F130">
        <v>1</v>
      </c>
      <c r="G130">
        <v>3</v>
      </c>
      <c r="H130">
        <v>0</v>
      </c>
      <c r="I130">
        <v>0</v>
      </c>
      <c r="J130" t="s">
        <v>23390</v>
      </c>
      <c r="K130" t="s">
        <v>18640</v>
      </c>
      <c r="L130" t="s">
        <v>18640</v>
      </c>
      <c r="M130">
        <v>3</v>
      </c>
      <c r="N130" t="s">
        <v>17367</v>
      </c>
      <c r="O130" t="s">
        <v>23391</v>
      </c>
    </row>
    <row r="131" spans="1:15" x14ac:dyDescent="0.25">
      <c r="A131" t="s">
        <v>2</v>
      </c>
      <c r="B131" t="s">
        <v>3458</v>
      </c>
      <c r="C131" s="18" t="str">
        <f>HYPERLINK("https://rhld.insurance.arkansas.gov/NPILookup?Npi=1528694544","1528694544")</f>
        <v>1528694544</v>
      </c>
      <c r="D131" t="s">
        <v>22952</v>
      </c>
      <c r="E131" t="s">
        <v>17366</v>
      </c>
      <c r="F131">
        <v>1</v>
      </c>
      <c r="G131">
        <v>3</v>
      </c>
      <c r="H131">
        <v>0</v>
      </c>
      <c r="I131">
        <v>0</v>
      </c>
      <c r="J131" t="s">
        <v>23390</v>
      </c>
      <c r="K131" t="s">
        <v>18640</v>
      </c>
      <c r="L131" t="s">
        <v>18640</v>
      </c>
      <c r="M131">
        <v>3</v>
      </c>
      <c r="N131" t="s">
        <v>17367</v>
      </c>
      <c r="O131" t="s">
        <v>23391</v>
      </c>
    </row>
    <row r="132" spans="1:15" x14ac:dyDescent="0.25">
      <c r="A132" t="s">
        <v>2</v>
      </c>
      <c r="B132" t="s">
        <v>3458</v>
      </c>
      <c r="C132" s="18" t="str">
        <f>HYPERLINK("https://rhld.insurance.arkansas.gov/NPILookup?Npi=1538948484","1538948484")</f>
        <v>1538948484</v>
      </c>
      <c r="D132" t="s">
        <v>22953</v>
      </c>
      <c r="E132" t="s">
        <v>17366</v>
      </c>
      <c r="F132">
        <v>1</v>
      </c>
      <c r="G132">
        <v>3</v>
      </c>
      <c r="H132">
        <v>0</v>
      </c>
      <c r="I132">
        <v>0</v>
      </c>
      <c r="J132" t="s">
        <v>23390</v>
      </c>
      <c r="K132" t="s">
        <v>18640</v>
      </c>
      <c r="L132" t="s">
        <v>18640</v>
      </c>
      <c r="M132">
        <v>3</v>
      </c>
      <c r="N132" t="s">
        <v>17367</v>
      </c>
      <c r="O132" t="s">
        <v>23391</v>
      </c>
    </row>
    <row r="133" spans="1:15" x14ac:dyDescent="0.25">
      <c r="A133" t="s">
        <v>2</v>
      </c>
      <c r="B133" t="s">
        <v>3458</v>
      </c>
      <c r="C133" s="18" t="str">
        <f>HYPERLINK("https://rhld.insurance.arkansas.gov/NPILookup?Npi=1548858749","1548858749")</f>
        <v>1548858749</v>
      </c>
      <c r="D133" t="s">
        <v>22954</v>
      </c>
      <c r="E133" t="s">
        <v>17366</v>
      </c>
      <c r="F133">
        <v>1</v>
      </c>
      <c r="G133">
        <v>2</v>
      </c>
      <c r="H133">
        <v>0</v>
      </c>
      <c r="I133">
        <v>0</v>
      </c>
      <c r="J133" t="s">
        <v>23390</v>
      </c>
      <c r="K133" t="s">
        <v>18640</v>
      </c>
      <c r="L133" t="s">
        <v>18640</v>
      </c>
      <c r="M133">
        <v>2</v>
      </c>
      <c r="N133" t="s">
        <v>17367</v>
      </c>
      <c r="O133" t="s">
        <v>23391</v>
      </c>
    </row>
    <row r="134" spans="1:15" x14ac:dyDescent="0.25">
      <c r="A134" t="s">
        <v>2</v>
      </c>
      <c r="B134" t="s">
        <v>3458</v>
      </c>
      <c r="C134" s="18" t="str">
        <f>HYPERLINK("https://rhld.insurance.arkansas.gov/NPILookup?Npi=1548871510","1548871510")</f>
        <v>1548871510</v>
      </c>
      <c r="D134" t="s">
        <v>22955</v>
      </c>
      <c r="E134" t="s">
        <v>17366</v>
      </c>
      <c r="F134">
        <v>1</v>
      </c>
      <c r="G134">
        <v>3</v>
      </c>
      <c r="H134">
        <v>0</v>
      </c>
      <c r="I134">
        <v>0</v>
      </c>
      <c r="J134" t="s">
        <v>23390</v>
      </c>
      <c r="K134" t="s">
        <v>18640</v>
      </c>
      <c r="L134" t="s">
        <v>18640</v>
      </c>
      <c r="M134">
        <v>3</v>
      </c>
      <c r="N134" t="s">
        <v>17367</v>
      </c>
      <c r="O134" t="s">
        <v>23391</v>
      </c>
    </row>
    <row r="135" spans="1:15" x14ac:dyDescent="0.25">
      <c r="A135" t="s">
        <v>2</v>
      </c>
      <c r="B135" t="s">
        <v>3458</v>
      </c>
      <c r="C135" s="18" t="str">
        <f>HYPERLINK("https://rhld.insurance.arkansas.gov/NPILookup?Npi=1568089555","1568089555")</f>
        <v>1568089555</v>
      </c>
      <c r="D135" t="s">
        <v>12327</v>
      </c>
      <c r="E135" t="s">
        <v>17366</v>
      </c>
      <c r="F135">
        <v>1</v>
      </c>
      <c r="G135">
        <v>3</v>
      </c>
      <c r="H135">
        <v>0</v>
      </c>
      <c r="I135">
        <v>0</v>
      </c>
      <c r="J135" t="s">
        <v>23390</v>
      </c>
      <c r="K135" t="s">
        <v>18640</v>
      </c>
      <c r="L135" t="s">
        <v>18640</v>
      </c>
      <c r="M135">
        <v>3</v>
      </c>
      <c r="N135" t="s">
        <v>17367</v>
      </c>
      <c r="O135" t="s">
        <v>23391</v>
      </c>
    </row>
    <row r="136" spans="1:15" x14ac:dyDescent="0.25">
      <c r="A136" t="s">
        <v>2</v>
      </c>
      <c r="B136" t="s">
        <v>3458</v>
      </c>
      <c r="C136" s="18" t="str">
        <f>HYPERLINK("https://rhld.insurance.arkansas.gov/NPILookup?Npi=1568090959","1568090959")</f>
        <v>1568090959</v>
      </c>
      <c r="D136" t="s">
        <v>22956</v>
      </c>
      <c r="E136" t="s">
        <v>17366</v>
      </c>
      <c r="F136">
        <v>1</v>
      </c>
      <c r="G136">
        <v>3</v>
      </c>
      <c r="H136">
        <v>0</v>
      </c>
      <c r="I136">
        <v>0</v>
      </c>
      <c r="J136" t="s">
        <v>23390</v>
      </c>
      <c r="K136" t="s">
        <v>18640</v>
      </c>
      <c r="L136" t="s">
        <v>18640</v>
      </c>
      <c r="M136">
        <v>3</v>
      </c>
      <c r="N136" t="s">
        <v>17367</v>
      </c>
      <c r="O136" t="s">
        <v>23391</v>
      </c>
    </row>
    <row r="137" spans="1:15" x14ac:dyDescent="0.25">
      <c r="A137" t="s">
        <v>2</v>
      </c>
      <c r="B137" t="s">
        <v>3458</v>
      </c>
      <c r="C137" s="18" t="str">
        <f>HYPERLINK("https://rhld.insurance.arkansas.gov/NPILookup?Npi=1568811321","1568811321")</f>
        <v>1568811321</v>
      </c>
      <c r="D137" t="s">
        <v>22957</v>
      </c>
      <c r="E137" t="s">
        <v>17366</v>
      </c>
      <c r="F137">
        <v>1</v>
      </c>
      <c r="G137">
        <v>2</v>
      </c>
      <c r="H137">
        <v>0</v>
      </c>
      <c r="I137">
        <v>0</v>
      </c>
      <c r="J137" t="s">
        <v>23390</v>
      </c>
      <c r="K137" t="s">
        <v>18640</v>
      </c>
      <c r="L137" t="s">
        <v>18640</v>
      </c>
      <c r="M137">
        <v>2</v>
      </c>
      <c r="N137" t="s">
        <v>17367</v>
      </c>
      <c r="O137" t="s">
        <v>23391</v>
      </c>
    </row>
    <row r="138" spans="1:15" x14ac:dyDescent="0.25">
      <c r="A138" t="s">
        <v>2</v>
      </c>
      <c r="B138" t="s">
        <v>3458</v>
      </c>
      <c r="C138" s="18" t="str">
        <f>HYPERLINK("https://rhld.insurance.arkansas.gov/NPILookup?Npi=1568959674","1568959674")</f>
        <v>1568959674</v>
      </c>
      <c r="D138" t="s">
        <v>22958</v>
      </c>
      <c r="E138" t="s">
        <v>17366</v>
      </c>
      <c r="F138">
        <v>1</v>
      </c>
      <c r="G138">
        <v>3</v>
      </c>
      <c r="H138">
        <v>0</v>
      </c>
      <c r="I138">
        <v>0</v>
      </c>
      <c r="J138" t="s">
        <v>23390</v>
      </c>
      <c r="K138" t="s">
        <v>18640</v>
      </c>
      <c r="L138" t="s">
        <v>18640</v>
      </c>
      <c r="M138">
        <v>3</v>
      </c>
      <c r="N138" t="s">
        <v>17367</v>
      </c>
      <c r="O138" t="s">
        <v>23391</v>
      </c>
    </row>
    <row r="139" spans="1:15" x14ac:dyDescent="0.25">
      <c r="A139" t="s">
        <v>2</v>
      </c>
      <c r="B139" t="s">
        <v>3458</v>
      </c>
      <c r="C139" s="18" t="str">
        <f>HYPERLINK("https://rhld.insurance.arkansas.gov/NPILookup?Npi=1588293062","1588293062")</f>
        <v>1588293062</v>
      </c>
      <c r="D139" t="s">
        <v>22959</v>
      </c>
      <c r="E139" t="s">
        <v>17366</v>
      </c>
      <c r="F139">
        <v>1</v>
      </c>
      <c r="G139">
        <v>3</v>
      </c>
      <c r="H139">
        <v>0</v>
      </c>
      <c r="I139">
        <v>0</v>
      </c>
      <c r="J139" t="s">
        <v>23390</v>
      </c>
      <c r="K139" t="s">
        <v>18640</v>
      </c>
      <c r="L139" t="s">
        <v>18640</v>
      </c>
      <c r="M139">
        <v>3</v>
      </c>
      <c r="N139" t="s">
        <v>17367</v>
      </c>
      <c r="O139" t="s">
        <v>23391</v>
      </c>
    </row>
    <row r="140" spans="1:15" x14ac:dyDescent="0.25">
      <c r="A140" t="s">
        <v>2</v>
      </c>
      <c r="B140" t="s">
        <v>3458</v>
      </c>
      <c r="C140" s="18" t="str">
        <f>HYPERLINK("https://rhld.insurance.arkansas.gov/NPILookup?Npi=1588635320","1588635320")</f>
        <v>1588635320</v>
      </c>
      <c r="D140" t="s">
        <v>2061</v>
      </c>
      <c r="E140" t="s">
        <v>17368</v>
      </c>
      <c r="F140">
        <v>1</v>
      </c>
      <c r="G140">
        <v>3</v>
      </c>
      <c r="H140">
        <v>0</v>
      </c>
      <c r="I140">
        <v>0</v>
      </c>
      <c r="J140" t="s">
        <v>17370</v>
      </c>
      <c r="K140" t="s">
        <v>18640</v>
      </c>
      <c r="L140" t="s">
        <v>18640</v>
      </c>
      <c r="M140">
        <v>3</v>
      </c>
      <c r="N140" t="s">
        <v>17367</v>
      </c>
      <c r="O140" t="s">
        <v>23391</v>
      </c>
    </row>
    <row r="141" spans="1:15" x14ac:dyDescent="0.25">
      <c r="A141" t="s">
        <v>2</v>
      </c>
      <c r="B141" t="s">
        <v>3458</v>
      </c>
      <c r="C141" s="18" t="str">
        <f>HYPERLINK("https://rhld.insurance.arkansas.gov/NPILookup?Npi=1598387417","1598387417")</f>
        <v>1598387417</v>
      </c>
      <c r="D141" t="s">
        <v>22962</v>
      </c>
      <c r="E141" t="s">
        <v>17366</v>
      </c>
      <c r="F141">
        <v>1</v>
      </c>
      <c r="G141">
        <v>3</v>
      </c>
      <c r="H141">
        <v>0</v>
      </c>
      <c r="I141">
        <v>0</v>
      </c>
      <c r="J141" t="s">
        <v>23390</v>
      </c>
      <c r="K141" t="s">
        <v>18640</v>
      </c>
      <c r="L141" t="s">
        <v>18640</v>
      </c>
      <c r="M141">
        <v>3</v>
      </c>
      <c r="N141" t="s">
        <v>17367</v>
      </c>
      <c r="O141" t="s">
        <v>23391</v>
      </c>
    </row>
    <row r="142" spans="1:15" x14ac:dyDescent="0.25">
      <c r="A142" t="s">
        <v>2</v>
      </c>
      <c r="B142" t="s">
        <v>3458</v>
      </c>
      <c r="C142" s="18" t="str">
        <f>HYPERLINK("https://rhld.insurance.arkansas.gov/NPILookup?Npi=1609570431","1609570431")</f>
        <v>1609570431</v>
      </c>
      <c r="D142" t="s">
        <v>22963</v>
      </c>
      <c r="E142" t="s">
        <v>17366</v>
      </c>
      <c r="F142">
        <v>1</v>
      </c>
      <c r="G142">
        <v>3</v>
      </c>
      <c r="H142">
        <v>0</v>
      </c>
      <c r="I142">
        <v>0</v>
      </c>
      <c r="J142" t="s">
        <v>23390</v>
      </c>
      <c r="K142" t="s">
        <v>18640</v>
      </c>
      <c r="L142" t="s">
        <v>18640</v>
      </c>
      <c r="M142">
        <v>3</v>
      </c>
      <c r="N142" t="s">
        <v>17367</v>
      </c>
      <c r="O142" t="s">
        <v>23391</v>
      </c>
    </row>
    <row r="143" spans="1:15" x14ac:dyDescent="0.25">
      <c r="A143" t="s">
        <v>2</v>
      </c>
      <c r="B143" t="s">
        <v>3458</v>
      </c>
      <c r="C143" s="18" t="str">
        <f>HYPERLINK("https://rhld.insurance.arkansas.gov/NPILookup?Npi=1649634585","1649634585")</f>
        <v>1649634585</v>
      </c>
      <c r="D143" t="s">
        <v>22965</v>
      </c>
      <c r="E143" t="s">
        <v>17366</v>
      </c>
      <c r="F143">
        <v>1</v>
      </c>
      <c r="G143">
        <v>3</v>
      </c>
      <c r="H143">
        <v>0</v>
      </c>
      <c r="I143">
        <v>0</v>
      </c>
      <c r="J143" t="s">
        <v>23390</v>
      </c>
      <c r="K143" t="s">
        <v>18640</v>
      </c>
      <c r="L143" t="s">
        <v>18640</v>
      </c>
      <c r="M143">
        <v>3</v>
      </c>
      <c r="N143" t="s">
        <v>17367</v>
      </c>
      <c r="O143" t="s">
        <v>23391</v>
      </c>
    </row>
    <row r="144" spans="1:15" x14ac:dyDescent="0.25">
      <c r="A144" t="s">
        <v>2</v>
      </c>
      <c r="B144" t="s">
        <v>3458</v>
      </c>
      <c r="C144" s="18" t="str">
        <f>HYPERLINK("https://rhld.insurance.arkansas.gov/NPILookup?Npi=1659395960","1659395960")</f>
        <v>1659395960</v>
      </c>
      <c r="D144" t="s">
        <v>22967</v>
      </c>
      <c r="E144" t="s">
        <v>17366</v>
      </c>
      <c r="F144">
        <v>1</v>
      </c>
      <c r="G144">
        <v>2</v>
      </c>
      <c r="H144">
        <v>0</v>
      </c>
      <c r="I144">
        <v>0</v>
      </c>
      <c r="J144" t="s">
        <v>23390</v>
      </c>
      <c r="K144" t="s">
        <v>18640</v>
      </c>
      <c r="L144" t="s">
        <v>18640</v>
      </c>
      <c r="M144">
        <v>2</v>
      </c>
      <c r="N144" t="s">
        <v>17367</v>
      </c>
      <c r="O144" t="s">
        <v>23391</v>
      </c>
    </row>
    <row r="145" spans="1:15" x14ac:dyDescent="0.25">
      <c r="A145" t="s">
        <v>2</v>
      </c>
      <c r="B145" t="s">
        <v>3458</v>
      </c>
      <c r="C145" s="18" t="str">
        <f>HYPERLINK("https://rhld.insurance.arkansas.gov/NPILookup?Npi=1659908614","1659908614")</f>
        <v>1659908614</v>
      </c>
      <c r="D145" t="s">
        <v>22968</v>
      </c>
      <c r="E145" t="s">
        <v>17366</v>
      </c>
      <c r="F145">
        <v>1</v>
      </c>
      <c r="G145">
        <v>3</v>
      </c>
      <c r="H145">
        <v>0</v>
      </c>
      <c r="I145">
        <v>0</v>
      </c>
      <c r="J145" t="s">
        <v>23390</v>
      </c>
      <c r="K145" t="s">
        <v>18640</v>
      </c>
      <c r="L145" t="s">
        <v>18640</v>
      </c>
      <c r="M145">
        <v>3</v>
      </c>
      <c r="N145" t="s">
        <v>17367</v>
      </c>
      <c r="O145" t="s">
        <v>23391</v>
      </c>
    </row>
    <row r="146" spans="1:15" x14ac:dyDescent="0.25">
      <c r="A146" t="s">
        <v>2</v>
      </c>
      <c r="B146" t="s">
        <v>3458</v>
      </c>
      <c r="C146" s="18" t="str">
        <f>HYPERLINK("https://rhld.insurance.arkansas.gov/NPILookup?Npi=1689383366","1689383366")</f>
        <v>1689383366</v>
      </c>
      <c r="D146" t="s">
        <v>22975</v>
      </c>
      <c r="E146" t="s">
        <v>17366</v>
      </c>
      <c r="F146">
        <v>1</v>
      </c>
      <c r="G146">
        <v>2</v>
      </c>
      <c r="H146">
        <v>0</v>
      </c>
      <c r="I146">
        <v>0</v>
      </c>
      <c r="J146" t="s">
        <v>23390</v>
      </c>
      <c r="K146" t="s">
        <v>18640</v>
      </c>
      <c r="L146" t="s">
        <v>18640</v>
      </c>
      <c r="M146">
        <v>2</v>
      </c>
      <c r="N146" t="s">
        <v>17367</v>
      </c>
      <c r="O146" t="s">
        <v>23391</v>
      </c>
    </row>
    <row r="147" spans="1:15" x14ac:dyDescent="0.25">
      <c r="A147" t="s">
        <v>2</v>
      </c>
      <c r="B147" t="s">
        <v>3458</v>
      </c>
      <c r="C147" s="18" t="str">
        <f>HYPERLINK("https://rhld.insurance.arkansas.gov/NPILookup?Npi=1760006001","1760006001")</f>
        <v>1760006001</v>
      </c>
      <c r="D147" t="s">
        <v>22980</v>
      </c>
      <c r="E147" t="s">
        <v>17366</v>
      </c>
      <c r="F147">
        <v>1</v>
      </c>
      <c r="G147">
        <v>2</v>
      </c>
      <c r="H147">
        <v>0</v>
      </c>
      <c r="I147">
        <v>0</v>
      </c>
      <c r="J147" t="s">
        <v>23390</v>
      </c>
      <c r="K147" t="s">
        <v>18640</v>
      </c>
      <c r="L147" t="s">
        <v>18640</v>
      </c>
      <c r="M147">
        <v>2</v>
      </c>
      <c r="N147" t="s">
        <v>17367</v>
      </c>
      <c r="O147" t="s">
        <v>23391</v>
      </c>
    </row>
    <row r="148" spans="1:15" x14ac:dyDescent="0.25">
      <c r="A148" t="s">
        <v>2</v>
      </c>
      <c r="B148" t="s">
        <v>3458</v>
      </c>
      <c r="C148" s="18" t="str">
        <f>HYPERLINK("https://rhld.insurance.arkansas.gov/NPILookup?Npi=1760731608","1760731608")</f>
        <v>1760731608</v>
      </c>
      <c r="D148" t="s">
        <v>22981</v>
      </c>
      <c r="E148" t="s">
        <v>17366</v>
      </c>
      <c r="F148">
        <v>1</v>
      </c>
      <c r="G148">
        <v>2</v>
      </c>
      <c r="H148">
        <v>0</v>
      </c>
      <c r="I148">
        <v>0</v>
      </c>
      <c r="J148" t="s">
        <v>23390</v>
      </c>
      <c r="K148" t="s">
        <v>18640</v>
      </c>
      <c r="L148" t="s">
        <v>18640</v>
      </c>
      <c r="M148">
        <v>2</v>
      </c>
      <c r="N148" t="s">
        <v>17367</v>
      </c>
      <c r="O148" t="s">
        <v>23391</v>
      </c>
    </row>
    <row r="149" spans="1:15" x14ac:dyDescent="0.25">
      <c r="A149" t="s">
        <v>2</v>
      </c>
      <c r="B149" t="s">
        <v>3458</v>
      </c>
      <c r="C149" s="18" t="str">
        <f>HYPERLINK("https://rhld.insurance.arkansas.gov/NPILookup?Npi=1770520900","1770520900")</f>
        <v>1770520900</v>
      </c>
      <c r="D149" t="s">
        <v>22983</v>
      </c>
      <c r="E149" t="s">
        <v>17366</v>
      </c>
      <c r="F149">
        <v>1</v>
      </c>
      <c r="G149">
        <v>3</v>
      </c>
      <c r="H149">
        <v>0</v>
      </c>
      <c r="I149">
        <v>0</v>
      </c>
      <c r="J149" t="s">
        <v>23390</v>
      </c>
      <c r="K149" t="s">
        <v>18640</v>
      </c>
      <c r="L149" t="s">
        <v>18640</v>
      </c>
      <c r="M149">
        <v>3</v>
      </c>
      <c r="N149" t="s">
        <v>17367</v>
      </c>
      <c r="O149" t="s">
        <v>23391</v>
      </c>
    </row>
    <row r="150" spans="1:15" x14ac:dyDescent="0.25">
      <c r="A150" t="s">
        <v>2</v>
      </c>
      <c r="B150" t="s">
        <v>3458</v>
      </c>
      <c r="C150" s="18" t="str">
        <f>HYPERLINK("https://rhld.insurance.arkansas.gov/NPILookup?Npi=1780274043","1780274043")</f>
        <v>1780274043</v>
      </c>
      <c r="D150" t="s">
        <v>22986</v>
      </c>
      <c r="E150" t="s">
        <v>17366</v>
      </c>
      <c r="F150">
        <v>1</v>
      </c>
      <c r="G150">
        <v>3</v>
      </c>
      <c r="H150">
        <v>0</v>
      </c>
      <c r="I150">
        <v>0</v>
      </c>
      <c r="J150" t="s">
        <v>23390</v>
      </c>
      <c r="K150" t="s">
        <v>18640</v>
      </c>
      <c r="L150" t="s">
        <v>18640</v>
      </c>
      <c r="M150">
        <v>3</v>
      </c>
      <c r="N150" t="s">
        <v>17367</v>
      </c>
      <c r="O150" t="s">
        <v>23391</v>
      </c>
    </row>
    <row r="151" spans="1:15" x14ac:dyDescent="0.25">
      <c r="A151" t="s">
        <v>2</v>
      </c>
      <c r="B151" t="s">
        <v>3458</v>
      </c>
      <c r="C151" s="18" t="str">
        <f>HYPERLINK("https://rhld.insurance.arkansas.gov/NPILookup?Npi=1801410527","1801410527")</f>
        <v>1801410527</v>
      </c>
      <c r="D151" t="s">
        <v>22987</v>
      </c>
      <c r="E151" t="s">
        <v>17366</v>
      </c>
      <c r="F151">
        <v>1</v>
      </c>
      <c r="G151">
        <v>3</v>
      </c>
      <c r="H151">
        <v>0</v>
      </c>
      <c r="I151">
        <v>0</v>
      </c>
      <c r="J151" t="s">
        <v>23390</v>
      </c>
      <c r="K151" t="s">
        <v>18640</v>
      </c>
      <c r="L151" t="s">
        <v>18640</v>
      </c>
      <c r="M151">
        <v>3</v>
      </c>
      <c r="N151" t="s">
        <v>17367</v>
      </c>
      <c r="O151" t="s">
        <v>23391</v>
      </c>
    </row>
    <row r="152" spans="1:15" x14ac:dyDescent="0.25">
      <c r="A152" t="s">
        <v>2</v>
      </c>
      <c r="B152" t="s">
        <v>3458</v>
      </c>
      <c r="C152" s="18" t="str">
        <f>HYPERLINK("https://rhld.insurance.arkansas.gov/NPILookup?Npi=1801483946","1801483946")</f>
        <v>1801483946</v>
      </c>
      <c r="D152" t="s">
        <v>22988</v>
      </c>
      <c r="E152" t="s">
        <v>17366</v>
      </c>
      <c r="F152">
        <v>1</v>
      </c>
      <c r="G152">
        <v>3</v>
      </c>
      <c r="H152">
        <v>0</v>
      </c>
      <c r="I152">
        <v>0</v>
      </c>
      <c r="J152" t="s">
        <v>23390</v>
      </c>
      <c r="K152" t="s">
        <v>18640</v>
      </c>
      <c r="L152" t="s">
        <v>18640</v>
      </c>
      <c r="M152">
        <v>3</v>
      </c>
      <c r="N152" t="s">
        <v>17367</v>
      </c>
      <c r="O152" t="s">
        <v>23391</v>
      </c>
    </row>
    <row r="153" spans="1:15" x14ac:dyDescent="0.25">
      <c r="A153" t="s">
        <v>2</v>
      </c>
      <c r="B153" t="s">
        <v>3458</v>
      </c>
      <c r="C153" s="18" t="str">
        <f>HYPERLINK("https://rhld.insurance.arkansas.gov/NPILookup?Npi=1811525017","1811525017")</f>
        <v>1811525017</v>
      </c>
      <c r="D153" t="s">
        <v>22989</v>
      </c>
      <c r="E153" t="s">
        <v>17366</v>
      </c>
      <c r="F153">
        <v>1</v>
      </c>
      <c r="G153">
        <v>3</v>
      </c>
      <c r="H153">
        <v>0</v>
      </c>
      <c r="I153">
        <v>0</v>
      </c>
      <c r="J153" t="s">
        <v>23390</v>
      </c>
      <c r="K153" t="s">
        <v>18640</v>
      </c>
      <c r="L153" t="s">
        <v>18640</v>
      </c>
      <c r="M153">
        <v>3</v>
      </c>
      <c r="N153" t="s">
        <v>17367</v>
      </c>
      <c r="O153" t="s">
        <v>23391</v>
      </c>
    </row>
    <row r="154" spans="1:15" x14ac:dyDescent="0.25">
      <c r="A154" t="s">
        <v>2</v>
      </c>
      <c r="B154" t="s">
        <v>3458</v>
      </c>
      <c r="C154" s="18" t="str">
        <f>HYPERLINK("https://rhld.insurance.arkansas.gov/NPILookup?Npi=1821026329","1821026329")</f>
        <v>1821026329</v>
      </c>
      <c r="D154" t="s">
        <v>2869</v>
      </c>
      <c r="E154" t="s">
        <v>17368</v>
      </c>
      <c r="F154">
        <v>1</v>
      </c>
      <c r="G154">
        <v>2</v>
      </c>
      <c r="H154">
        <v>0</v>
      </c>
      <c r="I154">
        <v>0</v>
      </c>
      <c r="J154" t="s">
        <v>17370</v>
      </c>
      <c r="K154" t="s">
        <v>18640</v>
      </c>
      <c r="L154" t="s">
        <v>18640</v>
      </c>
      <c r="M154">
        <v>2</v>
      </c>
      <c r="N154" t="s">
        <v>17367</v>
      </c>
      <c r="O154" t="s">
        <v>23391</v>
      </c>
    </row>
    <row r="155" spans="1:15" x14ac:dyDescent="0.25">
      <c r="A155" t="s">
        <v>2</v>
      </c>
      <c r="B155" t="s">
        <v>3458</v>
      </c>
      <c r="C155" s="18" t="str">
        <f>HYPERLINK("https://rhld.insurance.arkansas.gov/NPILookup?Npi=1821589250","1821589250")</f>
        <v>1821589250</v>
      </c>
      <c r="D155" t="s">
        <v>22990</v>
      </c>
      <c r="E155" t="s">
        <v>17366</v>
      </c>
      <c r="F155">
        <v>1</v>
      </c>
      <c r="G155">
        <v>3</v>
      </c>
      <c r="H155">
        <v>0</v>
      </c>
      <c r="I155">
        <v>0</v>
      </c>
      <c r="J155" t="s">
        <v>23390</v>
      </c>
      <c r="K155" t="s">
        <v>18640</v>
      </c>
      <c r="L155" t="s">
        <v>18640</v>
      </c>
      <c r="M155">
        <v>3</v>
      </c>
      <c r="N155" t="s">
        <v>17367</v>
      </c>
      <c r="O155" t="s">
        <v>23391</v>
      </c>
    </row>
    <row r="156" spans="1:15" x14ac:dyDescent="0.25">
      <c r="A156" t="s">
        <v>2</v>
      </c>
      <c r="B156" t="s">
        <v>3458</v>
      </c>
      <c r="C156" s="18" t="str">
        <f>HYPERLINK("https://rhld.insurance.arkansas.gov/NPILookup?Npi=1831727148","1831727148")</f>
        <v>1831727148</v>
      </c>
      <c r="D156" t="s">
        <v>22992</v>
      </c>
      <c r="E156" t="s">
        <v>17366</v>
      </c>
      <c r="F156">
        <v>1</v>
      </c>
      <c r="G156">
        <v>2</v>
      </c>
      <c r="H156">
        <v>0</v>
      </c>
      <c r="I156">
        <v>0</v>
      </c>
      <c r="J156" t="s">
        <v>23390</v>
      </c>
      <c r="K156" t="s">
        <v>18640</v>
      </c>
      <c r="L156" t="s">
        <v>18640</v>
      </c>
      <c r="M156">
        <v>2</v>
      </c>
      <c r="N156" t="s">
        <v>17367</v>
      </c>
      <c r="O156" t="s">
        <v>23391</v>
      </c>
    </row>
    <row r="157" spans="1:15" x14ac:dyDescent="0.25">
      <c r="A157" t="s">
        <v>2</v>
      </c>
      <c r="B157" t="s">
        <v>3458</v>
      </c>
      <c r="C157" s="18" t="str">
        <f>HYPERLINK("https://rhld.insurance.arkansas.gov/NPILookup?Npi=1851470231","1851470231")</f>
        <v>1851470231</v>
      </c>
      <c r="D157" t="s">
        <v>22994</v>
      </c>
      <c r="E157" t="s">
        <v>17366</v>
      </c>
      <c r="F157">
        <v>1</v>
      </c>
      <c r="G157">
        <v>3</v>
      </c>
      <c r="H157">
        <v>0</v>
      </c>
      <c r="I157">
        <v>0</v>
      </c>
      <c r="J157" t="s">
        <v>23390</v>
      </c>
      <c r="K157" t="s">
        <v>18640</v>
      </c>
      <c r="L157" t="s">
        <v>18640</v>
      </c>
      <c r="M157">
        <v>3</v>
      </c>
      <c r="N157" t="s">
        <v>17367</v>
      </c>
      <c r="O157" t="s">
        <v>23391</v>
      </c>
    </row>
    <row r="158" spans="1:15" x14ac:dyDescent="0.25">
      <c r="A158" t="s">
        <v>2</v>
      </c>
      <c r="B158" t="s">
        <v>3458</v>
      </c>
      <c r="C158" s="18" t="str">
        <f>HYPERLINK("https://rhld.insurance.arkansas.gov/NPILookup?Npi=1851573349","1851573349")</f>
        <v>1851573349</v>
      </c>
      <c r="D158" t="s">
        <v>22995</v>
      </c>
      <c r="E158" t="s">
        <v>17366</v>
      </c>
      <c r="F158">
        <v>1</v>
      </c>
      <c r="G158">
        <v>2</v>
      </c>
      <c r="H158">
        <v>0</v>
      </c>
      <c r="I158">
        <v>0</v>
      </c>
      <c r="J158" t="s">
        <v>23390</v>
      </c>
      <c r="K158" t="s">
        <v>18640</v>
      </c>
      <c r="L158" t="s">
        <v>18640</v>
      </c>
      <c r="M158">
        <v>2</v>
      </c>
      <c r="N158" t="s">
        <v>17367</v>
      </c>
      <c r="O158" t="s">
        <v>23391</v>
      </c>
    </row>
    <row r="159" spans="1:15" x14ac:dyDescent="0.25">
      <c r="A159" t="s">
        <v>2</v>
      </c>
      <c r="B159" t="s">
        <v>3458</v>
      </c>
      <c r="C159" s="18" t="str">
        <f>HYPERLINK("https://rhld.insurance.arkansas.gov/NPILookup?Npi=1851929673","1851929673")</f>
        <v>1851929673</v>
      </c>
      <c r="D159" t="s">
        <v>22997</v>
      </c>
      <c r="E159" t="s">
        <v>17366</v>
      </c>
      <c r="F159">
        <v>1</v>
      </c>
      <c r="G159">
        <v>3</v>
      </c>
      <c r="H159">
        <v>0</v>
      </c>
      <c r="I159">
        <v>0</v>
      </c>
      <c r="J159" t="s">
        <v>23390</v>
      </c>
      <c r="K159" t="s">
        <v>18640</v>
      </c>
      <c r="L159" t="s">
        <v>18640</v>
      </c>
      <c r="M159">
        <v>3</v>
      </c>
      <c r="N159" t="s">
        <v>17367</v>
      </c>
      <c r="O159" t="s">
        <v>23391</v>
      </c>
    </row>
    <row r="160" spans="1:15" x14ac:dyDescent="0.25">
      <c r="A160" t="s">
        <v>2</v>
      </c>
      <c r="B160" t="s">
        <v>3458</v>
      </c>
      <c r="C160" s="18" t="str">
        <f>HYPERLINK("https://rhld.insurance.arkansas.gov/NPILookup?Npi=1861020240","1861020240")</f>
        <v>1861020240</v>
      </c>
      <c r="D160" t="s">
        <v>22998</v>
      </c>
      <c r="E160" t="s">
        <v>17366</v>
      </c>
      <c r="F160">
        <v>1</v>
      </c>
      <c r="G160">
        <v>3</v>
      </c>
      <c r="H160">
        <v>0</v>
      </c>
      <c r="I160">
        <v>0</v>
      </c>
      <c r="J160" t="s">
        <v>23390</v>
      </c>
      <c r="K160" t="s">
        <v>18640</v>
      </c>
      <c r="L160" t="s">
        <v>18640</v>
      </c>
      <c r="M160">
        <v>3</v>
      </c>
      <c r="N160" t="s">
        <v>17367</v>
      </c>
      <c r="O160" t="s">
        <v>23391</v>
      </c>
    </row>
    <row r="161" spans="1:15" x14ac:dyDescent="0.25">
      <c r="A161" t="s">
        <v>2</v>
      </c>
      <c r="B161" t="s">
        <v>3458</v>
      </c>
      <c r="C161" s="18" t="str">
        <f>HYPERLINK("https://rhld.insurance.arkansas.gov/NPILookup?Npi=1861021040","1861021040")</f>
        <v>1861021040</v>
      </c>
      <c r="D161" t="s">
        <v>22999</v>
      </c>
      <c r="E161" t="s">
        <v>17366</v>
      </c>
      <c r="F161">
        <v>1</v>
      </c>
      <c r="G161">
        <v>3</v>
      </c>
      <c r="H161">
        <v>0</v>
      </c>
      <c r="I161">
        <v>0</v>
      </c>
      <c r="J161" t="s">
        <v>23390</v>
      </c>
      <c r="K161" t="s">
        <v>18640</v>
      </c>
      <c r="L161" t="s">
        <v>18640</v>
      </c>
      <c r="M161">
        <v>3</v>
      </c>
      <c r="N161" t="s">
        <v>17367</v>
      </c>
      <c r="O161" t="s">
        <v>23391</v>
      </c>
    </row>
    <row r="162" spans="1:15" x14ac:dyDescent="0.25">
      <c r="A162" t="s">
        <v>2</v>
      </c>
      <c r="B162" t="s">
        <v>3458</v>
      </c>
      <c r="C162" s="18" t="str">
        <f>HYPERLINK("https://rhld.insurance.arkansas.gov/NPILookup?Npi=1861021636","1861021636")</f>
        <v>1861021636</v>
      </c>
      <c r="D162" t="s">
        <v>23000</v>
      </c>
      <c r="E162" t="s">
        <v>17366</v>
      </c>
      <c r="F162">
        <v>1</v>
      </c>
      <c r="G162">
        <v>2</v>
      </c>
      <c r="H162">
        <v>0</v>
      </c>
      <c r="I162">
        <v>0</v>
      </c>
      <c r="J162" t="s">
        <v>23390</v>
      </c>
      <c r="K162" t="s">
        <v>18640</v>
      </c>
      <c r="L162" t="s">
        <v>18640</v>
      </c>
      <c r="M162">
        <v>2</v>
      </c>
      <c r="N162" t="s">
        <v>17367</v>
      </c>
      <c r="O162" t="s">
        <v>23391</v>
      </c>
    </row>
    <row r="163" spans="1:15" x14ac:dyDescent="0.25">
      <c r="A163" t="s">
        <v>2</v>
      </c>
      <c r="B163" t="s">
        <v>3458</v>
      </c>
      <c r="C163" s="18" t="str">
        <f>HYPERLINK("https://rhld.insurance.arkansas.gov/NPILookup?Npi=1881222073","1881222073")</f>
        <v>1881222073</v>
      </c>
      <c r="D163" t="s">
        <v>23002</v>
      </c>
      <c r="E163" t="s">
        <v>17366</v>
      </c>
      <c r="F163">
        <v>1</v>
      </c>
      <c r="G163">
        <v>3</v>
      </c>
      <c r="H163">
        <v>0</v>
      </c>
      <c r="I163">
        <v>0</v>
      </c>
      <c r="J163" t="s">
        <v>23390</v>
      </c>
      <c r="K163" t="s">
        <v>18640</v>
      </c>
      <c r="L163" t="s">
        <v>18640</v>
      </c>
      <c r="M163">
        <v>3</v>
      </c>
      <c r="N163" t="s">
        <v>17367</v>
      </c>
      <c r="O163" t="s">
        <v>23391</v>
      </c>
    </row>
    <row r="164" spans="1:15" x14ac:dyDescent="0.25">
      <c r="A164" t="s">
        <v>2</v>
      </c>
      <c r="B164" t="s">
        <v>3458</v>
      </c>
      <c r="C164" s="18" t="str">
        <f>HYPERLINK("https://rhld.insurance.arkansas.gov/NPILookup?Npi=1891315008","1891315008")</f>
        <v>1891315008</v>
      </c>
      <c r="D164" t="s">
        <v>23003</v>
      </c>
      <c r="E164" t="s">
        <v>17366</v>
      </c>
      <c r="F164">
        <v>1</v>
      </c>
      <c r="G164">
        <v>3</v>
      </c>
      <c r="H164">
        <v>0</v>
      </c>
      <c r="I164">
        <v>0</v>
      </c>
      <c r="J164" t="s">
        <v>23390</v>
      </c>
      <c r="K164" t="s">
        <v>18640</v>
      </c>
      <c r="L164" t="s">
        <v>18640</v>
      </c>
      <c r="M164">
        <v>3</v>
      </c>
      <c r="N164" t="s">
        <v>17367</v>
      </c>
      <c r="O164" t="s">
        <v>23391</v>
      </c>
    </row>
    <row r="165" spans="1:15" x14ac:dyDescent="0.25">
      <c r="A165" t="s">
        <v>2</v>
      </c>
      <c r="B165" t="s">
        <v>3458</v>
      </c>
      <c r="C165" s="18" t="str">
        <f>HYPERLINK("https://rhld.insurance.arkansas.gov/NPILookup?Npi=1912529090","1912529090")</f>
        <v>1912529090</v>
      </c>
      <c r="D165" t="s">
        <v>23005</v>
      </c>
      <c r="E165" t="s">
        <v>17366</v>
      </c>
      <c r="F165">
        <v>1</v>
      </c>
      <c r="G165">
        <v>3</v>
      </c>
      <c r="H165">
        <v>0</v>
      </c>
      <c r="I165">
        <v>0</v>
      </c>
      <c r="J165" t="s">
        <v>23390</v>
      </c>
      <c r="K165" t="s">
        <v>18640</v>
      </c>
      <c r="L165" t="s">
        <v>18640</v>
      </c>
      <c r="M165">
        <v>3</v>
      </c>
      <c r="N165" t="s">
        <v>17367</v>
      </c>
      <c r="O165" t="s">
        <v>23391</v>
      </c>
    </row>
    <row r="166" spans="1:15" x14ac:dyDescent="0.25">
      <c r="A166" t="s">
        <v>2</v>
      </c>
      <c r="B166" t="s">
        <v>3458</v>
      </c>
      <c r="C166" s="18" t="str">
        <f>HYPERLINK("https://rhld.insurance.arkansas.gov/NPILookup?Npi=1922627249","1922627249")</f>
        <v>1922627249</v>
      </c>
      <c r="D166" t="s">
        <v>23007</v>
      </c>
      <c r="E166" t="s">
        <v>17366</v>
      </c>
      <c r="F166">
        <v>1</v>
      </c>
      <c r="G166">
        <v>3</v>
      </c>
      <c r="H166">
        <v>0</v>
      </c>
      <c r="I166">
        <v>0</v>
      </c>
      <c r="J166" t="s">
        <v>23390</v>
      </c>
      <c r="K166" t="s">
        <v>18640</v>
      </c>
      <c r="L166" t="s">
        <v>18640</v>
      </c>
      <c r="M166">
        <v>3</v>
      </c>
      <c r="N166" t="s">
        <v>17367</v>
      </c>
      <c r="O166" t="s">
        <v>23391</v>
      </c>
    </row>
    <row r="167" spans="1:15" x14ac:dyDescent="0.25">
      <c r="A167" t="s">
        <v>2</v>
      </c>
      <c r="B167" t="s">
        <v>3458</v>
      </c>
      <c r="C167" s="18" t="str">
        <f>HYPERLINK("https://rhld.insurance.arkansas.gov/NPILookup?Npi=1922629666","1922629666")</f>
        <v>1922629666</v>
      </c>
      <c r="D167" t="s">
        <v>23008</v>
      </c>
      <c r="E167" t="s">
        <v>17366</v>
      </c>
      <c r="F167">
        <v>1</v>
      </c>
      <c r="G167">
        <v>3</v>
      </c>
      <c r="H167">
        <v>0</v>
      </c>
      <c r="I167">
        <v>0</v>
      </c>
      <c r="J167" t="s">
        <v>23390</v>
      </c>
      <c r="K167" t="s">
        <v>18640</v>
      </c>
      <c r="L167" t="s">
        <v>18640</v>
      </c>
      <c r="M167">
        <v>3</v>
      </c>
      <c r="N167" t="s">
        <v>17367</v>
      </c>
      <c r="O167" t="s">
        <v>23391</v>
      </c>
    </row>
    <row r="168" spans="1:15" x14ac:dyDescent="0.25">
      <c r="A168" t="s">
        <v>2</v>
      </c>
      <c r="B168" t="s">
        <v>3458</v>
      </c>
      <c r="C168" s="18" t="str">
        <f>HYPERLINK("https://rhld.insurance.arkansas.gov/NPILookup?Npi=1932631439","1932631439")</f>
        <v>1932631439</v>
      </c>
      <c r="D168" t="s">
        <v>23009</v>
      </c>
      <c r="E168" t="s">
        <v>17366</v>
      </c>
      <c r="F168">
        <v>1</v>
      </c>
      <c r="G168">
        <v>2</v>
      </c>
      <c r="H168">
        <v>0</v>
      </c>
      <c r="I168">
        <v>0</v>
      </c>
      <c r="J168" t="s">
        <v>23390</v>
      </c>
      <c r="K168" t="s">
        <v>18640</v>
      </c>
      <c r="L168" t="s">
        <v>18640</v>
      </c>
      <c r="M168">
        <v>2</v>
      </c>
      <c r="N168" t="s">
        <v>17367</v>
      </c>
      <c r="O168" t="s">
        <v>23391</v>
      </c>
    </row>
    <row r="169" spans="1:15" x14ac:dyDescent="0.25">
      <c r="A169" t="s">
        <v>2</v>
      </c>
      <c r="B169" t="s">
        <v>3458</v>
      </c>
      <c r="C169" s="18" t="str">
        <f>HYPERLINK("https://rhld.insurance.arkansas.gov/NPILookup?Npi=1932737244","1932737244")</f>
        <v>1932737244</v>
      </c>
      <c r="D169" t="s">
        <v>23011</v>
      </c>
      <c r="E169" t="s">
        <v>17366</v>
      </c>
      <c r="F169">
        <v>1</v>
      </c>
      <c r="G169">
        <v>3</v>
      </c>
      <c r="H169">
        <v>0</v>
      </c>
      <c r="I169">
        <v>0</v>
      </c>
      <c r="J169" t="s">
        <v>23390</v>
      </c>
      <c r="K169" t="s">
        <v>18640</v>
      </c>
      <c r="L169" t="s">
        <v>18640</v>
      </c>
      <c r="M169">
        <v>3</v>
      </c>
      <c r="N169" t="s">
        <v>17367</v>
      </c>
      <c r="O169" t="s">
        <v>23391</v>
      </c>
    </row>
    <row r="170" spans="1:15" x14ac:dyDescent="0.25">
      <c r="A170" t="s">
        <v>2</v>
      </c>
      <c r="B170" t="s">
        <v>3458</v>
      </c>
      <c r="C170" s="18" t="str">
        <f>HYPERLINK("https://rhld.insurance.arkansas.gov/NPILookup?Npi=1972258721","1972258721")</f>
        <v>1972258721</v>
      </c>
      <c r="D170" t="s">
        <v>8892</v>
      </c>
      <c r="E170" t="s">
        <v>17366</v>
      </c>
      <c r="F170">
        <v>1</v>
      </c>
      <c r="G170">
        <v>3</v>
      </c>
      <c r="H170">
        <v>0</v>
      </c>
      <c r="I170">
        <v>0</v>
      </c>
      <c r="J170" t="s">
        <v>23390</v>
      </c>
      <c r="K170" t="s">
        <v>18640</v>
      </c>
      <c r="L170" t="s">
        <v>18640</v>
      </c>
      <c r="M170">
        <v>3</v>
      </c>
      <c r="N170" t="s">
        <v>17367</v>
      </c>
      <c r="O170" t="s">
        <v>23391</v>
      </c>
    </row>
    <row r="171" spans="1:15" x14ac:dyDescent="0.25">
      <c r="A171" t="s">
        <v>2</v>
      </c>
      <c r="B171" t="s">
        <v>3458</v>
      </c>
      <c r="C171" s="18" t="str">
        <f>HYPERLINK("https://rhld.insurance.arkansas.gov/NPILookup?Npi=1982165692","1982165692")</f>
        <v>1982165692</v>
      </c>
      <c r="D171" t="s">
        <v>23014</v>
      </c>
      <c r="E171" t="s">
        <v>17366</v>
      </c>
      <c r="F171">
        <v>1</v>
      </c>
      <c r="G171">
        <v>3</v>
      </c>
      <c r="H171">
        <v>0</v>
      </c>
      <c r="I171">
        <v>0</v>
      </c>
      <c r="J171" t="s">
        <v>23390</v>
      </c>
      <c r="K171" t="s">
        <v>18640</v>
      </c>
      <c r="L171" t="s">
        <v>18640</v>
      </c>
      <c r="M171">
        <v>3</v>
      </c>
      <c r="N171" t="s">
        <v>17367</v>
      </c>
      <c r="O171" t="s">
        <v>23391</v>
      </c>
    </row>
    <row r="172" spans="1:15" x14ac:dyDescent="0.25">
      <c r="A172" t="s">
        <v>2</v>
      </c>
      <c r="B172" t="s">
        <v>3458</v>
      </c>
      <c r="C172" s="18" t="str">
        <f>HYPERLINK("https://rhld.insurance.arkansas.gov/NPILookup?Npi=1992585459","1992585459")</f>
        <v>1992585459</v>
      </c>
      <c r="D172" t="s">
        <v>18577</v>
      </c>
      <c r="E172" t="s">
        <v>17366</v>
      </c>
      <c r="F172">
        <v>1</v>
      </c>
      <c r="G172">
        <v>3</v>
      </c>
      <c r="H172">
        <v>0</v>
      </c>
      <c r="I172">
        <v>0</v>
      </c>
      <c r="J172" t="s">
        <v>23390</v>
      </c>
      <c r="K172" t="s">
        <v>18640</v>
      </c>
      <c r="L172" t="s">
        <v>18640</v>
      </c>
      <c r="M172">
        <v>3</v>
      </c>
      <c r="N172" t="s">
        <v>17367</v>
      </c>
      <c r="O172" t="s">
        <v>23391</v>
      </c>
    </row>
    <row r="173" spans="1:15" x14ac:dyDescent="0.25">
      <c r="A173" t="s">
        <v>3</v>
      </c>
      <c r="B173" t="s">
        <v>4066</v>
      </c>
      <c r="C173" s="18" t="str">
        <f>HYPERLINK("https://rhld.insurance.arkansas.gov/NPILookup?Npi=1245952514","1245952514")</f>
        <v>1245952514</v>
      </c>
      <c r="D173" t="s">
        <v>23398</v>
      </c>
      <c r="E173" t="s">
        <v>17366</v>
      </c>
      <c r="F173">
        <v>1</v>
      </c>
      <c r="G173">
        <v>3</v>
      </c>
      <c r="H173">
        <v>0</v>
      </c>
      <c r="I173">
        <v>0</v>
      </c>
      <c r="J173" t="s">
        <v>23390</v>
      </c>
      <c r="K173" t="s">
        <v>18640</v>
      </c>
      <c r="L173" t="s">
        <v>18640</v>
      </c>
      <c r="M173">
        <v>3</v>
      </c>
      <c r="N173" t="s">
        <v>17367</v>
      </c>
      <c r="O173" t="s">
        <v>23391</v>
      </c>
    </row>
    <row r="174" spans="1:15" x14ac:dyDescent="0.25">
      <c r="A174" t="s">
        <v>3</v>
      </c>
      <c r="B174" t="s">
        <v>4066</v>
      </c>
      <c r="C174" s="18" t="str">
        <f>HYPERLINK("https://rhld.insurance.arkansas.gov/NPILookup?Npi=1457984320","1457984320")</f>
        <v>1457984320</v>
      </c>
      <c r="D174" t="s">
        <v>23399</v>
      </c>
      <c r="E174" t="s">
        <v>17366</v>
      </c>
      <c r="F174">
        <v>1</v>
      </c>
      <c r="G174">
        <v>3</v>
      </c>
      <c r="H174">
        <v>0</v>
      </c>
      <c r="I174">
        <v>0</v>
      </c>
      <c r="J174" t="s">
        <v>23390</v>
      </c>
      <c r="K174" t="s">
        <v>18640</v>
      </c>
      <c r="L174" t="s">
        <v>18640</v>
      </c>
      <c r="M174">
        <v>3</v>
      </c>
      <c r="N174" t="s">
        <v>17367</v>
      </c>
      <c r="O174" t="s">
        <v>23391</v>
      </c>
    </row>
    <row r="175" spans="1:15" x14ac:dyDescent="0.25">
      <c r="A175" t="s">
        <v>4</v>
      </c>
      <c r="B175" t="s">
        <v>4111</v>
      </c>
      <c r="C175" s="18" t="str">
        <f>HYPERLINK("https://rhld.insurance.arkansas.gov/NPILookup?Npi=1003323056","1003323056")</f>
        <v>1003323056</v>
      </c>
      <c r="D175" t="s">
        <v>23022</v>
      </c>
      <c r="E175" t="s">
        <v>17366</v>
      </c>
      <c r="F175">
        <v>1</v>
      </c>
      <c r="G175">
        <v>2</v>
      </c>
      <c r="H175">
        <v>0</v>
      </c>
      <c r="I175">
        <v>0</v>
      </c>
      <c r="J175" t="s">
        <v>21420</v>
      </c>
      <c r="K175" t="s">
        <v>18640</v>
      </c>
      <c r="L175" t="s">
        <v>18640</v>
      </c>
      <c r="M175">
        <v>2</v>
      </c>
      <c r="N175" t="s">
        <v>17367</v>
      </c>
      <c r="O175" t="s">
        <v>23391</v>
      </c>
    </row>
    <row r="176" spans="1:15" x14ac:dyDescent="0.25">
      <c r="A176" t="s">
        <v>4</v>
      </c>
      <c r="B176" t="s">
        <v>4111</v>
      </c>
      <c r="C176" s="18" t="str">
        <f>HYPERLINK("https://rhld.insurance.arkansas.gov/NPILookup?Npi=1013365006","1013365006")</f>
        <v>1013365006</v>
      </c>
      <c r="D176" t="s">
        <v>18645</v>
      </c>
      <c r="E176" t="s">
        <v>17368</v>
      </c>
      <c r="F176">
        <v>1</v>
      </c>
      <c r="G176">
        <v>3</v>
      </c>
      <c r="H176">
        <v>0</v>
      </c>
      <c r="I176">
        <v>0</v>
      </c>
      <c r="J176" t="s">
        <v>23400</v>
      </c>
      <c r="K176" t="s">
        <v>18640</v>
      </c>
      <c r="L176" t="s">
        <v>18640</v>
      </c>
      <c r="M176">
        <v>3</v>
      </c>
      <c r="N176" t="s">
        <v>17367</v>
      </c>
      <c r="O176" t="s">
        <v>23391</v>
      </c>
    </row>
    <row r="177" spans="1:15" x14ac:dyDescent="0.25">
      <c r="A177" t="s">
        <v>4</v>
      </c>
      <c r="B177" t="s">
        <v>4111</v>
      </c>
      <c r="C177" s="18" t="str">
        <f>HYPERLINK("https://rhld.insurance.arkansas.gov/NPILookup?Npi=1013636166","1013636166")</f>
        <v>1013636166</v>
      </c>
      <c r="D177" t="s">
        <v>23025</v>
      </c>
      <c r="E177" t="s">
        <v>17366</v>
      </c>
      <c r="F177">
        <v>1</v>
      </c>
      <c r="G177">
        <v>2</v>
      </c>
      <c r="H177">
        <v>0</v>
      </c>
      <c r="I177">
        <v>0</v>
      </c>
      <c r="J177" t="s">
        <v>23390</v>
      </c>
      <c r="K177" t="s">
        <v>18640</v>
      </c>
      <c r="L177" t="s">
        <v>18640</v>
      </c>
      <c r="M177">
        <v>2</v>
      </c>
      <c r="N177" t="s">
        <v>17367</v>
      </c>
      <c r="O177" t="s">
        <v>23391</v>
      </c>
    </row>
    <row r="178" spans="1:15" x14ac:dyDescent="0.25">
      <c r="A178" t="s">
        <v>4</v>
      </c>
      <c r="B178" t="s">
        <v>4111</v>
      </c>
      <c r="C178" s="18" t="str">
        <f>HYPERLINK("https://rhld.insurance.arkansas.gov/NPILookup?Npi=1023437084","1023437084")</f>
        <v>1023437084</v>
      </c>
      <c r="D178" t="s">
        <v>22869</v>
      </c>
      <c r="E178" t="s">
        <v>17366</v>
      </c>
      <c r="F178">
        <v>1</v>
      </c>
      <c r="G178">
        <v>2</v>
      </c>
      <c r="H178">
        <v>0</v>
      </c>
      <c r="I178">
        <v>0</v>
      </c>
      <c r="J178" t="s">
        <v>21420</v>
      </c>
      <c r="K178" t="s">
        <v>18640</v>
      </c>
      <c r="L178" t="s">
        <v>18640</v>
      </c>
      <c r="M178">
        <v>2</v>
      </c>
      <c r="N178" t="s">
        <v>17367</v>
      </c>
      <c r="O178" t="s">
        <v>23391</v>
      </c>
    </row>
    <row r="179" spans="1:15" x14ac:dyDescent="0.25">
      <c r="A179" t="s">
        <v>4</v>
      </c>
      <c r="B179" t="s">
        <v>4111</v>
      </c>
      <c r="C179" s="18" t="str">
        <f>HYPERLINK("https://rhld.insurance.arkansas.gov/NPILookup?Npi=1023792157","1023792157")</f>
        <v>1023792157</v>
      </c>
      <c r="D179" t="s">
        <v>23026</v>
      </c>
      <c r="E179" t="s">
        <v>17366</v>
      </c>
      <c r="F179">
        <v>2</v>
      </c>
      <c r="G179">
        <v>3</v>
      </c>
      <c r="H179">
        <v>0</v>
      </c>
      <c r="I179">
        <v>0</v>
      </c>
      <c r="J179" t="s">
        <v>23401</v>
      </c>
      <c r="K179" t="s">
        <v>18640</v>
      </c>
      <c r="L179" t="s">
        <v>18640</v>
      </c>
      <c r="M179">
        <v>3</v>
      </c>
      <c r="N179" t="s">
        <v>17367</v>
      </c>
      <c r="O179" t="s">
        <v>23391</v>
      </c>
    </row>
    <row r="180" spans="1:15" x14ac:dyDescent="0.25">
      <c r="A180" t="s">
        <v>4</v>
      </c>
      <c r="B180" t="s">
        <v>4111</v>
      </c>
      <c r="C180" s="18" t="str">
        <f>HYPERLINK("https://rhld.insurance.arkansas.gov/NPILookup?Npi=1033280391","1033280391")</f>
        <v>1033280391</v>
      </c>
      <c r="D180" t="s">
        <v>21421</v>
      </c>
      <c r="E180" t="s">
        <v>17366</v>
      </c>
      <c r="F180">
        <v>1</v>
      </c>
      <c r="G180">
        <v>3</v>
      </c>
      <c r="H180">
        <v>0</v>
      </c>
      <c r="I180">
        <v>0</v>
      </c>
      <c r="J180" t="s">
        <v>21420</v>
      </c>
      <c r="K180" t="s">
        <v>18640</v>
      </c>
      <c r="L180" t="s">
        <v>18640</v>
      </c>
      <c r="M180">
        <v>3</v>
      </c>
      <c r="N180" t="s">
        <v>17367</v>
      </c>
      <c r="O180" t="s">
        <v>23391</v>
      </c>
    </row>
    <row r="181" spans="1:15" x14ac:dyDescent="0.25">
      <c r="A181" t="s">
        <v>4</v>
      </c>
      <c r="B181" t="s">
        <v>4111</v>
      </c>
      <c r="C181" s="18" t="str">
        <f>HYPERLINK("https://rhld.insurance.arkansas.gov/NPILookup?Npi=1033316807","1033316807")</f>
        <v>1033316807</v>
      </c>
      <c r="D181" t="s">
        <v>23027</v>
      </c>
      <c r="E181" t="s">
        <v>17366</v>
      </c>
      <c r="F181">
        <v>1</v>
      </c>
      <c r="G181">
        <v>2</v>
      </c>
      <c r="H181">
        <v>0</v>
      </c>
      <c r="I181">
        <v>0</v>
      </c>
      <c r="J181" t="s">
        <v>23390</v>
      </c>
      <c r="K181" t="s">
        <v>18640</v>
      </c>
      <c r="L181" t="s">
        <v>18640</v>
      </c>
      <c r="M181">
        <v>2</v>
      </c>
      <c r="N181" t="s">
        <v>17367</v>
      </c>
      <c r="O181" t="s">
        <v>23391</v>
      </c>
    </row>
    <row r="182" spans="1:15" x14ac:dyDescent="0.25">
      <c r="A182" t="s">
        <v>4</v>
      </c>
      <c r="B182" t="s">
        <v>4111</v>
      </c>
      <c r="C182" s="18" t="str">
        <f>HYPERLINK("https://rhld.insurance.arkansas.gov/NPILookup?Npi=1033619622","1033619622")</f>
        <v>1033619622</v>
      </c>
      <c r="D182" t="s">
        <v>23029</v>
      </c>
      <c r="E182" t="s">
        <v>17366</v>
      </c>
      <c r="F182">
        <v>1</v>
      </c>
      <c r="G182">
        <v>2</v>
      </c>
      <c r="H182">
        <v>0</v>
      </c>
      <c r="I182">
        <v>0</v>
      </c>
      <c r="J182" t="s">
        <v>21420</v>
      </c>
      <c r="K182" t="s">
        <v>18640</v>
      </c>
      <c r="L182" t="s">
        <v>18640</v>
      </c>
      <c r="M182">
        <v>2</v>
      </c>
      <c r="N182" t="s">
        <v>17367</v>
      </c>
      <c r="O182" t="s">
        <v>23391</v>
      </c>
    </row>
    <row r="183" spans="1:15" x14ac:dyDescent="0.25">
      <c r="A183" t="s">
        <v>4</v>
      </c>
      <c r="B183" t="s">
        <v>4111</v>
      </c>
      <c r="C183" s="18" t="str">
        <f>HYPERLINK("https://rhld.insurance.arkansas.gov/NPILookup?Npi=1053760843","1053760843")</f>
        <v>1053760843</v>
      </c>
      <c r="D183" t="s">
        <v>23034</v>
      </c>
      <c r="E183" t="s">
        <v>17366</v>
      </c>
      <c r="F183">
        <v>2</v>
      </c>
      <c r="G183">
        <v>3</v>
      </c>
      <c r="H183">
        <v>0</v>
      </c>
      <c r="I183">
        <v>0</v>
      </c>
      <c r="J183" t="s">
        <v>23401</v>
      </c>
      <c r="K183" t="s">
        <v>18640</v>
      </c>
      <c r="L183" t="s">
        <v>18640</v>
      </c>
      <c r="M183">
        <v>3</v>
      </c>
      <c r="N183" t="s">
        <v>17367</v>
      </c>
      <c r="O183" t="s">
        <v>23391</v>
      </c>
    </row>
    <row r="184" spans="1:15" x14ac:dyDescent="0.25">
      <c r="A184" t="s">
        <v>4</v>
      </c>
      <c r="B184" t="s">
        <v>4111</v>
      </c>
      <c r="C184" s="18" t="str">
        <f>HYPERLINK("https://rhld.insurance.arkansas.gov/NPILookup?Npi=1063069326","1063069326")</f>
        <v>1063069326</v>
      </c>
      <c r="D184" t="s">
        <v>19376</v>
      </c>
      <c r="E184" t="s">
        <v>17368</v>
      </c>
      <c r="F184">
        <v>1</v>
      </c>
      <c r="G184">
        <v>3</v>
      </c>
      <c r="H184">
        <v>0</v>
      </c>
      <c r="I184">
        <v>0</v>
      </c>
      <c r="J184" t="s">
        <v>23402</v>
      </c>
      <c r="K184" t="s">
        <v>18640</v>
      </c>
      <c r="L184" t="s">
        <v>18640</v>
      </c>
      <c r="M184">
        <v>3</v>
      </c>
      <c r="N184" t="s">
        <v>17367</v>
      </c>
      <c r="O184" t="s">
        <v>23391</v>
      </c>
    </row>
    <row r="185" spans="1:15" x14ac:dyDescent="0.25">
      <c r="A185" t="s">
        <v>4</v>
      </c>
      <c r="B185" t="s">
        <v>4111</v>
      </c>
      <c r="C185" s="18" t="str">
        <f>HYPERLINK("https://rhld.insurance.arkansas.gov/NPILookup?Npi=1063118404","1063118404")</f>
        <v>1063118404</v>
      </c>
      <c r="D185" t="s">
        <v>23035</v>
      </c>
      <c r="E185" t="s">
        <v>17366</v>
      </c>
      <c r="F185">
        <v>1</v>
      </c>
      <c r="G185">
        <v>2</v>
      </c>
      <c r="H185">
        <v>0</v>
      </c>
      <c r="I185">
        <v>0</v>
      </c>
      <c r="J185" t="s">
        <v>21420</v>
      </c>
      <c r="K185" t="s">
        <v>18640</v>
      </c>
      <c r="L185" t="s">
        <v>18640</v>
      </c>
      <c r="M185">
        <v>2</v>
      </c>
      <c r="N185" t="s">
        <v>17367</v>
      </c>
      <c r="O185" t="s">
        <v>23391</v>
      </c>
    </row>
    <row r="186" spans="1:15" x14ac:dyDescent="0.25">
      <c r="A186" t="s">
        <v>4</v>
      </c>
      <c r="B186" t="s">
        <v>4111</v>
      </c>
      <c r="C186" s="18" t="str">
        <f>HYPERLINK("https://rhld.insurance.arkansas.gov/NPILookup?Npi=1073019873","1073019873")</f>
        <v>1073019873</v>
      </c>
      <c r="D186" t="s">
        <v>5692</v>
      </c>
      <c r="E186" t="s">
        <v>17366</v>
      </c>
      <c r="F186">
        <v>2</v>
      </c>
      <c r="G186">
        <v>3</v>
      </c>
      <c r="H186">
        <v>0</v>
      </c>
      <c r="I186">
        <v>0</v>
      </c>
      <c r="J186" t="s">
        <v>23401</v>
      </c>
      <c r="K186" t="s">
        <v>18640</v>
      </c>
      <c r="L186" t="s">
        <v>18640</v>
      </c>
      <c r="M186">
        <v>3</v>
      </c>
      <c r="N186" t="s">
        <v>17367</v>
      </c>
      <c r="O186" t="s">
        <v>23391</v>
      </c>
    </row>
    <row r="187" spans="1:15" x14ac:dyDescent="0.25">
      <c r="A187" t="s">
        <v>4</v>
      </c>
      <c r="B187" t="s">
        <v>4111</v>
      </c>
      <c r="C187" s="18" t="str">
        <f>HYPERLINK("https://rhld.insurance.arkansas.gov/NPILookup?Npi=1073253225","1073253225")</f>
        <v>1073253225</v>
      </c>
      <c r="D187" t="s">
        <v>22583</v>
      </c>
      <c r="E187" t="s">
        <v>17366</v>
      </c>
      <c r="F187">
        <v>1</v>
      </c>
      <c r="G187">
        <v>3</v>
      </c>
      <c r="H187">
        <v>0</v>
      </c>
      <c r="I187">
        <v>0</v>
      </c>
      <c r="J187" t="s">
        <v>23390</v>
      </c>
      <c r="K187" t="s">
        <v>18640</v>
      </c>
      <c r="L187" t="s">
        <v>18640</v>
      </c>
      <c r="M187">
        <v>3</v>
      </c>
      <c r="N187" t="s">
        <v>17367</v>
      </c>
      <c r="O187" t="s">
        <v>23391</v>
      </c>
    </row>
    <row r="188" spans="1:15" x14ac:dyDescent="0.25">
      <c r="A188" t="s">
        <v>4</v>
      </c>
      <c r="B188" t="s">
        <v>4111</v>
      </c>
      <c r="C188" s="18" t="str">
        <f>HYPERLINK("https://rhld.insurance.arkansas.gov/NPILookup?Npi=1083224364","1083224364")</f>
        <v>1083224364</v>
      </c>
      <c r="D188" t="s">
        <v>23037</v>
      </c>
      <c r="E188" t="s">
        <v>17366</v>
      </c>
      <c r="F188">
        <v>1</v>
      </c>
      <c r="G188">
        <v>3</v>
      </c>
      <c r="H188">
        <v>0</v>
      </c>
      <c r="I188">
        <v>0</v>
      </c>
      <c r="J188" t="s">
        <v>23390</v>
      </c>
      <c r="K188" t="s">
        <v>18640</v>
      </c>
      <c r="L188" t="s">
        <v>18640</v>
      </c>
      <c r="M188">
        <v>3</v>
      </c>
      <c r="N188" t="s">
        <v>17367</v>
      </c>
      <c r="O188" t="s">
        <v>23391</v>
      </c>
    </row>
    <row r="189" spans="1:15" x14ac:dyDescent="0.25">
      <c r="A189" t="s">
        <v>4</v>
      </c>
      <c r="B189" t="s">
        <v>4111</v>
      </c>
      <c r="C189" s="18" t="str">
        <f>HYPERLINK("https://rhld.insurance.arkansas.gov/NPILookup?Npi=1083319750","1083319750")</f>
        <v>1083319750</v>
      </c>
      <c r="D189" t="s">
        <v>23038</v>
      </c>
      <c r="E189" t="s">
        <v>17366</v>
      </c>
      <c r="F189">
        <v>1</v>
      </c>
      <c r="G189">
        <v>3</v>
      </c>
      <c r="H189">
        <v>0</v>
      </c>
      <c r="I189">
        <v>0</v>
      </c>
      <c r="J189" t="s">
        <v>21420</v>
      </c>
      <c r="K189" t="s">
        <v>18640</v>
      </c>
      <c r="L189" t="s">
        <v>18640</v>
      </c>
      <c r="M189">
        <v>3</v>
      </c>
      <c r="N189" t="s">
        <v>17367</v>
      </c>
      <c r="O189" t="s">
        <v>23391</v>
      </c>
    </row>
    <row r="190" spans="1:15" x14ac:dyDescent="0.25">
      <c r="A190" t="s">
        <v>4</v>
      </c>
      <c r="B190" t="s">
        <v>4111</v>
      </c>
      <c r="C190" s="18" t="str">
        <f>HYPERLINK("https://rhld.insurance.arkansas.gov/NPILookup?Npi=1083480297","1083480297")</f>
        <v>1083480297</v>
      </c>
      <c r="D190" t="s">
        <v>23039</v>
      </c>
      <c r="E190" t="s">
        <v>17366</v>
      </c>
      <c r="F190">
        <v>1</v>
      </c>
      <c r="G190">
        <v>3</v>
      </c>
      <c r="H190">
        <v>0</v>
      </c>
      <c r="I190">
        <v>0</v>
      </c>
      <c r="J190" t="s">
        <v>21420</v>
      </c>
      <c r="K190" t="s">
        <v>18640</v>
      </c>
      <c r="L190" t="s">
        <v>18640</v>
      </c>
      <c r="M190">
        <v>3</v>
      </c>
      <c r="N190" t="s">
        <v>17367</v>
      </c>
      <c r="O190" t="s">
        <v>23391</v>
      </c>
    </row>
    <row r="191" spans="1:15" x14ac:dyDescent="0.25">
      <c r="A191" t="s">
        <v>4</v>
      </c>
      <c r="B191" t="s">
        <v>4111</v>
      </c>
      <c r="C191" s="18" t="str">
        <f>HYPERLINK("https://rhld.insurance.arkansas.gov/NPILookup?Npi=1093322927","1093322927")</f>
        <v>1093322927</v>
      </c>
      <c r="D191" t="s">
        <v>23040</v>
      </c>
      <c r="E191" t="s">
        <v>17366</v>
      </c>
      <c r="F191">
        <v>1</v>
      </c>
      <c r="G191">
        <v>3</v>
      </c>
      <c r="H191">
        <v>0</v>
      </c>
      <c r="I191">
        <v>0</v>
      </c>
      <c r="J191" t="s">
        <v>23390</v>
      </c>
      <c r="K191" t="s">
        <v>18640</v>
      </c>
      <c r="L191" t="s">
        <v>18640</v>
      </c>
      <c r="M191">
        <v>3</v>
      </c>
      <c r="N191" t="s">
        <v>17367</v>
      </c>
      <c r="O191" t="s">
        <v>23391</v>
      </c>
    </row>
    <row r="192" spans="1:15" x14ac:dyDescent="0.25">
      <c r="A192" t="s">
        <v>4</v>
      </c>
      <c r="B192" t="s">
        <v>4111</v>
      </c>
      <c r="C192" s="18" t="str">
        <f>HYPERLINK("https://rhld.insurance.arkansas.gov/NPILookup?Npi=1093367138","1093367138")</f>
        <v>1093367138</v>
      </c>
      <c r="D192" t="s">
        <v>23041</v>
      </c>
      <c r="E192" t="s">
        <v>17366</v>
      </c>
      <c r="F192">
        <v>1</v>
      </c>
      <c r="G192">
        <v>3</v>
      </c>
      <c r="H192">
        <v>0</v>
      </c>
      <c r="I192">
        <v>0</v>
      </c>
      <c r="J192" t="s">
        <v>21420</v>
      </c>
      <c r="K192" t="s">
        <v>18640</v>
      </c>
      <c r="L192" t="s">
        <v>18640</v>
      </c>
      <c r="M192">
        <v>3</v>
      </c>
      <c r="N192" t="s">
        <v>17367</v>
      </c>
      <c r="O192" t="s">
        <v>23391</v>
      </c>
    </row>
    <row r="193" spans="1:15" x14ac:dyDescent="0.25">
      <c r="A193" t="s">
        <v>4</v>
      </c>
      <c r="B193" t="s">
        <v>4111</v>
      </c>
      <c r="C193" s="18" t="str">
        <f>HYPERLINK("https://rhld.insurance.arkansas.gov/NPILookup?Npi=1104215557","1104215557")</f>
        <v>1104215557</v>
      </c>
      <c r="D193" t="s">
        <v>23043</v>
      </c>
      <c r="E193" t="s">
        <v>17366</v>
      </c>
      <c r="F193">
        <v>1</v>
      </c>
      <c r="G193">
        <v>3</v>
      </c>
      <c r="H193">
        <v>0</v>
      </c>
      <c r="I193">
        <v>0</v>
      </c>
      <c r="J193" t="s">
        <v>23390</v>
      </c>
      <c r="K193" t="s">
        <v>18640</v>
      </c>
      <c r="L193" t="s">
        <v>18640</v>
      </c>
      <c r="M193">
        <v>3</v>
      </c>
      <c r="N193" t="s">
        <v>17367</v>
      </c>
      <c r="O193" t="s">
        <v>23391</v>
      </c>
    </row>
    <row r="194" spans="1:15" x14ac:dyDescent="0.25">
      <c r="A194" t="s">
        <v>4</v>
      </c>
      <c r="B194" t="s">
        <v>4111</v>
      </c>
      <c r="C194" s="18" t="str">
        <f>HYPERLINK("https://rhld.insurance.arkansas.gov/NPILookup?Npi=1104478585","1104478585")</f>
        <v>1104478585</v>
      </c>
      <c r="D194" t="s">
        <v>14773</v>
      </c>
      <c r="E194" t="s">
        <v>17368</v>
      </c>
      <c r="F194">
        <v>1</v>
      </c>
      <c r="G194">
        <v>3</v>
      </c>
      <c r="H194">
        <v>0</v>
      </c>
      <c r="I194">
        <v>0</v>
      </c>
      <c r="J194" t="s">
        <v>23403</v>
      </c>
      <c r="K194" t="s">
        <v>18640</v>
      </c>
      <c r="L194" t="s">
        <v>18640</v>
      </c>
      <c r="M194">
        <v>3</v>
      </c>
      <c r="N194" t="s">
        <v>17367</v>
      </c>
      <c r="O194" t="s">
        <v>23391</v>
      </c>
    </row>
    <row r="195" spans="1:15" x14ac:dyDescent="0.25">
      <c r="A195" t="s">
        <v>4</v>
      </c>
      <c r="B195" t="s">
        <v>4111</v>
      </c>
      <c r="C195" s="18" t="str">
        <f>HYPERLINK("https://rhld.insurance.arkansas.gov/NPILookup?Npi=1104995547","1104995547")</f>
        <v>1104995547</v>
      </c>
      <c r="D195" t="s">
        <v>23044</v>
      </c>
      <c r="E195" t="s">
        <v>17366</v>
      </c>
      <c r="F195">
        <v>1</v>
      </c>
      <c r="G195">
        <v>2</v>
      </c>
      <c r="H195">
        <v>0</v>
      </c>
      <c r="I195">
        <v>0</v>
      </c>
      <c r="J195" t="s">
        <v>23390</v>
      </c>
      <c r="K195" t="s">
        <v>18640</v>
      </c>
      <c r="L195" t="s">
        <v>18640</v>
      </c>
      <c r="M195">
        <v>2</v>
      </c>
      <c r="N195" t="s">
        <v>17367</v>
      </c>
      <c r="O195" t="s">
        <v>23391</v>
      </c>
    </row>
    <row r="196" spans="1:15" x14ac:dyDescent="0.25">
      <c r="A196" t="s">
        <v>4</v>
      </c>
      <c r="B196" t="s">
        <v>4111</v>
      </c>
      <c r="C196" s="18" t="str">
        <f>HYPERLINK("https://rhld.insurance.arkansas.gov/NPILookup?Npi=1114627163","1114627163")</f>
        <v>1114627163</v>
      </c>
      <c r="D196" t="s">
        <v>23046</v>
      </c>
      <c r="E196" t="s">
        <v>17366</v>
      </c>
      <c r="F196">
        <v>1</v>
      </c>
      <c r="G196">
        <v>3</v>
      </c>
      <c r="H196">
        <v>0</v>
      </c>
      <c r="I196">
        <v>0</v>
      </c>
      <c r="J196" t="s">
        <v>21420</v>
      </c>
      <c r="K196" t="s">
        <v>18640</v>
      </c>
      <c r="L196" t="s">
        <v>18640</v>
      </c>
      <c r="M196">
        <v>3</v>
      </c>
      <c r="N196" t="s">
        <v>17367</v>
      </c>
      <c r="O196" t="s">
        <v>23391</v>
      </c>
    </row>
    <row r="197" spans="1:15" x14ac:dyDescent="0.25">
      <c r="A197" t="s">
        <v>4</v>
      </c>
      <c r="B197" t="s">
        <v>4111</v>
      </c>
      <c r="C197" s="18" t="str">
        <f>HYPERLINK("https://rhld.insurance.arkansas.gov/NPILookup?Npi=1124042833","1124042833")</f>
        <v>1124042833</v>
      </c>
      <c r="D197" t="s">
        <v>23047</v>
      </c>
      <c r="E197" t="s">
        <v>17366</v>
      </c>
      <c r="F197">
        <v>1</v>
      </c>
      <c r="G197">
        <v>3</v>
      </c>
      <c r="H197">
        <v>0</v>
      </c>
      <c r="I197">
        <v>0</v>
      </c>
      <c r="J197" t="s">
        <v>21420</v>
      </c>
      <c r="K197" t="s">
        <v>18640</v>
      </c>
      <c r="L197" t="s">
        <v>18640</v>
      </c>
      <c r="M197">
        <v>3</v>
      </c>
      <c r="N197" t="s">
        <v>17367</v>
      </c>
      <c r="O197" t="s">
        <v>23391</v>
      </c>
    </row>
    <row r="198" spans="1:15" x14ac:dyDescent="0.25">
      <c r="A198" t="s">
        <v>4</v>
      </c>
      <c r="B198" t="s">
        <v>4111</v>
      </c>
      <c r="C198" s="18" t="str">
        <f>HYPERLINK("https://rhld.insurance.arkansas.gov/NPILookup?Npi=1124705645","1124705645")</f>
        <v>1124705645</v>
      </c>
      <c r="D198" t="s">
        <v>23049</v>
      </c>
      <c r="E198" t="s">
        <v>17366</v>
      </c>
      <c r="F198">
        <v>1</v>
      </c>
      <c r="G198">
        <v>2</v>
      </c>
      <c r="H198">
        <v>0</v>
      </c>
      <c r="I198">
        <v>0</v>
      </c>
      <c r="J198" t="s">
        <v>23390</v>
      </c>
      <c r="K198" t="s">
        <v>18640</v>
      </c>
      <c r="L198" t="s">
        <v>18640</v>
      </c>
      <c r="M198">
        <v>2</v>
      </c>
      <c r="N198" t="s">
        <v>17367</v>
      </c>
      <c r="O198" t="s">
        <v>23391</v>
      </c>
    </row>
    <row r="199" spans="1:15" x14ac:dyDescent="0.25">
      <c r="A199" t="s">
        <v>4</v>
      </c>
      <c r="B199" t="s">
        <v>4111</v>
      </c>
      <c r="C199" s="18" t="str">
        <f>HYPERLINK("https://rhld.insurance.arkansas.gov/NPILookup?Npi=1124723515","1124723515")</f>
        <v>1124723515</v>
      </c>
      <c r="D199" t="s">
        <v>23050</v>
      </c>
      <c r="E199" t="s">
        <v>17366</v>
      </c>
      <c r="F199">
        <v>1</v>
      </c>
      <c r="G199">
        <v>2</v>
      </c>
      <c r="H199">
        <v>0</v>
      </c>
      <c r="I199">
        <v>0</v>
      </c>
      <c r="J199" t="s">
        <v>23390</v>
      </c>
      <c r="K199" t="s">
        <v>18640</v>
      </c>
      <c r="L199" t="s">
        <v>18640</v>
      </c>
      <c r="M199">
        <v>2</v>
      </c>
      <c r="N199" t="s">
        <v>17367</v>
      </c>
      <c r="O199" t="s">
        <v>23391</v>
      </c>
    </row>
    <row r="200" spans="1:15" x14ac:dyDescent="0.25">
      <c r="A200" t="s">
        <v>4</v>
      </c>
      <c r="B200" t="s">
        <v>4111</v>
      </c>
      <c r="C200" s="18" t="str">
        <f>HYPERLINK("https://rhld.insurance.arkansas.gov/NPILookup?Npi=1134410467","1134410467")</f>
        <v>1134410467</v>
      </c>
      <c r="D200" t="s">
        <v>23051</v>
      </c>
      <c r="E200" t="s">
        <v>17366</v>
      </c>
      <c r="F200">
        <v>1</v>
      </c>
      <c r="G200">
        <v>3</v>
      </c>
      <c r="H200">
        <v>0</v>
      </c>
      <c r="I200">
        <v>0</v>
      </c>
      <c r="J200" t="s">
        <v>21420</v>
      </c>
      <c r="K200" t="s">
        <v>18640</v>
      </c>
      <c r="L200" t="s">
        <v>18640</v>
      </c>
      <c r="M200">
        <v>3</v>
      </c>
      <c r="N200" t="s">
        <v>17367</v>
      </c>
      <c r="O200" t="s">
        <v>23391</v>
      </c>
    </row>
    <row r="201" spans="1:15" x14ac:dyDescent="0.25">
      <c r="A201" t="s">
        <v>4</v>
      </c>
      <c r="B201" t="s">
        <v>4111</v>
      </c>
      <c r="C201" s="18" t="str">
        <f>HYPERLINK("https://rhld.insurance.arkansas.gov/NPILookup?Npi=1134437676","1134437676")</f>
        <v>1134437676</v>
      </c>
      <c r="D201" t="s">
        <v>4357</v>
      </c>
      <c r="E201" t="s">
        <v>17368</v>
      </c>
      <c r="F201">
        <v>1</v>
      </c>
      <c r="G201">
        <v>1</v>
      </c>
      <c r="H201">
        <v>1</v>
      </c>
      <c r="I201">
        <v>0</v>
      </c>
      <c r="J201" t="s">
        <v>23404</v>
      </c>
      <c r="K201" t="s">
        <v>18640</v>
      </c>
      <c r="L201" t="s">
        <v>23405</v>
      </c>
      <c r="M201">
        <v>0</v>
      </c>
      <c r="N201" t="s">
        <v>17369</v>
      </c>
      <c r="O201" t="s">
        <v>21361</v>
      </c>
    </row>
    <row r="202" spans="1:15" x14ac:dyDescent="0.25">
      <c r="A202" t="s">
        <v>4</v>
      </c>
      <c r="B202" t="s">
        <v>4111</v>
      </c>
      <c r="C202" s="18" t="str">
        <f>HYPERLINK("https://rhld.insurance.arkansas.gov/NPILookup?Npi=1144346974","1144346974")</f>
        <v>1144346974</v>
      </c>
      <c r="D202" t="s">
        <v>23052</v>
      </c>
      <c r="E202" t="s">
        <v>17366</v>
      </c>
      <c r="F202">
        <v>1</v>
      </c>
      <c r="G202">
        <v>2</v>
      </c>
      <c r="H202">
        <v>0</v>
      </c>
      <c r="I202">
        <v>0</v>
      </c>
      <c r="J202" t="s">
        <v>21420</v>
      </c>
      <c r="K202" t="s">
        <v>18640</v>
      </c>
      <c r="L202" t="s">
        <v>18640</v>
      </c>
      <c r="M202">
        <v>2</v>
      </c>
      <c r="N202" t="s">
        <v>17367</v>
      </c>
      <c r="O202" t="s">
        <v>23391</v>
      </c>
    </row>
    <row r="203" spans="1:15" x14ac:dyDescent="0.25">
      <c r="A203" t="s">
        <v>4</v>
      </c>
      <c r="B203" t="s">
        <v>4111</v>
      </c>
      <c r="C203" s="18" t="str">
        <f>HYPERLINK("https://rhld.insurance.arkansas.gov/NPILookup?Npi=1144700725","1144700725")</f>
        <v>1144700725</v>
      </c>
      <c r="D203" t="s">
        <v>23053</v>
      </c>
      <c r="E203" t="s">
        <v>17366</v>
      </c>
      <c r="F203">
        <v>1</v>
      </c>
      <c r="G203">
        <v>3</v>
      </c>
      <c r="H203">
        <v>0</v>
      </c>
      <c r="I203">
        <v>0</v>
      </c>
      <c r="J203" t="s">
        <v>21420</v>
      </c>
      <c r="K203" t="s">
        <v>18640</v>
      </c>
      <c r="L203" t="s">
        <v>18640</v>
      </c>
      <c r="M203">
        <v>3</v>
      </c>
      <c r="N203" t="s">
        <v>17367</v>
      </c>
      <c r="O203" t="s">
        <v>23391</v>
      </c>
    </row>
    <row r="204" spans="1:15" x14ac:dyDescent="0.25">
      <c r="A204" t="s">
        <v>4</v>
      </c>
      <c r="B204" t="s">
        <v>4111</v>
      </c>
      <c r="C204" s="18" t="str">
        <f>HYPERLINK("https://rhld.insurance.arkansas.gov/NPILookup?Npi=1144848821","1144848821")</f>
        <v>1144848821</v>
      </c>
      <c r="D204" t="s">
        <v>22870</v>
      </c>
      <c r="E204" t="s">
        <v>17366</v>
      </c>
      <c r="F204">
        <v>1</v>
      </c>
      <c r="G204">
        <v>3</v>
      </c>
      <c r="H204">
        <v>0</v>
      </c>
      <c r="I204">
        <v>0</v>
      </c>
      <c r="J204" t="s">
        <v>21420</v>
      </c>
      <c r="K204" t="s">
        <v>18640</v>
      </c>
      <c r="L204" t="s">
        <v>18640</v>
      </c>
      <c r="M204">
        <v>3</v>
      </c>
      <c r="N204" t="s">
        <v>17367</v>
      </c>
      <c r="O204" t="s">
        <v>23391</v>
      </c>
    </row>
    <row r="205" spans="1:15" x14ac:dyDescent="0.25">
      <c r="A205" t="s">
        <v>4</v>
      </c>
      <c r="B205" t="s">
        <v>4111</v>
      </c>
      <c r="C205" s="18" t="str">
        <f>HYPERLINK("https://rhld.insurance.arkansas.gov/NPILookup?Npi=1154605897","1154605897")</f>
        <v>1154605897</v>
      </c>
      <c r="D205" t="s">
        <v>23055</v>
      </c>
      <c r="E205" t="s">
        <v>17366</v>
      </c>
      <c r="F205">
        <v>2</v>
      </c>
      <c r="G205">
        <v>3</v>
      </c>
      <c r="H205">
        <v>0</v>
      </c>
      <c r="I205">
        <v>0</v>
      </c>
      <c r="J205" t="s">
        <v>23401</v>
      </c>
      <c r="K205" t="s">
        <v>18640</v>
      </c>
      <c r="L205" t="s">
        <v>18640</v>
      </c>
      <c r="M205">
        <v>3</v>
      </c>
      <c r="N205" t="s">
        <v>17367</v>
      </c>
      <c r="O205" t="s">
        <v>23391</v>
      </c>
    </row>
    <row r="206" spans="1:15" x14ac:dyDescent="0.25">
      <c r="A206" t="s">
        <v>4</v>
      </c>
      <c r="B206" t="s">
        <v>4111</v>
      </c>
      <c r="C206" s="18" t="str">
        <f>HYPERLINK("https://rhld.insurance.arkansas.gov/NPILookup?Npi=1164590261","1164590261")</f>
        <v>1164590261</v>
      </c>
      <c r="D206" t="s">
        <v>23056</v>
      </c>
      <c r="E206" t="s">
        <v>17366</v>
      </c>
      <c r="F206">
        <v>1</v>
      </c>
      <c r="G206">
        <v>3</v>
      </c>
      <c r="H206">
        <v>0</v>
      </c>
      <c r="I206">
        <v>0</v>
      </c>
      <c r="J206" t="s">
        <v>21420</v>
      </c>
      <c r="K206" t="s">
        <v>18640</v>
      </c>
      <c r="L206" t="s">
        <v>18640</v>
      </c>
      <c r="M206">
        <v>3</v>
      </c>
      <c r="N206" t="s">
        <v>17367</v>
      </c>
      <c r="O206" t="s">
        <v>23391</v>
      </c>
    </row>
    <row r="207" spans="1:15" x14ac:dyDescent="0.25">
      <c r="A207" t="s">
        <v>4</v>
      </c>
      <c r="B207" t="s">
        <v>4111</v>
      </c>
      <c r="C207" s="18" t="str">
        <f>HYPERLINK("https://rhld.insurance.arkansas.gov/NPILookup?Npi=1164671913","1164671913")</f>
        <v>1164671913</v>
      </c>
      <c r="D207" t="s">
        <v>23058</v>
      </c>
      <c r="E207" t="s">
        <v>17366</v>
      </c>
      <c r="F207">
        <v>1</v>
      </c>
      <c r="G207">
        <v>3</v>
      </c>
      <c r="H207">
        <v>0</v>
      </c>
      <c r="I207">
        <v>0</v>
      </c>
      <c r="J207" t="s">
        <v>23390</v>
      </c>
      <c r="K207" t="s">
        <v>18640</v>
      </c>
      <c r="L207" t="s">
        <v>18640</v>
      </c>
      <c r="M207">
        <v>3</v>
      </c>
      <c r="N207" t="s">
        <v>17367</v>
      </c>
      <c r="O207" t="s">
        <v>23391</v>
      </c>
    </row>
    <row r="208" spans="1:15" x14ac:dyDescent="0.25">
      <c r="A208" t="s">
        <v>4</v>
      </c>
      <c r="B208" t="s">
        <v>4111</v>
      </c>
      <c r="C208" s="18" t="str">
        <f>HYPERLINK("https://rhld.insurance.arkansas.gov/NPILookup?Npi=1164838660","1164838660")</f>
        <v>1164838660</v>
      </c>
      <c r="D208" t="s">
        <v>23059</v>
      </c>
      <c r="E208" t="s">
        <v>17366</v>
      </c>
      <c r="F208">
        <v>1</v>
      </c>
      <c r="G208">
        <v>3</v>
      </c>
      <c r="H208">
        <v>0</v>
      </c>
      <c r="I208">
        <v>0</v>
      </c>
      <c r="J208" t="s">
        <v>21420</v>
      </c>
      <c r="K208" t="s">
        <v>18640</v>
      </c>
      <c r="L208" t="s">
        <v>18640</v>
      </c>
      <c r="M208">
        <v>3</v>
      </c>
      <c r="N208" t="s">
        <v>17367</v>
      </c>
      <c r="O208" t="s">
        <v>23391</v>
      </c>
    </row>
    <row r="209" spans="1:15" x14ac:dyDescent="0.25">
      <c r="A209" t="s">
        <v>4</v>
      </c>
      <c r="B209" t="s">
        <v>4111</v>
      </c>
      <c r="C209" s="18" t="str">
        <f>HYPERLINK("https://rhld.insurance.arkansas.gov/NPILookup?Npi=1174216907","1174216907")</f>
        <v>1174216907</v>
      </c>
      <c r="D209" t="s">
        <v>23060</v>
      </c>
      <c r="E209" t="s">
        <v>17366</v>
      </c>
      <c r="F209">
        <v>1</v>
      </c>
      <c r="G209">
        <v>3</v>
      </c>
      <c r="H209">
        <v>0</v>
      </c>
      <c r="I209">
        <v>0</v>
      </c>
      <c r="J209" t="s">
        <v>21420</v>
      </c>
      <c r="K209" t="s">
        <v>18640</v>
      </c>
      <c r="L209" t="s">
        <v>18640</v>
      </c>
      <c r="M209">
        <v>3</v>
      </c>
      <c r="N209" t="s">
        <v>17367</v>
      </c>
      <c r="O209" t="s">
        <v>23391</v>
      </c>
    </row>
    <row r="210" spans="1:15" x14ac:dyDescent="0.25">
      <c r="A210" t="s">
        <v>4</v>
      </c>
      <c r="B210" t="s">
        <v>4111</v>
      </c>
      <c r="C210" s="18" t="str">
        <f>HYPERLINK("https://rhld.insurance.arkansas.gov/NPILookup?Npi=1184287815","1184287815")</f>
        <v>1184287815</v>
      </c>
      <c r="D210" t="s">
        <v>23061</v>
      </c>
      <c r="E210" t="s">
        <v>17366</v>
      </c>
      <c r="F210">
        <v>2</v>
      </c>
      <c r="G210">
        <v>3</v>
      </c>
      <c r="H210">
        <v>0</v>
      </c>
      <c r="I210">
        <v>0</v>
      </c>
      <c r="J210" t="s">
        <v>23401</v>
      </c>
      <c r="K210" t="s">
        <v>18640</v>
      </c>
      <c r="L210" t="s">
        <v>18640</v>
      </c>
      <c r="M210">
        <v>3</v>
      </c>
      <c r="N210" t="s">
        <v>17367</v>
      </c>
      <c r="O210" t="s">
        <v>23391</v>
      </c>
    </row>
    <row r="211" spans="1:15" x14ac:dyDescent="0.25">
      <c r="A211" t="s">
        <v>4</v>
      </c>
      <c r="B211" t="s">
        <v>4111</v>
      </c>
      <c r="C211" s="18" t="str">
        <f>HYPERLINK("https://rhld.insurance.arkansas.gov/NPILookup?Npi=1184303992","1184303992")</f>
        <v>1184303992</v>
      </c>
      <c r="D211" t="s">
        <v>23063</v>
      </c>
      <c r="E211" t="s">
        <v>17366</v>
      </c>
      <c r="F211">
        <v>2</v>
      </c>
      <c r="G211">
        <v>3</v>
      </c>
      <c r="H211">
        <v>0</v>
      </c>
      <c r="I211">
        <v>0</v>
      </c>
      <c r="J211" t="s">
        <v>23401</v>
      </c>
      <c r="K211" t="s">
        <v>18640</v>
      </c>
      <c r="L211" t="s">
        <v>18640</v>
      </c>
      <c r="M211">
        <v>3</v>
      </c>
      <c r="N211" t="s">
        <v>17367</v>
      </c>
      <c r="O211" t="s">
        <v>23391</v>
      </c>
    </row>
    <row r="212" spans="1:15" x14ac:dyDescent="0.25">
      <c r="A212" t="s">
        <v>4</v>
      </c>
      <c r="B212" t="s">
        <v>4111</v>
      </c>
      <c r="C212" s="18" t="str">
        <f>HYPERLINK("https://rhld.insurance.arkansas.gov/NPILookup?Npi=1184828303","1184828303")</f>
        <v>1184828303</v>
      </c>
      <c r="D212" t="s">
        <v>23064</v>
      </c>
      <c r="E212" t="s">
        <v>17366</v>
      </c>
      <c r="F212">
        <v>1</v>
      </c>
      <c r="G212">
        <v>3</v>
      </c>
      <c r="H212">
        <v>0</v>
      </c>
      <c r="I212">
        <v>0</v>
      </c>
      <c r="J212" t="s">
        <v>23390</v>
      </c>
      <c r="K212" t="s">
        <v>18640</v>
      </c>
      <c r="L212" t="s">
        <v>18640</v>
      </c>
      <c r="M212">
        <v>3</v>
      </c>
      <c r="N212" t="s">
        <v>17367</v>
      </c>
      <c r="O212" t="s">
        <v>23391</v>
      </c>
    </row>
    <row r="213" spans="1:15" x14ac:dyDescent="0.25">
      <c r="A213" t="s">
        <v>4</v>
      </c>
      <c r="B213" t="s">
        <v>4111</v>
      </c>
      <c r="C213" s="18" t="str">
        <f>HYPERLINK("https://rhld.insurance.arkansas.gov/NPILookup?Npi=1194119016","1194119016")</f>
        <v>1194119016</v>
      </c>
      <c r="D213" t="s">
        <v>23065</v>
      </c>
      <c r="E213" t="s">
        <v>17366</v>
      </c>
      <c r="F213">
        <v>1</v>
      </c>
      <c r="G213">
        <v>3</v>
      </c>
      <c r="H213">
        <v>0</v>
      </c>
      <c r="I213">
        <v>0</v>
      </c>
      <c r="J213" t="s">
        <v>21420</v>
      </c>
      <c r="K213" t="s">
        <v>18640</v>
      </c>
      <c r="L213" t="s">
        <v>18640</v>
      </c>
      <c r="M213">
        <v>3</v>
      </c>
      <c r="N213" t="s">
        <v>17367</v>
      </c>
      <c r="O213" t="s">
        <v>23391</v>
      </c>
    </row>
    <row r="214" spans="1:15" x14ac:dyDescent="0.25">
      <c r="A214" t="s">
        <v>4</v>
      </c>
      <c r="B214" t="s">
        <v>4111</v>
      </c>
      <c r="C214" s="18" t="str">
        <f>HYPERLINK("https://rhld.insurance.arkansas.gov/NPILookup?Npi=1194400663","1194400663")</f>
        <v>1194400663</v>
      </c>
      <c r="D214" t="s">
        <v>23066</v>
      </c>
      <c r="E214" t="s">
        <v>17366</v>
      </c>
      <c r="F214">
        <v>2</v>
      </c>
      <c r="G214">
        <v>3</v>
      </c>
      <c r="H214">
        <v>0</v>
      </c>
      <c r="I214">
        <v>0</v>
      </c>
      <c r="J214" t="s">
        <v>23401</v>
      </c>
      <c r="K214" t="s">
        <v>18640</v>
      </c>
      <c r="L214" t="s">
        <v>18640</v>
      </c>
      <c r="M214">
        <v>3</v>
      </c>
      <c r="N214" t="s">
        <v>17367</v>
      </c>
      <c r="O214" t="s">
        <v>23391</v>
      </c>
    </row>
    <row r="215" spans="1:15" x14ac:dyDescent="0.25">
      <c r="A215" t="s">
        <v>4</v>
      </c>
      <c r="B215" t="s">
        <v>4111</v>
      </c>
      <c r="C215" s="18" t="str">
        <f>HYPERLINK("https://rhld.insurance.arkansas.gov/NPILookup?Npi=1194756270","1194756270")</f>
        <v>1194756270</v>
      </c>
      <c r="D215" t="s">
        <v>23067</v>
      </c>
      <c r="E215" t="s">
        <v>17366</v>
      </c>
      <c r="F215">
        <v>1</v>
      </c>
      <c r="G215">
        <v>2</v>
      </c>
      <c r="H215">
        <v>0</v>
      </c>
      <c r="I215">
        <v>0</v>
      </c>
      <c r="J215" t="s">
        <v>21420</v>
      </c>
      <c r="K215" t="s">
        <v>18640</v>
      </c>
      <c r="L215" t="s">
        <v>18640</v>
      </c>
      <c r="M215">
        <v>2</v>
      </c>
      <c r="N215" t="s">
        <v>17367</v>
      </c>
      <c r="O215" t="s">
        <v>23391</v>
      </c>
    </row>
    <row r="216" spans="1:15" x14ac:dyDescent="0.25">
      <c r="A216" t="s">
        <v>4</v>
      </c>
      <c r="B216" t="s">
        <v>4111</v>
      </c>
      <c r="C216" s="18" t="str">
        <f>HYPERLINK("https://rhld.insurance.arkansas.gov/NPILookup?Npi=1194923532","1194923532")</f>
        <v>1194923532</v>
      </c>
      <c r="D216" t="s">
        <v>22871</v>
      </c>
      <c r="E216" t="s">
        <v>17366</v>
      </c>
      <c r="F216">
        <v>1</v>
      </c>
      <c r="G216">
        <v>3</v>
      </c>
      <c r="H216">
        <v>0</v>
      </c>
      <c r="I216">
        <v>0</v>
      </c>
      <c r="J216" t="s">
        <v>21420</v>
      </c>
      <c r="K216" t="s">
        <v>18640</v>
      </c>
      <c r="L216" t="s">
        <v>18640</v>
      </c>
      <c r="M216">
        <v>3</v>
      </c>
      <c r="N216" t="s">
        <v>17367</v>
      </c>
      <c r="O216" t="s">
        <v>23391</v>
      </c>
    </row>
    <row r="217" spans="1:15" x14ac:dyDescent="0.25">
      <c r="A217" t="s">
        <v>4</v>
      </c>
      <c r="B217" t="s">
        <v>4111</v>
      </c>
      <c r="C217" s="18" t="str">
        <f>HYPERLINK("https://rhld.insurance.arkansas.gov/NPILookup?Npi=1205290319","1205290319")</f>
        <v>1205290319</v>
      </c>
      <c r="D217" t="s">
        <v>23068</v>
      </c>
      <c r="E217" t="s">
        <v>17366</v>
      </c>
      <c r="F217">
        <v>1</v>
      </c>
      <c r="G217">
        <v>3</v>
      </c>
      <c r="H217">
        <v>0</v>
      </c>
      <c r="I217">
        <v>0</v>
      </c>
      <c r="J217" t="s">
        <v>23390</v>
      </c>
      <c r="K217" t="s">
        <v>18640</v>
      </c>
      <c r="L217" t="s">
        <v>18640</v>
      </c>
      <c r="M217">
        <v>3</v>
      </c>
      <c r="N217" t="s">
        <v>17367</v>
      </c>
      <c r="O217" t="s">
        <v>23391</v>
      </c>
    </row>
    <row r="218" spans="1:15" x14ac:dyDescent="0.25">
      <c r="A218" t="s">
        <v>4</v>
      </c>
      <c r="B218" t="s">
        <v>4111</v>
      </c>
      <c r="C218" s="18" t="str">
        <f>HYPERLINK("https://rhld.insurance.arkansas.gov/NPILookup?Npi=1205434123","1205434123")</f>
        <v>1205434123</v>
      </c>
      <c r="D218" t="s">
        <v>23069</v>
      </c>
      <c r="E218" t="s">
        <v>17366</v>
      </c>
      <c r="F218">
        <v>1</v>
      </c>
      <c r="G218">
        <v>2</v>
      </c>
      <c r="H218">
        <v>0</v>
      </c>
      <c r="I218">
        <v>0</v>
      </c>
      <c r="J218" t="s">
        <v>21420</v>
      </c>
      <c r="K218" t="s">
        <v>18640</v>
      </c>
      <c r="L218" t="s">
        <v>18640</v>
      </c>
      <c r="M218">
        <v>2</v>
      </c>
      <c r="N218" t="s">
        <v>17367</v>
      </c>
      <c r="O218" t="s">
        <v>23391</v>
      </c>
    </row>
    <row r="219" spans="1:15" x14ac:dyDescent="0.25">
      <c r="A219" t="s">
        <v>4</v>
      </c>
      <c r="B219" t="s">
        <v>4111</v>
      </c>
      <c r="C219" s="18" t="str">
        <f>HYPERLINK("https://rhld.insurance.arkansas.gov/NPILookup?Npi=1235750399","1235750399")</f>
        <v>1235750399</v>
      </c>
      <c r="D219" t="s">
        <v>23070</v>
      </c>
      <c r="E219" t="s">
        <v>17366</v>
      </c>
      <c r="F219">
        <v>1</v>
      </c>
      <c r="G219">
        <v>3</v>
      </c>
      <c r="H219">
        <v>0</v>
      </c>
      <c r="I219">
        <v>0</v>
      </c>
      <c r="J219" t="s">
        <v>21420</v>
      </c>
      <c r="K219" t="s">
        <v>18640</v>
      </c>
      <c r="L219" t="s">
        <v>18640</v>
      </c>
      <c r="M219">
        <v>3</v>
      </c>
      <c r="N219" t="s">
        <v>17367</v>
      </c>
      <c r="O219" t="s">
        <v>23391</v>
      </c>
    </row>
    <row r="220" spans="1:15" x14ac:dyDescent="0.25">
      <c r="A220" t="s">
        <v>4</v>
      </c>
      <c r="B220" t="s">
        <v>4111</v>
      </c>
      <c r="C220" s="18" t="str">
        <f>HYPERLINK("https://rhld.insurance.arkansas.gov/NPILookup?Npi=1245954197","1245954197")</f>
        <v>1245954197</v>
      </c>
      <c r="D220" t="s">
        <v>23071</v>
      </c>
      <c r="E220" t="s">
        <v>17366</v>
      </c>
      <c r="F220">
        <v>1</v>
      </c>
      <c r="G220">
        <v>2</v>
      </c>
      <c r="H220">
        <v>0</v>
      </c>
      <c r="I220">
        <v>0</v>
      </c>
      <c r="J220" t="s">
        <v>23390</v>
      </c>
      <c r="K220" t="s">
        <v>18640</v>
      </c>
      <c r="L220" t="s">
        <v>18640</v>
      </c>
      <c r="M220">
        <v>2</v>
      </c>
      <c r="N220" t="s">
        <v>17367</v>
      </c>
      <c r="O220" t="s">
        <v>23391</v>
      </c>
    </row>
    <row r="221" spans="1:15" x14ac:dyDescent="0.25">
      <c r="A221" t="s">
        <v>4</v>
      </c>
      <c r="B221" t="s">
        <v>4111</v>
      </c>
      <c r="C221" s="18" t="str">
        <f>HYPERLINK("https://rhld.insurance.arkansas.gov/NPILookup?Npi=1265420830","1265420830")</f>
        <v>1265420830</v>
      </c>
      <c r="D221" t="s">
        <v>23072</v>
      </c>
      <c r="E221" t="s">
        <v>17366</v>
      </c>
      <c r="F221">
        <v>1</v>
      </c>
      <c r="G221">
        <v>2</v>
      </c>
      <c r="H221">
        <v>0</v>
      </c>
      <c r="I221">
        <v>0</v>
      </c>
      <c r="J221" t="s">
        <v>21420</v>
      </c>
      <c r="K221" t="s">
        <v>18640</v>
      </c>
      <c r="L221" t="s">
        <v>18640</v>
      </c>
      <c r="M221">
        <v>2</v>
      </c>
      <c r="N221" t="s">
        <v>17367</v>
      </c>
      <c r="O221" t="s">
        <v>23391</v>
      </c>
    </row>
    <row r="222" spans="1:15" x14ac:dyDescent="0.25">
      <c r="A222" t="s">
        <v>4</v>
      </c>
      <c r="B222" t="s">
        <v>4111</v>
      </c>
      <c r="C222" s="18" t="str">
        <f>HYPERLINK("https://rhld.insurance.arkansas.gov/NPILookup?Npi=1265848063","1265848063")</f>
        <v>1265848063</v>
      </c>
      <c r="D222" t="s">
        <v>23073</v>
      </c>
      <c r="E222" t="s">
        <v>17366</v>
      </c>
      <c r="F222">
        <v>1</v>
      </c>
      <c r="G222">
        <v>3</v>
      </c>
      <c r="H222">
        <v>0</v>
      </c>
      <c r="I222">
        <v>0</v>
      </c>
      <c r="J222" t="s">
        <v>23390</v>
      </c>
      <c r="K222" t="s">
        <v>18640</v>
      </c>
      <c r="L222" t="s">
        <v>18640</v>
      </c>
      <c r="M222">
        <v>3</v>
      </c>
      <c r="N222" t="s">
        <v>17367</v>
      </c>
      <c r="O222" t="s">
        <v>23391</v>
      </c>
    </row>
    <row r="223" spans="1:15" x14ac:dyDescent="0.25">
      <c r="A223" t="s">
        <v>4</v>
      </c>
      <c r="B223" t="s">
        <v>4111</v>
      </c>
      <c r="C223" s="18" t="str">
        <f>HYPERLINK("https://rhld.insurance.arkansas.gov/NPILookup?Npi=1295182012","1295182012")</f>
        <v>1295182012</v>
      </c>
      <c r="D223" t="s">
        <v>23074</v>
      </c>
      <c r="E223" t="s">
        <v>17366</v>
      </c>
      <c r="F223">
        <v>1</v>
      </c>
      <c r="G223">
        <v>3</v>
      </c>
      <c r="H223">
        <v>0</v>
      </c>
      <c r="I223">
        <v>0</v>
      </c>
      <c r="J223" t="s">
        <v>23390</v>
      </c>
      <c r="K223" t="s">
        <v>18640</v>
      </c>
      <c r="L223" t="s">
        <v>18640</v>
      </c>
      <c r="M223">
        <v>3</v>
      </c>
      <c r="N223" t="s">
        <v>17367</v>
      </c>
      <c r="O223" t="s">
        <v>23391</v>
      </c>
    </row>
    <row r="224" spans="1:15" x14ac:dyDescent="0.25">
      <c r="A224" t="s">
        <v>4</v>
      </c>
      <c r="B224" t="s">
        <v>4111</v>
      </c>
      <c r="C224" s="18" t="str">
        <f>HYPERLINK("https://rhld.insurance.arkansas.gov/NPILookup?Npi=1306476676","1306476676")</f>
        <v>1306476676</v>
      </c>
      <c r="D224" t="s">
        <v>17414</v>
      </c>
      <c r="E224" t="s">
        <v>17368</v>
      </c>
      <c r="F224">
        <v>1</v>
      </c>
      <c r="G224">
        <v>3</v>
      </c>
      <c r="H224">
        <v>0</v>
      </c>
      <c r="I224">
        <v>0</v>
      </c>
      <c r="J224" t="s">
        <v>23406</v>
      </c>
      <c r="K224" t="s">
        <v>18640</v>
      </c>
      <c r="L224" t="s">
        <v>18640</v>
      </c>
      <c r="M224">
        <v>3</v>
      </c>
      <c r="N224" t="s">
        <v>17367</v>
      </c>
      <c r="O224" t="s">
        <v>23391</v>
      </c>
    </row>
    <row r="225" spans="1:15" x14ac:dyDescent="0.25">
      <c r="A225" t="s">
        <v>4</v>
      </c>
      <c r="B225" t="s">
        <v>4111</v>
      </c>
      <c r="C225" s="18" t="str">
        <f>HYPERLINK("https://rhld.insurance.arkansas.gov/NPILookup?Npi=1306593199","1306593199")</f>
        <v>1306593199</v>
      </c>
      <c r="D225" t="s">
        <v>23075</v>
      </c>
      <c r="E225" t="s">
        <v>17366</v>
      </c>
      <c r="F225">
        <v>1</v>
      </c>
      <c r="G225">
        <v>2</v>
      </c>
      <c r="H225">
        <v>0</v>
      </c>
      <c r="I225">
        <v>0</v>
      </c>
      <c r="J225" t="s">
        <v>21420</v>
      </c>
      <c r="K225" t="s">
        <v>18640</v>
      </c>
      <c r="L225" t="s">
        <v>18640</v>
      </c>
      <c r="M225">
        <v>2</v>
      </c>
      <c r="N225" t="s">
        <v>17367</v>
      </c>
      <c r="O225" t="s">
        <v>23391</v>
      </c>
    </row>
    <row r="226" spans="1:15" x14ac:dyDescent="0.25">
      <c r="A226" t="s">
        <v>4</v>
      </c>
      <c r="B226" t="s">
        <v>4111</v>
      </c>
      <c r="C226" s="18" t="str">
        <f>HYPERLINK("https://rhld.insurance.arkansas.gov/NPILookup?Npi=1316312267","1316312267")</f>
        <v>1316312267</v>
      </c>
      <c r="D226" t="s">
        <v>23076</v>
      </c>
      <c r="E226" t="s">
        <v>17366</v>
      </c>
      <c r="F226">
        <v>1</v>
      </c>
      <c r="G226">
        <v>2</v>
      </c>
      <c r="H226">
        <v>0</v>
      </c>
      <c r="I226">
        <v>0</v>
      </c>
      <c r="J226" t="s">
        <v>21420</v>
      </c>
      <c r="K226" t="s">
        <v>18640</v>
      </c>
      <c r="L226" t="s">
        <v>18640</v>
      </c>
      <c r="M226">
        <v>2</v>
      </c>
      <c r="N226" t="s">
        <v>17367</v>
      </c>
      <c r="O226" t="s">
        <v>23391</v>
      </c>
    </row>
    <row r="227" spans="1:15" x14ac:dyDescent="0.25">
      <c r="A227" t="s">
        <v>4</v>
      </c>
      <c r="B227" t="s">
        <v>4111</v>
      </c>
      <c r="C227" s="18" t="str">
        <f>HYPERLINK("https://rhld.insurance.arkansas.gov/NPILookup?Npi=1316409733","1316409733")</f>
        <v>1316409733</v>
      </c>
      <c r="D227" t="s">
        <v>23077</v>
      </c>
      <c r="E227" t="s">
        <v>17366</v>
      </c>
      <c r="F227">
        <v>2</v>
      </c>
      <c r="G227">
        <v>3</v>
      </c>
      <c r="H227">
        <v>0</v>
      </c>
      <c r="I227">
        <v>0</v>
      </c>
      <c r="J227" t="s">
        <v>23401</v>
      </c>
      <c r="K227" t="s">
        <v>18640</v>
      </c>
      <c r="L227" t="s">
        <v>18640</v>
      </c>
      <c r="M227">
        <v>3</v>
      </c>
      <c r="N227" t="s">
        <v>17367</v>
      </c>
      <c r="O227" t="s">
        <v>23391</v>
      </c>
    </row>
    <row r="228" spans="1:15" x14ac:dyDescent="0.25">
      <c r="A228" t="s">
        <v>4</v>
      </c>
      <c r="B228" t="s">
        <v>4111</v>
      </c>
      <c r="C228" s="18" t="str">
        <f>HYPERLINK("https://rhld.insurance.arkansas.gov/NPILookup?Npi=1316624455","1316624455")</f>
        <v>1316624455</v>
      </c>
      <c r="D228" t="s">
        <v>23078</v>
      </c>
      <c r="E228" t="s">
        <v>17366</v>
      </c>
      <c r="F228">
        <v>1</v>
      </c>
      <c r="G228">
        <v>3</v>
      </c>
      <c r="H228">
        <v>0</v>
      </c>
      <c r="I228">
        <v>0</v>
      </c>
      <c r="J228" t="s">
        <v>21420</v>
      </c>
      <c r="K228" t="s">
        <v>18640</v>
      </c>
      <c r="L228" t="s">
        <v>18640</v>
      </c>
      <c r="M228">
        <v>3</v>
      </c>
      <c r="N228" t="s">
        <v>17367</v>
      </c>
      <c r="O228" t="s">
        <v>23391</v>
      </c>
    </row>
    <row r="229" spans="1:15" x14ac:dyDescent="0.25">
      <c r="A229" t="s">
        <v>4</v>
      </c>
      <c r="B229" t="s">
        <v>4111</v>
      </c>
      <c r="C229" s="18" t="str">
        <f>HYPERLINK("https://rhld.insurance.arkansas.gov/NPILookup?Npi=1316678949","1316678949")</f>
        <v>1316678949</v>
      </c>
      <c r="D229" t="s">
        <v>23079</v>
      </c>
      <c r="E229" t="s">
        <v>17366</v>
      </c>
      <c r="F229">
        <v>1</v>
      </c>
      <c r="G229">
        <v>2</v>
      </c>
      <c r="H229">
        <v>0</v>
      </c>
      <c r="I229">
        <v>0</v>
      </c>
      <c r="J229" t="s">
        <v>23390</v>
      </c>
      <c r="K229" t="s">
        <v>18640</v>
      </c>
      <c r="L229" t="s">
        <v>18640</v>
      </c>
      <c r="M229">
        <v>2</v>
      </c>
      <c r="N229" t="s">
        <v>17367</v>
      </c>
      <c r="O229" t="s">
        <v>23391</v>
      </c>
    </row>
    <row r="230" spans="1:15" x14ac:dyDescent="0.25">
      <c r="A230" t="s">
        <v>4</v>
      </c>
      <c r="B230" t="s">
        <v>4111</v>
      </c>
      <c r="C230" s="18" t="str">
        <f>HYPERLINK("https://rhld.insurance.arkansas.gov/NPILookup?Npi=1326611245","1326611245")</f>
        <v>1326611245</v>
      </c>
      <c r="D230" t="s">
        <v>23080</v>
      </c>
      <c r="E230" t="s">
        <v>17366</v>
      </c>
      <c r="F230">
        <v>2</v>
      </c>
      <c r="G230">
        <v>3</v>
      </c>
      <c r="H230">
        <v>0</v>
      </c>
      <c r="I230">
        <v>0</v>
      </c>
      <c r="J230" t="s">
        <v>23401</v>
      </c>
      <c r="K230" t="s">
        <v>18640</v>
      </c>
      <c r="L230" t="s">
        <v>18640</v>
      </c>
      <c r="M230">
        <v>3</v>
      </c>
      <c r="N230" t="s">
        <v>17367</v>
      </c>
      <c r="O230" t="s">
        <v>23391</v>
      </c>
    </row>
    <row r="231" spans="1:15" x14ac:dyDescent="0.25">
      <c r="A231" t="s">
        <v>4</v>
      </c>
      <c r="B231" t="s">
        <v>4111</v>
      </c>
      <c r="C231" s="18" t="str">
        <f>HYPERLINK("https://rhld.insurance.arkansas.gov/NPILookup?Npi=1326796152","1326796152")</f>
        <v>1326796152</v>
      </c>
      <c r="D231" t="s">
        <v>23081</v>
      </c>
      <c r="E231" t="s">
        <v>17366</v>
      </c>
      <c r="F231">
        <v>1</v>
      </c>
      <c r="G231">
        <v>3</v>
      </c>
      <c r="H231">
        <v>0</v>
      </c>
      <c r="I231">
        <v>0</v>
      </c>
      <c r="J231" t="s">
        <v>23390</v>
      </c>
      <c r="K231" t="s">
        <v>18640</v>
      </c>
      <c r="L231" t="s">
        <v>18640</v>
      </c>
      <c r="M231">
        <v>3</v>
      </c>
      <c r="N231" t="s">
        <v>17367</v>
      </c>
      <c r="O231" t="s">
        <v>23391</v>
      </c>
    </row>
    <row r="232" spans="1:15" x14ac:dyDescent="0.25">
      <c r="A232" t="s">
        <v>4</v>
      </c>
      <c r="B232" t="s">
        <v>4111</v>
      </c>
      <c r="C232" s="18" t="str">
        <f>HYPERLINK("https://rhld.insurance.arkansas.gov/NPILookup?Npi=1346566502","1346566502")</f>
        <v>1346566502</v>
      </c>
      <c r="D232" t="s">
        <v>23083</v>
      </c>
      <c r="E232" t="s">
        <v>17366</v>
      </c>
      <c r="F232">
        <v>1</v>
      </c>
      <c r="G232">
        <v>3</v>
      </c>
      <c r="H232">
        <v>0</v>
      </c>
      <c r="I232">
        <v>0</v>
      </c>
      <c r="J232" t="s">
        <v>21420</v>
      </c>
      <c r="K232" t="s">
        <v>18640</v>
      </c>
      <c r="L232" t="s">
        <v>18640</v>
      </c>
      <c r="M232">
        <v>3</v>
      </c>
      <c r="N232" t="s">
        <v>17367</v>
      </c>
      <c r="O232" t="s">
        <v>23391</v>
      </c>
    </row>
    <row r="233" spans="1:15" x14ac:dyDescent="0.25">
      <c r="A233" t="s">
        <v>4</v>
      </c>
      <c r="B233" t="s">
        <v>4111</v>
      </c>
      <c r="C233" s="18" t="str">
        <f>HYPERLINK("https://rhld.insurance.arkansas.gov/NPILookup?Npi=1346800745","1346800745")</f>
        <v>1346800745</v>
      </c>
      <c r="D233" t="s">
        <v>23084</v>
      </c>
      <c r="E233" t="s">
        <v>17366</v>
      </c>
      <c r="F233">
        <v>1</v>
      </c>
      <c r="G233">
        <v>2</v>
      </c>
      <c r="H233">
        <v>0</v>
      </c>
      <c r="I233">
        <v>0</v>
      </c>
      <c r="J233" t="s">
        <v>21420</v>
      </c>
      <c r="K233" t="s">
        <v>18640</v>
      </c>
      <c r="L233" t="s">
        <v>18640</v>
      </c>
      <c r="M233">
        <v>2</v>
      </c>
      <c r="N233" t="s">
        <v>17367</v>
      </c>
      <c r="O233" t="s">
        <v>23391</v>
      </c>
    </row>
    <row r="234" spans="1:15" x14ac:dyDescent="0.25">
      <c r="A234" t="s">
        <v>4</v>
      </c>
      <c r="B234" t="s">
        <v>4111</v>
      </c>
      <c r="C234" s="18" t="str">
        <f>HYPERLINK("https://rhld.insurance.arkansas.gov/NPILookup?Npi=1346847290","1346847290")</f>
        <v>1346847290</v>
      </c>
      <c r="D234" t="s">
        <v>23085</v>
      </c>
      <c r="E234" t="s">
        <v>17366</v>
      </c>
      <c r="F234">
        <v>1</v>
      </c>
      <c r="G234">
        <v>3</v>
      </c>
      <c r="H234">
        <v>0</v>
      </c>
      <c r="I234">
        <v>0</v>
      </c>
      <c r="J234" t="s">
        <v>21420</v>
      </c>
      <c r="K234" t="s">
        <v>18640</v>
      </c>
      <c r="L234" t="s">
        <v>18640</v>
      </c>
      <c r="M234">
        <v>3</v>
      </c>
      <c r="N234" t="s">
        <v>17367</v>
      </c>
      <c r="O234" t="s">
        <v>23391</v>
      </c>
    </row>
    <row r="235" spans="1:15" x14ac:dyDescent="0.25">
      <c r="A235" t="s">
        <v>4</v>
      </c>
      <c r="B235" t="s">
        <v>4111</v>
      </c>
      <c r="C235" s="18" t="str">
        <f>HYPERLINK("https://rhld.insurance.arkansas.gov/NPILookup?Npi=1346950094","1346950094")</f>
        <v>1346950094</v>
      </c>
      <c r="D235" t="s">
        <v>23086</v>
      </c>
      <c r="E235" t="s">
        <v>17366</v>
      </c>
      <c r="F235">
        <v>1</v>
      </c>
      <c r="G235">
        <v>3</v>
      </c>
      <c r="H235">
        <v>0</v>
      </c>
      <c r="I235">
        <v>0</v>
      </c>
      <c r="J235" t="s">
        <v>21420</v>
      </c>
      <c r="K235" t="s">
        <v>18640</v>
      </c>
      <c r="L235" t="s">
        <v>18640</v>
      </c>
      <c r="M235">
        <v>3</v>
      </c>
      <c r="N235" t="s">
        <v>17367</v>
      </c>
      <c r="O235" t="s">
        <v>23391</v>
      </c>
    </row>
    <row r="236" spans="1:15" x14ac:dyDescent="0.25">
      <c r="A236" t="s">
        <v>4</v>
      </c>
      <c r="B236" t="s">
        <v>4111</v>
      </c>
      <c r="C236" s="18" t="str">
        <f>HYPERLINK("https://rhld.insurance.arkansas.gov/NPILookup?Npi=1356009906","1356009906")</f>
        <v>1356009906</v>
      </c>
      <c r="D236" t="s">
        <v>23087</v>
      </c>
      <c r="E236" t="s">
        <v>17366</v>
      </c>
      <c r="F236">
        <v>1</v>
      </c>
      <c r="G236">
        <v>3</v>
      </c>
      <c r="H236">
        <v>0</v>
      </c>
      <c r="I236">
        <v>0</v>
      </c>
      <c r="J236" t="s">
        <v>21420</v>
      </c>
      <c r="K236" t="s">
        <v>18640</v>
      </c>
      <c r="L236" t="s">
        <v>18640</v>
      </c>
      <c r="M236">
        <v>3</v>
      </c>
      <c r="N236" t="s">
        <v>17367</v>
      </c>
      <c r="O236" t="s">
        <v>23391</v>
      </c>
    </row>
    <row r="237" spans="1:15" x14ac:dyDescent="0.25">
      <c r="A237" t="s">
        <v>4</v>
      </c>
      <c r="B237" t="s">
        <v>4111</v>
      </c>
      <c r="C237" s="18" t="str">
        <f>HYPERLINK("https://rhld.insurance.arkansas.gov/NPILookup?Npi=1356609697","1356609697")</f>
        <v>1356609697</v>
      </c>
      <c r="D237" t="s">
        <v>23392</v>
      </c>
      <c r="E237" t="s">
        <v>17366</v>
      </c>
      <c r="F237">
        <v>1</v>
      </c>
      <c r="G237">
        <v>0</v>
      </c>
      <c r="H237">
        <v>0</v>
      </c>
      <c r="I237">
        <v>0</v>
      </c>
      <c r="J237" t="s">
        <v>21420</v>
      </c>
      <c r="K237" t="s">
        <v>18640</v>
      </c>
      <c r="L237" t="s">
        <v>18640</v>
      </c>
      <c r="M237">
        <v>0</v>
      </c>
      <c r="N237" t="s">
        <v>17369</v>
      </c>
      <c r="O237" t="s">
        <v>23394</v>
      </c>
    </row>
    <row r="238" spans="1:15" x14ac:dyDescent="0.25">
      <c r="A238" t="s">
        <v>4</v>
      </c>
      <c r="B238" t="s">
        <v>4111</v>
      </c>
      <c r="C238" s="18" t="str">
        <f>HYPERLINK("https://rhld.insurance.arkansas.gov/NPILookup?Npi=1356991343","1356991343")</f>
        <v>1356991343</v>
      </c>
      <c r="D238" t="s">
        <v>23088</v>
      </c>
      <c r="E238" t="s">
        <v>17366</v>
      </c>
      <c r="F238">
        <v>1</v>
      </c>
      <c r="G238">
        <v>3</v>
      </c>
      <c r="H238">
        <v>0</v>
      </c>
      <c r="I238">
        <v>0</v>
      </c>
      <c r="J238" t="s">
        <v>21420</v>
      </c>
      <c r="K238" t="s">
        <v>18640</v>
      </c>
      <c r="L238" t="s">
        <v>18640</v>
      </c>
      <c r="M238">
        <v>3</v>
      </c>
      <c r="N238" t="s">
        <v>17367</v>
      </c>
      <c r="O238" t="s">
        <v>23391</v>
      </c>
    </row>
    <row r="239" spans="1:15" x14ac:dyDescent="0.25">
      <c r="A239" t="s">
        <v>4</v>
      </c>
      <c r="B239" t="s">
        <v>4111</v>
      </c>
      <c r="C239" s="18" t="str">
        <f>HYPERLINK("https://rhld.insurance.arkansas.gov/NPILookup?Npi=1366055014","1366055014")</f>
        <v>1366055014</v>
      </c>
      <c r="D239" t="s">
        <v>23089</v>
      </c>
      <c r="E239" t="s">
        <v>17366</v>
      </c>
      <c r="F239">
        <v>1</v>
      </c>
      <c r="G239">
        <v>3</v>
      </c>
      <c r="H239">
        <v>0</v>
      </c>
      <c r="I239">
        <v>0</v>
      </c>
      <c r="J239" t="s">
        <v>21420</v>
      </c>
      <c r="K239" t="s">
        <v>18640</v>
      </c>
      <c r="L239" t="s">
        <v>18640</v>
      </c>
      <c r="M239">
        <v>3</v>
      </c>
      <c r="N239" t="s">
        <v>17367</v>
      </c>
      <c r="O239" t="s">
        <v>23391</v>
      </c>
    </row>
    <row r="240" spans="1:15" x14ac:dyDescent="0.25">
      <c r="A240" t="s">
        <v>4</v>
      </c>
      <c r="B240" t="s">
        <v>4111</v>
      </c>
      <c r="C240" s="18" t="str">
        <f>HYPERLINK("https://rhld.insurance.arkansas.gov/NPILookup?Npi=1366803702","1366803702")</f>
        <v>1366803702</v>
      </c>
      <c r="D240" t="s">
        <v>23090</v>
      </c>
      <c r="E240" t="s">
        <v>17366</v>
      </c>
      <c r="F240">
        <v>1</v>
      </c>
      <c r="G240">
        <v>3</v>
      </c>
      <c r="H240">
        <v>0</v>
      </c>
      <c r="I240">
        <v>0</v>
      </c>
      <c r="J240" t="s">
        <v>21420</v>
      </c>
      <c r="K240" t="s">
        <v>18640</v>
      </c>
      <c r="L240" t="s">
        <v>18640</v>
      </c>
      <c r="M240">
        <v>3</v>
      </c>
      <c r="N240" t="s">
        <v>17367</v>
      </c>
      <c r="O240" t="s">
        <v>23391</v>
      </c>
    </row>
    <row r="241" spans="1:15" x14ac:dyDescent="0.25">
      <c r="A241" t="s">
        <v>4</v>
      </c>
      <c r="B241" t="s">
        <v>4111</v>
      </c>
      <c r="C241" s="18" t="str">
        <f>HYPERLINK("https://rhld.insurance.arkansas.gov/NPILookup?Npi=1376191502","1376191502")</f>
        <v>1376191502</v>
      </c>
      <c r="D241" t="s">
        <v>23091</v>
      </c>
      <c r="E241" t="s">
        <v>17366</v>
      </c>
      <c r="F241">
        <v>1</v>
      </c>
      <c r="G241">
        <v>3</v>
      </c>
      <c r="H241">
        <v>0</v>
      </c>
      <c r="I241">
        <v>0</v>
      </c>
      <c r="J241" t="s">
        <v>21420</v>
      </c>
      <c r="K241" t="s">
        <v>18640</v>
      </c>
      <c r="L241" t="s">
        <v>18640</v>
      </c>
      <c r="M241">
        <v>3</v>
      </c>
      <c r="N241" t="s">
        <v>17367</v>
      </c>
      <c r="O241" t="s">
        <v>23391</v>
      </c>
    </row>
    <row r="242" spans="1:15" x14ac:dyDescent="0.25">
      <c r="A242" t="s">
        <v>4</v>
      </c>
      <c r="B242" t="s">
        <v>4111</v>
      </c>
      <c r="C242" s="18" t="str">
        <f>HYPERLINK("https://rhld.insurance.arkansas.gov/NPILookup?Npi=1407388267","1407388267")</f>
        <v>1407388267</v>
      </c>
      <c r="D242" t="s">
        <v>10900</v>
      </c>
      <c r="E242" t="s">
        <v>17368</v>
      </c>
      <c r="F242">
        <v>1</v>
      </c>
      <c r="G242">
        <v>3</v>
      </c>
      <c r="H242">
        <v>0</v>
      </c>
      <c r="I242">
        <v>0</v>
      </c>
      <c r="J242" t="s">
        <v>23407</v>
      </c>
      <c r="K242" t="s">
        <v>18640</v>
      </c>
      <c r="L242" t="s">
        <v>18640</v>
      </c>
      <c r="M242">
        <v>3</v>
      </c>
      <c r="N242" t="s">
        <v>17367</v>
      </c>
      <c r="O242" t="s">
        <v>23391</v>
      </c>
    </row>
    <row r="243" spans="1:15" x14ac:dyDescent="0.25">
      <c r="A243" t="s">
        <v>4</v>
      </c>
      <c r="B243" t="s">
        <v>4111</v>
      </c>
      <c r="C243" s="18" t="str">
        <f>HYPERLINK("https://rhld.insurance.arkansas.gov/NPILookup?Npi=1407453608","1407453608")</f>
        <v>1407453608</v>
      </c>
      <c r="D243" t="s">
        <v>22040</v>
      </c>
      <c r="E243" t="s">
        <v>17368</v>
      </c>
      <c r="F243">
        <v>1</v>
      </c>
      <c r="G243">
        <v>3</v>
      </c>
      <c r="H243">
        <v>0</v>
      </c>
      <c r="I243">
        <v>0</v>
      </c>
      <c r="J243" t="s">
        <v>23408</v>
      </c>
      <c r="K243" t="s">
        <v>18640</v>
      </c>
      <c r="L243" t="s">
        <v>18640</v>
      </c>
      <c r="M243">
        <v>3</v>
      </c>
      <c r="N243" t="s">
        <v>17367</v>
      </c>
      <c r="O243" t="s">
        <v>23391</v>
      </c>
    </row>
    <row r="244" spans="1:15" x14ac:dyDescent="0.25">
      <c r="A244" t="s">
        <v>4</v>
      </c>
      <c r="B244" t="s">
        <v>4111</v>
      </c>
      <c r="C244" s="18" t="str">
        <f>HYPERLINK("https://rhld.insurance.arkansas.gov/NPILookup?Npi=1427535202","1427535202")</f>
        <v>1427535202</v>
      </c>
      <c r="D244" t="s">
        <v>23099</v>
      </c>
      <c r="E244" t="s">
        <v>17366</v>
      </c>
      <c r="F244">
        <v>1</v>
      </c>
      <c r="G244">
        <v>3</v>
      </c>
      <c r="H244">
        <v>0</v>
      </c>
      <c r="I244">
        <v>0</v>
      </c>
      <c r="J244" t="s">
        <v>23390</v>
      </c>
      <c r="K244" t="s">
        <v>18640</v>
      </c>
      <c r="L244" t="s">
        <v>18640</v>
      </c>
      <c r="M244">
        <v>3</v>
      </c>
      <c r="N244" t="s">
        <v>17367</v>
      </c>
      <c r="O244" t="s">
        <v>23391</v>
      </c>
    </row>
    <row r="245" spans="1:15" x14ac:dyDescent="0.25">
      <c r="A245" t="s">
        <v>4</v>
      </c>
      <c r="B245" t="s">
        <v>4111</v>
      </c>
      <c r="C245" s="18" t="str">
        <f>HYPERLINK("https://rhld.insurance.arkansas.gov/NPILookup?Npi=1427631084","1427631084")</f>
        <v>1427631084</v>
      </c>
      <c r="D245" t="s">
        <v>23100</v>
      </c>
      <c r="E245" t="s">
        <v>17366</v>
      </c>
      <c r="F245">
        <v>1</v>
      </c>
      <c r="G245">
        <v>3</v>
      </c>
      <c r="H245">
        <v>0</v>
      </c>
      <c r="I245">
        <v>0</v>
      </c>
      <c r="J245" t="s">
        <v>23390</v>
      </c>
      <c r="K245" t="s">
        <v>18640</v>
      </c>
      <c r="L245" t="s">
        <v>18640</v>
      </c>
      <c r="M245">
        <v>3</v>
      </c>
      <c r="N245" t="s">
        <v>17367</v>
      </c>
      <c r="O245" t="s">
        <v>23391</v>
      </c>
    </row>
    <row r="246" spans="1:15" x14ac:dyDescent="0.25">
      <c r="A246" t="s">
        <v>4</v>
      </c>
      <c r="B246" t="s">
        <v>4111</v>
      </c>
      <c r="C246" s="18" t="str">
        <f>HYPERLINK("https://rhld.insurance.arkansas.gov/NPILookup?Npi=1437698461","1437698461")</f>
        <v>1437698461</v>
      </c>
      <c r="D246" t="s">
        <v>23105</v>
      </c>
      <c r="E246" t="s">
        <v>17366</v>
      </c>
      <c r="F246">
        <v>1</v>
      </c>
      <c r="G246">
        <v>3</v>
      </c>
      <c r="H246">
        <v>0</v>
      </c>
      <c r="I246">
        <v>0</v>
      </c>
      <c r="J246" t="s">
        <v>21420</v>
      </c>
      <c r="K246" t="s">
        <v>18640</v>
      </c>
      <c r="L246" t="s">
        <v>18640</v>
      </c>
      <c r="M246">
        <v>3</v>
      </c>
      <c r="N246" t="s">
        <v>17367</v>
      </c>
      <c r="O246" t="s">
        <v>23391</v>
      </c>
    </row>
    <row r="247" spans="1:15" x14ac:dyDescent="0.25">
      <c r="A247" t="s">
        <v>4</v>
      </c>
      <c r="B247" t="s">
        <v>4111</v>
      </c>
      <c r="C247" s="18" t="str">
        <f>HYPERLINK("https://rhld.insurance.arkansas.gov/NPILookup?Npi=1437803814","1437803814")</f>
        <v>1437803814</v>
      </c>
      <c r="D247" t="s">
        <v>23106</v>
      </c>
      <c r="E247" t="s">
        <v>17366</v>
      </c>
      <c r="F247">
        <v>1</v>
      </c>
      <c r="G247">
        <v>3</v>
      </c>
      <c r="H247">
        <v>0</v>
      </c>
      <c r="I247">
        <v>0</v>
      </c>
      <c r="J247" t="s">
        <v>21420</v>
      </c>
      <c r="K247" t="s">
        <v>18640</v>
      </c>
      <c r="L247" t="s">
        <v>18640</v>
      </c>
      <c r="M247">
        <v>3</v>
      </c>
      <c r="N247" t="s">
        <v>17367</v>
      </c>
      <c r="O247" t="s">
        <v>23391</v>
      </c>
    </row>
    <row r="248" spans="1:15" x14ac:dyDescent="0.25">
      <c r="A248" t="s">
        <v>4</v>
      </c>
      <c r="B248" t="s">
        <v>4111</v>
      </c>
      <c r="C248" s="18" t="str">
        <f>HYPERLINK("https://rhld.insurance.arkansas.gov/NPILookup?Npi=1447469606","1447469606")</f>
        <v>1447469606</v>
      </c>
      <c r="D248" t="s">
        <v>23107</v>
      </c>
      <c r="E248" t="s">
        <v>17366</v>
      </c>
      <c r="F248">
        <v>1</v>
      </c>
      <c r="G248">
        <v>2</v>
      </c>
      <c r="H248">
        <v>0</v>
      </c>
      <c r="I248">
        <v>0</v>
      </c>
      <c r="J248" t="s">
        <v>23390</v>
      </c>
      <c r="K248" t="s">
        <v>18640</v>
      </c>
      <c r="L248" t="s">
        <v>18640</v>
      </c>
      <c r="M248">
        <v>2</v>
      </c>
      <c r="N248" t="s">
        <v>17367</v>
      </c>
      <c r="O248" t="s">
        <v>23391</v>
      </c>
    </row>
    <row r="249" spans="1:15" x14ac:dyDescent="0.25">
      <c r="A249" t="s">
        <v>4</v>
      </c>
      <c r="B249" t="s">
        <v>4111</v>
      </c>
      <c r="C249" s="18" t="str">
        <f>HYPERLINK("https://rhld.insurance.arkansas.gov/NPILookup?Npi=1467028795","1467028795")</f>
        <v>1467028795</v>
      </c>
      <c r="D249" t="s">
        <v>23109</v>
      </c>
      <c r="E249" t="s">
        <v>17366</v>
      </c>
      <c r="F249">
        <v>1</v>
      </c>
      <c r="G249">
        <v>2</v>
      </c>
      <c r="H249">
        <v>0</v>
      </c>
      <c r="I249">
        <v>0</v>
      </c>
      <c r="J249" t="s">
        <v>23390</v>
      </c>
      <c r="K249" t="s">
        <v>18640</v>
      </c>
      <c r="L249" t="s">
        <v>18640</v>
      </c>
      <c r="M249">
        <v>2</v>
      </c>
      <c r="N249" t="s">
        <v>17367</v>
      </c>
      <c r="O249" t="s">
        <v>23391</v>
      </c>
    </row>
    <row r="250" spans="1:15" x14ac:dyDescent="0.25">
      <c r="A250" t="s">
        <v>4</v>
      </c>
      <c r="B250" t="s">
        <v>4111</v>
      </c>
      <c r="C250" s="18" t="str">
        <f>HYPERLINK("https://rhld.insurance.arkansas.gov/NPILookup?Npi=1467877654","1467877654")</f>
        <v>1467877654</v>
      </c>
      <c r="D250" t="s">
        <v>23110</v>
      </c>
      <c r="E250" t="s">
        <v>17366</v>
      </c>
      <c r="F250">
        <v>2</v>
      </c>
      <c r="G250">
        <v>2</v>
      </c>
      <c r="H250">
        <v>0</v>
      </c>
      <c r="I250">
        <v>0</v>
      </c>
      <c r="J250" t="s">
        <v>23401</v>
      </c>
      <c r="K250" t="s">
        <v>18640</v>
      </c>
      <c r="L250" t="s">
        <v>18640</v>
      </c>
      <c r="M250">
        <v>2</v>
      </c>
      <c r="N250" t="s">
        <v>17367</v>
      </c>
      <c r="O250" t="s">
        <v>23391</v>
      </c>
    </row>
    <row r="251" spans="1:15" x14ac:dyDescent="0.25">
      <c r="A251" t="s">
        <v>4</v>
      </c>
      <c r="B251" t="s">
        <v>4111</v>
      </c>
      <c r="C251" s="18" t="str">
        <f>HYPERLINK("https://rhld.insurance.arkansas.gov/NPILookup?Npi=1477700391","1477700391")</f>
        <v>1477700391</v>
      </c>
      <c r="D251" t="s">
        <v>23112</v>
      </c>
      <c r="E251" t="s">
        <v>17366</v>
      </c>
      <c r="F251">
        <v>1</v>
      </c>
      <c r="G251">
        <v>3</v>
      </c>
      <c r="H251">
        <v>0</v>
      </c>
      <c r="I251">
        <v>0</v>
      </c>
      <c r="J251" t="s">
        <v>21420</v>
      </c>
      <c r="K251" t="s">
        <v>18640</v>
      </c>
      <c r="L251" t="s">
        <v>18640</v>
      </c>
      <c r="M251">
        <v>3</v>
      </c>
      <c r="N251" t="s">
        <v>17367</v>
      </c>
      <c r="O251" t="s">
        <v>23391</v>
      </c>
    </row>
    <row r="252" spans="1:15" x14ac:dyDescent="0.25">
      <c r="A252" t="s">
        <v>4</v>
      </c>
      <c r="B252" t="s">
        <v>4111</v>
      </c>
      <c r="C252" s="18" t="str">
        <f>HYPERLINK("https://rhld.insurance.arkansas.gov/NPILookup?Npi=1477923803","1477923803")</f>
        <v>1477923803</v>
      </c>
      <c r="D252" t="s">
        <v>23113</v>
      </c>
      <c r="E252" t="s">
        <v>17366</v>
      </c>
      <c r="F252">
        <v>2</v>
      </c>
      <c r="G252">
        <v>3</v>
      </c>
      <c r="H252">
        <v>0</v>
      </c>
      <c r="I252">
        <v>0</v>
      </c>
      <c r="J252" t="s">
        <v>23401</v>
      </c>
      <c r="K252" t="s">
        <v>18640</v>
      </c>
      <c r="L252" t="s">
        <v>18640</v>
      </c>
      <c r="M252">
        <v>3</v>
      </c>
      <c r="N252" t="s">
        <v>17367</v>
      </c>
      <c r="O252" t="s">
        <v>23391</v>
      </c>
    </row>
    <row r="253" spans="1:15" x14ac:dyDescent="0.25">
      <c r="A253" t="s">
        <v>4</v>
      </c>
      <c r="B253" t="s">
        <v>4111</v>
      </c>
      <c r="C253" s="18" t="str">
        <f>HYPERLINK("https://rhld.insurance.arkansas.gov/NPILookup?Npi=1477952646","1477952646")</f>
        <v>1477952646</v>
      </c>
      <c r="D253" t="s">
        <v>23114</v>
      </c>
      <c r="E253" t="s">
        <v>17366</v>
      </c>
      <c r="F253">
        <v>1</v>
      </c>
      <c r="G253">
        <v>3</v>
      </c>
      <c r="H253">
        <v>0</v>
      </c>
      <c r="I253">
        <v>0</v>
      </c>
      <c r="J253" t="s">
        <v>23390</v>
      </c>
      <c r="K253" t="s">
        <v>18640</v>
      </c>
      <c r="L253" t="s">
        <v>18640</v>
      </c>
      <c r="M253">
        <v>3</v>
      </c>
      <c r="N253" t="s">
        <v>17367</v>
      </c>
      <c r="O253" t="s">
        <v>23391</v>
      </c>
    </row>
    <row r="254" spans="1:15" x14ac:dyDescent="0.25">
      <c r="A254" t="s">
        <v>4</v>
      </c>
      <c r="B254" t="s">
        <v>4111</v>
      </c>
      <c r="C254" s="18" t="str">
        <f>HYPERLINK("https://rhld.insurance.arkansas.gov/NPILookup?Npi=1487000857","1487000857")</f>
        <v>1487000857</v>
      </c>
      <c r="D254" t="s">
        <v>23115</v>
      </c>
      <c r="E254" t="s">
        <v>17366</v>
      </c>
      <c r="F254">
        <v>1</v>
      </c>
      <c r="G254">
        <v>3</v>
      </c>
      <c r="H254">
        <v>0</v>
      </c>
      <c r="I254">
        <v>0</v>
      </c>
      <c r="J254" t="s">
        <v>21420</v>
      </c>
      <c r="K254" t="s">
        <v>18640</v>
      </c>
      <c r="L254" t="s">
        <v>18640</v>
      </c>
      <c r="M254">
        <v>3</v>
      </c>
      <c r="N254" t="s">
        <v>17367</v>
      </c>
      <c r="O254" t="s">
        <v>23391</v>
      </c>
    </row>
    <row r="255" spans="1:15" x14ac:dyDescent="0.25">
      <c r="A255" t="s">
        <v>4</v>
      </c>
      <c r="B255" t="s">
        <v>4111</v>
      </c>
      <c r="C255" s="18" t="str">
        <f>HYPERLINK("https://rhld.insurance.arkansas.gov/NPILookup?Npi=1487039251","1487039251")</f>
        <v>1487039251</v>
      </c>
      <c r="D255" t="s">
        <v>23116</v>
      </c>
      <c r="E255" t="s">
        <v>17366</v>
      </c>
      <c r="F255">
        <v>1</v>
      </c>
      <c r="G255">
        <v>3</v>
      </c>
      <c r="H255">
        <v>0</v>
      </c>
      <c r="I255">
        <v>0</v>
      </c>
      <c r="J255" t="s">
        <v>23390</v>
      </c>
      <c r="K255" t="s">
        <v>18640</v>
      </c>
      <c r="L255" t="s">
        <v>18640</v>
      </c>
      <c r="M255">
        <v>3</v>
      </c>
      <c r="N255" t="s">
        <v>17367</v>
      </c>
      <c r="O255" t="s">
        <v>23391</v>
      </c>
    </row>
    <row r="256" spans="1:15" x14ac:dyDescent="0.25">
      <c r="A256" t="s">
        <v>4</v>
      </c>
      <c r="B256" t="s">
        <v>4111</v>
      </c>
      <c r="C256" s="18" t="str">
        <f>HYPERLINK("https://rhld.insurance.arkansas.gov/NPILookup?Npi=1487323556","1487323556")</f>
        <v>1487323556</v>
      </c>
      <c r="D256" t="s">
        <v>23117</v>
      </c>
      <c r="E256" t="s">
        <v>17366</v>
      </c>
      <c r="F256">
        <v>1</v>
      </c>
      <c r="G256">
        <v>3</v>
      </c>
      <c r="H256">
        <v>0</v>
      </c>
      <c r="I256">
        <v>0</v>
      </c>
      <c r="J256" t="s">
        <v>21420</v>
      </c>
      <c r="K256" t="s">
        <v>18640</v>
      </c>
      <c r="L256" t="s">
        <v>18640</v>
      </c>
      <c r="M256">
        <v>3</v>
      </c>
      <c r="N256" t="s">
        <v>17367</v>
      </c>
      <c r="O256" t="s">
        <v>23391</v>
      </c>
    </row>
    <row r="257" spans="1:15" x14ac:dyDescent="0.25">
      <c r="A257" t="s">
        <v>4</v>
      </c>
      <c r="B257" t="s">
        <v>4111</v>
      </c>
      <c r="C257" s="18" t="str">
        <f>HYPERLINK("https://rhld.insurance.arkansas.gov/NPILookup?Npi=1487342267","1487342267")</f>
        <v>1487342267</v>
      </c>
      <c r="D257" t="s">
        <v>23118</v>
      </c>
      <c r="E257" t="s">
        <v>17366</v>
      </c>
      <c r="F257">
        <v>1</v>
      </c>
      <c r="G257">
        <v>3</v>
      </c>
      <c r="H257">
        <v>0</v>
      </c>
      <c r="I257">
        <v>0</v>
      </c>
      <c r="J257" t="s">
        <v>21420</v>
      </c>
      <c r="K257" t="s">
        <v>18640</v>
      </c>
      <c r="L257" t="s">
        <v>18640</v>
      </c>
      <c r="M257">
        <v>3</v>
      </c>
      <c r="N257" t="s">
        <v>17367</v>
      </c>
      <c r="O257" t="s">
        <v>23391</v>
      </c>
    </row>
    <row r="258" spans="1:15" x14ac:dyDescent="0.25">
      <c r="A258" t="s">
        <v>4</v>
      </c>
      <c r="B258" t="s">
        <v>4111</v>
      </c>
      <c r="C258" s="18" t="str">
        <f>HYPERLINK("https://rhld.insurance.arkansas.gov/NPILookup?Npi=1497008007","1497008007")</f>
        <v>1497008007</v>
      </c>
      <c r="D258" t="s">
        <v>23120</v>
      </c>
      <c r="E258" t="s">
        <v>17366</v>
      </c>
      <c r="F258">
        <v>1</v>
      </c>
      <c r="G258">
        <v>3</v>
      </c>
      <c r="H258">
        <v>0</v>
      </c>
      <c r="I258">
        <v>0</v>
      </c>
      <c r="J258" t="s">
        <v>23390</v>
      </c>
      <c r="K258" t="s">
        <v>18640</v>
      </c>
      <c r="L258" t="s">
        <v>18640</v>
      </c>
      <c r="M258">
        <v>3</v>
      </c>
      <c r="N258" t="s">
        <v>17367</v>
      </c>
      <c r="O258" t="s">
        <v>23391</v>
      </c>
    </row>
    <row r="259" spans="1:15" x14ac:dyDescent="0.25">
      <c r="A259" t="s">
        <v>4</v>
      </c>
      <c r="B259" t="s">
        <v>4111</v>
      </c>
      <c r="C259" s="18" t="str">
        <f>HYPERLINK("https://rhld.insurance.arkansas.gov/NPILookup?Npi=1497261101","1497261101")</f>
        <v>1497261101</v>
      </c>
      <c r="D259" t="s">
        <v>23123</v>
      </c>
      <c r="E259" t="s">
        <v>17366</v>
      </c>
      <c r="F259">
        <v>1</v>
      </c>
      <c r="G259">
        <v>2</v>
      </c>
      <c r="H259">
        <v>0</v>
      </c>
      <c r="I259">
        <v>0</v>
      </c>
      <c r="J259" t="s">
        <v>23390</v>
      </c>
      <c r="K259" t="s">
        <v>18640</v>
      </c>
      <c r="L259" t="s">
        <v>18640</v>
      </c>
      <c r="M259">
        <v>2</v>
      </c>
      <c r="N259" t="s">
        <v>17367</v>
      </c>
      <c r="O259" t="s">
        <v>23391</v>
      </c>
    </row>
    <row r="260" spans="1:15" x14ac:dyDescent="0.25">
      <c r="A260" t="s">
        <v>4</v>
      </c>
      <c r="B260" t="s">
        <v>4111</v>
      </c>
      <c r="C260" s="18" t="str">
        <f>HYPERLINK("https://rhld.insurance.arkansas.gov/NPILookup?Npi=1497909147","1497909147")</f>
        <v>1497909147</v>
      </c>
      <c r="D260" t="s">
        <v>23124</v>
      </c>
      <c r="E260" t="s">
        <v>17366</v>
      </c>
      <c r="F260">
        <v>2</v>
      </c>
      <c r="G260">
        <v>3</v>
      </c>
      <c r="H260">
        <v>0</v>
      </c>
      <c r="I260">
        <v>0</v>
      </c>
      <c r="J260" t="s">
        <v>23401</v>
      </c>
      <c r="K260" t="s">
        <v>18640</v>
      </c>
      <c r="L260" t="s">
        <v>18640</v>
      </c>
      <c r="M260">
        <v>3</v>
      </c>
      <c r="N260" t="s">
        <v>17367</v>
      </c>
      <c r="O260" t="s">
        <v>23391</v>
      </c>
    </row>
    <row r="261" spans="1:15" x14ac:dyDescent="0.25">
      <c r="A261" t="s">
        <v>4</v>
      </c>
      <c r="B261" t="s">
        <v>4111</v>
      </c>
      <c r="C261" s="18" t="str">
        <f>HYPERLINK("https://rhld.insurance.arkansas.gov/NPILookup?Npi=1497980643","1497980643")</f>
        <v>1497980643</v>
      </c>
      <c r="D261" t="s">
        <v>23125</v>
      </c>
      <c r="E261" t="s">
        <v>17366</v>
      </c>
      <c r="F261">
        <v>1</v>
      </c>
      <c r="G261">
        <v>3</v>
      </c>
      <c r="H261">
        <v>0</v>
      </c>
      <c r="I261">
        <v>0</v>
      </c>
      <c r="J261" t="s">
        <v>21420</v>
      </c>
      <c r="K261" t="s">
        <v>18640</v>
      </c>
      <c r="L261" t="s">
        <v>18640</v>
      </c>
      <c r="M261">
        <v>3</v>
      </c>
      <c r="N261" t="s">
        <v>17367</v>
      </c>
      <c r="O261" t="s">
        <v>23391</v>
      </c>
    </row>
    <row r="262" spans="1:15" x14ac:dyDescent="0.25">
      <c r="A262" t="s">
        <v>4</v>
      </c>
      <c r="B262" t="s">
        <v>4111</v>
      </c>
      <c r="C262" s="18" t="str">
        <f>HYPERLINK("https://rhld.insurance.arkansas.gov/NPILookup?Npi=1508324724","1508324724")</f>
        <v>1508324724</v>
      </c>
      <c r="D262" t="s">
        <v>23126</v>
      </c>
      <c r="E262" t="s">
        <v>17366</v>
      </c>
      <c r="F262">
        <v>1</v>
      </c>
      <c r="G262">
        <v>2</v>
      </c>
      <c r="H262">
        <v>0</v>
      </c>
      <c r="I262">
        <v>0</v>
      </c>
      <c r="J262" t="s">
        <v>23390</v>
      </c>
      <c r="K262" t="s">
        <v>18640</v>
      </c>
      <c r="L262" t="s">
        <v>18640</v>
      </c>
      <c r="M262">
        <v>2</v>
      </c>
      <c r="N262" t="s">
        <v>17367</v>
      </c>
      <c r="O262" t="s">
        <v>23391</v>
      </c>
    </row>
    <row r="263" spans="1:15" x14ac:dyDescent="0.25">
      <c r="A263" t="s">
        <v>4</v>
      </c>
      <c r="B263" t="s">
        <v>4111</v>
      </c>
      <c r="C263" s="18" t="str">
        <f>HYPERLINK("https://rhld.insurance.arkansas.gov/NPILookup?Npi=1518607340","1518607340")</f>
        <v>1518607340</v>
      </c>
      <c r="D263" t="s">
        <v>23128</v>
      </c>
      <c r="E263" t="s">
        <v>17366</v>
      </c>
      <c r="F263">
        <v>1</v>
      </c>
      <c r="G263">
        <v>3</v>
      </c>
      <c r="H263">
        <v>0</v>
      </c>
      <c r="I263">
        <v>0</v>
      </c>
      <c r="J263" t="s">
        <v>21420</v>
      </c>
      <c r="K263" t="s">
        <v>18640</v>
      </c>
      <c r="L263" t="s">
        <v>18640</v>
      </c>
      <c r="M263">
        <v>3</v>
      </c>
      <c r="N263" t="s">
        <v>17367</v>
      </c>
      <c r="O263" t="s">
        <v>23391</v>
      </c>
    </row>
    <row r="264" spans="1:15" x14ac:dyDescent="0.25">
      <c r="A264" t="s">
        <v>4</v>
      </c>
      <c r="B264" t="s">
        <v>4111</v>
      </c>
      <c r="C264" s="18" t="str">
        <f>HYPERLINK("https://rhld.insurance.arkansas.gov/NPILookup?Npi=1528100146","1528100146")</f>
        <v>1528100146</v>
      </c>
      <c r="D264" t="s">
        <v>23129</v>
      </c>
      <c r="E264" t="s">
        <v>17366</v>
      </c>
      <c r="F264">
        <v>2</v>
      </c>
      <c r="G264">
        <v>3</v>
      </c>
      <c r="H264">
        <v>0</v>
      </c>
      <c r="I264">
        <v>0</v>
      </c>
      <c r="J264" t="s">
        <v>23401</v>
      </c>
      <c r="K264" t="s">
        <v>18640</v>
      </c>
      <c r="L264" t="s">
        <v>18640</v>
      </c>
      <c r="M264">
        <v>3</v>
      </c>
      <c r="N264" t="s">
        <v>17367</v>
      </c>
      <c r="O264" t="s">
        <v>23391</v>
      </c>
    </row>
    <row r="265" spans="1:15" x14ac:dyDescent="0.25">
      <c r="A265" t="s">
        <v>4</v>
      </c>
      <c r="B265" t="s">
        <v>4111</v>
      </c>
      <c r="C265" s="18" t="str">
        <f>HYPERLINK("https://rhld.insurance.arkansas.gov/NPILookup?Npi=1528536729","1528536729")</f>
        <v>1528536729</v>
      </c>
      <c r="D265" t="s">
        <v>23130</v>
      </c>
      <c r="E265" t="s">
        <v>17366</v>
      </c>
      <c r="F265">
        <v>2</v>
      </c>
      <c r="G265">
        <v>3</v>
      </c>
      <c r="H265">
        <v>0</v>
      </c>
      <c r="I265">
        <v>0</v>
      </c>
      <c r="J265" t="s">
        <v>23401</v>
      </c>
      <c r="K265" t="s">
        <v>18640</v>
      </c>
      <c r="L265" t="s">
        <v>18640</v>
      </c>
      <c r="M265">
        <v>3</v>
      </c>
      <c r="N265" t="s">
        <v>17367</v>
      </c>
      <c r="O265" t="s">
        <v>23391</v>
      </c>
    </row>
    <row r="266" spans="1:15" x14ac:dyDescent="0.25">
      <c r="A266" t="s">
        <v>4</v>
      </c>
      <c r="B266" t="s">
        <v>4111</v>
      </c>
      <c r="C266" s="18" t="str">
        <f>HYPERLINK("https://rhld.insurance.arkansas.gov/NPILookup?Npi=1538206800","1538206800")</f>
        <v>1538206800</v>
      </c>
      <c r="D266" t="s">
        <v>23131</v>
      </c>
      <c r="E266" t="s">
        <v>17366</v>
      </c>
      <c r="F266">
        <v>1</v>
      </c>
      <c r="G266">
        <v>2</v>
      </c>
      <c r="H266">
        <v>0</v>
      </c>
      <c r="I266">
        <v>0</v>
      </c>
      <c r="J266" t="s">
        <v>23390</v>
      </c>
      <c r="K266" t="s">
        <v>18640</v>
      </c>
      <c r="L266" t="s">
        <v>18640</v>
      </c>
      <c r="M266">
        <v>2</v>
      </c>
      <c r="N266" t="s">
        <v>17367</v>
      </c>
      <c r="O266" t="s">
        <v>23391</v>
      </c>
    </row>
    <row r="267" spans="1:15" x14ac:dyDescent="0.25">
      <c r="A267" t="s">
        <v>4</v>
      </c>
      <c r="B267" t="s">
        <v>4111</v>
      </c>
      <c r="C267" s="18" t="str">
        <f>HYPERLINK("https://rhld.insurance.arkansas.gov/NPILookup?Npi=1538215660","1538215660")</f>
        <v>1538215660</v>
      </c>
      <c r="D267" t="s">
        <v>23392</v>
      </c>
      <c r="E267" t="s">
        <v>17366</v>
      </c>
      <c r="F267">
        <v>1</v>
      </c>
      <c r="G267">
        <v>0</v>
      </c>
      <c r="H267">
        <v>0</v>
      </c>
      <c r="I267">
        <v>0</v>
      </c>
      <c r="J267" t="s">
        <v>21420</v>
      </c>
      <c r="K267" t="s">
        <v>18640</v>
      </c>
      <c r="L267" t="s">
        <v>18640</v>
      </c>
      <c r="M267">
        <v>0</v>
      </c>
      <c r="N267" t="s">
        <v>17369</v>
      </c>
      <c r="O267" t="s">
        <v>23394</v>
      </c>
    </row>
    <row r="268" spans="1:15" x14ac:dyDescent="0.25">
      <c r="A268" t="s">
        <v>4</v>
      </c>
      <c r="B268" t="s">
        <v>4111</v>
      </c>
      <c r="C268" s="18" t="str">
        <f>HYPERLINK("https://rhld.insurance.arkansas.gov/NPILookup?Npi=1538767652","1538767652")</f>
        <v>1538767652</v>
      </c>
      <c r="D268" t="s">
        <v>22872</v>
      </c>
      <c r="E268" t="s">
        <v>17366</v>
      </c>
      <c r="F268">
        <v>1</v>
      </c>
      <c r="G268">
        <v>3</v>
      </c>
      <c r="H268">
        <v>0</v>
      </c>
      <c r="I268">
        <v>0</v>
      </c>
      <c r="J268" t="s">
        <v>21420</v>
      </c>
      <c r="K268" t="s">
        <v>18640</v>
      </c>
      <c r="L268" t="s">
        <v>18640</v>
      </c>
      <c r="M268">
        <v>3</v>
      </c>
      <c r="N268" t="s">
        <v>17367</v>
      </c>
      <c r="O268" t="s">
        <v>23391</v>
      </c>
    </row>
    <row r="269" spans="1:15" x14ac:dyDescent="0.25">
      <c r="A269" t="s">
        <v>4</v>
      </c>
      <c r="B269" t="s">
        <v>4111</v>
      </c>
      <c r="C269" s="18" t="str">
        <f>HYPERLINK("https://rhld.insurance.arkansas.gov/NPILookup?Npi=1538851183","1538851183")</f>
        <v>1538851183</v>
      </c>
      <c r="D269" t="s">
        <v>23132</v>
      </c>
      <c r="E269" t="s">
        <v>17366</v>
      </c>
      <c r="F269">
        <v>1</v>
      </c>
      <c r="G269">
        <v>3</v>
      </c>
      <c r="H269">
        <v>0</v>
      </c>
      <c r="I269">
        <v>0</v>
      </c>
      <c r="J269" t="s">
        <v>21420</v>
      </c>
      <c r="K269" t="s">
        <v>18640</v>
      </c>
      <c r="L269" t="s">
        <v>18640</v>
      </c>
      <c r="M269">
        <v>3</v>
      </c>
      <c r="N269" t="s">
        <v>17367</v>
      </c>
      <c r="O269" t="s">
        <v>23391</v>
      </c>
    </row>
    <row r="270" spans="1:15" x14ac:dyDescent="0.25">
      <c r="A270" t="s">
        <v>4</v>
      </c>
      <c r="B270" t="s">
        <v>4111</v>
      </c>
      <c r="C270" s="18" t="str">
        <f>HYPERLINK("https://rhld.insurance.arkansas.gov/NPILookup?Npi=1558044040","1558044040")</f>
        <v>1558044040</v>
      </c>
      <c r="D270" t="s">
        <v>23133</v>
      </c>
      <c r="E270" t="s">
        <v>17366</v>
      </c>
      <c r="F270">
        <v>1</v>
      </c>
      <c r="G270">
        <v>3</v>
      </c>
      <c r="H270">
        <v>0</v>
      </c>
      <c r="I270">
        <v>0</v>
      </c>
      <c r="J270" t="s">
        <v>21420</v>
      </c>
      <c r="K270" t="s">
        <v>18640</v>
      </c>
      <c r="L270" t="s">
        <v>18640</v>
      </c>
      <c r="M270">
        <v>3</v>
      </c>
      <c r="N270" t="s">
        <v>17367</v>
      </c>
      <c r="O270" t="s">
        <v>23391</v>
      </c>
    </row>
    <row r="271" spans="1:15" x14ac:dyDescent="0.25">
      <c r="A271" t="s">
        <v>4</v>
      </c>
      <c r="B271" t="s">
        <v>4111</v>
      </c>
      <c r="C271" s="18" t="str">
        <f>HYPERLINK("https://rhld.insurance.arkansas.gov/NPILookup?Npi=1568973568","1568973568")</f>
        <v>1568973568</v>
      </c>
      <c r="D271" t="s">
        <v>23134</v>
      </c>
      <c r="E271" t="s">
        <v>17366</v>
      </c>
      <c r="F271">
        <v>1</v>
      </c>
      <c r="G271">
        <v>2</v>
      </c>
      <c r="H271">
        <v>0</v>
      </c>
      <c r="I271">
        <v>0</v>
      </c>
      <c r="J271" t="s">
        <v>23390</v>
      </c>
      <c r="K271" t="s">
        <v>18640</v>
      </c>
      <c r="L271" t="s">
        <v>18640</v>
      </c>
      <c r="M271">
        <v>2</v>
      </c>
      <c r="N271" t="s">
        <v>17367</v>
      </c>
      <c r="O271" t="s">
        <v>23391</v>
      </c>
    </row>
    <row r="272" spans="1:15" x14ac:dyDescent="0.25">
      <c r="A272" t="s">
        <v>4</v>
      </c>
      <c r="B272" t="s">
        <v>4111</v>
      </c>
      <c r="C272" s="18" t="str">
        <f>HYPERLINK("https://rhld.insurance.arkansas.gov/NPILookup?Npi=1578160925","1578160925")</f>
        <v>1578160925</v>
      </c>
      <c r="D272" t="s">
        <v>23135</v>
      </c>
      <c r="E272" t="s">
        <v>17366</v>
      </c>
      <c r="F272">
        <v>1</v>
      </c>
      <c r="G272">
        <v>3</v>
      </c>
      <c r="H272">
        <v>0</v>
      </c>
      <c r="I272">
        <v>0</v>
      </c>
      <c r="J272" t="s">
        <v>21420</v>
      </c>
      <c r="K272" t="s">
        <v>18640</v>
      </c>
      <c r="L272" t="s">
        <v>18640</v>
      </c>
      <c r="M272">
        <v>3</v>
      </c>
      <c r="N272" t="s">
        <v>17367</v>
      </c>
      <c r="O272" t="s">
        <v>23391</v>
      </c>
    </row>
    <row r="273" spans="1:15" x14ac:dyDescent="0.25">
      <c r="A273" t="s">
        <v>4</v>
      </c>
      <c r="B273" t="s">
        <v>4111</v>
      </c>
      <c r="C273" s="18" t="str">
        <f>HYPERLINK("https://rhld.insurance.arkansas.gov/NPILookup?Npi=1578247417","1578247417")</f>
        <v>1578247417</v>
      </c>
      <c r="D273" t="s">
        <v>23136</v>
      </c>
      <c r="E273" t="s">
        <v>17366</v>
      </c>
      <c r="F273">
        <v>2</v>
      </c>
      <c r="G273">
        <v>3</v>
      </c>
      <c r="H273">
        <v>0</v>
      </c>
      <c r="I273">
        <v>0</v>
      </c>
      <c r="J273" t="s">
        <v>23401</v>
      </c>
      <c r="K273" t="s">
        <v>18640</v>
      </c>
      <c r="L273" t="s">
        <v>18640</v>
      </c>
      <c r="M273">
        <v>3</v>
      </c>
      <c r="N273" t="s">
        <v>17367</v>
      </c>
      <c r="O273" t="s">
        <v>23391</v>
      </c>
    </row>
    <row r="274" spans="1:15" x14ac:dyDescent="0.25">
      <c r="A274" t="s">
        <v>4</v>
      </c>
      <c r="B274" t="s">
        <v>4111</v>
      </c>
      <c r="C274" s="18" t="str">
        <f>HYPERLINK("https://rhld.insurance.arkansas.gov/NPILookup?Npi=1578942280","1578942280")</f>
        <v>1578942280</v>
      </c>
      <c r="D274" t="s">
        <v>23137</v>
      </c>
      <c r="E274" t="s">
        <v>17366</v>
      </c>
      <c r="F274">
        <v>1</v>
      </c>
      <c r="G274">
        <v>3</v>
      </c>
      <c r="H274">
        <v>0</v>
      </c>
      <c r="I274">
        <v>0</v>
      </c>
      <c r="J274" t="s">
        <v>21420</v>
      </c>
      <c r="K274" t="s">
        <v>18640</v>
      </c>
      <c r="L274" t="s">
        <v>18640</v>
      </c>
      <c r="M274">
        <v>3</v>
      </c>
      <c r="N274" t="s">
        <v>17367</v>
      </c>
      <c r="O274" t="s">
        <v>23391</v>
      </c>
    </row>
    <row r="275" spans="1:15" x14ac:dyDescent="0.25">
      <c r="A275" t="s">
        <v>4</v>
      </c>
      <c r="B275" t="s">
        <v>4111</v>
      </c>
      <c r="C275" s="18" t="str">
        <f>HYPERLINK("https://rhld.insurance.arkansas.gov/NPILookup?Npi=1588127526","1588127526")</f>
        <v>1588127526</v>
      </c>
      <c r="D275" t="s">
        <v>23138</v>
      </c>
      <c r="E275" t="s">
        <v>17366</v>
      </c>
      <c r="F275">
        <v>2</v>
      </c>
      <c r="G275">
        <v>3</v>
      </c>
      <c r="H275">
        <v>0</v>
      </c>
      <c r="I275">
        <v>0</v>
      </c>
      <c r="J275" t="s">
        <v>23401</v>
      </c>
      <c r="K275" t="s">
        <v>18640</v>
      </c>
      <c r="L275" t="s">
        <v>18640</v>
      </c>
      <c r="M275">
        <v>3</v>
      </c>
      <c r="N275" t="s">
        <v>17367</v>
      </c>
      <c r="O275" t="s">
        <v>23391</v>
      </c>
    </row>
    <row r="276" spans="1:15" x14ac:dyDescent="0.25">
      <c r="A276" t="s">
        <v>4</v>
      </c>
      <c r="B276" t="s">
        <v>4111</v>
      </c>
      <c r="C276" s="18" t="str">
        <f>HYPERLINK("https://rhld.insurance.arkansas.gov/NPILookup?Npi=1588266597","1588266597")</f>
        <v>1588266597</v>
      </c>
      <c r="D276" t="s">
        <v>23139</v>
      </c>
      <c r="E276" t="s">
        <v>17366</v>
      </c>
      <c r="F276">
        <v>1</v>
      </c>
      <c r="G276">
        <v>2</v>
      </c>
      <c r="H276">
        <v>0</v>
      </c>
      <c r="I276">
        <v>0</v>
      </c>
      <c r="J276" t="s">
        <v>21420</v>
      </c>
      <c r="K276" t="s">
        <v>18640</v>
      </c>
      <c r="L276" t="s">
        <v>18640</v>
      </c>
      <c r="M276">
        <v>2</v>
      </c>
      <c r="N276" t="s">
        <v>17367</v>
      </c>
      <c r="O276" t="s">
        <v>23391</v>
      </c>
    </row>
    <row r="277" spans="1:15" x14ac:dyDescent="0.25">
      <c r="A277" t="s">
        <v>4</v>
      </c>
      <c r="B277" t="s">
        <v>4111</v>
      </c>
      <c r="C277" s="18" t="str">
        <f>HYPERLINK("https://rhld.insurance.arkansas.gov/NPILookup?Npi=1588270011","1588270011")</f>
        <v>1588270011</v>
      </c>
      <c r="D277" t="s">
        <v>23140</v>
      </c>
      <c r="E277" t="s">
        <v>17366</v>
      </c>
      <c r="F277">
        <v>1</v>
      </c>
      <c r="G277">
        <v>2</v>
      </c>
      <c r="H277">
        <v>0</v>
      </c>
      <c r="I277">
        <v>0</v>
      </c>
      <c r="J277" t="s">
        <v>23390</v>
      </c>
      <c r="K277" t="s">
        <v>18640</v>
      </c>
      <c r="L277" t="s">
        <v>18640</v>
      </c>
      <c r="M277">
        <v>2</v>
      </c>
      <c r="N277" t="s">
        <v>17367</v>
      </c>
      <c r="O277" t="s">
        <v>23391</v>
      </c>
    </row>
    <row r="278" spans="1:15" x14ac:dyDescent="0.25">
      <c r="A278" t="s">
        <v>4</v>
      </c>
      <c r="B278" t="s">
        <v>4111</v>
      </c>
      <c r="C278" s="18" t="str">
        <f>HYPERLINK("https://rhld.insurance.arkansas.gov/NPILookup?Npi=1598144594","1598144594")</f>
        <v>1598144594</v>
      </c>
      <c r="D278" t="s">
        <v>23141</v>
      </c>
      <c r="E278" t="s">
        <v>17366</v>
      </c>
      <c r="F278">
        <v>1</v>
      </c>
      <c r="G278">
        <v>3</v>
      </c>
      <c r="H278">
        <v>0</v>
      </c>
      <c r="I278">
        <v>0</v>
      </c>
      <c r="J278" t="s">
        <v>21420</v>
      </c>
      <c r="K278" t="s">
        <v>18640</v>
      </c>
      <c r="L278" t="s">
        <v>18640</v>
      </c>
      <c r="M278">
        <v>3</v>
      </c>
      <c r="N278" t="s">
        <v>17367</v>
      </c>
      <c r="O278" t="s">
        <v>23391</v>
      </c>
    </row>
    <row r="279" spans="1:15" x14ac:dyDescent="0.25">
      <c r="A279" t="s">
        <v>4</v>
      </c>
      <c r="B279" t="s">
        <v>4111</v>
      </c>
      <c r="C279" s="18" t="str">
        <f>HYPERLINK("https://rhld.insurance.arkansas.gov/NPILookup?Npi=1598145948","1598145948")</f>
        <v>1598145948</v>
      </c>
      <c r="D279" t="s">
        <v>23142</v>
      </c>
      <c r="E279" t="s">
        <v>17366</v>
      </c>
      <c r="F279">
        <v>2</v>
      </c>
      <c r="G279">
        <v>3</v>
      </c>
      <c r="H279">
        <v>0</v>
      </c>
      <c r="I279">
        <v>0</v>
      </c>
      <c r="J279" t="s">
        <v>23401</v>
      </c>
      <c r="K279" t="s">
        <v>18640</v>
      </c>
      <c r="L279" t="s">
        <v>18640</v>
      </c>
      <c r="M279">
        <v>3</v>
      </c>
      <c r="N279" t="s">
        <v>17367</v>
      </c>
      <c r="O279" t="s">
        <v>23391</v>
      </c>
    </row>
    <row r="280" spans="1:15" x14ac:dyDescent="0.25">
      <c r="A280" t="s">
        <v>4</v>
      </c>
      <c r="B280" t="s">
        <v>4111</v>
      </c>
      <c r="C280" s="18" t="str">
        <f>HYPERLINK("https://rhld.insurance.arkansas.gov/NPILookup?Npi=1609000298","1609000298")</f>
        <v>1609000298</v>
      </c>
      <c r="D280" t="s">
        <v>23143</v>
      </c>
      <c r="E280" t="s">
        <v>17366</v>
      </c>
      <c r="F280">
        <v>1</v>
      </c>
      <c r="G280">
        <v>2</v>
      </c>
      <c r="H280">
        <v>0</v>
      </c>
      <c r="I280">
        <v>0</v>
      </c>
      <c r="J280" t="s">
        <v>21420</v>
      </c>
      <c r="K280" t="s">
        <v>18640</v>
      </c>
      <c r="L280" t="s">
        <v>18640</v>
      </c>
      <c r="M280">
        <v>2</v>
      </c>
      <c r="N280" t="s">
        <v>17367</v>
      </c>
      <c r="O280" t="s">
        <v>23391</v>
      </c>
    </row>
    <row r="281" spans="1:15" x14ac:dyDescent="0.25">
      <c r="A281" t="s">
        <v>4</v>
      </c>
      <c r="B281" t="s">
        <v>4111</v>
      </c>
      <c r="C281" s="18" t="str">
        <f>HYPERLINK("https://rhld.insurance.arkansas.gov/NPILookup?Npi=1609404912","1609404912")</f>
        <v>1609404912</v>
      </c>
      <c r="D281" t="s">
        <v>23144</v>
      </c>
      <c r="E281" t="s">
        <v>17366</v>
      </c>
      <c r="F281">
        <v>1</v>
      </c>
      <c r="G281">
        <v>3</v>
      </c>
      <c r="H281">
        <v>0</v>
      </c>
      <c r="I281">
        <v>0</v>
      </c>
      <c r="J281" t="s">
        <v>23390</v>
      </c>
      <c r="K281" t="s">
        <v>18640</v>
      </c>
      <c r="L281" t="s">
        <v>18640</v>
      </c>
      <c r="M281">
        <v>3</v>
      </c>
      <c r="N281" t="s">
        <v>17367</v>
      </c>
      <c r="O281" t="s">
        <v>23391</v>
      </c>
    </row>
    <row r="282" spans="1:15" x14ac:dyDescent="0.25">
      <c r="A282" t="s">
        <v>4</v>
      </c>
      <c r="B282" t="s">
        <v>4111</v>
      </c>
      <c r="C282" s="18" t="str">
        <f>HYPERLINK("https://rhld.insurance.arkansas.gov/NPILookup?Npi=1609512383","1609512383")</f>
        <v>1609512383</v>
      </c>
      <c r="D282" t="s">
        <v>23145</v>
      </c>
      <c r="E282" t="s">
        <v>17366</v>
      </c>
      <c r="F282">
        <v>1</v>
      </c>
      <c r="G282">
        <v>3</v>
      </c>
      <c r="H282">
        <v>0</v>
      </c>
      <c r="I282">
        <v>0</v>
      </c>
      <c r="J282" t="s">
        <v>23390</v>
      </c>
      <c r="K282" t="s">
        <v>18640</v>
      </c>
      <c r="L282" t="s">
        <v>18640</v>
      </c>
      <c r="M282">
        <v>3</v>
      </c>
      <c r="N282" t="s">
        <v>17367</v>
      </c>
      <c r="O282" t="s">
        <v>23391</v>
      </c>
    </row>
    <row r="283" spans="1:15" x14ac:dyDescent="0.25">
      <c r="A283" t="s">
        <v>4</v>
      </c>
      <c r="B283" t="s">
        <v>4111</v>
      </c>
      <c r="C283" s="18" t="str">
        <f>HYPERLINK("https://rhld.insurance.arkansas.gov/NPILookup?Npi=1609652734","1609652734")</f>
        <v>1609652734</v>
      </c>
      <c r="D283" t="s">
        <v>23146</v>
      </c>
      <c r="E283" t="s">
        <v>17366</v>
      </c>
      <c r="F283">
        <v>1</v>
      </c>
      <c r="G283">
        <v>2</v>
      </c>
      <c r="H283">
        <v>0</v>
      </c>
      <c r="I283">
        <v>0</v>
      </c>
      <c r="J283" t="s">
        <v>23390</v>
      </c>
      <c r="K283" t="s">
        <v>18640</v>
      </c>
      <c r="L283" t="s">
        <v>18640</v>
      </c>
      <c r="M283">
        <v>2</v>
      </c>
      <c r="N283" t="s">
        <v>17367</v>
      </c>
      <c r="O283" t="s">
        <v>23391</v>
      </c>
    </row>
    <row r="284" spans="1:15" x14ac:dyDescent="0.25">
      <c r="A284" t="s">
        <v>4</v>
      </c>
      <c r="B284" t="s">
        <v>4111</v>
      </c>
      <c r="C284" s="18" t="str">
        <f>HYPERLINK("https://rhld.insurance.arkansas.gov/NPILookup?Npi=1619128642","1619128642")</f>
        <v>1619128642</v>
      </c>
      <c r="D284" t="s">
        <v>23147</v>
      </c>
      <c r="E284" t="s">
        <v>17366</v>
      </c>
      <c r="F284">
        <v>1</v>
      </c>
      <c r="G284">
        <v>2</v>
      </c>
      <c r="H284">
        <v>0</v>
      </c>
      <c r="I284">
        <v>0</v>
      </c>
      <c r="J284" t="s">
        <v>21420</v>
      </c>
      <c r="K284" t="s">
        <v>18640</v>
      </c>
      <c r="L284" t="s">
        <v>18640</v>
      </c>
      <c r="M284">
        <v>2</v>
      </c>
      <c r="N284" t="s">
        <v>17367</v>
      </c>
      <c r="O284" t="s">
        <v>23391</v>
      </c>
    </row>
    <row r="285" spans="1:15" x14ac:dyDescent="0.25">
      <c r="A285" t="s">
        <v>4</v>
      </c>
      <c r="B285" t="s">
        <v>4111</v>
      </c>
      <c r="C285" s="18" t="str">
        <f>HYPERLINK("https://rhld.insurance.arkansas.gov/NPILookup?Npi=1619542149","1619542149")</f>
        <v>1619542149</v>
      </c>
      <c r="D285" t="s">
        <v>23150</v>
      </c>
      <c r="E285" t="s">
        <v>17366</v>
      </c>
      <c r="F285">
        <v>1</v>
      </c>
      <c r="G285">
        <v>3</v>
      </c>
      <c r="H285">
        <v>0</v>
      </c>
      <c r="I285">
        <v>0</v>
      </c>
      <c r="J285" t="s">
        <v>21420</v>
      </c>
      <c r="K285" t="s">
        <v>18640</v>
      </c>
      <c r="L285" t="s">
        <v>18640</v>
      </c>
      <c r="M285">
        <v>3</v>
      </c>
      <c r="N285" t="s">
        <v>17367</v>
      </c>
      <c r="O285" t="s">
        <v>23391</v>
      </c>
    </row>
    <row r="286" spans="1:15" x14ac:dyDescent="0.25">
      <c r="A286" t="s">
        <v>4</v>
      </c>
      <c r="B286" t="s">
        <v>4111</v>
      </c>
      <c r="C286" s="18" t="str">
        <f>HYPERLINK("https://rhld.insurance.arkansas.gov/NPILookup?Npi=1619667284","1619667284")</f>
        <v>1619667284</v>
      </c>
      <c r="D286" t="s">
        <v>23151</v>
      </c>
      <c r="E286" t="s">
        <v>17366</v>
      </c>
      <c r="F286">
        <v>1</v>
      </c>
      <c r="G286">
        <v>3</v>
      </c>
      <c r="H286">
        <v>0</v>
      </c>
      <c r="I286">
        <v>0</v>
      </c>
      <c r="J286" t="s">
        <v>21420</v>
      </c>
      <c r="K286" t="s">
        <v>18640</v>
      </c>
      <c r="L286" t="s">
        <v>18640</v>
      </c>
      <c r="M286">
        <v>3</v>
      </c>
      <c r="N286" t="s">
        <v>17367</v>
      </c>
      <c r="O286" t="s">
        <v>23391</v>
      </c>
    </row>
    <row r="287" spans="1:15" x14ac:dyDescent="0.25">
      <c r="A287" t="s">
        <v>4</v>
      </c>
      <c r="B287" t="s">
        <v>4111</v>
      </c>
      <c r="C287" s="18" t="str">
        <f>HYPERLINK("https://rhld.insurance.arkansas.gov/NPILookup?Npi=1629249131","1629249131")</f>
        <v>1629249131</v>
      </c>
      <c r="D287" t="s">
        <v>23152</v>
      </c>
      <c r="E287" t="s">
        <v>17366</v>
      </c>
      <c r="F287">
        <v>1</v>
      </c>
      <c r="G287">
        <v>3</v>
      </c>
      <c r="H287">
        <v>0</v>
      </c>
      <c r="I287">
        <v>0</v>
      </c>
      <c r="J287" t="s">
        <v>23390</v>
      </c>
      <c r="K287" t="s">
        <v>18640</v>
      </c>
      <c r="L287" t="s">
        <v>18640</v>
      </c>
      <c r="M287">
        <v>3</v>
      </c>
      <c r="N287" t="s">
        <v>17367</v>
      </c>
      <c r="O287" t="s">
        <v>23391</v>
      </c>
    </row>
    <row r="288" spans="1:15" x14ac:dyDescent="0.25">
      <c r="A288" t="s">
        <v>4</v>
      </c>
      <c r="B288" t="s">
        <v>4111</v>
      </c>
      <c r="C288" s="18" t="str">
        <f>HYPERLINK("https://rhld.insurance.arkansas.gov/NPILookup?Npi=1629605357","1629605357")</f>
        <v>1629605357</v>
      </c>
      <c r="D288" t="s">
        <v>23153</v>
      </c>
      <c r="E288" t="s">
        <v>17366</v>
      </c>
      <c r="F288">
        <v>1</v>
      </c>
      <c r="G288">
        <v>2</v>
      </c>
      <c r="H288">
        <v>0</v>
      </c>
      <c r="I288">
        <v>0</v>
      </c>
      <c r="J288" t="s">
        <v>23390</v>
      </c>
      <c r="K288" t="s">
        <v>18640</v>
      </c>
      <c r="L288" t="s">
        <v>18640</v>
      </c>
      <c r="M288">
        <v>2</v>
      </c>
      <c r="N288" t="s">
        <v>17367</v>
      </c>
      <c r="O288" t="s">
        <v>23391</v>
      </c>
    </row>
    <row r="289" spans="1:15" x14ac:dyDescent="0.25">
      <c r="A289" t="s">
        <v>4</v>
      </c>
      <c r="B289" t="s">
        <v>4111</v>
      </c>
      <c r="C289" s="18" t="str">
        <f>HYPERLINK("https://rhld.insurance.arkansas.gov/NPILookup?Npi=1649550252","1649550252")</f>
        <v>1649550252</v>
      </c>
      <c r="D289" t="s">
        <v>23157</v>
      </c>
      <c r="E289" t="s">
        <v>17366</v>
      </c>
      <c r="F289">
        <v>1</v>
      </c>
      <c r="G289">
        <v>2</v>
      </c>
      <c r="H289">
        <v>0</v>
      </c>
      <c r="I289">
        <v>0</v>
      </c>
      <c r="J289" t="s">
        <v>23390</v>
      </c>
      <c r="K289" t="s">
        <v>18640</v>
      </c>
      <c r="L289" t="s">
        <v>18640</v>
      </c>
      <c r="M289">
        <v>2</v>
      </c>
      <c r="N289" t="s">
        <v>17367</v>
      </c>
      <c r="O289" t="s">
        <v>23391</v>
      </c>
    </row>
    <row r="290" spans="1:15" x14ac:dyDescent="0.25">
      <c r="A290" t="s">
        <v>4</v>
      </c>
      <c r="B290" t="s">
        <v>4111</v>
      </c>
      <c r="C290" s="18" t="str">
        <f>HYPERLINK("https://rhld.insurance.arkansas.gov/NPILookup?Npi=1649770629","1649770629")</f>
        <v>1649770629</v>
      </c>
      <c r="D290" t="s">
        <v>18390</v>
      </c>
      <c r="E290" t="s">
        <v>17368</v>
      </c>
      <c r="F290">
        <v>1</v>
      </c>
      <c r="G290">
        <v>2</v>
      </c>
      <c r="H290">
        <v>0</v>
      </c>
      <c r="I290">
        <v>0</v>
      </c>
      <c r="J290" t="s">
        <v>17370</v>
      </c>
      <c r="K290" t="s">
        <v>18640</v>
      </c>
      <c r="L290" t="s">
        <v>18640</v>
      </c>
      <c r="M290">
        <v>2</v>
      </c>
      <c r="N290" t="s">
        <v>17367</v>
      </c>
      <c r="O290" t="s">
        <v>23391</v>
      </c>
    </row>
    <row r="291" spans="1:15" x14ac:dyDescent="0.25">
      <c r="A291" t="s">
        <v>4</v>
      </c>
      <c r="B291" t="s">
        <v>4111</v>
      </c>
      <c r="C291" s="18" t="str">
        <f>HYPERLINK("https://rhld.insurance.arkansas.gov/NPILookup?Npi=1649878042","1649878042")</f>
        <v>1649878042</v>
      </c>
      <c r="D291" t="s">
        <v>23158</v>
      </c>
      <c r="E291" t="s">
        <v>17366</v>
      </c>
      <c r="F291">
        <v>2</v>
      </c>
      <c r="G291">
        <v>3</v>
      </c>
      <c r="H291">
        <v>0</v>
      </c>
      <c r="I291">
        <v>0</v>
      </c>
      <c r="J291" t="s">
        <v>23401</v>
      </c>
      <c r="K291" t="s">
        <v>18640</v>
      </c>
      <c r="L291" t="s">
        <v>18640</v>
      </c>
      <c r="M291">
        <v>3</v>
      </c>
      <c r="N291" t="s">
        <v>17367</v>
      </c>
      <c r="O291" t="s">
        <v>23391</v>
      </c>
    </row>
    <row r="292" spans="1:15" x14ac:dyDescent="0.25">
      <c r="A292" t="s">
        <v>4</v>
      </c>
      <c r="B292" t="s">
        <v>4111</v>
      </c>
      <c r="C292" s="18" t="str">
        <f>HYPERLINK("https://rhld.insurance.arkansas.gov/NPILookup?Npi=1659786705","1659786705")</f>
        <v>1659786705</v>
      </c>
      <c r="D292" t="s">
        <v>23159</v>
      </c>
      <c r="E292" t="s">
        <v>17366</v>
      </c>
      <c r="F292">
        <v>1</v>
      </c>
      <c r="G292">
        <v>2</v>
      </c>
      <c r="H292">
        <v>0</v>
      </c>
      <c r="I292">
        <v>0</v>
      </c>
      <c r="J292" t="s">
        <v>21420</v>
      </c>
      <c r="K292" t="s">
        <v>18640</v>
      </c>
      <c r="L292" t="s">
        <v>18640</v>
      </c>
      <c r="M292">
        <v>2</v>
      </c>
      <c r="N292" t="s">
        <v>17367</v>
      </c>
      <c r="O292" t="s">
        <v>23391</v>
      </c>
    </row>
    <row r="293" spans="1:15" x14ac:dyDescent="0.25">
      <c r="A293" t="s">
        <v>4</v>
      </c>
      <c r="B293" t="s">
        <v>4111</v>
      </c>
      <c r="C293" s="18" t="str">
        <f>HYPERLINK("https://rhld.insurance.arkansas.gov/NPILookup?Npi=1669054011","1669054011")</f>
        <v>1669054011</v>
      </c>
      <c r="D293" t="s">
        <v>23161</v>
      </c>
      <c r="E293" t="s">
        <v>17366</v>
      </c>
      <c r="F293">
        <v>2</v>
      </c>
      <c r="G293">
        <v>3</v>
      </c>
      <c r="H293">
        <v>0</v>
      </c>
      <c r="I293">
        <v>0</v>
      </c>
      <c r="J293" t="s">
        <v>23401</v>
      </c>
      <c r="K293" t="s">
        <v>18640</v>
      </c>
      <c r="L293" t="s">
        <v>18640</v>
      </c>
      <c r="M293">
        <v>3</v>
      </c>
      <c r="N293" t="s">
        <v>17367</v>
      </c>
      <c r="O293" t="s">
        <v>23391</v>
      </c>
    </row>
    <row r="294" spans="1:15" x14ac:dyDescent="0.25">
      <c r="A294" t="s">
        <v>4</v>
      </c>
      <c r="B294" t="s">
        <v>4111</v>
      </c>
      <c r="C294" s="18" t="str">
        <f>HYPERLINK("https://rhld.insurance.arkansas.gov/NPILookup?Npi=1669155305","1669155305")</f>
        <v>1669155305</v>
      </c>
      <c r="D294" t="s">
        <v>23162</v>
      </c>
      <c r="E294" t="s">
        <v>17366</v>
      </c>
      <c r="F294">
        <v>1</v>
      </c>
      <c r="G294">
        <v>3</v>
      </c>
      <c r="H294">
        <v>0</v>
      </c>
      <c r="I294">
        <v>0</v>
      </c>
      <c r="J294" t="s">
        <v>21420</v>
      </c>
      <c r="K294" t="s">
        <v>18640</v>
      </c>
      <c r="L294" t="s">
        <v>18640</v>
      </c>
      <c r="M294">
        <v>3</v>
      </c>
      <c r="N294" t="s">
        <v>17367</v>
      </c>
      <c r="O294" t="s">
        <v>23391</v>
      </c>
    </row>
    <row r="295" spans="1:15" x14ac:dyDescent="0.25">
      <c r="A295" t="s">
        <v>4</v>
      </c>
      <c r="B295" t="s">
        <v>4111</v>
      </c>
      <c r="C295" s="18" t="str">
        <f>HYPERLINK("https://rhld.insurance.arkansas.gov/NPILookup?Npi=1669408712","1669408712")</f>
        <v>1669408712</v>
      </c>
      <c r="D295" t="s">
        <v>5390</v>
      </c>
      <c r="E295" t="s">
        <v>17368</v>
      </c>
      <c r="F295">
        <v>1</v>
      </c>
      <c r="G295">
        <v>3</v>
      </c>
      <c r="H295">
        <v>0</v>
      </c>
      <c r="I295">
        <v>0</v>
      </c>
      <c r="J295" t="s">
        <v>17370</v>
      </c>
      <c r="K295" t="s">
        <v>18640</v>
      </c>
      <c r="L295" t="s">
        <v>18640</v>
      </c>
      <c r="M295">
        <v>3</v>
      </c>
      <c r="N295" t="s">
        <v>17367</v>
      </c>
      <c r="O295" t="s">
        <v>23391</v>
      </c>
    </row>
    <row r="296" spans="1:15" x14ac:dyDescent="0.25">
      <c r="A296" t="s">
        <v>4</v>
      </c>
      <c r="B296" t="s">
        <v>4111</v>
      </c>
      <c r="C296" s="18" t="str">
        <f>HYPERLINK("https://rhld.insurance.arkansas.gov/NPILookup?Npi=1669789160","1669789160")</f>
        <v>1669789160</v>
      </c>
      <c r="D296" t="s">
        <v>22208</v>
      </c>
      <c r="E296" t="s">
        <v>17368</v>
      </c>
      <c r="F296">
        <v>1</v>
      </c>
      <c r="G296">
        <v>3</v>
      </c>
      <c r="H296">
        <v>0</v>
      </c>
      <c r="I296">
        <v>0</v>
      </c>
      <c r="J296" t="s">
        <v>23409</v>
      </c>
      <c r="K296" t="s">
        <v>18640</v>
      </c>
      <c r="L296" t="s">
        <v>18640</v>
      </c>
      <c r="M296">
        <v>3</v>
      </c>
      <c r="N296" t="s">
        <v>17367</v>
      </c>
      <c r="O296" t="s">
        <v>23391</v>
      </c>
    </row>
    <row r="297" spans="1:15" x14ac:dyDescent="0.25">
      <c r="A297" t="s">
        <v>4</v>
      </c>
      <c r="B297" t="s">
        <v>4111</v>
      </c>
      <c r="C297" s="18" t="str">
        <f>HYPERLINK("https://rhld.insurance.arkansas.gov/NPILookup?Npi=1669830360","1669830360")</f>
        <v>1669830360</v>
      </c>
      <c r="D297" t="s">
        <v>23163</v>
      </c>
      <c r="E297" t="s">
        <v>17366</v>
      </c>
      <c r="F297">
        <v>1</v>
      </c>
      <c r="G297">
        <v>3</v>
      </c>
      <c r="H297">
        <v>0</v>
      </c>
      <c r="I297">
        <v>0</v>
      </c>
      <c r="J297" t="s">
        <v>23390</v>
      </c>
      <c r="K297" t="s">
        <v>18640</v>
      </c>
      <c r="L297" t="s">
        <v>18640</v>
      </c>
      <c r="M297">
        <v>3</v>
      </c>
      <c r="N297" t="s">
        <v>17367</v>
      </c>
      <c r="O297" t="s">
        <v>23391</v>
      </c>
    </row>
    <row r="298" spans="1:15" x14ac:dyDescent="0.25">
      <c r="A298" t="s">
        <v>4</v>
      </c>
      <c r="B298" t="s">
        <v>4111</v>
      </c>
      <c r="C298" s="18" t="str">
        <f>HYPERLINK("https://rhld.insurance.arkansas.gov/NPILookup?Npi=1679251698","1679251698")</f>
        <v>1679251698</v>
      </c>
      <c r="D298" t="s">
        <v>23164</v>
      </c>
      <c r="E298" t="s">
        <v>17366</v>
      </c>
      <c r="F298">
        <v>2</v>
      </c>
      <c r="G298">
        <v>3</v>
      </c>
      <c r="H298">
        <v>0</v>
      </c>
      <c r="I298">
        <v>0</v>
      </c>
      <c r="J298" t="s">
        <v>23401</v>
      </c>
      <c r="K298" t="s">
        <v>18640</v>
      </c>
      <c r="L298" t="s">
        <v>18640</v>
      </c>
      <c r="M298">
        <v>3</v>
      </c>
      <c r="N298" t="s">
        <v>17367</v>
      </c>
      <c r="O298" t="s">
        <v>23391</v>
      </c>
    </row>
    <row r="299" spans="1:15" x14ac:dyDescent="0.25">
      <c r="A299" t="s">
        <v>4</v>
      </c>
      <c r="B299" t="s">
        <v>4111</v>
      </c>
      <c r="C299" s="18" t="str">
        <f>HYPERLINK("https://rhld.insurance.arkansas.gov/NPILookup?Npi=1699356824","1699356824")</f>
        <v>1699356824</v>
      </c>
      <c r="D299" t="s">
        <v>23166</v>
      </c>
      <c r="E299" t="s">
        <v>17366</v>
      </c>
      <c r="F299">
        <v>2</v>
      </c>
      <c r="G299">
        <v>3</v>
      </c>
      <c r="H299">
        <v>0</v>
      </c>
      <c r="I299">
        <v>0</v>
      </c>
      <c r="J299" t="s">
        <v>23401</v>
      </c>
      <c r="K299" t="s">
        <v>18640</v>
      </c>
      <c r="L299" t="s">
        <v>18640</v>
      </c>
      <c r="M299">
        <v>3</v>
      </c>
      <c r="N299" t="s">
        <v>17367</v>
      </c>
      <c r="O299" t="s">
        <v>23391</v>
      </c>
    </row>
    <row r="300" spans="1:15" x14ac:dyDescent="0.25">
      <c r="A300" t="s">
        <v>4</v>
      </c>
      <c r="B300" t="s">
        <v>4111</v>
      </c>
      <c r="C300" s="18" t="str">
        <f>HYPERLINK("https://rhld.insurance.arkansas.gov/NPILookup?Npi=1700314994","1700314994")</f>
        <v>1700314994</v>
      </c>
      <c r="D300" t="s">
        <v>23168</v>
      </c>
      <c r="E300" t="s">
        <v>17366</v>
      </c>
      <c r="F300">
        <v>1</v>
      </c>
      <c r="G300">
        <v>3</v>
      </c>
      <c r="H300">
        <v>0</v>
      </c>
      <c r="I300">
        <v>0</v>
      </c>
      <c r="J300" t="s">
        <v>23390</v>
      </c>
      <c r="K300" t="s">
        <v>18640</v>
      </c>
      <c r="L300" t="s">
        <v>18640</v>
      </c>
      <c r="M300">
        <v>3</v>
      </c>
      <c r="N300" t="s">
        <v>17367</v>
      </c>
      <c r="O300" t="s">
        <v>23391</v>
      </c>
    </row>
    <row r="301" spans="1:15" x14ac:dyDescent="0.25">
      <c r="A301" t="s">
        <v>4</v>
      </c>
      <c r="B301" t="s">
        <v>4111</v>
      </c>
      <c r="C301" s="18" t="str">
        <f>HYPERLINK("https://rhld.insurance.arkansas.gov/NPILookup?Npi=1709258317","1709258317")</f>
        <v>1709258317</v>
      </c>
      <c r="D301" t="s">
        <v>23170</v>
      </c>
      <c r="E301" t="s">
        <v>17366</v>
      </c>
      <c r="F301">
        <v>1</v>
      </c>
      <c r="G301">
        <v>2</v>
      </c>
      <c r="H301">
        <v>0</v>
      </c>
      <c r="I301">
        <v>0</v>
      </c>
      <c r="J301" t="s">
        <v>21420</v>
      </c>
      <c r="K301" t="s">
        <v>18640</v>
      </c>
      <c r="L301" t="s">
        <v>18640</v>
      </c>
      <c r="M301">
        <v>2</v>
      </c>
      <c r="N301" t="s">
        <v>17367</v>
      </c>
      <c r="O301" t="s">
        <v>23391</v>
      </c>
    </row>
    <row r="302" spans="1:15" x14ac:dyDescent="0.25">
      <c r="A302" t="s">
        <v>4</v>
      </c>
      <c r="B302" t="s">
        <v>4111</v>
      </c>
      <c r="C302" s="18" t="str">
        <f>HYPERLINK("https://rhld.insurance.arkansas.gov/NPILookup?Npi=1710014170","1710014170")</f>
        <v>1710014170</v>
      </c>
      <c r="D302" t="s">
        <v>5491</v>
      </c>
      <c r="E302" t="s">
        <v>17368</v>
      </c>
      <c r="F302">
        <v>1</v>
      </c>
      <c r="G302">
        <v>2</v>
      </c>
      <c r="H302">
        <v>0</v>
      </c>
      <c r="I302">
        <v>0</v>
      </c>
      <c r="J302" t="s">
        <v>17370</v>
      </c>
      <c r="K302" t="s">
        <v>18640</v>
      </c>
      <c r="L302" t="s">
        <v>18640</v>
      </c>
      <c r="M302">
        <v>2</v>
      </c>
      <c r="N302" t="s">
        <v>17367</v>
      </c>
      <c r="O302" t="s">
        <v>23391</v>
      </c>
    </row>
    <row r="303" spans="1:15" x14ac:dyDescent="0.25">
      <c r="A303" t="s">
        <v>4</v>
      </c>
      <c r="B303" t="s">
        <v>4111</v>
      </c>
      <c r="C303" s="18" t="str">
        <f>HYPERLINK("https://rhld.insurance.arkansas.gov/NPILookup?Npi=1710483458","1710483458")</f>
        <v>1710483458</v>
      </c>
      <c r="D303" t="s">
        <v>23171</v>
      </c>
      <c r="E303" t="s">
        <v>17366</v>
      </c>
      <c r="F303">
        <v>2</v>
      </c>
      <c r="G303">
        <v>3</v>
      </c>
      <c r="H303">
        <v>0</v>
      </c>
      <c r="I303">
        <v>0</v>
      </c>
      <c r="J303" t="s">
        <v>23401</v>
      </c>
      <c r="K303" t="s">
        <v>18640</v>
      </c>
      <c r="L303" t="s">
        <v>18640</v>
      </c>
      <c r="M303">
        <v>3</v>
      </c>
      <c r="N303" t="s">
        <v>17367</v>
      </c>
      <c r="O303" t="s">
        <v>23391</v>
      </c>
    </row>
    <row r="304" spans="1:15" x14ac:dyDescent="0.25">
      <c r="A304" t="s">
        <v>4</v>
      </c>
      <c r="B304" t="s">
        <v>4111</v>
      </c>
      <c r="C304" s="18" t="str">
        <f>HYPERLINK("https://rhld.insurance.arkansas.gov/NPILookup?Npi=1710576590","1710576590")</f>
        <v>1710576590</v>
      </c>
      <c r="D304" t="s">
        <v>23172</v>
      </c>
      <c r="E304" t="s">
        <v>17366</v>
      </c>
      <c r="F304">
        <v>2</v>
      </c>
      <c r="G304">
        <v>3</v>
      </c>
      <c r="H304">
        <v>0</v>
      </c>
      <c r="I304">
        <v>0</v>
      </c>
      <c r="J304" t="s">
        <v>23401</v>
      </c>
      <c r="K304" t="s">
        <v>18640</v>
      </c>
      <c r="L304" t="s">
        <v>18640</v>
      </c>
      <c r="M304">
        <v>3</v>
      </c>
      <c r="N304" t="s">
        <v>17367</v>
      </c>
      <c r="O304" t="s">
        <v>23391</v>
      </c>
    </row>
    <row r="305" spans="1:15" x14ac:dyDescent="0.25">
      <c r="A305" t="s">
        <v>4</v>
      </c>
      <c r="B305" t="s">
        <v>4111</v>
      </c>
      <c r="C305" s="18" t="str">
        <f>HYPERLINK("https://rhld.insurance.arkansas.gov/NPILookup?Npi=1720672728","1720672728")</f>
        <v>1720672728</v>
      </c>
      <c r="D305" t="s">
        <v>23176</v>
      </c>
      <c r="E305" t="s">
        <v>17366</v>
      </c>
      <c r="F305">
        <v>1</v>
      </c>
      <c r="G305">
        <v>2</v>
      </c>
      <c r="H305">
        <v>0</v>
      </c>
      <c r="I305">
        <v>0</v>
      </c>
      <c r="J305" t="s">
        <v>23390</v>
      </c>
      <c r="K305" t="s">
        <v>18640</v>
      </c>
      <c r="L305" t="s">
        <v>18640</v>
      </c>
      <c r="M305">
        <v>2</v>
      </c>
      <c r="N305" t="s">
        <v>17367</v>
      </c>
      <c r="O305" t="s">
        <v>23391</v>
      </c>
    </row>
    <row r="306" spans="1:15" x14ac:dyDescent="0.25">
      <c r="A306" t="s">
        <v>4</v>
      </c>
      <c r="B306" t="s">
        <v>4111</v>
      </c>
      <c r="C306" s="18" t="str">
        <f>HYPERLINK("https://rhld.insurance.arkansas.gov/NPILookup?Npi=1720687981","1720687981")</f>
        <v>1720687981</v>
      </c>
      <c r="D306" t="s">
        <v>22873</v>
      </c>
      <c r="E306" t="s">
        <v>17366</v>
      </c>
      <c r="F306">
        <v>1</v>
      </c>
      <c r="G306">
        <v>3</v>
      </c>
      <c r="H306">
        <v>0</v>
      </c>
      <c r="I306">
        <v>0</v>
      </c>
      <c r="J306" t="s">
        <v>21420</v>
      </c>
      <c r="K306" t="s">
        <v>18640</v>
      </c>
      <c r="L306" t="s">
        <v>18640</v>
      </c>
      <c r="M306">
        <v>3</v>
      </c>
      <c r="N306" t="s">
        <v>17367</v>
      </c>
      <c r="O306" t="s">
        <v>23391</v>
      </c>
    </row>
    <row r="307" spans="1:15" x14ac:dyDescent="0.25">
      <c r="A307" t="s">
        <v>4</v>
      </c>
      <c r="B307" t="s">
        <v>4111</v>
      </c>
      <c r="C307" s="18" t="str">
        <f>HYPERLINK("https://rhld.insurance.arkansas.gov/NPILookup?Npi=1730873985","1730873985")</f>
        <v>1730873985</v>
      </c>
      <c r="D307" t="s">
        <v>23178</v>
      </c>
      <c r="E307" t="s">
        <v>17366</v>
      </c>
      <c r="F307">
        <v>1</v>
      </c>
      <c r="G307">
        <v>3</v>
      </c>
      <c r="H307">
        <v>0</v>
      </c>
      <c r="I307">
        <v>0</v>
      </c>
      <c r="J307" t="s">
        <v>23390</v>
      </c>
      <c r="K307" t="s">
        <v>18640</v>
      </c>
      <c r="L307" t="s">
        <v>18640</v>
      </c>
      <c r="M307">
        <v>3</v>
      </c>
      <c r="N307" t="s">
        <v>17367</v>
      </c>
      <c r="O307" t="s">
        <v>23391</v>
      </c>
    </row>
    <row r="308" spans="1:15" x14ac:dyDescent="0.25">
      <c r="A308" t="s">
        <v>4</v>
      </c>
      <c r="B308" t="s">
        <v>4111</v>
      </c>
      <c r="C308" s="18" t="str">
        <f>HYPERLINK("https://rhld.insurance.arkansas.gov/NPILookup?Npi=1740602093","1740602093")</f>
        <v>1740602093</v>
      </c>
      <c r="D308" t="s">
        <v>23180</v>
      </c>
      <c r="E308" t="s">
        <v>17366</v>
      </c>
      <c r="F308">
        <v>1</v>
      </c>
      <c r="G308">
        <v>3</v>
      </c>
      <c r="H308">
        <v>0</v>
      </c>
      <c r="I308">
        <v>0</v>
      </c>
      <c r="J308" t="s">
        <v>21420</v>
      </c>
      <c r="K308" t="s">
        <v>18640</v>
      </c>
      <c r="L308" t="s">
        <v>18640</v>
      </c>
      <c r="M308">
        <v>3</v>
      </c>
      <c r="N308" t="s">
        <v>17367</v>
      </c>
      <c r="O308" t="s">
        <v>23391</v>
      </c>
    </row>
    <row r="309" spans="1:15" x14ac:dyDescent="0.25">
      <c r="A309" t="s">
        <v>4</v>
      </c>
      <c r="B309" t="s">
        <v>4111</v>
      </c>
      <c r="C309" s="18" t="str">
        <f>HYPERLINK("https://rhld.insurance.arkansas.gov/NPILookup?Npi=1740868447","1740868447")</f>
        <v>1740868447</v>
      </c>
      <c r="D309" t="s">
        <v>23181</v>
      </c>
      <c r="E309" t="s">
        <v>17366</v>
      </c>
      <c r="F309">
        <v>1</v>
      </c>
      <c r="G309">
        <v>3</v>
      </c>
      <c r="H309">
        <v>0</v>
      </c>
      <c r="I309">
        <v>0</v>
      </c>
      <c r="J309" t="s">
        <v>21420</v>
      </c>
      <c r="K309" t="s">
        <v>18640</v>
      </c>
      <c r="L309" t="s">
        <v>18640</v>
      </c>
      <c r="M309">
        <v>3</v>
      </c>
      <c r="N309" t="s">
        <v>17367</v>
      </c>
      <c r="O309" t="s">
        <v>23391</v>
      </c>
    </row>
    <row r="310" spans="1:15" x14ac:dyDescent="0.25">
      <c r="A310" t="s">
        <v>4</v>
      </c>
      <c r="B310" t="s">
        <v>4111</v>
      </c>
      <c r="C310" s="18" t="str">
        <f>HYPERLINK("https://rhld.insurance.arkansas.gov/NPILookup?Npi=1747099764","1747099764")</f>
        <v>1747099764</v>
      </c>
      <c r="D310" t="s">
        <v>23170</v>
      </c>
      <c r="E310" t="s">
        <v>17366</v>
      </c>
      <c r="F310">
        <v>1</v>
      </c>
      <c r="G310">
        <v>2</v>
      </c>
      <c r="H310">
        <v>0</v>
      </c>
      <c r="I310">
        <v>0</v>
      </c>
      <c r="J310" t="s">
        <v>21420</v>
      </c>
      <c r="K310" t="s">
        <v>18640</v>
      </c>
      <c r="L310" t="s">
        <v>18640</v>
      </c>
      <c r="M310">
        <v>2</v>
      </c>
      <c r="N310" t="s">
        <v>17367</v>
      </c>
      <c r="O310" t="s">
        <v>23391</v>
      </c>
    </row>
    <row r="311" spans="1:15" x14ac:dyDescent="0.25">
      <c r="A311" t="s">
        <v>4</v>
      </c>
      <c r="B311" t="s">
        <v>4111</v>
      </c>
      <c r="C311" s="18" t="str">
        <f>HYPERLINK("https://rhld.insurance.arkansas.gov/NPILookup?Npi=1750044798","1750044798")</f>
        <v>1750044798</v>
      </c>
      <c r="D311" t="s">
        <v>23182</v>
      </c>
      <c r="E311" t="s">
        <v>17366</v>
      </c>
      <c r="F311">
        <v>1</v>
      </c>
      <c r="G311">
        <v>3</v>
      </c>
      <c r="H311">
        <v>0</v>
      </c>
      <c r="I311">
        <v>0</v>
      </c>
      <c r="J311" t="s">
        <v>21420</v>
      </c>
      <c r="K311" t="s">
        <v>18640</v>
      </c>
      <c r="L311" t="s">
        <v>18640</v>
      </c>
      <c r="M311">
        <v>3</v>
      </c>
      <c r="N311" t="s">
        <v>17367</v>
      </c>
      <c r="O311" t="s">
        <v>23391</v>
      </c>
    </row>
    <row r="312" spans="1:15" x14ac:dyDescent="0.25">
      <c r="A312" t="s">
        <v>4</v>
      </c>
      <c r="B312" t="s">
        <v>4111</v>
      </c>
      <c r="C312" s="18" t="str">
        <f>HYPERLINK("https://rhld.insurance.arkansas.gov/NPILookup?Npi=1760438642","1760438642")</f>
        <v>1760438642</v>
      </c>
      <c r="D312" t="s">
        <v>23183</v>
      </c>
      <c r="E312" t="s">
        <v>17366</v>
      </c>
      <c r="F312">
        <v>1</v>
      </c>
      <c r="G312">
        <v>2</v>
      </c>
      <c r="H312">
        <v>0</v>
      </c>
      <c r="I312">
        <v>0</v>
      </c>
      <c r="J312" t="s">
        <v>21420</v>
      </c>
      <c r="K312" t="s">
        <v>18640</v>
      </c>
      <c r="L312" t="s">
        <v>18640</v>
      </c>
      <c r="M312">
        <v>2</v>
      </c>
      <c r="N312" t="s">
        <v>17367</v>
      </c>
      <c r="O312" t="s">
        <v>23391</v>
      </c>
    </row>
    <row r="313" spans="1:15" x14ac:dyDescent="0.25">
      <c r="A313" t="s">
        <v>4</v>
      </c>
      <c r="B313" t="s">
        <v>4111</v>
      </c>
      <c r="C313" s="18" t="str">
        <f>HYPERLINK("https://rhld.insurance.arkansas.gov/NPILookup?Npi=1760529549","1760529549")</f>
        <v>1760529549</v>
      </c>
      <c r="D313" t="s">
        <v>23184</v>
      </c>
      <c r="E313" t="s">
        <v>17366</v>
      </c>
      <c r="F313">
        <v>2</v>
      </c>
      <c r="G313">
        <v>3</v>
      </c>
      <c r="H313">
        <v>0</v>
      </c>
      <c r="I313">
        <v>0</v>
      </c>
      <c r="J313" t="s">
        <v>23401</v>
      </c>
      <c r="K313" t="s">
        <v>18640</v>
      </c>
      <c r="L313" t="s">
        <v>18640</v>
      </c>
      <c r="M313">
        <v>3</v>
      </c>
      <c r="N313" t="s">
        <v>17367</v>
      </c>
      <c r="O313" t="s">
        <v>23391</v>
      </c>
    </row>
    <row r="314" spans="1:15" x14ac:dyDescent="0.25">
      <c r="A314" t="s">
        <v>4</v>
      </c>
      <c r="B314" t="s">
        <v>4111</v>
      </c>
      <c r="C314" s="18" t="str">
        <f>HYPERLINK("https://rhld.insurance.arkansas.gov/NPILookup?Npi=1760649594","1760649594")</f>
        <v>1760649594</v>
      </c>
      <c r="D314" t="s">
        <v>23185</v>
      </c>
      <c r="E314" t="s">
        <v>17366</v>
      </c>
      <c r="F314">
        <v>1</v>
      </c>
      <c r="G314">
        <v>3</v>
      </c>
      <c r="H314">
        <v>0</v>
      </c>
      <c r="I314">
        <v>0</v>
      </c>
      <c r="J314" t="s">
        <v>23390</v>
      </c>
      <c r="K314" t="s">
        <v>18640</v>
      </c>
      <c r="L314" t="s">
        <v>18640</v>
      </c>
      <c r="M314">
        <v>3</v>
      </c>
      <c r="N314" t="s">
        <v>17367</v>
      </c>
      <c r="O314" t="s">
        <v>23391</v>
      </c>
    </row>
    <row r="315" spans="1:15" x14ac:dyDescent="0.25">
      <c r="A315" t="s">
        <v>4</v>
      </c>
      <c r="B315" t="s">
        <v>4111</v>
      </c>
      <c r="C315" s="18" t="str">
        <f>HYPERLINK("https://rhld.insurance.arkansas.gov/NPILookup?Npi=1760851703","1760851703")</f>
        <v>1760851703</v>
      </c>
      <c r="D315" t="s">
        <v>16095</v>
      </c>
      <c r="E315" t="s">
        <v>17366</v>
      </c>
      <c r="F315">
        <v>2</v>
      </c>
      <c r="G315">
        <v>3</v>
      </c>
      <c r="H315">
        <v>0</v>
      </c>
      <c r="I315">
        <v>0</v>
      </c>
      <c r="J315" t="s">
        <v>23401</v>
      </c>
      <c r="K315" t="s">
        <v>18640</v>
      </c>
      <c r="L315" t="s">
        <v>18640</v>
      </c>
      <c r="M315">
        <v>3</v>
      </c>
      <c r="N315" t="s">
        <v>17367</v>
      </c>
      <c r="O315" t="s">
        <v>23391</v>
      </c>
    </row>
    <row r="316" spans="1:15" x14ac:dyDescent="0.25">
      <c r="A316" t="s">
        <v>4</v>
      </c>
      <c r="B316" t="s">
        <v>4111</v>
      </c>
      <c r="C316" s="18" t="str">
        <f>HYPERLINK("https://rhld.insurance.arkansas.gov/NPILookup?Npi=1760864615","1760864615")</f>
        <v>1760864615</v>
      </c>
      <c r="D316" t="s">
        <v>23392</v>
      </c>
      <c r="E316" t="s">
        <v>17366</v>
      </c>
      <c r="F316">
        <v>1</v>
      </c>
      <c r="G316">
        <v>0</v>
      </c>
      <c r="H316">
        <v>0</v>
      </c>
      <c r="I316">
        <v>0</v>
      </c>
      <c r="J316" t="s">
        <v>21420</v>
      </c>
      <c r="K316" t="s">
        <v>18640</v>
      </c>
      <c r="L316" t="s">
        <v>18640</v>
      </c>
      <c r="M316">
        <v>0</v>
      </c>
      <c r="N316" t="s">
        <v>17369</v>
      </c>
      <c r="O316" t="s">
        <v>23394</v>
      </c>
    </row>
    <row r="317" spans="1:15" x14ac:dyDescent="0.25">
      <c r="A317" t="s">
        <v>4</v>
      </c>
      <c r="B317" t="s">
        <v>4111</v>
      </c>
      <c r="C317" s="18" t="str">
        <f>HYPERLINK("https://rhld.insurance.arkansas.gov/NPILookup?Npi=1780292771","1780292771")</f>
        <v>1780292771</v>
      </c>
      <c r="D317" t="s">
        <v>23187</v>
      </c>
      <c r="E317" t="s">
        <v>17366</v>
      </c>
      <c r="F317">
        <v>1</v>
      </c>
      <c r="G317">
        <v>2</v>
      </c>
      <c r="H317">
        <v>0</v>
      </c>
      <c r="I317">
        <v>0</v>
      </c>
      <c r="J317" t="s">
        <v>23390</v>
      </c>
      <c r="K317" t="s">
        <v>18640</v>
      </c>
      <c r="L317" t="s">
        <v>18640</v>
      </c>
      <c r="M317">
        <v>2</v>
      </c>
      <c r="N317" t="s">
        <v>17367</v>
      </c>
      <c r="O317" t="s">
        <v>23391</v>
      </c>
    </row>
    <row r="318" spans="1:15" x14ac:dyDescent="0.25">
      <c r="A318" t="s">
        <v>4</v>
      </c>
      <c r="B318" t="s">
        <v>4111</v>
      </c>
      <c r="C318" s="18" t="str">
        <f>HYPERLINK("https://rhld.insurance.arkansas.gov/NPILookup?Npi=1780340174","1780340174")</f>
        <v>1780340174</v>
      </c>
      <c r="D318" t="s">
        <v>23188</v>
      </c>
      <c r="E318" t="s">
        <v>17366</v>
      </c>
      <c r="F318">
        <v>1</v>
      </c>
      <c r="G318">
        <v>3</v>
      </c>
      <c r="H318">
        <v>0</v>
      </c>
      <c r="I318">
        <v>0</v>
      </c>
      <c r="J318" t="s">
        <v>23390</v>
      </c>
      <c r="K318" t="s">
        <v>18640</v>
      </c>
      <c r="L318" t="s">
        <v>18640</v>
      </c>
      <c r="M318">
        <v>3</v>
      </c>
      <c r="N318" t="s">
        <v>17367</v>
      </c>
      <c r="O318" t="s">
        <v>23391</v>
      </c>
    </row>
    <row r="319" spans="1:15" x14ac:dyDescent="0.25">
      <c r="A319" t="s">
        <v>4</v>
      </c>
      <c r="B319" t="s">
        <v>4111</v>
      </c>
      <c r="C319" s="18" t="str">
        <f>HYPERLINK("https://rhld.insurance.arkansas.gov/NPILookup?Npi=1780822973","1780822973")</f>
        <v>1780822973</v>
      </c>
      <c r="D319" t="s">
        <v>23189</v>
      </c>
      <c r="E319" t="s">
        <v>17366</v>
      </c>
      <c r="F319">
        <v>1</v>
      </c>
      <c r="G319">
        <v>3</v>
      </c>
      <c r="H319">
        <v>0</v>
      </c>
      <c r="I319">
        <v>0</v>
      </c>
      <c r="J319" t="s">
        <v>21420</v>
      </c>
      <c r="K319" t="s">
        <v>18640</v>
      </c>
      <c r="L319" t="s">
        <v>18640</v>
      </c>
      <c r="M319">
        <v>3</v>
      </c>
      <c r="N319" t="s">
        <v>17367</v>
      </c>
      <c r="O319" t="s">
        <v>23391</v>
      </c>
    </row>
    <row r="320" spans="1:15" x14ac:dyDescent="0.25">
      <c r="A320" t="s">
        <v>4</v>
      </c>
      <c r="B320" t="s">
        <v>4111</v>
      </c>
      <c r="C320" s="18" t="str">
        <f>HYPERLINK("https://rhld.insurance.arkansas.gov/NPILookup?Npi=1790193118","1790193118")</f>
        <v>1790193118</v>
      </c>
      <c r="D320" t="s">
        <v>23190</v>
      </c>
      <c r="E320" t="s">
        <v>17366</v>
      </c>
      <c r="F320">
        <v>2</v>
      </c>
      <c r="G320">
        <v>3</v>
      </c>
      <c r="H320">
        <v>0</v>
      </c>
      <c r="I320">
        <v>0</v>
      </c>
      <c r="J320" t="s">
        <v>23401</v>
      </c>
      <c r="K320" t="s">
        <v>18640</v>
      </c>
      <c r="L320" t="s">
        <v>18640</v>
      </c>
      <c r="M320">
        <v>3</v>
      </c>
      <c r="N320" t="s">
        <v>17367</v>
      </c>
      <c r="O320" t="s">
        <v>23391</v>
      </c>
    </row>
    <row r="321" spans="1:15" x14ac:dyDescent="0.25">
      <c r="A321" t="s">
        <v>4</v>
      </c>
      <c r="B321" t="s">
        <v>4111</v>
      </c>
      <c r="C321" s="18" t="str">
        <f>HYPERLINK("https://rhld.insurance.arkansas.gov/NPILookup?Npi=1790311314","1790311314")</f>
        <v>1790311314</v>
      </c>
      <c r="D321" t="s">
        <v>23191</v>
      </c>
      <c r="E321" t="s">
        <v>17366</v>
      </c>
      <c r="F321">
        <v>1</v>
      </c>
      <c r="G321">
        <v>3</v>
      </c>
      <c r="H321">
        <v>0</v>
      </c>
      <c r="I321">
        <v>0</v>
      </c>
      <c r="J321" t="s">
        <v>21420</v>
      </c>
      <c r="K321" t="s">
        <v>18640</v>
      </c>
      <c r="L321" t="s">
        <v>18640</v>
      </c>
      <c r="M321">
        <v>3</v>
      </c>
      <c r="N321" t="s">
        <v>17367</v>
      </c>
      <c r="O321" t="s">
        <v>23391</v>
      </c>
    </row>
    <row r="322" spans="1:15" x14ac:dyDescent="0.25">
      <c r="A322" t="s">
        <v>4</v>
      </c>
      <c r="B322" t="s">
        <v>4111</v>
      </c>
      <c r="C322" s="18" t="str">
        <f>HYPERLINK("https://rhld.insurance.arkansas.gov/NPILookup?Npi=1811251770","1811251770")</f>
        <v>1811251770</v>
      </c>
      <c r="D322" t="s">
        <v>23194</v>
      </c>
      <c r="E322" t="s">
        <v>17366</v>
      </c>
      <c r="F322">
        <v>2</v>
      </c>
      <c r="G322">
        <v>3</v>
      </c>
      <c r="H322">
        <v>0</v>
      </c>
      <c r="I322">
        <v>0</v>
      </c>
      <c r="J322" t="s">
        <v>23401</v>
      </c>
      <c r="K322" t="s">
        <v>18640</v>
      </c>
      <c r="L322" t="s">
        <v>18640</v>
      </c>
      <c r="M322">
        <v>3</v>
      </c>
      <c r="N322" t="s">
        <v>17367</v>
      </c>
      <c r="O322" t="s">
        <v>23391</v>
      </c>
    </row>
    <row r="323" spans="1:15" x14ac:dyDescent="0.25">
      <c r="A323" t="s">
        <v>4</v>
      </c>
      <c r="B323" t="s">
        <v>4111</v>
      </c>
      <c r="C323" s="18" t="str">
        <f>HYPERLINK("https://rhld.insurance.arkansas.gov/NPILookup?Npi=1831432129","1831432129")</f>
        <v>1831432129</v>
      </c>
      <c r="D323" t="s">
        <v>23195</v>
      </c>
      <c r="E323" t="s">
        <v>17366</v>
      </c>
      <c r="F323">
        <v>1</v>
      </c>
      <c r="G323">
        <v>2</v>
      </c>
      <c r="H323">
        <v>0</v>
      </c>
      <c r="I323">
        <v>0</v>
      </c>
      <c r="J323" t="s">
        <v>23390</v>
      </c>
      <c r="K323" t="s">
        <v>18640</v>
      </c>
      <c r="L323" t="s">
        <v>18640</v>
      </c>
      <c r="M323">
        <v>2</v>
      </c>
      <c r="N323" t="s">
        <v>17367</v>
      </c>
      <c r="O323" t="s">
        <v>23391</v>
      </c>
    </row>
    <row r="324" spans="1:15" x14ac:dyDescent="0.25">
      <c r="A324" t="s">
        <v>4</v>
      </c>
      <c r="B324" t="s">
        <v>4111</v>
      </c>
      <c r="C324" s="18" t="str">
        <f>HYPERLINK("https://rhld.insurance.arkansas.gov/NPILookup?Npi=1831589605","1831589605")</f>
        <v>1831589605</v>
      </c>
      <c r="D324" t="s">
        <v>23196</v>
      </c>
      <c r="E324" t="s">
        <v>17366</v>
      </c>
      <c r="F324">
        <v>2</v>
      </c>
      <c r="G324">
        <v>3</v>
      </c>
      <c r="H324">
        <v>0</v>
      </c>
      <c r="I324">
        <v>0</v>
      </c>
      <c r="J324" t="s">
        <v>23401</v>
      </c>
      <c r="K324" t="s">
        <v>18640</v>
      </c>
      <c r="L324" t="s">
        <v>18640</v>
      </c>
      <c r="M324">
        <v>3</v>
      </c>
      <c r="N324" t="s">
        <v>17367</v>
      </c>
      <c r="O324" t="s">
        <v>23391</v>
      </c>
    </row>
    <row r="325" spans="1:15" x14ac:dyDescent="0.25">
      <c r="A325" t="s">
        <v>4</v>
      </c>
      <c r="B325" t="s">
        <v>4111</v>
      </c>
      <c r="C325" s="18" t="str">
        <f>HYPERLINK("https://rhld.insurance.arkansas.gov/NPILookup?Npi=1841354206","1841354206")</f>
        <v>1841354206</v>
      </c>
      <c r="D325" t="s">
        <v>5783</v>
      </c>
      <c r="E325" t="s">
        <v>17368</v>
      </c>
      <c r="F325">
        <v>1</v>
      </c>
      <c r="G325">
        <v>2</v>
      </c>
      <c r="H325">
        <v>0</v>
      </c>
      <c r="I325">
        <v>0</v>
      </c>
      <c r="J325" t="s">
        <v>23404</v>
      </c>
      <c r="K325" t="s">
        <v>18640</v>
      </c>
      <c r="L325" t="s">
        <v>18640</v>
      </c>
      <c r="M325">
        <v>2</v>
      </c>
      <c r="N325" t="s">
        <v>17367</v>
      </c>
      <c r="O325" t="s">
        <v>23391</v>
      </c>
    </row>
    <row r="326" spans="1:15" x14ac:dyDescent="0.25">
      <c r="A326" t="s">
        <v>4</v>
      </c>
      <c r="B326" t="s">
        <v>4111</v>
      </c>
      <c r="C326" s="18" t="str">
        <f>HYPERLINK("https://rhld.insurance.arkansas.gov/NPILookup?Npi=1841778453","1841778453")</f>
        <v>1841778453</v>
      </c>
      <c r="D326" t="s">
        <v>23198</v>
      </c>
      <c r="E326" t="s">
        <v>17366</v>
      </c>
      <c r="F326">
        <v>1</v>
      </c>
      <c r="G326">
        <v>3</v>
      </c>
      <c r="H326">
        <v>0</v>
      </c>
      <c r="I326">
        <v>0</v>
      </c>
      <c r="J326" t="s">
        <v>21420</v>
      </c>
      <c r="K326" t="s">
        <v>18640</v>
      </c>
      <c r="L326" t="s">
        <v>18640</v>
      </c>
      <c r="M326">
        <v>3</v>
      </c>
      <c r="N326" t="s">
        <v>17367</v>
      </c>
      <c r="O326" t="s">
        <v>23391</v>
      </c>
    </row>
    <row r="327" spans="1:15" x14ac:dyDescent="0.25">
      <c r="A327" t="s">
        <v>4</v>
      </c>
      <c r="B327" t="s">
        <v>4111</v>
      </c>
      <c r="C327" s="18" t="str">
        <f>HYPERLINK("https://rhld.insurance.arkansas.gov/NPILookup?Npi=1841941770","1841941770")</f>
        <v>1841941770</v>
      </c>
      <c r="D327" t="s">
        <v>23199</v>
      </c>
      <c r="E327" t="s">
        <v>17366</v>
      </c>
      <c r="F327">
        <v>1</v>
      </c>
      <c r="G327">
        <v>2</v>
      </c>
      <c r="H327">
        <v>0</v>
      </c>
      <c r="I327">
        <v>0</v>
      </c>
      <c r="J327" t="s">
        <v>23390</v>
      </c>
      <c r="K327" t="s">
        <v>18640</v>
      </c>
      <c r="L327" t="s">
        <v>18640</v>
      </c>
      <c r="M327">
        <v>2</v>
      </c>
      <c r="N327" t="s">
        <v>17367</v>
      </c>
      <c r="O327" t="s">
        <v>23391</v>
      </c>
    </row>
    <row r="328" spans="1:15" x14ac:dyDescent="0.25">
      <c r="A328" t="s">
        <v>4</v>
      </c>
      <c r="B328" t="s">
        <v>4111</v>
      </c>
      <c r="C328" s="18" t="str">
        <f>HYPERLINK("https://rhld.insurance.arkansas.gov/NPILookup?Npi=1851001507","1851001507")</f>
        <v>1851001507</v>
      </c>
      <c r="D328" t="s">
        <v>23200</v>
      </c>
      <c r="E328" t="s">
        <v>17366</v>
      </c>
      <c r="F328">
        <v>1</v>
      </c>
      <c r="G328">
        <v>2</v>
      </c>
      <c r="H328">
        <v>0</v>
      </c>
      <c r="I328">
        <v>0</v>
      </c>
      <c r="J328" t="s">
        <v>21420</v>
      </c>
      <c r="K328" t="s">
        <v>18640</v>
      </c>
      <c r="L328" t="s">
        <v>18640</v>
      </c>
      <c r="M328">
        <v>2</v>
      </c>
      <c r="N328" t="s">
        <v>17367</v>
      </c>
      <c r="O328" t="s">
        <v>23391</v>
      </c>
    </row>
    <row r="329" spans="1:15" x14ac:dyDescent="0.25">
      <c r="A329" t="s">
        <v>4</v>
      </c>
      <c r="B329" t="s">
        <v>4111</v>
      </c>
      <c r="C329" s="18" t="str">
        <f>HYPERLINK("https://rhld.insurance.arkansas.gov/NPILookup?Npi=1861186181","1861186181")</f>
        <v>1861186181</v>
      </c>
      <c r="D329" t="s">
        <v>23201</v>
      </c>
      <c r="E329" t="s">
        <v>17366</v>
      </c>
      <c r="F329">
        <v>1</v>
      </c>
      <c r="G329">
        <v>3</v>
      </c>
      <c r="H329">
        <v>0</v>
      </c>
      <c r="I329">
        <v>0</v>
      </c>
      <c r="J329" t="s">
        <v>21420</v>
      </c>
      <c r="K329" t="s">
        <v>18640</v>
      </c>
      <c r="L329" t="s">
        <v>18640</v>
      </c>
      <c r="M329">
        <v>3</v>
      </c>
      <c r="N329" t="s">
        <v>17367</v>
      </c>
      <c r="O329" t="s">
        <v>23391</v>
      </c>
    </row>
    <row r="330" spans="1:15" x14ac:dyDescent="0.25">
      <c r="A330" t="s">
        <v>4</v>
      </c>
      <c r="B330" t="s">
        <v>4111</v>
      </c>
      <c r="C330" s="18" t="str">
        <f>HYPERLINK("https://rhld.insurance.arkansas.gov/NPILookup?Npi=1871803403","1871803403")</f>
        <v>1871803403</v>
      </c>
      <c r="D330" t="s">
        <v>3988</v>
      </c>
      <c r="E330" t="s">
        <v>17368</v>
      </c>
      <c r="F330">
        <v>1</v>
      </c>
      <c r="G330">
        <v>3</v>
      </c>
      <c r="H330">
        <v>0</v>
      </c>
      <c r="I330">
        <v>0</v>
      </c>
      <c r="J330" t="s">
        <v>23410</v>
      </c>
      <c r="K330" t="s">
        <v>18640</v>
      </c>
      <c r="L330" t="s">
        <v>18640</v>
      </c>
      <c r="M330">
        <v>3</v>
      </c>
      <c r="N330" t="s">
        <v>17367</v>
      </c>
      <c r="O330" t="s">
        <v>23391</v>
      </c>
    </row>
    <row r="331" spans="1:15" x14ac:dyDescent="0.25">
      <c r="A331" t="s">
        <v>4</v>
      </c>
      <c r="B331" t="s">
        <v>4111</v>
      </c>
      <c r="C331" s="18" t="str">
        <f>HYPERLINK("https://rhld.insurance.arkansas.gov/NPILookup?Npi=1881253664","1881253664")</f>
        <v>1881253664</v>
      </c>
      <c r="D331" t="s">
        <v>23204</v>
      </c>
      <c r="E331" t="s">
        <v>17366</v>
      </c>
      <c r="F331">
        <v>1</v>
      </c>
      <c r="G331">
        <v>2</v>
      </c>
      <c r="H331">
        <v>0</v>
      </c>
      <c r="I331">
        <v>0</v>
      </c>
      <c r="J331" t="s">
        <v>23390</v>
      </c>
      <c r="K331" t="s">
        <v>18640</v>
      </c>
      <c r="L331" t="s">
        <v>18640</v>
      </c>
      <c r="M331">
        <v>2</v>
      </c>
      <c r="N331" t="s">
        <v>17367</v>
      </c>
      <c r="O331" t="s">
        <v>23391</v>
      </c>
    </row>
    <row r="332" spans="1:15" x14ac:dyDescent="0.25">
      <c r="A332" t="s">
        <v>4</v>
      </c>
      <c r="B332" t="s">
        <v>4111</v>
      </c>
      <c r="C332" s="18" t="str">
        <f>HYPERLINK("https://rhld.insurance.arkansas.gov/NPILookup?Npi=1881373769","1881373769")</f>
        <v>1881373769</v>
      </c>
      <c r="D332" t="s">
        <v>23205</v>
      </c>
      <c r="E332" t="s">
        <v>17366</v>
      </c>
      <c r="F332">
        <v>1</v>
      </c>
      <c r="G332">
        <v>3</v>
      </c>
      <c r="H332">
        <v>0</v>
      </c>
      <c r="I332">
        <v>0</v>
      </c>
      <c r="J332" t="s">
        <v>23390</v>
      </c>
      <c r="K332" t="s">
        <v>18640</v>
      </c>
      <c r="L332" t="s">
        <v>18640</v>
      </c>
      <c r="M332">
        <v>3</v>
      </c>
      <c r="N332" t="s">
        <v>17367</v>
      </c>
      <c r="O332" t="s">
        <v>23391</v>
      </c>
    </row>
    <row r="333" spans="1:15" x14ac:dyDescent="0.25">
      <c r="A333" t="s">
        <v>4</v>
      </c>
      <c r="B333" t="s">
        <v>4111</v>
      </c>
      <c r="C333" s="18" t="str">
        <f>HYPERLINK("https://rhld.insurance.arkansas.gov/NPILookup?Npi=1881384949","1881384949")</f>
        <v>1881384949</v>
      </c>
      <c r="D333" t="s">
        <v>23206</v>
      </c>
      <c r="E333" t="s">
        <v>17366</v>
      </c>
      <c r="F333">
        <v>1</v>
      </c>
      <c r="G333">
        <v>3</v>
      </c>
      <c r="H333">
        <v>0</v>
      </c>
      <c r="I333">
        <v>0</v>
      </c>
      <c r="J333" t="s">
        <v>21420</v>
      </c>
      <c r="K333" t="s">
        <v>18640</v>
      </c>
      <c r="L333" t="s">
        <v>18640</v>
      </c>
      <c r="M333">
        <v>3</v>
      </c>
      <c r="N333" t="s">
        <v>17367</v>
      </c>
      <c r="O333" t="s">
        <v>23391</v>
      </c>
    </row>
    <row r="334" spans="1:15" x14ac:dyDescent="0.25">
      <c r="A334" t="s">
        <v>4</v>
      </c>
      <c r="B334" t="s">
        <v>4111</v>
      </c>
      <c r="C334" s="18" t="str">
        <f>HYPERLINK("https://rhld.insurance.arkansas.gov/NPILookup?Npi=1902483993","1902483993")</f>
        <v>1902483993</v>
      </c>
      <c r="D334" t="s">
        <v>23209</v>
      </c>
      <c r="E334" t="s">
        <v>17366</v>
      </c>
      <c r="F334">
        <v>1</v>
      </c>
      <c r="G334">
        <v>3</v>
      </c>
      <c r="H334">
        <v>0</v>
      </c>
      <c r="I334">
        <v>0</v>
      </c>
      <c r="J334" t="s">
        <v>21420</v>
      </c>
      <c r="K334" t="s">
        <v>18640</v>
      </c>
      <c r="L334" t="s">
        <v>18640</v>
      </c>
      <c r="M334">
        <v>3</v>
      </c>
      <c r="N334" t="s">
        <v>17367</v>
      </c>
      <c r="O334" t="s">
        <v>23391</v>
      </c>
    </row>
    <row r="335" spans="1:15" x14ac:dyDescent="0.25">
      <c r="A335" t="s">
        <v>4</v>
      </c>
      <c r="B335" t="s">
        <v>4111</v>
      </c>
      <c r="C335" s="18" t="str">
        <f>HYPERLINK("https://rhld.insurance.arkansas.gov/NPILookup?Npi=1902585227","1902585227")</f>
        <v>1902585227</v>
      </c>
      <c r="D335" t="s">
        <v>23210</v>
      </c>
      <c r="E335" t="s">
        <v>17366</v>
      </c>
      <c r="F335">
        <v>1</v>
      </c>
      <c r="G335">
        <v>2</v>
      </c>
      <c r="H335">
        <v>0</v>
      </c>
      <c r="I335">
        <v>0</v>
      </c>
      <c r="J335" t="s">
        <v>23390</v>
      </c>
      <c r="K335" t="s">
        <v>18640</v>
      </c>
      <c r="L335" t="s">
        <v>18640</v>
      </c>
      <c r="M335">
        <v>2</v>
      </c>
      <c r="N335" t="s">
        <v>17367</v>
      </c>
      <c r="O335" t="s">
        <v>23391</v>
      </c>
    </row>
    <row r="336" spans="1:15" x14ac:dyDescent="0.25">
      <c r="A336" t="s">
        <v>4</v>
      </c>
      <c r="B336" t="s">
        <v>4111</v>
      </c>
      <c r="C336" s="18" t="str">
        <f>HYPERLINK("https://rhld.insurance.arkansas.gov/NPILookup?Npi=1912467101","1912467101")</f>
        <v>1912467101</v>
      </c>
      <c r="D336" t="s">
        <v>23211</v>
      </c>
      <c r="E336" t="s">
        <v>17366</v>
      </c>
      <c r="F336">
        <v>1</v>
      </c>
      <c r="G336">
        <v>2</v>
      </c>
      <c r="H336">
        <v>0</v>
      </c>
      <c r="I336">
        <v>0</v>
      </c>
      <c r="J336" t="s">
        <v>21420</v>
      </c>
      <c r="K336" t="s">
        <v>18640</v>
      </c>
      <c r="L336" t="s">
        <v>18640</v>
      </c>
      <c r="M336">
        <v>2</v>
      </c>
      <c r="N336" t="s">
        <v>17367</v>
      </c>
      <c r="O336" t="s">
        <v>23391</v>
      </c>
    </row>
    <row r="337" spans="1:15" x14ac:dyDescent="0.25">
      <c r="A337" t="s">
        <v>4</v>
      </c>
      <c r="B337" t="s">
        <v>4111</v>
      </c>
      <c r="C337" s="18" t="str">
        <f>HYPERLINK("https://rhld.insurance.arkansas.gov/NPILookup?Npi=1912533126","1912533126")</f>
        <v>1912533126</v>
      </c>
      <c r="D337" t="s">
        <v>23212</v>
      </c>
      <c r="E337" t="s">
        <v>17366</v>
      </c>
      <c r="F337">
        <v>2</v>
      </c>
      <c r="G337">
        <v>2</v>
      </c>
      <c r="H337">
        <v>0</v>
      </c>
      <c r="I337">
        <v>0</v>
      </c>
      <c r="J337" t="s">
        <v>23401</v>
      </c>
      <c r="K337" t="s">
        <v>18640</v>
      </c>
      <c r="L337" t="s">
        <v>18640</v>
      </c>
      <c r="M337">
        <v>2</v>
      </c>
      <c r="N337" t="s">
        <v>17367</v>
      </c>
      <c r="O337" t="s">
        <v>23391</v>
      </c>
    </row>
    <row r="338" spans="1:15" x14ac:dyDescent="0.25">
      <c r="A338" t="s">
        <v>4</v>
      </c>
      <c r="B338" t="s">
        <v>4111</v>
      </c>
      <c r="C338" s="18" t="str">
        <f>HYPERLINK("https://rhld.insurance.arkansas.gov/NPILookup?Npi=1912573262","1912573262")</f>
        <v>1912573262</v>
      </c>
      <c r="D338" t="s">
        <v>23213</v>
      </c>
      <c r="E338" t="s">
        <v>17366</v>
      </c>
      <c r="F338">
        <v>1</v>
      </c>
      <c r="G338">
        <v>2</v>
      </c>
      <c r="H338">
        <v>0</v>
      </c>
      <c r="I338">
        <v>0</v>
      </c>
      <c r="J338" t="s">
        <v>23390</v>
      </c>
      <c r="K338" t="s">
        <v>18640</v>
      </c>
      <c r="L338" t="s">
        <v>18640</v>
      </c>
      <c r="M338">
        <v>2</v>
      </c>
      <c r="N338" t="s">
        <v>17367</v>
      </c>
      <c r="O338" t="s">
        <v>23391</v>
      </c>
    </row>
    <row r="339" spans="1:15" x14ac:dyDescent="0.25">
      <c r="A339" t="s">
        <v>4</v>
      </c>
      <c r="B339" t="s">
        <v>4111</v>
      </c>
      <c r="C339" s="18" t="str">
        <f>HYPERLINK("https://rhld.insurance.arkansas.gov/NPILookup?Npi=1912631185","1912631185")</f>
        <v>1912631185</v>
      </c>
      <c r="D339" t="s">
        <v>23214</v>
      </c>
      <c r="E339" t="s">
        <v>17366</v>
      </c>
      <c r="F339">
        <v>1</v>
      </c>
      <c r="G339">
        <v>2</v>
      </c>
      <c r="H339">
        <v>0</v>
      </c>
      <c r="I339">
        <v>0</v>
      </c>
      <c r="J339" t="s">
        <v>23390</v>
      </c>
      <c r="K339" t="s">
        <v>18640</v>
      </c>
      <c r="L339" t="s">
        <v>18640</v>
      </c>
      <c r="M339">
        <v>2</v>
      </c>
      <c r="N339" t="s">
        <v>17367</v>
      </c>
      <c r="O339" t="s">
        <v>23391</v>
      </c>
    </row>
    <row r="340" spans="1:15" x14ac:dyDescent="0.25">
      <c r="A340" t="s">
        <v>4</v>
      </c>
      <c r="B340" t="s">
        <v>4111</v>
      </c>
      <c r="C340" s="18" t="str">
        <f>HYPERLINK("https://rhld.insurance.arkansas.gov/NPILookup?Npi=1932657541","1932657541")</f>
        <v>1932657541</v>
      </c>
      <c r="D340" t="s">
        <v>23217</v>
      </c>
      <c r="E340" t="s">
        <v>17366</v>
      </c>
      <c r="F340">
        <v>1</v>
      </c>
      <c r="G340">
        <v>3</v>
      </c>
      <c r="H340">
        <v>0</v>
      </c>
      <c r="I340">
        <v>0</v>
      </c>
      <c r="J340" t="s">
        <v>23390</v>
      </c>
      <c r="K340" t="s">
        <v>18640</v>
      </c>
      <c r="L340" t="s">
        <v>18640</v>
      </c>
      <c r="M340">
        <v>3</v>
      </c>
      <c r="N340" t="s">
        <v>17367</v>
      </c>
      <c r="O340" t="s">
        <v>23391</v>
      </c>
    </row>
    <row r="341" spans="1:15" x14ac:dyDescent="0.25">
      <c r="A341" t="s">
        <v>4</v>
      </c>
      <c r="B341" t="s">
        <v>4111</v>
      </c>
      <c r="C341" s="18" t="str">
        <f>HYPERLINK("https://rhld.insurance.arkansas.gov/NPILookup?Npi=1932797859","1932797859")</f>
        <v>1932797859</v>
      </c>
      <c r="D341" t="s">
        <v>23218</v>
      </c>
      <c r="E341" t="s">
        <v>17366</v>
      </c>
      <c r="F341">
        <v>1</v>
      </c>
      <c r="G341">
        <v>2</v>
      </c>
      <c r="H341">
        <v>0</v>
      </c>
      <c r="I341">
        <v>0</v>
      </c>
      <c r="J341" t="s">
        <v>23390</v>
      </c>
      <c r="K341" t="s">
        <v>18640</v>
      </c>
      <c r="L341" t="s">
        <v>18640</v>
      </c>
      <c r="M341">
        <v>2</v>
      </c>
      <c r="N341" t="s">
        <v>17367</v>
      </c>
      <c r="O341" t="s">
        <v>23391</v>
      </c>
    </row>
    <row r="342" spans="1:15" x14ac:dyDescent="0.25">
      <c r="A342" t="s">
        <v>4</v>
      </c>
      <c r="B342" t="s">
        <v>4111</v>
      </c>
      <c r="C342" s="18" t="str">
        <f>HYPERLINK("https://rhld.insurance.arkansas.gov/NPILookup?Npi=1952448870","1952448870")</f>
        <v>1952448870</v>
      </c>
      <c r="D342" t="s">
        <v>22404</v>
      </c>
      <c r="E342" t="s">
        <v>17368</v>
      </c>
      <c r="F342">
        <v>1</v>
      </c>
      <c r="G342">
        <v>3</v>
      </c>
      <c r="H342">
        <v>0</v>
      </c>
      <c r="I342">
        <v>0</v>
      </c>
      <c r="J342" t="s">
        <v>23411</v>
      </c>
      <c r="K342" t="s">
        <v>18640</v>
      </c>
      <c r="L342" t="s">
        <v>18640</v>
      </c>
      <c r="M342">
        <v>3</v>
      </c>
      <c r="N342" t="s">
        <v>17367</v>
      </c>
      <c r="O342" t="s">
        <v>23391</v>
      </c>
    </row>
    <row r="343" spans="1:15" x14ac:dyDescent="0.25">
      <c r="A343" t="s">
        <v>4</v>
      </c>
      <c r="B343" t="s">
        <v>4111</v>
      </c>
      <c r="C343" s="18" t="str">
        <f>HYPERLINK("https://rhld.insurance.arkansas.gov/NPILookup?Npi=1972043024","1972043024")</f>
        <v>1972043024</v>
      </c>
      <c r="D343" t="s">
        <v>23220</v>
      </c>
      <c r="E343" t="s">
        <v>17366</v>
      </c>
      <c r="F343">
        <v>1</v>
      </c>
      <c r="G343">
        <v>3</v>
      </c>
      <c r="H343">
        <v>0</v>
      </c>
      <c r="I343">
        <v>0</v>
      </c>
      <c r="J343" t="s">
        <v>23390</v>
      </c>
      <c r="K343" t="s">
        <v>18640</v>
      </c>
      <c r="L343" t="s">
        <v>18640</v>
      </c>
      <c r="M343">
        <v>3</v>
      </c>
      <c r="N343" t="s">
        <v>17367</v>
      </c>
      <c r="O343" t="s">
        <v>23391</v>
      </c>
    </row>
    <row r="344" spans="1:15" x14ac:dyDescent="0.25">
      <c r="A344" t="s">
        <v>4</v>
      </c>
      <c r="B344" t="s">
        <v>4111</v>
      </c>
      <c r="C344" s="18" t="str">
        <f>HYPERLINK("https://rhld.insurance.arkansas.gov/NPILookup?Npi=1972517308","1972517308")</f>
        <v>1972517308</v>
      </c>
      <c r="D344" t="s">
        <v>23221</v>
      </c>
      <c r="E344" t="s">
        <v>17366</v>
      </c>
      <c r="F344">
        <v>1</v>
      </c>
      <c r="G344">
        <v>3</v>
      </c>
      <c r="H344">
        <v>0</v>
      </c>
      <c r="I344">
        <v>0</v>
      </c>
      <c r="J344" t="s">
        <v>23390</v>
      </c>
      <c r="K344" t="s">
        <v>18640</v>
      </c>
      <c r="L344" t="s">
        <v>18640</v>
      </c>
      <c r="M344">
        <v>3</v>
      </c>
      <c r="N344" t="s">
        <v>17367</v>
      </c>
      <c r="O344" t="s">
        <v>23391</v>
      </c>
    </row>
    <row r="345" spans="1:15" x14ac:dyDescent="0.25">
      <c r="A345" t="s">
        <v>4</v>
      </c>
      <c r="B345" t="s">
        <v>4111</v>
      </c>
      <c r="C345" s="18" t="str">
        <f>HYPERLINK("https://rhld.insurance.arkansas.gov/NPILookup?Npi=1972929511","1972929511")</f>
        <v>1972929511</v>
      </c>
      <c r="D345" t="s">
        <v>23222</v>
      </c>
      <c r="E345" t="s">
        <v>17366</v>
      </c>
      <c r="F345">
        <v>1</v>
      </c>
      <c r="G345">
        <v>3</v>
      </c>
      <c r="H345">
        <v>0</v>
      </c>
      <c r="I345">
        <v>0</v>
      </c>
      <c r="J345" t="s">
        <v>21420</v>
      </c>
      <c r="K345" t="s">
        <v>18640</v>
      </c>
      <c r="L345" t="s">
        <v>18640</v>
      </c>
      <c r="M345">
        <v>3</v>
      </c>
      <c r="N345" t="s">
        <v>17367</v>
      </c>
      <c r="O345" t="s">
        <v>23391</v>
      </c>
    </row>
    <row r="346" spans="1:15" x14ac:dyDescent="0.25">
      <c r="A346" t="s">
        <v>4</v>
      </c>
      <c r="B346" t="s">
        <v>4111</v>
      </c>
      <c r="C346" s="18" t="str">
        <f>HYPERLINK("https://rhld.insurance.arkansas.gov/NPILookup?Npi=1982258794","1982258794")</f>
        <v>1982258794</v>
      </c>
      <c r="D346" t="s">
        <v>23224</v>
      </c>
      <c r="E346" t="s">
        <v>17366</v>
      </c>
      <c r="F346">
        <v>1</v>
      </c>
      <c r="G346">
        <v>2</v>
      </c>
      <c r="H346">
        <v>0</v>
      </c>
      <c r="I346">
        <v>0</v>
      </c>
      <c r="J346" t="s">
        <v>23390</v>
      </c>
      <c r="K346" t="s">
        <v>18640</v>
      </c>
      <c r="L346" t="s">
        <v>18640</v>
      </c>
      <c r="M346">
        <v>2</v>
      </c>
      <c r="N346" t="s">
        <v>17367</v>
      </c>
      <c r="O346" t="s">
        <v>23391</v>
      </c>
    </row>
    <row r="347" spans="1:15" x14ac:dyDescent="0.25">
      <c r="A347" t="s">
        <v>4</v>
      </c>
      <c r="B347" t="s">
        <v>4111</v>
      </c>
      <c r="C347" s="18" t="str">
        <f>HYPERLINK("https://rhld.insurance.arkansas.gov/NPILookup?Npi=1992735468","1992735468")</f>
        <v>1992735468</v>
      </c>
      <c r="D347" t="s">
        <v>23392</v>
      </c>
      <c r="E347" t="s">
        <v>17366</v>
      </c>
      <c r="F347">
        <v>1</v>
      </c>
      <c r="G347">
        <v>0</v>
      </c>
      <c r="H347">
        <v>0</v>
      </c>
      <c r="I347">
        <v>0</v>
      </c>
      <c r="J347" t="s">
        <v>21420</v>
      </c>
      <c r="K347" t="s">
        <v>18640</v>
      </c>
      <c r="L347" t="s">
        <v>18640</v>
      </c>
      <c r="M347">
        <v>0</v>
      </c>
      <c r="N347" t="s">
        <v>17369</v>
      </c>
      <c r="O347" t="s">
        <v>23394</v>
      </c>
    </row>
    <row r="348" spans="1:15" x14ac:dyDescent="0.25">
      <c r="A348" t="s">
        <v>5</v>
      </c>
      <c r="B348" t="s">
        <v>6073</v>
      </c>
      <c r="C348" s="18" t="str">
        <f>HYPERLINK("https://rhld.insurance.arkansas.gov/NPILookup?Npi=1003490384","1003490384")</f>
        <v>1003490384</v>
      </c>
      <c r="D348" t="s">
        <v>23227</v>
      </c>
      <c r="E348" t="s">
        <v>17366</v>
      </c>
      <c r="F348">
        <v>1</v>
      </c>
      <c r="G348">
        <v>2</v>
      </c>
      <c r="H348">
        <v>0</v>
      </c>
      <c r="I348">
        <v>0</v>
      </c>
      <c r="J348" t="s">
        <v>23390</v>
      </c>
      <c r="K348" t="s">
        <v>18640</v>
      </c>
      <c r="L348" t="s">
        <v>18640</v>
      </c>
      <c r="M348">
        <v>2</v>
      </c>
      <c r="N348" t="s">
        <v>17367</v>
      </c>
      <c r="O348" t="s">
        <v>23391</v>
      </c>
    </row>
    <row r="349" spans="1:15" x14ac:dyDescent="0.25">
      <c r="A349" t="s">
        <v>5</v>
      </c>
      <c r="B349" t="s">
        <v>6073</v>
      </c>
      <c r="C349" s="18" t="str">
        <f>HYPERLINK("https://rhld.insurance.arkansas.gov/NPILookup?Npi=1073193892","1073193892")</f>
        <v>1073193892</v>
      </c>
      <c r="D349" t="s">
        <v>23228</v>
      </c>
      <c r="E349" t="s">
        <v>17366</v>
      </c>
      <c r="F349">
        <v>1</v>
      </c>
      <c r="G349">
        <v>3</v>
      </c>
      <c r="H349">
        <v>0</v>
      </c>
      <c r="I349">
        <v>0</v>
      </c>
      <c r="J349" t="s">
        <v>23390</v>
      </c>
      <c r="K349" t="s">
        <v>18640</v>
      </c>
      <c r="L349" t="s">
        <v>18640</v>
      </c>
      <c r="M349">
        <v>3</v>
      </c>
      <c r="N349" t="s">
        <v>17367</v>
      </c>
      <c r="O349" t="s">
        <v>23391</v>
      </c>
    </row>
    <row r="350" spans="1:15" x14ac:dyDescent="0.25">
      <c r="A350" t="s">
        <v>5</v>
      </c>
      <c r="B350" t="s">
        <v>6073</v>
      </c>
      <c r="C350" s="18" t="str">
        <f>HYPERLINK("https://rhld.insurance.arkansas.gov/NPILookup?Npi=1073751301","1073751301")</f>
        <v>1073751301</v>
      </c>
      <c r="D350" t="s">
        <v>23229</v>
      </c>
      <c r="E350" t="s">
        <v>17366</v>
      </c>
      <c r="F350">
        <v>1</v>
      </c>
      <c r="G350">
        <v>3</v>
      </c>
      <c r="H350">
        <v>0</v>
      </c>
      <c r="I350">
        <v>0</v>
      </c>
      <c r="J350" t="s">
        <v>23390</v>
      </c>
      <c r="K350" t="s">
        <v>18640</v>
      </c>
      <c r="L350" t="s">
        <v>18640</v>
      </c>
      <c r="M350">
        <v>3</v>
      </c>
      <c r="N350" t="s">
        <v>17367</v>
      </c>
      <c r="O350" t="s">
        <v>23391</v>
      </c>
    </row>
    <row r="351" spans="1:15" x14ac:dyDescent="0.25">
      <c r="A351" t="s">
        <v>5</v>
      </c>
      <c r="B351" t="s">
        <v>6073</v>
      </c>
      <c r="C351" s="18" t="str">
        <f>HYPERLINK("https://rhld.insurance.arkansas.gov/NPILookup?Npi=1073923504","1073923504")</f>
        <v>1073923504</v>
      </c>
      <c r="D351" t="s">
        <v>23230</v>
      </c>
      <c r="E351" t="s">
        <v>17366</v>
      </c>
      <c r="F351">
        <v>1</v>
      </c>
      <c r="G351">
        <v>3</v>
      </c>
      <c r="H351">
        <v>0</v>
      </c>
      <c r="I351">
        <v>0</v>
      </c>
      <c r="J351" t="s">
        <v>23390</v>
      </c>
      <c r="K351" t="s">
        <v>18640</v>
      </c>
      <c r="L351" t="s">
        <v>18640</v>
      </c>
      <c r="M351">
        <v>3</v>
      </c>
      <c r="N351" t="s">
        <v>17367</v>
      </c>
      <c r="O351" t="s">
        <v>23391</v>
      </c>
    </row>
    <row r="352" spans="1:15" x14ac:dyDescent="0.25">
      <c r="A352" t="s">
        <v>5</v>
      </c>
      <c r="B352" t="s">
        <v>6073</v>
      </c>
      <c r="C352" s="18" t="str">
        <f>HYPERLINK("https://rhld.insurance.arkansas.gov/NPILookup?Npi=1093367138","1093367138")</f>
        <v>1093367138</v>
      </c>
      <c r="D352" t="s">
        <v>23041</v>
      </c>
      <c r="E352" t="s">
        <v>17366</v>
      </c>
      <c r="F352">
        <v>1</v>
      </c>
      <c r="G352">
        <v>3</v>
      </c>
      <c r="H352">
        <v>0</v>
      </c>
      <c r="I352">
        <v>0</v>
      </c>
      <c r="J352" t="s">
        <v>23390</v>
      </c>
      <c r="K352" t="s">
        <v>18640</v>
      </c>
      <c r="L352" t="s">
        <v>18640</v>
      </c>
      <c r="M352">
        <v>3</v>
      </c>
      <c r="N352" t="s">
        <v>17367</v>
      </c>
      <c r="O352" t="s">
        <v>23391</v>
      </c>
    </row>
    <row r="353" spans="1:15" x14ac:dyDescent="0.25">
      <c r="A353" t="s">
        <v>5</v>
      </c>
      <c r="B353" t="s">
        <v>6073</v>
      </c>
      <c r="C353" s="18" t="str">
        <f>HYPERLINK("https://rhld.insurance.arkansas.gov/NPILookup?Npi=1124671722","1124671722")</f>
        <v>1124671722</v>
      </c>
      <c r="D353" t="s">
        <v>20219</v>
      </c>
      <c r="E353" t="s">
        <v>17366</v>
      </c>
      <c r="F353">
        <v>1</v>
      </c>
      <c r="G353">
        <v>2</v>
      </c>
      <c r="H353">
        <v>0</v>
      </c>
      <c r="I353">
        <v>0</v>
      </c>
      <c r="J353" t="s">
        <v>23390</v>
      </c>
      <c r="K353" t="s">
        <v>18640</v>
      </c>
      <c r="L353" t="s">
        <v>18640</v>
      </c>
      <c r="M353">
        <v>2</v>
      </c>
      <c r="N353" t="s">
        <v>17367</v>
      </c>
      <c r="O353" t="s">
        <v>23391</v>
      </c>
    </row>
    <row r="354" spans="1:15" x14ac:dyDescent="0.25">
      <c r="A354" t="s">
        <v>5</v>
      </c>
      <c r="B354" t="s">
        <v>6073</v>
      </c>
      <c r="C354" s="18" t="str">
        <f>HYPERLINK("https://rhld.insurance.arkansas.gov/NPILookup?Npi=1134410467","1134410467")</f>
        <v>1134410467</v>
      </c>
      <c r="D354" t="s">
        <v>23051</v>
      </c>
      <c r="E354" t="s">
        <v>17366</v>
      </c>
      <c r="F354">
        <v>1</v>
      </c>
      <c r="G354">
        <v>3</v>
      </c>
      <c r="H354">
        <v>0</v>
      </c>
      <c r="I354">
        <v>0</v>
      </c>
      <c r="J354" t="s">
        <v>23390</v>
      </c>
      <c r="K354" t="s">
        <v>18640</v>
      </c>
      <c r="L354" t="s">
        <v>18640</v>
      </c>
      <c r="M354">
        <v>3</v>
      </c>
      <c r="N354" t="s">
        <v>17367</v>
      </c>
      <c r="O354" t="s">
        <v>23391</v>
      </c>
    </row>
    <row r="355" spans="1:15" x14ac:dyDescent="0.25">
      <c r="A355" t="s">
        <v>5</v>
      </c>
      <c r="B355" t="s">
        <v>6073</v>
      </c>
      <c r="C355" s="18" t="str">
        <f>HYPERLINK("https://rhld.insurance.arkansas.gov/NPILookup?Npi=1134734494","1134734494")</f>
        <v>1134734494</v>
      </c>
      <c r="D355" t="s">
        <v>23231</v>
      </c>
      <c r="E355" t="s">
        <v>17366</v>
      </c>
      <c r="F355">
        <v>1</v>
      </c>
      <c r="G355">
        <v>3</v>
      </c>
      <c r="H355">
        <v>0</v>
      </c>
      <c r="I355">
        <v>0</v>
      </c>
      <c r="J355" t="s">
        <v>23390</v>
      </c>
      <c r="K355" t="s">
        <v>18640</v>
      </c>
      <c r="L355" t="s">
        <v>18640</v>
      </c>
      <c r="M355">
        <v>3</v>
      </c>
      <c r="N355" t="s">
        <v>17367</v>
      </c>
      <c r="O355" t="s">
        <v>23391</v>
      </c>
    </row>
    <row r="356" spans="1:15" x14ac:dyDescent="0.25">
      <c r="A356" t="s">
        <v>5</v>
      </c>
      <c r="B356" t="s">
        <v>6073</v>
      </c>
      <c r="C356" s="18" t="str">
        <f>HYPERLINK("https://rhld.insurance.arkansas.gov/NPILookup?Npi=1144003518","1144003518")</f>
        <v>1144003518</v>
      </c>
      <c r="D356" t="s">
        <v>23232</v>
      </c>
      <c r="E356" t="s">
        <v>17366</v>
      </c>
      <c r="F356">
        <v>1</v>
      </c>
      <c r="G356">
        <v>3</v>
      </c>
      <c r="H356">
        <v>0</v>
      </c>
      <c r="I356">
        <v>0</v>
      </c>
      <c r="J356" t="s">
        <v>23390</v>
      </c>
      <c r="K356" t="s">
        <v>18640</v>
      </c>
      <c r="L356" t="s">
        <v>18640</v>
      </c>
      <c r="M356">
        <v>3</v>
      </c>
      <c r="N356" t="s">
        <v>17367</v>
      </c>
      <c r="O356" t="s">
        <v>23391</v>
      </c>
    </row>
    <row r="357" spans="1:15" x14ac:dyDescent="0.25">
      <c r="A357" t="s">
        <v>5</v>
      </c>
      <c r="B357" t="s">
        <v>6073</v>
      </c>
      <c r="C357" s="18" t="str">
        <f>HYPERLINK("https://rhld.insurance.arkansas.gov/NPILookup?Npi=1144700725","1144700725")</f>
        <v>1144700725</v>
      </c>
      <c r="D357" t="s">
        <v>23053</v>
      </c>
      <c r="E357" t="s">
        <v>17366</v>
      </c>
      <c r="F357">
        <v>1</v>
      </c>
      <c r="G357">
        <v>3</v>
      </c>
      <c r="H357">
        <v>0</v>
      </c>
      <c r="I357">
        <v>0</v>
      </c>
      <c r="J357" t="s">
        <v>23390</v>
      </c>
      <c r="K357" t="s">
        <v>18640</v>
      </c>
      <c r="L357" t="s">
        <v>18640</v>
      </c>
      <c r="M357">
        <v>3</v>
      </c>
      <c r="N357" t="s">
        <v>17367</v>
      </c>
      <c r="O357" t="s">
        <v>23391</v>
      </c>
    </row>
    <row r="358" spans="1:15" x14ac:dyDescent="0.25">
      <c r="A358" t="s">
        <v>5</v>
      </c>
      <c r="B358" t="s">
        <v>6073</v>
      </c>
      <c r="C358" s="18" t="str">
        <f>HYPERLINK("https://rhld.insurance.arkansas.gov/NPILookup?Npi=1164131330","1164131330")</f>
        <v>1164131330</v>
      </c>
      <c r="D358" t="s">
        <v>21884</v>
      </c>
      <c r="E358" t="s">
        <v>17366</v>
      </c>
      <c r="F358">
        <v>1</v>
      </c>
      <c r="G358">
        <v>3</v>
      </c>
      <c r="H358">
        <v>0</v>
      </c>
      <c r="I358">
        <v>0</v>
      </c>
      <c r="J358" t="s">
        <v>23390</v>
      </c>
      <c r="K358" t="s">
        <v>18640</v>
      </c>
      <c r="L358" t="s">
        <v>18640</v>
      </c>
      <c r="M358">
        <v>3</v>
      </c>
      <c r="N358" t="s">
        <v>17367</v>
      </c>
      <c r="O358" t="s">
        <v>23391</v>
      </c>
    </row>
    <row r="359" spans="1:15" x14ac:dyDescent="0.25">
      <c r="A359" t="s">
        <v>5</v>
      </c>
      <c r="B359" t="s">
        <v>6073</v>
      </c>
      <c r="C359" s="18" t="str">
        <f>HYPERLINK("https://rhld.insurance.arkansas.gov/NPILookup?Npi=1164838660","1164838660")</f>
        <v>1164838660</v>
      </c>
      <c r="D359" t="s">
        <v>23059</v>
      </c>
      <c r="E359" t="s">
        <v>17366</v>
      </c>
      <c r="F359">
        <v>1</v>
      </c>
      <c r="G359">
        <v>3</v>
      </c>
      <c r="H359">
        <v>0</v>
      </c>
      <c r="I359">
        <v>0</v>
      </c>
      <c r="J359" t="s">
        <v>23390</v>
      </c>
      <c r="K359" t="s">
        <v>18640</v>
      </c>
      <c r="L359" t="s">
        <v>18640</v>
      </c>
      <c r="M359">
        <v>3</v>
      </c>
      <c r="N359" t="s">
        <v>17367</v>
      </c>
      <c r="O359" t="s">
        <v>23391</v>
      </c>
    </row>
    <row r="360" spans="1:15" x14ac:dyDescent="0.25">
      <c r="A360" t="s">
        <v>5</v>
      </c>
      <c r="B360" t="s">
        <v>6073</v>
      </c>
      <c r="C360" s="18" t="str">
        <f>HYPERLINK("https://rhld.insurance.arkansas.gov/NPILookup?Npi=1184316366","1184316366")</f>
        <v>1184316366</v>
      </c>
      <c r="D360" t="s">
        <v>23233</v>
      </c>
      <c r="E360" t="s">
        <v>17366</v>
      </c>
      <c r="F360">
        <v>1</v>
      </c>
      <c r="G360">
        <v>3</v>
      </c>
      <c r="H360">
        <v>0</v>
      </c>
      <c r="I360">
        <v>0</v>
      </c>
      <c r="J360" t="s">
        <v>23390</v>
      </c>
      <c r="K360" t="s">
        <v>18640</v>
      </c>
      <c r="L360" t="s">
        <v>18640</v>
      </c>
      <c r="M360">
        <v>3</v>
      </c>
      <c r="N360" t="s">
        <v>17367</v>
      </c>
      <c r="O360" t="s">
        <v>23391</v>
      </c>
    </row>
    <row r="361" spans="1:15" x14ac:dyDescent="0.25">
      <c r="A361" t="s">
        <v>5</v>
      </c>
      <c r="B361" t="s">
        <v>6073</v>
      </c>
      <c r="C361" s="18" t="str">
        <f>HYPERLINK("https://rhld.insurance.arkansas.gov/NPILookup?Npi=1194359182","1194359182")</f>
        <v>1194359182</v>
      </c>
      <c r="D361" t="s">
        <v>21901</v>
      </c>
      <c r="E361" t="s">
        <v>17366</v>
      </c>
      <c r="F361">
        <v>1</v>
      </c>
      <c r="G361">
        <v>3</v>
      </c>
      <c r="H361">
        <v>0</v>
      </c>
      <c r="I361">
        <v>0</v>
      </c>
      <c r="J361" t="s">
        <v>23390</v>
      </c>
      <c r="K361" t="s">
        <v>18640</v>
      </c>
      <c r="L361" t="s">
        <v>18640</v>
      </c>
      <c r="M361">
        <v>3</v>
      </c>
      <c r="N361" t="s">
        <v>17367</v>
      </c>
      <c r="O361" t="s">
        <v>23391</v>
      </c>
    </row>
    <row r="362" spans="1:15" x14ac:dyDescent="0.25">
      <c r="A362" t="s">
        <v>5</v>
      </c>
      <c r="B362" t="s">
        <v>6073</v>
      </c>
      <c r="C362" s="18" t="str">
        <f>HYPERLINK("https://rhld.insurance.arkansas.gov/NPILookup?Npi=1194406645","1194406645")</f>
        <v>1194406645</v>
      </c>
      <c r="D362" t="s">
        <v>23234</v>
      </c>
      <c r="E362" t="s">
        <v>17366</v>
      </c>
      <c r="F362">
        <v>1</v>
      </c>
      <c r="G362">
        <v>2</v>
      </c>
      <c r="H362">
        <v>0</v>
      </c>
      <c r="I362">
        <v>0</v>
      </c>
      <c r="J362" t="s">
        <v>23390</v>
      </c>
      <c r="K362" t="s">
        <v>18640</v>
      </c>
      <c r="L362" t="s">
        <v>18640</v>
      </c>
      <c r="M362">
        <v>2</v>
      </c>
      <c r="N362" t="s">
        <v>17367</v>
      </c>
      <c r="O362" t="s">
        <v>23391</v>
      </c>
    </row>
    <row r="363" spans="1:15" x14ac:dyDescent="0.25">
      <c r="A363" t="s">
        <v>5</v>
      </c>
      <c r="B363" t="s">
        <v>6073</v>
      </c>
      <c r="C363" s="18" t="str">
        <f>HYPERLINK("https://rhld.insurance.arkansas.gov/NPILookup?Npi=1205434917","1205434917")</f>
        <v>1205434917</v>
      </c>
      <c r="D363" t="s">
        <v>23235</v>
      </c>
      <c r="E363" t="s">
        <v>17366</v>
      </c>
      <c r="F363">
        <v>1</v>
      </c>
      <c r="G363">
        <v>3</v>
      </c>
      <c r="H363">
        <v>0</v>
      </c>
      <c r="I363">
        <v>0</v>
      </c>
      <c r="J363" t="s">
        <v>23390</v>
      </c>
      <c r="K363" t="s">
        <v>18640</v>
      </c>
      <c r="L363" t="s">
        <v>18640</v>
      </c>
      <c r="M363">
        <v>3</v>
      </c>
      <c r="N363" t="s">
        <v>17367</v>
      </c>
      <c r="O363" t="s">
        <v>23391</v>
      </c>
    </row>
    <row r="364" spans="1:15" x14ac:dyDescent="0.25">
      <c r="A364" t="s">
        <v>5</v>
      </c>
      <c r="B364" t="s">
        <v>6073</v>
      </c>
      <c r="C364" s="18" t="str">
        <f>HYPERLINK("https://rhld.insurance.arkansas.gov/NPILookup?Npi=1235750399","1235750399")</f>
        <v>1235750399</v>
      </c>
      <c r="D364" t="s">
        <v>23070</v>
      </c>
      <c r="E364" t="s">
        <v>17366</v>
      </c>
      <c r="F364">
        <v>1</v>
      </c>
      <c r="G364">
        <v>3</v>
      </c>
      <c r="H364">
        <v>0</v>
      </c>
      <c r="I364">
        <v>0</v>
      </c>
      <c r="J364" t="s">
        <v>23390</v>
      </c>
      <c r="K364" t="s">
        <v>18640</v>
      </c>
      <c r="L364" t="s">
        <v>18640</v>
      </c>
      <c r="M364">
        <v>3</v>
      </c>
      <c r="N364" t="s">
        <v>17367</v>
      </c>
      <c r="O364" t="s">
        <v>23391</v>
      </c>
    </row>
    <row r="365" spans="1:15" x14ac:dyDescent="0.25">
      <c r="A365" t="s">
        <v>5</v>
      </c>
      <c r="B365" t="s">
        <v>6073</v>
      </c>
      <c r="C365" s="18" t="str">
        <f>HYPERLINK("https://rhld.insurance.arkansas.gov/NPILookup?Npi=1265834733","1265834733")</f>
        <v>1265834733</v>
      </c>
      <c r="D365" t="s">
        <v>21944</v>
      </c>
      <c r="E365" t="s">
        <v>17366</v>
      </c>
      <c r="F365">
        <v>1</v>
      </c>
      <c r="G365">
        <v>3</v>
      </c>
      <c r="H365">
        <v>0</v>
      </c>
      <c r="I365">
        <v>0</v>
      </c>
      <c r="J365" t="s">
        <v>23390</v>
      </c>
      <c r="K365" t="s">
        <v>18640</v>
      </c>
      <c r="L365" t="s">
        <v>18640</v>
      </c>
      <c r="M365">
        <v>3</v>
      </c>
      <c r="N365" t="s">
        <v>17367</v>
      </c>
      <c r="O365" t="s">
        <v>23391</v>
      </c>
    </row>
    <row r="366" spans="1:15" x14ac:dyDescent="0.25">
      <c r="A366" t="s">
        <v>5</v>
      </c>
      <c r="B366" t="s">
        <v>6073</v>
      </c>
      <c r="C366" s="18" t="str">
        <f>HYPERLINK("https://rhld.insurance.arkansas.gov/NPILookup?Npi=1285906966","1285906966")</f>
        <v>1285906966</v>
      </c>
      <c r="D366" t="s">
        <v>23237</v>
      </c>
      <c r="E366" t="s">
        <v>17366</v>
      </c>
      <c r="F366">
        <v>1</v>
      </c>
      <c r="G366">
        <v>3</v>
      </c>
      <c r="H366">
        <v>0</v>
      </c>
      <c r="I366">
        <v>0</v>
      </c>
      <c r="J366" t="s">
        <v>23390</v>
      </c>
      <c r="K366" t="s">
        <v>18640</v>
      </c>
      <c r="L366" t="s">
        <v>18640</v>
      </c>
      <c r="M366">
        <v>3</v>
      </c>
      <c r="N366" t="s">
        <v>17367</v>
      </c>
      <c r="O366" t="s">
        <v>23391</v>
      </c>
    </row>
    <row r="367" spans="1:15" x14ac:dyDescent="0.25">
      <c r="A367" t="s">
        <v>5</v>
      </c>
      <c r="B367" t="s">
        <v>6073</v>
      </c>
      <c r="C367" s="18" t="str">
        <f>HYPERLINK("https://rhld.insurance.arkansas.gov/NPILookup?Npi=1295285112","1295285112")</f>
        <v>1295285112</v>
      </c>
      <c r="D367" t="s">
        <v>23238</v>
      </c>
      <c r="E367" t="s">
        <v>17366</v>
      </c>
      <c r="F367">
        <v>1</v>
      </c>
      <c r="G367">
        <v>2</v>
      </c>
      <c r="H367">
        <v>0</v>
      </c>
      <c r="I367">
        <v>0</v>
      </c>
      <c r="J367" t="s">
        <v>23390</v>
      </c>
      <c r="K367" t="s">
        <v>18640</v>
      </c>
      <c r="L367" t="s">
        <v>18640</v>
      </c>
      <c r="M367">
        <v>2</v>
      </c>
      <c r="N367" t="s">
        <v>17367</v>
      </c>
      <c r="O367" t="s">
        <v>23391</v>
      </c>
    </row>
    <row r="368" spans="1:15" x14ac:dyDescent="0.25">
      <c r="A368" t="s">
        <v>5</v>
      </c>
      <c r="B368" t="s">
        <v>6073</v>
      </c>
      <c r="C368" s="18" t="str">
        <f>HYPERLINK("https://rhld.insurance.arkansas.gov/NPILookup?Npi=1306593199","1306593199")</f>
        <v>1306593199</v>
      </c>
      <c r="D368" t="s">
        <v>23075</v>
      </c>
      <c r="E368" t="s">
        <v>17366</v>
      </c>
      <c r="F368">
        <v>1</v>
      </c>
      <c r="G368">
        <v>2</v>
      </c>
      <c r="H368">
        <v>0</v>
      </c>
      <c r="I368">
        <v>0</v>
      </c>
      <c r="J368" t="s">
        <v>23390</v>
      </c>
      <c r="K368" t="s">
        <v>18640</v>
      </c>
      <c r="L368" t="s">
        <v>18640</v>
      </c>
      <c r="M368">
        <v>2</v>
      </c>
      <c r="N368" t="s">
        <v>17367</v>
      </c>
      <c r="O368" t="s">
        <v>23391</v>
      </c>
    </row>
    <row r="369" spans="1:15" x14ac:dyDescent="0.25">
      <c r="A369" t="s">
        <v>5</v>
      </c>
      <c r="B369" t="s">
        <v>6073</v>
      </c>
      <c r="C369" s="18" t="str">
        <f>HYPERLINK("https://rhld.insurance.arkansas.gov/NPILookup?Npi=1316633258","1316633258")</f>
        <v>1316633258</v>
      </c>
      <c r="D369" t="s">
        <v>23239</v>
      </c>
      <c r="E369" t="s">
        <v>17366</v>
      </c>
      <c r="F369">
        <v>1</v>
      </c>
      <c r="G369">
        <v>2</v>
      </c>
      <c r="H369">
        <v>0</v>
      </c>
      <c r="I369">
        <v>0</v>
      </c>
      <c r="J369" t="s">
        <v>23390</v>
      </c>
      <c r="K369" t="s">
        <v>18640</v>
      </c>
      <c r="L369" t="s">
        <v>18640</v>
      </c>
      <c r="M369">
        <v>2</v>
      </c>
      <c r="N369" t="s">
        <v>17367</v>
      </c>
      <c r="O369" t="s">
        <v>23391</v>
      </c>
    </row>
    <row r="370" spans="1:15" x14ac:dyDescent="0.25">
      <c r="A370" t="s">
        <v>5</v>
      </c>
      <c r="B370" t="s">
        <v>6073</v>
      </c>
      <c r="C370" s="18" t="str">
        <f>HYPERLINK("https://rhld.insurance.arkansas.gov/NPILookup?Npi=1336619261","1336619261")</f>
        <v>1336619261</v>
      </c>
      <c r="D370" t="s">
        <v>23240</v>
      </c>
      <c r="E370" t="s">
        <v>17366</v>
      </c>
      <c r="F370">
        <v>1</v>
      </c>
      <c r="G370">
        <v>2</v>
      </c>
      <c r="H370">
        <v>0</v>
      </c>
      <c r="I370">
        <v>0</v>
      </c>
      <c r="J370" t="s">
        <v>23390</v>
      </c>
      <c r="K370" t="s">
        <v>18640</v>
      </c>
      <c r="L370" t="s">
        <v>18640</v>
      </c>
      <c r="M370">
        <v>2</v>
      </c>
      <c r="N370" t="s">
        <v>17367</v>
      </c>
      <c r="O370" t="s">
        <v>23391</v>
      </c>
    </row>
    <row r="371" spans="1:15" x14ac:dyDescent="0.25">
      <c r="A371" t="s">
        <v>5</v>
      </c>
      <c r="B371" t="s">
        <v>6073</v>
      </c>
      <c r="C371" s="18" t="str">
        <f>HYPERLINK("https://rhld.insurance.arkansas.gov/NPILookup?Npi=1346847290","1346847290")</f>
        <v>1346847290</v>
      </c>
      <c r="D371" t="s">
        <v>23085</v>
      </c>
      <c r="E371" t="s">
        <v>17366</v>
      </c>
      <c r="F371">
        <v>1</v>
      </c>
      <c r="G371">
        <v>3</v>
      </c>
      <c r="H371">
        <v>0</v>
      </c>
      <c r="I371">
        <v>0</v>
      </c>
      <c r="J371" t="s">
        <v>23390</v>
      </c>
      <c r="K371" t="s">
        <v>18640</v>
      </c>
      <c r="L371" t="s">
        <v>18640</v>
      </c>
      <c r="M371">
        <v>3</v>
      </c>
      <c r="N371" t="s">
        <v>17367</v>
      </c>
      <c r="O371" t="s">
        <v>23391</v>
      </c>
    </row>
    <row r="372" spans="1:15" x14ac:dyDescent="0.25">
      <c r="A372" t="s">
        <v>5</v>
      </c>
      <c r="B372" t="s">
        <v>6073</v>
      </c>
      <c r="C372" s="18" t="str">
        <f>HYPERLINK("https://rhld.insurance.arkansas.gov/NPILookup?Npi=1346950094","1346950094")</f>
        <v>1346950094</v>
      </c>
      <c r="D372" t="s">
        <v>23086</v>
      </c>
      <c r="E372" t="s">
        <v>17366</v>
      </c>
      <c r="F372">
        <v>1</v>
      </c>
      <c r="G372">
        <v>3</v>
      </c>
      <c r="H372">
        <v>0</v>
      </c>
      <c r="I372">
        <v>0</v>
      </c>
      <c r="J372" t="s">
        <v>23390</v>
      </c>
      <c r="K372" t="s">
        <v>18640</v>
      </c>
      <c r="L372" t="s">
        <v>18640</v>
      </c>
      <c r="M372">
        <v>3</v>
      </c>
      <c r="N372" t="s">
        <v>17367</v>
      </c>
      <c r="O372" t="s">
        <v>23391</v>
      </c>
    </row>
    <row r="373" spans="1:15" x14ac:dyDescent="0.25">
      <c r="A373" t="s">
        <v>5</v>
      </c>
      <c r="B373" t="s">
        <v>6073</v>
      </c>
      <c r="C373" s="18" t="str">
        <f>HYPERLINK("https://rhld.insurance.arkansas.gov/NPILookup?Npi=1356126437","1356126437")</f>
        <v>1356126437</v>
      </c>
      <c r="D373" t="s">
        <v>23241</v>
      </c>
      <c r="E373" t="s">
        <v>17366</v>
      </c>
      <c r="F373">
        <v>1</v>
      </c>
      <c r="G373">
        <v>2</v>
      </c>
      <c r="H373">
        <v>0</v>
      </c>
      <c r="I373">
        <v>0</v>
      </c>
      <c r="J373" t="s">
        <v>23390</v>
      </c>
      <c r="K373" t="s">
        <v>18640</v>
      </c>
      <c r="L373" t="s">
        <v>18640</v>
      </c>
      <c r="M373">
        <v>2</v>
      </c>
      <c r="N373" t="s">
        <v>17367</v>
      </c>
      <c r="O373" t="s">
        <v>23391</v>
      </c>
    </row>
    <row r="374" spans="1:15" x14ac:dyDescent="0.25">
      <c r="A374" t="s">
        <v>5</v>
      </c>
      <c r="B374" t="s">
        <v>6073</v>
      </c>
      <c r="C374" s="18" t="str">
        <f>HYPERLINK("https://rhld.insurance.arkansas.gov/NPILookup?Npi=1356991343","1356991343")</f>
        <v>1356991343</v>
      </c>
      <c r="D374" t="s">
        <v>23088</v>
      </c>
      <c r="E374" t="s">
        <v>17366</v>
      </c>
      <c r="F374">
        <v>1</v>
      </c>
      <c r="G374">
        <v>3</v>
      </c>
      <c r="H374">
        <v>0</v>
      </c>
      <c r="I374">
        <v>0</v>
      </c>
      <c r="J374" t="s">
        <v>23390</v>
      </c>
      <c r="K374" t="s">
        <v>18640</v>
      </c>
      <c r="L374" t="s">
        <v>18640</v>
      </c>
      <c r="M374">
        <v>3</v>
      </c>
      <c r="N374" t="s">
        <v>17367</v>
      </c>
      <c r="O374" t="s">
        <v>23391</v>
      </c>
    </row>
    <row r="375" spans="1:15" x14ac:dyDescent="0.25">
      <c r="A375" t="s">
        <v>5</v>
      </c>
      <c r="B375" t="s">
        <v>6073</v>
      </c>
      <c r="C375" s="18" t="str">
        <f>HYPERLINK("https://rhld.insurance.arkansas.gov/NPILookup?Npi=1366055014","1366055014")</f>
        <v>1366055014</v>
      </c>
      <c r="D375" t="s">
        <v>23089</v>
      </c>
      <c r="E375" t="s">
        <v>17366</v>
      </c>
      <c r="F375">
        <v>1</v>
      </c>
      <c r="G375">
        <v>3</v>
      </c>
      <c r="H375">
        <v>0</v>
      </c>
      <c r="I375">
        <v>0</v>
      </c>
      <c r="J375" t="s">
        <v>23390</v>
      </c>
      <c r="K375" t="s">
        <v>18640</v>
      </c>
      <c r="L375" t="s">
        <v>18640</v>
      </c>
      <c r="M375">
        <v>3</v>
      </c>
      <c r="N375" t="s">
        <v>17367</v>
      </c>
      <c r="O375" t="s">
        <v>23391</v>
      </c>
    </row>
    <row r="376" spans="1:15" x14ac:dyDescent="0.25">
      <c r="A376" t="s">
        <v>5</v>
      </c>
      <c r="B376" t="s">
        <v>6073</v>
      </c>
      <c r="C376" s="18" t="str">
        <f>HYPERLINK("https://rhld.insurance.arkansas.gov/NPILookup?Npi=1366803702","1366803702")</f>
        <v>1366803702</v>
      </c>
      <c r="D376" t="s">
        <v>23090</v>
      </c>
      <c r="E376" t="s">
        <v>17366</v>
      </c>
      <c r="F376">
        <v>1</v>
      </c>
      <c r="G376">
        <v>3</v>
      </c>
      <c r="H376">
        <v>0</v>
      </c>
      <c r="I376">
        <v>0</v>
      </c>
      <c r="J376" t="s">
        <v>23390</v>
      </c>
      <c r="K376" t="s">
        <v>18640</v>
      </c>
      <c r="L376" t="s">
        <v>18640</v>
      </c>
      <c r="M376">
        <v>3</v>
      </c>
      <c r="N376" t="s">
        <v>17367</v>
      </c>
      <c r="O376" t="s">
        <v>23391</v>
      </c>
    </row>
    <row r="377" spans="1:15" x14ac:dyDescent="0.25">
      <c r="A377" t="s">
        <v>5</v>
      </c>
      <c r="B377" t="s">
        <v>6073</v>
      </c>
      <c r="C377" s="18" t="str">
        <f>HYPERLINK("https://rhld.insurance.arkansas.gov/NPILookup?Npi=1376168120","1376168120")</f>
        <v>1376168120</v>
      </c>
      <c r="D377" t="s">
        <v>23242</v>
      </c>
      <c r="E377" t="s">
        <v>17366</v>
      </c>
      <c r="F377">
        <v>1</v>
      </c>
      <c r="G377">
        <v>3</v>
      </c>
      <c r="H377">
        <v>0</v>
      </c>
      <c r="I377">
        <v>0</v>
      </c>
      <c r="J377" t="s">
        <v>23390</v>
      </c>
      <c r="K377" t="s">
        <v>18640</v>
      </c>
      <c r="L377" t="s">
        <v>18640</v>
      </c>
      <c r="M377">
        <v>3</v>
      </c>
      <c r="N377" t="s">
        <v>17367</v>
      </c>
      <c r="O377" t="s">
        <v>23391</v>
      </c>
    </row>
    <row r="378" spans="1:15" x14ac:dyDescent="0.25">
      <c r="A378" t="s">
        <v>5</v>
      </c>
      <c r="B378" t="s">
        <v>6073</v>
      </c>
      <c r="C378" s="18" t="str">
        <f>HYPERLINK("https://rhld.insurance.arkansas.gov/NPILookup?Npi=1407326002","1407326002")</f>
        <v>1407326002</v>
      </c>
      <c r="D378" t="s">
        <v>23243</v>
      </c>
      <c r="E378" t="s">
        <v>17366</v>
      </c>
      <c r="F378">
        <v>1</v>
      </c>
      <c r="G378">
        <v>3</v>
      </c>
      <c r="H378">
        <v>0</v>
      </c>
      <c r="I378">
        <v>0</v>
      </c>
      <c r="J378" t="s">
        <v>23390</v>
      </c>
      <c r="K378" t="s">
        <v>18640</v>
      </c>
      <c r="L378" t="s">
        <v>18640</v>
      </c>
      <c r="M378">
        <v>3</v>
      </c>
      <c r="N378" t="s">
        <v>17367</v>
      </c>
      <c r="O378" t="s">
        <v>23391</v>
      </c>
    </row>
    <row r="379" spans="1:15" x14ac:dyDescent="0.25">
      <c r="A379" t="s">
        <v>5</v>
      </c>
      <c r="B379" t="s">
        <v>6073</v>
      </c>
      <c r="C379" s="18" t="str">
        <f>HYPERLINK("https://rhld.insurance.arkansas.gov/NPILookup?Npi=1417297235","1417297235")</f>
        <v>1417297235</v>
      </c>
      <c r="D379" t="s">
        <v>23244</v>
      </c>
      <c r="E379" t="s">
        <v>17366</v>
      </c>
      <c r="F379">
        <v>1</v>
      </c>
      <c r="G379">
        <v>3</v>
      </c>
      <c r="H379">
        <v>0</v>
      </c>
      <c r="I379">
        <v>0</v>
      </c>
      <c r="J379" t="s">
        <v>23390</v>
      </c>
      <c r="K379" t="s">
        <v>18640</v>
      </c>
      <c r="L379" t="s">
        <v>18640</v>
      </c>
      <c r="M379">
        <v>3</v>
      </c>
      <c r="N379" t="s">
        <v>17367</v>
      </c>
      <c r="O379" t="s">
        <v>23391</v>
      </c>
    </row>
    <row r="380" spans="1:15" x14ac:dyDescent="0.25">
      <c r="A380" t="s">
        <v>5</v>
      </c>
      <c r="B380" t="s">
        <v>6073</v>
      </c>
      <c r="C380" s="18" t="str">
        <f>HYPERLINK("https://rhld.insurance.arkansas.gov/NPILookup?Npi=1437698461","1437698461")</f>
        <v>1437698461</v>
      </c>
      <c r="D380" t="s">
        <v>23105</v>
      </c>
      <c r="E380" t="s">
        <v>17366</v>
      </c>
      <c r="F380">
        <v>1</v>
      </c>
      <c r="G380">
        <v>3</v>
      </c>
      <c r="H380">
        <v>0</v>
      </c>
      <c r="I380">
        <v>0</v>
      </c>
      <c r="J380" t="s">
        <v>23390</v>
      </c>
      <c r="K380" t="s">
        <v>18640</v>
      </c>
      <c r="L380" t="s">
        <v>18640</v>
      </c>
      <c r="M380">
        <v>3</v>
      </c>
      <c r="N380" t="s">
        <v>17367</v>
      </c>
      <c r="O380" t="s">
        <v>23391</v>
      </c>
    </row>
    <row r="381" spans="1:15" x14ac:dyDescent="0.25">
      <c r="A381" t="s">
        <v>5</v>
      </c>
      <c r="B381" t="s">
        <v>6073</v>
      </c>
      <c r="C381" s="18" t="str">
        <f>HYPERLINK("https://rhld.insurance.arkansas.gov/NPILookup?Npi=1437872181","1437872181")</f>
        <v>1437872181</v>
      </c>
      <c r="D381" t="s">
        <v>23246</v>
      </c>
      <c r="E381" t="s">
        <v>17366</v>
      </c>
      <c r="F381">
        <v>1</v>
      </c>
      <c r="G381">
        <v>3</v>
      </c>
      <c r="H381">
        <v>0</v>
      </c>
      <c r="I381">
        <v>0</v>
      </c>
      <c r="J381" t="s">
        <v>23390</v>
      </c>
      <c r="K381" t="s">
        <v>18640</v>
      </c>
      <c r="L381" t="s">
        <v>18640</v>
      </c>
      <c r="M381">
        <v>3</v>
      </c>
      <c r="N381" t="s">
        <v>17367</v>
      </c>
      <c r="O381" t="s">
        <v>23391</v>
      </c>
    </row>
    <row r="382" spans="1:15" x14ac:dyDescent="0.25">
      <c r="A382" t="s">
        <v>5</v>
      </c>
      <c r="B382" t="s">
        <v>6073</v>
      </c>
      <c r="C382" s="18" t="str">
        <f>HYPERLINK("https://rhld.insurance.arkansas.gov/NPILookup?Npi=1447728696","1447728696")</f>
        <v>1447728696</v>
      </c>
      <c r="D382" t="s">
        <v>23247</v>
      </c>
      <c r="E382" t="s">
        <v>17366</v>
      </c>
      <c r="F382">
        <v>1</v>
      </c>
      <c r="G382">
        <v>2</v>
      </c>
      <c r="H382">
        <v>0</v>
      </c>
      <c r="I382">
        <v>0</v>
      </c>
      <c r="J382" t="s">
        <v>23390</v>
      </c>
      <c r="K382" t="s">
        <v>18640</v>
      </c>
      <c r="L382" t="s">
        <v>18640</v>
      </c>
      <c r="M382">
        <v>2</v>
      </c>
      <c r="N382" t="s">
        <v>17367</v>
      </c>
      <c r="O382" t="s">
        <v>23391</v>
      </c>
    </row>
    <row r="383" spans="1:15" x14ac:dyDescent="0.25">
      <c r="A383" t="s">
        <v>5</v>
      </c>
      <c r="B383" t="s">
        <v>6073</v>
      </c>
      <c r="C383" s="18" t="str">
        <f>HYPERLINK("https://rhld.insurance.arkansas.gov/NPILookup?Npi=1467168989","1467168989")</f>
        <v>1467168989</v>
      </c>
      <c r="D383" t="s">
        <v>23248</v>
      </c>
      <c r="E383" t="s">
        <v>17366</v>
      </c>
      <c r="F383">
        <v>1</v>
      </c>
      <c r="G383">
        <v>3</v>
      </c>
      <c r="H383">
        <v>0</v>
      </c>
      <c r="I383">
        <v>0</v>
      </c>
      <c r="J383" t="s">
        <v>23390</v>
      </c>
      <c r="K383" t="s">
        <v>18640</v>
      </c>
      <c r="L383" t="s">
        <v>18640</v>
      </c>
      <c r="M383">
        <v>3</v>
      </c>
      <c r="N383" t="s">
        <v>17367</v>
      </c>
      <c r="O383" t="s">
        <v>23391</v>
      </c>
    </row>
    <row r="384" spans="1:15" x14ac:dyDescent="0.25">
      <c r="A384" t="s">
        <v>5</v>
      </c>
      <c r="B384" t="s">
        <v>6073</v>
      </c>
      <c r="C384" s="18" t="str">
        <f>HYPERLINK("https://rhld.insurance.arkansas.gov/NPILookup?Npi=1467669697","1467669697")</f>
        <v>1467669697</v>
      </c>
      <c r="D384" t="s">
        <v>23249</v>
      </c>
      <c r="E384" t="s">
        <v>17366</v>
      </c>
      <c r="F384">
        <v>1</v>
      </c>
      <c r="G384">
        <v>2</v>
      </c>
      <c r="H384">
        <v>0</v>
      </c>
      <c r="I384">
        <v>0</v>
      </c>
      <c r="J384" t="s">
        <v>23390</v>
      </c>
      <c r="K384" t="s">
        <v>18640</v>
      </c>
      <c r="L384" t="s">
        <v>18640</v>
      </c>
      <c r="M384">
        <v>2</v>
      </c>
      <c r="N384" t="s">
        <v>17367</v>
      </c>
      <c r="O384" t="s">
        <v>23391</v>
      </c>
    </row>
    <row r="385" spans="1:15" x14ac:dyDescent="0.25">
      <c r="A385" t="s">
        <v>5</v>
      </c>
      <c r="B385" t="s">
        <v>6073</v>
      </c>
      <c r="C385" s="18" t="str">
        <f>HYPERLINK("https://rhld.insurance.arkansas.gov/NPILookup?Npi=1467969659","1467969659")</f>
        <v>1467969659</v>
      </c>
      <c r="D385" t="s">
        <v>22083</v>
      </c>
      <c r="E385" t="s">
        <v>17366</v>
      </c>
      <c r="F385">
        <v>1</v>
      </c>
      <c r="G385">
        <v>3</v>
      </c>
      <c r="H385">
        <v>0</v>
      </c>
      <c r="I385">
        <v>0</v>
      </c>
      <c r="J385" t="s">
        <v>23390</v>
      </c>
      <c r="K385" t="s">
        <v>18640</v>
      </c>
      <c r="L385" t="s">
        <v>18640</v>
      </c>
      <c r="M385">
        <v>3</v>
      </c>
      <c r="N385" t="s">
        <v>17367</v>
      </c>
      <c r="O385" t="s">
        <v>23391</v>
      </c>
    </row>
    <row r="386" spans="1:15" x14ac:dyDescent="0.25">
      <c r="A386" t="s">
        <v>5</v>
      </c>
      <c r="B386" t="s">
        <v>6073</v>
      </c>
      <c r="C386" s="18" t="str">
        <f>HYPERLINK("https://rhld.insurance.arkansas.gov/NPILookup?Npi=1487257168","1487257168")</f>
        <v>1487257168</v>
      </c>
      <c r="D386" t="s">
        <v>23250</v>
      </c>
      <c r="E386" t="s">
        <v>17366</v>
      </c>
      <c r="F386">
        <v>1</v>
      </c>
      <c r="G386">
        <v>2</v>
      </c>
      <c r="H386">
        <v>0</v>
      </c>
      <c r="I386">
        <v>0</v>
      </c>
      <c r="J386" t="s">
        <v>23390</v>
      </c>
      <c r="K386" t="s">
        <v>18640</v>
      </c>
      <c r="L386" t="s">
        <v>18640</v>
      </c>
      <c r="M386">
        <v>2</v>
      </c>
      <c r="N386" t="s">
        <v>17367</v>
      </c>
      <c r="O386" t="s">
        <v>23391</v>
      </c>
    </row>
    <row r="387" spans="1:15" x14ac:dyDescent="0.25">
      <c r="A387" t="s">
        <v>5</v>
      </c>
      <c r="B387" t="s">
        <v>6073</v>
      </c>
      <c r="C387" s="18" t="str">
        <f>HYPERLINK("https://rhld.insurance.arkansas.gov/NPILookup?Npi=1487323556","1487323556")</f>
        <v>1487323556</v>
      </c>
      <c r="D387" t="s">
        <v>23117</v>
      </c>
      <c r="E387" t="s">
        <v>17366</v>
      </c>
      <c r="F387">
        <v>1</v>
      </c>
      <c r="G387">
        <v>3</v>
      </c>
      <c r="H387">
        <v>0</v>
      </c>
      <c r="I387">
        <v>0</v>
      </c>
      <c r="J387" t="s">
        <v>23390</v>
      </c>
      <c r="K387" t="s">
        <v>18640</v>
      </c>
      <c r="L387" t="s">
        <v>18640</v>
      </c>
      <c r="M387">
        <v>3</v>
      </c>
      <c r="N387" t="s">
        <v>17367</v>
      </c>
      <c r="O387" t="s">
        <v>23391</v>
      </c>
    </row>
    <row r="388" spans="1:15" x14ac:dyDescent="0.25">
      <c r="A388" t="s">
        <v>5</v>
      </c>
      <c r="B388" t="s">
        <v>6073</v>
      </c>
      <c r="C388" s="18" t="str">
        <f>HYPERLINK("https://rhld.insurance.arkansas.gov/NPILookup?Npi=1497367346","1497367346")</f>
        <v>1497367346</v>
      </c>
      <c r="D388" t="s">
        <v>22104</v>
      </c>
      <c r="E388" t="s">
        <v>17366</v>
      </c>
      <c r="F388">
        <v>1</v>
      </c>
      <c r="G388">
        <v>3</v>
      </c>
      <c r="H388">
        <v>0</v>
      </c>
      <c r="I388">
        <v>0</v>
      </c>
      <c r="J388" t="s">
        <v>23390</v>
      </c>
      <c r="K388" t="s">
        <v>18640</v>
      </c>
      <c r="L388" t="s">
        <v>18640</v>
      </c>
      <c r="M388">
        <v>3</v>
      </c>
      <c r="N388" t="s">
        <v>17367</v>
      </c>
      <c r="O388" t="s">
        <v>23391</v>
      </c>
    </row>
    <row r="389" spans="1:15" x14ac:dyDescent="0.25">
      <c r="A389" t="s">
        <v>5</v>
      </c>
      <c r="B389" t="s">
        <v>6073</v>
      </c>
      <c r="C389" s="18" t="str">
        <f>HYPERLINK("https://rhld.insurance.arkansas.gov/NPILookup?Npi=1518607340","1518607340")</f>
        <v>1518607340</v>
      </c>
      <c r="D389" t="s">
        <v>23128</v>
      </c>
      <c r="E389" t="s">
        <v>17366</v>
      </c>
      <c r="F389">
        <v>1</v>
      </c>
      <c r="G389">
        <v>3</v>
      </c>
      <c r="H389">
        <v>0</v>
      </c>
      <c r="I389">
        <v>0</v>
      </c>
      <c r="J389" t="s">
        <v>23390</v>
      </c>
      <c r="K389" t="s">
        <v>18640</v>
      </c>
      <c r="L389" t="s">
        <v>18640</v>
      </c>
      <c r="M389">
        <v>3</v>
      </c>
      <c r="N389" t="s">
        <v>17367</v>
      </c>
      <c r="O389" t="s">
        <v>23391</v>
      </c>
    </row>
    <row r="390" spans="1:15" x14ac:dyDescent="0.25">
      <c r="A390" t="s">
        <v>5</v>
      </c>
      <c r="B390" t="s">
        <v>6073</v>
      </c>
      <c r="C390" s="18" t="str">
        <f>HYPERLINK("https://rhld.insurance.arkansas.gov/NPILookup?Npi=1528531092","1528531092")</f>
        <v>1528531092</v>
      </c>
      <c r="D390" t="s">
        <v>22122</v>
      </c>
      <c r="E390" t="s">
        <v>17366</v>
      </c>
      <c r="F390">
        <v>1</v>
      </c>
      <c r="G390">
        <v>3</v>
      </c>
      <c r="H390">
        <v>0</v>
      </c>
      <c r="I390">
        <v>0</v>
      </c>
      <c r="J390" t="s">
        <v>23390</v>
      </c>
      <c r="K390" t="s">
        <v>18640</v>
      </c>
      <c r="L390" t="s">
        <v>18640</v>
      </c>
      <c r="M390">
        <v>3</v>
      </c>
      <c r="N390" t="s">
        <v>17367</v>
      </c>
      <c r="O390" t="s">
        <v>23391</v>
      </c>
    </row>
    <row r="391" spans="1:15" x14ac:dyDescent="0.25">
      <c r="A391" t="s">
        <v>5</v>
      </c>
      <c r="B391" t="s">
        <v>6073</v>
      </c>
      <c r="C391" s="18" t="str">
        <f>HYPERLINK("https://rhld.insurance.arkansas.gov/NPILookup?Npi=1528757408","1528757408")</f>
        <v>1528757408</v>
      </c>
      <c r="D391" t="s">
        <v>23252</v>
      </c>
      <c r="E391" t="s">
        <v>17366</v>
      </c>
      <c r="F391">
        <v>1</v>
      </c>
      <c r="G391">
        <v>3</v>
      </c>
      <c r="H391">
        <v>0</v>
      </c>
      <c r="I391">
        <v>0</v>
      </c>
      <c r="J391" t="s">
        <v>23390</v>
      </c>
      <c r="K391" t="s">
        <v>18640</v>
      </c>
      <c r="L391" t="s">
        <v>18640</v>
      </c>
      <c r="M391">
        <v>3</v>
      </c>
      <c r="N391" t="s">
        <v>17367</v>
      </c>
      <c r="O391" t="s">
        <v>23391</v>
      </c>
    </row>
    <row r="392" spans="1:15" x14ac:dyDescent="0.25">
      <c r="A392" t="s">
        <v>5</v>
      </c>
      <c r="B392" t="s">
        <v>6073</v>
      </c>
      <c r="C392" s="18" t="str">
        <f>HYPERLINK("https://rhld.insurance.arkansas.gov/NPILookup?Npi=1548656846","1548656846")</f>
        <v>1548656846</v>
      </c>
      <c r="D392" t="s">
        <v>23253</v>
      </c>
      <c r="E392" t="s">
        <v>17366</v>
      </c>
      <c r="F392">
        <v>1</v>
      </c>
      <c r="G392">
        <v>2</v>
      </c>
      <c r="H392">
        <v>0</v>
      </c>
      <c r="I392">
        <v>0</v>
      </c>
      <c r="J392" t="s">
        <v>23390</v>
      </c>
      <c r="K392" t="s">
        <v>18640</v>
      </c>
      <c r="L392" t="s">
        <v>18640</v>
      </c>
      <c r="M392">
        <v>2</v>
      </c>
      <c r="N392" t="s">
        <v>17367</v>
      </c>
      <c r="O392" t="s">
        <v>23391</v>
      </c>
    </row>
    <row r="393" spans="1:15" x14ac:dyDescent="0.25">
      <c r="A393" t="s">
        <v>5</v>
      </c>
      <c r="B393" t="s">
        <v>6073</v>
      </c>
      <c r="C393" s="18" t="str">
        <f>HYPERLINK("https://rhld.insurance.arkansas.gov/NPILookup?Npi=1548952070","1548952070")</f>
        <v>1548952070</v>
      </c>
      <c r="D393" t="s">
        <v>23254</v>
      </c>
      <c r="E393" t="s">
        <v>17366</v>
      </c>
      <c r="F393">
        <v>1</v>
      </c>
      <c r="G393">
        <v>2</v>
      </c>
      <c r="H393">
        <v>0</v>
      </c>
      <c r="I393">
        <v>0</v>
      </c>
      <c r="J393" t="s">
        <v>23390</v>
      </c>
      <c r="K393" t="s">
        <v>18640</v>
      </c>
      <c r="L393" t="s">
        <v>18640</v>
      </c>
      <c r="M393">
        <v>2</v>
      </c>
      <c r="N393" t="s">
        <v>17367</v>
      </c>
      <c r="O393" t="s">
        <v>23391</v>
      </c>
    </row>
    <row r="394" spans="1:15" x14ac:dyDescent="0.25">
      <c r="A394" t="s">
        <v>5</v>
      </c>
      <c r="B394" t="s">
        <v>6073</v>
      </c>
      <c r="C394" s="18" t="str">
        <f>HYPERLINK("https://rhld.insurance.arkansas.gov/NPILookup?Npi=1558718411","1558718411")</f>
        <v>1558718411</v>
      </c>
      <c r="D394" t="s">
        <v>23255</v>
      </c>
      <c r="E394" t="s">
        <v>17366</v>
      </c>
      <c r="F394">
        <v>1</v>
      </c>
      <c r="G394">
        <v>3</v>
      </c>
      <c r="H394">
        <v>0</v>
      </c>
      <c r="I394">
        <v>0</v>
      </c>
      <c r="J394" t="s">
        <v>23390</v>
      </c>
      <c r="K394" t="s">
        <v>18640</v>
      </c>
      <c r="L394" t="s">
        <v>18640</v>
      </c>
      <c r="M394">
        <v>3</v>
      </c>
      <c r="N394" t="s">
        <v>17367</v>
      </c>
      <c r="O394" t="s">
        <v>23391</v>
      </c>
    </row>
    <row r="395" spans="1:15" x14ac:dyDescent="0.25">
      <c r="A395" t="s">
        <v>5</v>
      </c>
      <c r="B395" t="s">
        <v>6073</v>
      </c>
      <c r="C395" s="18" t="str">
        <f>HYPERLINK("https://rhld.insurance.arkansas.gov/NPILookup?Npi=1568190817","1568190817")</f>
        <v>1568190817</v>
      </c>
      <c r="D395" t="s">
        <v>23256</v>
      </c>
      <c r="E395" t="s">
        <v>17366</v>
      </c>
      <c r="F395">
        <v>1</v>
      </c>
      <c r="G395">
        <v>2</v>
      </c>
      <c r="H395">
        <v>0</v>
      </c>
      <c r="I395">
        <v>0</v>
      </c>
      <c r="J395" t="s">
        <v>23390</v>
      </c>
      <c r="K395" t="s">
        <v>18640</v>
      </c>
      <c r="L395" t="s">
        <v>18640</v>
      </c>
      <c r="M395">
        <v>2</v>
      </c>
      <c r="N395" t="s">
        <v>17367</v>
      </c>
      <c r="O395" t="s">
        <v>23391</v>
      </c>
    </row>
    <row r="396" spans="1:15" x14ac:dyDescent="0.25">
      <c r="A396" t="s">
        <v>5</v>
      </c>
      <c r="B396" t="s">
        <v>6073</v>
      </c>
      <c r="C396" s="18" t="str">
        <f>HYPERLINK("https://rhld.insurance.arkansas.gov/NPILookup?Npi=1578162764","1578162764")</f>
        <v>1578162764</v>
      </c>
      <c r="D396" t="s">
        <v>23257</v>
      </c>
      <c r="E396" t="s">
        <v>17366</v>
      </c>
      <c r="F396">
        <v>1</v>
      </c>
      <c r="G396">
        <v>2</v>
      </c>
      <c r="H396">
        <v>0</v>
      </c>
      <c r="I396">
        <v>0</v>
      </c>
      <c r="J396" t="s">
        <v>23390</v>
      </c>
      <c r="K396" t="s">
        <v>18640</v>
      </c>
      <c r="L396" t="s">
        <v>18640</v>
      </c>
      <c r="M396">
        <v>2</v>
      </c>
      <c r="N396" t="s">
        <v>17367</v>
      </c>
      <c r="O396" t="s">
        <v>23391</v>
      </c>
    </row>
    <row r="397" spans="1:15" x14ac:dyDescent="0.25">
      <c r="A397" t="s">
        <v>5</v>
      </c>
      <c r="B397" t="s">
        <v>6073</v>
      </c>
      <c r="C397" s="18" t="str">
        <f>HYPERLINK("https://rhld.insurance.arkansas.gov/NPILookup?Npi=1578942280","1578942280")</f>
        <v>1578942280</v>
      </c>
      <c r="D397" t="s">
        <v>23137</v>
      </c>
      <c r="E397" t="s">
        <v>17366</v>
      </c>
      <c r="F397">
        <v>1</v>
      </c>
      <c r="G397">
        <v>3</v>
      </c>
      <c r="H397">
        <v>0</v>
      </c>
      <c r="I397">
        <v>0</v>
      </c>
      <c r="J397" t="s">
        <v>23390</v>
      </c>
      <c r="K397" t="s">
        <v>18640</v>
      </c>
      <c r="L397" t="s">
        <v>18640</v>
      </c>
      <c r="M397">
        <v>3</v>
      </c>
      <c r="N397" t="s">
        <v>17367</v>
      </c>
      <c r="O397" t="s">
        <v>23391</v>
      </c>
    </row>
    <row r="398" spans="1:15" x14ac:dyDescent="0.25">
      <c r="A398" t="s">
        <v>5</v>
      </c>
      <c r="B398" t="s">
        <v>6073</v>
      </c>
      <c r="C398" s="18" t="str">
        <f>HYPERLINK("https://rhld.insurance.arkansas.gov/NPILookup?Npi=1598319303","1598319303")</f>
        <v>1598319303</v>
      </c>
      <c r="D398" t="s">
        <v>22174</v>
      </c>
      <c r="E398" t="s">
        <v>17366</v>
      </c>
      <c r="F398">
        <v>1</v>
      </c>
      <c r="G398">
        <v>3</v>
      </c>
      <c r="H398">
        <v>0</v>
      </c>
      <c r="I398">
        <v>0</v>
      </c>
      <c r="J398" t="s">
        <v>23390</v>
      </c>
      <c r="K398" t="s">
        <v>18640</v>
      </c>
      <c r="L398" t="s">
        <v>18640</v>
      </c>
      <c r="M398">
        <v>3</v>
      </c>
      <c r="N398" t="s">
        <v>17367</v>
      </c>
      <c r="O398" t="s">
        <v>23391</v>
      </c>
    </row>
    <row r="399" spans="1:15" x14ac:dyDescent="0.25">
      <c r="A399" t="s">
        <v>5</v>
      </c>
      <c r="B399" t="s">
        <v>6073</v>
      </c>
      <c r="C399" s="18" t="str">
        <f>HYPERLINK("https://rhld.insurance.arkansas.gov/NPILookup?Npi=1598458663","1598458663")</f>
        <v>1598458663</v>
      </c>
      <c r="D399" t="s">
        <v>23258</v>
      </c>
      <c r="E399" t="s">
        <v>17366</v>
      </c>
      <c r="F399">
        <v>1</v>
      </c>
      <c r="G399">
        <v>2</v>
      </c>
      <c r="H399">
        <v>0</v>
      </c>
      <c r="I399">
        <v>0</v>
      </c>
      <c r="J399" t="s">
        <v>23390</v>
      </c>
      <c r="K399" t="s">
        <v>18640</v>
      </c>
      <c r="L399" t="s">
        <v>18640</v>
      </c>
      <c r="M399">
        <v>2</v>
      </c>
      <c r="N399" t="s">
        <v>17367</v>
      </c>
      <c r="O399" t="s">
        <v>23391</v>
      </c>
    </row>
    <row r="400" spans="1:15" x14ac:dyDescent="0.25">
      <c r="A400" t="s">
        <v>5</v>
      </c>
      <c r="B400" t="s">
        <v>6073</v>
      </c>
      <c r="C400" s="18" t="str">
        <f>HYPERLINK("https://rhld.insurance.arkansas.gov/NPILookup?Npi=1619542149","1619542149")</f>
        <v>1619542149</v>
      </c>
      <c r="D400" t="s">
        <v>23150</v>
      </c>
      <c r="E400" t="s">
        <v>17366</v>
      </c>
      <c r="F400">
        <v>1</v>
      </c>
      <c r="G400">
        <v>3</v>
      </c>
      <c r="H400">
        <v>0</v>
      </c>
      <c r="I400">
        <v>0</v>
      </c>
      <c r="J400" t="s">
        <v>23390</v>
      </c>
      <c r="K400" t="s">
        <v>18640</v>
      </c>
      <c r="L400" t="s">
        <v>18640</v>
      </c>
      <c r="M400">
        <v>3</v>
      </c>
      <c r="N400" t="s">
        <v>17367</v>
      </c>
      <c r="O400" t="s">
        <v>23391</v>
      </c>
    </row>
    <row r="401" spans="1:15" x14ac:dyDescent="0.25">
      <c r="A401" t="s">
        <v>5</v>
      </c>
      <c r="B401" t="s">
        <v>6073</v>
      </c>
      <c r="C401" s="18" t="str">
        <f>HYPERLINK("https://rhld.insurance.arkansas.gov/NPILookup?Npi=1619579448","1619579448")</f>
        <v>1619579448</v>
      </c>
      <c r="D401" t="s">
        <v>23259</v>
      </c>
      <c r="E401" t="s">
        <v>17366</v>
      </c>
      <c r="F401">
        <v>1</v>
      </c>
      <c r="G401">
        <v>3</v>
      </c>
      <c r="H401">
        <v>0</v>
      </c>
      <c r="I401">
        <v>0</v>
      </c>
      <c r="J401" t="s">
        <v>23390</v>
      </c>
      <c r="K401" t="s">
        <v>18640</v>
      </c>
      <c r="L401" t="s">
        <v>18640</v>
      </c>
      <c r="M401">
        <v>3</v>
      </c>
      <c r="N401" t="s">
        <v>17367</v>
      </c>
      <c r="O401" t="s">
        <v>23391</v>
      </c>
    </row>
    <row r="402" spans="1:15" x14ac:dyDescent="0.25">
      <c r="A402" t="s">
        <v>5</v>
      </c>
      <c r="B402" t="s">
        <v>6073</v>
      </c>
      <c r="C402" s="18" t="str">
        <f>HYPERLINK("https://rhld.insurance.arkansas.gov/NPILookup?Npi=1639852494","1639852494")</f>
        <v>1639852494</v>
      </c>
      <c r="D402" t="s">
        <v>23260</v>
      </c>
      <c r="E402" t="s">
        <v>17366</v>
      </c>
      <c r="F402">
        <v>1</v>
      </c>
      <c r="G402">
        <v>2</v>
      </c>
      <c r="H402">
        <v>0</v>
      </c>
      <c r="I402">
        <v>0</v>
      </c>
      <c r="J402" t="s">
        <v>23390</v>
      </c>
      <c r="K402" t="s">
        <v>18640</v>
      </c>
      <c r="L402" t="s">
        <v>18640</v>
      </c>
      <c r="M402">
        <v>2</v>
      </c>
      <c r="N402" t="s">
        <v>17367</v>
      </c>
      <c r="O402" t="s">
        <v>23391</v>
      </c>
    </row>
    <row r="403" spans="1:15" x14ac:dyDescent="0.25">
      <c r="A403" t="s">
        <v>5</v>
      </c>
      <c r="B403" t="s">
        <v>6073</v>
      </c>
      <c r="C403" s="18" t="str">
        <f>HYPERLINK("https://rhld.insurance.arkansas.gov/NPILookup?Npi=1649770629","1649770629")</f>
        <v>1649770629</v>
      </c>
      <c r="D403" t="s">
        <v>18390</v>
      </c>
      <c r="E403" t="s">
        <v>17368</v>
      </c>
      <c r="F403">
        <v>1</v>
      </c>
      <c r="G403">
        <v>2</v>
      </c>
      <c r="H403">
        <v>0</v>
      </c>
      <c r="I403">
        <v>0</v>
      </c>
      <c r="J403" t="s">
        <v>17370</v>
      </c>
      <c r="K403" t="s">
        <v>18640</v>
      </c>
      <c r="L403" t="s">
        <v>18640</v>
      </c>
      <c r="M403">
        <v>2</v>
      </c>
      <c r="N403" t="s">
        <v>17367</v>
      </c>
      <c r="O403" t="s">
        <v>23391</v>
      </c>
    </row>
    <row r="404" spans="1:15" x14ac:dyDescent="0.25">
      <c r="A404" t="s">
        <v>5</v>
      </c>
      <c r="B404" t="s">
        <v>6073</v>
      </c>
      <c r="C404" s="18" t="str">
        <f>HYPERLINK("https://rhld.insurance.arkansas.gov/NPILookup?Npi=1649975236","1649975236")</f>
        <v>1649975236</v>
      </c>
      <c r="D404" t="s">
        <v>23261</v>
      </c>
      <c r="E404" t="s">
        <v>17366</v>
      </c>
      <c r="F404">
        <v>1</v>
      </c>
      <c r="G404">
        <v>2</v>
      </c>
      <c r="H404">
        <v>0</v>
      </c>
      <c r="I404">
        <v>0</v>
      </c>
      <c r="J404" t="s">
        <v>23390</v>
      </c>
      <c r="K404" t="s">
        <v>18640</v>
      </c>
      <c r="L404" t="s">
        <v>18640</v>
      </c>
      <c r="M404">
        <v>2</v>
      </c>
      <c r="N404" t="s">
        <v>17367</v>
      </c>
      <c r="O404" t="s">
        <v>23391</v>
      </c>
    </row>
    <row r="405" spans="1:15" x14ac:dyDescent="0.25">
      <c r="A405" t="s">
        <v>5</v>
      </c>
      <c r="B405" t="s">
        <v>6073</v>
      </c>
      <c r="C405" s="18" t="str">
        <f>HYPERLINK("https://rhld.insurance.arkansas.gov/NPILookup?Npi=1679278147","1679278147")</f>
        <v>1679278147</v>
      </c>
      <c r="D405" t="s">
        <v>23262</v>
      </c>
      <c r="E405" t="s">
        <v>17366</v>
      </c>
      <c r="F405">
        <v>1</v>
      </c>
      <c r="G405">
        <v>3</v>
      </c>
      <c r="H405">
        <v>0</v>
      </c>
      <c r="I405">
        <v>0</v>
      </c>
      <c r="J405" t="s">
        <v>23390</v>
      </c>
      <c r="K405" t="s">
        <v>18640</v>
      </c>
      <c r="L405" t="s">
        <v>18640</v>
      </c>
      <c r="M405">
        <v>3</v>
      </c>
      <c r="N405" t="s">
        <v>17367</v>
      </c>
      <c r="O405" t="s">
        <v>23391</v>
      </c>
    </row>
    <row r="406" spans="1:15" x14ac:dyDescent="0.25">
      <c r="A406" t="s">
        <v>5</v>
      </c>
      <c r="B406" t="s">
        <v>6073</v>
      </c>
      <c r="C406" s="18" t="str">
        <f>HYPERLINK("https://rhld.insurance.arkansas.gov/NPILookup?Npi=1689222598","1689222598")</f>
        <v>1689222598</v>
      </c>
      <c r="D406" t="s">
        <v>22216</v>
      </c>
      <c r="E406" t="s">
        <v>17366</v>
      </c>
      <c r="F406">
        <v>1</v>
      </c>
      <c r="G406">
        <v>3</v>
      </c>
      <c r="H406">
        <v>0</v>
      </c>
      <c r="I406">
        <v>0</v>
      </c>
      <c r="J406" t="s">
        <v>23390</v>
      </c>
      <c r="K406" t="s">
        <v>18640</v>
      </c>
      <c r="L406" t="s">
        <v>18640</v>
      </c>
      <c r="M406">
        <v>3</v>
      </c>
      <c r="N406" t="s">
        <v>17367</v>
      </c>
      <c r="O406" t="s">
        <v>23391</v>
      </c>
    </row>
    <row r="407" spans="1:15" x14ac:dyDescent="0.25">
      <c r="A407" t="s">
        <v>5</v>
      </c>
      <c r="B407" t="s">
        <v>6073</v>
      </c>
      <c r="C407" s="18" t="str">
        <f>HYPERLINK("https://rhld.insurance.arkansas.gov/NPILookup?Npi=1700305729","1700305729")</f>
        <v>1700305729</v>
      </c>
      <c r="D407" t="s">
        <v>23263</v>
      </c>
      <c r="E407" t="s">
        <v>17366</v>
      </c>
      <c r="F407">
        <v>1</v>
      </c>
      <c r="G407">
        <v>2</v>
      </c>
      <c r="H407">
        <v>0</v>
      </c>
      <c r="I407">
        <v>0</v>
      </c>
      <c r="J407" t="s">
        <v>23390</v>
      </c>
      <c r="K407" t="s">
        <v>18640</v>
      </c>
      <c r="L407" t="s">
        <v>18640</v>
      </c>
      <c r="M407">
        <v>2</v>
      </c>
      <c r="N407" t="s">
        <v>17367</v>
      </c>
      <c r="O407" t="s">
        <v>23391</v>
      </c>
    </row>
    <row r="408" spans="1:15" x14ac:dyDescent="0.25">
      <c r="A408" t="s">
        <v>5</v>
      </c>
      <c r="B408" t="s">
        <v>6073</v>
      </c>
      <c r="C408" s="18" t="str">
        <f>HYPERLINK("https://rhld.insurance.arkansas.gov/NPILookup?Npi=1700565959","1700565959")</f>
        <v>1700565959</v>
      </c>
      <c r="D408" t="s">
        <v>23264</v>
      </c>
      <c r="E408" t="s">
        <v>17366</v>
      </c>
      <c r="F408">
        <v>1</v>
      </c>
      <c r="G408">
        <v>2</v>
      </c>
      <c r="H408">
        <v>0</v>
      </c>
      <c r="I408">
        <v>0</v>
      </c>
      <c r="J408" t="s">
        <v>23390</v>
      </c>
      <c r="K408" t="s">
        <v>18640</v>
      </c>
      <c r="L408" t="s">
        <v>18640</v>
      </c>
      <c r="M408">
        <v>2</v>
      </c>
      <c r="N408" t="s">
        <v>17367</v>
      </c>
      <c r="O408" t="s">
        <v>23391</v>
      </c>
    </row>
    <row r="409" spans="1:15" x14ac:dyDescent="0.25">
      <c r="A409" t="s">
        <v>5</v>
      </c>
      <c r="B409" t="s">
        <v>6073</v>
      </c>
      <c r="C409" s="18" t="str">
        <f>HYPERLINK("https://rhld.insurance.arkansas.gov/NPILookup?Npi=1710663059","1710663059")</f>
        <v>1710663059</v>
      </c>
      <c r="D409" t="s">
        <v>23265</v>
      </c>
      <c r="E409" t="s">
        <v>17366</v>
      </c>
      <c r="F409">
        <v>1</v>
      </c>
      <c r="G409">
        <v>2</v>
      </c>
      <c r="H409">
        <v>0</v>
      </c>
      <c r="I409">
        <v>0</v>
      </c>
      <c r="J409" t="s">
        <v>23390</v>
      </c>
      <c r="K409" t="s">
        <v>18640</v>
      </c>
      <c r="L409" t="s">
        <v>18640</v>
      </c>
      <c r="M409">
        <v>2</v>
      </c>
      <c r="N409" t="s">
        <v>17367</v>
      </c>
      <c r="O409" t="s">
        <v>23391</v>
      </c>
    </row>
    <row r="410" spans="1:15" x14ac:dyDescent="0.25">
      <c r="A410" t="s">
        <v>5</v>
      </c>
      <c r="B410" t="s">
        <v>6073</v>
      </c>
      <c r="C410" s="18" t="str">
        <f>HYPERLINK("https://rhld.insurance.arkansas.gov/NPILookup?Npi=1740665900","1740665900")</f>
        <v>1740665900</v>
      </c>
      <c r="D410" t="s">
        <v>1222</v>
      </c>
      <c r="E410" t="s">
        <v>17366</v>
      </c>
      <c r="F410">
        <v>1</v>
      </c>
      <c r="G410">
        <v>3</v>
      </c>
      <c r="H410">
        <v>0</v>
      </c>
      <c r="I410">
        <v>0</v>
      </c>
      <c r="J410" t="s">
        <v>23390</v>
      </c>
      <c r="K410" t="s">
        <v>18640</v>
      </c>
      <c r="L410" t="s">
        <v>18640</v>
      </c>
      <c r="M410">
        <v>3</v>
      </c>
      <c r="N410" t="s">
        <v>17367</v>
      </c>
      <c r="O410" t="s">
        <v>23391</v>
      </c>
    </row>
    <row r="411" spans="1:15" x14ac:dyDescent="0.25">
      <c r="A411" t="s">
        <v>5</v>
      </c>
      <c r="B411" t="s">
        <v>6073</v>
      </c>
      <c r="C411" s="18" t="str">
        <f>HYPERLINK("https://rhld.insurance.arkansas.gov/NPILookup?Npi=1740826874","1740826874")</f>
        <v>1740826874</v>
      </c>
      <c r="D411" t="s">
        <v>23266</v>
      </c>
      <c r="E411" t="s">
        <v>17366</v>
      </c>
      <c r="F411">
        <v>1</v>
      </c>
      <c r="G411">
        <v>3</v>
      </c>
      <c r="H411">
        <v>0</v>
      </c>
      <c r="I411">
        <v>0</v>
      </c>
      <c r="J411" t="s">
        <v>23390</v>
      </c>
      <c r="K411" t="s">
        <v>18640</v>
      </c>
      <c r="L411" t="s">
        <v>18640</v>
      </c>
      <c r="M411">
        <v>3</v>
      </c>
      <c r="N411" t="s">
        <v>17367</v>
      </c>
      <c r="O411" t="s">
        <v>23391</v>
      </c>
    </row>
    <row r="412" spans="1:15" x14ac:dyDescent="0.25">
      <c r="A412" t="s">
        <v>5</v>
      </c>
      <c r="B412" t="s">
        <v>6073</v>
      </c>
      <c r="C412" s="18" t="str">
        <f>HYPERLINK("https://rhld.insurance.arkansas.gov/NPILookup?Npi=1740868447","1740868447")</f>
        <v>1740868447</v>
      </c>
      <c r="D412" t="s">
        <v>23181</v>
      </c>
      <c r="E412" t="s">
        <v>17366</v>
      </c>
      <c r="F412">
        <v>1</v>
      </c>
      <c r="G412">
        <v>3</v>
      </c>
      <c r="H412">
        <v>0</v>
      </c>
      <c r="I412">
        <v>0</v>
      </c>
      <c r="J412" t="s">
        <v>23390</v>
      </c>
      <c r="K412" t="s">
        <v>18640</v>
      </c>
      <c r="L412" t="s">
        <v>18640</v>
      </c>
      <c r="M412">
        <v>3</v>
      </c>
      <c r="N412" t="s">
        <v>17367</v>
      </c>
      <c r="O412" t="s">
        <v>23391</v>
      </c>
    </row>
    <row r="413" spans="1:15" x14ac:dyDescent="0.25">
      <c r="A413" t="s">
        <v>5</v>
      </c>
      <c r="B413" t="s">
        <v>6073</v>
      </c>
      <c r="C413" s="18" t="str">
        <f>HYPERLINK("https://rhld.insurance.arkansas.gov/NPILookup?Npi=1750044798","1750044798")</f>
        <v>1750044798</v>
      </c>
      <c r="D413" t="s">
        <v>23182</v>
      </c>
      <c r="E413" t="s">
        <v>17366</v>
      </c>
      <c r="F413">
        <v>1</v>
      </c>
      <c r="G413">
        <v>3</v>
      </c>
      <c r="H413">
        <v>0</v>
      </c>
      <c r="I413">
        <v>0</v>
      </c>
      <c r="J413" t="s">
        <v>23390</v>
      </c>
      <c r="K413" t="s">
        <v>18640</v>
      </c>
      <c r="L413" t="s">
        <v>18640</v>
      </c>
      <c r="M413">
        <v>3</v>
      </c>
      <c r="N413" t="s">
        <v>17367</v>
      </c>
      <c r="O413" t="s">
        <v>23391</v>
      </c>
    </row>
    <row r="414" spans="1:15" x14ac:dyDescent="0.25">
      <c r="A414" t="s">
        <v>5</v>
      </c>
      <c r="B414" t="s">
        <v>6073</v>
      </c>
      <c r="C414" s="18" t="str">
        <f>HYPERLINK("https://rhld.insurance.arkansas.gov/NPILookup?Npi=1770264251","1770264251")</f>
        <v>1770264251</v>
      </c>
      <c r="D414" t="s">
        <v>23267</v>
      </c>
      <c r="E414" t="s">
        <v>17366</v>
      </c>
      <c r="F414">
        <v>1</v>
      </c>
      <c r="G414">
        <v>2</v>
      </c>
      <c r="H414">
        <v>0</v>
      </c>
      <c r="I414">
        <v>0</v>
      </c>
      <c r="J414" t="s">
        <v>23390</v>
      </c>
      <c r="K414" t="s">
        <v>18640</v>
      </c>
      <c r="L414" t="s">
        <v>18640</v>
      </c>
      <c r="M414">
        <v>2</v>
      </c>
      <c r="N414" t="s">
        <v>17367</v>
      </c>
      <c r="O414" t="s">
        <v>23391</v>
      </c>
    </row>
    <row r="415" spans="1:15" x14ac:dyDescent="0.25">
      <c r="A415" t="s">
        <v>5</v>
      </c>
      <c r="B415" t="s">
        <v>6073</v>
      </c>
      <c r="C415" s="18" t="str">
        <f>HYPERLINK("https://rhld.insurance.arkansas.gov/NPILookup?Npi=1811327703","1811327703")</f>
        <v>1811327703</v>
      </c>
      <c r="D415" t="s">
        <v>22295</v>
      </c>
      <c r="E415" t="s">
        <v>17366</v>
      </c>
      <c r="F415">
        <v>1</v>
      </c>
      <c r="G415">
        <v>3</v>
      </c>
      <c r="H415">
        <v>0</v>
      </c>
      <c r="I415">
        <v>0</v>
      </c>
      <c r="J415" t="s">
        <v>23390</v>
      </c>
      <c r="K415" t="s">
        <v>18640</v>
      </c>
      <c r="L415" t="s">
        <v>18640</v>
      </c>
      <c r="M415">
        <v>3</v>
      </c>
      <c r="N415" t="s">
        <v>17367</v>
      </c>
      <c r="O415" t="s">
        <v>23391</v>
      </c>
    </row>
    <row r="416" spans="1:15" x14ac:dyDescent="0.25">
      <c r="A416" t="s">
        <v>5</v>
      </c>
      <c r="B416" t="s">
        <v>6073</v>
      </c>
      <c r="C416" s="18" t="str">
        <f>HYPERLINK("https://rhld.insurance.arkansas.gov/NPILookup?Npi=1811571011","1811571011")</f>
        <v>1811571011</v>
      </c>
      <c r="D416" t="s">
        <v>23268</v>
      </c>
      <c r="E416" t="s">
        <v>17366</v>
      </c>
      <c r="F416">
        <v>1</v>
      </c>
      <c r="G416">
        <v>2</v>
      </c>
      <c r="H416">
        <v>0</v>
      </c>
      <c r="I416">
        <v>0</v>
      </c>
      <c r="J416" t="s">
        <v>23390</v>
      </c>
      <c r="K416" t="s">
        <v>18640</v>
      </c>
      <c r="L416" t="s">
        <v>18640</v>
      </c>
      <c r="M416">
        <v>2</v>
      </c>
      <c r="N416" t="s">
        <v>17367</v>
      </c>
      <c r="O416" t="s">
        <v>23391</v>
      </c>
    </row>
    <row r="417" spans="1:15" x14ac:dyDescent="0.25">
      <c r="A417" t="s">
        <v>5</v>
      </c>
      <c r="B417" t="s">
        <v>6073</v>
      </c>
      <c r="C417" s="18" t="str">
        <f>HYPERLINK("https://rhld.insurance.arkansas.gov/NPILookup?Npi=1821641424","1821641424")</f>
        <v>1821641424</v>
      </c>
      <c r="D417" t="s">
        <v>23269</v>
      </c>
      <c r="E417" t="s">
        <v>17366</v>
      </c>
      <c r="F417">
        <v>1</v>
      </c>
      <c r="G417">
        <v>2</v>
      </c>
      <c r="H417">
        <v>0</v>
      </c>
      <c r="I417">
        <v>0</v>
      </c>
      <c r="J417" t="s">
        <v>23390</v>
      </c>
      <c r="K417" t="s">
        <v>18640</v>
      </c>
      <c r="L417" t="s">
        <v>18640</v>
      </c>
      <c r="M417">
        <v>2</v>
      </c>
      <c r="N417" t="s">
        <v>17367</v>
      </c>
      <c r="O417" t="s">
        <v>23391</v>
      </c>
    </row>
    <row r="418" spans="1:15" x14ac:dyDescent="0.25">
      <c r="A418" t="s">
        <v>5</v>
      </c>
      <c r="B418" t="s">
        <v>6073</v>
      </c>
      <c r="C418" s="18" t="str">
        <f>HYPERLINK("https://rhld.insurance.arkansas.gov/NPILookup?Npi=1851856959","1851856959")</f>
        <v>1851856959</v>
      </c>
      <c r="D418" t="s">
        <v>23270</v>
      </c>
      <c r="E418" t="s">
        <v>17366</v>
      </c>
      <c r="F418">
        <v>1</v>
      </c>
      <c r="G418">
        <v>3</v>
      </c>
      <c r="H418">
        <v>0</v>
      </c>
      <c r="I418">
        <v>0</v>
      </c>
      <c r="J418" t="s">
        <v>23390</v>
      </c>
      <c r="K418" t="s">
        <v>18640</v>
      </c>
      <c r="L418" t="s">
        <v>18640</v>
      </c>
      <c r="M418">
        <v>3</v>
      </c>
      <c r="N418" t="s">
        <v>17367</v>
      </c>
      <c r="O418" t="s">
        <v>23391</v>
      </c>
    </row>
    <row r="419" spans="1:15" x14ac:dyDescent="0.25">
      <c r="A419" t="s">
        <v>5</v>
      </c>
      <c r="B419" t="s">
        <v>6073</v>
      </c>
      <c r="C419" s="18" t="str">
        <f>HYPERLINK("https://rhld.insurance.arkansas.gov/NPILookup?Npi=1881930246","1881930246")</f>
        <v>1881930246</v>
      </c>
      <c r="D419" t="s">
        <v>23271</v>
      </c>
      <c r="E419" t="s">
        <v>17366</v>
      </c>
      <c r="F419">
        <v>1</v>
      </c>
      <c r="G419">
        <v>3</v>
      </c>
      <c r="H419">
        <v>0</v>
      </c>
      <c r="I419">
        <v>0</v>
      </c>
      <c r="J419" t="s">
        <v>23390</v>
      </c>
      <c r="K419" t="s">
        <v>18640</v>
      </c>
      <c r="L419" t="s">
        <v>18640</v>
      </c>
      <c r="M419">
        <v>3</v>
      </c>
      <c r="N419" t="s">
        <v>17367</v>
      </c>
      <c r="O419" t="s">
        <v>23391</v>
      </c>
    </row>
    <row r="420" spans="1:15" x14ac:dyDescent="0.25">
      <c r="A420" t="s">
        <v>5</v>
      </c>
      <c r="B420" t="s">
        <v>6073</v>
      </c>
      <c r="C420" s="18" t="str">
        <f>HYPERLINK("https://rhld.insurance.arkansas.gov/NPILookup?Npi=1891441028","1891441028")</f>
        <v>1891441028</v>
      </c>
      <c r="D420" t="s">
        <v>23272</v>
      </c>
      <c r="E420" t="s">
        <v>17366</v>
      </c>
      <c r="F420">
        <v>1</v>
      </c>
      <c r="G420">
        <v>2</v>
      </c>
      <c r="H420">
        <v>0</v>
      </c>
      <c r="I420">
        <v>0</v>
      </c>
      <c r="J420" t="s">
        <v>23390</v>
      </c>
      <c r="K420" t="s">
        <v>18640</v>
      </c>
      <c r="L420" t="s">
        <v>18640</v>
      </c>
      <c r="M420">
        <v>2</v>
      </c>
      <c r="N420" t="s">
        <v>17367</v>
      </c>
      <c r="O420" t="s">
        <v>23391</v>
      </c>
    </row>
    <row r="421" spans="1:15" x14ac:dyDescent="0.25">
      <c r="A421" t="s">
        <v>5</v>
      </c>
      <c r="B421" t="s">
        <v>6073</v>
      </c>
      <c r="C421" s="18" t="str">
        <f>HYPERLINK("https://rhld.insurance.arkansas.gov/NPILookup?Npi=1902296775","1902296775")</f>
        <v>1902296775</v>
      </c>
      <c r="D421" t="s">
        <v>22362</v>
      </c>
      <c r="E421" t="s">
        <v>17366</v>
      </c>
      <c r="F421">
        <v>1</v>
      </c>
      <c r="G421">
        <v>2</v>
      </c>
      <c r="H421">
        <v>0</v>
      </c>
      <c r="I421">
        <v>0</v>
      </c>
      <c r="J421" t="s">
        <v>23390</v>
      </c>
      <c r="K421" t="s">
        <v>18640</v>
      </c>
      <c r="L421" t="s">
        <v>18640</v>
      </c>
      <c r="M421">
        <v>2</v>
      </c>
      <c r="N421" t="s">
        <v>17367</v>
      </c>
      <c r="O421" t="s">
        <v>23391</v>
      </c>
    </row>
    <row r="422" spans="1:15" x14ac:dyDescent="0.25">
      <c r="A422" t="s">
        <v>5</v>
      </c>
      <c r="B422" t="s">
        <v>6073</v>
      </c>
      <c r="C422" s="18" t="str">
        <f>HYPERLINK("https://rhld.insurance.arkansas.gov/NPILookup?Npi=1902483993","1902483993")</f>
        <v>1902483993</v>
      </c>
      <c r="D422" t="s">
        <v>23209</v>
      </c>
      <c r="E422" t="s">
        <v>17366</v>
      </c>
      <c r="F422">
        <v>1</v>
      </c>
      <c r="G422">
        <v>3</v>
      </c>
      <c r="H422">
        <v>0</v>
      </c>
      <c r="I422">
        <v>0</v>
      </c>
      <c r="J422" t="s">
        <v>23390</v>
      </c>
      <c r="K422" t="s">
        <v>18640</v>
      </c>
      <c r="L422" t="s">
        <v>18640</v>
      </c>
      <c r="M422">
        <v>3</v>
      </c>
      <c r="N422" t="s">
        <v>17367</v>
      </c>
      <c r="O422" t="s">
        <v>23391</v>
      </c>
    </row>
    <row r="423" spans="1:15" x14ac:dyDescent="0.25">
      <c r="A423" t="s">
        <v>5</v>
      </c>
      <c r="B423" t="s">
        <v>6073</v>
      </c>
      <c r="C423" s="18" t="str">
        <f>HYPERLINK("https://rhld.insurance.arkansas.gov/NPILookup?Npi=1912529207","1912529207")</f>
        <v>1912529207</v>
      </c>
      <c r="D423" t="s">
        <v>23273</v>
      </c>
      <c r="E423" t="s">
        <v>17366</v>
      </c>
      <c r="F423">
        <v>1</v>
      </c>
      <c r="G423">
        <v>3</v>
      </c>
      <c r="H423">
        <v>0</v>
      </c>
      <c r="I423">
        <v>0</v>
      </c>
      <c r="J423" t="s">
        <v>23390</v>
      </c>
      <c r="K423" t="s">
        <v>18640</v>
      </c>
      <c r="L423" t="s">
        <v>18640</v>
      </c>
      <c r="M423">
        <v>3</v>
      </c>
      <c r="N423" t="s">
        <v>17367</v>
      </c>
      <c r="O423" t="s">
        <v>23391</v>
      </c>
    </row>
    <row r="424" spans="1:15" x14ac:dyDescent="0.25">
      <c r="A424" t="s">
        <v>5</v>
      </c>
      <c r="B424" t="s">
        <v>6073</v>
      </c>
      <c r="C424" s="18" t="str">
        <f>HYPERLINK("https://rhld.insurance.arkansas.gov/NPILookup?Npi=1912540410","1912540410")</f>
        <v>1912540410</v>
      </c>
      <c r="D424" t="s">
        <v>23274</v>
      </c>
      <c r="E424" t="s">
        <v>17366</v>
      </c>
      <c r="F424">
        <v>1</v>
      </c>
      <c r="G424">
        <v>2</v>
      </c>
      <c r="H424">
        <v>0</v>
      </c>
      <c r="I424">
        <v>0</v>
      </c>
      <c r="J424" t="s">
        <v>23390</v>
      </c>
      <c r="K424" t="s">
        <v>18640</v>
      </c>
      <c r="L424" t="s">
        <v>18640</v>
      </c>
      <c r="M424">
        <v>2</v>
      </c>
      <c r="N424" t="s">
        <v>17367</v>
      </c>
      <c r="O424" t="s">
        <v>23391</v>
      </c>
    </row>
    <row r="425" spans="1:15" x14ac:dyDescent="0.25">
      <c r="A425" t="s">
        <v>5</v>
      </c>
      <c r="B425" t="s">
        <v>6073</v>
      </c>
      <c r="C425" s="18" t="str">
        <f>HYPERLINK("https://rhld.insurance.arkansas.gov/NPILookup?Npi=1922582154","1922582154")</f>
        <v>1922582154</v>
      </c>
      <c r="D425" t="s">
        <v>22380</v>
      </c>
      <c r="E425" t="s">
        <v>17366</v>
      </c>
      <c r="F425">
        <v>1</v>
      </c>
      <c r="G425">
        <v>3</v>
      </c>
      <c r="H425">
        <v>0</v>
      </c>
      <c r="I425">
        <v>0</v>
      </c>
      <c r="J425" t="s">
        <v>23390</v>
      </c>
      <c r="K425" t="s">
        <v>18640</v>
      </c>
      <c r="L425" t="s">
        <v>18640</v>
      </c>
      <c r="M425">
        <v>3</v>
      </c>
      <c r="N425" t="s">
        <v>17367</v>
      </c>
      <c r="O425" t="s">
        <v>23391</v>
      </c>
    </row>
    <row r="426" spans="1:15" x14ac:dyDescent="0.25">
      <c r="A426" t="s">
        <v>5</v>
      </c>
      <c r="B426" t="s">
        <v>6073</v>
      </c>
      <c r="C426" s="18" t="str">
        <f>HYPERLINK("https://rhld.insurance.arkansas.gov/NPILookup?Npi=1962006072","1962006072")</f>
        <v>1962006072</v>
      </c>
      <c r="D426" t="s">
        <v>23275</v>
      </c>
      <c r="E426" t="s">
        <v>17366</v>
      </c>
      <c r="F426">
        <v>1</v>
      </c>
      <c r="G426">
        <v>2</v>
      </c>
      <c r="H426">
        <v>0</v>
      </c>
      <c r="I426">
        <v>0</v>
      </c>
      <c r="J426" t="s">
        <v>23390</v>
      </c>
      <c r="K426" t="s">
        <v>18640</v>
      </c>
      <c r="L426" t="s">
        <v>18640</v>
      </c>
      <c r="M426">
        <v>2</v>
      </c>
      <c r="N426" t="s">
        <v>17367</v>
      </c>
      <c r="O426" t="s">
        <v>23391</v>
      </c>
    </row>
    <row r="427" spans="1:15" x14ac:dyDescent="0.25">
      <c r="A427" t="s">
        <v>5</v>
      </c>
      <c r="B427" t="s">
        <v>6073</v>
      </c>
      <c r="C427" s="18" t="str">
        <f>HYPERLINK("https://rhld.insurance.arkansas.gov/NPILookup?Npi=1972262210","1972262210")</f>
        <v>1972262210</v>
      </c>
      <c r="D427" t="s">
        <v>23276</v>
      </c>
      <c r="E427" t="s">
        <v>17366</v>
      </c>
      <c r="F427">
        <v>1</v>
      </c>
      <c r="G427">
        <v>3</v>
      </c>
      <c r="H427">
        <v>0</v>
      </c>
      <c r="I427">
        <v>0</v>
      </c>
      <c r="J427" t="s">
        <v>23390</v>
      </c>
      <c r="K427" t="s">
        <v>18640</v>
      </c>
      <c r="L427" t="s">
        <v>18640</v>
      </c>
      <c r="M427">
        <v>3</v>
      </c>
      <c r="N427" t="s">
        <v>17367</v>
      </c>
      <c r="O427" t="s">
        <v>23391</v>
      </c>
    </row>
    <row r="428" spans="1:15" x14ac:dyDescent="0.25">
      <c r="A428" t="s">
        <v>5</v>
      </c>
      <c r="B428" t="s">
        <v>6073</v>
      </c>
      <c r="C428" s="18" t="str">
        <f>HYPERLINK("https://rhld.insurance.arkansas.gov/NPILookup?Npi=1972929511","1972929511")</f>
        <v>1972929511</v>
      </c>
      <c r="D428" t="s">
        <v>23222</v>
      </c>
      <c r="E428" t="s">
        <v>17366</v>
      </c>
      <c r="F428">
        <v>1</v>
      </c>
      <c r="G428">
        <v>3</v>
      </c>
      <c r="H428">
        <v>0</v>
      </c>
      <c r="I428">
        <v>0</v>
      </c>
      <c r="J428" t="s">
        <v>23390</v>
      </c>
      <c r="K428" t="s">
        <v>18640</v>
      </c>
      <c r="L428" t="s">
        <v>18640</v>
      </c>
      <c r="M428">
        <v>3</v>
      </c>
      <c r="N428" t="s">
        <v>17367</v>
      </c>
      <c r="O428" t="s">
        <v>23391</v>
      </c>
    </row>
    <row r="429" spans="1:15" x14ac:dyDescent="0.25">
      <c r="A429" t="s">
        <v>5</v>
      </c>
      <c r="B429" t="s">
        <v>6073</v>
      </c>
      <c r="C429" s="18" t="str">
        <f>HYPERLINK("https://rhld.insurance.arkansas.gov/NPILookup?Npi=1992253207","1992253207")</f>
        <v>1992253207</v>
      </c>
      <c r="D429" t="s">
        <v>23277</v>
      </c>
      <c r="E429" t="s">
        <v>17366</v>
      </c>
      <c r="F429">
        <v>1</v>
      </c>
      <c r="G429">
        <v>3</v>
      </c>
      <c r="H429">
        <v>0</v>
      </c>
      <c r="I429">
        <v>0</v>
      </c>
      <c r="J429" t="s">
        <v>23390</v>
      </c>
      <c r="K429" t="s">
        <v>18640</v>
      </c>
      <c r="L429" t="s">
        <v>18640</v>
      </c>
      <c r="M429">
        <v>3</v>
      </c>
      <c r="N429" t="s">
        <v>17367</v>
      </c>
      <c r="O429" t="s">
        <v>23391</v>
      </c>
    </row>
    <row r="430" spans="1:15" x14ac:dyDescent="0.25">
      <c r="A430" t="s">
        <v>6</v>
      </c>
      <c r="B430" t="s">
        <v>6078</v>
      </c>
      <c r="C430" s="18" t="str">
        <f>HYPERLINK("https://rhld.insurance.arkansas.gov/NPILookup?Npi=1023190469","1023190469")</f>
        <v>1023190469</v>
      </c>
      <c r="D430" t="s">
        <v>22436</v>
      </c>
      <c r="E430" t="s">
        <v>17368</v>
      </c>
      <c r="F430">
        <v>1</v>
      </c>
      <c r="G430">
        <v>3</v>
      </c>
      <c r="H430">
        <v>0</v>
      </c>
      <c r="I430">
        <v>0</v>
      </c>
      <c r="J430" t="s">
        <v>23412</v>
      </c>
      <c r="K430" t="s">
        <v>18640</v>
      </c>
      <c r="L430" t="s">
        <v>18640</v>
      </c>
      <c r="M430">
        <v>3</v>
      </c>
      <c r="N430" t="s">
        <v>17367</v>
      </c>
      <c r="O430" t="s">
        <v>23391</v>
      </c>
    </row>
    <row r="431" spans="1:15" x14ac:dyDescent="0.25">
      <c r="A431" t="s">
        <v>6</v>
      </c>
      <c r="B431" t="s">
        <v>6078</v>
      </c>
      <c r="C431" s="18" t="str">
        <f>HYPERLINK("https://rhld.insurance.arkansas.gov/NPILookup?Npi=1023513728","1023513728")</f>
        <v>1023513728</v>
      </c>
      <c r="D431" t="s">
        <v>23279</v>
      </c>
      <c r="E431" t="s">
        <v>17366</v>
      </c>
      <c r="F431">
        <v>1</v>
      </c>
      <c r="G431">
        <v>3</v>
      </c>
      <c r="H431">
        <v>0</v>
      </c>
      <c r="I431">
        <v>0</v>
      </c>
      <c r="J431" t="s">
        <v>23390</v>
      </c>
      <c r="K431" t="s">
        <v>18640</v>
      </c>
      <c r="L431" t="s">
        <v>18640</v>
      </c>
      <c r="M431">
        <v>3</v>
      </c>
      <c r="N431" t="s">
        <v>17367</v>
      </c>
      <c r="O431" t="s">
        <v>23391</v>
      </c>
    </row>
    <row r="432" spans="1:15" x14ac:dyDescent="0.25">
      <c r="A432" t="s">
        <v>6</v>
      </c>
      <c r="B432" t="s">
        <v>6078</v>
      </c>
      <c r="C432" s="18" t="str">
        <f>HYPERLINK("https://rhld.insurance.arkansas.gov/NPILookup?Npi=1043366925","1043366925")</f>
        <v>1043366925</v>
      </c>
      <c r="D432" t="s">
        <v>23413</v>
      </c>
      <c r="E432" t="s">
        <v>17366</v>
      </c>
      <c r="F432">
        <v>1</v>
      </c>
      <c r="G432">
        <v>2</v>
      </c>
      <c r="H432">
        <v>1</v>
      </c>
      <c r="I432">
        <v>0</v>
      </c>
      <c r="J432" t="s">
        <v>23390</v>
      </c>
      <c r="K432" t="s">
        <v>18640</v>
      </c>
      <c r="L432" t="s">
        <v>23414</v>
      </c>
      <c r="M432">
        <v>1</v>
      </c>
      <c r="N432" t="s">
        <v>17369</v>
      </c>
      <c r="O432" t="s">
        <v>21361</v>
      </c>
    </row>
    <row r="433" spans="1:15" x14ac:dyDescent="0.25">
      <c r="A433" t="s">
        <v>6</v>
      </c>
      <c r="B433" t="s">
        <v>6078</v>
      </c>
      <c r="C433" s="18" t="str">
        <f>HYPERLINK("https://rhld.insurance.arkansas.gov/NPILookup?Npi=1043743339","1043743339")</f>
        <v>1043743339</v>
      </c>
      <c r="D433" t="s">
        <v>23280</v>
      </c>
      <c r="E433" t="s">
        <v>17366</v>
      </c>
      <c r="F433">
        <v>2</v>
      </c>
      <c r="G433">
        <v>3</v>
      </c>
      <c r="H433">
        <v>0</v>
      </c>
      <c r="I433">
        <v>0</v>
      </c>
      <c r="J433" t="s">
        <v>23415</v>
      </c>
      <c r="K433" t="s">
        <v>18640</v>
      </c>
      <c r="L433" t="s">
        <v>18640</v>
      </c>
      <c r="M433">
        <v>3</v>
      </c>
      <c r="N433" t="s">
        <v>17367</v>
      </c>
      <c r="O433" t="s">
        <v>23391</v>
      </c>
    </row>
    <row r="434" spans="1:15" x14ac:dyDescent="0.25">
      <c r="A434" t="s">
        <v>6</v>
      </c>
      <c r="B434" t="s">
        <v>6078</v>
      </c>
      <c r="C434" s="18" t="str">
        <f>HYPERLINK("https://rhld.insurance.arkansas.gov/NPILookup?Npi=1124387675","1124387675")</f>
        <v>1124387675</v>
      </c>
      <c r="D434" t="s">
        <v>23416</v>
      </c>
      <c r="E434" t="s">
        <v>17366</v>
      </c>
      <c r="F434">
        <v>1</v>
      </c>
      <c r="G434">
        <v>2</v>
      </c>
      <c r="H434">
        <v>1</v>
      </c>
      <c r="I434">
        <v>0</v>
      </c>
      <c r="J434" t="s">
        <v>23390</v>
      </c>
      <c r="K434" t="s">
        <v>18640</v>
      </c>
      <c r="L434" t="s">
        <v>23417</v>
      </c>
      <c r="M434">
        <v>1</v>
      </c>
      <c r="N434" t="s">
        <v>17369</v>
      </c>
      <c r="O434" t="s">
        <v>21361</v>
      </c>
    </row>
    <row r="435" spans="1:15" x14ac:dyDescent="0.25">
      <c r="A435" t="s">
        <v>6</v>
      </c>
      <c r="B435" t="s">
        <v>6078</v>
      </c>
      <c r="C435" s="18" t="str">
        <f>HYPERLINK("https://rhld.insurance.arkansas.gov/NPILookup?Npi=1457880353","1457880353")</f>
        <v>1457880353</v>
      </c>
      <c r="D435" t="s">
        <v>23281</v>
      </c>
      <c r="E435" t="s">
        <v>17366</v>
      </c>
      <c r="F435">
        <v>1</v>
      </c>
      <c r="G435">
        <v>3</v>
      </c>
      <c r="H435">
        <v>0</v>
      </c>
      <c r="I435">
        <v>0</v>
      </c>
      <c r="J435" t="s">
        <v>23390</v>
      </c>
      <c r="K435" t="s">
        <v>18640</v>
      </c>
      <c r="L435" t="s">
        <v>18640</v>
      </c>
      <c r="M435">
        <v>3</v>
      </c>
      <c r="N435" t="s">
        <v>17367</v>
      </c>
      <c r="O435" t="s">
        <v>23391</v>
      </c>
    </row>
    <row r="436" spans="1:15" x14ac:dyDescent="0.25">
      <c r="A436" t="s">
        <v>6</v>
      </c>
      <c r="B436" t="s">
        <v>6078</v>
      </c>
      <c r="C436" s="18" t="str">
        <f>HYPERLINK("https://rhld.insurance.arkansas.gov/NPILookup?Npi=1477964278","1477964278")</f>
        <v>1477964278</v>
      </c>
      <c r="D436" t="s">
        <v>18517</v>
      </c>
      <c r="E436" t="s">
        <v>17368</v>
      </c>
      <c r="F436">
        <v>1</v>
      </c>
      <c r="G436">
        <v>3</v>
      </c>
      <c r="H436">
        <v>0</v>
      </c>
      <c r="I436">
        <v>0</v>
      </c>
      <c r="J436" t="s">
        <v>23418</v>
      </c>
      <c r="K436" t="s">
        <v>18640</v>
      </c>
      <c r="L436" t="s">
        <v>18640</v>
      </c>
      <c r="M436">
        <v>3</v>
      </c>
      <c r="N436" t="s">
        <v>17367</v>
      </c>
      <c r="O436" t="s">
        <v>23391</v>
      </c>
    </row>
    <row r="437" spans="1:15" x14ac:dyDescent="0.25">
      <c r="A437" t="s">
        <v>6</v>
      </c>
      <c r="B437" t="s">
        <v>6078</v>
      </c>
      <c r="C437" s="18" t="str">
        <f>HYPERLINK("https://rhld.insurance.arkansas.gov/NPILookup?Npi=1699209478","1699209478")</f>
        <v>1699209478</v>
      </c>
      <c r="D437" t="s">
        <v>23282</v>
      </c>
      <c r="E437" t="s">
        <v>17366</v>
      </c>
      <c r="F437">
        <v>1</v>
      </c>
      <c r="G437">
        <v>3</v>
      </c>
      <c r="H437">
        <v>0</v>
      </c>
      <c r="I437">
        <v>0</v>
      </c>
      <c r="J437" t="s">
        <v>23390</v>
      </c>
      <c r="K437" t="s">
        <v>18640</v>
      </c>
      <c r="L437" t="s">
        <v>18640</v>
      </c>
      <c r="M437">
        <v>3</v>
      </c>
      <c r="N437" t="s">
        <v>17367</v>
      </c>
      <c r="O437" t="s">
        <v>23391</v>
      </c>
    </row>
    <row r="438" spans="1:15" x14ac:dyDescent="0.25">
      <c r="A438" t="s">
        <v>6</v>
      </c>
      <c r="B438" t="s">
        <v>6078</v>
      </c>
      <c r="C438" s="18" t="str">
        <f>HYPERLINK("https://rhld.insurance.arkansas.gov/NPILookup?Npi=1932562725","1932562725")</f>
        <v>1932562725</v>
      </c>
      <c r="D438" t="s">
        <v>23283</v>
      </c>
      <c r="E438" t="s">
        <v>17366</v>
      </c>
      <c r="F438">
        <v>1</v>
      </c>
      <c r="G438">
        <v>3</v>
      </c>
      <c r="H438">
        <v>0</v>
      </c>
      <c r="I438">
        <v>0</v>
      </c>
      <c r="J438" t="s">
        <v>23390</v>
      </c>
      <c r="K438" t="s">
        <v>18640</v>
      </c>
      <c r="L438" t="s">
        <v>18640</v>
      </c>
      <c r="M438">
        <v>3</v>
      </c>
      <c r="N438" t="s">
        <v>17367</v>
      </c>
      <c r="O438" t="s">
        <v>23391</v>
      </c>
    </row>
    <row r="439" spans="1:15" x14ac:dyDescent="0.25">
      <c r="A439" t="s">
        <v>7</v>
      </c>
      <c r="B439" t="s">
        <v>6322</v>
      </c>
      <c r="C439" s="18" t="str">
        <f>HYPERLINK("https://rhld.insurance.arkansas.gov/NPILookup?Npi=1992750772","1992750772")</f>
        <v>1992750772</v>
      </c>
      <c r="D439" t="s">
        <v>23419</v>
      </c>
      <c r="E439" t="s">
        <v>17368</v>
      </c>
      <c r="F439">
        <v>1</v>
      </c>
      <c r="G439">
        <v>2</v>
      </c>
      <c r="H439">
        <v>0</v>
      </c>
      <c r="I439">
        <v>0</v>
      </c>
      <c r="J439" t="s">
        <v>23420</v>
      </c>
      <c r="K439" t="s">
        <v>18640</v>
      </c>
      <c r="L439" t="s">
        <v>18640</v>
      </c>
      <c r="M439">
        <v>2</v>
      </c>
      <c r="N439" t="s">
        <v>17367</v>
      </c>
      <c r="O439" t="s">
        <v>23391</v>
      </c>
    </row>
    <row r="440" spans="1:15" x14ac:dyDescent="0.25">
      <c r="A440" t="s">
        <v>8</v>
      </c>
      <c r="B440" t="s">
        <v>6523</v>
      </c>
      <c r="C440" s="18" t="str">
        <f>HYPERLINK("https://rhld.insurance.arkansas.gov/NPILookup?Npi=1093100976","1093100976")</f>
        <v>1093100976</v>
      </c>
      <c r="D440" t="s">
        <v>23284</v>
      </c>
      <c r="E440" t="s">
        <v>17366</v>
      </c>
      <c r="F440">
        <v>1</v>
      </c>
      <c r="G440">
        <v>3</v>
      </c>
      <c r="H440">
        <v>0</v>
      </c>
      <c r="I440">
        <v>0</v>
      </c>
      <c r="J440" t="s">
        <v>23390</v>
      </c>
      <c r="K440" t="s">
        <v>18640</v>
      </c>
      <c r="L440" t="s">
        <v>18640</v>
      </c>
      <c r="M440">
        <v>3</v>
      </c>
      <c r="N440" t="s">
        <v>17367</v>
      </c>
      <c r="O440" t="s">
        <v>23391</v>
      </c>
    </row>
    <row r="441" spans="1:15" x14ac:dyDescent="0.25">
      <c r="A441" t="s">
        <v>8</v>
      </c>
      <c r="B441" t="s">
        <v>6523</v>
      </c>
      <c r="C441" s="18" t="str">
        <f>HYPERLINK("https://rhld.insurance.arkansas.gov/NPILookup?Npi=1124505730","1124505730")</f>
        <v>1124505730</v>
      </c>
      <c r="D441" t="s">
        <v>23285</v>
      </c>
      <c r="E441" t="s">
        <v>17366</v>
      </c>
      <c r="F441">
        <v>1</v>
      </c>
      <c r="G441">
        <v>3</v>
      </c>
      <c r="H441">
        <v>0</v>
      </c>
      <c r="I441">
        <v>0</v>
      </c>
      <c r="J441" t="s">
        <v>23390</v>
      </c>
      <c r="K441" t="s">
        <v>18640</v>
      </c>
      <c r="L441" t="s">
        <v>18640</v>
      </c>
      <c r="M441">
        <v>3</v>
      </c>
      <c r="N441" t="s">
        <v>17367</v>
      </c>
      <c r="O441" t="s">
        <v>23391</v>
      </c>
    </row>
    <row r="442" spans="1:15" x14ac:dyDescent="0.25">
      <c r="A442" t="s">
        <v>8</v>
      </c>
      <c r="B442" t="s">
        <v>6523</v>
      </c>
      <c r="C442" s="18" t="str">
        <f>HYPERLINK("https://rhld.insurance.arkansas.gov/NPILookup?Npi=1184088924","1184088924")</f>
        <v>1184088924</v>
      </c>
      <c r="D442" t="s">
        <v>23286</v>
      </c>
      <c r="E442" t="s">
        <v>17366</v>
      </c>
      <c r="F442">
        <v>1</v>
      </c>
      <c r="G442">
        <v>3</v>
      </c>
      <c r="H442">
        <v>0</v>
      </c>
      <c r="I442">
        <v>0</v>
      </c>
      <c r="J442" t="s">
        <v>23390</v>
      </c>
      <c r="K442" t="s">
        <v>18640</v>
      </c>
      <c r="L442" t="s">
        <v>18640</v>
      </c>
      <c r="M442">
        <v>3</v>
      </c>
      <c r="N442" t="s">
        <v>17367</v>
      </c>
      <c r="O442" t="s">
        <v>23391</v>
      </c>
    </row>
    <row r="443" spans="1:15" x14ac:dyDescent="0.25">
      <c r="A443" t="s">
        <v>8</v>
      </c>
      <c r="B443" t="s">
        <v>6523</v>
      </c>
      <c r="C443" s="18" t="str">
        <f>HYPERLINK("https://rhld.insurance.arkansas.gov/NPILookup?Npi=1205147105","1205147105")</f>
        <v>1205147105</v>
      </c>
      <c r="D443" t="s">
        <v>23287</v>
      </c>
      <c r="E443" t="s">
        <v>17366</v>
      </c>
      <c r="F443">
        <v>1</v>
      </c>
      <c r="G443">
        <v>3</v>
      </c>
      <c r="H443">
        <v>0</v>
      </c>
      <c r="I443">
        <v>0</v>
      </c>
      <c r="J443" t="s">
        <v>23390</v>
      </c>
      <c r="K443" t="s">
        <v>18640</v>
      </c>
      <c r="L443" t="s">
        <v>18640</v>
      </c>
      <c r="M443">
        <v>3</v>
      </c>
      <c r="N443" t="s">
        <v>17367</v>
      </c>
      <c r="O443" t="s">
        <v>23391</v>
      </c>
    </row>
    <row r="444" spans="1:15" x14ac:dyDescent="0.25">
      <c r="A444" t="s">
        <v>8</v>
      </c>
      <c r="B444" t="s">
        <v>6523</v>
      </c>
      <c r="C444" s="18" t="str">
        <f>HYPERLINK("https://rhld.insurance.arkansas.gov/NPILookup?Npi=1215314877","1215314877")</f>
        <v>1215314877</v>
      </c>
      <c r="D444" t="s">
        <v>5825</v>
      </c>
      <c r="E444" t="s">
        <v>17366</v>
      </c>
      <c r="F444">
        <v>1</v>
      </c>
      <c r="G444">
        <v>3</v>
      </c>
      <c r="H444">
        <v>0</v>
      </c>
      <c r="I444">
        <v>0</v>
      </c>
      <c r="J444" t="s">
        <v>23390</v>
      </c>
      <c r="K444" t="s">
        <v>18640</v>
      </c>
      <c r="L444" t="s">
        <v>18640</v>
      </c>
      <c r="M444">
        <v>3</v>
      </c>
      <c r="N444" t="s">
        <v>17367</v>
      </c>
      <c r="O444" t="s">
        <v>23391</v>
      </c>
    </row>
    <row r="445" spans="1:15" x14ac:dyDescent="0.25">
      <c r="A445" t="s">
        <v>8</v>
      </c>
      <c r="B445" t="s">
        <v>6523</v>
      </c>
      <c r="C445" s="18" t="str">
        <f>HYPERLINK("https://rhld.insurance.arkansas.gov/NPILookup?Npi=1366888711","1366888711")</f>
        <v>1366888711</v>
      </c>
      <c r="D445" t="s">
        <v>22539</v>
      </c>
      <c r="E445" t="s">
        <v>17368</v>
      </c>
      <c r="F445">
        <v>1</v>
      </c>
      <c r="G445">
        <v>3</v>
      </c>
      <c r="H445">
        <v>0</v>
      </c>
      <c r="I445">
        <v>0</v>
      </c>
      <c r="J445" t="s">
        <v>23421</v>
      </c>
      <c r="K445" t="s">
        <v>18640</v>
      </c>
      <c r="L445" t="s">
        <v>18640</v>
      </c>
      <c r="M445">
        <v>3</v>
      </c>
      <c r="N445" t="s">
        <v>17367</v>
      </c>
      <c r="O445" t="s">
        <v>23391</v>
      </c>
    </row>
    <row r="446" spans="1:15" x14ac:dyDescent="0.25">
      <c r="A446" t="s">
        <v>8</v>
      </c>
      <c r="B446" t="s">
        <v>6523</v>
      </c>
      <c r="C446" s="18" t="str">
        <f>HYPERLINK("https://rhld.insurance.arkansas.gov/NPILookup?Npi=1477930295","1477930295")</f>
        <v>1477930295</v>
      </c>
      <c r="D446" t="s">
        <v>23288</v>
      </c>
      <c r="E446" t="s">
        <v>17366</v>
      </c>
      <c r="F446">
        <v>1</v>
      </c>
      <c r="G446">
        <v>3</v>
      </c>
      <c r="H446">
        <v>0</v>
      </c>
      <c r="I446">
        <v>0</v>
      </c>
      <c r="J446" t="s">
        <v>23390</v>
      </c>
      <c r="K446" t="s">
        <v>18640</v>
      </c>
      <c r="L446" t="s">
        <v>18640</v>
      </c>
      <c r="M446">
        <v>3</v>
      </c>
      <c r="N446" t="s">
        <v>17367</v>
      </c>
      <c r="O446" t="s">
        <v>23391</v>
      </c>
    </row>
    <row r="447" spans="1:15" x14ac:dyDescent="0.25">
      <c r="A447" t="s">
        <v>8</v>
      </c>
      <c r="B447" t="s">
        <v>6523</v>
      </c>
      <c r="C447" s="18" t="str">
        <f>HYPERLINK("https://rhld.insurance.arkansas.gov/NPILookup?Npi=1497149801","1497149801")</f>
        <v>1497149801</v>
      </c>
      <c r="D447" t="s">
        <v>22546</v>
      </c>
      <c r="E447" t="s">
        <v>17368</v>
      </c>
      <c r="F447">
        <v>1</v>
      </c>
      <c r="G447">
        <v>3</v>
      </c>
      <c r="H447">
        <v>0</v>
      </c>
      <c r="I447">
        <v>0</v>
      </c>
      <c r="J447" t="s">
        <v>23422</v>
      </c>
      <c r="K447" t="s">
        <v>18640</v>
      </c>
      <c r="L447" t="s">
        <v>18640</v>
      </c>
      <c r="M447">
        <v>3</v>
      </c>
      <c r="N447" t="s">
        <v>17367</v>
      </c>
      <c r="O447" t="s">
        <v>23391</v>
      </c>
    </row>
    <row r="448" spans="1:15" x14ac:dyDescent="0.25">
      <c r="A448" t="s">
        <v>8</v>
      </c>
      <c r="B448" t="s">
        <v>6523</v>
      </c>
      <c r="C448" s="18" t="str">
        <f>HYPERLINK("https://rhld.insurance.arkansas.gov/NPILookup?Npi=1538487285","1538487285")</f>
        <v>1538487285</v>
      </c>
      <c r="D448" t="s">
        <v>22548</v>
      </c>
      <c r="E448" t="s">
        <v>17368</v>
      </c>
      <c r="F448">
        <v>1</v>
      </c>
      <c r="G448">
        <v>3</v>
      </c>
      <c r="H448">
        <v>0</v>
      </c>
      <c r="I448">
        <v>0</v>
      </c>
      <c r="J448" t="s">
        <v>23423</v>
      </c>
      <c r="K448" t="s">
        <v>18640</v>
      </c>
      <c r="L448" t="s">
        <v>18640</v>
      </c>
      <c r="M448">
        <v>3</v>
      </c>
      <c r="N448" t="s">
        <v>17367</v>
      </c>
      <c r="O448" t="s">
        <v>23391</v>
      </c>
    </row>
    <row r="449" spans="1:15" x14ac:dyDescent="0.25">
      <c r="A449" t="s">
        <v>8</v>
      </c>
      <c r="B449" t="s">
        <v>6523</v>
      </c>
      <c r="C449" s="18" t="str">
        <f>HYPERLINK("https://rhld.insurance.arkansas.gov/NPILookup?Npi=1588005078","1588005078")</f>
        <v>1588005078</v>
      </c>
      <c r="D449" t="s">
        <v>23289</v>
      </c>
      <c r="E449" t="s">
        <v>17366</v>
      </c>
      <c r="F449">
        <v>1</v>
      </c>
      <c r="G449">
        <v>3</v>
      </c>
      <c r="H449">
        <v>0</v>
      </c>
      <c r="I449">
        <v>0</v>
      </c>
      <c r="J449" t="s">
        <v>23390</v>
      </c>
      <c r="K449" t="s">
        <v>18640</v>
      </c>
      <c r="L449" t="s">
        <v>18640</v>
      </c>
      <c r="M449">
        <v>3</v>
      </c>
      <c r="N449" t="s">
        <v>17367</v>
      </c>
      <c r="O449" t="s">
        <v>23391</v>
      </c>
    </row>
    <row r="450" spans="1:15" x14ac:dyDescent="0.25">
      <c r="A450" t="s">
        <v>8</v>
      </c>
      <c r="B450" t="s">
        <v>6523</v>
      </c>
      <c r="C450" s="18" t="str">
        <f>HYPERLINK("https://rhld.insurance.arkansas.gov/NPILookup?Npi=1689764151","1689764151")</f>
        <v>1689764151</v>
      </c>
      <c r="D450" t="s">
        <v>22561</v>
      </c>
      <c r="E450" t="s">
        <v>17368</v>
      </c>
      <c r="F450">
        <v>1</v>
      </c>
      <c r="G450">
        <v>3</v>
      </c>
      <c r="H450">
        <v>0</v>
      </c>
      <c r="I450">
        <v>0</v>
      </c>
      <c r="J450" t="s">
        <v>23424</v>
      </c>
      <c r="K450" t="s">
        <v>18640</v>
      </c>
      <c r="L450" t="s">
        <v>18640</v>
      </c>
      <c r="M450">
        <v>3</v>
      </c>
      <c r="N450" t="s">
        <v>17367</v>
      </c>
      <c r="O450" t="s">
        <v>23391</v>
      </c>
    </row>
    <row r="451" spans="1:15" x14ac:dyDescent="0.25">
      <c r="A451" t="s">
        <v>8</v>
      </c>
      <c r="B451" t="s">
        <v>6523</v>
      </c>
      <c r="C451" s="18" t="str">
        <f>HYPERLINK("https://rhld.insurance.arkansas.gov/NPILookup?Npi=1770691107","1770691107")</f>
        <v>1770691107</v>
      </c>
      <c r="D451" t="s">
        <v>23290</v>
      </c>
      <c r="E451" t="s">
        <v>17366</v>
      </c>
      <c r="F451">
        <v>1</v>
      </c>
      <c r="G451">
        <v>3</v>
      </c>
      <c r="H451">
        <v>0</v>
      </c>
      <c r="I451">
        <v>0</v>
      </c>
      <c r="J451" t="s">
        <v>23390</v>
      </c>
      <c r="K451" t="s">
        <v>18640</v>
      </c>
      <c r="L451" t="s">
        <v>18640</v>
      </c>
      <c r="M451">
        <v>3</v>
      </c>
      <c r="N451" t="s">
        <v>17367</v>
      </c>
      <c r="O451" t="s">
        <v>23391</v>
      </c>
    </row>
    <row r="452" spans="1:15" x14ac:dyDescent="0.25">
      <c r="A452" t="s">
        <v>8</v>
      </c>
      <c r="B452" t="s">
        <v>6523</v>
      </c>
      <c r="C452" s="18" t="str">
        <f>HYPERLINK("https://rhld.insurance.arkansas.gov/NPILookup?Npi=1831630110","1831630110")</f>
        <v>1831630110</v>
      </c>
      <c r="D452" t="s">
        <v>23291</v>
      </c>
      <c r="E452" t="s">
        <v>17366</v>
      </c>
      <c r="F452">
        <v>1</v>
      </c>
      <c r="G452">
        <v>3</v>
      </c>
      <c r="H452">
        <v>0</v>
      </c>
      <c r="I452">
        <v>0</v>
      </c>
      <c r="J452" t="s">
        <v>23390</v>
      </c>
      <c r="K452" t="s">
        <v>18640</v>
      </c>
      <c r="L452" t="s">
        <v>18640</v>
      </c>
      <c r="M452">
        <v>3</v>
      </c>
      <c r="N452" t="s">
        <v>17367</v>
      </c>
      <c r="O452" t="s">
        <v>23391</v>
      </c>
    </row>
    <row r="453" spans="1:15" x14ac:dyDescent="0.25">
      <c r="A453" t="s">
        <v>8</v>
      </c>
      <c r="B453" t="s">
        <v>6523</v>
      </c>
      <c r="C453" s="18" t="str">
        <f>HYPERLINK("https://rhld.insurance.arkansas.gov/NPILookup?Npi=1851749030","1851749030")</f>
        <v>1851749030</v>
      </c>
      <c r="D453" t="s">
        <v>22572</v>
      </c>
      <c r="E453" t="s">
        <v>17368</v>
      </c>
      <c r="F453">
        <v>1</v>
      </c>
      <c r="G453">
        <v>3</v>
      </c>
      <c r="H453">
        <v>0</v>
      </c>
      <c r="I453">
        <v>0</v>
      </c>
      <c r="J453" t="s">
        <v>23425</v>
      </c>
      <c r="K453" t="s">
        <v>18640</v>
      </c>
      <c r="L453" t="s">
        <v>18640</v>
      </c>
      <c r="M453">
        <v>3</v>
      </c>
      <c r="N453" t="s">
        <v>17367</v>
      </c>
      <c r="O453" t="s">
        <v>23391</v>
      </c>
    </row>
    <row r="454" spans="1:15" x14ac:dyDescent="0.25">
      <c r="A454" t="s">
        <v>8</v>
      </c>
      <c r="B454" t="s">
        <v>6523</v>
      </c>
      <c r="C454" s="18" t="str">
        <f>HYPERLINK("https://rhld.insurance.arkansas.gov/NPILookup?Npi=1972728988","1972728988")</f>
        <v>1972728988</v>
      </c>
      <c r="D454" t="s">
        <v>22580</v>
      </c>
      <c r="E454" t="s">
        <v>17368</v>
      </c>
      <c r="F454">
        <v>1</v>
      </c>
      <c r="G454">
        <v>3</v>
      </c>
      <c r="H454">
        <v>0</v>
      </c>
      <c r="I454">
        <v>0</v>
      </c>
      <c r="J454" t="s">
        <v>23426</v>
      </c>
      <c r="K454" t="s">
        <v>18640</v>
      </c>
      <c r="L454" t="s">
        <v>18640</v>
      </c>
      <c r="M454">
        <v>3</v>
      </c>
      <c r="N454" t="s">
        <v>17367</v>
      </c>
      <c r="O454" t="s">
        <v>23391</v>
      </c>
    </row>
    <row r="455" spans="1:15" x14ac:dyDescent="0.25">
      <c r="A455" t="s">
        <v>9</v>
      </c>
      <c r="B455" t="s">
        <v>6836</v>
      </c>
      <c r="C455" s="18" t="str">
        <f>HYPERLINK("https://rhld.insurance.arkansas.gov/NPILookup?Npi=1033849765","1033849765")</f>
        <v>1033849765</v>
      </c>
      <c r="D455" t="s">
        <v>23292</v>
      </c>
      <c r="E455" t="s">
        <v>17366</v>
      </c>
      <c r="F455">
        <v>1</v>
      </c>
      <c r="G455">
        <v>3</v>
      </c>
      <c r="H455">
        <v>0</v>
      </c>
      <c r="I455">
        <v>0</v>
      </c>
      <c r="J455" t="s">
        <v>23390</v>
      </c>
      <c r="K455" t="s">
        <v>18640</v>
      </c>
      <c r="L455" t="s">
        <v>18640</v>
      </c>
      <c r="M455">
        <v>3</v>
      </c>
      <c r="N455" t="s">
        <v>17367</v>
      </c>
      <c r="O455" t="s">
        <v>23391</v>
      </c>
    </row>
    <row r="456" spans="1:15" x14ac:dyDescent="0.25">
      <c r="A456" t="s">
        <v>9</v>
      </c>
      <c r="B456" t="s">
        <v>6836</v>
      </c>
      <c r="C456" s="18" t="str">
        <f>HYPERLINK("https://rhld.insurance.arkansas.gov/NPILookup?Npi=1043660624","1043660624")</f>
        <v>1043660624</v>
      </c>
      <c r="D456" t="s">
        <v>23293</v>
      </c>
      <c r="E456" t="s">
        <v>17366</v>
      </c>
      <c r="F456">
        <v>1</v>
      </c>
      <c r="G456">
        <v>3</v>
      </c>
      <c r="H456">
        <v>0</v>
      </c>
      <c r="I456">
        <v>0</v>
      </c>
      <c r="J456" t="s">
        <v>23390</v>
      </c>
      <c r="K456" t="s">
        <v>18640</v>
      </c>
      <c r="L456" t="s">
        <v>18640</v>
      </c>
      <c r="M456">
        <v>3</v>
      </c>
      <c r="N456" t="s">
        <v>17367</v>
      </c>
      <c r="O456" t="s">
        <v>23391</v>
      </c>
    </row>
    <row r="457" spans="1:15" x14ac:dyDescent="0.25">
      <c r="A457" t="s">
        <v>9</v>
      </c>
      <c r="B457" t="s">
        <v>6836</v>
      </c>
      <c r="C457" s="18" t="str">
        <f>HYPERLINK("https://rhld.insurance.arkansas.gov/NPILookup?Npi=1124587357","1124587357")</f>
        <v>1124587357</v>
      </c>
      <c r="D457" t="s">
        <v>23294</v>
      </c>
      <c r="E457" t="s">
        <v>17366</v>
      </c>
      <c r="F457">
        <v>1</v>
      </c>
      <c r="G457">
        <v>3</v>
      </c>
      <c r="H457">
        <v>0</v>
      </c>
      <c r="I457">
        <v>0</v>
      </c>
      <c r="J457" t="s">
        <v>23390</v>
      </c>
      <c r="K457" t="s">
        <v>18640</v>
      </c>
      <c r="L457" t="s">
        <v>18640</v>
      </c>
      <c r="M457">
        <v>3</v>
      </c>
      <c r="N457" t="s">
        <v>17367</v>
      </c>
      <c r="O457" t="s">
        <v>23391</v>
      </c>
    </row>
    <row r="458" spans="1:15" x14ac:dyDescent="0.25">
      <c r="A458" t="s">
        <v>9</v>
      </c>
      <c r="B458" t="s">
        <v>6836</v>
      </c>
      <c r="C458" s="18" t="str">
        <f>HYPERLINK("https://rhld.insurance.arkansas.gov/NPILookup?Npi=1194083006","1194083006")</f>
        <v>1194083006</v>
      </c>
      <c r="D458" t="s">
        <v>23295</v>
      </c>
      <c r="E458" t="s">
        <v>17366</v>
      </c>
      <c r="F458">
        <v>1</v>
      </c>
      <c r="G458">
        <v>2</v>
      </c>
      <c r="H458">
        <v>0</v>
      </c>
      <c r="I458">
        <v>0</v>
      </c>
      <c r="J458" t="s">
        <v>23390</v>
      </c>
      <c r="K458" t="s">
        <v>18640</v>
      </c>
      <c r="L458" t="s">
        <v>18640</v>
      </c>
      <c r="M458">
        <v>2</v>
      </c>
      <c r="N458" t="s">
        <v>17367</v>
      </c>
      <c r="O458" t="s">
        <v>23391</v>
      </c>
    </row>
    <row r="459" spans="1:15" x14ac:dyDescent="0.25">
      <c r="A459" t="s">
        <v>9</v>
      </c>
      <c r="B459" t="s">
        <v>6836</v>
      </c>
      <c r="C459" s="18" t="str">
        <f>HYPERLINK("https://rhld.insurance.arkansas.gov/NPILookup?Npi=1255892279","1255892279")</f>
        <v>1255892279</v>
      </c>
      <c r="D459" t="s">
        <v>23296</v>
      </c>
      <c r="E459" t="s">
        <v>17366</v>
      </c>
      <c r="F459">
        <v>1</v>
      </c>
      <c r="G459">
        <v>2</v>
      </c>
      <c r="H459">
        <v>0</v>
      </c>
      <c r="I459">
        <v>0</v>
      </c>
      <c r="J459" t="s">
        <v>23390</v>
      </c>
      <c r="K459" t="s">
        <v>18640</v>
      </c>
      <c r="L459" t="s">
        <v>18640</v>
      </c>
      <c r="M459">
        <v>2</v>
      </c>
      <c r="N459" t="s">
        <v>17367</v>
      </c>
      <c r="O459" t="s">
        <v>23391</v>
      </c>
    </row>
    <row r="460" spans="1:15" x14ac:dyDescent="0.25">
      <c r="A460" t="s">
        <v>9</v>
      </c>
      <c r="B460" t="s">
        <v>6836</v>
      </c>
      <c r="C460" s="18" t="str">
        <f>HYPERLINK("https://rhld.insurance.arkansas.gov/NPILookup?Npi=1265752935","1265752935")</f>
        <v>1265752935</v>
      </c>
      <c r="D460" t="s">
        <v>23297</v>
      </c>
      <c r="E460" t="s">
        <v>17366</v>
      </c>
      <c r="F460">
        <v>1</v>
      </c>
      <c r="G460">
        <v>2</v>
      </c>
      <c r="H460">
        <v>0</v>
      </c>
      <c r="I460">
        <v>0</v>
      </c>
      <c r="J460" t="s">
        <v>23390</v>
      </c>
      <c r="K460" t="s">
        <v>18640</v>
      </c>
      <c r="L460" t="s">
        <v>18640</v>
      </c>
      <c r="M460">
        <v>2</v>
      </c>
      <c r="N460" t="s">
        <v>17367</v>
      </c>
      <c r="O460" t="s">
        <v>23391</v>
      </c>
    </row>
    <row r="461" spans="1:15" x14ac:dyDescent="0.25">
      <c r="A461" t="s">
        <v>9</v>
      </c>
      <c r="B461" t="s">
        <v>6836</v>
      </c>
      <c r="C461" s="18" t="str">
        <f>HYPERLINK("https://rhld.insurance.arkansas.gov/NPILookup?Npi=1356797740","1356797740")</f>
        <v>1356797740</v>
      </c>
      <c r="D461" t="s">
        <v>23299</v>
      </c>
      <c r="E461" t="s">
        <v>17366</v>
      </c>
      <c r="F461">
        <v>1</v>
      </c>
      <c r="G461">
        <v>2</v>
      </c>
      <c r="H461">
        <v>0</v>
      </c>
      <c r="I461">
        <v>0</v>
      </c>
      <c r="J461" t="s">
        <v>23390</v>
      </c>
      <c r="K461" t="s">
        <v>18640</v>
      </c>
      <c r="L461" t="s">
        <v>18640</v>
      </c>
      <c r="M461">
        <v>2</v>
      </c>
      <c r="N461" t="s">
        <v>17367</v>
      </c>
      <c r="O461" t="s">
        <v>23391</v>
      </c>
    </row>
    <row r="462" spans="1:15" x14ac:dyDescent="0.25">
      <c r="A462" t="s">
        <v>9</v>
      </c>
      <c r="B462" t="s">
        <v>6836</v>
      </c>
      <c r="C462" s="18" t="str">
        <f>HYPERLINK("https://rhld.insurance.arkansas.gov/NPILookup?Npi=1437279254","1437279254")</f>
        <v>1437279254</v>
      </c>
      <c r="D462" t="s">
        <v>23301</v>
      </c>
      <c r="E462" t="s">
        <v>17366</v>
      </c>
      <c r="F462">
        <v>1</v>
      </c>
      <c r="G462">
        <v>2</v>
      </c>
      <c r="H462">
        <v>0</v>
      </c>
      <c r="I462">
        <v>0</v>
      </c>
      <c r="J462" t="s">
        <v>23390</v>
      </c>
      <c r="K462" t="s">
        <v>18640</v>
      </c>
      <c r="L462" t="s">
        <v>18640</v>
      </c>
      <c r="M462">
        <v>2</v>
      </c>
      <c r="N462" t="s">
        <v>17367</v>
      </c>
      <c r="O462" t="s">
        <v>23391</v>
      </c>
    </row>
    <row r="463" spans="1:15" x14ac:dyDescent="0.25">
      <c r="A463" t="s">
        <v>9</v>
      </c>
      <c r="B463" t="s">
        <v>6836</v>
      </c>
      <c r="C463" s="18" t="str">
        <f>HYPERLINK("https://rhld.insurance.arkansas.gov/NPILookup?Npi=1568437101","1568437101")</f>
        <v>1568437101</v>
      </c>
      <c r="D463" t="s">
        <v>7103</v>
      </c>
      <c r="E463" t="s">
        <v>17368</v>
      </c>
      <c r="F463">
        <v>1</v>
      </c>
      <c r="G463">
        <v>2</v>
      </c>
      <c r="H463">
        <v>0</v>
      </c>
      <c r="I463">
        <v>0</v>
      </c>
      <c r="J463" t="s">
        <v>23393</v>
      </c>
      <c r="K463" t="s">
        <v>18640</v>
      </c>
      <c r="L463" t="s">
        <v>18640</v>
      </c>
      <c r="M463">
        <v>2</v>
      </c>
      <c r="N463" t="s">
        <v>17367</v>
      </c>
      <c r="O463" t="s">
        <v>23391</v>
      </c>
    </row>
    <row r="464" spans="1:15" x14ac:dyDescent="0.25">
      <c r="A464" t="s">
        <v>9</v>
      </c>
      <c r="B464" t="s">
        <v>6836</v>
      </c>
      <c r="C464" s="18" t="str">
        <f>HYPERLINK("https://rhld.insurance.arkansas.gov/NPILookup?Npi=1578725107","1578725107")</f>
        <v>1578725107</v>
      </c>
      <c r="D464" t="s">
        <v>23302</v>
      </c>
      <c r="E464" t="s">
        <v>17366</v>
      </c>
      <c r="F464">
        <v>1</v>
      </c>
      <c r="G464">
        <v>2</v>
      </c>
      <c r="H464">
        <v>0</v>
      </c>
      <c r="I464">
        <v>0</v>
      </c>
      <c r="J464" t="s">
        <v>23390</v>
      </c>
      <c r="K464" t="s">
        <v>18640</v>
      </c>
      <c r="L464" t="s">
        <v>18640</v>
      </c>
      <c r="M464">
        <v>2</v>
      </c>
      <c r="N464" t="s">
        <v>17367</v>
      </c>
      <c r="O464" t="s">
        <v>23391</v>
      </c>
    </row>
    <row r="465" spans="1:15" x14ac:dyDescent="0.25">
      <c r="A465" t="s">
        <v>9</v>
      </c>
      <c r="B465" t="s">
        <v>6836</v>
      </c>
      <c r="C465" s="18" t="str">
        <f>HYPERLINK("https://rhld.insurance.arkansas.gov/NPILookup?Npi=1619966371","1619966371")</f>
        <v>1619966371</v>
      </c>
      <c r="D465" t="s">
        <v>7136</v>
      </c>
      <c r="E465" t="s">
        <v>17368</v>
      </c>
      <c r="F465">
        <v>1</v>
      </c>
      <c r="G465">
        <v>2</v>
      </c>
      <c r="H465">
        <v>0</v>
      </c>
      <c r="I465">
        <v>0</v>
      </c>
      <c r="J465" t="s">
        <v>17370</v>
      </c>
      <c r="K465" t="s">
        <v>18640</v>
      </c>
      <c r="L465" t="s">
        <v>18640</v>
      </c>
      <c r="M465">
        <v>2</v>
      </c>
      <c r="N465" t="s">
        <v>17367</v>
      </c>
      <c r="O465" t="s">
        <v>23391</v>
      </c>
    </row>
    <row r="466" spans="1:15" x14ac:dyDescent="0.25">
      <c r="A466" t="s">
        <v>9</v>
      </c>
      <c r="B466" t="s">
        <v>6836</v>
      </c>
      <c r="C466" s="18" t="str">
        <f>HYPERLINK("https://rhld.insurance.arkansas.gov/NPILookup?Npi=1770275935","1770275935")</f>
        <v>1770275935</v>
      </c>
      <c r="D466" t="s">
        <v>23305</v>
      </c>
      <c r="E466" t="s">
        <v>17366</v>
      </c>
      <c r="F466">
        <v>1</v>
      </c>
      <c r="G466">
        <v>2</v>
      </c>
      <c r="H466">
        <v>0</v>
      </c>
      <c r="I466">
        <v>0</v>
      </c>
      <c r="J466" t="s">
        <v>23390</v>
      </c>
      <c r="K466" t="s">
        <v>18640</v>
      </c>
      <c r="L466" t="s">
        <v>18640</v>
      </c>
      <c r="M466">
        <v>2</v>
      </c>
      <c r="N466" t="s">
        <v>17367</v>
      </c>
      <c r="O466" t="s">
        <v>23391</v>
      </c>
    </row>
    <row r="467" spans="1:15" x14ac:dyDescent="0.25">
      <c r="A467" t="s">
        <v>9</v>
      </c>
      <c r="B467" t="s">
        <v>6836</v>
      </c>
      <c r="C467" s="18" t="str">
        <f>HYPERLINK("https://rhld.insurance.arkansas.gov/NPILookup?Npi=1891254751","1891254751")</f>
        <v>1891254751</v>
      </c>
      <c r="D467" t="s">
        <v>23307</v>
      </c>
      <c r="E467" t="s">
        <v>17366</v>
      </c>
      <c r="F467">
        <v>1</v>
      </c>
      <c r="G467">
        <v>2</v>
      </c>
      <c r="H467">
        <v>0</v>
      </c>
      <c r="I467">
        <v>0</v>
      </c>
      <c r="J467" t="s">
        <v>23390</v>
      </c>
      <c r="K467" t="s">
        <v>18640</v>
      </c>
      <c r="L467" t="s">
        <v>18640</v>
      </c>
      <c r="M467">
        <v>2</v>
      </c>
      <c r="N467" t="s">
        <v>17367</v>
      </c>
      <c r="O467" t="s">
        <v>23391</v>
      </c>
    </row>
    <row r="468" spans="1:15" x14ac:dyDescent="0.25">
      <c r="A468" t="s">
        <v>9</v>
      </c>
      <c r="B468" t="s">
        <v>6836</v>
      </c>
      <c r="C468" s="18" t="str">
        <f>HYPERLINK("https://rhld.insurance.arkansas.gov/NPILookup?Npi=1902251580","1902251580")</f>
        <v>1902251580</v>
      </c>
      <c r="D468" t="s">
        <v>23308</v>
      </c>
      <c r="E468" t="s">
        <v>17366</v>
      </c>
      <c r="F468">
        <v>1</v>
      </c>
      <c r="G468">
        <v>2</v>
      </c>
      <c r="H468">
        <v>0</v>
      </c>
      <c r="I468">
        <v>0</v>
      </c>
      <c r="J468" t="s">
        <v>23390</v>
      </c>
      <c r="K468" t="s">
        <v>18640</v>
      </c>
      <c r="L468" t="s">
        <v>18640</v>
      </c>
      <c r="M468">
        <v>2</v>
      </c>
      <c r="N468" t="s">
        <v>17367</v>
      </c>
      <c r="O468" t="s">
        <v>23391</v>
      </c>
    </row>
    <row r="469" spans="1:15" x14ac:dyDescent="0.25">
      <c r="A469" t="s">
        <v>9</v>
      </c>
      <c r="B469" t="s">
        <v>6836</v>
      </c>
      <c r="C469" s="18" t="str">
        <f>HYPERLINK("https://rhld.insurance.arkansas.gov/NPILookup?Npi=1932114402","1932114402")</f>
        <v>1932114402</v>
      </c>
      <c r="D469" t="s">
        <v>23309</v>
      </c>
      <c r="E469" t="s">
        <v>17366</v>
      </c>
      <c r="F469">
        <v>1</v>
      </c>
      <c r="G469">
        <v>2</v>
      </c>
      <c r="H469">
        <v>0</v>
      </c>
      <c r="I469">
        <v>0</v>
      </c>
      <c r="J469" t="s">
        <v>23390</v>
      </c>
      <c r="K469" t="s">
        <v>18640</v>
      </c>
      <c r="L469" t="s">
        <v>18640</v>
      </c>
      <c r="M469">
        <v>2</v>
      </c>
      <c r="N469" t="s">
        <v>17367</v>
      </c>
      <c r="O469" t="s">
        <v>23391</v>
      </c>
    </row>
    <row r="470" spans="1:15" x14ac:dyDescent="0.25">
      <c r="A470" t="s">
        <v>9</v>
      </c>
      <c r="B470" t="s">
        <v>6836</v>
      </c>
      <c r="C470" s="18" t="str">
        <f>HYPERLINK("https://rhld.insurance.arkansas.gov/NPILookup?Npi=1932185451","1932185451")</f>
        <v>1932185451</v>
      </c>
      <c r="D470" t="s">
        <v>23310</v>
      </c>
      <c r="E470" t="s">
        <v>17366</v>
      </c>
      <c r="F470">
        <v>1</v>
      </c>
      <c r="G470">
        <v>2</v>
      </c>
      <c r="H470">
        <v>0</v>
      </c>
      <c r="I470">
        <v>0</v>
      </c>
      <c r="J470" t="s">
        <v>23390</v>
      </c>
      <c r="K470" t="s">
        <v>18640</v>
      </c>
      <c r="L470" t="s">
        <v>18640</v>
      </c>
      <c r="M470">
        <v>2</v>
      </c>
      <c r="N470" t="s">
        <v>17367</v>
      </c>
      <c r="O470" t="s">
        <v>23391</v>
      </c>
    </row>
    <row r="471" spans="1:15" x14ac:dyDescent="0.25">
      <c r="A471" t="s">
        <v>9</v>
      </c>
      <c r="B471" t="s">
        <v>6836</v>
      </c>
      <c r="C471" s="18" t="str">
        <f>HYPERLINK("https://rhld.insurance.arkansas.gov/NPILookup?Npi=1962632216","1962632216")</f>
        <v>1962632216</v>
      </c>
      <c r="D471" t="s">
        <v>23311</v>
      </c>
      <c r="E471" t="s">
        <v>17366</v>
      </c>
      <c r="F471">
        <v>1</v>
      </c>
      <c r="G471">
        <v>2</v>
      </c>
      <c r="H471">
        <v>0</v>
      </c>
      <c r="I471">
        <v>0</v>
      </c>
      <c r="J471" t="s">
        <v>23390</v>
      </c>
      <c r="K471" t="s">
        <v>18640</v>
      </c>
      <c r="L471" t="s">
        <v>18640</v>
      </c>
      <c r="M471">
        <v>2</v>
      </c>
      <c r="N471" t="s">
        <v>17367</v>
      </c>
      <c r="O471" t="s">
        <v>23391</v>
      </c>
    </row>
    <row r="472" spans="1:15" x14ac:dyDescent="0.25">
      <c r="A472" t="s">
        <v>9</v>
      </c>
      <c r="B472" t="s">
        <v>6836</v>
      </c>
      <c r="C472" s="18" t="str">
        <f>HYPERLINK("https://rhld.insurance.arkansas.gov/NPILookup?Npi=1992265797","1992265797")</f>
        <v>1992265797</v>
      </c>
      <c r="D472" t="s">
        <v>23312</v>
      </c>
      <c r="E472" t="s">
        <v>17366</v>
      </c>
      <c r="F472">
        <v>1</v>
      </c>
      <c r="G472">
        <v>3</v>
      </c>
      <c r="H472">
        <v>0</v>
      </c>
      <c r="I472">
        <v>0</v>
      </c>
      <c r="J472" t="s">
        <v>23390</v>
      </c>
      <c r="K472" t="s">
        <v>18640</v>
      </c>
      <c r="L472" t="s">
        <v>18640</v>
      </c>
      <c r="M472">
        <v>3</v>
      </c>
      <c r="N472" t="s">
        <v>17367</v>
      </c>
      <c r="O472" t="s">
        <v>23391</v>
      </c>
    </row>
    <row r="473" spans="1:15" x14ac:dyDescent="0.25">
      <c r="A473" t="s">
        <v>10</v>
      </c>
      <c r="B473" t="s">
        <v>7315</v>
      </c>
      <c r="C473" s="18" t="str">
        <f>HYPERLINK("https://rhld.insurance.arkansas.gov/NPILookup?Npi=1104945773","1104945773")</f>
        <v>1104945773</v>
      </c>
      <c r="D473" t="s">
        <v>16575</v>
      </c>
      <c r="E473" t="s">
        <v>17368</v>
      </c>
      <c r="F473">
        <v>1</v>
      </c>
      <c r="G473">
        <v>2</v>
      </c>
      <c r="H473">
        <v>1</v>
      </c>
      <c r="I473">
        <v>0</v>
      </c>
      <c r="J473" t="s">
        <v>23427</v>
      </c>
      <c r="K473" t="s">
        <v>18640</v>
      </c>
      <c r="L473" t="s">
        <v>23428</v>
      </c>
      <c r="M473">
        <v>1</v>
      </c>
      <c r="N473" t="s">
        <v>17369</v>
      </c>
      <c r="O473" t="s">
        <v>23429</v>
      </c>
    </row>
    <row r="474" spans="1:15" x14ac:dyDescent="0.25">
      <c r="A474" t="s">
        <v>10</v>
      </c>
      <c r="B474" t="s">
        <v>7315</v>
      </c>
      <c r="C474" s="18" t="str">
        <f>HYPERLINK("https://rhld.insurance.arkansas.gov/NPILookup?Npi=1154334860","1154334860")</f>
        <v>1154334860</v>
      </c>
      <c r="D474" t="s">
        <v>22650</v>
      </c>
      <c r="E474" t="s">
        <v>17368</v>
      </c>
      <c r="F474">
        <v>1</v>
      </c>
      <c r="G474">
        <v>3</v>
      </c>
      <c r="H474">
        <v>0</v>
      </c>
      <c r="I474">
        <v>0</v>
      </c>
      <c r="J474" t="s">
        <v>23430</v>
      </c>
      <c r="K474" t="s">
        <v>18640</v>
      </c>
      <c r="L474" t="s">
        <v>18640</v>
      </c>
      <c r="M474">
        <v>3</v>
      </c>
      <c r="N474" t="s">
        <v>17367</v>
      </c>
      <c r="O474" t="s">
        <v>23391</v>
      </c>
    </row>
    <row r="475" spans="1:15" x14ac:dyDescent="0.25">
      <c r="A475" t="s">
        <v>10</v>
      </c>
      <c r="B475" t="s">
        <v>7315</v>
      </c>
      <c r="C475" s="18" t="str">
        <f>HYPERLINK("https://rhld.insurance.arkansas.gov/NPILookup?Npi=1295051332","1295051332")</f>
        <v>1295051332</v>
      </c>
      <c r="D475" t="s">
        <v>22656</v>
      </c>
      <c r="E475" t="s">
        <v>17368</v>
      </c>
      <c r="F475">
        <v>1</v>
      </c>
      <c r="G475">
        <v>3</v>
      </c>
      <c r="H475">
        <v>0</v>
      </c>
      <c r="I475">
        <v>0</v>
      </c>
      <c r="J475" t="s">
        <v>23431</v>
      </c>
      <c r="K475" t="s">
        <v>18640</v>
      </c>
      <c r="L475" t="s">
        <v>18640</v>
      </c>
      <c r="M475">
        <v>3</v>
      </c>
      <c r="N475" t="s">
        <v>17367</v>
      </c>
      <c r="O475" t="s">
        <v>23391</v>
      </c>
    </row>
    <row r="476" spans="1:15" x14ac:dyDescent="0.25">
      <c r="A476" t="s">
        <v>10</v>
      </c>
      <c r="B476" t="s">
        <v>7315</v>
      </c>
      <c r="C476" s="18" t="str">
        <f>HYPERLINK("https://rhld.insurance.arkansas.gov/NPILookup?Npi=1477577435","1477577435")</f>
        <v>1477577435</v>
      </c>
      <c r="D476" t="s">
        <v>16593</v>
      </c>
      <c r="E476" t="s">
        <v>17368</v>
      </c>
      <c r="F476">
        <v>1</v>
      </c>
      <c r="G476">
        <v>3</v>
      </c>
      <c r="H476">
        <v>0</v>
      </c>
      <c r="I476">
        <v>0</v>
      </c>
      <c r="J476" t="s">
        <v>23432</v>
      </c>
      <c r="K476" t="s">
        <v>18640</v>
      </c>
      <c r="L476" t="s">
        <v>18640</v>
      </c>
      <c r="M476">
        <v>3</v>
      </c>
      <c r="N476" t="s">
        <v>17367</v>
      </c>
      <c r="O476" t="s">
        <v>23391</v>
      </c>
    </row>
    <row r="477" spans="1:15" x14ac:dyDescent="0.25">
      <c r="A477" t="s">
        <v>10</v>
      </c>
      <c r="B477" t="s">
        <v>7315</v>
      </c>
      <c r="C477" s="18" t="str">
        <f>HYPERLINK("https://rhld.insurance.arkansas.gov/NPILookup?Npi=1538195086","1538195086")</f>
        <v>1538195086</v>
      </c>
      <c r="D477" t="s">
        <v>7369</v>
      </c>
      <c r="E477" t="s">
        <v>17368</v>
      </c>
      <c r="F477">
        <v>1</v>
      </c>
      <c r="G477">
        <v>3</v>
      </c>
      <c r="H477">
        <v>0</v>
      </c>
      <c r="I477">
        <v>0</v>
      </c>
      <c r="J477" t="s">
        <v>17370</v>
      </c>
      <c r="K477" t="s">
        <v>18640</v>
      </c>
      <c r="L477" t="s">
        <v>18640</v>
      </c>
      <c r="M477">
        <v>3</v>
      </c>
      <c r="N477" t="s">
        <v>17367</v>
      </c>
      <c r="O477" t="s">
        <v>23391</v>
      </c>
    </row>
    <row r="478" spans="1:15" x14ac:dyDescent="0.25">
      <c r="A478" t="s">
        <v>10</v>
      </c>
      <c r="B478" t="s">
        <v>7315</v>
      </c>
      <c r="C478" s="18" t="str">
        <f>HYPERLINK("https://rhld.insurance.arkansas.gov/NPILookup?Npi=1639581226","1639581226")</f>
        <v>1639581226</v>
      </c>
      <c r="D478" t="s">
        <v>22659</v>
      </c>
      <c r="E478" t="s">
        <v>17368</v>
      </c>
      <c r="F478">
        <v>1</v>
      </c>
      <c r="G478">
        <v>3</v>
      </c>
      <c r="H478">
        <v>0</v>
      </c>
      <c r="I478">
        <v>0</v>
      </c>
      <c r="J478" t="s">
        <v>23433</v>
      </c>
      <c r="K478" t="s">
        <v>18640</v>
      </c>
      <c r="L478" t="s">
        <v>18640</v>
      </c>
      <c r="M478">
        <v>3</v>
      </c>
      <c r="N478" t="s">
        <v>17367</v>
      </c>
      <c r="O478" t="s">
        <v>23391</v>
      </c>
    </row>
    <row r="479" spans="1:15" x14ac:dyDescent="0.25">
      <c r="A479" t="s">
        <v>10</v>
      </c>
      <c r="B479" t="s">
        <v>7315</v>
      </c>
      <c r="C479" s="18" t="str">
        <f>HYPERLINK("https://rhld.insurance.arkansas.gov/NPILookup?Npi=1700327103","1700327103")</f>
        <v>1700327103</v>
      </c>
      <c r="D479" t="s">
        <v>23313</v>
      </c>
      <c r="E479" t="s">
        <v>17366</v>
      </c>
      <c r="F479">
        <v>2</v>
      </c>
      <c r="G479">
        <v>3</v>
      </c>
      <c r="H479">
        <v>0</v>
      </c>
      <c r="I479">
        <v>0</v>
      </c>
      <c r="J479" t="s">
        <v>23415</v>
      </c>
      <c r="K479" t="s">
        <v>18640</v>
      </c>
      <c r="L479" t="s">
        <v>18640</v>
      </c>
      <c r="M479">
        <v>3</v>
      </c>
      <c r="N479" t="s">
        <v>17367</v>
      </c>
      <c r="O479" t="s">
        <v>23391</v>
      </c>
    </row>
    <row r="480" spans="1:15" x14ac:dyDescent="0.25">
      <c r="A480" t="s">
        <v>10</v>
      </c>
      <c r="B480" t="s">
        <v>7315</v>
      </c>
      <c r="C480" s="18" t="str">
        <f>HYPERLINK("https://rhld.insurance.arkansas.gov/NPILookup?Npi=1861432049","1861432049")</f>
        <v>1861432049</v>
      </c>
      <c r="D480" t="s">
        <v>12108</v>
      </c>
      <c r="E480" t="s">
        <v>17368</v>
      </c>
      <c r="F480">
        <v>1</v>
      </c>
      <c r="G480">
        <v>3</v>
      </c>
      <c r="H480">
        <v>0</v>
      </c>
      <c r="I480">
        <v>0</v>
      </c>
      <c r="J480" t="s">
        <v>23434</v>
      </c>
      <c r="K480" t="s">
        <v>18640</v>
      </c>
      <c r="L480" t="s">
        <v>18640</v>
      </c>
      <c r="M480">
        <v>3</v>
      </c>
      <c r="N480" t="s">
        <v>17367</v>
      </c>
      <c r="O480" t="s">
        <v>23391</v>
      </c>
    </row>
    <row r="481" spans="1:15" x14ac:dyDescent="0.25">
      <c r="A481" t="s">
        <v>11</v>
      </c>
      <c r="B481" t="s">
        <v>7439</v>
      </c>
      <c r="C481" s="18" t="str">
        <f>HYPERLINK("https://rhld.insurance.arkansas.gov/NPILookup?Npi=1043740368","1043740368")</f>
        <v>1043740368</v>
      </c>
      <c r="D481" t="s">
        <v>23314</v>
      </c>
      <c r="E481" t="s">
        <v>17366</v>
      </c>
      <c r="F481">
        <v>1</v>
      </c>
      <c r="G481">
        <v>3</v>
      </c>
      <c r="H481">
        <v>0</v>
      </c>
      <c r="I481">
        <v>0</v>
      </c>
      <c r="J481" t="s">
        <v>23435</v>
      </c>
      <c r="K481" t="s">
        <v>18640</v>
      </c>
      <c r="L481" t="s">
        <v>18640</v>
      </c>
      <c r="M481">
        <v>3</v>
      </c>
      <c r="N481" t="s">
        <v>17367</v>
      </c>
      <c r="O481" t="s">
        <v>23391</v>
      </c>
    </row>
    <row r="482" spans="1:15" x14ac:dyDescent="0.25">
      <c r="A482" t="s">
        <v>11</v>
      </c>
      <c r="B482" t="s">
        <v>7439</v>
      </c>
      <c r="C482" s="18" t="str">
        <f>HYPERLINK("https://rhld.insurance.arkansas.gov/NPILookup?Npi=1124569306","1124569306")</f>
        <v>1124569306</v>
      </c>
      <c r="D482" t="s">
        <v>23315</v>
      </c>
      <c r="E482" t="s">
        <v>17366</v>
      </c>
      <c r="F482">
        <v>2</v>
      </c>
      <c r="G482">
        <v>3</v>
      </c>
      <c r="H482">
        <v>0</v>
      </c>
      <c r="I482">
        <v>0</v>
      </c>
      <c r="J482" t="s">
        <v>23415</v>
      </c>
      <c r="K482" t="s">
        <v>18640</v>
      </c>
      <c r="L482" t="s">
        <v>18640</v>
      </c>
      <c r="M482">
        <v>3</v>
      </c>
      <c r="N482" t="s">
        <v>17367</v>
      </c>
      <c r="O482" t="s">
        <v>23391</v>
      </c>
    </row>
    <row r="483" spans="1:15" x14ac:dyDescent="0.25">
      <c r="A483" t="s">
        <v>11</v>
      </c>
      <c r="B483" t="s">
        <v>7439</v>
      </c>
      <c r="C483" s="18" t="str">
        <f>HYPERLINK("https://rhld.insurance.arkansas.gov/NPILookup?Npi=1548783202","1548783202")</f>
        <v>1548783202</v>
      </c>
      <c r="D483" t="s">
        <v>23316</v>
      </c>
      <c r="E483" t="s">
        <v>17366</v>
      </c>
      <c r="F483">
        <v>1</v>
      </c>
      <c r="G483">
        <v>3</v>
      </c>
      <c r="H483">
        <v>0</v>
      </c>
      <c r="I483">
        <v>0</v>
      </c>
      <c r="J483" t="s">
        <v>23435</v>
      </c>
      <c r="K483" t="s">
        <v>18640</v>
      </c>
      <c r="L483" t="s">
        <v>18640</v>
      </c>
      <c r="M483">
        <v>3</v>
      </c>
      <c r="N483" t="s">
        <v>17367</v>
      </c>
      <c r="O483" t="s">
        <v>23391</v>
      </c>
    </row>
    <row r="484" spans="1:15" x14ac:dyDescent="0.25">
      <c r="A484" t="s">
        <v>11</v>
      </c>
      <c r="B484" t="s">
        <v>7439</v>
      </c>
      <c r="C484" s="18" t="str">
        <f>HYPERLINK("https://rhld.insurance.arkansas.gov/NPILookup?Npi=1639498512","1639498512")</f>
        <v>1639498512</v>
      </c>
      <c r="D484" t="s">
        <v>23436</v>
      </c>
      <c r="E484" t="s">
        <v>17366</v>
      </c>
      <c r="F484">
        <v>1</v>
      </c>
      <c r="G484">
        <v>2</v>
      </c>
      <c r="H484">
        <v>1</v>
      </c>
      <c r="I484">
        <v>0</v>
      </c>
      <c r="J484" t="s">
        <v>23435</v>
      </c>
      <c r="K484" t="s">
        <v>18640</v>
      </c>
      <c r="L484" t="s">
        <v>23437</v>
      </c>
      <c r="M484">
        <v>1</v>
      </c>
      <c r="N484" t="s">
        <v>17369</v>
      </c>
      <c r="O484" t="s">
        <v>21361</v>
      </c>
    </row>
    <row r="485" spans="1:15" x14ac:dyDescent="0.25">
      <c r="A485" t="s">
        <v>11</v>
      </c>
      <c r="B485" t="s">
        <v>7439</v>
      </c>
      <c r="C485" s="18" t="str">
        <f>HYPERLINK("https://rhld.insurance.arkansas.gov/NPILookup?Npi=1730611005","1730611005")</f>
        <v>1730611005</v>
      </c>
      <c r="D485" t="s">
        <v>23317</v>
      </c>
      <c r="E485" t="s">
        <v>17366</v>
      </c>
      <c r="F485">
        <v>1</v>
      </c>
      <c r="G485">
        <v>3</v>
      </c>
      <c r="H485">
        <v>0</v>
      </c>
      <c r="I485">
        <v>0</v>
      </c>
      <c r="J485" t="s">
        <v>23435</v>
      </c>
      <c r="K485" t="s">
        <v>18640</v>
      </c>
      <c r="L485" t="s">
        <v>18640</v>
      </c>
      <c r="M485">
        <v>3</v>
      </c>
      <c r="N485" t="s">
        <v>17367</v>
      </c>
      <c r="O485" t="s">
        <v>23391</v>
      </c>
    </row>
    <row r="486" spans="1:15" x14ac:dyDescent="0.25">
      <c r="A486" t="s">
        <v>11</v>
      </c>
      <c r="B486" t="s">
        <v>7439</v>
      </c>
      <c r="C486" s="18" t="str">
        <f>HYPERLINK("https://rhld.insurance.arkansas.gov/NPILookup?Npi=1841383221","1841383221")</f>
        <v>1841383221</v>
      </c>
      <c r="D486" t="s">
        <v>23318</v>
      </c>
      <c r="E486" t="s">
        <v>17366</v>
      </c>
      <c r="F486">
        <v>1</v>
      </c>
      <c r="G486">
        <v>3</v>
      </c>
      <c r="H486">
        <v>0</v>
      </c>
      <c r="I486">
        <v>0</v>
      </c>
      <c r="J486" t="s">
        <v>23435</v>
      </c>
      <c r="K486" t="s">
        <v>18640</v>
      </c>
      <c r="L486" t="s">
        <v>18640</v>
      </c>
      <c r="M486">
        <v>3</v>
      </c>
      <c r="N486" t="s">
        <v>17367</v>
      </c>
      <c r="O486" t="s">
        <v>23391</v>
      </c>
    </row>
    <row r="487" spans="1:15" x14ac:dyDescent="0.25">
      <c r="A487" t="s">
        <v>13277</v>
      </c>
      <c r="B487" t="s">
        <v>13278</v>
      </c>
      <c r="C487" s="18" t="str">
        <f>HYPERLINK("https://rhld.insurance.arkansas.gov/NPILookup?Npi=1205551884","1205551884")</f>
        <v>1205551884</v>
      </c>
      <c r="D487" t="s">
        <v>23438</v>
      </c>
      <c r="E487" t="s">
        <v>17366</v>
      </c>
      <c r="F487">
        <v>1</v>
      </c>
      <c r="G487">
        <v>4</v>
      </c>
      <c r="H487">
        <v>0</v>
      </c>
      <c r="I487">
        <v>0</v>
      </c>
      <c r="J487" t="s">
        <v>23390</v>
      </c>
      <c r="K487" t="s">
        <v>18640</v>
      </c>
      <c r="L487" t="s">
        <v>18640</v>
      </c>
      <c r="M487">
        <v>4</v>
      </c>
      <c r="N487" t="s">
        <v>17367</v>
      </c>
      <c r="O487" t="s">
        <v>21363</v>
      </c>
    </row>
    <row r="488" spans="1:15" x14ac:dyDescent="0.25">
      <c r="A488" t="s">
        <v>13277</v>
      </c>
      <c r="B488" t="s">
        <v>13278</v>
      </c>
      <c r="C488" s="18" t="str">
        <f>HYPERLINK("https://rhld.insurance.arkansas.gov/NPILookup?Npi=1316639149","1316639149")</f>
        <v>1316639149</v>
      </c>
      <c r="D488" t="s">
        <v>23439</v>
      </c>
      <c r="E488" t="s">
        <v>17366</v>
      </c>
      <c r="F488">
        <v>1</v>
      </c>
      <c r="G488">
        <v>4</v>
      </c>
      <c r="H488">
        <v>0</v>
      </c>
      <c r="I488">
        <v>0</v>
      </c>
      <c r="J488" t="s">
        <v>23390</v>
      </c>
      <c r="K488" t="s">
        <v>18640</v>
      </c>
      <c r="L488" t="s">
        <v>18640</v>
      </c>
      <c r="M488">
        <v>4</v>
      </c>
      <c r="N488" t="s">
        <v>17367</v>
      </c>
      <c r="O488" t="s">
        <v>21363</v>
      </c>
    </row>
    <row r="489" spans="1:15" x14ac:dyDescent="0.25">
      <c r="A489" t="s">
        <v>13277</v>
      </c>
      <c r="B489" t="s">
        <v>13278</v>
      </c>
      <c r="C489" s="18" t="str">
        <f>HYPERLINK("https://rhld.insurance.arkansas.gov/NPILookup?Npi=1346869419","1346869419")</f>
        <v>1346869419</v>
      </c>
      <c r="D489" t="s">
        <v>23440</v>
      </c>
      <c r="E489" t="s">
        <v>17366</v>
      </c>
      <c r="F489">
        <v>1</v>
      </c>
      <c r="G489">
        <v>4</v>
      </c>
      <c r="H489">
        <v>0</v>
      </c>
      <c r="I489">
        <v>0</v>
      </c>
      <c r="J489" t="s">
        <v>23390</v>
      </c>
      <c r="K489" t="s">
        <v>18640</v>
      </c>
      <c r="L489" t="s">
        <v>18640</v>
      </c>
      <c r="M489">
        <v>4</v>
      </c>
      <c r="N489" t="s">
        <v>17367</v>
      </c>
      <c r="O489" t="s">
        <v>21363</v>
      </c>
    </row>
    <row r="490" spans="1:15" x14ac:dyDescent="0.25">
      <c r="A490" t="s">
        <v>12</v>
      </c>
      <c r="B490" t="s">
        <v>7506</v>
      </c>
      <c r="C490" s="18" t="str">
        <f>HYPERLINK("https://rhld.insurance.arkansas.gov/NPILookup?Npi=1245952514","1245952514")</f>
        <v>1245952514</v>
      </c>
      <c r="D490" t="s">
        <v>23398</v>
      </c>
      <c r="E490" t="s">
        <v>17366</v>
      </c>
      <c r="F490">
        <v>1</v>
      </c>
      <c r="G490">
        <v>2</v>
      </c>
      <c r="H490">
        <v>1</v>
      </c>
      <c r="I490">
        <v>0</v>
      </c>
      <c r="J490" t="s">
        <v>23390</v>
      </c>
      <c r="K490" t="s">
        <v>18640</v>
      </c>
      <c r="L490" t="s">
        <v>23441</v>
      </c>
      <c r="M490">
        <v>1</v>
      </c>
      <c r="N490" t="s">
        <v>17369</v>
      </c>
      <c r="O490" t="s">
        <v>21361</v>
      </c>
    </row>
    <row r="491" spans="1:15" x14ac:dyDescent="0.25">
      <c r="A491" t="s">
        <v>12</v>
      </c>
      <c r="B491" t="s">
        <v>7506</v>
      </c>
      <c r="C491" s="18" t="str">
        <f>HYPERLINK("https://rhld.insurance.arkansas.gov/NPILookup?Npi=1386367506","1386367506")</f>
        <v>1386367506</v>
      </c>
      <c r="D491" t="s">
        <v>23442</v>
      </c>
      <c r="E491" t="s">
        <v>17366</v>
      </c>
      <c r="F491">
        <v>1</v>
      </c>
      <c r="G491">
        <v>3</v>
      </c>
      <c r="H491">
        <v>0</v>
      </c>
      <c r="I491">
        <v>0</v>
      </c>
      <c r="J491" t="s">
        <v>23390</v>
      </c>
      <c r="K491" t="s">
        <v>18640</v>
      </c>
      <c r="L491" t="s">
        <v>18640</v>
      </c>
      <c r="M491">
        <v>3</v>
      </c>
      <c r="N491" t="s">
        <v>17367</v>
      </c>
      <c r="O491" t="s">
        <v>23391</v>
      </c>
    </row>
    <row r="492" spans="1:15" x14ac:dyDescent="0.25">
      <c r="A492" t="s">
        <v>12</v>
      </c>
      <c r="B492" t="s">
        <v>7506</v>
      </c>
      <c r="C492" s="18" t="str">
        <f>HYPERLINK("https://rhld.insurance.arkansas.gov/NPILookup?Npi=1447380423","1447380423")</f>
        <v>1447380423</v>
      </c>
      <c r="D492" t="s">
        <v>23443</v>
      </c>
      <c r="E492" t="s">
        <v>17366</v>
      </c>
      <c r="F492">
        <v>1</v>
      </c>
      <c r="G492">
        <v>2</v>
      </c>
      <c r="H492">
        <v>1</v>
      </c>
      <c r="I492">
        <v>0</v>
      </c>
      <c r="J492" t="s">
        <v>23390</v>
      </c>
      <c r="K492" t="s">
        <v>18640</v>
      </c>
      <c r="L492" t="s">
        <v>23444</v>
      </c>
      <c r="M492">
        <v>1</v>
      </c>
      <c r="N492" t="s">
        <v>17369</v>
      </c>
      <c r="O492" t="s">
        <v>21361</v>
      </c>
    </row>
    <row r="493" spans="1:15" x14ac:dyDescent="0.25">
      <c r="A493" t="s">
        <v>12</v>
      </c>
      <c r="B493" t="s">
        <v>7506</v>
      </c>
      <c r="C493" s="18" t="str">
        <f>HYPERLINK("https://rhld.insurance.arkansas.gov/NPILookup?Npi=1457984320","1457984320")</f>
        <v>1457984320</v>
      </c>
      <c r="D493" t="s">
        <v>23399</v>
      </c>
      <c r="E493" t="s">
        <v>17366</v>
      </c>
      <c r="F493">
        <v>1</v>
      </c>
      <c r="G493">
        <v>2</v>
      </c>
      <c r="H493">
        <v>1</v>
      </c>
      <c r="I493">
        <v>0</v>
      </c>
      <c r="J493" t="s">
        <v>23390</v>
      </c>
      <c r="K493" t="s">
        <v>18640</v>
      </c>
      <c r="L493" t="s">
        <v>23445</v>
      </c>
      <c r="M493">
        <v>1</v>
      </c>
      <c r="N493" t="s">
        <v>17369</v>
      </c>
      <c r="O493" t="s">
        <v>21361</v>
      </c>
    </row>
    <row r="494" spans="1:15" x14ac:dyDescent="0.25">
      <c r="A494" t="s">
        <v>12</v>
      </c>
      <c r="B494" t="s">
        <v>7506</v>
      </c>
      <c r="C494" s="18" t="str">
        <f>HYPERLINK("https://rhld.insurance.arkansas.gov/NPILookup?Npi=1780375592","1780375592")</f>
        <v>1780375592</v>
      </c>
      <c r="D494" t="s">
        <v>23446</v>
      </c>
      <c r="E494" t="s">
        <v>17366</v>
      </c>
      <c r="F494">
        <v>1</v>
      </c>
      <c r="G494">
        <v>3</v>
      </c>
      <c r="H494">
        <v>0</v>
      </c>
      <c r="I494">
        <v>0</v>
      </c>
      <c r="J494" t="s">
        <v>23390</v>
      </c>
      <c r="K494" t="s">
        <v>18640</v>
      </c>
      <c r="L494" t="s">
        <v>18640</v>
      </c>
      <c r="M494">
        <v>3</v>
      </c>
      <c r="N494" t="s">
        <v>17367</v>
      </c>
      <c r="O494" t="s">
        <v>23391</v>
      </c>
    </row>
    <row r="495" spans="1:15" x14ac:dyDescent="0.25">
      <c r="A495" t="s">
        <v>13</v>
      </c>
      <c r="B495" t="s">
        <v>7609</v>
      </c>
      <c r="C495" s="18" t="str">
        <f>HYPERLINK("https://rhld.insurance.arkansas.gov/NPILookup?Npi=1386367506","1386367506")</f>
        <v>1386367506</v>
      </c>
      <c r="D495" t="s">
        <v>23442</v>
      </c>
      <c r="E495" t="s">
        <v>17366</v>
      </c>
      <c r="F495">
        <v>1</v>
      </c>
      <c r="G495">
        <v>3</v>
      </c>
      <c r="H495">
        <v>0</v>
      </c>
      <c r="I495">
        <v>0</v>
      </c>
      <c r="J495" t="s">
        <v>23390</v>
      </c>
      <c r="K495" t="s">
        <v>18640</v>
      </c>
      <c r="L495" t="s">
        <v>18640</v>
      </c>
      <c r="M495">
        <v>3</v>
      </c>
      <c r="N495" t="s">
        <v>17367</v>
      </c>
      <c r="O495" t="s">
        <v>23391</v>
      </c>
    </row>
    <row r="496" spans="1:15" x14ac:dyDescent="0.25">
      <c r="A496" t="s">
        <v>13</v>
      </c>
      <c r="B496" t="s">
        <v>7609</v>
      </c>
      <c r="C496" s="18" t="str">
        <f>HYPERLINK("https://rhld.insurance.arkansas.gov/NPILookup?Npi=1780375592","1780375592")</f>
        <v>1780375592</v>
      </c>
      <c r="D496" t="s">
        <v>23446</v>
      </c>
      <c r="E496" t="s">
        <v>17366</v>
      </c>
      <c r="F496">
        <v>1</v>
      </c>
      <c r="G496">
        <v>3</v>
      </c>
      <c r="H496">
        <v>0</v>
      </c>
      <c r="I496">
        <v>0</v>
      </c>
      <c r="J496" t="s">
        <v>23390</v>
      </c>
      <c r="K496" t="s">
        <v>18640</v>
      </c>
      <c r="L496" t="s">
        <v>18640</v>
      </c>
      <c r="M496">
        <v>3</v>
      </c>
      <c r="N496" t="s">
        <v>17367</v>
      </c>
      <c r="O496" t="s">
        <v>23391</v>
      </c>
    </row>
    <row r="497" spans="1:15" x14ac:dyDescent="0.25">
      <c r="A497" t="s">
        <v>15</v>
      </c>
      <c r="B497" t="s">
        <v>7614</v>
      </c>
      <c r="C497" s="18" t="str">
        <f>HYPERLINK("https://rhld.insurance.arkansas.gov/NPILookup?Npi=1407167273","1407167273")</f>
        <v>1407167273</v>
      </c>
      <c r="D497" t="s">
        <v>16631</v>
      </c>
      <c r="E497" t="s">
        <v>17368</v>
      </c>
      <c r="F497">
        <v>1</v>
      </c>
      <c r="G497">
        <v>3</v>
      </c>
      <c r="H497">
        <v>0</v>
      </c>
      <c r="I497">
        <v>0</v>
      </c>
      <c r="J497" t="s">
        <v>23447</v>
      </c>
      <c r="K497" t="s">
        <v>18640</v>
      </c>
      <c r="L497" t="s">
        <v>18640</v>
      </c>
      <c r="M497">
        <v>3</v>
      </c>
      <c r="N497" t="s">
        <v>17367</v>
      </c>
      <c r="O497" t="s">
        <v>23391</v>
      </c>
    </row>
    <row r="498" spans="1:15" x14ac:dyDescent="0.25">
      <c r="A498" t="s">
        <v>15</v>
      </c>
      <c r="B498" t="s">
        <v>7614</v>
      </c>
      <c r="C498" s="18" t="str">
        <f>HYPERLINK("https://rhld.insurance.arkansas.gov/NPILookup?Npi=1417454620","1417454620")</f>
        <v>1417454620</v>
      </c>
      <c r="D498" t="s">
        <v>23323</v>
      </c>
      <c r="E498" t="s">
        <v>17366</v>
      </c>
      <c r="F498">
        <v>1</v>
      </c>
      <c r="G498">
        <v>3</v>
      </c>
      <c r="H498">
        <v>0</v>
      </c>
      <c r="I498">
        <v>0</v>
      </c>
      <c r="J498" t="s">
        <v>23435</v>
      </c>
      <c r="K498" t="s">
        <v>18640</v>
      </c>
      <c r="L498" t="s">
        <v>18640</v>
      </c>
      <c r="M498">
        <v>3</v>
      </c>
      <c r="N498" t="s">
        <v>17367</v>
      </c>
      <c r="O498" t="s">
        <v>23391</v>
      </c>
    </row>
    <row r="499" spans="1:15" x14ac:dyDescent="0.25">
      <c r="A499" t="s">
        <v>15</v>
      </c>
      <c r="B499" t="s">
        <v>7614</v>
      </c>
      <c r="C499" s="18" t="str">
        <f>HYPERLINK("https://rhld.insurance.arkansas.gov/NPILookup?Npi=1427281823","1427281823")</f>
        <v>1427281823</v>
      </c>
      <c r="D499" t="s">
        <v>17308</v>
      </c>
      <c r="E499" t="s">
        <v>17368</v>
      </c>
      <c r="F499">
        <v>1</v>
      </c>
      <c r="G499">
        <v>3</v>
      </c>
      <c r="H499">
        <v>0</v>
      </c>
      <c r="I499">
        <v>0</v>
      </c>
      <c r="J499" t="s">
        <v>23448</v>
      </c>
      <c r="K499" t="s">
        <v>18640</v>
      </c>
      <c r="L499" t="s">
        <v>18640</v>
      </c>
      <c r="M499">
        <v>3</v>
      </c>
      <c r="N499" t="s">
        <v>17367</v>
      </c>
      <c r="O499" t="s">
        <v>23391</v>
      </c>
    </row>
    <row r="500" spans="1:15" x14ac:dyDescent="0.25">
      <c r="A500" t="s">
        <v>15</v>
      </c>
      <c r="B500" t="s">
        <v>7614</v>
      </c>
      <c r="C500" s="18" t="str">
        <f>HYPERLINK("https://rhld.insurance.arkansas.gov/NPILookup?Npi=1851820005","1851820005")</f>
        <v>1851820005</v>
      </c>
      <c r="D500" t="s">
        <v>23324</v>
      </c>
      <c r="E500" t="s">
        <v>17366</v>
      </c>
      <c r="F500">
        <v>2</v>
      </c>
      <c r="G500">
        <v>3</v>
      </c>
      <c r="H500">
        <v>0</v>
      </c>
      <c r="I500">
        <v>0</v>
      </c>
      <c r="J500" t="s">
        <v>23415</v>
      </c>
      <c r="K500" t="s">
        <v>18640</v>
      </c>
      <c r="L500" t="s">
        <v>18640</v>
      </c>
      <c r="M500">
        <v>3</v>
      </c>
      <c r="N500" t="s">
        <v>17367</v>
      </c>
      <c r="O500" t="s">
        <v>23391</v>
      </c>
    </row>
    <row r="501" spans="1:15" x14ac:dyDescent="0.25">
      <c r="A501" t="s">
        <v>15</v>
      </c>
      <c r="B501" t="s">
        <v>7614</v>
      </c>
      <c r="C501" s="18" t="str">
        <f>HYPERLINK("https://rhld.insurance.arkansas.gov/NPILookup?Npi=1962994608","1962994608")</f>
        <v>1962994608</v>
      </c>
      <c r="D501" t="s">
        <v>23325</v>
      </c>
      <c r="E501" t="s">
        <v>17366</v>
      </c>
      <c r="F501">
        <v>1</v>
      </c>
      <c r="G501">
        <v>3</v>
      </c>
      <c r="H501">
        <v>0</v>
      </c>
      <c r="I501">
        <v>0</v>
      </c>
      <c r="J501" t="s">
        <v>23435</v>
      </c>
      <c r="K501" t="s">
        <v>18640</v>
      </c>
      <c r="L501" t="s">
        <v>18640</v>
      </c>
      <c r="M501">
        <v>3</v>
      </c>
      <c r="N501" t="s">
        <v>17367</v>
      </c>
      <c r="O501" t="s">
        <v>23391</v>
      </c>
    </row>
    <row r="502" spans="1:15" x14ac:dyDescent="0.25">
      <c r="A502" t="s">
        <v>16</v>
      </c>
      <c r="B502" t="s">
        <v>7666</v>
      </c>
      <c r="C502" s="18" t="str">
        <f>HYPERLINK("https://rhld.insurance.arkansas.gov/NPILookup?Npi=1114488335","1114488335")</f>
        <v>1114488335</v>
      </c>
      <c r="D502" t="s">
        <v>23326</v>
      </c>
      <c r="E502" t="s">
        <v>17366</v>
      </c>
      <c r="F502">
        <v>1</v>
      </c>
      <c r="G502">
        <v>3</v>
      </c>
      <c r="H502">
        <v>0</v>
      </c>
      <c r="I502">
        <v>0</v>
      </c>
      <c r="J502" t="s">
        <v>23390</v>
      </c>
      <c r="K502" t="s">
        <v>18640</v>
      </c>
      <c r="L502" t="s">
        <v>18640</v>
      </c>
      <c r="M502">
        <v>3</v>
      </c>
      <c r="N502" t="s">
        <v>17367</v>
      </c>
      <c r="O502" t="s">
        <v>23391</v>
      </c>
    </row>
    <row r="503" spans="1:15" x14ac:dyDescent="0.25">
      <c r="A503" t="s">
        <v>16</v>
      </c>
      <c r="B503" t="s">
        <v>7666</v>
      </c>
      <c r="C503" s="18" t="str">
        <f>HYPERLINK("https://rhld.insurance.arkansas.gov/NPILookup?Npi=1316670748","1316670748")</f>
        <v>1316670748</v>
      </c>
      <c r="D503" t="s">
        <v>23327</v>
      </c>
      <c r="E503" t="s">
        <v>17366</v>
      </c>
      <c r="F503">
        <v>1</v>
      </c>
      <c r="G503">
        <v>3</v>
      </c>
      <c r="H503">
        <v>0</v>
      </c>
      <c r="I503">
        <v>0</v>
      </c>
      <c r="J503" t="s">
        <v>23390</v>
      </c>
      <c r="K503" t="s">
        <v>18640</v>
      </c>
      <c r="L503" t="s">
        <v>18640</v>
      </c>
      <c r="M503">
        <v>3</v>
      </c>
      <c r="N503" t="s">
        <v>17367</v>
      </c>
      <c r="O503" t="s">
        <v>23391</v>
      </c>
    </row>
    <row r="504" spans="1:15" x14ac:dyDescent="0.25">
      <c r="A504" t="s">
        <v>16</v>
      </c>
      <c r="B504" t="s">
        <v>7666</v>
      </c>
      <c r="C504" s="18" t="str">
        <f>HYPERLINK("https://rhld.insurance.arkansas.gov/NPILookup?Npi=1366127318","1366127318")</f>
        <v>1366127318</v>
      </c>
      <c r="D504" t="s">
        <v>23328</v>
      </c>
      <c r="E504" t="s">
        <v>17366</v>
      </c>
      <c r="F504">
        <v>1</v>
      </c>
      <c r="G504">
        <v>3</v>
      </c>
      <c r="H504">
        <v>0</v>
      </c>
      <c r="I504">
        <v>0</v>
      </c>
      <c r="J504" t="s">
        <v>23390</v>
      </c>
      <c r="K504" t="s">
        <v>18640</v>
      </c>
      <c r="L504" t="s">
        <v>18640</v>
      </c>
      <c r="M504">
        <v>3</v>
      </c>
      <c r="N504" t="s">
        <v>17367</v>
      </c>
      <c r="O504" t="s">
        <v>23391</v>
      </c>
    </row>
    <row r="505" spans="1:15" x14ac:dyDescent="0.25">
      <c r="A505" t="s">
        <v>16</v>
      </c>
      <c r="B505" t="s">
        <v>7666</v>
      </c>
      <c r="C505" s="18" t="str">
        <f>HYPERLINK("https://rhld.insurance.arkansas.gov/NPILookup?Npi=1447234760","1447234760")</f>
        <v>1447234760</v>
      </c>
      <c r="D505" t="s">
        <v>7933</v>
      </c>
      <c r="E505" t="s">
        <v>17368</v>
      </c>
      <c r="F505">
        <v>1</v>
      </c>
      <c r="G505">
        <v>3</v>
      </c>
      <c r="H505">
        <v>0</v>
      </c>
      <c r="I505">
        <v>0</v>
      </c>
      <c r="J505" t="s">
        <v>17370</v>
      </c>
      <c r="K505" t="s">
        <v>18640</v>
      </c>
      <c r="L505" t="s">
        <v>18640</v>
      </c>
      <c r="M505">
        <v>3</v>
      </c>
      <c r="N505" t="s">
        <v>17367</v>
      </c>
      <c r="O505" t="s">
        <v>23391</v>
      </c>
    </row>
    <row r="506" spans="1:15" x14ac:dyDescent="0.25">
      <c r="A506" t="s">
        <v>16</v>
      </c>
      <c r="B506" t="s">
        <v>7666</v>
      </c>
      <c r="C506" s="18" t="str">
        <f>HYPERLINK("https://rhld.insurance.arkansas.gov/NPILookup?Npi=1558820381","1558820381")</f>
        <v>1558820381</v>
      </c>
      <c r="D506" t="s">
        <v>23330</v>
      </c>
      <c r="E506" t="s">
        <v>17366</v>
      </c>
      <c r="F506">
        <v>1</v>
      </c>
      <c r="G506">
        <v>3</v>
      </c>
      <c r="H506">
        <v>0</v>
      </c>
      <c r="I506">
        <v>0</v>
      </c>
      <c r="J506" t="s">
        <v>23390</v>
      </c>
      <c r="K506" t="s">
        <v>18640</v>
      </c>
      <c r="L506" t="s">
        <v>18640</v>
      </c>
      <c r="M506">
        <v>3</v>
      </c>
      <c r="N506" t="s">
        <v>17367</v>
      </c>
      <c r="O506" t="s">
        <v>23391</v>
      </c>
    </row>
    <row r="507" spans="1:15" x14ac:dyDescent="0.25">
      <c r="A507" t="s">
        <v>16</v>
      </c>
      <c r="B507" t="s">
        <v>7666</v>
      </c>
      <c r="C507" s="18" t="str">
        <f>HYPERLINK("https://rhld.insurance.arkansas.gov/NPILookup?Npi=1609858554","1609858554")</f>
        <v>1609858554</v>
      </c>
      <c r="D507" t="s">
        <v>23392</v>
      </c>
      <c r="E507" t="s">
        <v>17368</v>
      </c>
      <c r="F507">
        <v>1</v>
      </c>
      <c r="G507">
        <v>3</v>
      </c>
      <c r="H507">
        <v>0</v>
      </c>
      <c r="I507">
        <v>0</v>
      </c>
      <c r="J507" t="s">
        <v>17370</v>
      </c>
      <c r="K507" t="s">
        <v>18640</v>
      </c>
      <c r="L507" t="s">
        <v>18640</v>
      </c>
      <c r="M507">
        <v>3</v>
      </c>
      <c r="N507" t="s">
        <v>17367</v>
      </c>
      <c r="O507" t="s">
        <v>23391</v>
      </c>
    </row>
    <row r="508" spans="1:15" x14ac:dyDescent="0.25">
      <c r="A508" t="s">
        <v>16</v>
      </c>
      <c r="B508" t="s">
        <v>7666</v>
      </c>
      <c r="C508" s="18" t="str">
        <f>HYPERLINK("https://rhld.insurance.arkansas.gov/NPILookup?Npi=1639860257","1639860257")</f>
        <v>1639860257</v>
      </c>
      <c r="D508" t="s">
        <v>23331</v>
      </c>
      <c r="E508" t="s">
        <v>17366</v>
      </c>
      <c r="F508">
        <v>1</v>
      </c>
      <c r="G508">
        <v>3</v>
      </c>
      <c r="H508">
        <v>0</v>
      </c>
      <c r="I508">
        <v>0</v>
      </c>
      <c r="J508" t="s">
        <v>23390</v>
      </c>
      <c r="K508" t="s">
        <v>18640</v>
      </c>
      <c r="L508" t="s">
        <v>18640</v>
      </c>
      <c r="M508">
        <v>3</v>
      </c>
      <c r="N508" t="s">
        <v>17367</v>
      </c>
      <c r="O508" t="s">
        <v>23391</v>
      </c>
    </row>
    <row r="509" spans="1:15" x14ac:dyDescent="0.25">
      <c r="A509" t="s">
        <v>16</v>
      </c>
      <c r="B509" t="s">
        <v>7666</v>
      </c>
      <c r="C509" s="18" t="str">
        <f>HYPERLINK("https://rhld.insurance.arkansas.gov/NPILookup?Npi=1699700864","1699700864")</f>
        <v>1699700864</v>
      </c>
      <c r="D509" t="s">
        <v>8099</v>
      </c>
      <c r="E509" t="s">
        <v>17368</v>
      </c>
      <c r="F509">
        <v>1</v>
      </c>
      <c r="G509">
        <v>3</v>
      </c>
      <c r="H509">
        <v>0</v>
      </c>
      <c r="I509">
        <v>0</v>
      </c>
      <c r="J509" t="s">
        <v>17370</v>
      </c>
      <c r="K509" t="s">
        <v>18640</v>
      </c>
      <c r="L509" t="s">
        <v>18640</v>
      </c>
      <c r="M509">
        <v>3</v>
      </c>
      <c r="N509" t="s">
        <v>17367</v>
      </c>
      <c r="O509" t="s">
        <v>23391</v>
      </c>
    </row>
    <row r="510" spans="1:15" x14ac:dyDescent="0.25">
      <c r="A510" t="s">
        <v>16</v>
      </c>
      <c r="B510" t="s">
        <v>7666</v>
      </c>
      <c r="C510" s="18" t="str">
        <f>HYPERLINK("https://rhld.insurance.arkansas.gov/NPILookup?Npi=1780362939","1780362939")</f>
        <v>1780362939</v>
      </c>
      <c r="D510" t="s">
        <v>23332</v>
      </c>
      <c r="E510" t="s">
        <v>17366</v>
      </c>
      <c r="F510">
        <v>1</v>
      </c>
      <c r="G510">
        <v>3</v>
      </c>
      <c r="H510">
        <v>0</v>
      </c>
      <c r="I510">
        <v>0</v>
      </c>
      <c r="J510" t="s">
        <v>23390</v>
      </c>
      <c r="K510" t="s">
        <v>18640</v>
      </c>
      <c r="L510" t="s">
        <v>18640</v>
      </c>
      <c r="M510">
        <v>3</v>
      </c>
      <c r="N510" t="s">
        <v>17367</v>
      </c>
      <c r="O510" t="s">
        <v>23391</v>
      </c>
    </row>
    <row r="511" spans="1:15" x14ac:dyDescent="0.25">
      <c r="A511" t="s">
        <v>16</v>
      </c>
      <c r="B511" t="s">
        <v>7666</v>
      </c>
      <c r="C511" s="18" t="str">
        <f>HYPERLINK("https://rhld.insurance.arkansas.gov/NPILookup?Npi=1811552045","1811552045")</f>
        <v>1811552045</v>
      </c>
      <c r="D511" t="s">
        <v>23333</v>
      </c>
      <c r="E511" t="s">
        <v>17366</v>
      </c>
      <c r="F511">
        <v>1</v>
      </c>
      <c r="G511">
        <v>3</v>
      </c>
      <c r="H511">
        <v>0</v>
      </c>
      <c r="I511">
        <v>0</v>
      </c>
      <c r="J511" t="s">
        <v>23390</v>
      </c>
      <c r="K511" t="s">
        <v>18640</v>
      </c>
      <c r="L511" t="s">
        <v>18640</v>
      </c>
      <c r="M511">
        <v>3</v>
      </c>
      <c r="N511" t="s">
        <v>17367</v>
      </c>
      <c r="O511" t="s">
        <v>23391</v>
      </c>
    </row>
    <row r="512" spans="1:15" x14ac:dyDescent="0.25">
      <c r="A512" t="s">
        <v>16</v>
      </c>
      <c r="B512" t="s">
        <v>7666</v>
      </c>
      <c r="C512" s="18" t="str">
        <f>HYPERLINK("https://rhld.insurance.arkansas.gov/NPILookup?Npi=1821452681","1821452681")</f>
        <v>1821452681</v>
      </c>
      <c r="D512" t="s">
        <v>23334</v>
      </c>
      <c r="E512" t="s">
        <v>17366</v>
      </c>
      <c r="F512">
        <v>1</v>
      </c>
      <c r="G512">
        <v>3</v>
      </c>
      <c r="H512">
        <v>0</v>
      </c>
      <c r="I512">
        <v>0</v>
      </c>
      <c r="J512" t="s">
        <v>23390</v>
      </c>
      <c r="K512" t="s">
        <v>18640</v>
      </c>
      <c r="L512" t="s">
        <v>18640</v>
      </c>
      <c r="M512">
        <v>3</v>
      </c>
      <c r="N512" t="s">
        <v>17367</v>
      </c>
      <c r="O512" t="s">
        <v>23391</v>
      </c>
    </row>
    <row r="513" spans="1:15" x14ac:dyDescent="0.25">
      <c r="A513" t="s">
        <v>16</v>
      </c>
      <c r="B513" t="s">
        <v>7666</v>
      </c>
      <c r="C513" s="18" t="str">
        <f>HYPERLINK("https://rhld.insurance.arkansas.gov/NPILookup?Npi=1861458531","1861458531")</f>
        <v>1861458531</v>
      </c>
      <c r="D513" t="s">
        <v>22735</v>
      </c>
      <c r="E513" t="s">
        <v>17368</v>
      </c>
      <c r="F513">
        <v>1</v>
      </c>
      <c r="G513">
        <v>3</v>
      </c>
      <c r="H513">
        <v>0</v>
      </c>
      <c r="I513">
        <v>0</v>
      </c>
      <c r="J513" t="s">
        <v>23449</v>
      </c>
      <c r="K513" t="s">
        <v>18640</v>
      </c>
      <c r="L513" t="s">
        <v>18640</v>
      </c>
      <c r="M513">
        <v>3</v>
      </c>
      <c r="N513" t="s">
        <v>17367</v>
      </c>
      <c r="O513" t="s">
        <v>23391</v>
      </c>
    </row>
    <row r="514" spans="1:15" x14ac:dyDescent="0.25">
      <c r="A514" t="s">
        <v>16</v>
      </c>
      <c r="B514" t="s">
        <v>7666</v>
      </c>
      <c r="C514" s="18" t="str">
        <f>HYPERLINK("https://rhld.insurance.arkansas.gov/NPILookup?Npi=1891471140","1891471140")</f>
        <v>1891471140</v>
      </c>
      <c r="D514" t="s">
        <v>23335</v>
      </c>
      <c r="E514" t="s">
        <v>17366</v>
      </c>
      <c r="F514">
        <v>1</v>
      </c>
      <c r="G514">
        <v>3</v>
      </c>
      <c r="H514">
        <v>0</v>
      </c>
      <c r="I514">
        <v>0</v>
      </c>
      <c r="J514" t="s">
        <v>23390</v>
      </c>
      <c r="K514" t="s">
        <v>18640</v>
      </c>
      <c r="L514" t="s">
        <v>18640</v>
      </c>
      <c r="M514">
        <v>3</v>
      </c>
      <c r="N514" t="s">
        <v>17367</v>
      </c>
      <c r="O514" t="s">
        <v>23391</v>
      </c>
    </row>
    <row r="515" spans="1:15" x14ac:dyDescent="0.25">
      <c r="A515" t="s">
        <v>17</v>
      </c>
      <c r="B515" t="s">
        <v>8291</v>
      </c>
      <c r="C515" s="18" t="str">
        <f>HYPERLINK("https://rhld.insurance.arkansas.gov/NPILookup?Npi=1023508231","1023508231")</f>
        <v>1023508231</v>
      </c>
      <c r="D515" t="s">
        <v>23336</v>
      </c>
      <c r="E515" t="s">
        <v>17366</v>
      </c>
      <c r="F515">
        <v>2</v>
      </c>
      <c r="G515">
        <v>3</v>
      </c>
      <c r="H515">
        <v>0</v>
      </c>
      <c r="I515">
        <v>0</v>
      </c>
      <c r="J515" t="s">
        <v>23415</v>
      </c>
      <c r="K515" t="s">
        <v>18640</v>
      </c>
      <c r="L515" t="s">
        <v>18640</v>
      </c>
      <c r="M515">
        <v>3</v>
      </c>
      <c r="N515" t="s">
        <v>17367</v>
      </c>
      <c r="O515" t="s">
        <v>23391</v>
      </c>
    </row>
    <row r="516" spans="1:15" x14ac:dyDescent="0.25">
      <c r="A516" t="s">
        <v>17</v>
      </c>
      <c r="B516" t="s">
        <v>8291</v>
      </c>
      <c r="C516" s="18" t="str">
        <f>HYPERLINK("https://rhld.insurance.arkansas.gov/NPILookup?Npi=1033258074","1033258074")</f>
        <v>1033258074</v>
      </c>
      <c r="D516" t="s">
        <v>20791</v>
      </c>
      <c r="E516" t="s">
        <v>17368</v>
      </c>
      <c r="F516">
        <v>1</v>
      </c>
      <c r="G516">
        <v>3</v>
      </c>
      <c r="H516">
        <v>0</v>
      </c>
      <c r="I516">
        <v>0</v>
      </c>
      <c r="J516" t="s">
        <v>23450</v>
      </c>
      <c r="K516" t="s">
        <v>18640</v>
      </c>
      <c r="L516" t="s">
        <v>18640</v>
      </c>
      <c r="M516">
        <v>3</v>
      </c>
      <c r="N516" t="s">
        <v>17367</v>
      </c>
      <c r="O516" t="s">
        <v>23391</v>
      </c>
    </row>
    <row r="517" spans="1:15" x14ac:dyDescent="0.25">
      <c r="A517" t="s">
        <v>17</v>
      </c>
      <c r="B517" t="s">
        <v>8291</v>
      </c>
      <c r="C517" s="18" t="str">
        <f>HYPERLINK("https://rhld.insurance.arkansas.gov/NPILookup?Npi=1144477795","1144477795")</f>
        <v>1144477795</v>
      </c>
      <c r="D517" t="s">
        <v>8307</v>
      </c>
      <c r="E517" t="s">
        <v>17368</v>
      </c>
      <c r="F517">
        <v>1</v>
      </c>
      <c r="G517">
        <v>3</v>
      </c>
      <c r="H517">
        <v>0</v>
      </c>
      <c r="I517">
        <v>0</v>
      </c>
      <c r="J517" t="s">
        <v>23451</v>
      </c>
      <c r="K517" t="s">
        <v>18640</v>
      </c>
      <c r="L517" t="s">
        <v>18640</v>
      </c>
      <c r="M517">
        <v>3</v>
      </c>
      <c r="N517" t="s">
        <v>17367</v>
      </c>
      <c r="O517" t="s">
        <v>23391</v>
      </c>
    </row>
    <row r="518" spans="1:15" x14ac:dyDescent="0.25">
      <c r="A518" t="s">
        <v>17</v>
      </c>
      <c r="B518" t="s">
        <v>8291</v>
      </c>
      <c r="C518" s="18" t="str">
        <f>HYPERLINK("https://rhld.insurance.arkansas.gov/NPILookup?Npi=1245763325","1245763325")</f>
        <v>1245763325</v>
      </c>
      <c r="D518" t="s">
        <v>23337</v>
      </c>
      <c r="E518" t="s">
        <v>17366</v>
      </c>
      <c r="F518">
        <v>1</v>
      </c>
      <c r="G518">
        <v>3</v>
      </c>
      <c r="H518">
        <v>0</v>
      </c>
      <c r="I518">
        <v>0</v>
      </c>
      <c r="J518" t="s">
        <v>23390</v>
      </c>
      <c r="K518" t="s">
        <v>18640</v>
      </c>
      <c r="L518" t="s">
        <v>18640</v>
      </c>
      <c r="M518">
        <v>3</v>
      </c>
      <c r="N518" t="s">
        <v>17367</v>
      </c>
      <c r="O518" t="s">
        <v>23391</v>
      </c>
    </row>
    <row r="519" spans="1:15" x14ac:dyDescent="0.25">
      <c r="A519" t="s">
        <v>17</v>
      </c>
      <c r="B519" t="s">
        <v>8291</v>
      </c>
      <c r="C519" s="18" t="str">
        <f>HYPERLINK("https://rhld.insurance.arkansas.gov/NPILookup?Npi=1447756374","1447756374")</f>
        <v>1447756374</v>
      </c>
      <c r="D519" t="s">
        <v>23338</v>
      </c>
      <c r="E519" t="s">
        <v>17366</v>
      </c>
      <c r="F519">
        <v>2</v>
      </c>
      <c r="G519">
        <v>3</v>
      </c>
      <c r="H519">
        <v>0</v>
      </c>
      <c r="I519">
        <v>0</v>
      </c>
      <c r="J519" t="s">
        <v>23415</v>
      </c>
      <c r="K519" t="s">
        <v>18640</v>
      </c>
      <c r="L519" t="s">
        <v>18640</v>
      </c>
      <c r="M519">
        <v>3</v>
      </c>
      <c r="N519" t="s">
        <v>17367</v>
      </c>
      <c r="O519" t="s">
        <v>23391</v>
      </c>
    </row>
    <row r="520" spans="1:15" x14ac:dyDescent="0.25">
      <c r="A520" t="s">
        <v>17</v>
      </c>
      <c r="B520" t="s">
        <v>8291</v>
      </c>
      <c r="C520" s="18" t="str">
        <f>HYPERLINK("https://rhld.insurance.arkansas.gov/NPILookup?Npi=1457858508","1457858508")</f>
        <v>1457858508</v>
      </c>
      <c r="D520" t="s">
        <v>23339</v>
      </c>
      <c r="E520" t="s">
        <v>17366</v>
      </c>
      <c r="F520">
        <v>2</v>
      </c>
      <c r="G520">
        <v>3</v>
      </c>
      <c r="H520">
        <v>0</v>
      </c>
      <c r="I520">
        <v>0</v>
      </c>
      <c r="J520" t="s">
        <v>23415</v>
      </c>
      <c r="K520" t="s">
        <v>18640</v>
      </c>
      <c r="L520" t="s">
        <v>18640</v>
      </c>
      <c r="M520">
        <v>3</v>
      </c>
      <c r="N520" t="s">
        <v>17367</v>
      </c>
      <c r="O520" t="s">
        <v>23391</v>
      </c>
    </row>
    <row r="521" spans="1:15" x14ac:dyDescent="0.25">
      <c r="A521" t="s">
        <v>17</v>
      </c>
      <c r="B521" t="s">
        <v>8291</v>
      </c>
      <c r="C521" s="18" t="str">
        <f>HYPERLINK("https://rhld.insurance.arkansas.gov/NPILookup?Npi=1538103577","1538103577")</f>
        <v>1538103577</v>
      </c>
      <c r="D521" t="s">
        <v>9310</v>
      </c>
      <c r="E521" t="s">
        <v>17368</v>
      </c>
      <c r="F521">
        <v>1</v>
      </c>
      <c r="G521">
        <v>3</v>
      </c>
      <c r="H521">
        <v>0</v>
      </c>
      <c r="I521">
        <v>0</v>
      </c>
      <c r="J521" t="s">
        <v>23450</v>
      </c>
      <c r="K521" t="s">
        <v>18640</v>
      </c>
      <c r="L521" t="s">
        <v>18640</v>
      </c>
      <c r="M521">
        <v>3</v>
      </c>
      <c r="N521" t="s">
        <v>17367</v>
      </c>
      <c r="O521" t="s">
        <v>23391</v>
      </c>
    </row>
    <row r="522" spans="1:15" x14ac:dyDescent="0.25">
      <c r="A522" t="s">
        <v>17</v>
      </c>
      <c r="B522" t="s">
        <v>8291</v>
      </c>
      <c r="C522" s="18" t="str">
        <f>HYPERLINK("https://rhld.insurance.arkansas.gov/NPILookup?Npi=1699903740","1699903740")</f>
        <v>1699903740</v>
      </c>
      <c r="D522" t="s">
        <v>8375</v>
      </c>
      <c r="E522" t="s">
        <v>17368</v>
      </c>
      <c r="F522">
        <v>1</v>
      </c>
      <c r="G522">
        <v>3</v>
      </c>
      <c r="H522">
        <v>0</v>
      </c>
      <c r="I522">
        <v>0</v>
      </c>
      <c r="J522" t="s">
        <v>23452</v>
      </c>
      <c r="K522" t="s">
        <v>18640</v>
      </c>
      <c r="L522" t="s">
        <v>18640</v>
      </c>
      <c r="M522">
        <v>3</v>
      </c>
      <c r="N522" t="s">
        <v>17367</v>
      </c>
      <c r="O522" t="s">
        <v>23391</v>
      </c>
    </row>
    <row r="523" spans="1:15" x14ac:dyDescent="0.25">
      <c r="A523" t="s">
        <v>17</v>
      </c>
      <c r="B523" t="s">
        <v>8291</v>
      </c>
      <c r="C523" s="18" t="str">
        <f>HYPERLINK("https://rhld.insurance.arkansas.gov/NPILookup?Npi=1952544793","1952544793")</f>
        <v>1952544793</v>
      </c>
      <c r="D523" t="s">
        <v>23340</v>
      </c>
      <c r="E523" t="s">
        <v>17366</v>
      </c>
      <c r="F523">
        <v>1</v>
      </c>
      <c r="G523">
        <v>3</v>
      </c>
      <c r="H523">
        <v>0</v>
      </c>
      <c r="I523">
        <v>0</v>
      </c>
      <c r="J523" t="s">
        <v>23435</v>
      </c>
      <c r="K523" t="s">
        <v>18640</v>
      </c>
      <c r="L523" t="s">
        <v>18640</v>
      </c>
      <c r="M523">
        <v>3</v>
      </c>
      <c r="N523" t="s">
        <v>17367</v>
      </c>
      <c r="O523" t="s">
        <v>23391</v>
      </c>
    </row>
    <row r="524" spans="1:15" x14ac:dyDescent="0.25">
      <c r="A524" t="s">
        <v>9313</v>
      </c>
      <c r="B524" t="s">
        <v>9314</v>
      </c>
      <c r="C524" s="18" t="str">
        <f>HYPERLINK("https://rhld.insurance.arkansas.gov/NPILookup?Npi=1013934686","1013934686")</f>
        <v>1013934686</v>
      </c>
      <c r="D524" t="s">
        <v>13288</v>
      </c>
      <c r="E524" t="s">
        <v>19184</v>
      </c>
      <c r="F524">
        <v>1</v>
      </c>
      <c r="G524">
        <v>2</v>
      </c>
      <c r="H524">
        <v>1</v>
      </c>
      <c r="I524">
        <v>0</v>
      </c>
      <c r="J524" t="s">
        <v>23453</v>
      </c>
      <c r="K524" t="s">
        <v>18640</v>
      </c>
      <c r="L524" t="s">
        <v>23454</v>
      </c>
      <c r="M524">
        <v>1</v>
      </c>
      <c r="N524" t="s">
        <v>17369</v>
      </c>
      <c r="O524" t="s">
        <v>23429</v>
      </c>
    </row>
    <row r="525" spans="1:15" x14ac:dyDescent="0.25">
      <c r="A525" t="s">
        <v>9313</v>
      </c>
      <c r="B525" t="s">
        <v>9314</v>
      </c>
      <c r="C525" s="18" t="str">
        <f>HYPERLINK("https://rhld.insurance.arkansas.gov/NPILookup?Npi=1023311065","1023311065")</f>
        <v>1023311065</v>
      </c>
      <c r="D525" t="s">
        <v>23341</v>
      </c>
      <c r="E525" t="s">
        <v>17366</v>
      </c>
      <c r="F525">
        <v>1</v>
      </c>
      <c r="G525">
        <v>3</v>
      </c>
      <c r="H525">
        <v>0</v>
      </c>
      <c r="I525">
        <v>0</v>
      </c>
      <c r="J525" t="s">
        <v>23390</v>
      </c>
      <c r="K525" t="s">
        <v>18640</v>
      </c>
      <c r="L525" t="s">
        <v>18640</v>
      </c>
      <c r="M525">
        <v>3</v>
      </c>
      <c r="N525" t="s">
        <v>17367</v>
      </c>
      <c r="O525" t="s">
        <v>23391</v>
      </c>
    </row>
    <row r="526" spans="1:15" x14ac:dyDescent="0.25">
      <c r="A526" t="s">
        <v>9313</v>
      </c>
      <c r="B526" t="s">
        <v>9314</v>
      </c>
      <c r="C526" s="18" t="str">
        <f>HYPERLINK("https://rhld.insurance.arkansas.gov/NPILookup?Npi=1023334315","1023334315")</f>
        <v>1023334315</v>
      </c>
      <c r="D526" t="s">
        <v>23342</v>
      </c>
      <c r="E526" t="s">
        <v>17366</v>
      </c>
      <c r="F526">
        <v>1</v>
      </c>
      <c r="G526">
        <v>3</v>
      </c>
      <c r="H526">
        <v>0</v>
      </c>
      <c r="I526">
        <v>0</v>
      </c>
      <c r="J526" t="s">
        <v>18634</v>
      </c>
      <c r="K526" t="s">
        <v>18640</v>
      </c>
      <c r="L526" t="s">
        <v>18640</v>
      </c>
      <c r="M526">
        <v>3</v>
      </c>
      <c r="N526" t="s">
        <v>17367</v>
      </c>
      <c r="O526" t="s">
        <v>23391</v>
      </c>
    </row>
    <row r="527" spans="1:15" x14ac:dyDescent="0.25">
      <c r="A527" t="s">
        <v>9313</v>
      </c>
      <c r="B527" t="s">
        <v>9314</v>
      </c>
      <c r="C527" s="18" t="str">
        <f>HYPERLINK("https://rhld.insurance.arkansas.gov/NPILookup?Npi=1033323076","1033323076")</f>
        <v>1033323076</v>
      </c>
      <c r="D527" t="s">
        <v>22752</v>
      </c>
      <c r="E527" t="s">
        <v>19184</v>
      </c>
      <c r="F527">
        <v>1</v>
      </c>
      <c r="G527">
        <v>2</v>
      </c>
      <c r="H527">
        <v>0</v>
      </c>
      <c r="I527">
        <v>0</v>
      </c>
      <c r="J527" t="s">
        <v>23455</v>
      </c>
      <c r="K527" t="s">
        <v>18640</v>
      </c>
      <c r="L527" t="s">
        <v>18640</v>
      </c>
      <c r="M527">
        <v>2</v>
      </c>
      <c r="N527" t="s">
        <v>17367</v>
      </c>
      <c r="O527" t="s">
        <v>23391</v>
      </c>
    </row>
    <row r="528" spans="1:15" x14ac:dyDescent="0.25">
      <c r="A528" t="s">
        <v>9313</v>
      </c>
      <c r="B528" t="s">
        <v>9314</v>
      </c>
      <c r="C528" s="18" t="str">
        <f>HYPERLINK("https://rhld.insurance.arkansas.gov/NPILookup?Npi=1053500975","1053500975")</f>
        <v>1053500975</v>
      </c>
      <c r="D528" t="s">
        <v>22874</v>
      </c>
      <c r="E528" t="s">
        <v>17366</v>
      </c>
      <c r="F528">
        <v>1</v>
      </c>
      <c r="G528">
        <v>3</v>
      </c>
      <c r="H528">
        <v>0</v>
      </c>
      <c r="I528">
        <v>0</v>
      </c>
      <c r="J528" t="s">
        <v>18634</v>
      </c>
      <c r="K528" t="s">
        <v>18640</v>
      </c>
      <c r="L528" t="s">
        <v>18640</v>
      </c>
      <c r="M528">
        <v>3</v>
      </c>
      <c r="N528" t="s">
        <v>17367</v>
      </c>
      <c r="O528" t="s">
        <v>23391</v>
      </c>
    </row>
    <row r="529" spans="1:15" x14ac:dyDescent="0.25">
      <c r="A529" t="s">
        <v>9313</v>
      </c>
      <c r="B529" t="s">
        <v>9314</v>
      </c>
      <c r="C529" s="18" t="str">
        <f>HYPERLINK("https://rhld.insurance.arkansas.gov/NPILookup?Npi=1073662391","1073662391")</f>
        <v>1073662391</v>
      </c>
      <c r="D529" t="s">
        <v>9362</v>
      </c>
      <c r="E529" t="s">
        <v>19184</v>
      </c>
      <c r="F529">
        <v>1</v>
      </c>
      <c r="G529">
        <v>2</v>
      </c>
      <c r="H529">
        <v>0</v>
      </c>
      <c r="I529">
        <v>0</v>
      </c>
      <c r="J529" t="s">
        <v>23455</v>
      </c>
      <c r="K529" t="s">
        <v>18640</v>
      </c>
      <c r="L529" t="s">
        <v>18640</v>
      </c>
      <c r="M529">
        <v>2</v>
      </c>
      <c r="N529" t="s">
        <v>17367</v>
      </c>
      <c r="O529" t="s">
        <v>23391</v>
      </c>
    </row>
    <row r="530" spans="1:15" x14ac:dyDescent="0.25">
      <c r="A530" t="s">
        <v>9313</v>
      </c>
      <c r="B530" t="s">
        <v>9314</v>
      </c>
      <c r="C530" s="18" t="str">
        <f>HYPERLINK("https://rhld.insurance.arkansas.gov/NPILookup?Npi=1083135933","1083135933")</f>
        <v>1083135933</v>
      </c>
      <c r="D530" t="s">
        <v>22756</v>
      </c>
      <c r="E530" t="s">
        <v>19184</v>
      </c>
      <c r="F530">
        <v>1</v>
      </c>
      <c r="G530">
        <v>2</v>
      </c>
      <c r="H530">
        <v>0</v>
      </c>
      <c r="I530">
        <v>0</v>
      </c>
      <c r="J530" t="s">
        <v>23453</v>
      </c>
      <c r="K530" t="s">
        <v>18640</v>
      </c>
      <c r="L530" t="s">
        <v>18640</v>
      </c>
      <c r="M530">
        <v>2</v>
      </c>
      <c r="N530" t="s">
        <v>17367</v>
      </c>
      <c r="O530" t="s">
        <v>23391</v>
      </c>
    </row>
    <row r="531" spans="1:15" x14ac:dyDescent="0.25">
      <c r="A531" t="s">
        <v>9313</v>
      </c>
      <c r="B531" t="s">
        <v>9314</v>
      </c>
      <c r="C531" s="18" t="str">
        <f>HYPERLINK("https://rhld.insurance.arkansas.gov/NPILookup?Npi=1093093247","1093093247")</f>
        <v>1093093247</v>
      </c>
      <c r="D531" t="s">
        <v>12209</v>
      </c>
      <c r="E531" t="s">
        <v>19184</v>
      </c>
      <c r="F531">
        <v>1</v>
      </c>
      <c r="G531">
        <v>2</v>
      </c>
      <c r="H531">
        <v>0</v>
      </c>
      <c r="I531">
        <v>0</v>
      </c>
      <c r="J531" t="s">
        <v>23455</v>
      </c>
      <c r="K531" t="s">
        <v>18640</v>
      </c>
      <c r="L531" t="s">
        <v>18640</v>
      </c>
      <c r="M531">
        <v>2</v>
      </c>
      <c r="N531" t="s">
        <v>17367</v>
      </c>
      <c r="O531" t="s">
        <v>23391</v>
      </c>
    </row>
    <row r="532" spans="1:15" x14ac:dyDescent="0.25">
      <c r="A532" t="s">
        <v>9313</v>
      </c>
      <c r="B532" t="s">
        <v>9314</v>
      </c>
      <c r="C532" s="18" t="str">
        <f>HYPERLINK("https://rhld.insurance.arkansas.gov/NPILookup?Npi=1093934853","1093934853")</f>
        <v>1093934853</v>
      </c>
      <c r="D532" t="s">
        <v>12211</v>
      </c>
      <c r="E532" t="s">
        <v>19184</v>
      </c>
      <c r="F532">
        <v>1</v>
      </c>
      <c r="G532">
        <v>2</v>
      </c>
      <c r="H532">
        <v>0</v>
      </c>
      <c r="I532">
        <v>0</v>
      </c>
      <c r="J532" t="s">
        <v>23455</v>
      </c>
      <c r="K532" t="s">
        <v>18640</v>
      </c>
      <c r="L532" t="s">
        <v>18640</v>
      </c>
      <c r="M532">
        <v>2</v>
      </c>
      <c r="N532" t="s">
        <v>17367</v>
      </c>
      <c r="O532" t="s">
        <v>23391</v>
      </c>
    </row>
    <row r="533" spans="1:15" x14ac:dyDescent="0.25">
      <c r="A533" t="s">
        <v>9313</v>
      </c>
      <c r="B533" t="s">
        <v>9314</v>
      </c>
      <c r="C533" s="18" t="str">
        <f>HYPERLINK("https://rhld.insurance.arkansas.gov/NPILookup?Npi=1124711148","1124711148")</f>
        <v>1124711148</v>
      </c>
      <c r="D533" t="s">
        <v>23343</v>
      </c>
      <c r="E533" t="s">
        <v>17366</v>
      </c>
      <c r="F533">
        <v>2</v>
      </c>
      <c r="G533">
        <v>3</v>
      </c>
      <c r="H533">
        <v>0</v>
      </c>
      <c r="I533">
        <v>0</v>
      </c>
      <c r="J533" t="s">
        <v>23456</v>
      </c>
      <c r="K533" t="s">
        <v>18640</v>
      </c>
      <c r="L533" t="s">
        <v>18640</v>
      </c>
      <c r="M533">
        <v>3</v>
      </c>
      <c r="N533" t="s">
        <v>17367</v>
      </c>
      <c r="O533" t="s">
        <v>23391</v>
      </c>
    </row>
    <row r="534" spans="1:15" x14ac:dyDescent="0.25">
      <c r="A534" t="s">
        <v>9313</v>
      </c>
      <c r="B534" t="s">
        <v>9314</v>
      </c>
      <c r="C534" s="18" t="str">
        <f>HYPERLINK("https://rhld.insurance.arkansas.gov/NPILookup?Npi=1134806524","1134806524")</f>
        <v>1134806524</v>
      </c>
      <c r="D534" t="s">
        <v>23344</v>
      </c>
      <c r="E534" t="s">
        <v>17366</v>
      </c>
      <c r="F534">
        <v>2</v>
      </c>
      <c r="G534">
        <v>3</v>
      </c>
      <c r="H534">
        <v>0</v>
      </c>
      <c r="I534">
        <v>0</v>
      </c>
      <c r="J534" t="s">
        <v>23456</v>
      </c>
      <c r="K534" t="s">
        <v>18640</v>
      </c>
      <c r="L534" t="s">
        <v>18640</v>
      </c>
      <c r="M534">
        <v>3</v>
      </c>
      <c r="N534" t="s">
        <v>17367</v>
      </c>
      <c r="O534" t="s">
        <v>23391</v>
      </c>
    </row>
    <row r="535" spans="1:15" x14ac:dyDescent="0.25">
      <c r="A535" t="s">
        <v>9313</v>
      </c>
      <c r="B535" t="s">
        <v>9314</v>
      </c>
      <c r="C535" s="18" t="str">
        <f>HYPERLINK("https://rhld.insurance.arkansas.gov/NPILookup?Npi=1154429900","1154429900")</f>
        <v>1154429900</v>
      </c>
      <c r="D535" t="s">
        <v>12249</v>
      </c>
      <c r="E535" t="s">
        <v>19184</v>
      </c>
      <c r="F535">
        <v>1</v>
      </c>
      <c r="G535">
        <v>2</v>
      </c>
      <c r="H535">
        <v>0</v>
      </c>
      <c r="I535">
        <v>0</v>
      </c>
      <c r="J535" t="s">
        <v>23453</v>
      </c>
      <c r="K535" t="s">
        <v>18640</v>
      </c>
      <c r="L535" t="s">
        <v>18640</v>
      </c>
      <c r="M535">
        <v>2</v>
      </c>
      <c r="N535" t="s">
        <v>17367</v>
      </c>
      <c r="O535" t="s">
        <v>23391</v>
      </c>
    </row>
    <row r="536" spans="1:15" x14ac:dyDescent="0.25">
      <c r="A536" t="s">
        <v>9313</v>
      </c>
      <c r="B536" t="s">
        <v>9314</v>
      </c>
      <c r="C536" s="18" t="str">
        <f>HYPERLINK("https://rhld.insurance.arkansas.gov/NPILookup?Npi=1174638498","1174638498")</f>
        <v>1174638498</v>
      </c>
      <c r="D536" t="s">
        <v>9429</v>
      </c>
      <c r="E536" t="s">
        <v>19184</v>
      </c>
      <c r="F536">
        <v>1</v>
      </c>
      <c r="G536">
        <v>2</v>
      </c>
      <c r="H536">
        <v>1</v>
      </c>
      <c r="I536">
        <v>0</v>
      </c>
      <c r="J536" t="s">
        <v>23455</v>
      </c>
      <c r="K536" t="s">
        <v>18640</v>
      </c>
      <c r="L536" t="s">
        <v>23457</v>
      </c>
      <c r="M536">
        <v>1</v>
      </c>
      <c r="N536" t="s">
        <v>17367</v>
      </c>
      <c r="O536" t="s">
        <v>23458</v>
      </c>
    </row>
    <row r="537" spans="1:15" x14ac:dyDescent="0.25">
      <c r="A537" t="s">
        <v>9313</v>
      </c>
      <c r="B537" t="s">
        <v>9314</v>
      </c>
      <c r="C537" s="18" t="str">
        <f>HYPERLINK("https://rhld.insurance.arkansas.gov/NPILookup?Npi=1184091084","1184091084")</f>
        <v>1184091084</v>
      </c>
      <c r="D537" t="s">
        <v>23459</v>
      </c>
      <c r="E537" t="s">
        <v>19184</v>
      </c>
      <c r="F537">
        <v>1</v>
      </c>
      <c r="G537">
        <v>0</v>
      </c>
      <c r="H537">
        <v>0</v>
      </c>
      <c r="I537">
        <v>0</v>
      </c>
      <c r="J537" t="s">
        <v>23460</v>
      </c>
      <c r="K537" t="s">
        <v>18640</v>
      </c>
      <c r="L537" t="s">
        <v>18640</v>
      </c>
      <c r="M537">
        <v>0</v>
      </c>
      <c r="N537" t="s">
        <v>17367</v>
      </c>
      <c r="O537" t="s">
        <v>23461</v>
      </c>
    </row>
    <row r="538" spans="1:15" x14ac:dyDescent="0.25">
      <c r="A538" t="s">
        <v>9313</v>
      </c>
      <c r="B538" t="s">
        <v>9314</v>
      </c>
      <c r="C538" s="18" t="str">
        <f>HYPERLINK("https://rhld.insurance.arkansas.gov/NPILookup?Npi=1184186777","1184186777")</f>
        <v>1184186777</v>
      </c>
      <c r="D538" t="s">
        <v>20805</v>
      </c>
      <c r="E538" t="s">
        <v>19184</v>
      </c>
      <c r="F538">
        <v>1</v>
      </c>
      <c r="G538">
        <v>1</v>
      </c>
      <c r="H538">
        <v>2</v>
      </c>
      <c r="I538">
        <v>0</v>
      </c>
      <c r="J538" t="s">
        <v>23462</v>
      </c>
      <c r="K538" t="s">
        <v>18640</v>
      </c>
      <c r="L538" t="s">
        <v>23463</v>
      </c>
      <c r="M538">
        <v>-1</v>
      </c>
      <c r="N538" t="s">
        <v>17369</v>
      </c>
      <c r="O538" t="s">
        <v>21361</v>
      </c>
    </row>
    <row r="539" spans="1:15" x14ac:dyDescent="0.25">
      <c r="A539" t="s">
        <v>9313</v>
      </c>
      <c r="B539" t="s">
        <v>9314</v>
      </c>
      <c r="C539" s="18" t="str">
        <f>HYPERLINK("https://rhld.insurance.arkansas.gov/NPILookup?Npi=1184727315","1184727315")</f>
        <v>1184727315</v>
      </c>
      <c r="D539" t="s">
        <v>23464</v>
      </c>
      <c r="E539" t="s">
        <v>19184</v>
      </c>
      <c r="F539">
        <v>1</v>
      </c>
      <c r="G539">
        <v>0</v>
      </c>
      <c r="H539">
        <v>0</v>
      </c>
      <c r="I539">
        <v>0</v>
      </c>
      <c r="J539" t="s">
        <v>23460</v>
      </c>
      <c r="K539" t="s">
        <v>18640</v>
      </c>
      <c r="L539" t="s">
        <v>18640</v>
      </c>
      <c r="M539">
        <v>0</v>
      </c>
      <c r="N539" t="s">
        <v>17367</v>
      </c>
      <c r="O539" t="s">
        <v>23461</v>
      </c>
    </row>
    <row r="540" spans="1:15" x14ac:dyDescent="0.25">
      <c r="A540" t="s">
        <v>9313</v>
      </c>
      <c r="B540" t="s">
        <v>9314</v>
      </c>
      <c r="C540" s="18" t="str">
        <f>HYPERLINK("https://rhld.insurance.arkansas.gov/NPILookup?Npi=1194418830","1194418830")</f>
        <v>1194418830</v>
      </c>
      <c r="D540" t="s">
        <v>23345</v>
      </c>
      <c r="E540" t="s">
        <v>17366</v>
      </c>
      <c r="F540">
        <v>2</v>
      </c>
      <c r="G540">
        <v>3</v>
      </c>
      <c r="H540">
        <v>0</v>
      </c>
      <c r="I540">
        <v>0</v>
      </c>
      <c r="J540" t="s">
        <v>23456</v>
      </c>
      <c r="K540" t="s">
        <v>18640</v>
      </c>
      <c r="L540" t="s">
        <v>18640</v>
      </c>
      <c r="M540">
        <v>3</v>
      </c>
      <c r="N540" t="s">
        <v>17367</v>
      </c>
      <c r="O540" t="s">
        <v>23391</v>
      </c>
    </row>
    <row r="541" spans="1:15" x14ac:dyDescent="0.25">
      <c r="A541" t="s">
        <v>9313</v>
      </c>
      <c r="B541" t="s">
        <v>9314</v>
      </c>
      <c r="C541" s="18" t="str">
        <f>HYPERLINK("https://rhld.insurance.arkansas.gov/NPILookup?Npi=1225180169","1225180169")</f>
        <v>1225180169</v>
      </c>
      <c r="D541" t="s">
        <v>9464</v>
      </c>
      <c r="E541" t="s">
        <v>19184</v>
      </c>
      <c r="F541">
        <v>1</v>
      </c>
      <c r="G541">
        <v>3</v>
      </c>
      <c r="H541">
        <v>0</v>
      </c>
      <c r="I541">
        <v>0</v>
      </c>
      <c r="J541" t="s">
        <v>23453</v>
      </c>
      <c r="K541" t="s">
        <v>18640</v>
      </c>
      <c r="L541" t="s">
        <v>18640</v>
      </c>
      <c r="M541">
        <v>3</v>
      </c>
      <c r="N541" t="s">
        <v>17367</v>
      </c>
      <c r="O541" t="s">
        <v>23391</v>
      </c>
    </row>
    <row r="542" spans="1:15" x14ac:dyDescent="0.25">
      <c r="A542" t="s">
        <v>9313</v>
      </c>
      <c r="B542" t="s">
        <v>9314</v>
      </c>
      <c r="C542" s="18" t="str">
        <f>HYPERLINK("https://rhld.insurance.arkansas.gov/NPILookup?Npi=1225714686","1225714686")</f>
        <v>1225714686</v>
      </c>
      <c r="D542" t="s">
        <v>23347</v>
      </c>
      <c r="E542" t="s">
        <v>17366</v>
      </c>
      <c r="F542">
        <v>2</v>
      </c>
      <c r="G542">
        <v>3</v>
      </c>
      <c r="H542">
        <v>0</v>
      </c>
      <c r="I542">
        <v>0</v>
      </c>
      <c r="J542" t="s">
        <v>23456</v>
      </c>
      <c r="K542" t="s">
        <v>18640</v>
      </c>
      <c r="L542" t="s">
        <v>18640</v>
      </c>
      <c r="M542">
        <v>3</v>
      </c>
      <c r="N542" t="s">
        <v>17367</v>
      </c>
      <c r="O542" t="s">
        <v>23391</v>
      </c>
    </row>
    <row r="543" spans="1:15" x14ac:dyDescent="0.25">
      <c r="A543" t="s">
        <v>9313</v>
      </c>
      <c r="B543" t="s">
        <v>9314</v>
      </c>
      <c r="C543" s="18" t="str">
        <f>HYPERLINK("https://rhld.insurance.arkansas.gov/NPILookup?Npi=1235242421","1235242421")</f>
        <v>1235242421</v>
      </c>
      <c r="D543" t="s">
        <v>9469</v>
      </c>
      <c r="E543" t="s">
        <v>17366</v>
      </c>
      <c r="F543">
        <v>1</v>
      </c>
      <c r="G543">
        <v>3</v>
      </c>
      <c r="H543">
        <v>0</v>
      </c>
      <c r="I543">
        <v>0</v>
      </c>
      <c r="J543" t="s">
        <v>18634</v>
      </c>
      <c r="K543" t="s">
        <v>18640</v>
      </c>
      <c r="L543" t="s">
        <v>18640</v>
      </c>
      <c r="M543">
        <v>3</v>
      </c>
      <c r="N543" t="s">
        <v>17367</v>
      </c>
      <c r="O543" t="s">
        <v>23391</v>
      </c>
    </row>
    <row r="544" spans="1:15" x14ac:dyDescent="0.25">
      <c r="A544" t="s">
        <v>9313</v>
      </c>
      <c r="B544" t="s">
        <v>9314</v>
      </c>
      <c r="C544" s="18" t="str">
        <f>HYPERLINK("https://rhld.insurance.arkansas.gov/NPILookup?Npi=1245300581","1245300581")</f>
        <v>1245300581</v>
      </c>
      <c r="D544" t="s">
        <v>23392</v>
      </c>
      <c r="E544" t="s">
        <v>17368</v>
      </c>
      <c r="F544">
        <v>1</v>
      </c>
      <c r="G544">
        <v>0</v>
      </c>
      <c r="H544">
        <v>0</v>
      </c>
      <c r="I544">
        <v>0</v>
      </c>
      <c r="J544" t="s">
        <v>23465</v>
      </c>
      <c r="K544" t="s">
        <v>18640</v>
      </c>
      <c r="L544" t="s">
        <v>18640</v>
      </c>
      <c r="M544">
        <v>0</v>
      </c>
      <c r="N544" t="s">
        <v>17367</v>
      </c>
      <c r="O544" t="s">
        <v>23461</v>
      </c>
    </row>
    <row r="545" spans="1:15" x14ac:dyDescent="0.25">
      <c r="A545" t="s">
        <v>9313</v>
      </c>
      <c r="B545" t="s">
        <v>9314</v>
      </c>
      <c r="C545" s="18" t="str">
        <f>HYPERLINK("https://rhld.insurance.arkansas.gov/NPILookup?Npi=1255018883","1255018883")</f>
        <v>1255018883</v>
      </c>
      <c r="D545" t="s">
        <v>23348</v>
      </c>
      <c r="E545" t="s">
        <v>17366</v>
      </c>
      <c r="F545">
        <v>1</v>
      </c>
      <c r="G545">
        <v>3</v>
      </c>
      <c r="H545">
        <v>0</v>
      </c>
      <c r="I545">
        <v>0</v>
      </c>
      <c r="J545" t="s">
        <v>18634</v>
      </c>
      <c r="K545" t="s">
        <v>18640</v>
      </c>
      <c r="L545" t="s">
        <v>18640</v>
      </c>
      <c r="M545">
        <v>3</v>
      </c>
      <c r="N545" t="s">
        <v>17367</v>
      </c>
      <c r="O545" t="s">
        <v>23391</v>
      </c>
    </row>
    <row r="546" spans="1:15" x14ac:dyDescent="0.25">
      <c r="A546" t="s">
        <v>9313</v>
      </c>
      <c r="B546" t="s">
        <v>9314</v>
      </c>
      <c r="C546" s="18" t="str">
        <f>HYPERLINK("https://rhld.insurance.arkansas.gov/NPILookup?Npi=1255462925","1255462925")</f>
        <v>1255462925</v>
      </c>
      <c r="D546" t="s">
        <v>17822</v>
      </c>
      <c r="E546" t="s">
        <v>17368</v>
      </c>
      <c r="F546">
        <v>1</v>
      </c>
      <c r="G546">
        <v>1</v>
      </c>
      <c r="H546">
        <v>1</v>
      </c>
      <c r="I546">
        <v>0</v>
      </c>
      <c r="J546" t="s">
        <v>23460</v>
      </c>
      <c r="K546" t="s">
        <v>18640</v>
      </c>
      <c r="L546" t="s">
        <v>23466</v>
      </c>
      <c r="M546">
        <v>0</v>
      </c>
      <c r="N546" t="s">
        <v>17369</v>
      </c>
      <c r="O546" t="s">
        <v>21361</v>
      </c>
    </row>
    <row r="547" spans="1:15" x14ac:dyDescent="0.25">
      <c r="A547" t="s">
        <v>9313</v>
      </c>
      <c r="B547" t="s">
        <v>9314</v>
      </c>
      <c r="C547" s="18" t="str">
        <f>HYPERLINK("https://rhld.insurance.arkansas.gov/NPILookup?Npi=1255693875","1255693875")</f>
        <v>1255693875</v>
      </c>
      <c r="D547" t="s">
        <v>12302</v>
      </c>
      <c r="E547" t="s">
        <v>19184</v>
      </c>
      <c r="F547">
        <v>1</v>
      </c>
      <c r="G547">
        <v>1</v>
      </c>
      <c r="H547">
        <v>1</v>
      </c>
      <c r="I547">
        <v>0</v>
      </c>
      <c r="J547" t="s">
        <v>23460</v>
      </c>
      <c r="K547" t="s">
        <v>18640</v>
      </c>
      <c r="L547" t="s">
        <v>23466</v>
      </c>
      <c r="M547">
        <v>0</v>
      </c>
      <c r="N547" t="s">
        <v>17369</v>
      </c>
      <c r="O547" t="s">
        <v>21361</v>
      </c>
    </row>
    <row r="548" spans="1:15" x14ac:dyDescent="0.25">
      <c r="A548" t="s">
        <v>9313</v>
      </c>
      <c r="B548" t="s">
        <v>9314</v>
      </c>
      <c r="C548" s="18" t="str">
        <f>HYPERLINK("https://rhld.insurance.arkansas.gov/NPILookup?Npi=1255907721","1255907721")</f>
        <v>1255907721</v>
      </c>
      <c r="D548" t="s">
        <v>18579</v>
      </c>
      <c r="E548" t="s">
        <v>19184</v>
      </c>
      <c r="F548">
        <v>1</v>
      </c>
      <c r="G548">
        <v>2</v>
      </c>
      <c r="H548">
        <v>0</v>
      </c>
      <c r="I548">
        <v>0</v>
      </c>
      <c r="J548" t="s">
        <v>23467</v>
      </c>
      <c r="K548" t="s">
        <v>18640</v>
      </c>
      <c r="L548" t="s">
        <v>18640</v>
      </c>
      <c r="M548">
        <v>2</v>
      </c>
      <c r="N548" t="s">
        <v>17367</v>
      </c>
      <c r="O548" t="s">
        <v>23391</v>
      </c>
    </row>
    <row r="549" spans="1:15" x14ac:dyDescent="0.25">
      <c r="A549" t="s">
        <v>9313</v>
      </c>
      <c r="B549" t="s">
        <v>9314</v>
      </c>
      <c r="C549" s="18" t="str">
        <f>HYPERLINK("https://rhld.insurance.arkansas.gov/NPILookup?Npi=1265797450","1265797450")</f>
        <v>1265797450</v>
      </c>
      <c r="D549" t="s">
        <v>12308</v>
      </c>
      <c r="E549" t="s">
        <v>19184</v>
      </c>
      <c r="F549">
        <v>1</v>
      </c>
      <c r="G549">
        <v>2</v>
      </c>
      <c r="H549">
        <v>0</v>
      </c>
      <c r="I549">
        <v>0</v>
      </c>
      <c r="J549" t="s">
        <v>23453</v>
      </c>
      <c r="K549" t="s">
        <v>18640</v>
      </c>
      <c r="L549" t="s">
        <v>18640</v>
      </c>
      <c r="M549">
        <v>2</v>
      </c>
      <c r="N549" t="s">
        <v>17367</v>
      </c>
      <c r="O549" t="s">
        <v>23391</v>
      </c>
    </row>
    <row r="550" spans="1:15" x14ac:dyDescent="0.25">
      <c r="A550" t="s">
        <v>9313</v>
      </c>
      <c r="B550" t="s">
        <v>9314</v>
      </c>
      <c r="C550" s="18" t="str">
        <f>HYPERLINK("https://rhld.insurance.arkansas.gov/NPILookup?Npi=1275233785","1275233785")</f>
        <v>1275233785</v>
      </c>
      <c r="D550" t="s">
        <v>23349</v>
      </c>
      <c r="E550" t="s">
        <v>17366</v>
      </c>
      <c r="F550">
        <v>1</v>
      </c>
      <c r="G550">
        <v>3</v>
      </c>
      <c r="H550">
        <v>0</v>
      </c>
      <c r="I550">
        <v>0</v>
      </c>
      <c r="J550" t="s">
        <v>18634</v>
      </c>
      <c r="K550" t="s">
        <v>18640</v>
      </c>
      <c r="L550" t="s">
        <v>18640</v>
      </c>
      <c r="M550">
        <v>3</v>
      </c>
      <c r="N550" t="s">
        <v>17367</v>
      </c>
      <c r="O550" t="s">
        <v>23391</v>
      </c>
    </row>
    <row r="551" spans="1:15" x14ac:dyDescent="0.25">
      <c r="A551" t="s">
        <v>9313</v>
      </c>
      <c r="B551" t="s">
        <v>9314</v>
      </c>
      <c r="C551" s="18" t="str">
        <f>HYPERLINK("https://rhld.insurance.arkansas.gov/NPILookup?Npi=1275540908","1275540908")</f>
        <v>1275540908</v>
      </c>
      <c r="D551" t="s">
        <v>23468</v>
      </c>
      <c r="E551" t="s">
        <v>19184</v>
      </c>
      <c r="F551">
        <v>1</v>
      </c>
      <c r="G551">
        <v>0</v>
      </c>
      <c r="H551">
        <v>0</v>
      </c>
      <c r="I551">
        <v>0</v>
      </c>
      <c r="J551" t="s">
        <v>23460</v>
      </c>
      <c r="K551" t="s">
        <v>18640</v>
      </c>
      <c r="L551" t="s">
        <v>18640</v>
      </c>
      <c r="M551">
        <v>0</v>
      </c>
      <c r="N551" t="s">
        <v>17367</v>
      </c>
      <c r="O551" t="s">
        <v>23461</v>
      </c>
    </row>
    <row r="552" spans="1:15" x14ac:dyDescent="0.25">
      <c r="A552" t="s">
        <v>9313</v>
      </c>
      <c r="B552" t="s">
        <v>9314</v>
      </c>
      <c r="C552" s="18" t="str">
        <f>HYPERLINK("https://rhld.insurance.arkansas.gov/NPILookup?Npi=1275559577","1275559577")</f>
        <v>1275559577</v>
      </c>
      <c r="D552" t="s">
        <v>23350</v>
      </c>
      <c r="E552" t="s">
        <v>17366</v>
      </c>
      <c r="F552">
        <v>1</v>
      </c>
      <c r="G552">
        <v>3</v>
      </c>
      <c r="H552">
        <v>0</v>
      </c>
      <c r="I552">
        <v>0</v>
      </c>
      <c r="J552" t="s">
        <v>18634</v>
      </c>
      <c r="K552" t="s">
        <v>18640</v>
      </c>
      <c r="L552" t="s">
        <v>18640</v>
      </c>
      <c r="M552">
        <v>3</v>
      </c>
      <c r="N552" t="s">
        <v>17367</v>
      </c>
      <c r="O552" t="s">
        <v>23391</v>
      </c>
    </row>
    <row r="553" spans="1:15" x14ac:dyDescent="0.25">
      <c r="A553" t="s">
        <v>9313</v>
      </c>
      <c r="B553" t="s">
        <v>9314</v>
      </c>
      <c r="C553" s="18" t="str">
        <f>HYPERLINK("https://rhld.insurance.arkansas.gov/NPILookup?Npi=1275573917","1275573917")</f>
        <v>1275573917</v>
      </c>
      <c r="D553" t="s">
        <v>23351</v>
      </c>
      <c r="E553" t="s">
        <v>17366</v>
      </c>
      <c r="F553">
        <v>1</v>
      </c>
      <c r="G553">
        <v>3</v>
      </c>
      <c r="H553">
        <v>0</v>
      </c>
      <c r="I553">
        <v>0</v>
      </c>
      <c r="J553" t="s">
        <v>18634</v>
      </c>
      <c r="K553" t="s">
        <v>18640</v>
      </c>
      <c r="L553" t="s">
        <v>18640</v>
      </c>
      <c r="M553">
        <v>3</v>
      </c>
      <c r="N553" t="s">
        <v>17367</v>
      </c>
      <c r="O553" t="s">
        <v>23391</v>
      </c>
    </row>
    <row r="554" spans="1:15" x14ac:dyDescent="0.25">
      <c r="A554" t="s">
        <v>9313</v>
      </c>
      <c r="B554" t="s">
        <v>9314</v>
      </c>
      <c r="C554" s="18" t="str">
        <f>HYPERLINK("https://rhld.insurance.arkansas.gov/NPILookup?Npi=1275796526","1275796526")</f>
        <v>1275796526</v>
      </c>
      <c r="D554" t="s">
        <v>23469</v>
      </c>
      <c r="E554" t="s">
        <v>17366</v>
      </c>
      <c r="F554">
        <v>1</v>
      </c>
      <c r="G554">
        <v>2</v>
      </c>
      <c r="H554">
        <v>1</v>
      </c>
      <c r="I554">
        <v>0</v>
      </c>
      <c r="J554" t="s">
        <v>18634</v>
      </c>
      <c r="K554" t="s">
        <v>18640</v>
      </c>
      <c r="L554" t="s">
        <v>23453</v>
      </c>
      <c r="M554">
        <v>1</v>
      </c>
      <c r="N554" t="s">
        <v>17369</v>
      </c>
      <c r="O554" t="s">
        <v>21361</v>
      </c>
    </row>
    <row r="555" spans="1:15" x14ac:dyDescent="0.25">
      <c r="A555" t="s">
        <v>9313</v>
      </c>
      <c r="B555" t="s">
        <v>9314</v>
      </c>
      <c r="C555" s="18" t="str">
        <f>HYPERLINK("https://rhld.insurance.arkansas.gov/NPILookup?Npi=1295022341","1295022341")</f>
        <v>1295022341</v>
      </c>
      <c r="D555" t="s">
        <v>12320</v>
      </c>
      <c r="E555" t="s">
        <v>19184</v>
      </c>
      <c r="F555">
        <v>1</v>
      </c>
      <c r="G555">
        <v>2</v>
      </c>
      <c r="H555">
        <v>0</v>
      </c>
      <c r="I555">
        <v>0</v>
      </c>
      <c r="J555" t="s">
        <v>23453</v>
      </c>
      <c r="K555" t="s">
        <v>18640</v>
      </c>
      <c r="L555" t="s">
        <v>18640</v>
      </c>
      <c r="M555">
        <v>2</v>
      </c>
      <c r="N555" t="s">
        <v>17367</v>
      </c>
      <c r="O555" t="s">
        <v>23391</v>
      </c>
    </row>
    <row r="556" spans="1:15" x14ac:dyDescent="0.25">
      <c r="A556" t="s">
        <v>9313</v>
      </c>
      <c r="B556" t="s">
        <v>9314</v>
      </c>
      <c r="C556" s="18" t="str">
        <f>HYPERLINK("https://rhld.insurance.arkansas.gov/NPILookup?Npi=1295826501","1295826501")</f>
        <v>1295826501</v>
      </c>
      <c r="D556" t="s">
        <v>23470</v>
      </c>
      <c r="E556" t="s">
        <v>19184</v>
      </c>
      <c r="F556">
        <v>1</v>
      </c>
      <c r="G556">
        <v>0</v>
      </c>
      <c r="H556">
        <v>0</v>
      </c>
      <c r="I556">
        <v>0</v>
      </c>
      <c r="J556" t="s">
        <v>23460</v>
      </c>
      <c r="K556" t="s">
        <v>18640</v>
      </c>
      <c r="L556" t="s">
        <v>18640</v>
      </c>
      <c r="M556">
        <v>0</v>
      </c>
      <c r="N556" t="s">
        <v>17367</v>
      </c>
      <c r="O556" t="s">
        <v>23461</v>
      </c>
    </row>
    <row r="557" spans="1:15" x14ac:dyDescent="0.25">
      <c r="A557" t="s">
        <v>9313</v>
      </c>
      <c r="B557" t="s">
        <v>9314</v>
      </c>
      <c r="C557" s="18" t="str">
        <f>HYPERLINK("https://rhld.insurance.arkansas.gov/NPILookup?Npi=1295998326","1295998326")</f>
        <v>1295998326</v>
      </c>
      <c r="D557" t="s">
        <v>1666</v>
      </c>
      <c r="E557" t="s">
        <v>17366</v>
      </c>
      <c r="F557">
        <v>1</v>
      </c>
      <c r="G557">
        <v>3</v>
      </c>
      <c r="H557">
        <v>0</v>
      </c>
      <c r="I557">
        <v>0</v>
      </c>
      <c r="J557" t="s">
        <v>18634</v>
      </c>
      <c r="K557" t="s">
        <v>18640</v>
      </c>
      <c r="L557" t="s">
        <v>18640</v>
      </c>
      <c r="M557">
        <v>3</v>
      </c>
      <c r="N557" t="s">
        <v>17367</v>
      </c>
      <c r="O557" t="s">
        <v>23391</v>
      </c>
    </row>
    <row r="558" spans="1:15" x14ac:dyDescent="0.25">
      <c r="A558" t="s">
        <v>9313</v>
      </c>
      <c r="B558" t="s">
        <v>9314</v>
      </c>
      <c r="C558" s="18" t="str">
        <f>HYPERLINK("https://rhld.insurance.arkansas.gov/NPILookup?Npi=1306951397","1306951397")</f>
        <v>1306951397</v>
      </c>
      <c r="D558" t="s">
        <v>9515</v>
      </c>
      <c r="E558" t="s">
        <v>19184</v>
      </c>
      <c r="F558">
        <v>1</v>
      </c>
      <c r="G558">
        <v>2</v>
      </c>
      <c r="H558">
        <v>0</v>
      </c>
      <c r="I558">
        <v>0</v>
      </c>
      <c r="J558" t="s">
        <v>23453</v>
      </c>
      <c r="K558" t="s">
        <v>18640</v>
      </c>
      <c r="L558" t="s">
        <v>18640</v>
      </c>
      <c r="M558">
        <v>2</v>
      </c>
      <c r="N558" t="s">
        <v>17367</v>
      </c>
      <c r="O558" t="s">
        <v>23391</v>
      </c>
    </row>
    <row r="559" spans="1:15" x14ac:dyDescent="0.25">
      <c r="A559" t="s">
        <v>9313</v>
      </c>
      <c r="B559" t="s">
        <v>9314</v>
      </c>
      <c r="C559" s="18" t="str">
        <f>HYPERLINK("https://rhld.insurance.arkansas.gov/NPILookup?Npi=1306977053","1306977053")</f>
        <v>1306977053</v>
      </c>
      <c r="D559" t="s">
        <v>23471</v>
      </c>
      <c r="E559" t="s">
        <v>19184</v>
      </c>
      <c r="F559">
        <v>1</v>
      </c>
      <c r="G559">
        <v>0</v>
      </c>
      <c r="H559">
        <v>0</v>
      </c>
      <c r="I559">
        <v>0</v>
      </c>
      <c r="J559" t="s">
        <v>23460</v>
      </c>
      <c r="K559" t="s">
        <v>18640</v>
      </c>
      <c r="L559" t="s">
        <v>18640</v>
      </c>
      <c r="M559">
        <v>0</v>
      </c>
      <c r="N559" t="s">
        <v>17367</v>
      </c>
      <c r="O559" t="s">
        <v>23461</v>
      </c>
    </row>
    <row r="560" spans="1:15" x14ac:dyDescent="0.25">
      <c r="A560" t="s">
        <v>9313</v>
      </c>
      <c r="B560" t="s">
        <v>9314</v>
      </c>
      <c r="C560" s="18" t="str">
        <f>HYPERLINK("https://rhld.insurance.arkansas.gov/NPILookup?Npi=1316559495","1316559495")</f>
        <v>1316559495</v>
      </c>
      <c r="D560" t="s">
        <v>23353</v>
      </c>
      <c r="E560" t="s">
        <v>17366</v>
      </c>
      <c r="F560">
        <v>1</v>
      </c>
      <c r="G560">
        <v>3</v>
      </c>
      <c r="H560">
        <v>0</v>
      </c>
      <c r="I560">
        <v>0</v>
      </c>
      <c r="J560" t="s">
        <v>18634</v>
      </c>
      <c r="K560" t="s">
        <v>18640</v>
      </c>
      <c r="L560" t="s">
        <v>18640</v>
      </c>
      <c r="M560">
        <v>3</v>
      </c>
      <c r="N560" t="s">
        <v>17367</v>
      </c>
      <c r="O560" t="s">
        <v>23391</v>
      </c>
    </row>
    <row r="561" spans="1:15" x14ac:dyDescent="0.25">
      <c r="A561" t="s">
        <v>9313</v>
      </c>
      <c r="B561" t="s">
        <v>9314</v>
      </c>
      <c r="C561" s="18" t="str">
        <f>HYPERLINK("https://rhld.insurance.arkansas.gov/NPILookup?Npi=1326250853","1326250853")</f>
        <v>1326250853</v>
      </c>
      <c r="D561" t="s">
        <v>9530</v>
      </c>
      <c r="E561" t="s">
        <v>19184</v>
      </c>
      <c r="F561">
        <v>1</v>
      </c>
      <c r="G561">
        <v>2</v>
      </c>
      <c r="H561">
        <v>1</v>
      </c>
      <c r="I561">
        <v>0</v>
      </c>
      <c r="J561" t="s">
        <v>23455</v>
      </c>
      <c r="K561" t="s">
        <v>18640</v>
      </c>
      <c r="L561" t="s">
        <v>23472</v>
      </c>
      <c r="M561">
        <v>1</v>
      </c>
      <c r="N561" t="s">
        <v>17367</v>
      </c>
      <c r="O561" t="s">
        <v>23458</v>
      </c>
    </row>
    <row r="562" spans="1:15" x14ac:dyDescent="0.25">
      <c r="A562" t="s">
        <v>9313</v>
      </c>
      <c r="B562" t="s">
        <v>9314</v>
      </c>
      <c r="C562" s="18" t="str">
        <f>HYPERLINK("https://rhld.insurance.arkansas.gov/NPILookup?Npi=1336390848","1336390848")</f>
        <v>1336390848</v>
      </c>
      <c r="D562" t="s">
        <v>9540</v>
      </c>
      <c r="E562" t="s">
        <v>19184</v>
      </c>
      <c r="F562">
        <v>1</v>
      </c>
      <c r="G562">
        <v>1</v>
      </c>
      <c r="H562">
        <v>2</v>
      </c>
      <c r="I562">
        <v>0</v>
      </c>
      <c r="J562" t="s">
        <v>23462</v>
      </c>
      <c r="K562" t="s">
        <v>18640</v>
      </c>
      <c r="L562" t="s">
        <v>23473</v>
      </c>
      <c r="M562">
        <v>-1</v>
      </c>
      <c r="N562" t="s">
        <v>17369</v>
      </c>
      <c r="O562" t="s">
        <v>21361</v>
      </c>
    </row>
    <row r="563" spans="1:15" x14ac:dyDescent="0.25">
      <c r="A563" t="s">
        <v>9313</v>
      </c>
      <c r="B563" t="s">
        <v>9314</v>
      </c>
      <c r="C563" s="18" t="str">
        <f>HYPERLINK("https://rhld.insurance.arkansas.gov/NPILookup?Npi=1356748784","1356748784")</f>
        <v>1356748784</v>
      </c>
      <c r="D563" t="s">
        <v>23354</v>
      </c>
      <c r="E563" t="s">
        <v>17366</v>
      </c>
      <c r="F563">
        <v>1</v>
      </c>
      <c r="G563">
        <v>3</v>
      </c>
      <c r="H563">
        <v>0</v>
      </c>
      <c r="I563">
        <v>0</v>
      </c>
      <c r="J563" t="s">
        <v>18634</v>
      </c>
      <c r="K563" t="s">
        <v>18640</v>
      </c>
      <c r="L563" t="s">
        <v>18640</v>
      </c>
      <c r="M563">
        <v>3</v>
      </c>
      <c r="N563" t="s">
        <v>17367</v>
      </c>
      <c r="O563" t="s">
        <v>23391</v>
      </c>
    </row>
    <row r="564" spans="1:15" x14ac:dyDescent="0.25">
      <c r="A564" t="s">
        <v>9313</v>
      </c>
      <c r="B564" t="s">
        <v>9314</v>
      </c>
      <c r="C564" s="18" t="str">
        <f>HYPERLINK("https://rhld.insurance.arkansas.gov/NPILookup?Npi=1407923717","1407923717")</f>
        <v>1407923717</v>
      </c>
      <c r="D564" t="s">
        <v>9587</v>
      </c>
      <c r="E564" t="s">
        <v>17366</v>
      </c>
      <c r="F564">
        <v>1</v>
      </c>
      <c r="G564">
        <v>3</v>
      </c>
      <c r="H564">
        <v>0</v>
      </c>
      <c r="I564">
        <v>0</v>
      </c>
      <c r="J564" t="s">
        <v>18634</v>
      </c>
      <c r="K564" t="s">
        <v>18640</v>
      </c>
      <c r="L564" t="s">
        <v>18640</v>
      </c>
      <c r="M564">
        <v>3</v>
      </c>
      <c r="N564" t="s">
        <v>17367</v>
      </c>
      <c r="O564" t="s">
        <v>23391</v>
      </c>
    </row>
    <row r="565" spans="1:15" x14ac:dyDescent="0.25">
      <c r="A565" t="s">
        <v>9313</v>
      </c>
      <c r="B565" t="s">
        <v>9314</v>
      </c>
      <c r="C565" s="18" t="str">
        <f>HYPERLINK("https://rhld.insurance.arkansas.gov/NPILookup?Npi=1417173618","1417173618")</f>
        <v>1417173618</v>
      </c>
      <c r="D565" t="s">
        <v>22770</v>
      </c>
      <c r="E565" t="s">
        <v>19184</v>
      </c>
      <c r="F565">
        <v>1</v>
      </c>
      <c r="G565">
        <v>3</v>
      </c>
      <c r="H565">
        <v>0</v>
      </c>
      <c r="I565">
        <v>0</v>
      </c>
      <c r="J565" t="s">
        <v>23467</v>
      </c>
      <c r="K565" t="s">
        <v>18640</v>
      </c>
      <c r="L565" t="s">
        <v>18640</v>
      </c>
      <c r="M565">
        <v>3</v>
      </c>
      <c r="N565" t="s">
        <v>17367</v>
      </c>
      <c r="O565" t="s">
        <v>23391</v>
      </c>
    </row>
    <row r="566" spans="1:15" x14ac:dyDescent="0.25">
      <c r="A566" t="s">
        <v>9313</v>
      </c>
      <c r="B566" t="s">
        <v>9314</v>
      </c>
      <c r="C566" s="18" t="str">
        <f>HYPERLINK("https://rhld.insurance.arkansas.gov/NPILookup?Npi=1417565482","1417565482")</f>
        <v>1417565482</v>
      </c>
      <c r="D566" t="s">
        <v>23356</v>
      </c>
      <c r="E566" t="s">
        <v>17366</v>
      </c>
      <c r="F566">
        <v>1</v>
      </c>
      <c r="G566">
        <v>3</v>
      </c>
      <c r="H566">
        <v>0</v>
      </c>
      <c r="I566">
        <v>0</v>
      </c>
      <c r="J566" t="s">
        <v>18634</v>
      </c>
      <c r="K566" t="s">
        <v>18640</v>
      </c>
      <c r="L566" t="s">
        <v>18640</v>
      </c>
      <c r="M566">
        <v>3</v>
      </c>
      <c r="N566" t="s">
        <v>17367</v>
      </c>
      <c r="O566" t="s">
        <v>23391</v>
      </c>
    </row>
    <row r="567" spans="1:15" x14ac:dyDescent="0.25">
      <c r="A567" t="s">
        <v>9313</v>
      </c>
      <c r="B567" t="s">
        <v>9314</v>
      </c>
      <c r="C567" s="18" t="str">
        <f>HYPERLINK("https://rhld.insurance.arkansas.gov/NPILookup?Npi=1427154285","1427154285")</f>
        <v>1427154285</v>
      </c>
      <c r="D567" t="s">
        <v>9603</v>
      </c>
      <c r="E567" t="s">
        <v>19184</v>
      </c>
      <c r="F567">
        <v>1</v>
      </c>
      <c r="G567">
        <v>2</v>
      </c>
      <c r="H567">
        <v>1</v>
      </c>
      <c r="I567">
        <v>0</v>
      </c>
      <c r="J567" t="s">
        <v>23455</v>
      </c>
      <c r="K567" t="s">
        <v>18640</v>
      </c>
      <c r="L567" t="s">
        <v>23472</v>
      </c>
      <c r="M567">
        <v>1</v>
      </c>
      <c r="N567" t="s">
        <v>17367</v>
      </c>
      <c r="O567" t="s">
        <v>23458</v>
      </c>
    </row>
    <row r="568" spans="1:15" x14ac:dyDescent="0.25">
      <c r="A568" t="s">
        <v>9313</v>
      </c>
      <c r="B568" t="s">
        <v>9314</v>
      </c>
      <c r="C568" s="18" t="str">
        <f>HYPERLINK("https://rhld.insurance.arkansas.gov/NPILookup?Npi=1427237866","1427237866")</f>
        <v>1427237866</v>
      </c>
      <c r="D568" t="s">
        <v>23474</v>
      </c>
      <c r="E568" t="s">
        <v>19184</v>
      </c>
      <c r="F568">
        <v>1</v>
      </c>
      <c r="G568">
        <v>0</v>
      </c>
      <c r="H568">
        <v>0</v>
      </c>
      <c r="I568">
        <v>0</v>
      </c>
      <c r="J568" t="s">
        <v>23460</v>
      </c>
      <c r="K568" t="s">
        <v>18640</v>
      </c>
      <c r="L568" t="s">
        <v>18640</v>
      </c>
      <c r="M568">
        <v>0</v>
      </c>
      <c r="N568" t="s">
        <v>17367</v>
      </c>
      <c r="O568" t="s">
        <v>23461</v>
      </c>
    </row>
    <row r="569" spans="1:15" x14ac:dyDescent="0.25">
      <c r="A569" t="s">
        <v>9313</v>
      </c>
      <c r="B569" t="s">
        <v>9314</v>
      </c>
      <c r="C569" s="18" t="str">
        <f>HYPERLINK("https://rhld.insurance.arkansas.gov/NPILookup?Npi=1427642909","1427642909")</f>
        <v>1427642909</v>
      </c>
      <c r="D569" t="s">
        <v>23357</v>
      </c>
      <c r="E569" t="s">
        <v>17366</v>
      </c>
      <c r="F569">
        <v>1</v>
      </c>
      <c r="G569">
        <v>3</v>
      </c>
      <c r="H569">
        <v>0</v>
      </c>
      <c r="I569">
        <v>0</v>
      </c>
      <c r="J569" t="s">
        <v>23390</v>
      </c>
      <c r="K569" t="s">
        <v>18640</v>
      </c>
      <c r="L569" t="s">
        <v>18640</v>
      </c>
      <c r="M569">
        <v>3</v>
      </c>
      <c r="N569" t="s">
        <v>17367</v>
      </c>
      <c r="O569" t="s">
        <v>23391</v>
      </c>
    </row>
    <row r="570" spans="1:15" x14ac:dyDescent="0.25">
      <c r="A570" t="s">
        <v>9313</v>
      </c>
      <c r="B570" t="s">
        <v>9314</v>
      </c>
      <c r="C570" s="18" t="str">
        <f>HYPERLINK("https://rhld.insurance.arkansas.gov/NPILookup?Npi=1437256948","1437256948")</f>
        <v>1437256948</v>
      </c>
      <c r="D570" t="s">
        <v>23475</v>
      </c>
      <c r="E570" t="s">
        <v>19184</v>
      </c>
      <c r="F570">
        <v>1</v>
      </c>
      <c r="G570">
        <v>0</v>
      </c>
      <c r="H570">
        <v>0</v>
      </c>
      <c r="I570">
        <v>0</v>
      </c>
      <c r="J570" t="s">
        <v>23460</v>
      </c>
      <c r="K570" t="s">
        <v>18640</v>
      </c>
      <c r="L570" t="s">
        <v>18640</v>
      </c>
      <c r="M570">
        <v>0</v>
      </c>
      <c r="N570" t="s">
        <v>17367</v>
      </c>
      <c r="O570" t="s">
        <v>23461</v>
      </c>
    </row>
    <row r="571" spans="1:15" x14ac:dyDescent="0.25">
      <c r="A571" t="s">
        <v>9313</v>
      </c>
      <c r="B571" t="s">
        <v>9314</v>
      </c>
      <c r="C571" s="18" t="str">
        <f>HYPERLINK("https://rhld.insurance.arkansas.gov/NPILookup?Npi=1447789045","1447789045")</f>
        <v>1447789045</v>
      </c>
      <c r="D571" t="s">
        <v>22875</v>
      </c>
      <c r="E571" t="s">
        <v>17366</v>
      </c>
      <c r="F571">
        <v>1</v>
      </c>
      <c r="G571">
        <v>3</v>
      </c>
      <c r="H571">
        <v>0</v>
      </c>
      <c r="I571">
        <v>0</v>
      </c>
      <c r="J571" t="s">
        <v>18634</v>
      </c>
      <c r="K571" t="s">
        <v>18640</v>
      </c>
      <c r="L571" t="s">
        <v>18640</v>
      </c>
      <c r="M571">
        <v>3</v>
      </c>
      <c r="N571" t="s">
        <v>17367</v>
      </c>
      <c r="O571" t="s">
        <v>23391</v>
      </c>
    </row>
    <row r="572" spans="1:15" x14ac:dyDescent="0.25">
      <c r="A572" t="s">
        <v>9313</v>
      </c>
      <c r="B572" t="s">
        <v>9314</v>
      </c>
      <c r="C572" s="18" t="str">
        <f>HYPERLINK("https://rhld.insurance.arkansas.gov/NPILookup?Npi=1467651745","1467651745")</f>
        <v>1467651745</v>
      </c>
      <c r="D572" t="s">
        <v>21350</v>
      </c>
      <c r="E572" t="s">
        <v>19184</v>
      </c>
      <c r="F572">
        <v>1</v>
      </c>
      <c r="G572">
        <v>3</v>
      </c>
      <c r="H572">
        <v>0</v>
      </c>
      <c r="I572">
        <v>0</v>
      </c>
      <c r="J572" t="s">
        <v>23467</v>
      </c>
      <c r="K572" t="s">
        <v>18640</v>
      </c>
      <c r="L572" t="s">
        <v>18640</v>
      </c>
      <c r="M572">
        <v>3</v>
      </c>
      <c r="N572" t="s">
        <v>17367</v>
      </c>
      <c r="O572" t="s">
        <v>23391</v>
      </c>
    </row>
    <row r="573" spans="1:15" x14ac:dyDescent="0.25">
      <c r="A573" t="s">
        <v>9313</v>
      </c>
      <c r="B573" t="s">
        <v>9314</v>
      </c>
      <c r="C573" s="18" t="str">
        <f>HYPERLINK("https://rhld.insurance.arkansas.gov/NPILookup?Npi=1487282760","1487282760")</f>
        <v>1487282760</v>
      </c>
      <c r="D573" t="s">
        <v>23359</v>
      </c>
      <c r="E573" t="s">
        <v>17366</v>
      </c>
      <c r="F573">
        <v>2</v>
      </c>
      <c r="G573">
        <v>3</v>
      </c>
      <c r="H573">
        <v>0</v>
      </c>
      <c r="I573">
        <v>0</v>
      </c>
      <c r="J573" t="s">
        <v>23456</v>
      </c>
      <c r="K573" t="s">
        <v>18640</v>
      </c>
      <c r="L573" t="s">
        <v>18640</v>
      </c>
      <c r="M573">
        <v>3</v>
      </c>
      <c r="N573" t="s">
        <v>17367</v>
      </c>
      <c r="O573" t="s">
        <v>23391</v>
      </c>
    </row>
    <row r="574" spans="1:15" x14ac:dyDescent="0.25">
      <c r="A574" t="s">
        <v>9313</v>
      </c>
      <c r="B574" t="s">
        <v>9314</v>
      </c>
      <c r="C574" s="18" t="str">
        <f>HYPERLINK("https://rhld.insurance.arkansas.gov/NPILookup?Npi=1487375085","1487375085")</f>
        <v>1487375085</v>
      </c>
      <c r="D574" t="s">
        <v>23360</v>
      </c>
      <c r="E574" t="s">
        <v>17366</v>
      </c>
      <c r="F574">
        <v>1</v>
      </c>
      <c r="G574">
        <v>3</v>
      </c>
      <c r="H574">
        <v>0</v>
      </c>
      <c r="I574">
        <v>0</v>
      </c>
      <c r="J574" t="s">
        <v>18634</v>
      </c>
      <c r="K574" t="s">
        <v>18640</v>
      </c>
      <c r="L574" t="s">
        <v>18640</v>
      </c>
      <c r="M574">
        <v>3</v>
      </c>
      <c r="N574" t="s">
        <v>17367</v>
      </c>
      <c r="O574" t="s">
        <v>23391</v>
      </c>
    </row>
    <row r="575" spans="1:15" x14ac:dyDescent="0.25">
      <c r="A575" t="s">
        <v>9313</v>
      </c>
      <c r="B575" t="s">
        <v>9314</v>
      </c>
      <c r="C575" s="18" t="str">
        <f>HYPERLINK("https://rhld.insurance.arkansas.gov/NPILookup?Npi=1487385340","1487385340")</f>
        <v>1487385340</v>
      </c>
      <c r="D575" t="s">
        <v>23361</v>
      </c>
      <c r="E575" t="s">
        <v>17366</v>
      </c>
      <c r="F575">
        <v>2</v>
      </c>
      <c r="G575">
        <v>3</v>
      </c>
      <c r="H575">
        <v>0</v>
      </c>
      <c r="I575">
        <v>0</v>
      </c>
      <c r="J575" t="s">
        <v>23456</v>
      </c>
      <c r="K575" t="s">
        <v>18640</v>
      </c>
      <c r="L575" t="s">
        <v>18640</v>
      </c>
      <c r="M575">
        <v>3</v>
      </c>
      <c r="N575" t="s">
        <v>17367</v>
      </c>
      <c r="O575" t="s">
        <v>23391</v>
      </c>
    </row>
    <row r="576" spans="1:15" x14ac:dyDescent="0.25">
      <c r="A576" t="s">
        <v>9313</v>
      </c>
      <c r="B576" t="s">
        <v>9314</v>
      </c>
      <c r="C576" s="18" t="str">
        <f>HYPERLINK("https://rhld.insurance.arkansas.gov/NPILookup?Npi=1497434823","1497434823")</f>
        <v>1497434823</v>
      </c>
      <c r="D576" t="s">
        <v>23363</v>
      </c>
      <c r="E576" t="s">
        <v>17366</v>
      </c>
      <c r="F576">
        <v>2</v>
      </c>
      <c r="G576">
        <v>3</v>
      </c>
      <c r="H576">
        <v>0</v>
      </c>
      <c r="I576">
        <v>0</v>
      </c>
      <c r="J576" t="s">
        <v>23456</v>
      </c>
      <c r="K576" t="s">
        <v>18640</v>
      </c>
      <c r="L576" t="s">
        <v>18640</v>
      </c>
      <c r="M576">
        <v>3</v>
      </c>
      <c r="N576" t="s">
        <v>17367</v>
      </c>
      <c r="O576" t="s">
        <v>23391</v>
      </c>
    </row>
    <row r="577" spans="1:15" x14ac:dyDescent="0.25">
      <c r="A577" t="s">
        <v>9313</v>
      </c>
      <c r="B577" t="s">
        <v>9314</v>
      </c>
      <c r="C577" s="18" t="str">
        <f>HYPERLINK("https://rhld.insurance.arkansas.gov/NPILookup?Npi=1508271347","1508271347")</f>
        <v>1508271347</v>
      </c>
      <c r="D577" t="s">
        <v>8167</v>
      </c>
      <c r="E577" t="s">
        <v>19184</v>
      </c>
      <c r="F577">
        <v>1</v>
      </c>
      <c r="G577">
        <v>2</v>
      </c>
      <c r="H577">
        <v>1</v>
      </c>
      <c r="I577">
        <v>0</v>
      </c>
      <c r="J577" t="s">
        <v>23455</v>
      </c>
      <c r="K577" t="s">
        <v>18640</v>
      </c>
      <c r="L577" t="s">
        <v>23472</v>
      </c>
      <c r="M577">
        <v>1</v>
      </c>
      <c r="N577" t="s">
        <v>17367</v>
      </c>
      <c r="O577" t="s">
        <v>23458</v>
      </c>
    </row>
    <row r="578" spans="1:15" x14ac:dyDescent="0.25">
      <c r="A578" t="s">
        <v>9313</v>
      </c>
      <c r="B578" t="s">
        <v>9314</v>
      </c>
      <c r="C578" s="18" t="str">
        <f>HYPERLINK("https://rhld.insurance.arkansas.gov/NPILookup?Npi=1518038728","1518038728")</f>
        <v>1518038728</v>
      </c>
      <c r="D578" t="s">
        <v>23476</v>
      </c>
      <c r="E578" t="s">
        <v>19184</v>
      </c>
      <c r="F578">
        <v>1</v>
      </c>
      <c r="G578">
        <v>0</v>
      </c>
      <c r="H578">
        <v>0</v>
      </c>
      <c r="I578">
        <v>0</v>
      </c>
      <c r="J578" t="s">
        <v>23460</v>
      </c>
      <c r="K578" t="s">
        <v>18640</v>
      </c>
      <c r="L578" t="s">
        <v>18640</v>
      </c>
      <c r="M578">
        <v>0</v>
      </c>
      <c r="N578" t="s">
        <v>17367</v>
      </c>
      <c r="O578" t="s">
        <v>23461</v>
      </c>
    </row>
    <row r="579" spans="1:15" x14ac:dyDescent="0.25">
      <c r="A579" t="s">
        <v>9313</v>
      </c>
      <c r="B579" t="s">
        <v>9314</v>
      </c>
      <c r="C579" s="18" t="str">
        <f>HYPERLINK("https://rhld.insurance.arkansas.gov/NPILookup?Npi=1538853643","1538853643")</f>
        <v>1538853643</v>
      </c>
      <c r="D579" t="s">
        <v>23365</v>
      </c>
      <c r="E579" t="s">
        <v>17366</v>
      </c>
      <c r="F579">
        <v>2</v>
      </c>
      <c r="G579">
        <v>3</v>
      </c>
      <c r="H579">
        <v>0</v>
      </c>
      <c r="I579">
        <v>0</v>
      </c>
      <c r="J579" t="s">
        <v>23456</v>
      </c>
      <c r="K579" t="s">
        <v>18640</v>
      </c>
      <c r="L579" t="s">
        <v>18640</v>
      </c>
      <c r="M579">
        <v>3</v>
      </c>
      <c r="N579" t="s">
        <v>17367</v>
      </c>
      <c r="O579" t="s">
        <v>23391</v>
      </c>
    </row>
    <row r="580" spans="1:15" x14ac:dyDescent="0.25">
      <c r="A580" t="s">
        <v>9313</v>
      </c>
      <c r="B580" t="s">
        <v>9314</v>
      </c>
      <c r="C580" s="18" t="str">
        <f>HYPERLINK("https://rhld.insurance.arkansas.gov/NPILookup?Npi=1568557247","1568557247")</f>
        <v>1568557247</v>
      </c>
      <c r="D580" t="s">
        <v>23366</v>
      </c>
      <c r="E580" t="s">
        <v>17366</v>
      </c>
      <c r="F580">
        <v>2</v>
      </c>
      <c r="G580">
        <v>3</v>
      </c>
      <c r="H580">
        <v>0</v>
      </c>
      <c r="I580">
        <v>0</v>
      </c>
      <c r="J580" t="s">
        <v>23456</v>
      </c>
      <c r="K580" t="s">
        <v>18640</v>
      </c>
      <c r="L580" t="s">
        <v>18640</v>
      </c>
      <c r="M580">
        <v>3</v>
      </c>
      <c r="N580" t="s">
        <v>17367</v>
      </c>
      <c r="O580" t="s">
        <v>23391</v>
      </c>
    </row>
    <row r="581" spans="1:15" x14ac:dyDescent="0.25">
      <c r="A581" t="s">
        <v>9313</v>
      </c>
      <c r="B581" t="s">
        <v>9314</v>
      </c>
      <c r="C581" s="18" t="str">
        <f>HYPERLINK("https://rhld.insurance.arkansas.gov/NPILookup?Npi=1578292116","1578292116")</f>
        <v>1578292116</v>
      </c>
      <c r="D581" t="s">
        <v>23367</v>
      </c>
      <c r="E581" t="s">
        <v>17366</v>
      </c>
      <c r="F581">
        <v>2</v>
      </c>
      <c r="G581">
        <v>3</v>
      </c>
      <c r="H581">
        <v>0</v>
      </c>
      <c r="I581">
        <v>0</v>
      </c>
      <c r="J581" t="s">
        <v>23456</v>
      </c>
      <c r="K581" t="s">
        <v>18640</v>
      </c>
      <c r="L581" t="s">
        <v>18640</v>
      </c>
      <c r="M581">
        <v>3</v>
      </c>
      <c r="N581" t="s">
        <v>17367</v>
      </c>
      <c r="O581" t="s">
        <v>23391</v>
      </c>
    </row>
    <row r="582" spans="1:15" x14ac:dyDescent="0.25">
      <c r="A582" t="s">
        <v>9313</v>
      </c>
      <c r="B582" t="s">
        <v>9314</v>
      </c>
      <c r="C582" s="18" t="str">
        <f>HYPERLINK("https://rhld.insurance.arkansas.gov/NPILookup?Npi=1588003362","1588003362")</f>
        <v>1588003362</v>
      </c>
      <c r="D582" t="s">
        <v>5651</v>
      </c>
      <c r="E582" t="s">
        <v>19184</v>
      </c>
      <c r="F582">
        <v>1</v>
      </c>
      <c r="G582">
        <v>2</v>
      </c>
      <c r="H582">
        <v>1</v>
      </c>
      <c r="I582">
        <v>0</v>
      </c>
      <c r="J582" t="s">
        <v>23453</v>
      </c>
      <c r="K582" t="s">
        <v>18640</v>
      </c>
      <c r="L582" t="s">
        <v>23472</v>
      </c>
      <c r="M582">
        <v>1</v>
      </c>
      <c r="N582" t="s">
        <v>17367</v>
      </c>
      <c r="O582" t="s">
        <v>23458</v>
      </c>
    </row>
    <row r="583" spans="1:15" x14ac:dyDescent="0.25">
      <c r="A583" t="s">
        <v>9313</v>
      </c>
      <c r="B583" t="s">
        <v>9314</v>
      </c>
      <c r="C583" s="18" t="str">
        <f>HYPERLINK("https://rhld.insurance.arkansas.gov/NPILookup?Npi=1619672631","1619672631")</f>
        <v>1619672631</v>
      </c>
      <c r="D583" t="s">
        <v>23368</v>
      </c>
      <c r="E583" t="s">
        <v>17366</v>
      </c>
      <c r="F583">
        <v>2</v>
      </c>
      <c r="G583">
        <v>3</v>
      </c>
      <c r="H583">
        <v>0</v>
      </c>
      <c r="I583">
        <v>0</v>
      </c>
      <c r="J583" t="s">
        <v>23456</v>
      </c>
      <c r="K583" t="s">
        <v>18640</v>
      </c>
      <c r="L583" t="s">
        <v>18640</v>
      </c>
      <c r="M583">
        <v>3</v>
      </c>
      <c r="N583" t="s">
        <v>17367</v>
      </c>
      <c r="O583" t="s">
        <v>23391</v>
      </c>
    </row>
    <row r="584" spans="1:15" x14ac:dyDescent="0.25">
      <c r="A584" t="s">
        <v>9313</v>
      </c>
      <c r="B584" t="s">
        <v>9314</v>
      </c>
      <c r="C584" s="18" t="str">
        <f>HYPERLINK("https://rhld.insurance.arkansas.gov/NPILookup?Npi=1639216989","1639216989")</f>
        <v>1639216989</v>
      </c>
      <c r="D584" t="s">
        <v>23369</v>
      </c>
      <c r="E584" t="s">
        <v>17366</v>
      </c>
      <c r="F584">
        <v>2</v>
      </c>
      <c r="G584">
        <v>3</v>
      </c>
      <c r="H584">
        <v>0</v>
      </c>
      <c r="I584">
        <v>0</v>
      </c>
      <c r="J584" t="s">
        <v>23456</v>
      </c>
      <c r="K584" t="s">
        <v>18640</v>
      </c>
      <c r="L584" t="s">
        <v>18640</v>
      </c>
      <c r="M584">
        <v>3</v>
      </c>
      <c r="N584" t="s">
        <v>17367</v>
      </c>
      <c r="O584" t="s">
        <v>23391</v>
      </c>
    </row>
    <row r="585" spans="1:15" x14ac:dyDescent="0.25">
      <c r="A585" t="s">
        <v>9313</v>
      </c>
      <c r="B585" t="s">
        <v>9314</v>
      </c>
      <c r="C585" s="18" t="str">
        <f>HYPERLINK("https://rhld.insurance.arkansas.gov/NPILookup?Npi=1639225279","1639225279")</f>
        <v>1639225279</v>
      </c>
      <c r="D585" t="s">
        <v>23477</v>
      </c>
      <c r="E585" t="s">
        <v>19184</v>
      </c>
      <c r="F585">
        <v>1</v>
      </c>
      <c r="G585">
        <v>0</v>
      </c>
      <c r="H585">
        <v>0</v>
      </c>
      <c r="I585">
        <v>0</v>
      </c>
      <c r="J585" t="s">
        <v>23460</v>
      </c>
      <c r="K585" t="s">
        <v>18640</v>
      </c>
      <c r="L585" t="s">
        <v>18640</v>
      </c>
      <c r="M585">
        <v>0</v>
      </c>
      <c r="N585" t="s">
        <v>17367</v>
      </c>
      <c r="O585" t="s">
        <v>23461</v>
      </c>
    </row>
    <row r="586" spans="1:15" x14ac:dyDescent="0.25">
      <c r="A586" t="s">
        <v>9313</v>
      </c>
      <c r="B586" t="s">
        <v>9314</v>
      </c>
      <c r="C586" s="18" t="str">
        <f>HYPERLINK("https://rhld.insurance.arkansas.gov/NPILookup?Npi=1639396807","1639396807")</f>
        <v>1639396807</v>
      </c>
      <c r="D586" t="s">
        <v>19200</v>
      </c>
      <c r="E586" t="s">
        <v>19184</v>
      </c>
      <c r="F586">
        <v>1</v>
      </c>
      <c r="G586">
        <v>2</v>
      </c>
      <c r="H586">
        <v>1</v>
      </c>
      <c r="I586">
        <v>0</v>
      </c>
      <c r="J586" t="s">
        <v>23453</v>
      </c>
      <c r="K586" t="s">
        <v>18640</v>
      </c>
      <c r="L586" t="s">
        <v>23478</v>
      </c>
      <c r="M586">
        <v>1</v>
      </c>
      <c r="N586" t="s">
        <v>17367</v>
      </c>
      <c r="O586" t="s">
        <v>23479</v>
      </c>
    </row>
    <row r="587" spans="1:15" x14ac:dyDescent="0.25">
      <c r="A587" t="s">
        <v>9313</v>
      </c>
      <c r="B587" t="s">
        <v>9314</v>
      </c>
      <c r="C587" s="18" t="str">
        <f>HYPERLINK("https://rhld.insurance.arkansas.gov/NPILookup?Npi=1669521472","1669521472")</f>
        <v>1669521472</v>
      </c>
      <c r="D587" t="s">
        <v>23480</v>
      </c>
      <c r="E587" t="s">
        <v>19184</v>
      </c>
      <c r="F587">
        <v>1</v>
      </c>
      <c r="G587">
        <v>0</v>
      </c>
      <c r="H587">
        <v>0</v>
      </c>
      <c r="I587">
        <v>0</v>
      </c>
      <c r="J587" t="s">
        <v>23460</v>
      </c>
      <c r="K587" t="s">
        <v>18640</v>
      </c>
      <c r="L587" t="s">
        <v>18640</v>
      </c>
      <c r="M587">
        <v>0</v>
      </c>
      <c r="N587" t="s">
        <v>17367</v>
      </c>
      <c r="O587" t="s">
        <v>23461</v>
      </c>
    </row>
    <row r="588" spans="1:15" x14ac:dyDescent="0.25">
      <c r="A588" t="s">
        <v>9313</v>
      </c>
      <c r="B588" t="s">
        <v>9314</v>
      </c>
      <c r="C588" s="18" t="str">
        <f>HYPERLINK("https://rhld.insurance.arkansas.gov/NPILookup?Npi=1669588208","1669588208")</f>
        <v>1669588208</v>
      </c>
      <c r="D588" t="s">
        <v>23481</v>
      </c>
      <c r="E588" t="s">
        <v>19184</v>
      </c>
      <c r="F588">
        <v>1</v>
      </c>
      <c r="G588">
        <v>0</v>
      </c>
      <c r="H588">
        <v>0</v>
      </c>
      <c r="I588">
        <v>0</v>
      </c>
      <c r="J588" t="s">
        <v>23460</v>
      </c>
      <c r="K588" t="s">
        <v>18640</v>
      </c>
      <c r="L588" t="s">
        <v>18640</v>
      </c>
      <c r="M588">
        <v>0</v>
      </c>
      <c r="N588" t="s">
        <v>17367</v>
      </c>
      <c r="O588" t="s">
        <v>23461</v>
      </c>
    </row>
    <row r="589" spans="1:15" x14ac:dyDescent="0.25">
      <c r="A589" t="s">
        <v>9313</v>
      </c>
      <c r="B589" t="s">
        <v>9314</v>
      </c>
      <c r="C589" s="18" t="str">
        <f>HYPERLINK("https://rhld.insurance.arkansas.gov/NPILookup?Npi=1710078803","1710078803")</f>
        <v>1710078803</v>
      </c>
      <c r="D589" t="s">
        <v>23372</v>
      </c>
      <c r="E589" t="s">
        <v>17366</v>
      </c>
      <c r="F589">
        <v>1</v>
      </c>
      <c r="G589">
        <v>3</v>
      </c>
      <c r="H589">
        <v>0</v>
      </c>
      <c r="I589">
        <v>0</v>
      </c>
      <c r="J589" t="s">
        <v>18634</v>
      </c>
      <c r="K589" t="s">
        <v>18640</v>
      </c>
      <c r="L589" t="s">
        <v>18640</v>
      </c>
      <c r="M589">
        <v>3</v>
      </c>
      <c r="N589" t="s">
        <v>17367</v>
      </c>
      <c r="O589" t="s">
        <v>23391</v>
      </c>
    </row>
    <row r="590" spans="1:15" x14ac:dyDescent="0.25">
      <c r="A590" t="s">
        <v>9313</v>
      </c>
      <c r="B590" t="s">
        <v>9314</v>
      </c>
      <c r="C590" s="18" t="str">
        <f>HYPERLINK("https://rhld.insurance.arkansas.gov/NPILookup?Npi=1730105511","1730105511")</f>
        <v>1730105511</v>
      </c>
      <c r="D590" t="s">
        <v>9818</v>
      </c>
      <c r="E590" t="s">
        <v>19184</v>
      </c>
      <c r="F590">
        <v>1</v>
      </c>
      <c r="G590">
        <v>2</v>
      </c>
      <c r="H590">
        <v>1</v>
      </c>
      <c r="I590">
        <v>0</v>
      </c>
      <c r="J590" t="s">
        <v>23455</v>
      </c>
      <c r="K590" t="s">
        <v>18640</v>
      </c>
      <c r="L590" t="s">
        <v>23472</v>
      </c>
      <c r="M590">
        <v>1</v>
      </c>
      <c r="N590" t="s">
        <v>17367</v>
      </c>
      <c r="O590" t="s">
        <v>23458</v>
      </c>
    </row>
    <row r="591" spans="1:15" x14ac:dyDescent="0.25">
      <c r="A591" t="s">
        <v>9313</v>
      </c>
      <c r="B591" t="s">
        <v>9314</v>
      </c>
      <c r="C591" s="18" t="str">
        <f>HYPERLINK("https://rhld.insurance.arkansas.gov/NPILookup?Npi=1740453240","1740453240")</f>
        <v>1740453240</v>
      </c>
      <c r="D591" t="s">
        <v>12528</v>
      </c>
      <c r="E591" t="s">
        <v>19184</v>
      </c>
      <c r="F591">
        <v>1</v>
      </c>
      <c r="G591">
        <v>1</v>
      </c>
      <c r="H591">
        <v>2</v>
      </c>
      <c r="I591">
        <v>0</v>
      </c>
      <c r="J591" t="s">
        <v>23467</v>
      </c>
      <c r="K591" t="s">
        <v>18640</v>
      </c>
      <c r="L591" t="s">
        <v>23482</v>
      </c>
      <c r="M591">
        <v>-1</v>
      </c>
      <c r="N591" t="s">
        <v>17369</v>
      </c>
      <c r="O591" t="s">
        <v>21361</v>
      </c>
    </row>
    <row r="592" spans="1:15" x14ac:dyDescent="0.25">
      <c r="A592" t="s">
        <v>9313</v>
      </c>
      <c r="B592" t="s">
        <v>9314</v>
      </c>
      <c r="C592" s="18" t="str">
        <f>HYPERLINK("https://rhld.insurance.arkansas.gov/NPILookup?Npi=1760166631","1760166631")</f>
        <v>1760166631</v>
      </c>
      <c r="D592" t="s">
        <v>23373</v>
      </c>
      <c r="E592" t="s">
        <v>17366</v>
      </c>
      <c r="F592">
        <v>1</v>
      </c>
      <c r="G592">
        <v>3</v>
      </c>
      <c r="H592">
        <v>0</v>
      </c>
      <c r="I592">
        <v>0</v>
      </c>
      <c r="J592" t="s">
        <v>18634</v>
      </c>
      <c r="K592" t="s">
        <v>18640</v>
      </c>
      <c r="L592" t="s">
        <v>18640</v>
      </c>
      <c r="M592">
        <v>3</v>
      </c>
      <c r="N592" t="s">
        <v>17367</v>
      </c>
      <c r="O592" t="s">
        <v>23391</v>
      </c>
    </row>
    <row r="593" spans="1:15" x14ac:dyDescent="0.25">
      <c r="A593" t="s">
        <v>9313</v>
      </c>
      <c r="B593" t="s">
        <v>9314</v>
      </c>
      <c r="C593" s="18" t="str">
        <f>HYPERLINK("https://rhld.insurance.arkansas.gov/NPILookup?Npi=1770152597","1770152597")</f>
        <v>1770152597</v>
      </c>
      <c r="D593" t="s">
        <v>23374</v>
      </c>
      <c r="E593" t="s">
        <v>17366</v>
      </c>
      <c r="F593">
        <v>1</v>
      </c>
      <c r="G593">
        <v>3</v>
      </c>
      <c r="H593">
        <v>0</v>
      </c>
      <c r="I593">
        <v>0</v>
      </c>
      <c r="J593" t="s">
        <v>23390</v>
      </c>
      <c r="K593" t="s">
        <v>18640</v>
      </c>
      <c r="L593" t="s">
        <v>18640</v>
      </c>
      <c r="M593">
        <v>3</v>
      </c>
      <c r="N593" t="s">
        <v>17367</v>
      </c>
      <c r="O593" t="s">
        <v>23391</v>
      </c>
    </row>
    <row r="594" spans="1:15" x14ac:dyDescent="0.25">
      <c r="A594" t="s">
        <v>9313</v>
      </c>
      <c r="B594" t="s">
        <v>9314</v>
      </c>
      <c r="C594" s="18" t="str">
        <f>HYPERLINK("https://rhld.insurance.arkansas.gov/NPILookup?Npi=1770811341","1770811341")</f>
        <v>1770811341</v>
      </c>
      <c r="D594" t="s">
        <v>23483</v>
      </c>
      <c r="E594" t="s">
        <v>19184</v>
      </c>
      <c r="F594">
        <v>1</v>
      </c>
      <c r="G594">
        <v>0</v>
      </c>
      <c r="H594">
        <v>0</v>
      </c>
      <c r="I594">
        <v>0</v>
      </c>
      <c r="J594" t="s">
        <v>23460</v>
      </c>
      <c r="K594" t="s">
        <v>18640</v>
      </c>
      <c r="L594" t="s">
        <v>18640</v>
      </c>
      <c r="M594">
        <v>0</v>
      </c>
      <c r="N594" t="s">
        <v>17367</v>
      </c>
      <c r="O594" t="s">
        <v>23461</v>
      </c>
    </row>
    <row r="595" spans="1:15" x14ac:dyDescent="0.25">
      <c r="A595" t="s">
        <v>9313</v>
      </c>
      <c r="B595" t="s">
        <v>9314</v>
      </c>
      <c r="C595" s="18" t="str">
        <f>HYPERLINK("https://rhld.insurance.arkansas.gov/NPILookup?Npi=1790463339","1790463339")</f>
        <v>1790463339</v>
      </c>
      <c r="D595" t="s">
        <v>23375</v>
      </c>
      <c r="E595" t="s">
        <v>17366</v>
      </c>
      <c r="F595">
        <v>1</v>
      </c>
      <c r="G595">
        <v>3</v>
      </c>
      <c r="H595">
        <v>0</v>
      </c>
      <c r="I595">
        <v>0</v>
      </c>
      <c r="J595" t="s">
        <v>18634</v>
      </c>
      <c r="K595" t="s">
        <v>18640</v>
      </c>
      <c r="L595" t="s">
        <v>18640</v>
      </c>
      <c r="M595">
        <v>3</v>
      </c>
      <c r="N595" t="s">
        <v>17367</v>
      </c>
      <c r="O595" t="s">
        <v>23391</v>
      </c>
    </row>
    <row r="596" spans="1:15" x14ac:dyDescent="0.25">
      <c r="A596" t="s">
        <v>9313</v>
      </c>
      <c r="B596" t="s">
        <v>9314</v>
      </c>
      <c r="C596" s="18" t="str">
        <f>HYPERLINK("https://rhld.insurance.arkansas.gov/NPILookup?Npi=1801575485","1801575485")</f>
        <v>1801575485</v>
      </c>
      <c r="D596" t="s">
        <v>23376</v>
      </c>
      <c r="E596" t="s">
        <v>17366</v>
      </c>
      <c r="F596">
        <v>1</v>
      </c>
      <c r="G596">
        <v>3</v>
      </c>
      <c r="H596">
        <v>0</v>
      </c>
      <c r="I596">
        <v>0</v>
      </c>
      <c r="J596" t="s">
        <v>18634</v>
      </c>
      <c r="K596" t="s">
        <v>18640</v>
      </c>
      <c r="L596" t="s">
        <v>18640</v>
      </c>
      <c r="M596">
        <v>3</v>
      </c>
      <c r="N596" t="s">
        <v>17367</v>
      </c>
      <c r="O596" t="s">
        <v>23391</v>
      </c>
    </row>
    <row r="597" spans="1:15" x14ac:dyDescent="0.25">
      <c r="A597" t="s">
        <v>9313</v>
      </c>
      <c r="B597" t="s">
        <v>9314</v>
      </c>
      <c r="C597" s="18" t="str">
        <f>HYPERLINK("https://rhld.insurance.arkansas.gov/NPILookup?Npi=1801840749","1801840749")</f>
        <v>1801840749</v>
      </c>
      <c r="D597" t="s">
        <v>9867</v>
      </c>
      <c r="E597" t="s">
        <v>19184</v>
      </c>
      <c r="F597">
        <v>1</v>
      </c>
      <c r="G597">
        <v>2</v>
      </c>
      <c r="H597">
        <v>1</v>
      </c>
      <c r="I597">
        <v>0</v>
      </c>
      <c r="J597" t="s">
        <v>23455</v>
      </c>
      <c r="K597" t="s">
        <v>18640</v>
      </c>
      <c r="L597" t="s">
        <v>23472</v>
      </c>
      <c r="M597">
        <v>1</v>
      </c>
      <c r="N597" t="s">
        <v>17367</v>
      </c>
      <c r="O597" t="s">
        <v>23458</v>
      </c>
    </row>
    <row r="598" spans="1:15" x14ac:dyDescent="0.25">
      <c r="A598" t="s">
        <v>9313</v>
      </c>
      <c r="B598" t="s">
        <v>9314</v>
      </c>
      <c r="C598" s="18" t="str">
        <f>HYPERLINK("https://rhld.insurance.arkansas.gov/NPILookup?Npi=1821114257","1821114257")</f>
        <v>1821114257</v>
      </c>
      <c r="D598" t="s">
        <v>9877</v>
      </c>
      <c r="E598" t="s">
        <v>19184</v>
      </c>
      <c r="F598">
        <v>1</v>
      </c>
      <c r="G598">
        <v>3</v>
      </c>
      <c r="H598">
        <v>0</v>
      </c>
      <c r="I598">
        <v>0</v>
      </c>
      <c r="J598" t="s">
        <v>23453</v>
      </c>
      <c r="K598" t="s">
        <v>18640</v>
      </c>
      <c r="L598" t="s">
        <v>18640</v>
      </c>
      <c r="M598">
        <v>3</v>
      </c>
      <c r="N598" t="s">
        <v>17367</v>
      </c>
      <c r="O598" t="s">
        <v>23391</v>
      </c>
    </row>
    <row r="599" spans="1:15" x14ac:dyDescent="0.25">
      <c r="A599" t="s">
        <v>9313</v>
      </c>
      <c r="B599" t="s">
        <v>9314</v>
      </c>
      <c r="C599" s="18" t="str">
        <f>HYPERLINK("https://rhld.insurance.arkansas.gov/NPILookup?Npi=1861524928","1861524928")</f>
        <v>1861524928</v>
      </c>
      <c r="D599" t="s">
        <v>23484</v>
      </c>
      <c r="E599" t="s">
        <v>19184</v>
      </c>
      <c r="F599">
        <v>1</v>
      </c>
      <c r="G599">
        <v>0</v>
      </c>
      <c r="H599">
        <v>0</v>
      </c>
      <c r="I599">
        <v>0</v>
      </c>
      <c r="J599" t="s">
        <v>23460</v>
      </c>
      <c r="K599" t="s">
        <v>18640</v>
      </c>
      <c r="L599" t="s">
        <v>18640</v>
      </c>
      <c r="M599">
        <v>0</v>
      </c>
      <c r="N599" t="s">
        <v>17367</v>
      </c>
      <c r="O599" t="s">
        <v>23461</v>
      </c>
    </row>
    <row r="600" spans="1:15" x14ac:dyDescent="0.25">
      <c r="A600" t="s">
        <v>9313</v>
      </c>
      <c r="B600" t="s">
        <v>9314</v>
      </c>
      <c r="C600" s="18" t="str">
        <f>HYPERLINK("https://rhld.insurance.arkansas.gov/NPILookup?Npi=1902989460","1902989460")</f>
        <v>1902989460</v>
      </c>
      <c r="D600" t="s">
        <v>23377</v>
      </c>
      <c r="E600" t="s">
        <v>17366</v>
      </c>
      <c r="F600">
        <v>1</v>
      </c>
      <c r="G600">
        <v>3</v>
      </c>
      <c r="H600">
        <v>0</v>
      </c>
      <c r="I600">
        <v>0</v>
      </c>
      <c r="J600" t="s">
        <v>18634</v>
      </c>
      <c r="K600" t="s">
        <v>18640</v>
      </c>
      <c r="L600" t="s">
        <v>18640</v>
      </c>
      <c r="M600">
        <v>3</v>
      </c>
      <c r="N600" t="s">
        <v>17367</v>
      </c>
      <c r="O600" t="s">
        <v>23391</v>
      </c>
    </row>
    <row r="601" spans="1:15" x14ac:dyDescent="0.25">
      <c r="A601" t="s">
        <v>9313</v>
      </c>
      <c r="B601" t="s">
        <v>9314</v>
      </c>
      <c r="C601" s="18" t="str">
        <f>HYPERLINK("https://rhld.insurance.arkansas.gov/NPILookup?Npi=1912402868","1912402868")</f>
        <v>1912402868</v>
      </c>
      <c r="D601" t="s">
        <v>6717</v>
      </c>
      <c r="E601" t="s">
        <v>19184</v>
      </c>
      <c r="F601">
        <v>1</v>
      </c>
      <c r="G601">
        <v>2</v>
      </c>
      <c r="H601">
        <v>1</v>
      </c>
      <c r="I601">
        <v>0</v>
      </c>
      <c r="J601" t="s">
        <v>23467</v>
      </c>
      <c r="K601" t="s">
        <v>18640</v>
      </c>
      <c r="L601" t="s">
        <v>23485</v>
      </c>
      <c r="M601">
        <v>1</v>
      </c>
      <c r="N601" t="s">
        <v>17367</v>
      </c>
      <c r="O601" t="s">
        <v>23458</v>
      </c>
    </row>
    <row r="602" spans="1:15" x14ac:dyDescent="0.25">
      <c r="A602" t="s">
        <v>9313</v>
      </c>
      <c r="B602" t="s">
        <v>9314</v>
      </c>
      <c r="C602" s="18" t="str">
        <f>HYPERLINK("https://rhld.insurance.arkansas.gov/NPILookup?Npi=1912531583","1912531583")</f>
        <v>1912531583</v>
      </c>
      <c r="D602" t="s">
        <v>21347</v>
      </c>
      <c r="E602" t="s">
        <v>19184</v>
      </c>
      <c r="F602">
        <v>1</v>
      </c>
      <c r="G602">
        <v>1</v>
      </c>
      <c r="H602">
        <v>2</v>
      </c>
      <c r="I602">
        <v>0</v>
      </c>
      <c r="J602" t="s">
        <v>23467</v>
      </c>
      <c r="K602" t="s">
        <v>18640</v>
      </c>
      <c r="L602" t="s">
        <v>23486</v>
      </c>
      <c r="M602">
        <v>-1</v>
      </c>
      <c r="N602" t="s">
        <v>17369</v>
      </c>
      <c r="O602" t="s">
        <v>21361</v>
      </c>
    </row>
    <row r="603" spans="1:15" x14ac:dyDescent="0.25">
      <c r="A603" t="s">
        <v>9313</v>
      </c>
      <c r="B603" t="s">
        <v>9314</v>
      </c>
      <c r="C603" s="18" t="str">
        <f>HYPERLINK("https://rhld.insurance.arkansas.gov/NPILookup?Npi=1932243094","1932243094")</f>
        <v>1932243094</v>
      </c>
      <c r="D603" t="s">
        <v>12626</v>
      </c>
      <c r="E603" t="s">
        <v>19184</v>
      </c>
      <c r="F603">
        <v>1</v>
      </c>
      <c r="G603">
        <v>1</v>
      </c>
      <c r="H603">
        <v>2</v>
      </c>
      <c r="I603">
        <v>0</v>
      </c>
      <c r="J603" t="s">
        <v>23462</v>
      </c>
      <c r="K603" t="s">
        <v>18640</v>
      </c>
      <c r="L603" t="s">
        <v>23487</v>
      </c>
      <c r="M603">
        <v>-1</v>
      </c>
      <c r="N603" t="s">
        <v>17369</v>
      </c>
      <c r="O603" t="s">
        <v>21361</v>
      </c>
    </row>
    <row r="604" spans="1:15" x14ac:dyDescent="0.25">
      <c r="A604" t="s">
        <v>9313</v>
      </c>
      <c r="B604" t="s">
        <v>9314</v>
      </c>
      <c r="C604" s="18" t="str">
        <f>HYPERLINK("https://rhld.insurance.arkansas.gov/NPILookup?Npi=1932783586","1932783586")</f>
        <v>1932783586</v>
      </c>
      <c r="D604" t="s">
        <v>22876</v>
      </c>
      <c r="E604" t="s">
        <v>17366</v>
      </c>
      <c r="F604">
        <v>1</v>
      </c>
      <c r="G604">
        <v>3</v>
      </c>
      <c r="H604">
        <v>0</v>
      </c>
      <c r="I604">
        <v>0</v>
      </c>
      <c r="J604" t="s">
        <v>23390</v>
      </c>
      <c r="K604" t="s">
        <v>18640</v>
      </c>
      <c r="L604" t="s">
        <v>18640</v>
      </c>
      <c r="M604">
        <v>3</v>
      </c>
      <c r="N604" t="s">
        <v>17367</v>
      </c>
      <c r="O604" t="s">
        <v>23391</v>
      </c>
    </row>
    <row r="605" spans="1:15" x14ac:dyDescent="0.25">
      <c r="A605" t="s">
        <v>9313</v>
      </c>
      <c r="B605" t="s">
        <v>9314</v>
      </c>
      <c r="C605" s="18" t="str">
        <f>HYPERLINK("https://rhld.insurance.arkansas.gov/NPILookup?Npi=1952314262","1952314262")</f>
        <v>1952314262</v>
      </c>
      <c r="D605" t="s">
        <v>19208</v>
      </c>
      <c r="E605" t="s">
        <v>19184</v>
      </c>
      <c r="F605">
        <v>1</v>
      </c>
      <c r="G605">
        <v>2</v>
      </c>
      <c r="H605">
        <v>0</v>
      </c>
      <c r="I605">
        <v>0</v>
      </c>
      <c r="J605" t="s">
        <v>23478</v>
      </c>
      <c r="K605" t="s">
        <v>18640</v>
      </c>
      <c r="L605" t="s">
        <v>18640</v>
      </c>
      <c r="M605">
        <v>2</v>
      </c>
      <c r="N605" t="s">
        <v>17367</v>
      </c>
      <c r="O605" t="s">
        <v>23391</v>
      </c>
    </row>
    <row r="606" spans="1:15" x14ac:dyDescent="0.25">
      <c r="A606" t="s">
        <v>9313</v>
      </c>
      <c r="B606" t="s">
        <v>9314</v>
      </c>
      <c r="C606" s="18" t="str">
        <f>HYPERLINK("https://rhld.insurance.arkansas.gov/NPILookup?Npi=1952320681","1952320681")</f>
        <v>1952320681</v>
      </c>
      <c r="D606" t="s">
        <v>9962</v>
      </c>
      <c r="E606" t="s">
        <v>19184</v>
      </c>
      <c r="F606">
        <v>1</v>
      </c>
      <c r="G606">
        <v>2</v>
      </c>
      <c r="H606">
        <v>0</v>
      </c>
      <c r="I606">
        <v>0</v>
      </c>
      <c r="J606" t="s">
        <v>23455</v>
      </c>
      <c r="K606" t="s">
        <v>18640</v>
      </c>
      <c r="L606" t="s">
        <v>18640</v>
      </c>
      <c r="M606">
        <v>2</v>
      </c>
      <c r="N606" t="s">
        <v>17367</v>
      </c>
      <c r="O606" t="s">
        <v>23391</v>
      </c>
    </row>
    <row r="607" spans="1:15" x14ac:dyDescent="0.25">
      <c r="A607" t="s">
        <v>9313</v>
      </c>
      <c r="B607" t="s">
        <v>9314</v>
      </c>
      <c r="C607" s="18" t="str">
        <f>HYPERLINK("https://rhld.insurance.arkansas.gov/NPILookup?Npi=1952497620","1952497620")</f>
        <v>1952497620</v>
      </c>
      <c r="D607" t="s">
        <v>9968</v>
      </c>
      <c r="E607" t="s">
        <v>19184</v>
      </c>
      <c r="F607">
        <v>1</v>
      </c>
      <c r="G607">
        <v>2</v>
      </c>
      <c r="H607">
        <v>0</v>
      </c>
      <c r="I607">
        <v>0</v>
      </c>
      <c r="J607" t="s">
        <v>23455</v>
      </c>
      <c r="K607" t="s">
        <v>18640</v>
      </c>
      <c r="L607" t="s">
        <v>18640</v>
      </c>
      <c r="M607">
        <v>2</v>
      </c>
      <c r="N607" t="s">
        <v>17367</v>
      </c>
      <c r="O607" t="s">
        <v>23391</v>
      </c>
    </row>
    <row r="608" spans="1:15" x14ac:dyDescent="0.25">
      <c r="A608" t="s">
        <v>9313</v>
      </c>
      <c r="B608" t="s">
        <v>9314</v>
      </c>
      <c r="C608" s="18" t="str">
        <f>HYPERLINK("https://rhld.insurance.arkansas.gov/NPILookup?Npi=1962574327","1962574327")</f>
        <v>1962574327</v>
      </c>
      <c r="D608" t="s">
        <v>23488</v>
      </c>
      <c r="E608" t="s">
        <v>19184</v>
      </c>
      <c r="F608">
        <v>1</v>
      </c>
      <c r="G608">
        <v>0</v>
      </c>
      <c r="H608">
        <v>0</v>
      </c>
      <c r="I608">
        <v>0</v>
      </c>
      <c r="J608" t="s">
        <v>23460</v>
      </c>
      <c r="K608" t="s">
        <v>18640</v>
      </c>
      <c r="L608" t="s">
        <v>18640</v>
      </c>
      <c r="M608">
        <v>0</v>
      </c>
      <c r="N608" t="s">
        <v>17367</v>
      </c>
      <c r="O608" t="s">
        <v>23461</v>
      </c>
    </row>
    <row r="609" spans="1:15" x14ac:dyDescent="0.25">
      <c r="A609" t="s">
        <v>9313</v>
      </c>
      <c r="B609" t="s">
        <v>9314</v>
      </c>
      <c r="C609" s="18" t="str">
        <f>HYPERLINK("https://rhld.insurance.arkansas.gov/NPILookup?Npi=1962885483","1962885483")</f>
        <v>1962885483</v>
      </c>
      <c r="D609" t="s">
        <v>12639</v>
      </c>
      <c r="E609" t="s">
        <v>17368</v>
      </c>
      <c r="F609">
        <v>1</v>
      </c>
      <c r="G609">
        <v>2</v>
      </c>
      <c r="H609">
        <v>0</v>
      </c>
      <c r="I609">
        <v>0</v>
      </c>
      <c r="J609" t="s">
        <v>23455</v>
      </c>
      <c r="K609" t="s">
        <v>18640</v>
      </c>
      <c r="L609" t="s">
        <v>18640</v>
      </c>
      <c r="M609">
        <v>2</v>
      </c>
      <c r="N609" t="s">
        <v>17367</v>
      </c>
      <c r="O609" t="s">
        <v>23391</v>
      </c>
    </row>
    <row r="610" spans="1:15" x14ac:dyDescent="0.25">
      <c r="A610" t="s">
        <v>9313</v>
      </c>
      <c r="B610" t="s">
        <v>9314</v>
      </c>
      <c r="C610" s="18" t="str">
        <f>HYPERLINK("https://rhld.insurance.arkansas.gov/NPILookup?Npi=1972097343","1972097343")</f>
        <v>1972097343</v>
      </c>
      <c r="D610" t="s">
        <v>22877</v>
      </c>
      <c r="E610" t="s">
        <v>17366</v>
      </c>
      <c r="F610">
        <v>1</v>
      </c>
      <c r="G610">
        <v>2</v>
      </c>
      <c r="H610">
        <v>1</v>
      </c>
      <c r="I610">
        <v>0</v>
      </c>
      <c r="J610" t="s">
        <v>18634</v>
      </c>
      <c r="K610" t="s">
        <v>18640</v>
      </c>
      <c r="L610" t="s">
        <v>23453</v>
      </c>
      <c r="M610">
        <v>1</v>
      </c>
      <c r="N610" t="s">
        <v>17369</v>
      </c>
      <c r="O610" t="s">
        <v>21361</v>
      </c>
    </row>
    <row r="611" spans="1:15" x14ac:dyDescent="0.25">
      <c r="A611" t="s">
        <v>9313</v>
      </c>
      <c r="B611" t="s">
        <v>9314</v>
      </c>
      <c r="C611" s="18" t="str">
        <f>HYPERLINK("https://rhld.insurance.arkansas.gov/NPILookup?Npi=1992860613","1992860613")</f>
        <v>1992860613</v>
      </c>
      <c r="D611" t="s">
        <v>12647</v>
      </c>
      <c r="E611" t="s">
        <v>19184</v>
      </c>
      <c r="F611">
        <v>1</v>
      </c>
      <c r="G611">
        <v>2</v>
      </c>
      <c r="H611">
        <v>0</v>
      </c>
      <c r="I611">
        <v>0</v>
      </c>
      <c r="J611" t="s">
        <v>23453</v>
      </c>
      <c r="K611" t="s">
        <v>18640</v>
      </c>
      <c r="L611" t="s">
        <v>18640</v>
      </c>
      <c r="M611">
        <v>2</v>
      </c>
      <c r="N611" t="s">
        <v>17367</v>
      </c>
      <c r="O611" t="s">
        <v>23391</v>
      </c>
    </row>
    <row r="612" spans="1:15" x14ac:dyDescent="0.25">
      <c r="A612" t="s">
        <v>9992</v>
      </c>
      <c r="B612" t="s">
        <v>9993</v>
      </c>
      <c r="C612" s="18" t="str">
        <f>HYPERLINK("https://rhld.insurance.arkansas.gov/NPILookup?Npi=1003903287","1003903287")</f>
        <v>1003903287</v>
      </c>
      <c r="D612" t="s">
        <v>9317</v>
      </c>
      <c r="E612" t="s">
        <v>19184</v>
      </c>
      <c r="F612">
        <v>1</v>
      </c>
      <c r="G612">
        <v>3</v>
      </c>
      <c r="H612">
        <v>0</v>
      </c>
      <c r="I612">
        <v>0</v>
      </c>
      <c r="J612" t="s">
        <v>23455</v>
      </c>
      <c r="K612" t="s">
        <v>18640</v>
      </c>
      <c r="L612" t="s">
        <v>18640</v>
      </c>
      <c r="M612">
        <v>3</v>
      </c>
      <c r="N612" t="s">
        <v>17367</v>
      </c>
      <c r="O612" t="s">
        <v>23391</v>
      </c>
    </row>
    <row r="613" spans="1:15" x14ac:dyDescent="0.25">
      <c r="A613" t="s">
        <v>9992</v>
      </c>
      <c r="B613" t="s">
        <v>9993</v>
      </c>
      <c r="C613" s="18" t="str">
        <f>HYPERLINK("https://rhld.insurance.arkansas.gov/NPILookup?Npi=1063527042","1063527042")</f>
        <v>1063527042</v>
      </c>
      <c r="D613" t="s">
        <v>9995</v>
      </c>
      <c r="E613" t="s">
        <v>19184</v>
      </c>
      <c r="F613">
        <v>1</v>
      </c>
      <c r="G613">
        <v>3</v>
      </c>
      <c r="H613">
        <v>0</v>
      </c>
      <c r="I613">
        <v>0</v>
      </c>
      <c r="J613" t="s">
        <v>23455</v>
      </c>
      <c r="K613" t="s">
        <v>18640</v>
      </c>
      <c r="L613" t="s">
        <v>18640</v>
      </c>
      <c r="M613">
        <v>3</v>
      </c>
      <c r="N613" t="s">
        <v>17367</v>
      </c>
      <c r="O613" t="s">
        <v>23391</v>
      </c>
    </row>
    <row r="614" spans="1:15" x14ac:dyDescent="0.25">
      <c r="A614" t="s">
        <v>9992</v>
      </c>
      <c r="B614" t="s">
        <v>9993</v>
      </c>
      <c r="C614" s="18" t="str">
        <f>HYPERLINK("https://rhld.insurance.arkansas.gov/NPILookup?Npi=1114453214","1114453214")</f>
        <v>1114453214</v>
      </c>
      <c r="D614" t="s">
        <v>23378</v>
      </c>
      <c r="E614" t="s">
        <v>17366</v>
      </c>
      <c r="F614">
        <v>1</v>
      </c>
      <c r="G614">
        <v>3</v>
      </c>
      <c r="H614">
        <v>0</v>
      </c>
      <c r="I614">
        <v>0</v>
      </c>
      <c r="J614" t="s">
        <v>18634</v>
      </c>
      <c r="K614" t="s">
        <v>18640</v>
      </c>
      <c r="L614" t="s">
        <v>18640</v>
      </c>
      <c r="M614">
        <v>3</v>
      </c>
      <c r="N614" t="s">
        <v>17367</v>
      </c>
      <c r="O614" t="s">
        <v>23391</v>
      </c>
    </row>
    <row r="615" spans="1:15" x14ac:dyDescent="0.25">
      <c r="A615" t="s">
        <v>9992</v>
      </c>
      <c r="B615" t="s">
        <v>9993</v>
      </c>
      <c r="C615" s="18" t="str">
        <f>HYPERLINK("https://rhld.insurance.arkansas.gov/NPILookup?Npi=1134324296","1134324296")</f>
        <v>1134324296</v>
      </c>
      <c r="D615" t="s">
        <v>9404</v>
      </c>
      <c r="E615" t="s">
        <v>19184</v>
      </c>
      <c r="F615">
        <v>1</v>
      </c>
      <c r="G615">
        <v>2</v>
      </c>
      <c r="H615">
        <v>0</v>
      </c>
      <c r="I615">
        <v>0</v>
      </c>
      <c r="J615" t="s">
        <v>23455</v>
      </c>
      <c r="K615" t="s">
        <v>18640</v>
      </c>
      <c r="L615" t="s">
        <v>18640</v>
      </c>
      <c r="M615">
        <v>2</v>
      </c>
      <c r="N615" t="s">
        <v>17367</v>
      </c>
      <c r="O615" t="s">
        <v>23391</v>
      </c>
    </row>
    <row r="616" spans="1:15" x14ac:dyDescent="0.25">
      <c r="A616" t="s">
        <v>9992</v>
      </c>
      <c r="B616" t="s">
        <v>9993</v>
      </c>
      <c r="C616" s="18" t="str">
        <f>HYPERLINK("https://rhld.insurance.arkansas.gov/NPILookup?Npi=1265599864","1265599864")</f>
        <v>1265599864</v>
      </c>
      <c r="D616" t="s">
        <v>13309</v>
      </c>
      <c r="E616" t="s">
        <v>19184</v>
      </c>
      <c r="F616">
        <v>1</v>
      </c>
      <c r="G616">
        <v>3</v>
      </c>
      <c r="H616">
        <v>0</v>
      </c>
      <c r="I616">
        <v>0</v>
      </c>
      <c r="J616" t="s">
        <v>23453</v>
      </c>
      <c r="K616" t="s">
        <v>18640</v>
      </c>
      <c r="L616" t="s">
        <v>18640</v>
      </c>
      <c r="M616">
        <v>3</v>
      </c>
      <c r="N616" t="s">
        <v>17367</v>
      </c>
      <c r="O616" t="s">
        <v>23391</v>
      </c>
    </row>
    <row r="617" spans="1:15" x14ac:dyDescent="0.25">
      <c r="A617" t="s">
        <v>9992</v>
      </c>
      <c r="B617" t="s">
        <v>9993</v>
      </c>
      <c r="C617" s="18" t="str">
        <f>HYPERLINK("https://rhld.insurance.arkansas.gov/NPILookup?Npi=1366485179","1366485179")</f>
        <v>1366485179</v>
      </c>
      <c r="D617" t="s">
        <v>22796</v>
      </c>
      <c r="E617" t="s">
        <v>19184</v>
      </c>
      <c r="F617">
        <v>1</v>
      </c>
      <c r="G617">
        <v>3</v>
      </c>
      <c r="H617">
        <v>0</v>
      </c>
      <c r="I617">
        <v>0</v>
      </c>
      <c r="J617" t="s">
        <v>23467</v>
      </c>
      <c r="K617" t="s">
        <v>18640</v>
      </c>
      <c r="L617" t="s">
        <v>18640</v>
      </c>
      <c r="M617">
        <v>3</v>
      </c>
      <c r="N617" t="s">
        <v>17367</v>
      </c>
      <c r="O617" t="s">
        <v>23391</v>
      </c>
    </row>
    <row r="618" spans="1:15" x14ac:dyDescent="0.25">
      <c r="A618" t="s">
        <v>9992</v>
      </c>
      <c r="B618" t="s">
        <v>9993</v>
      </c>
      <c r="C618" s="18" t="str">
        <f>HYPERLINK("https://rhld.insurance.arkansas.gov/NPILookup?Npi=1427642909","1427642909")</f>
        <v>1427642909</v>
      </c>
      <c r="D618" t="s">
        <v>23357</v>
      </c>
      <c r="E618" t="s">
        <v>17366</v>
      </c>
      <c r="F618">
        <v>1</v>
      </c>
      <c r="G618">
        <v>3</v>
      </c>
      <c r="H618">
        <v>0</v>
      </c>
      <c r="I618">
        <v>0</v>
      </c>
      <c r="J618" t="s">
        <v>18634</v>
      </c>
      <c r="K618" t="s">
        <v>18640</v>
      </c>
      <c r="L618" t="s">
        <v>18640</v>
      </c>
      <c r="M618">
        <v>3</v>
      </c>
      <c r="N618" t="s">
        <v>17367</v>
      </c>
      <c r="O618" t="s">
        <v>23391</v>
      </c>
    </row>
    <row r="619" spans="1:15" x14ac:dyDescent="0.25">
      <c r="A619" t="s">
        <v>9992</v>
      </c>
      <c r="B619" t="s">
        <v>9993</v>
      </c>
      <c r="C619" s="18" t="str">
        <f>HYPERLINK("https://rhld.insurance.arkansas.gov/NPILookup?Npi=1447231253","1447231253")</f>
        <v>1447231253</v>
      </c>
      <c r="D619" t="s">
        <v>22799</v>
      </c>
      <c r="E619" t="s">
        <v>19184</v>
      </c>
      <c r="F619">
        <v>1</v>
      </c>
      <c r="G619">
        <v>2</v>
      </c>
      <c r="H619">
        <v>0</v>
      </c>
      <c r="I619">
        <v>0</v>
      </c>
      <c r="J619" t="s">
        <v>23489</v>
      </c>
      <c r="K619" t="s">
        <v>18640</v>
      </c>
      <c r="L619" t="s">
        <v>18640</v>
      </c>
      <c r="M619">
        <v>2</v>
      </c>
      <c r="N619" t="s">
        <v>17367</v>
      </c>
      <c r="O619" t="s">
        <v>23391</v>
      </c>
    </row>
    <row r="620" spans="1:15" x14ac:dyDescent="0.25">
      <c r="A620" t="s">
        <v>9992</v>
      </c>
      <c r="B620" t="s">
        <v>9993</v>
      </c>
      <c r="C620" s="18" t="str">
        <f>HYPERLINK("https://rhld.insurance.arkansas.gov/NPILookup?Npi=1467464065","1467464065")</f>
        <v>1467464065</v>
      </c>
      <c r="D620" t="s">
        <v>22800</v>
      </c>
      <c r="E620" t="s">
        <v>19184</v>
      </c>
      <c r="F620">
        <v>1</v>
      </c>
      <c r="G620">
        <v>3</v>
      </c>
      <c r="H620">
        <v>0</v>
      </c>
      <c r="I620">
        <v>0</v>
      </c>
      <c r="J620" t="s">
        <v>23467</v>
      </c>
      <c r="K620" t="s">
        <v>18640</v>
      </c>
      <c r="L620" t="s">
        <v>18640</v>
      </c>
      <c r="M620">
        <v>3</v>
      </c>
      <c r="N620" t="s">
        <v>17367</v>
      </c>
      <c r="O620" t="s">
        <v>23391</v>
      </c>
    </row>
    <row r="621" spans="1:15" x14ac:dyDescent="0.25">
      <c r="A621" t="s">
        <v>9992</v>
      </c>
      <c r="B621" t="s">
        <v>9993</v>
      </c>
      <c r="C621" s="18" t="str">
        <f>HYPERLINK("https://rhld.insurance.arkansas.gov/NPILookup?Npi=1467507061","1467507061")</f>
        <v>1467507061</v>
      </c>
      <c r="D621" t="s">
        <v>20850</v>
      </c>
      <c r="E621" t="s">
        <v>19184</v>
      </c>
      <c r="F621">
        <v>1</v>
      </c>
      <c r="G621">
        <v>3</v>
      </c>
      <c r="H621">
        <v>0</v>
      </c>
      <c r="I621">
        <v>0</v>
      </c>
      <c r="J621" t="s">
        <v>23467</v>
      </c>
      <c r="K621" t="s">
        <v>18640</v>
      </c>
      <c r="L621" t="s">
        <v>18640</v>
      </c>
      <c r="M621">
        <v>3</v>
      </c>
      <c r="N621" t="s">
        <v>17367</v>
      </c>
      <c r="O621" t="s">
        <v>23391</v>
      </c>
    </row>
    <row r="622" spans="1:15" x14ac:dyDescent="0.25">
      <c r="A622" t="s">
        <v>9992</v>
      </c>
      <c r="B622" t="s">
        <v>9993</v>
      </c>
      <c r="C622" s="18" t="str">
        <f>HYPERLINK("https://rhld.insurance.arkansas.gov/NPILookup?Npi=1467651745","1467651745")</f>
        <v>1467651745</v>
      </c>
      <c r="D622" t="s">
        <v>21350</v>
      </c>
      <c r="E622" t="s">
        <v>19184</v>
      </c>
      <c r="F622">
        <v>1</v>
      </c>
      <c r="G622">
        <v>3</v>
      </c>
      <c r="H622">
        <v>0</v>
      </c>
      <c r="I622">
        <v>0</v>
      </c>
      <c r="J622" t="s">
        <v>23467</v>
      </c>
      <c r="K622" t="s">
        <v>18640</v>
      </c>
      <c r="L622" t="s">
        <v>18640</v>
      </c>
      <c r="M622">
        <v>3</v>
      </c>
      <c r="N622" t="s">
        <v>17367</v>
      </c>
      <c r="O622" t="s">
        <v>23391</v>
      </c>
    </row>
    <row r="623" spans="1:15" x14ac:dyDescent="0.25">
      <c r="A623" t="s">
        <v>9992</v>
      </c>
      <c r="B623" t="s">
        <v>9993</v>
      </c>
      <c r="C623" s="18" t="str">
        <f>HYPERLINK("https://rhld.insurance.arkansas.gov/NPILookup?Npi=1528483716","1528483716")</f>
        <v>1528483716</v>
      </c>
      <c r="D623" t="s">
        <v>22802</v>
      </c>
      <c r="E623" t="s">
        <v>19184</v>
      </c>
      <c r="F623">
        <v>1</v>
      </c>
      <c r="G623">
        <v>2</v>
      </c>
      <c r="H623">
        <v>1</v>
      </c>
      <c r="I623">
        <v>0</v>
      </c>
      <c r="J623" t="s">
        <v>23467</v>
      </c>
      <c r="K623" t="s">
        <v>18640</v>
      </c>
      <c r="L623" t="s">
        <v>23457</v>
      </c>
      <c r="M623">
        <v>1</v>
      </c>
      <c r="N623" t="s">
        <v>17367</v>
      </c>
      <c r="O623" t="s">
        <v>23458</v>
      </c>
    </row>
    <row r="624" spans="1:15" x14ac:dyDescent="0.25">
      <c r="A624" t="s">
        <v>9992</v>
      </c>
      <c r="B624" t="s">
        <v>9993</v>
      </c>
      <c r="C624" s="18" t="str">
        <f>HYPERLINK("https://rhld.insurance.arkansas.gov/NPILookup?Npi=1669016796","1669016796")</f>
        <v>1669016796</v>
      </c>
      <c r="D624" t="s">
        <v>23379</v>
      </c>
      <c r="E624" t="s">
        <v>17366</v>
      </c>
      <c r="F624">
        <v>1</v>
      </c>
      <c r="G624">
        <v>3</v>
      </c>
      <c r="H624">
        <v>0</v>
      </c>
      <c r="I624">
        <v>0</v>
      </c>
      <c r="J624" t="s">
        <v>18634</v>
      </c>
      <c r="K624" t="s">
        <v>18640</v>
      </c>
      <c r="L624" t="s">
        <v>18640</v>
      </c>
      <c r="M624">
        <v>3</v>
      </c>
      <c r="N624" t="s">
        <v>17367</v>
      </c>
      <c r="O624" t="s">
        <v>23391</v>
      </c>
    </row>
    <row r="625" spans="1:15" x14ac:dyDescent="0.25">
      <c r="A625" t="s">
        <v>9992</v>
      </c>
      <c r="B625" t="s">
        <v>9993</v>
      </c>
      <c r="C625" s="18" t="str">
        <f>HYPERLINK("https://rhld.insurance.arkansas.gov/NPILookup?Npi=1679927131","1679927131")</f>
        <v>1679927131</v>
      </c>
      <c r="D625" t="s">
        <v>21351</v>
      </c>
      <c r="E625" t="s">
        <v>19184</v>
      </c>
      <c r="F625">
        <v>1</v>
      </c>
      <c r="G625">
        <v>3</v>
      </c>
      <c r="H625">
        <v>0</v>
      </c>
      <c r="I625">
        <v>0</v>
      </c>
      <c r="J625" t="s">
        <v>23467</v>
      </c>
      <c r="K625" t="s">
        <v>18640</v>
      </c>
      <c r="L625" t="s">
        <v>18640</v>
      </c>
      <c r="M625">
        <v>3</v>
      </c>
      <c r="N625" t="s">
        <v>17367</v>
      </c>
      <c r="O625" t="s">
        <v>23391</v>
      </c>
    </row>
    <row r="626" spans="1:15" x14ac:dyDescent="0.25">
      <c r="A626" t="s">
        <v>9992</v>
      </c>
      <c r="B626" t="s">
        <v>9993</v>
      </c>
      <c r="C626" s="18" t="str">
        <f>HYPERLINK("https://rhld.insurance.arkansas.gov/NPILookup?Npi=1750884938","1750884938")</f>
        <v>1750884938</v>
      </c>
      <c r="D626" t="s">
        <v>23381</v>
      </c>
      <c r="E626" t="s">
        <v>17366</v>
      </c>
      <c r="F626">
        <v>1</v>
      </c>
      <c r="G626">
        <v>3</v>
      </c>
      <c r="H626">
        <v>0</v>
      </c>
      <c r="I626">
        <v>0</v>
      </c>
      <c r="J626" t="s">
        <v>18634</v>
      </c>
      <c r="K626" t="s">
        <v>18640</v>
      </c>
      <c r="L626" t="s">
        <v>18640</v>
      </c>
      <c r="M626">
        <v>3</v>
      </c>
      <c r="N626" t="s">
        <v>17367</v>
      </c>
      <c r="O626" t="s">
        <v>23391</v>
      </c>
    </row>
    <row r="627" spans="1:15" x14ac:dyDescent="0.25">
      <c r="A627" t="s">
        <v>9992</v>
      </c>
      <c r="B627" t="s">
        <v>9993</v>
      </c>
      <c r="C627" s="18" t="str">
        <f>HYPERLINK("https://rhld.insurance.arkansas.gov/NPILookup?Npi=1912924424","1912924424")</f>
        <v>1912924424</v>
      </c>
      <c r="D627" t="s">
        <v>9722</v>
      </c>
      <c r="E627" t="s">
        <v>19184</v>
      </c>
      <c r="F627">
        <v>1</v>
      </c>
      <c r="G627">
        <v>2</v>
      </c>
      <c r="H627">
        <v>0</v>
      </c>
      <c r="I627">
        <v>0</v>
      </c>
      <c r="J627" t="s">
        <v>23455</v>
      </c>
      <c r="K627" t="s">
        <v>18640</v>
      </c>
      <c r="L627" t="s">
        <v>18640</v>
      </c>
      <c r="M627">
        <v>2</v>
      </c>
      <c r="N627" t="s">
        <v>17367</v>
      </c>
      <c r="O627" t="s">
        <v>23391</v>
      </c>
    </row>
    <row r="628" spans="1:15" x14ac:dyDescent="0.25">
      <c r="A628" t="s">
        <v>9992</v>
      </c>
      <c r="B628" t="s">
        <v>9993</v>
      </c>
      <c r="C628" s="18" t="str">
        <f>HYPERLINK("https://rhld.insurance.arkansas.gov/NPILookup?Npi=1932286770","1932286770")</f>
        <v>1932286770</v>
      </c>
      <c r="D628" t="s">
        <v>10053</v>
      </c>
      <c r="E628" t="s">
        <v>19184</v>
      </c>
      <c r="F628">
        <v>1</v>
      </c>
      <c r="G628">
        <v>2</v>
      </c>
      <c r="H628">
        <v>0</v>
      </c>
      <c r="I628">
        <v>0</v>
      </c>
      <c r="J628" t="s">
        <v>23453</v>
      </c>
      <c r="K628" t="s">
        <v>18640</v>
      </c>
      <c r="L628" t="s">
        <v>18640</v>
      </c>
      <c r="M628">
        <v>2</v>
      </c>
      <c r="N628" t="s">
        <v>17367</v>
      </c>
      <c r="O628" t="s">
        <v>23391</v>
      </c>
    </row>
    <row r="629" spans="1:15" x14ac:dyDescent="0.25">
      <c r="A629" t="s">
        <v>9992</v>
      </c>
      <c r="B629" t="s">
        <v>9993</v>
      </c>
      <c r="C629" s="18" t="str">
        <f>HYPERLINK("https://rhld.insurance.arkansas.gov/NPILookup?Npi=1972522530","1972522530")</f>
        <v>1972522530</v>
      </c>
      <c r="D629" t="s">
        <v>21355</v>
      </c>
      <c r="E629" t="s">
        <v>19184</v>
      </c>
      <c r="F629">
        <v>1</v>
      </c>
      <c r="G629">
        <v>3</v>
      </c>
      <c r="H629">
        <v>0</v>
      </c>
      <c r="I629">
        <v>0</v>
      </c>
      <c r="J629" t="s">
        <v>23467</v>
      </c>
      <c r="K629" t="s">
        <v>18640</v>
      </c>
      <c r="L629" t="s">
        <v>18640</v>
      </c>
      <c r="M629">
        <v>3</v>
      </c>
      <c r="N629" t="s">
        <v>17367</v>
      </c>
      <c r="O629" t="s">
        <v>23391</v>
      </c>
    </row>
    <row r="630" spans="1:15" x14ac:dyDescent="0.25">
      <c r="A630" t="s">
        <v>9992</v>
      </c>
      <c r="B630" t="s">
        <v>9993</v>
      </c>
      <c r="C630" s="18" t="str">
        <f>HYPERLINK("https://rhld.insurance.arkansas.gov/NPILookup?Npi=1972750362","1972750362")</f>
        <v>1972750362</v>
      </c>
      <c r="D630" t="s">
        <v>23382</v>
      </c>
      <c r="E630" t="s">
        <v>17366</v>
      </c>
      <c r="F630">
        <v>1</v>
      </c>
      <c r="G630">
        <v>3</v>
      </c>
      <c r="H630">
        <v>0</v>
      </c>
      <c r="I630">
        <v>0</v>
      </c>
      <c r="J630" t="s">
        <v>18634</v>
      </c>
      <c r="K630" t="s">
        <v>18640</v>
      </c>
      <c r="L630" t="s">
        <v>18640</v>
      </c>
      <c r="M630">
        <v>3</v>
      </c>
      <c r="N630" t="s">
        <v>17367</v>
      </c>
      <c r="O630" t="s">
        <v>23391</v>
      </c>
    </row>
    <row r="631" spans="1:15" x14ac:dyDescent="0.25">
      <c r="K631"/>
      <c r="L631"/>
    </row>
    <row r="632" spans="1:15" x14ac:dyDescent="0.25">
      <c r="K632"/>
      <c r="L632"/>
    </row>
    <row r="633" spans="1:15" x14ac:dyDescent="0.25">
      <c r="K633"/>
      <c r="L633"/>
    </row>
    <row r="634" spans="1:15" x14ac:dyDescent="0.25">
      <c r="K634"/>
      <c r="L634"/>
    </row>
    <row r="635" spans="1:15" x14ac:dyDescent="0.25">
      <c r="K635"/>
      <c r="L635"/>
    </row>
    <row r="636" spans="1:15" x14ac:dyDescent="0.25">
      <c r="K636"/>
      <c r="L636"/>
    </row>
    <row r="637" spans="1:15" x14ac:dyDescent="0.25">
      <c r="K637"/>
      <c r="L637"/>
    </row>
    <row r="638" spans="1:15" x14ac:dyDescent="0.25">
      <c r="K638"/>
      <c r="L638"/>
    </row>
    <row r="639" spans="1:15" x14ac:dyDescent="0.25">
      <c r="K639"/>
      <c r="L639"/>
    </row>
    <row r="640" spans="1:15" x14ac:dyDescent="0.25">
      <c r="K640"/>
      <c r="L640"/>
    </row>
    <row r="641" spans="11:12" x14ac:dyDescent="0.25">
      <c r="K641"/>
      <c r="L641"/>
    </row>
    <row r="642" spans="11:12" x14ac:dyDescent="0.25">
      <c r="K642"/>
      <c r="L642"/>
    </row>
    <row r="643" spans="11:12" x14ac:dyDescent="0.25">
      <c r="K643"/>
      <c r="L643"/>
    </row>
    <row r="644" spans="11:12" x14ac:dyDescent="0.25">
      <c r="K644"/>
      <c r="L644"/>
    </row>
    <row r="645" spans="11:12" x14ac:dyDescent="0.25">
      <c r="K645"/>
      <c r="L645"/>
    </row>
    <row r="646" spans="11:12" x14ac:dyDescent="0.25">
      <c r="K646"/>
      <c r="L646"/>
    </row>
    <row r="647" spans="11:12" x14ac:dyDescent="0.25">
      <c r="K647"/>
      <c r="L647"/>
    </row>
    <row r="648" spans="11:12" x14ac:dyDescent="0.25">
      <c r="K648"/>
      <c r="L648"/>
    </row>
    <row r="649" spans="11:12" x14ac:dyDescent="0.25">
      <c r="K649"/>
      <c r="L649"/>
    </row>
    <row r="650" spans="11:12" x14ac:dyDescent="0.25">
      <c r="K650"/>
      <c r="L650"/>
    </row>
    <row r="651" spans="11:12" x14ac:dyDescent="0.25">
      <c r="K651"/>
      <c r="L651"/>
    </row>
    <row r="652" spans="11:12" x14ac:dyDescent="0.25">
      <c r="K652"/>
      <c r="L652"/>
    </row>
    <row r="653" spans="11:12" x14ac:dyDescent="0.25">
      <c r="K653"/>
      <c r="L653"/>
    </row>
    <row r="654" spans="11:12" x14ac:dyDescent="0.25">
      <c r="K654"/>
      <c r="L654"/>
    </row>
    <row r="655" spans="11:12" x14ac:dyDescent="0.25">
      <c r="K655"/>
      <c r="L655"/>
    </row>
    <row r="656" spans="11:12" x14ac:dyDescent="0.25">
      <c r="K656"/>
      <c r="L656"/>
    </row>
    <row r="657" spans="11:12" x14ac:dyDescent="0.25">
      <c r="K657"/>
      <c r="L657"/>
    </row>
    <row r="658" spans="11:12" x14ac:dyDescent="0.25">
      <c r="K658"/>
      <c r="L658"/>
    </row>
    <row r="659" spans="11:12" x14ac:dyDescent="0.25">
      <c r="K659"/>
      <c r="L659"/>
    </row>
    <row r="660" spans="11:12" x14ac:dyDescent="0.25">
      <c r="K660"/>
      <c r="L660"/>
    </row>
    <row r="661" spans="11:12" x14ac:dyDescent="0.25">
      <c r="K661"/>
      <c r="L661"/>
    </row>
    <row r="662" spans="11:12" x14ac:dyDescent="0.25">
      <c r="K662"/>
      <c r="L662"/>
    </row>
    <row r="663" spans="11:12" x14ac:dyDescent="0.25">
      <c r="K663"/>
      <c r="L663"/>
    </row>
    <row r="664" spans="11:12" x14ac:dyDescent="0.25">
      <c r="K664"/>
      <c r="L664"/>
    </row>
    <row r="665" spans="11:12" x14ac:dyDescent="0.25">
      <c r="K665"/>
      <c r="L665"/>
    </row>
    <row r="666" spans="11:12" x14ac:dyDescent="0.25">
      <c r="K666"/>
      <c r="L666"/>
    </row>
    <row r="667" spans="11:12" x14ac:dyDescent="0.25">
      <c r="K667"/>
      <c r="L667"/>
    </row>
    <row r="668" spans="11:12" x14ac:dyDescent="0.25">
      <c r="K668"/>
      <c r="L668"/>
    </row>
    <row r="669" spans="11:12" x14ac:dyDescent="0.25">
      <c r="K669"/>
      <c r="L669"/>
    </row>
    <row r="670" spans="11:12" x14ac:dyDescent="0.25">
      <c r="K670"/>
      <c r="L670"/>
    </row>
    <row r="671" spans="11:12" x14ac:dyDescent="0.25">
      <c r="K671"/>
      <c r="L671"/>
    </row>
    <row r="672" spans="11:12" x14ac:dyDescent="0.25">
      <c r="K672"/>
      <c r="L672"/>
    </row>
    <row r="673" spans="11:12" x14ac:dyDescent="0.25">
      <c r="K673"/>
      <c r="L673"/>
    </row>
    <row r="674" spans="11:12" x14ac:dyDescent="0.25">
      <c r="K674"/>
      <c r="L674"/>
    </row>
    <row r="675" spans="11:12" x14ac:dyDescent="0.25">
      <c r="K675"/>
      <c r="L675"/>
    </row>
    <row r="676" spans="11:12" x14ac:dyDescent="0.25">
      <c r="K676"/>
      <c r="L676"/>
    </row>
    <row r="677" spans="11:12" x14ac:dyDescent="0.25">
      <c r="K677"/>
      <c r="L677"/>
    </row>
    <row r="678" spans="11:12" x14ac:dyDescent="0.25">
      <c r="K678"/>
      <c r="L678"/>
    </row>
    <row r="679" spans="11:12" x14ac:dyDescent="0.25">
      <c r="K679"/>
      <c r="L679"/>
    </row>
    <row r="680" spans="11:12" x14ac:dyDescent="0.25">
      <c r="K680"/>
      <c r="L680"/>
    </row>
    <row r="681" spans="11:12" x14ac:dyDescent="0.25">
      <c r="K681"/>
      <c r="L681"/>
    </row>
    <row r="682" spans="11:12" x14ac:dyDescent="0.25">
      <c r="K682"/>
      <c r="L682"/>
    </row>
    <row r="683" spans="11:12" x14ac:dyDescent="0.25">
      <c r="K683"/>
      <c r="L683"/>
    </row>
    <row r="684" spans="11:12" x14ac:dyDescent="0.25">
      <c r="K684"/>
      <c r="L684"/>
    </row>
    <row r="685" spans="11:12" x14ac:dyDescent="0.25">
      <c r="K685"/>
      <c r="L685"/>
    </row>
    <row r="686" spans="11:12" x14ac:dyDescent="0.25">
      <c r="K686"/>
      <c r="L686"/>
    </row>
    <row r="687" spans="11:12" x14ac:dyDescent="0.25">
      <c r="K687"/>
      <c r="L687"/>
    </row>
    <row r="688" spans="11:12" x14ac:dyDescent="0.25">
      <c r="K688"/>
      <c r="L688"/>
    </row>
    <row r="689" spans="11:12" x14ac:dyDescent="0.25">
      <c r="K689"/>
      <c r="L689"/>
    </row>
    <row r="690" spans="11:12" x14ac:dyDescent="0.25">
      <c r="K690"/>
      <c r="L690"/>
    </row>
    <row r="691" spans="11:12" x14ac:dyDescent="0.25">
      <c r="K691"/>
      <c r="L691"/>
    </row>
    <row r="692" spans="11:12" x14ac:dyDescent="0.25">
      <c r="K692"/>
      <c r="L692"/>
    </row>
    <row r="693" spans="11:12" x14ac:dyDescent="0.25">
      <c r="K693"/>
      <c r="L693"/>
    </row>
    <row r="694" spans="11:12" x14ac:dyDescent="0.25">
      <c r="K694"/>
      <c r="L694"/>
    </row>
    <row r="695" spans="11:12" x14ac:dyDescent="0.25">
      <c r="K695"/>
      <c r="L695"/>
    </row>
    <row r="696" spans="11:12" x14ac:dyDescent="0.25">
      <c r="K696"/>
      <c r="L696"/>
    </row>
    <row r="697" spans="11:12" x14ac:dyDescent="0.25">
      <c r="K697"/>
      <c r="L697"/>
    </row>
    <row r="698" spans="11:12" x14ac:dyDescent="0.25">
      <c r="K698"/>
      <c r="L698"/>
    </row>
    <row r="699" spans="11:12" x14ac:dyDescent="0.25">
      <c r="K699"/>
      <c r="L699"/>
    </row>
    <row r="700" spans="11:12" x14ac:dyDescent="0.25">
      <c r="K700"/>
      <c r="L700"/>
    </row>
    <row r="701" spans="11:12" x14ac:dyDescent="0.25">
      <c r="K701"/>
      <c r="L701"/>
    </row>
    <row r="702" spans="11:12" x14ac:dyDescent="0.25">
      <c r="K702"/>
      <c r="L702"/>
    </row>
    <row r="703" spans="11:12" x14ac:dyDescent="0.25">
      <c r="K703"/>
      <c r="L703"/>
    </row>
    <row r="704" spans="11:12" x14ac:dyDescent="0.25">
      <c r="K704"/>
      <c r="L704"/>
    </row>
    <row r="705" spans="11:12" x14ac:dyDescent="0.25">
      <c r="K705"/>
      <c r="L705"/>
    </row>
    <row r="706" spans="11:12" x14ac:dyDescent="0.25">
      <c r="K706"/>
      <c r="L706"/>
    </row>
    <row r="707" spans="11:12" x14ac:dyDescent="0.25">
      <c r="K707"/>
      <c r="L707"/>
    </row>
    <row r="708" spans="11:12" x14ac:dyDescent="0.25">
      <c r="K708"/>
      <c r="L708"/>
    </row>
    <row r="709" spans="11:12" x14ac:dyDescent="0.25">
      <c r="K709"/>
      <c r="L709"/>
    </row>
    <row r="710" spans="11:12" x14ac:dyDescent="0.25">
      <c r="K710"/>
      <c r="L710"/>
    </row>
    <row r="711" spans="11:12" x14ac:dyDescent="0.25">
      <c r="K711"/>
      <c r="L711"/>
    </row>
    <row r="712" spans="11:12" x14ac:dyDescent="0.25">
      <c r="K712"/>
      <c r="L712"/>
    </row>
    <row r="713" spans="11:12" x14ac:dyDescent="0.25">
      <c r="K713"/>
      <c r="L713"/>
    </row>
    <row r="714" spans="11:12" x14ac:dyDescent="0.25">
      <c r="K714"/>
      <c r="L714"/>
    </row>
    <row r="715" spans="11:12" x14ac:dyDescent="0.25">
      <c r="K715"/>
      <c r="L715"/>
    </row>
    <row r="716" spans="11:12" x14ac:dyDescent="0.25">
      <c r="K716"/>
      <c r="L716"/>
    </row>
    <row r="717" spans="11:12" x14ac:dyDescent="0.25">
      <c r="K717"/>
      <c r="L717"/>
    </row>
    <row r="718" spans="11:12" x14ac:dyDescent="0.25">
      <c r="K718"/>
      <c r="L718"/>
    </row>
    <row r="719" spans="11:12" x14ac:dyDescent="0.25">
      <c r="K719"/>
      <c r="L719"/>
    </row>
    <row r="720" spans="11:12" x14ac:dyDescent="0.25">
      <c r="K720"/>
      <c r="L720"/>
    </row>
    <row r="721" spans="11:12" x14ac:dyDescent="0.25">
      <c r="K721"/>
      <c r="L721"/>
    </row>
    <row r="722" spans="11:12" x14ac:dyDescent="0.25">
      <c r="K722"/>
      <c r="L722"/>
    </row>
    <row r="723" spans="11:12" x14ac:dyDescent="0.25">
      <c r="K723"/>
      <c r="L723"/>
    </row>
    <row r="724" spans="11:12" x14ac:dyDescent="0.25">
      <c r="K724"/>
      <c r="L724"/>
    </row>
    <row r="725" spans="11:12" x14ac:dyDescent="0.25">
      <c r="K725"/>
      <c r="L725"/>
    </row>
    <row r="726" spans="11:12" x14ac:dyDescent="0.25">
      <c r="K726"/>
      <c r="L726"/>
    </row>
    <row r="727" spans="11:12" x14ac:dyDescent="0.25">
      <c r="K727"/>
      <c r="L727"/>
    </row>
    <row r="728" spans="11:12" x14ac:dyDescent="0.25">
      <c r="K728"/>
      <c r="L728"/>
    </row>
    <row r="729" spans="11:12" x14ac:dyDescent="0.25">
      <c r="K729"/>
      <c r="L729"/>
    </row>
    <row r="730" spans="11:12" x14ac:dyDescent="0.25">
      <c r="K730"/>
      <c r="L730"/>
    </row>
    <row r="731" spans="11:12" x14ac:dyDescent="0.25">
      <c r="K731"/>
      <c r="L731"/>
    </row>
    <row r="732" spans="11:12" x14ac:dyDescent="0.25">
      <c r="K732"/>
      <c r="L732"/>
    </row>
    <row r="733" spans="11:12" x14ac:dyDescent="0.25">
      <c r="K733"/>
      <c r="L733"/>
    </row>
    <row r="734" spans="11:12" x14ac:dyDescent="0.25">
      <c r="K734"/>
      <c r="L734"/>
    </row>
    <row r="735" spans="11:12" x14ac:dyDescent="0.25">
      <c r="K735"/>
      <c r="L735"/>
    </row>
    <row r="736" spans="11:12" x14ac:dyDescent="0.25">
      <c r="K736"/>
      <c r="L736"/>
    </row>
    <row r="737" spans="11:12" x14ac:dyDescent="0.25">
      <c r="K737"/>
      <c r="L737"/>
    </row>
    <row r="738" spans="11:12" x14ac:dyDescent="0.25">
      <c r="K738"/>
      <c r="L738"/>
    </row>
    <row r="739" spans="11:12" x14ac:dyDescent="0.25">
      <c r="K739"/>
      <c r="L739"/>
    </row>
    <row r="740" spans="11:12" x14ac:dyDescent="0.25">
      <c r="K740"/>
      <c r="L740"/>
    </row>
    <row r="741" spans="11:12" x14ac:dyDescent="0.25">
      <c r="K741"/>
      <c r="L741"/>
    </row>
    <row r="742" spans="11:12" x14ac:dyDescent="0.25">
      <c r="K742"/>
      <c r="L742"/>
    </row>
    <row r="743" spans="11:12" x14ac:dyDescent="0.25">
      <c r="K743"/>
      <c r="L743"/>
    </row>
    <row r="744" spans="11:12" x14ac:dyDescent="0.25">
      <c r="K744"/>
      <c r="L744"/>
    </row>
    <row r="745" spans="11:12" x14ac:dyDescent="0.25">
      <c r="K745"/>
      <c r="L745"/>
    </row>
    <row r="746" spans="11:12" x14ac:dyDescent="0.25">
      <c r="K746"/>
      <c r="L746"/>
    </row>
    <row r="747" spans="11:12" x14ac:dyDescent="0.25">
      <c r="K747"/>
      <c r="L747"/>
    </row>
    <row r="748" spans="11:12" x14ac:dyDescent="0.25">
      <c r="K748"/>
      <c r="L748"/>
    </row>
    <row r="749" spans="11:12" x14ac:dyDescent="0.25">
      <c r="K749"/>
      <c r="L749"/>
    </row>
    <row r="750" spans="11:12" x14ac:dyDescent="0.25">
      <c r="K750"/>
      <c r="L750"/>
    </row>
    <row r="751" spans="11:12" x14ac:dyDescent="0.25">
      <c r="K751"/>
      <c r="L751"/>
    </row>
    <row r="752" spans="11:12" x14ac:dyDescent="0.25">
      <c r="K752"/>
      <c r="L752"/>
    </row>
    <row r="753" spans="11:12" x14ac:dyDescent="0.25">
      <c r="K753"/>
      <c r="L753"/>
    </row>
    <row r="754" spans="11:12" x14ac:dyDescent="0.25">
      <c r="K754"/>
      <c r="L754"/>
    </row>
    <row r="755" spans="11:12" x14ac:dyDescent="0.25">
      <c r="K755"/>
      <c r="L755"/>
    </row>
    <row r="756" spans="11:12" x14ac:dyDescent="0.25">
      <c r="K756"/>
      <c r="L756"/>
    </row>
    <row r="757" spans="11:12" x14ac:dyDescent="0.25">
      <c r="K757"/>
      <c r="L757"/>
    </row>
    <row r="758" spans="11:12" x14ac:dyDescent="0.25">
      <c r="K758"/>
      <c r="L758"/>
    </row>
    <row r="759" spans="11:12" x14ac:dyDescent="0.25">
      <c r="K759"/>
      <c r="L759"/>
    </row>
    <row r="760" spans="11:12" x14ac:dyDescent="0.25">
      <c r="K760"/>
      <c r="L760"/>
    </row>
    <row r="761" spans="11:12" x14ac:dyDescent="0.25">
      <c r="K761"/>
      <c r="L761"/>
    </row>
    <row r="762" spans="11:12" x14ac:dyDescent="0.25">
      <c r="K762"/>
      <c r="L762"/>
    </row>
    <row r="763" spans="11:12" x14ac:dyDescent="0.25">
      <c r="K763"/>
      <c r="L763"/>
    </row>
    <row r="764" spans="11:12" x14ac:dyDescent="0.25">
      <c r="K764"/>
      <c r="L764"/>
    </row>
    <row r="765" spans="11:12" x14ac:dyDescent="0.25">
      <c r="K765"/>
      <c r="L765"/>
    </row>
    <row r="766" spans="11:12" x14ac:dyDescent="0.25">
      <c r="K766"/>
      <c r="L766"/>
    </row>
    <row r="767" spans="11:12" x14ac:dyDescent="0.25">
      <c r="K767"/>
      <c r="L767"/>
    </row>
    <row r="768" spans="11:12" x14ac:dyDescent="0.25">
      <c r="K768"/>
      <c r="L768"/>
    </row>
    <row r="769" spans="11:12" x14ac:dyDescent="0.25">
      <c r="K769"/>
      <c r="L769"/>
    </row>
    <row r="770" spans="11:12" x14ac:dyDescent="0.25">
      <c r="K770"/>
      <c r="L770"/>
    </row>
    <row r="771" spans="11:12" x14ac:dyDescent="0.25">
      <c r="K771"/>
      <c r="L771"/>
    </row>
    <row r="772" spans="11:12" x14ac:dyDescent="0.25">
      <c r="K772"/>
      <c r="L772"/>
    </row>
    <row r="773" spans="11:12" x14ac:dyDescent="0.25">
      <c r="K773"/>
      <c r="L773"/>
    </row>
    <row r="774" spans="11:12" x14ac:dyDescent="0.25">
      <c r="K774"/>
      <c r="L774"/>
    </row>
    <row r="775" spans="11:12" x14ac:dyDescent="0.25">
      <c r="K775"/>
      <c r="L775"/>
    </row>
    <row r="776" spans="11:12" x14ac:dyDescent="0.25">
      <c r="K776"/>
      <c r="L776"/>
    </row>
    <row r="777" spans="11:12" x14ac:dyDescent="0.25">
      <c r="K777"/>
      <c r="L777"/>
    </row>
    <row r="778" spans="11:12" x14ac:dyDescent="0.25">
      <c r="K778"/>
      <c r="L778"/>
    </row>
    <row r="779" spans="11:12" x14ac:dyDescent="0.25">
      <c r="K779"/>
      <c r="L779"/>
    </row>
    <row r="780" spans="11:12" x14ac:dyDescent="0.25">
      <c r="K780"/>
      <c r="L780"/>
    </row>
    <row r="781" spans="11:12" x14ac:dyDescent="0.25">
      <c r="K781"/>
      <c r="L781"/>
    </row>
    <row r="782" spans="11:12" x14ac:dyDescent="0.25">
      <c r="K782"/>
      <c r="L782"/>
    </row>
    <row r="783" spans="11:12" x14ac:dyDescent="0.25">
      <c r="K783"/>
      <c r="L783"/>
    </row>
    <row r="784" spans="11:12" x14ac:dyDescent="0.25">
      <c r="K784"/>
      <c r="L784"/>
    </row>
    <row r="785" spans="11:12" x14ac:dyDescent="0.25">
      <c r="K785"/>
      <c r="L785"/>
    </row>
    <row r="786" spans="11:12" x14ac:dyDescent="0.25">
      <c r="K786"/>
      <c r="L786"/>
    </row>
    <row r="787" spans="11:12" x14ac:dyDescent="0.25">
      <c r="K787"/>
      <c r="L787"/>
    </row>
    <row r="788" spans="11:12" x14ac:dyDescent="0.25">
      <c r="K788"/>
      <c r="L788"/>
    </row>
    <row r="789" spans="11:12" x14ac:dyDescent="0.25">
      <c r="K789"/>
      <c r="L789"/>
    </row>
    <row r="790" spans="11:12" x14ac:dyDescent="0.25">
      <c r="K790"/>
      <c r="L790"/>
    </row>
    <row r="791" spans="11:12" x14ac:dyDescent="0.25">
      <c r="K791"/>
      <c r="L791"/>
    </row>
    <row r="792" spans="11:12" x14ac:dyDescent="0.25">
      <c r="K792"/>
      <c r="L792"/>
    </row>
    <row r="793" spans="11:12" x14ac:dyDescent="0.25">
      <c r="K793"/>
      <c r="L793"/>
    </row>
    <row r="794" spans="11:12" x14ac:dyDescent="0.25">
      <c r="K794"/>
      <c r="L794"/>
    </row>
    <row r="795" spans="11:12" x14ac:dyDescent="0.25">
      <c r="K795"/>
      <c r="L795"/>
    </row>
    <row r="796" spans="11:12" x14ac:dyDescent="0.25">
      <c r="K796"/>
      <c r="L796"/>
    </row>
    <row r="797" spans="11:12" x14ac:dyDescent="0.25">
      <c r="K797"/>
      <c r="L797"/>
    </row>
    <row r="798" spans="11:12" x14ac:dyDescent="0.25">
      <c r="K798"/>
      <c r="L798"/>
    </row>
    <row r="799" spans="11:12" x14ac:dyDescent="0.25">
      <c r="K799"/>
      <c r="L799"/>
    </row>
    <row r="800" spans="11:12" x14ac:dyDescent="0.25">
      <c r="K800"/>
      <c r="L800"/>
    </row>
    <row r="801" spans="11:12" x14ac:dyDescent="0.25">
      <c r="K801"/>
      <c r="L801"/>
    </row>
    <row r="802" spans="11:12" x14ac:dyDescent="0.25">
      <c r="K802"/>
      <c r="L802"/>
    </row>
    <row r="803" spans="11:12" x14ac:dyDescent="0.25">
      <c r="K803"/>
      <c r="L803"/>
    </row>
    <row r="804" spans="11:12" x14ac:dyDescent="0.25">
      <c r="K804"/>
      <c r="L804"/>
    </row>
    <row r="805" spans="11:12" x14ac:dyDescent="0.25">
      <c r="K805"/>
      <c r="L805"/>
    </row>
    <row r="806" spans="11:12" x14ac:dyDescent="0.25">
      <c r="K806"/>
      <c r="L806"/>
    </row>
    <row r="807" spans="11:12" x14ac:dyDescent="0.25">
      <c r="K807"/>
      <c r="L807"/>
    </row>
    <row r="808" spans="11:12" x14ac:dyDescent="0.25">
      <c r="K808"/>
      <c r="L808"/>
    </row>
    <row r="809" spans="11:12" x14ac:dyDescent="0.25">
      <c r="K809"/>
      <c r="L809"/>
    </row>
    <row r="810" spans="11:12" x14ac:dyDescent="0.25">
      <c r="K810"/>
      <c r="L810"/>
    </row>
    <row r="811" spans="11:12" x14ac:dyDescent="0.25">
      <c r="K811"/>
      <c r="L811"/>
    </row>
    <row r="812" spans="11:12" x14ac:dyDescent="0.25">
      <c r="K812"/>
      <c r="L812"/>
    </row>
    <row r="813" spans="11:12" x14ac:dyDescent="0.25">
      <c r="K813"/>
      <c r="L813"/>
    </row>
    <row r="814" spans="11:12" x14ac:dyDescent="0.25">
      <c r="K814"/>
      <c r="L814"/>
    </row>
    <row r="815" spans="11:12" x14ac:dyDescent="0.25">
      <c r="K815"/>
      <c r="L815"/>
    </row>
    <row r="816" spans="11:12" x14ac:dyDescent="0.25">
      <c r="K816"/>
      <c r="L816"/>
    </row>
    <row r="817" spans="11:12" x14ac:dyDescent="0.25">
      <c r="K817"/>
      <c r="L817"/>
    </row>
    <row r="818" spans="11:12" x14ac:dyDescent="0.25">
      <c r="K818"/>
      <c r="L818"/>
    </row>
    <row r="819" spans="11:12" x14ac:dyDescent="0.25">
      <c r="K819"/>
      <c r="L819"/>
    </row>
    <row r="820" spans="11:12" x14ac:dyDescent="0.25">
      <c r="K820"/>
      <c r="L820"/>
    </row>
    <row r="821" spans="11:12" x14ac:dyDescent="0.25">
      <c r="K821"/>
      <c r="L821"/>
    </row>
    <row r="822" spans="11:12" x14ac:dyDescent="0.25">
      <c r="K822"/>
      <c r="L822"/>
    </row>
    <row r="823" spans="11:12" x14ac:dyDescent="0.25">
      <c r="K823"/>
      <c r="L823"/>
    </row>
    <row r="824" spans="11:12" x14ac:dyDescent="0.25">
      <c r="K824"/>
      <c r="L824"/>
    </row>
    <row r="825" spans="11:12" x14ac:dyDescent="0.25">
      <c r="K825"/>
      <c r="L825"/>
    </row>
    <row r="826" spans="11:12" x14ac:dyDescent="0.25">
      <c r="K826"/>
      <c r="L826"/>
    </row>
    <row r="827" spans="11:12" x14ac:dyDescent="0.25">
      <c r="K827"/>
      <c r="L827"/>
    </row>
    <row r="828" spans="11:12" x14ac:dyDescent="0.25">
      <c r="K828"/>
      <c r="L828"/>
    </row>
    <row r="829" spans="11:12" x14ac:dyDescent="0.25">
      <c r="K829"/>
      <c r="L829"/>
    </row>
    <row r="830" spans="11:12" x14ac:dyDescent="0.25">
      <c r="K830"/>
      <c r="L830"/>
    </row>
    <row r="831" spans="11:12" x14ac:dyDescent="0.25">
      <c r="K831"/>
      <c r="L831"/>
    </row>
    <row r="832" spans="11:12" x14ac:dyDescent="0.25">
      <c r="K832"/>
      <c r="L832"/>
    </row>
    <row r="833" spans="11:12" x14ac:dyDescent="0.25">
      <c r="K833"/>
      <c r="L833"/>
    </row>
    <row r="834" spans="11:12" x14ac:dyDescent="0.25">
      <c r="K834"/>
      <c r="L834"/>
    </row>
    <row r="835" spans="11:12" x14ac:dyDescent="0.25">
      <c r="K835"/>
      <c r="L835"/>
    </row>
    <row r="836" spans="11:12" x14ac:dyDescent="0.25">
      <c r="K836"/>
      <c r="L836"/>
    </row>
    <row r="837" spans="11:12" x14ac:dyDescent="0.25">
      <c r="K837"/>
      <c r="L837"/>
    </row>
    <row r="838" spans="11:12" x14ac:dyDescent="0.25">
      <c r="K838"/>
      <c r="L838"/>
    </row>
    <row r="839" spans="11:12" x14ac:dyDescent="0.25">
      <c r="K839"/>
      <c r="L839"/>
    </row>
    <row r="840" spans="11:12" x14ac:dyDescent="0.25">
      <c r="K840"/>
      <c r="L840"/>
    </row>
    <row r="841" spans="11:12" x14ac:dyDescent="0.25">
      <c r="K841"/>
      <c r="L841"/>
    </row>
    <row r="842" spans="11:12" x14ac:dyDescent="0.25">
      <c r="K842"/>
      <c r="L842"/>
    </row>
    <row r="843" spans="11:12" x14ac:dyDescent="0.25">
      <c r="K843"/>
      <c r="L843"/>
    </row>
    <row r="844" spans="11:12" x14ac:dyDescent="0.25">
      <c r="K844"/>
      <c r="L844"/>
    </row>
    <row r="845" spans="11:12" x14ac:dyDescent="0.25">
      <c r="K845"/>
      <c r="L845"/>
    </row>
    <row r="846" spans="11:12" x14ac:dyDescent="0.25">
      <c r="K846"/>
      <c r="L846"/>
    </row>
    <row r="847" spans="11:12" x14ac:dyDescent="0.25">
      <c r="K847"/>
      <c r="L847"/>
    </row>
    <row r="848" spans="11:12" x14ac:dyDescent="0.25">
      <c r="K848"/>
      <c r="L848"/>
    </row>
    <row r="849" spans="11:12" x14ac:dyDescent="0.25">
      <c r="K849"/>
      <c r="L849"/>
    </row>
    <row r="850" spans="11:12" x14ac:dyDescent="0.25">
      <c r="K850"/>
      <c r="L850"/>
    </row>
    <row r="851" spans="11:12" x14ac:dyDescent="0.25">
      <c r="K851"/>
      <c r="L851"/>
    </row>
    <row r="852" spans="11:12" x14ac:dyDescent="0.25">
      <c r="K852"/>
      <c r="L852"/>
    </row>
    <row r="853" spans="11:12" x14ac:dyDescent="0.25">
      <c r="K853"/>
      <c r="L853"/>
    </row>
    <row r="854" spans="11:12" x14ac:dyDescent="0.25">
      <c r="K854"/>
      <c r="L854"/>
    </row>
    <row r="855" spans="11:12" x14ac:dyDescent="0.25">
      <c r="K855"/>
      <c r="L855"/>
    </row>
    <row r="856" spans="11:12" x14ac:dyDescent="0.25">
      <c r="K856"/>
      <c r="L856"/>
    </row>
    <row r="857" spans="11:12" x14ac:dyDescent="0.25">
      <c r="K857"/>
      <c r="L857"/>
    </row>
    <row r="858" spans="11:12" x14ac:dyDescent="0.25">
      <c r="K858"/>
      <c r="L858"/>
    </row>
    <row r="859" spans="11:12" x14ac:dyDescent="0.25">
      <c r="K859"/>
      <c r="L859"/>
    </row>
    <row r="860" spans="11:12" x14ac:dyDescent="0.25">
      <c r="K860"/>
      <c r="L860"/>
    </row>
    <row r="861" spans="11:12" x14ac:dyDescent="0.25">
      <c r="K861"/>
      <c r="L861"/>
    </row>
    <row r="862" spans="11:12" x14ac:dyDescent="0.25">
      <c r="K862"/>
      <c r="L862"/>
    </row>
    <row r="863" spans="11:12" x14ac:dyDescent="0.25">
      <c r="K863"/>
      <c r="L863"/>
    </row>
    <row r="864" spans="11:12" x14ac:dyDescent="0.25">
      <c r="K864"/>
      <c r="L864"/>
    </row>
    <row r="865" spans="11:12" x14ac:dyDescent="0.25">
      <c r="K865"/>
      <c r="L865"/>
    </row>
    <row r="866" spans="11:12" x14ac:dyDescent="0.25">
      <c r="K866"/>
      <c r="L866"/>
    </row>
    <row r="867" spans="11:12" x14ac:dyDescent="0.25">
      <c r="K867"/>
      <c r="L867"/>
    </row>
    <row r="868" spans="11:12" x14ac:dyDescent="0.25">
      <c r="K868"/>
      <c r="L868"/>
    </row>
    <row r="869" spans="11:12" x14ac:dyDescent="0.25">
      <c r="K869"/>
      <c r="L869"/>
    </row>
    <row r="870" spans="11:12" x14ac:dyDescent="0.25">
      <c r="K870"/>
      <c r="L870"/>
    </row>
    <row r="871" spans="11:12" x14ac:dyDescent="0.25">
      <c r="K871"/>
      <c r="L871"/>
    </row>
    <row r="872" spans="11:12" x14ac:dyDescent="0.25">
      <c r="K872"/>
      <c r="L872"/>
    </row>
    <row r="873" spans="11:12" x14ac:dyDescent="0.25">
      <c r="K873"/>
      <c r="L873"/>
    </row>
    <row r="874" spans="11:12" x14ac:dyDescent="0.25">
      <c r="K874"/>
      <c r="L874"/>
    </row>
    <row r="875" spans="11:12" x14ac:dyDescent="0.25">
      <c r="K875"/>
      <c r="L875"/>
    </row>
    <row r="876" spans="11:12" x14ac:dyDescent="0.25">
      <c r="K876"/>
      <c r="L876"/>
    </row>
    <row r="877" spans="11:12" x14ac:dyDescent="0.25">
      <c r="K877"/>
      <c r="L877"/>
    </row>
    <row r="878" spans="11:12" x14ac:dyDescent="0.25">
      <c r="K878"/>
      <c r="L878"/>
    </row>
    <row r="879" spans="11:12" x14ac:dyDescent="0.25">
      <c r="K879"/>
      <c r="L879"/>
    </row>
    <row r="880" spans="11:12" x14ac:dyDescent="0.25">
      <c r="K880"/>
      <c r="L880"/>
    </row>
    <row r="881" spans="11:12" x14ac:dyDescent="0.25">
      <c r="K881"/>
      <c r="L881"/>
    </row>
    <row r="882" spans="11:12" x14ac:dyDescent="0.25">
      <c r="K882"/>
      <c r="L882"/>
    </row>
    <row r="883" spans="11:12" x14ac:dyDescent="0.25">
      <c r="K883"/>
      <c r="L883"/>
    </row>
    <row r="884" spans="11:12" x14ac:dyDescent="0.25">
      <c r="K884"/>
      <c r="L884"/>
    </row>
    <row r="885" spans="11:12" x14ac:dyDescent="0.25">
      <c r="K885"/>
      <c r="L885"/>
    </row>
    <row r="886" spans="11:12" x14ac:dyDescent="0.25">
      <c r="K886"/>
      <c r="L886"/>
    </row>
    <row r="887" spans="11:12" x14ac:dyDescent="0.25">
      <c r="K887"/>
      <c r="L887"/>
    </row>
    <row r="888" spans="11:12" x14ac:dyDescent="0.25">
      <c r="K888"/>
      <c r="L888"/>
    </row>
    <row r="889" spans="11:12" x14ac:dyDescent="0.25">
      <c r="K889"/>
      <c r="L889"/>
    </row>
    <row r="890" spans="11:12" x14ac:dyDescent="0.25">
      <c r="K890"/>
      <c r="L890"/>
    </row>
    <row r="891" spans="11:12" x14ac:dyDescent="0.25">
      <c r="K891"/>
      <c r="L891"/>
    </row>
    <row r="892" spans="11:12" x14ac:dyDescent="0.25">
      <c r="K892"/>
      <c r="L892"/>
    </row>
    <row r="893" spans="11:12" x14ac:dyDescent="0.25">
      <c r="K893"/>
      <c r="L893"/>
    </row>
    <row r="894" spans="11:12" x14ac:dyDescent="0.25">
      <c r="K894"/>
      <c r="L894"/>
    </row>
    <row r="895" spans="11:12" x14ac:dyDescent="0.25">
      <c r="K895"/>
      <c r="L895"/>
    </row>
    <row r="896" spans="11:12" x14ac:dyDescent="0.25">
      <c r="K896"/>
      <c r="L896"/>
    </row>
    <row r="897" spans="11:12" x14ac:dyDescent="0.25">
      <c r="K897"/>
      <c r="L897"/>
    </row>
    <row r="898" spans="11:12" x14ac:dyDescent="0.25">
      <c r="K898"/>
      <c r="L898"/>
    </row>
    <row r="899" spans="11:12" x14ac:dyDescent="0.25">
      <c r="K899"/>
      <c r="L899"/>
    </row>
    <row r="900" spans="11:12" x14ac:dyDescent="0.25">
      <c r="K900"/>
      <c r="L900"/>
    </row>
    <row r="901" spans="11:12" x14ac:dyDescent="0.25">
      <c r="K901"/>
      <c r="L901"/>
    </row>
    <row r="902" spans="11:12" x14ac:dyDescent="0.25">
      <c r="K902"/>
      <c r="L902"/>
    </row>
    <row r="903" spans="11:12" x14ac:dyDescent="0.25">
      <c r="K903"/>
      <c r="L903"/>
    </row>
    <row r="904" spans="11:12" x14ac:dyDescent="0.25">
      <c r="K904"/>
      <c r="L904"/>
    </row>
    <row r="905" spans="11:12" x14ac:dyDescent="0.25">
      <c r="K905"/>
      <c r="L905"/>
    </row>
    <row r="906" spans="11:12" x14ac:dyDescent="0.25">
      <c r="K906"/>
      <c r="L906"/>
    </row>
    <row r="907" spans="11:12" x14ac:dyDescent="0.25">
      <c r="K907"/>
      <c r="L907"/>
    </row>
    <row r="908" spans="11:12" x14ac:dyDescent="0.25">
      <c r="K908"/>
      <c r="L908"/>
    </row>
    <row r="909" spans="11:12" x14ac:dyDescent="0.25">
      <c r="K909"/>
      <c r="L909"/>
    </row>
    <row r="910" spans="11:12" x14ac:dyDescent="0.25">
      <c r="K910"/>
      <c r="L910"/>
    </row>
    <row r="911" spans="11:12" x14ac:dyDescent="0.25">
      <c r="K911"/>
      <c r="L911"/>
    </row>
    <row r="912" spans="11:12" x14ac:dyDescent="0.25">
      <c r="K912"/>
      <c r="L912"/>
    </row>
    <row r="913" spans="11:12" x14ac:dyDescent="0.25">
      <c r="K913"/>
      <c r="L913"/>
    </row>
    <row r="914" spans="11:12" x14ac:dyDescent="0.25">
      <c r="K914"/>
      <c r="L914"/>
    </row>
    <row r="915" spans="11:12" x14ac:dyDescent="0.25">
      <c r="K915"/>
      <c r="L915"/>
    </row>
    <row r="916" spans="11:12" x14ac:dyDescent="0.25">
      <c r="K916"/>
      <c r="L916"/>
    </row>
    <row r="917" spans="11:12" x14ac:dyDescent="0.25">
      <c r="K917"/>
      <c r="L917"/>
    </row>
    <row r="918" spans="11:12" x14ac:dyDescent="0.25">
      <c r="K918"/>
      <c r="L918"/>
    </row>
    <row r="919" spans="11:12" x14ac:dyDescent="0.25">
      <c r="K919"/>
      <c r="L919"/>
    </row>
    <row r="920" spans="11:12" x14ac:dyDescent="0.25">
      <c r="K920"/>
      <c r="L920"/>
    </row>
    <row r="921" spans="11:12" x14ac:dyDescent="0.25">
      <c r="K921"/>
      <c r="L921"/>
    </row>
    <row r="922" spans="11:12" x14ac:dyDescent="0.25">
      <c r="K922"/>
      <c r="L922"/>
    </row>
    <row r="923" spans="11:12" x14ac:dyDescent="0.25">
      <c r="K923"/>
      <c r="L923"/>
    </row>
    <row r="924" spans="11:12" x14ac:dyDescent="0.25">
      <c r="K924"/>
      <c r="L924"/>
    </row>
    <row r="925" spans="11:12" x14ac:dyDescent="0.25">
      <c r="K925"/>
      <c r="L925"/>
    </row>
    <row r="926" spans="11:12" x14ac:dyDescent="0.25">
      <c r="K926"/>
      <c r="L926"/>
    </row>
    <row r="927" spans="11:12" x14ac:dyDescent="0.25">
      <c r="K927"/>
      <c r="L927"/>
    </row>
    <row r="928" spans="11:12" x14ac:dyDescent="0.25">
      <c r="K928"/>
      <c r="L928"/>
    </row>
    <row r="929" spans="11:12" x14ac:dyDescent="0.25">
      <c r="K929"/>
      <c r="L929"/>
    </row>
    <row r="930" spans="11:12" x14ac:dyDescent="0.25">
      <c r="K930"/>
      <c r="L930"/>
    </row>
    <row r="931" spans="11:12" x14ac:dyDescent="0.25">
      <c r="K931"/>
      <c r="L931"/>
    </row>
    <row r="932" spans="11:12" x14ac:dyDescent="0.25">
      <c r="K932"/>
      <c r="L932"/>
    </row>
    <row r="933" spans="11:12" x14ac:dyDescent="0.25">
      <c r="K933"/>
      <c r="L933"/>
    </row>
    <row r="934" spans="11:12" x14ac:dyDescent="0.25">
      <c r="K934"/>
      <c r="L934"/>
    </row>
    <row r="935" spans="11:12" x14ac:dyDescent="0.25">
      <c r="K935"/>
      <c r="L935"/>
    </row>
    <row r="936" spans="11:12" x14ac:dyDescent="0.25">
      <c r="K936"/>
      <c r="L936"/>
    </row>
    <row r="937" spans="11:12" x14ac:dyDescent="0.25">
      <c r="K937"/>
      <c r="L937"/>
    </row>
    <row r="938" spans="11:12" x14ac:dyDescent="0.25">
      <c r="K938"/>
      <c r="L938"/>
    </row>
    <row r="939" spans="11:12" x14ac:dyDescent="0.25">
      <c r="K939"/>
      <c r="L939"/>
    </row>
    <row r="940" spans="11:12" x14ac:dyDescent="0.25">
      <c r="K940"/>
      <c r="L940"/>
    </row>
    <row r="941" spans="11:12" x14ac:dyDescent="0.25">
      <c r="K941"/>
      <c r="L941"/>
    </row>
    <row r="942" spans="11:12" x14ac:dyDescent="0.25">
      <c r="K942"/>
      <c r="L942"/>
    </row>
    <row r="943" spans="11:12" x14ac:dyDescent="0.25">
      <c r="K943"/>
      <c r="L943"/>
    </row>
    <row r="944" spans="11:12" x14ac:dyDescent="0.25">
      <c r="K944"/>
      <c r="L944"/>
    </row>
    <row r="945" spans="11:12" x14ac:dyDescent="0.25">
      <c r="K945"/>
      <c r="L945"/>
    </row>
    <row r="946" spans="11:12" x14ac:dyDescent="0.25">
      <c r="K946"/>
      <c r="L946"/>
    </row>
    <row r="947" spans="11:12" x14ac:dyDescent="0.25">
      <c r="K947"/>
      <c r="L947"/>
    </row>
    <row r="948" spans="11:12" x14ac:dyDescent="0.25">
      <c r="K948"/>
      <c r="L948"/>
    </row>
    <row r="949" spans="11:12" x14ac:dyDescent="0.25">
      <c r="K949"/>
      <c r="L949"/>
    </row>
    <row r="950" spans="11:12" x14ac:dyDescent="0.25">
      <c r="K950"/>
      <c r="L950"/>
    </row>
    <row r="951" spans="11:12" x14ac:dyDescent="0.25">
      <c r="K951"/>
      <c r="L951"/>
    </row>
    <row r="952" spans="11:12" x14ac:dyDescent="0.25">
      <c r="K952"/>
      <c r="L952"/>
    </row>
    <row r="953" spans="11:12" x14ac:dyDescent="0.25">
      <c r="K953"/>
      <c r="L953"/>
    </row>
    <row r="954" spans="11:12" x14ac:dyDescent="0.25">
      <c r="K954"/>
      <c r="L954"/>
    </row>
    <row r="955" spans="11:12" x14ac:dyDescent="0.25">
      <c r="K955"/>
      <c r="L955"/>
    </row>
    <row r="956" spans="11:12" x14ac:dyDescent="0.25">
      <c r="K956"/>
      <c r="L956"/>
    </row>
    <row r="957" spans="11:12" x14ac:dyDescent="0.25">
      <c r="K957"/>
      <c r="L957"/>
    </row>
    <row r="958" spans="11:12" x14ac:dyDescent="0.25">
      <c r="K958"/>
      <c r="L958"/>
    </row>
    <row r="959" spans="11:12" x14ac:dyDescent="0.25">
      <c r="K959"/>
      <c r="L959"/>
    </row>
    <row r="960" spans="11:12" x14ac:dyDescent="0.25">
      <c r="K960"/>
      <c r="L960"/>
    </row>
    <row r="961" spans="11:12" x14ac:dyDescent="0.25">
      <c r="K961"/>
      <c r="L961"/>
    </row>
    <row r="962" spans="11:12" x14ac:dyDescent="0.25">
      <c r="K962"/>
      <c r="L962"/>
    </row>
    <row r="963" spans="11:12" x14ac:dyDescent="0.25">
      <c r="K963"/>
      <c r="L963"/>
    </row>
    <row r="964" spans="11:12" x14ac:dyDescent="0.25">
      <c r="K964"/>
      <c r="L964"/>
    </row>
    <row r="965" spans="11:12" x14ac:dyDescent="0.25">
      <c r="K965"/>
      <c r="L965"/>
    </row>
    <row r="966" spans="11:12" x14ac:dyDescent="0.25">
      <c r="K966"/>
      <c r="L966"/>
    </row>
    <row r="967" spans="11:12" x14ac:dyDescent="0.25">
      <c r="K967"/>
      <c r="L967"/>
    </row>
    <row r="968" spans="11:12" x14ac:dyDescent="0.25">
      <c r="K968"/>
      <c r="L968"/>
    </row>
    <row r="969" spans="11:12" x14ac:dyDescent="0.25">
      <c r="K969"/>
      <c r="L969"/>
    </row>
    <row r="970" spans="11:12" x14ac:dyDescent="0.25">
      <c r="K970"/>
      <c r="L970"/>
    </row>
    <row r="971" spans="11:12" x14ac:dyDescent="0.25">
      <c r="K971"/>
      <c r="L971"/>
    </row>
    <row r="972" spans="11:12" x14ac:dyDescent="0.25">
      <c r="K972"/>
      <c r="L972"/>
    </row>
    <row r="973" spans="11:12" x14ac:dyDescent="0.25">
      <c r="K973"/>
      <c r="L973"/>
    </row>
    <row r="974" spans="11:12" x14ac:dyDescent="0.25">
      <c r="K974"/>
      <c r="L974"/>
    </row>
    <row r="975" spans="11:12" x14ac:dyDescent="0.25">
      <c r="K975"/>
      <c r="L975"/>
    </row>
    <row r="976" spans="11:12" x14ac:dyDescent="0.25">
      <c r="K976"/>
      <c r="L976"/>
    </row>
    <row r="977" spans="11:12" x14ac:dyDescent="0.25">
      <c r="K977"/>
      <c r="L977"/>
    </row>
    <row r="978" spans="11:12" x14ac:dyDescent="0.25">
      <c r="K978"/>
      <c r="L978"/>
    </row>
    <row r="979" spans="11:12" x14ac:dyDescent="0.25">
      <c r="K979"/>
      <c r="L979"/>
    </row>
    <row r="980" spans="11:12" x14ac:dyDescent="0.25">
      <c r="K980"/>
      <c r="L980"/>
    </row>
    <row r="981" spans="11:12" x14ac:dyDescent="0.25">
      <c r="K981"/>
      <c r="L981"/>
    </row>
    <row r="982" spans="11:12" x14ac:dyDescent="0.25">
      <c r="K982"/>
      <c r="L982"/>
    </row>
    <row r="983" spans="11:12" x14ac:dyDescent="0.25">
      <c r="K983"/>
      <c r="L983"/>
    </row>
    <row r="984" spans="11:12" x14ac:dyDescent="0.25">
      <c r="K984"/>
      <c r="L984"/>
    </row>
    <row r="985" spans="11:12" x14ac:dyDescent="0.25">
      <c r="K985"/>
      <c r="L985"/>
    </row>
    <row r="986" spans="11:12" x14ac:dyDescent="0.25">
      <c r="K986"/>
      <c r="L986"/>
    </row>
    <row r="987" spans="11:12" x14ac:dyDescent="0.25">
      <c r="K987"/>
      <c r="L987"/>
    </row>
    <row r="988" spans="11:12" x14ac:dyDescent="0.25">
      <c r="K988"/>
      <c r="L988"/>
    </row>
    <row r="989" spans="11:12" x14ac:dyDescent="0.25">
      <c r="K989"/>
      <c r="L989"/>
    </row>
    <row r="990" spans="11:12" x14ac:dyDescent="0.25">
      <c r="K990"/>
      <c r="L990"/>
    </row>
    <row r="991" spans="11:12" x14ac:dyDescent="0.25">
      <c r="K991"/>
      <c r="L991"/>
    </row>
    <row r="992" spans="11:12" x14ac:dyDescent="0.25">
      <c r="K992"/>
      <c r="L992"/>
    </row>
    <row r="993" spans="11:12" x14ac:dyDescent="0.25">
      <c r="K993"/>
      <c r="L993"/>
    </row>
    <row r="994" spans="11:12" x14ac:dyDescent="0.25">
      <c r="K994"/>
      <c r="L994"/>
    </row>
    <row r="995" spans="11:12" x14ac:dyDescent="0.25">
      <c r="K995"/>
      <c r="L995"/>
    </row>
    <row r="996" spans="11:12" x14ac:dyDescent="0.25">
      <c r="K996"/>
      <c r="L996"/>
    </row>
    <row r="997" spans="11:12" x14ac:dyDescent="0.25">
      <c r="K997"/>
      <c r="L997"/>
    </row>
    <row r="998" spans="11:12" x14ac:dyDescent="0.25">
      <c r="K998"/>
      <c r="L998"/>
    </row>
    <row r="999" spans="11:12" x14ac:dyDescent="0.25">
      <c r="K999"/>
      <c r="L999"/>
    </row>
    <row r="1000" spans="11:12" x14ac:dyDescent="0.25">
      <c r="K1000"/>
      <c r="L1000"/>
    </row>
    <row r="1001" spans="11:12" x14ac:dyDescent="0.25">
      <c r="K1001"/>
      <c r="L1001"/>
    </row>
    <row r="1002" spans="11:12" x14ac:dyDescent="0.25">
      <c r="K1002"/>
      <c r="L1002"/>
    </row>
    <row r="1003" spans="11:12" x14ac:dyDescent="0.25">
      <c r="K1003"/>
      <c r="L1003"/>
    </row>
    <row r="1004" spans="11:12" x14ac:dyDescent="0.25">
      <c r="K1004"/>
      <c r="L1004"/>
    </row>
    <row r="1005" spans="11:12" x14ac:dyDescent="0.25">
      <c r="K1005"/>
      <c r="L1005"/>
    </row>
    <row r="1006" spans="11:12" x14ac:dyDescent="0.25">
      <c r="K1006"/>
      <c r="L1006"/>
    </row>
    <row r="1007" spans="11:12" x14ac:dyDescent="0.25">
      <c r="K1007"/>
      <c r="L1007"/>
    </row>
    <row r="1008" spans="11:12" x14ac:dyDescent="0.25">
      <c r="K1008"/>
      <c r="L1008"/>
    </row>
    <row r="1009" spans="11:12" x14ac:dyDescent="0.25">
      <c r="K1009"/>
      <c r="L1009"/>
    </row>
    <row r="1010" spans="11:12" x14ac:dyDescent="0.25">
      <c r="K1010"/>
      <c r="L1010"/>
    </row>
    <row r="1011" spans="11:12" x14ac:dyDescent="0.25">
      <c r="K1011"/>
      <c r="L1011"/>
    </row>
    <row r="1012" spans="11:12" x14ac:dyDescent="0.25">
      <c r="K1012"/>
      <c r="L1012"/>
    </row>
    <row r="1013" spans="11:12" x14ac:dyDescent="0.25">
      <c r="K1013"/>
      <c r="L1013"/>
    </row>
    <row r="1014" spans="11:12" x14ac:dyDescent="0.25">
      <c r="K1014"/>
      <c r="L1014"/>
    </row>
    <row r="1015" spans="11:12" x14ac:dyDescent="0.25">
      <c r="K1015"/>
      <c r="L1015"/>
    </row>
    <row r="1016" spans="11:12" x14ac:dyDescent="0.25">
      <c r="K1016"/>
      <c r="L1016"/>
    </row>
    <row r="1017" spans="11:12" x14ac:dyDescent="0.25">
      <c r="K1017"/>
      <c r="L1017"/>
    </row>
    <row r="1018" spans="11:12" x14ac:dyDescent="0.25">
      <c r="K1018"/>
      <c r="L1018"/>
    </row>
    <row r="1019" spans="11:12" x14ac:dyDescent="0.25">
      <c r="K1019"/>
      <c r="L1019"/>
    </row>
    <row r="1020" spans="11:12" x14ac:dyDescent="0.25">
      <c r="K1020"/>
      <c r="L1020"/>
    </row>
    <row r="1021" spans="11:12" x14ac:dyDescent="0.25">
      <c r="K1021"/>
      <c r="L1021"/>
    </row>
    <row r="1022" spans="11:12" x14ac:dyDescent="0.25">
      <c r="K1022"/>
      <c r="L1022"/>
    </row>
    <row r="1023" spans="11:12" x14ac:dyDescent="0.25">
      <c r="K1023"/>
      <c r="L1023"/>
    </row>
    <row r="1024" spans="11:12" x14ac:dyDescent="0.25">
      <c r="K1024"/>
      <c r="L1024"/>
    </row>
    <row r="1025" spans="11:12" x14ac:dyDescent="0.25">
      <c r="K1025"/>
      <c r="L1025"/>
    </row>
    <row r="1026" spans="11:12" x14ac:dyDescent="0.25">
      <c r="K1026"/>
      <c r="L1026"/>
    </row>
    <row r="1027" spans="11:12" x14ac:dyDescent="0.25">
      <c r="K1027"/>
      <c r="L1027"/>
    </row>
    <row r="1028" spans="11:12" x14ac:dyDescent="0.25">
      <c r="K1028"/>
      <c r="L1028"/>
    </row>
    <row r="1029" spans="11:12" x14ac:dyDescent="0.25">
      <c r="K1029"/>
      <c r="L1029"/>
    </row>
    <row r="1030" spans="11:12" x14ac:dyDescent="0.25">
      <c r="K1030"/>
      <c r="L1030"/>
    </row>
    <row r="1031" spans="11:12" x14ac:dyDescent="0.25">
      <c r="K1031"/>
      <c r="L1031"/>
    </row>
    <row r="1032" spans="11:12" x14ac:dyDescent="0.25">
      <c r="K1032"/>
      <c r="L1032"/>
    </row>
    <row r="1033" spans="11:12" x14ac:dyDescent="0.25">
      <c r="K1033"/>
      <c r="L1033"/>
    </row>
    <row r="1034" spans="11:12" x14ac:dyDescent="0.25">
      <c r="K1034"/>
      <c r="L1034"/>
    </row>
    <row r="1035" spans="11:12" x14ac:dyDescent="0.25">
      <c r="K1035"/>
      <c r="L1035"/>
    </row>
    <row r="1036" spans="11:12" x14ac:dyDescent="0.25">
      <c r="K1036"/>
      <c r="L1036"/>
    </row>
    <row r="1037" spans="11:12" x14ac:dyDescent="0.25">
      <c r="K1037"/>
      <c r="L1037"/>
    </row>
    <row r="1038" spans="11:12" x14ac:dyDescent="0.25">
      <c r="K1038"/>
      <c r="L1038"/>
    </row>
    <row r="1039" spans="11:12" x14ac:dyDescent="0.25">
      <c r="K1039"/>
      <c r="L1039"/>
    </row>
    <row r="1040" spans="11:12" x14ac:dyDescent="0.25">
      <c r="K1040"/>
      <c r="L1040"/>
    </row>
    <row r="1041" spans="11:12" x14ac:dyDescent="0.25">
      <c r="K1041"/>
      <c r="L1041"/>
    </row>
    <row r="1042" spans="11:12" x14ac:dyDescent="0.25">
      <c r="K1042"/>
      <c r="L1042"/>
    </row>
    <row r="1043" spans="11:12" x14ac:dyDescent="0.25">
      <c r="K1043"/>
      <c r="L1043"/>
    </row>
    <row r="1044" spans="11:12" x14ac:dyDescent="0.25">
      <c r="K1044"/>
      <c r="L1044"/>
    </row>
    <row r="1045" spans="11:12" x14ac:dyDescent="0.25">
      <c r="K1045"/>
      <c r="L1045"/>
    </row>
    <row r="1046" spans="11:12" x14ac:dyDescent="0.25">
      <c r="K1046"/>
      <c r="L1046"/>
    </row>
    <row r="1047" spans="11:12" x14ac:dyDescent="0.25">
      <c r="K1047"/>
      <c r="L1047"/>
    </row>
    <row r="1048" spans="11:12" x14ac:dyDescent="0.25">
      <c r="K1048"/>
      <c r="L1048"/>
    </row>
    <row r="1049" spans="11:12" x14ac:dyDescent="0.25">
      <c r="K1049"/>
      <c r="L1049"/>
    </row>
    <row r="1050" spans="11:12" x14ac:dyDescent="0.25">
      <c r="K1050"/>
      <c r="L1050"/>
    </row>
    <row r="1051" spans="11:12" x14ac:dyDescent="0.25">
      <c r="K1051"/>
      <c r="L1051"/>
    </row>
    <row r="1052" spans="11:12" x14ac:dyDescent="0.25">
      <c r="K1052"/>
      <c r="L1052"/>
    </row>
    <row r="1053" spans="11:12" x14ac:dyDescent="0.25">
      <c r="K1053"/>
      <c r="L1053"/>
    </row>
    <row r="1054" spans="11:12" x14ac:dyDescent="0.25">
      <c r="K1054"/>
      <c r="L1054"/>
    </row>
    <row r="1055" spans="11:12" x14ac:dyDescent="0.25">
      <c r="K1055"/>
      <c r="L1055"/>
    </row>
    <row r="1056" spans="11:12" x14ac:dyDescent="0.25">
      <c r="K1056"/>
      <c r="L1056"/>
    </row>
    <row r="1057" spans="11:12" x14ac:dyDescent="0.25">
      <c r="K1057"/>
      <c r="L1057"/>
    </row>
    <row r="1058" spans="11:12" x14ac:dyDescent="0.25">
      <c r="K1058"/>
      <c r="L1058"/>
    </row>
    <row r="1059" spans="11:12" x14ac:dyDescent="0.25">
      <c r="K1059"/>
      <c r="L1059"/>
    </row>
    <row r="1060" spans="11:12" x14ac:dyDescent="0.25">
      <c r="K1060"/>
      <c r="L1060"/>
    </row>
    <row r="1061" spans="11:12" x14ac:dyDescent="0.25">
      <c r="K1061"/>
      <c r="L1061"/>
    </row>
    <row r="1062" spans="11:12" x14ac:dyDescent="0.25">
      <c r="K1062"/>
      <c r="L1062"/>
    </row>
    <row r="1063" spans="11:12" x14ac:dyDescent="0.25">
      <c r="K1063"/>
      <c r="L1063"/>
    </row>
    <row r="1064" spans="11:12" x14ac:dyDescent="0.25">
      <c r="K1064"/>
      <c r="L1064"/>
    </row>
    <row r="1065" spans="11:12" x14ac:dyDescent="0.25">
      <c r="K1065"/>
      <c r="L1065"/>
    </row>
    <row r="1066" spans="11:12" x14ac:dyDescent="0.25">
      <c r="K1066"/>
      <c r="L1066"/>
    </row>
    <row r="1067" spans="11:12" x14ac:dyDescent="0.25">
      <c r="K1067"/>
      <c r="L1067"/>
    </row>
    <row r="1068" spans="11:12" x14ac:dyDescent="0.25">
      <c r="K1068"/>
      <c r="L1068"/>
    </row>
    <row r="1069" spans="11:12" x14ac:dyDescent="0.25">
      <c r="K1069"/>
      <c r="L1069"/>
    </row>
    <row r="1070" spans="11:12" x14ac:dyDescent="0.25">
      <c r="K1070"/>
      <c r="L1070"/>
    </row>
    <row r="1071" spans="11:12" x14ac:dyDescent="0.25">
      <c r="K1071"/>
      <c r="L1071"/>
    </row>
    <row r="1072" spans="11:12" x14ac:dyDescent="0.25">
      <c r="K1072"/>
      <c r="L1072"/>
    </row>
    <row r="1073" spans="11:12" x14ac:dyDescent="0.25">
      <c r="K1073"/>
      <c r="L1073"/>
    </row>
    <row r="1074" spans="11:12" x14ac:dyDescent="0.25">
      <c r="K1074"/>
      <c r="L1074"/>
    </row>
    <row r="1075" spans="11:12" x14ac:dyDescent="0.25">
      <c r="K1075"/>
      <c r="L1075"/>
    </row>
    <row r="1076" spans="11:12" x14ac:dyDescent="0.25">
      <c r="K1076"/>
      <c r="L1076"/>
    </row>
    <row r="1077" spans="11:12" x14ac:dyDescent="0.25">
      <c r="K1077"/>
      <c r="L1077"/>
    </row>
    <row r="1078" spans="11:12" x14ac:dyDescent="0.25">
      <c r="K1078"/>
      <c r="L1078"/>
    </row>
    <row r="1079" spans="11:12" x14ac:dyDescent="0.25">
      <c r="K1079"/>
      <c r="L1079"/>
    </row>
    <row r="1080" spans="11:12" x14ac:dyDescent="0.25">
      <c r="K1080"/>
      <c r="L1080"/>
    </row>
    <row r="1081" spans="11:12" x14ac:dyDescent="0.25">
      <c r="K1081"/>
      <c r="L1081"/>
    </row>
    <row r="1082" spans="11:12" x14ac:dyDescent="0.25">
      <c r="K1082"/>
      <c r="L1082"/>
    </row>
    <row r="1083" spans="11:12" x14ac:dyDescent="0.25">
      <c r="K1083"/>
      <c r="L1083"/>
    </row>
    <row r="1084" spans="11:12" x14ac:dyDescent="0.25">
      <c r="K1084"/>
      <c r="L1084"/>
    </row>
    <row r="1085" spans="11:12" x14ac:dyDescent="0.25">
      <c r="K1085"/>
      <c r="L1085"/>
    </row>
    <row r="1086" spans="11:12" x14ac:dyDescent="0.25">
      <c r="K1086"/>
      <c r="L1086"/>
    </row>
    <row r="1087" spans="11:12" x14ac:dyDescent="0.25">
      <c r="K1087"/>
      <c r="L1087"/>
    </row>
    <row r="1088" spans="11:12" x14ac:dyDescent="0.25">
      <c r="K1088"/>
      <c r="L1088"/>
    </row>
    <row r="1089" spans="11:12" x14ac:dyDescent="0.25">
      <c r="K1089"/>
      <c r="L1089"/>
    </row>
    <row r="1090" spans="11:12" x14ac:dyDescent="0.25">
      <c r="K1090"/>
      <c r="L1090"/>
    </row>
    <row r="1091" spans="11:12" x14ac:dyDescent="0.25">
      <c r="K1091"/>
      <c r="L1091"/>
    </row>
    <row r="1092" spans="11:12" x14ac:dyDescent="0.25">
      <c r="K1092"/>
      <c r="L1092"/>
    </row>
    <row r="1093" spans="11:12" x14ac:dyDescent="0.25">
      <c r="K1093"/>
      <c r="L1093"/>
    </row>
    <row r="1094" spans="11:12" x14ac:dyDescent="0.25">
      <c r="K1094"/>
      <c r="L1094"/>
    </row>
    <row r="1095" spans="11:12" x14ac:dyDescent="0.25">
      <c r="K1095"/>
      <c r="L1095"/>
    </row>
    <row r="1096" spans="11:12" x14ac:dyDescent="0.25">
      <c r="K1096"/>
      <c r="L1096"/>
    </row>
    <row r="1097" spans="11:12" x14ac:dyDescent="0.25">
      <c r="K1097"/>
      <c r="L1097"/>
    </row>
    <row r="1098" spans="11:12" x14ac:dyDescent="0.25">
      <c r="K1098"/>
      <c r="L1098"/>
    </row>
    <row r="1099" spans="11:12" x14ac:dyDescent="0.25">
      <c r="K1099"/>
      <c r="L1099"/>
    </row>
    <row r="1100" spans="11:12" x14ac:dyDescent="0.25">
      <c r="K1100"/>
      <c r="L1100"/>
    </row>
    <row r="1101" spans="11:12" x14ac:dyDescent="0.25">
      <c r="K1101"/>
      <c r="L1101"/>
    </row>
    <row r="1102" spans="11:12" x14ac:dyDescent="0.25">
      <c r="K1102"/>
      <c r="L1102"/>
    </row>
    <row r="1103" spans="11:12" x14ac:dyDescent="0.25">
      <c r="K1103"/>
      <c r="L1103"/>
    </row>
    <row r="1104" spans="11:12" x14ac:dyDescent="0.25">
      <c r="K1104"/>
      <c r="L1104"/>
    </row>
    <row r="1105" spans="11:12" x14ac:dyDescent="0.25">
      <c r="K1105"/>
      <c r="L1105"/>
    </row>
    <row r="1106" spans="11:12" x14ac:dyDescent="0.25">
      <c r="K1106"/>
      <c r="L1106"/>
    </row>
    <row r="1107" spans="11:12" x14ac:dyDescent="0.25">
      <c r="K1107"/>
      <c r="L1107"/>
    </row>
    <row r="1108" spans="11:12" x14ac:dyDescent="0.25">
      <c r="K1108"/>
      <c r="L1108"/>
    </row>
    <row r="1109" spans="11:12" x14ac:dyDescent="0.25">
      <c r="K1109"/>
      <c r="L1109"/>
    </row>
    <row r="1110" spans="11:12" x14ac:dyDescent="0.25">
      <c r="K1110"/>
      <c r="L1110"/>
    </row>
    <row r="1111" spans="11:12" x14ac:dyDescent="0.25">
      <c r="K1111"/>
      <c r="L1111"/>
    </row>
    <row r="1112" spans="11:12" x14ac:dyDescent="0.25">
      <c r="K1112"/>
      <c r="L1112"/>
    </row>
    <row r="1113" spans="11:12" x14ac:dyDescent="0.25">
      <c r="K1113"/>
      <c r="L1113"/>
    </row>
    <row r="1114" spans="11:12" x14ac:dyDescent="0.25">
      <c r="K1114"/>
      <c r="L1114"/>
    </row>
    <row r="1115" spans="11:12" x14ac:dyDescent="0.25">
      <c r="K1115"/>
      <c r="L1115"/>
    </row>
    <row r="1116" spans="11:12" x14ac:dyDescent="0.25">
      <c r="K1116"/>
      <c r="L1116"/>
    </row>
    <row r="1117" spans="11:12" x14ac:dyDescent="0.25">
      <c r="K1117"/>
      <c r="L1117"/>
    </row>
    <row r="1118" spans="11:12" x14ac:dyDescent="0.25">
      <c r="K1118"/>
      <c r="L1118"/>
    </row>
    <row r="1119" spans="11:12" x14ac:dyDescent="0.25">
      <c r="K1119"/>
      <c r="L1119"/>
    </row>
    <row r="1120" spans="11:12" x14ac:dyDescent="0.25">
      <c r="K1120"/>
      <c r="L1120"/>
    </row>
    <row r="1121" spans="11:12" x14ac:dyDescent="0.25">
      <c r="K1121"/>
      <c r="L1121"/>
    </row>
    <row r="1122" spans="11:12" x14ac:dyDescent="0.25">
      <c r="K1122"/>
      <c r="L1122"/>
    </row>
    <row r="1123" spans="11:12" x14ac:dyDescent="0.25">
      <c r="K1123"/>
      <c r="L1123"/>
    </row>
    <row r="1124" spans="11:12" x14ac:dyDescent="0.25">
      <c r="K1124"/>
      <c r="L1124"/>
    </row>
    <row r="1125" spans="11:12" x14ac:dyDescent="0.25">
      <c r="K1125"/>
      <c r="L1125"/>
    </row>
    <row r="1126" spans="11:12" x14ac:dyDescent="0.25">
      <c r="K1126"/>
      <c r="L1126"/>
    </row>
    <row r="1127" spans="11:12" x14ac:dyDescent="0.25">
      <c r="K1127"/>
      <c r="L1127"/>
    </row>
    <row r="1128" spans="11:12" x14ac:dyDescent="0.25">
      <c r="K1128"/>
      <c r="L1128"/>
    </row>
    <row r="1129" spans="11:12" x14ac:dyDescent="0.25">
      <c r="K1129"/>
      <c r="L1129"/>
    </row>
    <row r="1130" spans="11:12" x14ac:dyDescent="0.25">
      <c r="K1130"/>
      <c r="L1130"/>
    </row>
    <row r="1131" spans="11:12" x14ac:dyDescent="0.25">
      <c r="K1131"/>
      <c r="L1131"/>
    </row>
    <row r="1132" spans="11:12" x14ac:dyDescent="0.25">
      <c r="K1132"/>
      <c r="L1132"/>
    </row>
    <row r="1133" spans="11:12" x14ac:dyDescent="0.25">
      <c r="K1133"/>
      <c r="L1133"/>
    </row>
    <row r="1134" spans="11:12" x14ac:dyDescent="0.25">
      <c r="K1134"/>
      <c r="L1134"/>
    </row>
    <row r="1135" spans="11:12" x14ac:dyDescent="0.25">
      <c r="K1135"/>
      <c r="L1135"/>
    </row>
    <row r="1136" spans="11:12" x14ac:dyDescent="0.25">
      <c r="K1136"/>
      <c r="L1136"/>
    </row>
    <row r="1137" spans="11:12" x14ac:dyDescent="0.25">
      <c r="K1137"/>
      <c r="L1137"/>
    </row>
    <row r="1138" spans="11:12" x14ac:dyDescent="0.25">
      <c r="K1138"/>
      <c r="L1138"/>
    </row>
    <row r="1139" spans="11:12" x14ac:dyDescent="0.25">
      <c r="K1139"/>
      <c r="L1139"/>
    </row>
    <row r="1140" spans="11:12" x14ac:dyDescent="0.25">
      <c r="K1140"/>
      <c r="L1140"/>
    </row>
    <row r="1141" spans="11:12" x14ac:dyDescent="0.25">
      <c r="K1141"/>
      <c r="L1141"/>
    </row>
    <row r="1142" spans="11:12" x14ac:dyDescent="0.25">
      <c r="K1142"/>
      <c r="L1142"/>
    </row>
    <row r="1143" spans="11:12" x14ac:dyDescent="0.25">
      <c r="K1143"/>
      <c r="L1143"/>
    </row>
    <row r="1144" spans="11:12" x14ac:dyDescent="0.25">
      <c r="K1144"/>
      <c r="L1144"/>
    </row>
    <row r="1145" spans="11:12" x14ac:dyDescent="0.25">
      <c r="K1145"/>
      <c r="L1145"/>
    </row>
    <row r="1146" spans="11:12" x14ac:dyDescent="0.25">
      <c r="K1146"/>
      <c r="L1146"/>
    </row>
    <row r="1147" spans="11:12" x14ac:dyDescent="0.25">
      <c r="K1147"/>
      <c r="L1147"/>
    </row>
    <row r="1148" spans="11:12" x14ac:dyDescent="0.25">
      <c r="K1148"/>
      <c r="L1148"/>
    </row>
    <row r="1149" spans="11:12" x14ac:dyDescent="0.25">
      <c r="K1149"/>
      <c r="L1149"/>
    </row>
    <row r="1150" spans="11:12" x14ac:dyDescent="0.25">
      <c r="K1150"/>
      <c r="L1150"/>
    </row>
    <row r="1151" spans="11:12" x14ac:dyDescent="0.25">
      <c r="K1151"/>
      <c r="L1151"/>
    </row>
    <row r="1152" spans="11:12" x14ac:dyDescent="0.25">
      <c r="K1152"/>
      <c r="L1152"/>
    </row>
    <row r="1153" spans="11:12" x14ac:dyDescent="0.25">
      <c r="K1153"/>
      <c r="L1153"/>
    </row>
    <row r="1154" spans="11:12" x14ac:dyDescent="0.25">
      <c r="K1154"/>
      <c r="L1154"/>
    </row>
    <row r="1155" spans="11:12" x14ac:dyDescent="0.25">
      <c r="K1155"/>
      <c r="L1155"/>
    </row>
    <row r="1156" spans="11:12" x14ac:dyDescent="0.25">
      <c r="K1156"/>
      <c r="L1156"/>
    </row>
    <row r="1157" spans="11:12" x14ac:dyDescent="0.25">
      <c r="K1157"/>
      <c r="L1157"/>
    </row>
    <row r="1158" spans="11:12" x14ac:dyDescent="0.25">
      <c r="K1158"/>
      <c r="L1158"/>
    </row>
    <row r="1159" spans="11:12" x14ac:dyDescent="0.25">
      <c r="K1159"/>
      <c r="L1159"/>
    </row>
    <row r="1160" spans="11:12" x14ac:dyDescent="0.25">
      <c r="K1160"/>
      <c r="L1160"/>
    </row>
    <row r="1161" spans="11:12" x14ac:dyDescent="0.25">
      <c r="K1161"/>
      <c r="L1161"/>
    </row>
    <row r="1162" spans="11:12" x14ac:dyDescent="0.25">
      <c r="K1162"/>
      <c r="L1162"/>
    </row>
    <row r="1163" spans="11:12" x14ac:dyDescent="0.25">
      <c r="K1163"/>
      <c r="L1163"/>
    </row>
    <row r="1164" spans="11:12" x14ac:dyDescent="0.25">
      <c r="K1164"/>
      <c r="L1164"/>
    </row>
    <row r="1165" spans="11:12" x14ac:dyDescent="0.25">
      <c r="K1165"/>
      <c r="L1165"/>
    </row>
    <row r="1166" spans="11:12" x14ac:dyDescent="0.25">
      <c r="K1166"/>
      <c r="L1166"/>
    </row>
    <row r="1167" spans="11:12" x14ac:dyDescent="0.25">
      <c r="K1167"/>
      <c r="L1167"/>
    </row>
    <row r="1168" spans="11:12" x14ac:dyDescent="0.25">
      <c r="K1168"/>
      <c r="L1168"/>
    </row>
    <row r="1169" spans="11:12" x14ac:dyDescent="0.25">
      <c r="K1169"/>
      <c r="L1169"/>
    </row>
    <row r="1170" spans="11:12" x14ac:dyDescent="0.25">
      <c r="K1170"/>
      <c r="L1170"/>
    </row>
    <row r="1171" spans="11:12" x14ac:dyDescent="0.25">
      <c r="K1171"/>
      <c r="L1171"/>
    </row>
    <row r="1172" spans="11:12" x14ac:dyDescent="0.25">
      <c r="K1172"/>
      <c r="L1172"/>
    </row>
    <row r="1173" spans="11:12" x14ac:dyDescent="0.25">
      <c r="K1173"/>
      <c r="L1173"/>
    </row>
    <row r="1174" spans="11:12" x14ac:dyDescent="0.25">
      <c r="K1174"/>
      <c r="L1174"/>
    </row>
    <row r="1175" spans="11:12" x14ac:dyDescent="0.25">
      <c r="K1175"/>
      <c r="L1175"/>
    </row>
    <row r="1176" spans="11:12" x14ac:dyDescent="0.25">
      <c r="K1176"/>
      <c r="L1176"/>
    </row>
    <row r="1177" spans="11:12" x14ac:dyDescent="0.25">
      <c r="K1177"/>
      <c r="L1177"/>
    </row>
    <row r="1178" spans="11:12" x14ac:dyDescent="0.25">
      <c r="K1178"/>
      <c r="L1178"/>
    </row>
    <row r="1179" spans="11:12" x14ac:dyDescent="0.25">
      <c r="K1179"/>
      <c r="L1179"/>
    </row>
    <row r="1180" spans="11:12" x14ac:dyDescent="0.25">
      <c r="K1180"/>
      <c r="L1180"/>
    </row>
    <row r="1181" spans="11:12" x14ac:dyDescent="0.25">
      <c r="K1181"/>
      <c r="L1181"/>
    </row>
    <row r="1182" spans="11:12" x14ac:dyDescent="0.25">
      <c r="K1182"/>
      <c r="L1182"/>
    </row>
    <row r="1183" spans="11:12" x14ac:dyDescent="0.25">
      <c r="K1183"/>
      <c r="L1183"/>
    </row>
    <row r="1184" spans="11:12" x14ac:dyDescent="0.25">
      <c r="K1184"/>
      <c r="L1184"/>
    </row>
    <row r="1185" spans="11:12" x14ac:dyDescent="0.25">
      <c r="K1185"/>
      <c r="L1185"/>
    </row>
    <row r="1186" spans="11:12" x14ac:dyDescent="0.25">
      <c r="K1186"/>
      <c r="L1186"/>
    </row>
    <row r="1187" spans="11:12" x14ac:dyDescent="0.25">
      <c r="K1187"/>
      <c r="L1187"/>
    </row>
    <row r="1188" spans="11:12" x14ac:dyDescent="0.25">
      <c r="K1188"/>
      <c r="L1188"/>
    </row>
    <row r="1189" spans="11:12" x14ac:dyDescent="0.25">
      <c r="K1189"/>
      <c r="L1189"/>
    </row>
    <row r="1190" spans="11:12" x14ac:dyDescent="0.25">
      <c r="K1190"/>
      <c r="L1190"/>
    </row>
    <row r="1191" spans="11:12" x14ac:dyDescent="0.25">
      <c r="K1191"/>
      <c r="L1191"/>
    </row>
    <row r="1192" spans="11:12" x14ac:dyDescent="0.25">
      <c r="K1192"/>
      <c r="L1192"/>
    </row>
    <row r="1193" spans="11:12" x14ac:dyDescent="0.25">
      <c r="K1193"/>
      <c r="L1193"/>
    </row>
    <row r="1194" spans="11:12" x14ac:dyDescent="0.25">
      <c r="K1194"/>
      <c r="L1194"/>
    </row>
    <row r="1195" spans="11:12" x14ac:dyDescent="0.25">
      <c r="K1195"/>
      <c r="L1195"/>
    </row>
    <row r="1196" spans="11:12" x14ac:dyDescent="0.25">
      <c r="K1196"/>
      <c r="L1196"/>
    </row>
    <row r="1197" spans="11:12" x14ac:dyDescent="0.25">
      <c r="K1197"/>
      <c r="L1197"/>
    </row>
    <row r="1198" spans="11:12" x14ac:dyDescent="0.25">
      <c r="K1198"/>
      <c r="L1198"/>
    </row>
    <row r="1199" spans="11:12" x14ac:dyDescent="0.25">
      <c r="K1199"/>
      <c r="L1199"/>
    </row>
    <row r="1200" spans="11:12" x14ac:dyDescent="0.25">
      <c r="K1200"/>
      <c r="L1200"/>
    </row>
    <row r="1201" spans="11:12" x14ac:dyDescent="0.25">
      <c r="K1201"/>
      <c r="L1201"/>
    </row>
    <row r="1202" spans="11:12" x14ac:dyDescent="0.25">
      <c r="K1202"/>
      <c r="L1202"/>
    </row>
    <row r="1203" spans="11:12" x14ac:dyDescent="0.25">
      <c r="K1203"/>
      <c r="L1203"/>
    </row>
    <row r="1204" spans="11:12" x14ac:dyDescent="0.25">
      <c r="K1204"/>
      <c r="L1204"/>
    </row>
    <row r="1205" spans="11:12" x14ac:dyDescent="0.25">
      <c r="K1205"/>
      <c r="L1205"/>
    </row>
    <row r="1206" spans="11:12" x14ac:dyDescent="0.25">
      <c r="K1206"/>
      <c r="L1206"/>
    </row>
    <row r="1207" spans="11:12" x14ac:dyDescent="0.25">
      <c r="K1207"/>
      <c r="L1207"/>
    </row>
    <row r="1208" spans="11:12" x14ac:dyDescent="0.25">
      <c r="K1208"/>
      <c r="L1208"/>
    </row>
    <row r="1209" spans="11:12" x14ac:dyDescent="0.25">
      <c r="K1209"/>
      <c r="L1209"/>
    </row>
    <row r="1210" spans="11:12" x14ac:dyDescent="0.25">
      <c r="K1210"/>
      <c r="L1210"/>
    </row>
    <row r="1211" spans="11:12" x14ac:dyDescent="0.25">
      <c r="K1211"/>
      <c r="L1211"/>
    </row>
    <row r="1212" spans="11:12" x14ac:dyDescent="0.25">
      <c r="K1212"/>
      <c r="L1212"/>
    </row>
    <row r="1213" spans="11:12" x14ac:dyDescent="0.25">
      <c r="K1213"/>
      <c r="L1213"/>
    </row>
    <row r="1214" spans="11:12" x14ac:dyDescent="0.25">
      <c r="K1214"/>
      <c r="L1214"/>
    </row>
    <row r="1215" spans="11:12" x14ac:dyDescent="0.25">
      <c r="K1215"/>
      <c r="L1215"/>
    </row>
    <row r="1216" spans="11:12" x14ac:dyDescent="0.25">
      <c r="K1216"/>
      <c r="L1216"/>
    </row>
    <row r="1217" spans="11:12" x14ac:dyDescent="0.25">
      <c r="K1217"/>
      <c r="L1217"/>
    </row>
    <row r="1218" spans="11:12" x14ac:dyDescent="0.25">
      <c r="K1218"/>
      <c r="L1218"/>
    </row>
    <row r="1219" spans="11:12" x14ac:dyDescent="0.25">
      <c r="K1219"/>
      <c r="L1219"/>
    </row>
    <row r="1220" spans="11:12" x14ac:dyDescent="0.25">
      <c r="K1220"/>
      <c r="L1220"/>
    </row>
    <row r="1221" spans="11:12" x14ac:dyDescent="0.25">
      <c r="K1221"/>
      <c r="L1221"/>
    </row>
    <row r="1222" spans="11:12" x14ac:dyDescent="0.25">
      <c r="K1222"/>
      <c r="L1222"/>
    </row>
    <row r="1223" spans="11:12" x14ac:dyDescent="0.25">
      <c r="K1223"/>
      <c r="L1223"/>
    </row>
    <row r="1224" spans="11:12" x14ac:dyDescent="0.25">
      <c r="K1224"/>
      <c r="L1224"/>
    </row>
    <row r="1225" spans="11:12" x14ac:dyDescent="0.25">
      <c r="K1225"/>
      <c r="L1225"/>
    </row>
    <row r="1226" spans="11:12" x14ac:dyDescent="0.25">
      <c r="K1226"/>
      <c r="L1226"/>
    </row>
    <row r="1227" spans="11:12" x14ac:dyDescent="0.25">
      <c r="K1227"/>
      <c r="L1227"/>
    </row>
    <row r="1228" spans="11:12" x14ac:dyDescent="0.25">
      <c r="K1228"/>
      <c r="L1228"/>
    </row>
    <row r="1229" spans="11:12" x14ac:dyDescent="0.25">
      <c r="K1229"/>
      <c r="L1229"/>
    </row>
    <row r="1230" spans="11:12" x14ac:dyDescent="0.25">
      <c r="K1230"/>
      <c r="L1230"/>
    </row>
    <row r="1231" spans="11:12" x14ac:dyDescent="0.25">
      <c r="K1231"/>
      <c r="L1231"/>
    </row>
    <row r="1232" spans="11:12" x14ac:dyDescent="0.25">
      <c r="K1232"/>
      <c r="L1232"/>
    </row>
    <row r="1233" spans="11:12" x14ac:dyDescent="0.25">
      <c r="K1233"/>
      <c r="L1233"/>
    </row>
    <row r="1234" spans="11:12" x14ac:dyDescent="0.25">
      <c r="K1234"/>
      <c r="L1234"/>
    </row>
    <row r="1235" spans="11:12" x14ac:dyDescent="0.25">
      <c r="K1235"/>
      <c r="L1235"/>
    </row>
    <row r="1236" spans="11:12" x14ac:dyDescent="0.25">
      <c r="K1236"/>
      <c r="L1236"/>
    </row>
    <row r="1237" spans="11:12" x14ac:dyDescent="0.25">
      <c r="K1237"/>
      <c r="L1237"/>
    </row>
    <row r="1238" spans="11:12" x14ac:dyDescent="0.25">
      <c r="K1238"/>
      <c r="L1238"/>
    </row>
    <row r="1239" spans="11:12" x14ac:dyDescent="0.25">
      <c r="K1239"/>
      <c r="L1239"/>
    </row>
    <row r="1240" spans="11:12" x14ac:dyDescent="0.25">
      <c r="K1240"/>
      <c r="L1240"/>
    </row>
    <row r="1241" spans="11:12" x14ac:dyDescent="0.25">
      <c r="K1241"/>
      <c r="L1241"/>
    </row>
    <row r="1242" spans="11:12" x14ac:dyDescent="0.25">
      <c r="K1242"/>
      <c r="L1242"/>
    </row>
    <row r="1243" spans="11:12" x14ac:dyDescent="0.25">
      <c r="K1243"/>
      <c r="L1243"/>
    </row>
    <row r="1244" spans="11:12" x14ac:dyDescent="0.25">
      <c r="K1244"/>
      <c r="L1244"/>
    </row>
    <row r="1245" spans="11:12" x14ac:dyDescent="0.25">
      <c r="K1245"/>
      <c r="L1245"/>
    </row>
    <row r="1246" spans="11:12" x14ac:dyDescent="0.25">
      <c r="K1246"/>
      <c r="L1246"/>
    </row>
    <row r="1247" spans="11:12" x14ac:dyDescent="0.25">
      <c r="K1247"/>
      <c r="L1247"/>
    </row>
    <row r="1248" spans="11:12" x14ac:dyDescent="0.25">
      <c r="K1248"/>
      <c r="L1248"/>
    </row>
    <row r="1249" spans="11:12" x14ac:dyDescent="0.25">
      <c r="K1249"/>
      <c r="L1249"/>
    </row>
    <row r="1250" spans="11:12" x14ac:dyDescent="0.25">
      <c r="K1250"/>
      <c r="L1250"/>
    </row>
    <row r="1251" spans="11:12" x14ac:dyDescent="0.25">
      <c r="K1251"/>
      <c r="L1251"/>
    </row>
    <row r="1252" spans="11:12" x14ac:dyDescent="0.25">
      <c r="K1252"/>
      <c r="L1252"/>
    </row>
    <row r="1253" spans="11:12" x14ac:dyDescent="0.25">
      <c r="K1253"/>
      <c r="L1253"/>
    </row>
    <row r="1254" spans="11:12" x14ac:dyDescent="0.25">
      <c r="K1254"/>
      <c r="L1254"/>
    </row>
    <row r="1255" spans="11:12" x14ac:dyDescent="0.25">
      <c r="K1255"/>
      <c r="L1255"/>
    </row>
    <row r="1256" spans="11:12" x14ac:dyDescent="0.25">
      <c r="K1256"/>
      <c r="L1256"/>
    </row>
    <row r="1257" spans="11:12" x14ac:dyDescent="0.25">
      <c r="K1257"/>
      <c r="L1257"/>
    </row>
    <row r="1258" spans="11:12" x14ac:dyDescent="0.25">
      <c r="K1258"/>
      <c r="L1258"/>
    </row>
    <row r="1259" spans="11:12" x14ac:dyDescent="0.25">
      <c r="K1259"/>
      <c r="L1259"/>
    </row>
    <row r="1260" spans="11:12" x14ac:dyDescent="0.25">
      <c r="K1260"/>
      <c r="L1260"/>
    </row>
    <row r="1261" spans="11:12" x14ac:dyDescent="0.25">
      <c r="K1261"/>
      <c r="L1261"/>
    </row>
    <row r="1262" spans="11:12" x14ac:dyDescent="0.25">
      <c r="K1262"/>
      <c r="L1262"/>
    </row>
    <row r="1263" spans="11:12" x14ac:dyDescent="0.25">
      <c r="K1263"/>
      <c r="L1263"/>
    </row>
    <row r="1264" spans="11:12" x14ac:dyDescent="0.25">
      <c r="K1264"/>
      <c r="L1264"/>
    </row>
    <row r="1265" spans="11:12" x14ac:dyDescent="0.25">
      <c r="K1265"/>
      <c r="L1265"/>
    </row>
    <row r="1266" spans="11:12" x14ac:dyDescent="0.25">
      <c r="K1266"/>
      <c r="L1266"/>
    </row>
    <row r="1267" spans="11:12" x14ac:dyDescent="0.25">
      <c r="K1267"/>
      <c r="L1267"/>
    </row>
    <row r="1268" spans="11:12" x14ac:dyDescent="0.25">
      <c r="K1268"/>
      <c r="L1268"/>
    </row>
    <row r="1269" spans="11:12" x14ac:dyDescent="0.25">
      <c r="K1269"/>
      <c r="L1269"/>
    </row>
    <row r="1270" spans="11:12" x14ac:dyDescent="0.25">
      <c r="K1270"/>
      <c r="L1270"/>
    </row>
    <row r="1271" spans="11:12" x14ac:dyDescent="0.25">
      <c r="K1271"/>
      <c r="L1271"/>
    </row>
    <row r="1272" spans="11:12" x14ac:dyDescent="0.25">
      <c r="K1272"/>
      <c r="L1272"/>
    </row>
    <row r="1273" spans="11:12" x14ac:dyDescent="0.25">
      <c r="K1273"/>
      <c r="L1273"/>
    </row>
    <row r="1274" spans="11:12" x14ac:dyDescent="0.25">
      <c r="K1274"/>
      <c r="L1274"/>
    </row>
    <row r="1275" spans="11:12" x14ac:dyDescent="0.25">
      <c r="K1275"/>
      <c r="L1275"/>
    </row>
    <row r="1276" spans="11:12" x14ac:dyDescent="0.25">
      <c r="K1276"/>
      <c r="L1276"/>
    </row>
    <row r="1277" spans="11:12" x14ac:dyDescent="0.25">
      <c r="K1277"/>
      <c r="L1277"/>
    </row>
    <row r="1278" spans="11:12" x14ac:dyDescent="0.25">
      <c r="K1278"/>
      <c r="L1278"/>
    </row>
    <row r="1279" spans="11:12" x14ac:dyDescent="0.25">
      <c r="K1279"/>
      <c r="L1279"/>
    </row>
    <row r="1280" spans="11:12" x14ac:dyDescent="0.25">
      <c r="K1280"/>
      <c r="L1280"/>
    </row>
    <row r="1281" spans="11:12" x14ac:dyDescent="0.25">
      <c r="K1281"/>
      <c r="L1281"/>
    </row>
    <row r="1282" spans="11:12" x14ac:dyDescent="0.25">
      <c r="K1282"/>
      <c r="L1282"/>
    </row>
    <row r="1283" spans="11:12" x14ac:dyDescent="0.25">
      <c r="K1283"/>
      <c r="L1283"/>
    </row>
    <row r="1284" spans="11:12" x14ac:dyDescent="0.25">
      <c r="K1284"/>
      <c r="L1284"/>
    </row>
    <row r="1285" spans="11:12" x14ac:dyDescent="0.25">
      <c r="K1285"/>
      <c r="L1285"/>
    </row>
    <row r="1286" spans="11:12" x14ac:dyDescent="0.25">
      <c r="K1286"/>
      <c r="L1286"/>
    </row>
    <row r="1287" spans="11:12" x14ac:dyDescent="0.25">
      <c r="K1287"/>
      <c r="L1287"/>
    </row>
    <row r="1288" spans="11:12" x14ac:dyDescent="0.25">
      <c r="K1288"/>
      <c r="L1288"/>
    </row>
    <row r="1289" spans="11:12" x14ac:dyDescent="0.25">
      <c r="K1289"/>
      <c r="L1289"/>
    </row>
    <row r="1290" spans="11:12" x14ac:dyDescent="0.25">
      <c r="K1290"/>
      <c r="L1290"/>
    </row>
    <row r="1291" spans="11:12" x14ac:dyDescent="0.25">
      <c r="K1291"/>
      <c r="L1291"/>
    </row>
    <row r="1292" spans="11:12" x14ac:dyDescent="0.25">
      <c r="K1292"/>
      <c r="L1292"/>
    </row>
    <row r="1293" spans="11:12" x14ac:dyDescent="0.25">
      <c r="K1293"/>
      <c r="L1293"/>
    </row>
    <row r="1294" spans="11:12" x14ac:dyDescent="0.25">
      <c r="K1294"/>
      <c r="L1294"/>
    </row>
    <row r="1295" spans="11:12" x14ac:dyDescent="0.25">
      <c r="K1295"/>
      <c r="L1295"/>
    </row>
    <row r="1296" spans="11:12" x14ac:dyDescent="0.25">
      <c r="K1296"/>
      <c r="L1296"/>
    </row>
    <row r="1297" spans="11:12" x14ac:dyDescent="0.25">
      <c r="K1297"/>
      <c r="L1297"/>
    </row>
    <row r="1298" spans="11:12" x14ac:dyDescent="0.25">
      <c r="K1298"/>
      <c r="L1298"/>
    </row>
    <row r="1299" spans="11:12" x14ac:dyDescent="0.25">
      <c r="K1299"/>
      <c r="L1299"/>
    </row>
    <row r="1300" spans="11:12" x14ac:dyDescent="0.25">
      <c r="K1300"/>
      <c r="L1300"/>
    </row>
    <row r="1301" spans="11:12" x14ac:dyDescent="0.25">
      <c r="K1301"/>
      <c r="L1301"/>
    </row>
    <row r="1302" spans="11:12" x14ac:dyDescent="0.25">
      <c r="K1302"/>
      <c r="L1302"/>
    </row>
    <row r="1303" spans="11:12" x14ac:dyDescent="0.25">
      <c r="K1303"/>
      <c r="L1303"/>
    </row>
    <row r="1304" spans="11:12" x14ac:dyDescent="0.25">
      <c r="K1304"/>
      <c r="L1304"/>
    </row>
    <row r="1305" spans="11:12" x14ac:dyDescent="0.25">
      <c r="K1305"/>
      <c r="L1305"/>
    </row>
    <row r="1306" spans="11:12" x14ac:dyDescent="0.25">
      <c r="K1306"/>
      <c r="L1306"/>
    </row>
    <row r="1307" spans="11:12" x14ac:dyDescent="0.25">
      <c r="K1307"/>
      <c r="L1307"/>
    </row>
    <row r="1308" spans="11:12" x14ac:dyDescent="0.25">
      <c r="K1308"/>
      <c r="L1308"/>
    </row>
    <row r="1309" spans="11:12" x14ac:dyDescent="0.25">
      <c r="K1309"/>
      <c r="L1309"/>
    </row>
    <row r="1310" spans="11:12" x14ac:dyDescent="0.25">
      <c r="K1310"/>
      <c r="L1310"/>
    </row>
    <row r="1311" spans="11:12" x14ac:dyDescent="0.25">
      <c r="K1311"/>
      <c r="L1311"/>
    </row>
    <row r="1312" spans="11:12" x14ac:dyDescent="0.25">
      <c r="K1312"/>
      <c r="L1312"/>
    </row>
    <row r="1313" spans="11:12" x14ac:dyDescent="0.25">
      <c r="K1313"/>
      <c r="L1313"/>
    </row>
    <row r="1314" spans="11:12" x14ac:dyDescent="0.25">
      <c r="K1314"/>
      <c r="L1314"/>
    </row>
    <row r="1315" spans="11:12" x14ac:dyDescent="0.25">
      <c r="K1315"/>
      <c r="L1315"/>
    </row>
    <row r="1316" spans="11:12" x14ac:dyDescent="0.25">
      <c r="K1316"/>
      <c r="L1316"/>
    </row>
    <row r="1317" spans="11:12" x14ac:dyDescent="0.25">
      <c r="K1317"/>
      <c r="L1317"/>
    </row>
    <row r="1318" spans="11:12" x14ac:dyDescent="0.25">
      <c r="K1318"/>
      <c r="L1318"/>
    </row>
    <row r="1319" spans="11:12" x14ac:dyDescent="0.25">
      <c r="K1319"/>
      <c r="L1319"/>
    </row>
    <row r="1320" spans="11:12" x14ac:dyDescent="0.25">
      <c r="K1320"/>
      <c r="L1320"/>
    </row>
    <row r="1321" spans="11:12" x14ac:dyDescent="0.25">
      <c r="K1321"/>
      <c r="L1321"/>
    </row>
    <row r="1322" spans="11:12" x14ac:dyDescent="0.25">
      <c r="K1322"/>
      <c r="L1322"/>
    </row>
    <row r="1323" spans="11:12" x14ac:dyDescent="0.25">
      <c r="K1323"/>
      <c r="L1323"/>
    </row>
    <row r="1324" spans="11:12" x14ac:dyDescent="0.25">
      <c r="K1324"/>
      <c r="L1324"/>
    </row>
    <row r="1325" spans="11:12" x14ac:dyDescent="0.25">
      <c r="K1325"/>
      <c r="L1325"/>
    </row>
    <row r="1326" spans="11:12" x14ac:dyDescent="0.25">
      <c r="K1326"/>
      <c r="L1326"/>
    </row>
    <row r="1327" spans="11:12" x14ac:dyDescent="0.25">
      <c r="K1327"/>
      <c r="L1327"/>
    </row>
    <row r="1328" spans="11:12" x14ac:dyDescent="0.25">
      <c r="K1328"/>
      <c r="L1328"/>
    </row>
    <row r="1329" spans="11:12" x14ac:dyDescent="0.25">
      <c r="K1329"/>
      <c r="L1329"/>
    </row>
    <row r="1330" spans="11:12" x14ac:dyDescent="0.25">
      <c r="K1330"/>
      <c r="L1330"/>
    </row>
    <row r="1331" spans="11:12" x14ac:dyDescent="0.25">
      <c r="K1331"/>
      <c r="L1331"/>
    </row>
    <row r="1332" spans="11:12" x14ac:dyDescent="0.25">
      <c r="K1332"/>
      <c r="L1332"/>
    </row>
    <row r="1333" spans="11:12" x14ac:dyDescent="0.25">
      <c r="K1333"/>
      <c r="L1333"/>
    </row>
    <row r="1334" spans="11:12" x14ac:dyDescent="0.25">
      <c r="K1334"/>
      <c r="L1334"/>
    </row>
    <row r="1335" spans="11:12" x14ac:dyDescent="0.25">
      <c r="K1335"/>
      <c r="L1335"/>
    </row>
    <row r="1336" spans="11:12" x14ac:dyDescent="0.25">
      <c r="K1336"/>
      <c r="L1336"/>
    </row>
    <row r="1337" spans="11:12" x14ac:dyDescent="0.25">
      <c r="K1337"/>
      <c r="L1337"/>
    </row>
    <row r="1338" spans="11:12" x14ac:dyDescent="0.25">
      <c r="K1338"/>
      <c r="L1338"/>
    </row>
    <row r="1339" spans="11:12" x14ac:dyDescent="0.25">
      <c r="K1339"/>
      <c r="L1339"/>
    </row>
    <row r="1340" spans="11:12" x14ac:dyDescent="0.25">
      <c r="K1340"/>
      <c r="L1340"/>
    </row>
    <row r="1341" spans="11:12" x14ac:dyDescent="0.25">
      <c r="K1341"/>
      <c r="L1341"/>
    </row>
    <row r="1342" spans="11:12" x14ac:dyDescent="0.25">
      <c r="K1342"/>
      <c r="L1342"/>
    </row>
    <row r="1343" spans="11:12" x14ac:dyDescent="0.25">
      <c r="K1343"/>
      <c r="L1343"/>
    </row>
    <row r="1344" spans="11:12" x14ac:dyDescent="0.25">
      <c r="K1344"/>
      <c r="L1344"/>
    </row>
    <row r="1345" spans="11:12" x14ac:dyDescent="0.25">
      <c r="K1345"/>
      <c r="L1345"/>
    </row>
    <row r="1346" spans="11:12" x14ac:dyDescent="0.25">
      <c r="K1346"/>
      <c r="L1346"/>
    </row>
    <row r="1347" spans="11:12" x14ac:dyDescent="0.25">
      <c r="K1347"/>
      <c r="L1347"/>
    </row>
    <row r="1348" spans="11:12" x14ac:dyDescent="0.25">
      <c r="K1348"/>
      <c r="L1348"/>
    </row>
    <row r="1349" spans="11:12" x14ac:dyDescent="0.25">
      <c r="K1349"/>
      <c r="L1349"/>
    </row>
    <row r="1350" spans="11:12" x14ac:dyDescent="0.25">
      <c r="K1350"/>
      <c r="L1350"/>
    </row>
    <row r="1351" spans="11:12" x14ac:dyDescent="0.25">
      <c r="K1351"/>
      <c r="L1351"/>
    </row>
    <row r="1352" spans="11:12" x14ac:dyDescent="0.25">
      <c r="K1352"/>
      <c r="L1352"/>
    </row>
    <row r="1353" spans="11:12" x14ac:dyDescent="0.25">
      <c r="K1353"/>
      <c r="L1353"/>
    </row>
    <row r="1354" spans="11:12" x14ac:dyDescent="0.25">
      <c r="K1354"/>
      <c r="L1354"/>
    </row>
    <row r="1355" spans="11:12" x14ac:dyDescent="0.25">
      <c r="K1355"/>
      <c r="L1355"/>
    </row>
    <row r="1356" spans="11:12" x14ac:dyDescent="0.25">
      <c r="K1356"/>
      <c r="L1356"/>
    </row>
    <row r="1357" spans="11:12" x14ac:dyDescent="0.25">
      <c r="K1357"/>
      <c r="L1357"/>
    </row>
    <row r="1358" spans="11:12" x14ac:dyDescent="0.25">
      <c r="K1358"/>
      <c r="L1358"/>
    </row>
    <row r="1359" spans="11:12" x14ac:dyDescent="0.25">
      <c r="K1359"/>
      <c r="L1359"/>
    </row>
    <row r="1360" spans="11:12" x14ac:dyDescent="0.25">
      <c r="K1360"/>
      <c r="L1360"/>
    </row>
    <row r="1361" spans="11:12" x14ac:dyDescent="0.25">
      <c r="K1361"/>
      <c r="L1361"/>
    </row>
    <row r="1362" spans="11:12" x14ac:dyDescent="0.25">
      <c r="K1362"/>
      <c r="L1362"/>
    </row>
    <row r="1363" spans="11:12" x14ac:dyDescent="0.25">
      <c r="K1363"/>
      <c r="L1363"/>
    </row>
    <row r="1364" spans="11:12" x14ac:dyDescent="0.25">
      <c r="K1364"/>
      <c r="L1364"/>
    </row>
    <row r="1365" spans="11:12" x14ac:dyDescent="0.25">
      <c r="K1365"/>
      <c r="L1365"/>
    </row>
    <row r="1366" spans="11:12" x14ac:dyDescent="0.25">
      <c r="K1366"/>
      <c r="L1366"/>
    </row>
    <row r="1367" spans="11:12" x14ac:dyDescent="0.25">
      <c r="K1367"/>
      <c r="L1367"/>
    </row>
    <row r="1368" spans="11:12" x14ac:dyDescent="0.25">
      <c r="K1368"/>
      <c r="L1368"/>
    </row>
    <row r="1369" spans="11:12" x14ac:dyDescent="0.25">
      <c r="K1369"/>
      <c r="L1369"/>
    </row>
    <row r="1370" spans="11:12" x14ac:dyDescent="0.25">
      <c r="K1370"/>
      <c r="L1370"/>
    </row>
    <row r="1371" spans="11:12" x14ac:dyDescent="0.25">
      <c r="K1371"/>
      <c r="L1371"/>
    </row>
    <row r="1372" spans="11:12" x14ac:dyDescent="0.25">
      <c r="K1372"/>
      <c r="L1372"/>
    </row>
    <row r="1373" spans="11:12" x14ac:dyDescent="0.25">
      <c r="K1373"/>
      <c r="L1373"/>
    </row>
    <row r="1374" spans="11:12" x14ac:dyDescent="0.25">
      <c r="K1374"/>
      <c r="L1374"/>
    </row>
    <row r="1375" spans="11:12" x14ac:dyDescent="0.25">
      <c r="K1375"/>
      <c r="L1375"/>
    </row>
    <row r="1376" spans="11:12" x14ac:dyDescent="0.25">
      <c r="K1376"/>
      <c r="L1376"/>
    </row>
    <row r="1377" spans="11:12" x14ac:dyDescent="0.25">
      <c r="K1377"/>
      <c r="L1377"/>
    </row>
    <row r="1378" spans="11:12" x14ac:dyDescent="0.25">
      <c r="K1378"/>
      <c r="L1378"/>
    </row>
    <row r="1379" spans="11:12" x14ac:dyDescent="0.25">
      <c r="K1379"/>
      <c r="L1379"/>
    </row>
    <row r="1380" spans="11:12" x14ac:dyDescent="0.25">
      <c r="K1380"/>
      <c r="L1380"/>
    </row>
    <row r="1381" spans="11:12" x14ac:dyDescent="0.25">
      <c r="K1381"/>
      <c r="L1381"/>
    </row>
    <row r="1382" spans="11:12" x14ac:dyDescent="0.25">
      <c r="K1382"/>
      <c r="L1382"/>
    </row>
    <row r="1383" spans="11:12" x14ac:dyDescent="0.25">
      <c r="K1383"/>
      <c r="L1383"/>
    </row>
    <row r="1384" spans="11:12" x14ac:dyDescent="0.25">
      <c r="K1384"/>
      <c r="L1384"/>
    </row>
    <row r="1385" spans="11:12" x14ac:dyDescent="0.25">
      <c r="K1385"/>
      <c r="L1385"/>
    </row>
    <row r="1386" spans="11:12" x14ac:dyDescent="0.25">
      <c r="K1386"/>
      <c r="L1386"/>
    </row>
    <row r="1387" spans="11:12" x14ac:dyDescent="0.25">
      <c r="K1387"/>
      <c r="L1387"/>
    </row>
    <row r="1388" spans="11:12" x14ac:dyDescent="0.25">
      <c r="K1388"/>
      <c r="L1388"/>
    </row>
    <row r="1389" spans="11:12" x14ac:dyDescent="0.25">
      <c r="K1389"/>
      <c r="L1389"/>
    </row>
    <row r="1390" spans="11:12" x14ac:dyDescent="0.25">
      <c r="K1390"/>
      <c r="L1390"/>
    </row>
    <row r="1391" spans="11:12" x14ac:dyDescent="0.25">
      <c r="K1391"/>
      <c r="L1391"/>
    </row>
    <row r="1392" spans="11:12" x14ac:dyDescent="0.25">
      <c r="K1392"/>
      <c r="L1392"/>
    </row>
    <row r="1393" spans="11:12" x14ac:dyDescent="0.25">
      <c r="K1393"/>
      <c r="L1393"/>
    </row>
    <row r="1394" spans="11:12" x14ac:dyDescent="0.25">
      <c r="K1394"/>
      <c r="L1394"/>
    </row>
    <row r="1395" spans="11:12" x14ac:dyDescent="0.25">
      <c r="K1395"/>
      <c r="L1395"/>
    </row>
    <row r="1396" spans="11:12" x14ac:dyDescent="0.25">
      <c r="K1396"/>
      <c r="L1396"/>
    </row>
    <row r="1397" spans="11:12" x14ac:dyDescent="0.25">
      <c r="K1397"/>
      <c r="L1397"/>
    </row>
    <row r="1398" spans="11:12" x14ac:dyDescent="0.25">
      <c r="K1398"/>
      <c r="L1398"/>
    </row>
    <row r="1399" spans="11:12" x14ac:dyDescent="0.25">
      <c r="K1399"/>
      <c r="L1399"/>
    </row>
    <row r="1400" spans="11:12" x14ac:dyDescent="0.25">
      <c r="K1400"/>
      <c r="L1400"/>
    </row>
    <row r="1401" spans="11:12" x14ac:dyDescent="0.25">
      <c r="K1401"/>
      <c r="L1401"/>
    </row>
    <row r="1402" spans="11:12" x14ac:dyDescent="0.25">
      <c r="K1402"/>
      <c r="L1402"/>
    </row>
    <row r="1403" spans="11:12" x14ac:dyDescent="0.25">
      <c r="K1403"/>
      <c r="L1403"/>
    </row>
    <row r="1404" spans="11:12" x14ac:dyDescent="0.25">
      <c r="K1404"/>
      <c r="L1404"/>
    </row>
    <row r="1405" spans="11:12" x14ac:dyDescent="0.25">
      <c r="K1405"/>
      <c r="L1405"/>
    </row>
    <row r="1406" spans="11:12" x14ac:dyDescent="0.25">
      <c r="K1406"/>
      <c r="L1406"/>
    </row>
    <row r="1407" spans="11:12" x14ac:dyDescent="0.25">
      <c r="K1407"/>
      <c r="L1407"/>
    </row>
    <row r="1408" spans="11:12" x14ac:dyDescent="0.25">
      <c r="K1408"/>
      <c r="L1408"/>
    </row>
    <row r="1409" spans="11:12" x14ac:dyDescent="0.25">
      <c r="K1409"/>
      <c r="L1409"/>
    </row>
    <row r="1410" spans="11:12" x14ac:dyDescent="0.25">
      <c r="K1410"/>
      <c r="L1410"/>
    </row>
    <row r="1411" spans="11:12" x14ac:dyDescent="0.25">
      <c r="K1411"/>
      <c r="L1411"/>
    </row>
    <row r="1412" spans="11:12" x14ac:dyDescent="0.25">
      <c r="K1412"/>
      <c r="L1412"/>
    </row>
    <row r="1413" spans="11:12" x14ac:dyDescent="0.25">
      <c r="K1413"/>
      <c r="L1413"/>
    </row>
    <row r="1414" spans="11:12" x14ac:dyDescent="0.25">
      <c r="K1414"/>
      <c r="L1414"/>
    </row>
    <row r="1415" spans="11:12" x14ac:dyDescent="0.25">
      <c r="K1415"/>
      <c r="L1415"/>
    </row>
    <row r="1416" spans="11:12" x14ac:dyDescent="0.25">
      <c r="K1416"/>
      <c r="L1416"/>
    </row>
    <row r="1417" spans="11:12" x14ac:dyDescent="0.25">
      <c r="K1417"/>
      <c r="L1417"/>
    </row>
    <row r="1418" spans="11:12" x14ac:dyDescent="0.25">
      <c r="K1418"/>
      <c r="L1418"/>
    </row>
    <row r="1419" spans="11:12" x14ac:dyDescent="0.25">
      <c r="K1419"/>
      <c r="L1419"/>
    </row>
    <row r="1420" spans="11:12" x14ac:dyDescent="0.25">
      <c r="K1420"/>
      <c r="L1420"/>
    </row>
    <row r="1421" spans="11:12" x14ac:dyDescent="0.25">
      <c r="K1421"/>
      <c r="L1421"/>
    </row>
    <row r="1422" spans="11:12" x14ac:dyDescent="0.25">
      <c r="K1422"/>
      <c r="L1422"/>
    </row>
    <row r="1423" spans="11:12" x14ac:dyDescent="0.25">
      <c r="K1423"/>
      <c r="L1423"/>
    </row>
    <row r="1424" spans="11:12" x14ac:dyDescent="0.25">
      <c r="K1424"/>
      <c r="L1424"/>
    </row>
    <row r="1425" spans="11:12" x14ac:dyDescent="0.25">
      <c r="K1425"/>
      <c r="L1425"/>
    </row>
    <row r="1426" spans="11:12" x14ac:dyDescent="0.25">
      <c r="K1426"/>
      <c r="L1426"/>
    </row>
    <row r="1427" spans="11:12" x14ac:dyDescent="0.25">
      <c r="K1427"/>
      <c r="L1427"/>
    </row>
    <row r="1428" spans="11:12" x14ac:dyDescent="0.25">
      <c r="K1428"/>
      <c r="L1428"/>
    </row>
    <row r="1429" spans="11:12" x14ac:dyDescent="0.25">
      <c r="K1429"/>
      <c r="L1429"/>
    </row>
    <row r="1430" spans="11:12" x14ac:dyDescent="0.25">
      <c r="K1430"/>
      <c r="L1430"/>
    </row>
    <row r="1431" spans="11:12" x14ac:dyDescent="0.25">
      <c r="K1431"/>
      <c r="L1431"/>
    </row>
    <row r="1432" spans="11:12" x14ac:dyDescent="0.25">
      <c r="K1432"/>
      <c r="L1432"/>
    </row>
    <row r="1433" spans="11:12" x14ac:dyDescent="0.25">
      <c r="K1433"/>
      <c r="L1433"/>
    </row>
    <row r="1434" spans="11:12" x14ac:dyDescent="0.25">
      <c r="K1434"/>
      <c r="L1434"/>
    </row>
    <row r="1435" spans="11:12" x14ac:dyDescent="0.25">
      <c r="K1435"/>
      <c r="L1435"/>
    </row>
    <row r="1436" spans="11:12" x14ac:dyDescent="0.25">
      <c r="K1436"/>
      <c r="L1436"/>
    </row>
    <row r="1437" spans="11:12" x14ac:dyDescent="0.25">
      <c r="K1437"/>
      <c r="L1437"/>
    </row>
    <row r="1438" spans="11:12" x14ac:dyDescent="0.25">
      <c r="K1438"/>
      <c r="L1438"/>
    </row>
    <row r="1439" spans="11:12" x14ac:dyDescent="0.25">
      <c r="K1439"/>
      <c r="L1439"/>
    </row>
    <row r="1440" spans="11:12" x14ac:dyDescent="0.25">
      <c r="K1440"/>
      <c r="L1440"/>
    </row>
    <row r="1441" spans="11:12" x14ac:dyDescent="0.25">
      <c r="K1441"/>
      <c r="L1441"/>
    </row>
    <row r="1442" spans="11:12" x14ac:dyDescent="0.25">
      <c r="K1442"/>
      <c r="L1442"/>
    </row>
    <row r="1443" spans="11:12" x14ac:dyDescent="0.25">
      <c r="K1443"/>
      <c r="L1443"/>
    </row>
    <row r="1444" spans="11:12" x14ac:dyDescent="0.25">
      <c r="K1444"/>
      <c r="L1444"/>
    </row>
    <row r="1445" spans="11:12" x14ac:dyDescent="0.25">
      <c r="K1445"/>
      <c r="L1445"/>
    </row>
    <row r="1446" spans="11:12" x14ac:dyDescent="0.25">
      <c r="K1446"/>
      <c r="L1446"/>
    </row>
    <row r="1447" spans="11:12" x14ac:dyDescent="0.25">
      <c r="K1447"/>
      <c r="L1447"/>
    </row>
    <row r="1448" spans="11:12" x14ac:dyDescent="0.25">
      <c r="K1448"/>
      <c r="L1448"/>
    </row>
    <row r="1449" spans="11:12" x14ac:dyDescent="0.25">
      <c r="K1449"/>
      <c r="L1449"/>
    </row>
    <row r="1450" spans="11:12" x14ac:dyDescent="0.25">
      <c r="K1450"/>
      <c r="L1450"/>
    </row>
    <row r="1451" spans="11:12" x14ac:dyDescent="0.25">
      <c r="K1451"/>
      <c r="L1451"/>
    </row>
    <row r="1452" spans="11:12" x14ac:dyDescent="0.25">
      <c r="K1452"/>
      <c r="L1452"/>
    </row>
    <row r="1453" spans="11:12" x14ac:dyDescent="0.25">
      <c r="K1453"/>
      <c r="L1453"/>
    </row>
    <row r="1454" spans="11:12" x14ac:dyDescent="0.25">
      <c r="K1454"/>
      <c r="L1454"/>
    </row>
    <row r="1455" spans="11:12" x14ac:dyDescent="0.25">
      <c r="K1455"/>
      <c r="L1455"/>
    </row>
    <row r="1456" spans="11:12" x14ac:dyDescent="0.25">
      <c r="K1456"/>
      <c r="L1456"/>
    </row>
    <row r="1457" spans="11:12" x14ac:dyDescent="0.25">
      <c r="K1457"/>
      <c r="L1457"/>
    </row>
    <row r="1458" spans="11:12" x14ac:dyDescent="0.25">
      <c r="K1458"/>
      <c r="L1458"/>
    </row>
    <row r="1459" spans="11:12" x14ac:dyDescent="0.25">
      <c r="K1459"/>
      <c r="L1459"/>
    </row>
    <row r="1460" spans="11:12" x14ac:dyDescent="0.25">
      <c r="K1460"/>
      <c r="L1460"/>
    </row>
    <row r="1461" spans="11:12" x14ac:dyDescent="0.25">
      <c r="K1461"/>
      <c r="L1461"/>
    </row>
    <row r="1462" spans="11:12" x14ac:dyDescent="0.25">
      <c r="K1462"/>
      <c r="L1462"/>
    </row>
    <row r="1463" spans="11:12" x14ac:dyDescent="0.25">
      <c r="K1463"/>
      <c r="L1463"/>
    </row>
    <row r="1464" spans="11:12" x14ac:dyDescent="0.25">
      <c r="K1464"/>
      <c r="L1464"/>
    </row>
    <row r="1465" spans="11:12" x14ac:dyDescent="0.25">
      <c r="K1465"/>
      <c r="L1465"/>
    </row>
    <row r="1466" spans="11:12" x14ac:dyDescent="0.25">
      <c r="K1466"/>
      <c r="L1466"/>
    </row>
    <row r="1467" spans="11:12" x14ac:dyDescent="0.25">
      <c r="K1467"/>
      <c r="L1467"/>
    </row>
    <row r="1468" spans="11:12" x14ac:dyDescent="0.25">
      <c r="K1468"/>
      <c r="L1468"/>
    </row>
    <row r="1469" spans="11:12" x14ac:dyDescent="0.25">
      <c r="K1469"/>
      <c r="L1469"/>
    </row>
    <row r="1470" spans="11:12" x14ac:dyDescent="0.25">
      <c r="K1470"/>
      <c r="L1470"/>
    </row>
    <row r="1471" spans="11:12" x14ac:dyDescent="0.25">
      <c r="K1471"/>
      <c r="L1471"/>
    </row>
    <row r="1472" spans="11:12" x14ac:dyDescent="0.25">
      <c r="K1472"/>
      <c r="L1472"/>
    </row>
    <row r="1473" spans="11:12" x14ac:dyDescent="0.25">
      <c r="K1473"/>
      <c r="L1473"/>
    </row>
    <row r="1474" spans="11:12" x14ac:dyDescent="0.25">
      <c r="K1474"/>
      <c r="L1474"/>
    </row>
    <row r="1475" spans="11:12" x14ac:dyDescent="0.25">
      <c r="K1475"/>
      <c r="L1475"/>
    </row>
    <row r="1476" spans="11:12" x14ac:dyDescent="0.25">
      <c r="K1476"/>
      <c r="L1476"/>
    </row>
    <row r="1477" spans="11:12" x14ac:dyDescent="0.25">
      <c r="K1477"/>
      <c r="L1477"/>
    </row>
    <row r="1478" spans="11:12" x14ac:dyDescent="0.25">
      <c r="K1478"/>
      <c r="L1478"/>
    </row>
    <row r="1479" spans="11:12" x14ac:dyDescent="0.25">
      <c r="K1479"/>
      <c r="L1479"/>
    </row>
    <row r="1480" spans="11:12" x14ac:dyDescent="0.25">
      <c r="K1480"/>
      <c r="L1480"/>
    </row>
    <row r="1481" spans="11:12" x14ac:dyDescent="0.25">
      <c r="K1481"/>
      <c r="L1481"/>
    </row>
    <row r="1482" spans="11:12" x14ac:dyDescent="0.25">
      <c r="K1482"/>
      <c r="L1482"/>
    </row>
    <row r="1483" spans="11:12" x14ac:dyDescent="0.25">
      <c r="K1483"/>
      <c r="L1483"/>
    </row>
    <row r="1484" spans="11:12" x14ac:dyDescent="0.25">
      <c r="K1484"/>
      <c r="L1484"/>
    </row>
    <row r="1485" spans="11:12" x14ac:dyDescent="0.25">
      <c r="K1485"/>
      <c r="L1485"/>
    </row>
    <row r="1486" spans="11:12" x14ac:dyDescent="0.25">
      <c r="K1486"/>
      <c r="L1486"/>
    </row>
    <row r="1487" spans="11:12" x14ac:dyDescent="0.25">
      <c r="K1487"/>
      <c r="L1487"/>
    </row>
    <row r="1488" spans="11:12" x14ac:dyDescent="0.25">
      <c r="K1488"/>
      <c r="L1488"/>
    </row>
    <row r="1489" spans="11:12" x14ac:dyDescent="0.25">
      <c r="K1489"/>
      <c r="L1489"/>
    </row>
    <row r="1490" spans="11:12" x14ac:dyDescent="0.25">
      <c r="K1490"/>
      <c r="L1490"/>
    </row>
    <row r="1491" spans="11:12" x14ac:dyDescent="0.25">
      <c r="K1491"/>
      <c r="L1491"/>
    </row>
    <row r="1492" spans="11:12" x14ac:dyDescent="0.25">
      <c r="K1492"/>
      <c r="L1492"/>
    </row>
    <row r="1493" spans="11:12" x14ac:dyDescent="0.25">
      <c r="K1493"/>
      <c r="L1493"/>
    </row>
    <row r="1494" spans="11:12" x14ac:dyDescent="0.25">
      <c r="K1494"/>
      <c r="L1494"/>
    </row>
    <row r="1495" spans="11:12" x14ac:dyDescent="0.25">
      <c r="K1495"/>
      <c r="L1495"/>
    </row>
    <row r="1496" spans="11:12" x14ac:dyDescent="0.25">
      <c r="K1496"/>
      <c r="L1496"/>
    </row>
    <row r="1497" spans="11:12" x14ac:dyDescent="0.25">
      <c r="K1497"/>
      <c r="L1497"/>
    </row>
    <row r="1498" spans="11:12" x14ac:dyDescent="0.25">
      <c r="K1498"/>
      <c r="L1498"/>
    </row>
    <row r="1499" spans="11:12" x14ac:dyDescent="0.25">
      <c r="K1499"/>
      <c r="L1499"/>
    </row>
    <row r="1500" spans="11:12" x14ac:dyDescent="0.25">
      <c r="K1500"/>
      <c r="L1500"/>
    </row>
    <row r="1501" spans="11:12" x14ac:dyDescent="0.25">
      <c r="K1501"/>
      <c r="L1501"/>
    </row>
    <row r="1502" spans="11:12" x14ac:dyDescent="0.25">
      <c r="K1502"/>
      <c r="L1502"/>
    </row>
    <row r="1503" spans="11:12" x14ac:dyDescent="0.25">
      <c r="K1503"/>
      <c r="L1503"/>
    </row>
    <row r="1504" spans="11:12" x14ac:dyDescent="0.25">
      <c r="K1504"/>
      <c r="L1504"/>
    </row>
    <row r="1505" spans="11:12" x14ac:dyDescent="0.25">
      <c r="K1505"/>
      <c r="L1505"/>
    </row>
    <row r="1506" spans="11:12" x14ac:dyDescent="0.25">
      <c r="K1506"/>
      <c r="L1506"/>
    </row>
    <row r="1507" spans="11:12" x14ac:dyDescent="0.25">
      <c r="K1507"/>
      <c r="L1507"/>
    </row>
    <row r="1508" spans="11:12" x14ac:dyDescent="0.25">
      <c r="K1508"/>
      <c r="L1508"/>
    </row>
    <row r="1509" spans="11:12" x14ac:dyDescent="0.25">
      <c r="K1509"/>
      <c r="L1509"/>
    </row>
    <row r="1510" spans="11:12" x14ac:dyDescent="0.25">
      <c r="K1510"/>
      <c r="L1510"/>
    </row>
    <row r="1511" spans="11:12" x14ac:dyDescent="0.25">
      <c r="K1511"/>
      <c r="L1511"/>
    </row>
    <row r="1512" spans="11:12" x14ac:dyDescent="0.25">
      <c r="K1512"/>
      <c r="L1512"/>
    </row>
    <row r="1513" spans="11:12" x14ac:dyDescent="0.25">
      <c r="K1513"/>
      <c r="L1513"/>
    </row>
    <row r="1514" spans="11:12" x14ac:dyDescent="0.25">
      <c r="K1514"/>
      <c r="L1514"/>
    </row>
    <row r="1515" spans="11:12" x14ac:dyDescent="0.25">
      <c r="K1515"/>
      <c r="L1515"/>
    </row>
    <row r="1516" spans="11:12" x14ac:dyDescent="0.25">
      <c r="K1516"/>
      <c r="L1516"/>
    </row>
    <row r="1517" spans="11:12" x14ac:dyDescent="0.25">
      <c r="K1517"/>
      <c r="L1517"/>
    </row>
    <row r="1518" spans="11:12" x14ac:dyDescent="0.25">
      <c r="K1518"/>
      <c r="L1518"/>
    </row>
    <row r="1519" spans="11:12" x14ac:dyDescent="0.25">
      <c r="K1519"/>
      <c r="L1519"/>
    </row>
    <row r="1520" spans="11:12" x14ac:dyDescent="0.25">
      <c r="K1520"/>
      <c r="L1520"/>
    </row>
    <row r="1521" spans="11:12" x14ac:dyDescent="0.25">
      <c r="K1521"/>
      <c r="L1521"/>
    </row>
    <row r="1522" spans="11:12" x14ac:dyDescent="0.25">
      <c r="K1522"/>
      <c r="L1522"/>
    </row>
    <row r="1523" spans="11:12" x14ac:dyDescent="0.25">
      <c r="K1523"/>
      <c r="L1523"/>
    </row>
    <row r="1524" spans="11:12" x14ac:dyDescent="0.25">
      <c r="K1524"/>
      <c r="L1524"/>
    </row>
    <row r="1525" spans="11:12" x14ac:dyDescent="0.25">
      <c r="K1525"/>
      <c r="L1525"/>
    </row>
    <row r="1526" spans="11:12" x14ac:dyDescent="0.25">
      <c r="K1526"/>
      <c r="L1526"/>
    </row>
    <row r="1527" spans="11:12" x14ac:dyDescent="0.25">
      <c r="K1527"/>
      <c r="L1527"/>
    </row>
    <row r="1528" spans="11:12" x14ac:dyDescent="0.25">
      <c r="K1528"/>
      <c r="L1528"/>
    </row>
    <row r="1529" spans="11:12" x14ac:dyDescent="0.25">
      <c r="K1529"/>
      <c r="L1529"/>
    </row>
    <row r="1530" spans="11:12" x14ac:dyDescent="0.25">
      <c r="K1530"/>
      <c r="L1530"/>
    </row>
    <row r="1531" spans="11:12" x14ac:dyDescent="0.25">
      <c r="K1531"/>
      <c r="L1531"/>
    </row>
    <row r="1532" spans="11:12" x14ac:dyDescent="0.25">
      <c r="K1532"/>
      <c r="L1532"/>
    </row>
    <row r="1533" spans="11:12" x14ac:dyDescent="0.25">
      <c r="K1533"/>
      <c r="L1533"/>
    </row>
    <row r="1534" spans="11:12" x14ac:dyDescent="0.25">
      <c r="K1534"/>
      <c r="L1534"/>
    </row>
    <row r="1535" spans="11:12" x14ac:dyDescent="0.25">
      <c r="K1535"/>
      <c r="L1535"/>
    </row>
    <row r="1536" spans="11:12" x14ac:dyDescent="0.25">
      <c r="K1536"/>
      <c r="L1536"/>
    </row>
    <row r="1537" spans="11:12" x14ac:dyDescent="0.25">
      <c r="K1537"/>
      <c r="L1537"/>
    </row>
    <row r="1538" spans="11:12" x14ac:dyDescent="0.25">
      <c r="K1538"/>
      <c r="L1538"/>
    </row>
    <row r="1539" spans="11:12" x14ac:dyDescent="0.25">
      <c r="K1539"/>
      <c r="L1539"/>
    </row>
    <row r="1540" spans="11:12" x14ac:dyDescent="0.25">
      <c r="K1540"/>
      <c r="L1540"/>
    </row>
    <row r="1541" spans="11:12" x14ac:dyDescent="0.25">
      <c r="K1541"/>
      <c r="L1541"/>
    </row>
    <row r="1542" spans="11:12" x14ac:dyDescent="0.25">
      <c r="K1542"/>
      <c r="L1542"/>
    </row>
    <row r="1543" spans="11:12" x14ac:dyDescent="0.25">
      <c r="K1543"/>
      <c r="L1543"/>
    </row>
    <row r="1544" spans="11:12" x14ac:dyDescent="0.25">
      <c r="K1544"/>
      <c r="L1544"/>
    </row>
    <row r="1545" spans="11:12" x14ac:dyDescent="0.25">
      <c r="K1545"/>
      <c r="L1545"/>
    </row>
    <row r="1546" spans="11:12" x14ac:dyDescent="0.25">
      <c r="K1546"/>
      <c r="L1546"/>
    </row>
    <row r="1547" spans="11:12" x14ac:dyDescent="0.25">
      <c r="K1547"/>
      <c r="L1547"/>
    </row>
    <row r="1548" spans="11:12" x14ac:dyDescent="0.25">
      <c r="K1548"/>
      <c r="L1548"/>
    </row>
    <row r="1549" spans="11:12" x14ac:dyDescent="0.25">
      <c r="K1549"/>
      <c r="L1549"/>
    </row>
    <row r="1550" spans="11:12" x14ac:dyDescent="0.25">
      <c r="K1550"/>
      <c r="L1550"/>
    </row>
    <row r="1551" spans="11:12" x14ac:dyDescent="0.25">
      <c r="K1551"/>
      <c r="L1551"/>
    </row>
    <row r="1552" spans="11:12" x14ac:dyDescent="0.25">
      <c r="K1552"/>
      <c r="L1552"/>
    </row>
    <row r="1553" spans="11:12" x14ac:dyDescent="0.25">
      <c r="K1553"/>
      <c r="L1553"/>
    </row>
    <row r="1554" spans="11:12" x14ac:dyDescent="0.25">
      <c r="K1554"/>
      <c r="L1554"/>
    </row>
    <row r="1555" spans="11:12" x14ac:dyDescent="0.25">
      <c r="K1555"/>
      <c r="L1555"/>
    </row>
    <row r="1556" spans="11:12" x14ac:dyDescent="0.25">
      <c r="K1556"/>
      <c r="L1556"/>
    </row>
    <row r="1557" spans="11:12" x14ac:dyDescent="0.25">
      <c r="K1557"/>
      <c r="L1557"/>
    </row>
    <row r="1558" spans="11:12" x14ac:dyDescent="0.25">
      <c r="K1558"/>
      <c r="L1558"/>
    </row>
    <row r="1559" spans="11:12" x14ac:dyDescent="0.25">
      <c r="K1559"/>
      <c r="L1559"/>
    </row>
    <row r="1560" spans="11:12" x14ac:dyDescent="0.25">
      <c r="K1560"/>
      <c r="L1560"/>
    </row>
    <row r="1561" spans="11:12" x14ac:dyDescent="0.25">
      <c r="K1561"/>
      <c r="L1561"/>
    </row>
    <row r="1562" spans="11:12" x14ac:dyDescent="0.25">
      <c r="K1562"/>
      <c r="L1562"/>
    </row>
    <row r="1563" spans="11:12" x14ac:dyDescent="0.25">
      <c r="K1563"/>
      <c r="L1563"/>
    </row>
    <row r="1564" spans="11:12" x14ac:dyDescent="0.25">
      <c r="K1564"/>
      <c r="L1564"/>
    </row>
    <row r="1565" spans="11:12" x14ac:dyDescent="0.25">
      <c r="K1565"/>
      <c r="L1565"/>
    </row>
    <row r="1566" spans="11:12" x14ac:dyDescent="0.25">
      <c r="K1566"/>
      <c r="L1566"/>
    </row>
    <row r="1567" spans="11:12" x14ac:dyDescent="0.25">
      <c r="K1567"/>
      <c r="L1567"/>
    </row>
    <row r="1568" spans="11:12" x14ac:dyDescent="0.25">
      <c r="K1568"/>
      <c r="L1568"/>
    </row>
    <row r="1569" spans="11:12" x14ac:dyDescent="0.25">
      <c r="K1569"/>
      <c r="L1569"/>
    </row>
    <row r="1570" spans="11:12" x14ac:dyDescent="0.25">
      <c r="K1570"/>
      <c r="L1570"/>
    </row>
    <row r="1571" spans="11:12" x14ac:dyDescent="0.25">
      <c r="K1571"/>
      <c r="L1571"/>
    </row>
    <row r="1572" spans="11:12" x14ac:dyDescent="0.25">
      <c r="K1572"/>
      <c r="L1572"/>
    </row>
    <row r="1573" spans="11:12" x14ac:dyDescent="0.25">
      <c r="K1573"/>
      <c r="L1573"/>
    </row>
    <row r="1574" spans="11:12" x14ac:dyDescent="0.25">
      <c r="K1574"/>
      <c r="L1574"/>
    </row>
    <row r="1575" spans="11:12" x14ac:dyDescent="0.25">
      <c r="K1575"/>
      <c r="L1575"/>
    </row>
    <row r="1576" spans="11:12" x14ac:dyDescent="0.25">
      <c r="K1576"/>
      <c r="L1576"/>
    </row>
    <row r="1577" spans="11:12" x14ac:dyDescent="0.25">
      <c r="K1577"/>
      <c r="L1577"/>
    </row>
    <row r="1578" spans="11:12" x14ac:dyDescent="0.25">
      <c r="K1578"/>
      <c r="L1578"/>
    </row>
    <row r="1579" spans="11:12" x14ac:dyDescent="0.25">
      <c r="K1579"/>
      <c r="L1579"/>
    </row>
    <row r="1580" spans="11:12" x14ac:dyDescent="0.25">
      <c r="K1580"/>
      <c r="L1580"/>
    </row>
    <row r="1581" spans="11:12" x14ac:dyDescent="0.25">
      <c r="K1581"/>
      <c r="L1581"/>
    </row>
    <row r="1582" spans="11:12" x14ac:dyDescent="0.25">
      <c r="K1582"/>
      <c r="L1582"/>
    </row>
    <row r="1583" spans="11:12" x14ac:dyDescent="0.25">
      <c r="K1583"/>
      <c r="L1583"/>
    </row>
    <row r="1584" spans="11:12" x14ac:dyDescent="0.25">
      <c r="K1584"/>
      <c r="L1584"/>
    </row>
    <row r="1585" spans="11:12" x14ac:dyDescent="0.25">
      <c r="K1585"/>
      <c r="L1585"/>
    </row>
    <row r="1586" spans="11:12" x14ac:dyDescent="0.25">
      <c r="K1586"/>
      <c r="L1586"/>
    </row>
    <row r="1587" spans="11:12" x14ac:dyDescent="0.25">
      <c r="K1587"/>
      <c r="L1587"/>
    </row>
    <row r="1588" spans="11:12" x14ac:dyDescent="0.25">
      <c r="K1588"/>
      <c r="L1588"/>
    </row>
    <row r="1589" spans="11:12" x14ac:dyDescent="0.25">
      <c r="K1589"/>
      <c r="L1589"/>
    </row>
    <row r="1590" spans="11:12" x14ac:dyDescent="0.25">
      <c r="K1590"/>
      <c r="L1590"/>
    </row>
    <row r="1591" spans="11:12" x14ac:dyDescent="0.25">
      <c r="K1591"/>
      <c r="L1591"/>
    </row>
    <row r="1592" spans="11:12" x14ac:dyDescent="0.25">
      <c r="K1592"/>
      <c r="L1592"/>
    </row>
    <row r="1593" spans="11:12" x14ac:dyDescent="0.25">
      <c r="K1593"/>
      <c r="L1593"/>
    </row>
    <row r="1594" spans="11:12" x14ac:dyDescent="0.25">
      <c r="K1594"/>
      <c r="L1594"/>
    </row>
    <row r="1595" spans="11:12" x14ac:dyDescent="0.25">
      <c r="K1595"/>
      <c r="L1595"/>
    </row>
    <row r="1596" spans="11:12" x14ac:dyDescent="0.25">
      <c r="K1596"/>
      <c r="L1596"/>
    </row>
    <row r="1597" spans="11:12" x14ac:dyDescent="0.25">
      <c r="K1597"/>
      <c r="L1597"/>
    </row>
    <row r="1598" spans="11:12" x14ac:dyDescent="0.25">
      <c r="K1598"/>
      <c r="L1598"/>
    </row>
    <row r="1599" spans="11:12" x14ac:dyDescent="0.25">
      <c r="K1599"/>
      <c r="L1599"/>
    </row>
    <row r="1600" spans="11:12" x14ac:dyDescent="0.25">
      <c r="K1600"/>
      <c r="L1600"/>
    </row>
    <row r="1601" spans="11:12" x14ac:dyDescent="0.25">
      <c r="K1601"/>
      <c r="L1601"/>
    </row>
    <row r="1602" spans="11:12" x14ac:dyDescent="0.25">
      <c r="K1602"/>
      <c r="L1602"/>
    </row>
    <row r="1603" spans="11:12" x14ac:dyDescent="0.25">
      <c r="K1603"/>
      <c r="L1603"/>
    </row>
    <row r="1604" spans="11:12" x14ac:dyDescent="0.25">
      <c r="K1604"/>
      <c r="L1604"/>
    </row>
    <row r="1605" spans="11:12" x14ac:dyDescent="0.25">
      <c r="K1605"/>
      <c r="L1605"/>
    </row>
    <row r="1606" spans="11:12" x14ac:dyDescent="0.25">
      <c r="K1606"/>
      <c r="L1606"/>
    </row>
    <row r="1607" spans="11:12" x14ac:dyDescent="0.25">
      <c r="K1607"/>
      <c r="L1607"/>
    </row>
    <row r="1608" spans="11:12" x14ac:dyDescent="0.25">
      <c r="K1608"/>
      <c r="L1608"/>
    </row>
    <row r="1609" spans="11:12" x14ac:dyDescent="0.25">
      <c r="K1609"/>
      <c r="L1609"/>
    </row>
    <row r="1610" spans="11:12" x14ac:dyDescent="0.25">
      <c r="K1610"/>
      <c r="L1610"/>
    </row>
    <row r="1611" spans="11:12" x14ac:dyDescent="0.25">
      <c r="K1611"/>
      <c r="L1611"/>
    </row>
    <row r="1612" spans="11:12" x14ac:dyDescent="0.25">
      <c r="K1612"/>
      <c r="L1612"/>
    </row>
    <row r="1613" spans="11:12" x14ac:dyDescent="0.25">
      <c r="K1613"/>
      <c r="L1613"/>
    </row>
    <row r="1614" spans="11:12" x14ac:dyDescent="0.25">
      <c r="K1614"/>
      <c r="L1614"/>
    </row>
    <row r="1615" spans="11:12" x14ac:dyDescent="0.25">
      <c r="K1615"/>
      <c r="L1615"/>
    </row>
    <row r="1616" spans="11:12" x14ac:dyDescent="0.25">
      <c r="K1616"/>
      <c r="L1616"/>
    </row>
    <row r="1617" spans="11:12" x14ac:dyDescent="0.25">
      <c r="K1617"/>
      <c r="L1617"/>
    </row>
    <row r="1618" spans="11:12" x14ac:dyDescent="0.25">
      <c r="K1618"/>
      <c r="L1618"/>
    </row>
    <row r="1619" spans="11:12" x14ac:dyDescent="0.25">
      <c r="K1619"/>
      <c r="L1619"/>
    </row>
    <row r="1620" spans="11:12" x14ac:dyDescent="0.25">
      <c r="K1620"/>
      <c r="L1620"/>
    </row>
    <row r="1621" spans="11:12" x14ac:dyDescent="0.25">
      <c r="K1621"/>
      <c r="L1621"/>
    </row>
    <row r="1622" spans="11:12" x14ac:dyDescent="0.25">
      <c r="K1622"/>
      <c r="L1622"/>
    </row>
    <row r="1623" spans="11:12" x14ac:dyDescent="0.25">
      <c r="K1623"/>
      <c r="L1623"/>
    </row>
    <row r="1624" spans="11:12" x14ac:dyDescent="0.25">
      <c r="K1624"/>
      <c r="L1624"/>
    </row>
    <row r="1625" spans="11:12" x14ac:dyDescent="0.25">
      <c r="K1625"/>
      <c r="L1625"/>
    </row>
    <row r="1626" spans="11:12" x14ac:dyDescent="0.25">
      <c r="K1626"/>
      <c r="L1626"/>
    </row>
    <row r="1627" spans="11:12" x14ac:dyDescent="0.25">
      <c r="K1627"/>
      <c r="L1627"/>
    </row>
    <row r="1628" spans="11:12" x14ac:dyDescent="0.25">
      <c r="K1628"/>
      <c r="L1628"/>
    </row>
    <row r="1629" spans="11:12" x14ac:dyDescent="0.25">
      <c r="K1629"/>
      <c r="L1629"/>
    </row>
    <row r="1630" spans="11:12" x14ac:dyDescent="0.25">
      <c r="K1630"/>
      <c r="L1630"/>
    </row>
    <row r="1631" spans="11:12" x14ac:dyDescent="0.25">
      <c r="K1631"/>
      <c r="L1631"/>
    </row>
    <row r="1632" spans="11:12" x14ac:dyDescent="0.25">
      <c r="K1632"/>
      <c r="L1632"/>
    </row>
    <row r="1633" spans="11:12" x14ac:dyDescent="0.25">
      <c r="K1633"/>
      <c r="L1633"/>
    </row>
    <row r="1634" spans="11:12" x14ac:dyDescent="0.25">
      <c r="K1634"/>
      <c r="L1634"/>
    </row>
    <row r="1635" spans="11:12" x14ac:dyDescent="0.25">
      <c r="K1635"/>
      <c r="L1635"/>
    </row>
    <row r="1636" spans="11:12" x14ac:dyDescent="0.25">
      <c r="K1636"/>
      <c r="L1636"/>
    </row>
    <row r="1637" spans="11:12" x14ac:dyDescent="0.25">
      <c r="K1637"/>
      <c r="L1637"/>
    </row>
    <row r="1638" spans="11:12" x14ac:dyDescent="0.25">
      <c r="K1638"/>
      <c r="L1638"/>
    </row>
    <row r="1639" spans="11:12" x14ac:dyDescent="0.25">
      <c r="K1639"/>
      <c r="L1639"/>
    </row>
    <row r="1640" spans="11:12" x14ac:dyDescent="0.25">
      <c r="K1640"/>
      <c r="L1640"/>
    </row>
    <row r="1641" spans="11:12" x14ac:dyDescent="0.25">
      <c r="K1641"/>
      <c r="L1641"/>
    </row>
    <row r="1642" spans="11:12" x14ac:dyDescent="0.25">
      <c r="K1642"/>
      <c r="L1642"/>
    </row>
    <row r="1643" spans="11:12" x14ac:dyDescent="0.25">
      <c r="K1643"/>
      <c r="L1643"/>
    </row>
    <row r="1644" spans="11:12" x14ac:dyDescent="0.25">
      <c r="K1644"/>
      <c r="L1644"/>
    </row>
    <row r="1645" spans="11:12" x14ac:dyDescent="0.25">
      <c r="K1645"/>
      <c r="L1645"/>
    </row>
    <row r="1646" spans="11:12" x14ac:dyDescent="0.25">
      <c r="K1646"/>
      <c r="L1646"/>
    </row>
    <row r="1647" spans="11:12" x14ac:dyDescent="0.25">
      <c r="K1647"/>
      <c r="L1647"/>
    </row>
    <row r="1648" spans="11:12" x14ac:dyDescent="0.25">
      <c r="K1648"/>
      <c r="L1648"/>
    </row>
    <row r="1649" spans="11:12" x14ac:dyDescent="0.25">
      <c r="K1649"/>
      <c r="L1649"/>
    </row>
    <row r="1650" spans="11:12" x14ac:dyDescent="0.25">
      <c r="K1650"/>
      <c r="L1650"/>
    </row>
    <row r="1651" spans="11:12" x14ac:dyDescent="0.25">
      <c r="K1651"/>
      <c r="L1651"/>
    </row>
    <row r="1652" spans="11:12" x14ac:dyDescent="0.25">
      <c r="K1652"/>
      <c r="L1652"/>
    </row>
    <row r="1653" spans="11:12" x14ac:dyDescent="0.25">
      <c r="K1653"/>
      <c r="L1653"/>
    </row>
    <row r="1654" spans="11:12" x14ac:dyDescent="0.25">
      <c r="K1654"/>
      <c r="L1654"/>
    </row>
    <row r="1655" spans="11:12" x14ac:dyDescent="0.25">
      <c r="K1655"/>
      <c r="L1655"/>
    </row>
    <row r="1656" spans="11:12" x14ac:dyDescent="0.25">
      <c r="K1656"/>
      <c r="L1656"/>
    </row>
    <row r="1657" spans="11:12" x14ac:dyDescent="0.25">
      <c r="K1657"/>
      <c r="L1657"/>
    </row>
    <row r="1658" spans="11:12" x14ac:dyDescent="0.25">
      <c r="K1658"/>
      <c r="L1658"/>
    </row>
    <row r="1659" spans="11:12" x14ac:dyDescent="0.25">
      <c r="K1659"/>
      <c r="L1659"/>
    </row>
    <row r="1660" spans="11:12" x14ac:dyDescent="0.25">
      <c r="K1660"/>
      <c r="L1660"/>
    </row>
    <row r="1661" spans="11:12" x14ac:dyDescent="0.25">
      <c r="K1661"/>
      <c r="L1661"/>
    </row>
    <row r="1662" spans="11:12" x14ac:dyDescent="0.25">
      <c r="K1662"/>
      <c r="L1662"/>
    </row>
    <row r="1663" spans="11:12" x14ac:dyDescent="0.25">
      <c r="K1663"/>
      <c r="L1663"/>
    </row>
    <row r="1664" spans="11:12" x14ac:dyDescent="0.25">
      <c r="K1664"/>
      <c r="L1664"/>
    </row>
    <row r="1665" spans="11:12" x14ac:dyDescent="0.25">
      <c r="K1665"/>
      <c r="L1665"/>
    </row>
    <row r="1666" spans="11:12" x14ac:dyDescent="0.25">
      <c r="K1666"/>
      <c r="L1666"/>
    </row>
    <row r="1667" spans="11:12" x14ac:dyDescent="0.25">
      <c r="K1667"/>
      <c r="L1667"/>
    </row>
    <row r="1668" spans="11:12" x14ac:dyDescent="0.25">
      <c r="K1668"/>
      <c r="L1668"/>
    </row>
    <row r="1669" spans="11:12" x14ac:dyDescent="0.25">
      <c r="K1669"/>
      <c r="L1669"/>
    </row>
    <row r="1670" spans="11:12" x14ac:dyDescent="0.25">
      <c r="K1670"/>
      <c r="L1670"/>
    </row>
    <row r="1671" spans="11:12" x14ac:dyDescent="0.25">
      <c r="K1671"/>
      <c r="L1671"/>
    </row>
    <row r="1672" spans="11:12" x14ac:dyDescent="0.25">
      <c r="K1672"/>
      <c r="L1672"/>
    </row>
    <row r="1673" spans="11:12" x14ac:dyDescent="0.25">
      <c r="K1673"/>
      <c r="L1673"/>
    </row>
    <row r="1674" spans="11:12" x14ac:dyDescent="0.25">
      <c r="K1674"/>
      <c r="L1674"/>
    </row>
    <row r="1675" spans="11:12" x14ac:dyDescent="0.25">
      <c r="K1675"/>
      <c r="L1675"/>
    </row>
    <row r="1676" spans="11:12" x14ac:dyDescent="0.25">
      <c r="K1676"/>
      <c r="L1676"/>
    </row>
    <row r="1677" spans="11:12" x14ac:dyDescent="0.25">
      <c r="K1677"/>
      <c r="L1677"/>
    </row>
    <row r="1678" spans="11:12" x14ac:dyDescent="0.25">
      <c r="K1678"/>
      <c r="L1678"/>
    </row>
    <row r="1679" spans="11:12" x14ac:dyDescent="0.25">
      <c r="K1679"/>
      <c r="L1679"/>
    </row>
    <row r="1680" spans="11:12" x14ac:dyDescent="0.25">
      <c r="K1680"/>
      <c r="L1680"/>
    </row>
    <row r="1681" spans="11:12" x14ac:dyDescent="0.25">
      <c r="K1681"/>
      <c r="L1681"/>
    </row>
    <row r="1682" spans="11:12" x14ac:dyDescent="0.25">
      <c r="K1682"/>
      <c r="L1682"/>
    </row>
    <row r="1683" spans="11:12" x14ac:dyDescent="0.25">
      <c r="K1683"/>
      <c r="L1683"/>
    </row>
    <row r="1684" spans="11:12" x14ac:dyDescent="0.25">
      <c r="K1684"/>
      <c r="L1684"/>
    </row>
    <row r="1685" spans="11:12" x14ac:dyDescent="0.25">
      <c r="K1685"/>
      <c r="L1685"/>
    </row>
    <row r="1686" spans="11:12" x14ac:dyDescent="0.25">
      <c r="K1686"/>
      <c r="L1686"/>
    </row>
    <row r="1687" spans="11:12" x14ac:dyDescent="0.25">
      <c r="K1687"/>
      <c r="L1687"/>
    </row>
    <row r="1688" spans="11:12" x14ac:dyDescent="0.25">
      <c r="K1688"/>
      <c r="L1688"/>
    </row>
    <row r="1689" spans="11:12" x14ac:dyDescent="0.25">
      <c r="K1689"/>
      <c r="L1689"/>
    </row>
    <row r="1690" spans="11:12" x14ac:dyDescent="0.25">
      <c r="K1690"/>
      <c r="L1690"/>
    </row>
    <row r="1691" spans="11:12" x14ac:dyDescent="0.25">
      <c r="K1691"/>
      <c r="L1691"/>
    </row>
    <row r="1692" spans="11:12" x14ac:dyDescent="0.25">
      <c r="K1692"/>
      <c r="L1692"/>
    </row>
    <row r="1693" spans="11:12" x14ac:dyDescent="0.25">
      <c r="K1693"/>
      <c r="L1693"/>
    </row>
    <row r="1694" spans="11:12" x14ac:dyDescent="0.25">
      <c r="K1694"/>
      <c r="L1694"/>
    </row>
    <row r="1695" spans="11:12" x14ac:dyDescent="0.25">
      <c r="K1695"/>
      <c r="L1695"/>
    </row>
    <row r="1696" spans="11:12" x14ac:dyDescent="0.25">
      <c r="K1696"/>
      <c r="L1696"/>
    </row>
    <row r="1697" spans="11:12" x14ac:dyDescent="0.25">
      <c r="K1697"/>
      <c r="L1697"/>
    </row>
    <row r="1698" spans="11:12" x14ac:dyDescent="0.25">
      <c r="K1698"/>
      <c r="L1698"/>
    </row>
    <row r="1699" spans="11:12" x14ac:dyDescent="0.25">
      <c r="K1699"/>
      <c r="L1699"/>
    </row>
    <row r="1700" spans="11:12" x14ac:dyDescent="0.25">
      <c r="K1700"/>
      <c r="L1700"/>
    </row>
    <row r="1701" spans="11:12" x14ac:dyDescent="0.25">
      <c r="K1701"/>
      <c r="L1701"/>
    </row>
    <row r="1702" spans="11:12" x14ac:dyDescent="0.25">
      <c r="K1702"/>
      <c r="L1702"/>
    </row>
    <row r="1703" spans="11:12" x14ac:dyDescent="0.25">
      <c r="K1703"/>
      <c r="L1703"/>
    </row>
    <row r="1704" spans="11:12" x14ac:dyDescent="0.25">
      <c r="K1704"/>
      <c r="L1704"/>
    </row>
    <row r="1705" spans="11:12" x14ac:dyDescent="0.25">
      <c r="K1705"/>
      <c r="L1705"/>
    </row>
    <row r="1706" spans="11:12" x14ac:dyDescent="0.25">
      <c r="K1706"/>
      <c r="L1706"/>
    </row>
    <row r="1707" spans="11:12" x14ac:dyDescent="0.25">
      <c r="K1707"/>
      <c r="L1707"/>
    </row>
    <row r="1708" spans="11:12" x14ac:dyDescent="0.25">
      <c r="K1708"/>
      <c r="L1708"/>
    </row>
    <row r="1709" spans="11:12" x14ac:dyDescent="0.25">
      <c r="K1709"/>
      <c r="L1709"/>
    </row>
    <row r="1710" spans="11:12" x14ac:dyDescent="0.25">
      <c r="K1710"/>
      <c r="L1710"/>
    </row>
    <row r="1711" spans="11:12" x14ac:dyDescent="0.25">
      <c r="K1711"/>
      <c r="L1711"/>
    </row>
    <row r="1712" spans="11:12" x14ac:dyDescent="0.25">
      <c r="K1712"/>
      <c r="L1712"/>
    </row>
    <row r="1713" spans="11:12" x14ac:dyDescent="0.25">
      <c r="K1713"/>
      <c r="L1713"/>
    </row>
    <row r="1714" spans="11:12" x14ac:dyDescent="0.25">
      <c r="K1714"/>
      <c r="L1714"/>
    </row>
    <row r="1715" spans="11:12" x14ac:dyDescent="0.25">
      <c r="K1715"/>
      <c r="L1715"/>
    </row>
    <row r="1716" spans="11:12" x14ac:dyDescent="0.25">
      <c r="K1716"/>
      <c r="L1716"/>
    </row>
    <row r="1717" spans="11:12" x14ac:dyDescent="0.25">
      <c r="K1717"/>
      <c r="L1717"/>
    </row>
    <row r="1718" spans="11:12" x14ac:dyDescent="0.25">
      <c r="K1718"/>
      <c r="L1718"/>
    </row>
    <row r="1719" spans="11:12" x14ac:dyDescent="0.25">
      <c r="K1719"/>
      <c r="L1719"/>
    </row>
    <row r="1720" spans="11:12" x14ac:dyDescent="0.25">
      <c r="K1720"/>
      <c r="L1720"/>
    </row>
    <row r="1721" spans="11:12" x14ac:dyDescent="0.25">
      <c r="K1721"/>
      <c r="L1721"/>
    </row>
    <row r="1722" spans="11:12" x14ac:dyDescent="0.25">
      <c r="K1722"/>
      <c r="L1722"/>
    </row>
    <row r="1723" spans="11:12" x14ac:dyDescent="0.25">
      <c r="K1723"/>
      <c r="L1723"/>
    </row>
    <row r="1724" spans="11:12" x14ac:dyDescent="0.25">
      <c r="K1724"/>
      <c r="L1724"/>
    </row>
    <row r="1725" spans="11:12" x14ac:dyDescent="0.25">
      <c r="K1725"/>
      <c r="L1725"/>
    </row>
    <row r="1726" spans="11:12" x14ac:dyDescent="0.25">
      <c r="K1726"/>
      <c r="L1726"/>
    </row>
    <row r="1727" spans="11:12" x14ac:dyDescent="0.25">
      <c r="K1727"/>
      <c r="L1727"/>
    </row>
    <row r="1728" spans="11:12" x14ac:dyDescent="0.25">
      <c r="K1728"/>
      <c r="L1728"/>
    </row>
    <row r="1729" spans="11:12" x14ac:dyDescent="0.25">
      <c r="K1729"/>
      <c r="L1729"/>
    </row>
    <row r="1730" spans="11:12" x14ac:dyDescent="0.25">
      <c r="K1730"/>
      <c r="L1730"/>
    </row>
    <row r="1731" spans="11:12" x14ac:dyDescent="0.25">
      <c r="K1731"/>
      <c r="L1731"/>
    </row>
    <row r="1732" spans="11:12" x14ac:dyDescent="0.25">
      <c r="K1732"/>
      <c r="L1732"/>
    </row>
    <row r="1733" spans="11:12" x14ac:dyDescent="0.25">
      <c r="K1733"/>
      <c r="L1733"/>
    </row>
    <row r="1734" spans="11:12" x14ac:dyDescent="0.25">
      <c r="K1734"/>
      <c r="L1734"/>
    </row>
    <row r="1735" spans="11:12" x14ac:dyDescent="0.25">
      <c r="K1735"/>
      <c r="L1735"/>
    </row>
    <row r="1736" spans="11:12" x14ac:dyDescent="0.25">
      <c r="K1736"/>
      <c r="L1736"/>
    </row>
    <row r="1737" spans="11:12" x14ac:dyDescent="0.25">
      <c r="K1737"/>
      <c r="L1737"/>
    </row>
    <row r="1738" spans="11:12" x14ac:dyDescent="0.25">
      <c r="K1738"/>
      <c r="L1738"/>
    </row>
    <row r="1739" spans="11:12" x14ac:dyDescent="0.25">
      <c r="K1739"/>
      <c r="L1739"/>
    </row>
    <row r="1740" spans="11:12" x14ac:dyDescent="0.25">
      <c r="K1740"/>
      <c r="L1740"/>
    </row>
    <row r="1741" spans="11:12" x14ac:dyDescent="0.25">
      <c r="K1741"/>
      <c r="L1741"/>
    </row>
    <row r="1742" spans="11:12" x14ac:dyDescent="0.25">
      <c r="K1742"/>
      <c r="L1742"/>
    </row>
    <row r="1743" spans="11:12" x14ac:dyDescent="0.25">
      <c r="K1743"/>
      <c r="L1743"/>
    </row>
    <row r="1744" spans="11:12" x14ac:dyDescent="0.25">
      <c r="K1744"/>
      <c r="L1744"/>
    </row>
    <row r="1745" spans="11:12" x14ac:dyDescent="0.25">
      <c r="K1745"/>
      <c r="L1745"/>
    </row>
    <row r="1746" spans="11:12" x14ac:dyDescent="0.25">
      <c r="K1746"/>
      <c r="L1746"/>
    </row>
    <row r="1747" spans="11:12" x14ac:dyDescent="0.25">
      <c r="K1747"/>
      <c r="L1747"/>
    </row>
    <row r="1748" spans="11:12" x14ac:dyDescent="0.25">
      <c r="K1748"/>
      <c r="L1748"/>
    </row>
    <row r="1749" spans="11:12" x14ac:dyDescent="0.25">
      <c r="K1749"/>
      <c r="L1749"/>
    </row>
    <row r="1750" spans="11:12" x14ac:dyDescent="0.25">
      <c r="K1750"/>
      <c r="L1750"/>
    </row>
    <row r="1751" spans="11:12" x14ac:dyDescent="0.25">
      <c r="K1751"/>
      <c r="L1751"/>
    </row>
    <row r="1752" spans="11:12" x14ac:dyDescent="0.25">
      <c r="K1752"/>
      <c r="L1752"/>
    </row>
    <row r="1753" spans="11:12" x14ac:dyDescent="0.25">
      <c r="K1753"/>
      <c r="L1753"/>
    </row>
    <row r="1754" spans="11:12" x14ac:dyDescent="0.25">
      <c r="K1754"/>
      <c r="L1754"/>
    </row>
    <row r="1755" spans="11:12" x14ac:dyDescent="0.25">
      <c r="K1755"/>
      <c r="L1755"/>
    </row>
    <row r="1756" spans="11:12" x14ac:dyDescent="0.25">
      <c r="K1756"/>
      <c r="L1756"/>
    </row>
    <row r="1757" spans="11:12" x14ac:dyDescent="0.25">
      <c r="K1757"/>
      <c r="L1757"/>
    </row>
    <row r="1758" spans="11:12" x14ac:dyDescent="0.25">
      <c r="K1758"/>
      <c r="L1758"/>
    </row>
    <row r="1759" spans="11:12" x14ac:dyDescent="0.25">
      <c r="K1759"/>
      <c r="L1759"/>
    </row>
    <row r="1760" spans="11:12" x14ac:dyDescent="0.25">
      <c r="K1760"/>
      <c r="L1760"/>
    </row>
    <row r="1761" spans="11:12" x14ac:dyDescent="0.25">
      <c r="K1761"/>
      <c r="L1761"/>
    </row>
    <row r="1762" spans="11:12" x14ac:dyDescent="0.25">
      <c r="K1762"/>
      <c r="L1762"/>
    </row>
    <row r="1763" spans="11:12" x14ac:dyDescent="0.25">
      <c r="K1763"/>
      <c r="L1763"/>
    </row>
    <row r="1764" spans="11:12" x14ac:dyDescent="0.25">
      <c r="K1764"/>
      <c r="L1764"/>
    </row>
    <row r="1765" spans="11:12" x14ac:dyDescent="0.25">
      <c r="K1765"/>
      <c r="L1765"/>
    </row>
    <row r="1766" spans="11:12" x14ac:dyDescent="0.25">
      <c r="K1766"/>
      <c r="L1766"/>
    </row>
    <row r="1767" spans="11:12" x14ac:dyDescent="0.25">
      <c r="K1767"/>
      <c r="L1767"/>
    </row>
    <row r="1768" spans="11:12" x14ac:dyDescent="0.25">
      <c r="K1768"/>
      <c r="L1768"/>
    </row>
    <row r="1769" spans="11:12" x14ac:dyDescent="0.25">
      <c r="K1769"/>
      <c r="L1769"/>
    </row>
    <row r="1770" spans="11:12" x14ac:dyDescent="0.25">
      <c r="K1770"/>
      <c r="L1770"/>
    </row>
    <row r="1771" spans="11:12" x14ac:dyDescent="0.25">
      <c r="K1771"/>
      <c r="L1771"/>
    </row>
    <row r="1772" spans="11:12" x14ac:dyDescent="0.25">
      <c r="K1772"/>
      <c r="L1772"/>
    </row>
    <row r="1773" spans="11:12" x14ac:dyDescent="0.25">
      <c r="K1773"/>
      <c r="L1773"/>
    </row>
    <row r="1774" spans="11:12" x14ac:dyDescent="0.25">
      <c r="K1774"/>
      <c r="L1774"/>
    </row>
    <row r="1775" spans="11:12" x14ac:dyDescent="0.25">
      <c r="K1775"/>
      <c r="L1775"/>
    </row>
    <row r="1776" spans="11:12" x14ac:dyDescent="0.25">
      <c r="K1776"/>
      <c r="L1776"/>
    </row>
    <row r="1777" spans="11:12" x14ac:dyDescent="0.25">
      <c r="K1777"/>
      <c r="L1777"/>
    </row>
    <row r="1778" spans="11:12" x14ac:dyDescent="0.25">
      <c r="K1778"/>
      <c r="L1778"/>
    </row>
    <row r="1779" spans="11:12" x14ac:dyDescent="0.25">
      <c r="K1779"/>
      <c r="L1779"/>
    </row>
    <row r="1780" spans="11:12" x14ac:dyDescent="0.25">
      <c r="K1780"/>
      <c r="L1780"/>
    </row>
    <row r="1781" spans="11:12" x14ac:dyDescent="0.25">
      <c r="K1781"/>
      <c r="L1781"/>
    </row>
    <row r="1782" spans="11:12" x14ac:dyDescent="0.25">
      <c r="K1782"/>
      <c r="L1782"/>
    </row>
    <row r="1783" spans="11:12" x14ac:dyDescent="0.25">
      <c r="K1783"/>
      <c r="L1783"/>
    </row>
    <row r="1784" spans="11:12" x14ac:dyDescent="0.25">
      <c r="K1784"/>
      <c r="L1784"/>
    </row>
    <row r="1785" spans="11:12" x14ac:dyDescent="0.25">
      <c r="K1785"/>
      <c r="L1785"/>
    </row>
    <row r="1786" spans="11:12" x14ac:dyDescent="0.25">
      <c r="K1786"/>
      <c r="L1786"/>
    </row>
    <row r="1787" spans="11:12" x14ac:dyDescent="0.25">
      <c r="K1787"/>
      <c r="L1787"/>
    </row>
    <row r="1788" spans="11:12" x14ac:dyDescent="0.25">
      <c r="K1788"/>
      <c r="L1788"/>
    </row>
    <row r="1789" spans="11:12" x14ac:dyDescent="0.25">
      <c r="K1789"/>
      <c r="L1789"/>
    </row>
    <row r="1790" spans="11:12" x14ac:dyDescent="0.25">
      <c r="K1790"/>
      <c r="L1790"/>
    </row>
    <row r="1791" spans="11:12" x14ac:dyDescent="0.25">
      <c r="K1791"/>
      <c r="L1791"/>
    </row>
    <row r="1792" spans="11:12" x14ac:dyDescent="0.25">
      <c r="K1792"/>
      <c r="L1792"/>
    </row>
    <row r="1793" spans="11:12" x14ac:dyDescent="0.25">
      <c r="K1793"/>
      <c r="L1793"/>
    </row>
    <row r="1794" spans="11:12" x14ac:dyDescent="0.25">
      <c r="K1794"/>
      <c r="L1794"/>
    </row>
    <row r="1795" spans="11:12" x14ac:dyDescent="0.25">
      <c r="K1795"/>
      <c r="L1795"/>
    </row>
    <row r="1796" spans="11:12" x14ac:dyDescent="0.25">
      <c r="K1796"/>
      <c r="L1796"/>
    </row>
    <row r="1797" spans="11:12" x14ac:dyDescent="0.25">
      <c r="K1797"/>
      <c r="L1797"/>
    </row>
    <row r="1798" spans="11:12" x14ac:dyDescent="0.25">
      <c r="K1798"/>
      <c r="L1798"/>
    </row>
    <row r="1799" spans="11:12" x14ac:dyDescent="0.25">
      <c r="K1799"/>
      <c r="L1799"/>
    </row>
    <row r="1800" spans="11:12" x14ac:dyDescent="0.25">
      <c r="K1800"/>
      <c r="L1800"/>
    </row>
    <row r="1801" spans="11:12" x14ac:dyDescent="0.25">
      <c r="K1801"/>
      <c r="L1801"/>
    </row>
    <row r="1802" spans="11:12" x14ac:dyDescent="0.25">
      <c r="K1802"/>
      <c r="L1802"/>
    </row>
    <row r="1803" spans="11:12" x14ac:dyDescent="0.25">
      <c r="K1803"/>
      <c r="L1803"/>
    </row>
    <row r="1804" spans="11:12" x14ac:dyDescent="0.25">
      <c r="K1804"/>
      <c r="L1804"/>
    </row>
    <row r="1805" spans="11:12" x14ac:dyDescent="0.25">
      <c r="K1805"/>
      <c r="L1805"/>
    </row>
    <row r="1806" spans="11:12" x14ac:dyDescent="0.25">
      <c r="K1806"/>
      <c r="L1806"/>
    </row>
    <row r="1807" spans="11:12" x14ac:dyDescent="0.25">
      <c r="K1807"/>
      <c r="L1807"/>
    </row>
    <row r="1808" spans="11:12" x14ac:dyDescent="0.25">
      <c r="K1808"/>
      <c r="L1808"/>
    </row>
    <row r="1809" spans="11:12" x14ac:dyDescent="0.25">
      <c r="K1809"/>
      <c r="L1809"/>
    </row>
    <row r="1810" spans="11:12" x14ac:dyDescent="0.25">
      <c r="K1810"/>
      <c r="L1810"/>
    </row>
    <row r="1811" spans="11:12" x14ac:dyDescent="0.25">
      <c r="K1811"/>
      <c r="L1811"/>
    </row>
    <row r="1812" spans="11:12" x14ac:dyDescent="0.25">
      <c r="K1812"/>
      <c r="L1812"/>
    </row>
    <row r="1813" spans="11:12" x14ac:dyDescent="0.25">
      <c r="K1813"/>
      <c r="L1813"/>
    </row>
    <row r="1814" spans="11:12" x14ac:dyDescent="0.25">
      <c r="K1814"/>
      <c r="L1814"/>
    </row>
    <row r="1815" spans="11:12" x14ac:dyDescent="0.25">
      <c r="K1815"/>
      <c r="L1815"/>
    </row>
    <row r="1816" spans="11:12" x14ac:dyDescent="0.25">
      <c r="K1816"/>
      <c r="L1816"/>
    </row>
    <row r="1817" spans="11:12" x14ac:dyDescent="0.25">
      <c r="K1817"/>
      <c r="L1817"/>
    </row>
    <row r="1818" spans="11:12" x14ac:dyDescent="0.25">
      <c r="K1818"/>
      <c r="L1818"/>
    </row>
    <row r="1819" spans="11:12" x14ac:dyDescent="0.25">
      <c r="K1819"/>
      <c r="L1819"/>
    </row>
    <row r="1820" spans="11:12" x14ac:dyDescent="0.25">
      <c r="K1820"/>
      <c r="L1820"/>
    </row>
    <row r="1821" spans="11:12" x14ac:dyDescent="0.25">
      <c r="K1821"/>
      <c r="L1821"/>
    </row>
    <row r="1822" spans="11:12" x14ac:dyDescent="0.25">
      <c r="K1822"/>
      <c r="L1822"/>
    </row>
    <row r="1823" spans="11:12" x14ac:dyDescent="0.25">
      <c r="K1823"/>
      <c r="L1823"/>
    </row>
    <row r="1824" spans="11:12" x14ac:dyDescent="0.25">
      <c r="K1824"/>
      <c r="L1824"/>
    </row>
    <row r="1825" spans="11:12" x14ac:dyDescent="0.25">
      <c r="K1825"/>
      <c r="L1825"/>
    </row>
    <row r="1826" spans="11:12" x14ac:dyDescent="0.25">
      <c r="K1826"/>
      <c r="L1826"/>
    </row>
    <row r="1827" spans="11:12" x14ac:dyDescent="0.25">
      <c r="K1827"/>
      <c r="L1827"/>
    </row>
    <row r="1828" spans="11:12" x14ac:dyDescent="0.25">
      <c r="K1828"/>
      <c r="L1828"/>
    </row>
    <row r="1829" spans="11:12" x14ac:dyDescent="0.25">
      <c r="K1829"/>
      <c r="L1829"/>
    </row>
    <row r="1830" spans="11:12" x14ac:dyDescent="0.25">
      <c r="K1830"/>
      <c r="L1830"/>
    </row>
    <row r="1831" spans="11:12" x14ac:dyDescent="0.25">
      <c r="K1831"/>
      <c r="L1831"/>
    </row>
    <row r="1832" spans="11:12" x14ac:dyDescent="0.25">
      <c r="K1832"/>
      <c r="L1832"/>
    </row>
    <row r="1833" spans="11:12" x14ac:dyDescent="0.25">
      <c r="K1833"/>
      <c r="L1833"/>
    </row>
    <row r="1834" spans="11:12" x14ac:dyDescent="0.25">
      <c r="K1834"/>
      <c r="L1834"/>
    </row>
    <row r="1835" spans="11:12" x14ac:dyDescent="0.25">
      <c r="K1835"/>
      <c r="L1835"/>
    </row>
    <row r="1836" spans="11:12" x14ac:dyDescent="0.25">
      <c r="K1836"/>
      <c r="L1836"/>
    </row>
    <row r="1837" spans="11:12" x14ac:dyDescent="0.25">
      <c r="K1837"/>
      <c r="L1837"/>
    </row>
    <row r="1838" spans="11:12" x14ac:dyDescent="0.25">
      <c r="K1838"/>
      <c r="L1838"/>
    </row>
    <row r="1839" spans="11:12" x14ac:dyDescent="0.25">
      <c r="K1839"/>
      <c r="L1839"/>
    </row>
    <row r="1840" spans="11:12" x14ac:dyDescent="0.25">
      <c r="K1840"/>
      <c r="L1840"/>
    </row>
    <row r="1841" spans="11:12" x14ac:dyDescent="0.25">
      <c r="K1841"/>
      <c r="L1841"/>
    </row>
    <row r="1842" spans="11:12" x14ac:dyDescent="0.25">
      <c r="K1842"/>
      <c r="L1842"/>
    </row>
    <row r="1843" spans="11:12" x14ac:dyDescent="0.25">
      <c r="K1843"/>
      <c r="L1843"/>
    </row>
    <row r="1844" spans="11:12" x14ac:dyDescent="0.25">
      <c r="K1844"/>
      <c r="L1844"/>
    </row>
    <row r="1845" spans="11:12" x14ac:dyDescent="0.25">
      <c r="K1845"/>
      <c r="L1845"/>
    </row>
    <row r="1846" spans="11:12" x14ac:dyDescent="0.25">
      <c r="K1846"/>
      <c r="L1846"/>
    </row>
    <row r="1847" spans="11:12" x14ac:dyDescent="0.25">
      <c r="K1847"/>
      <c r="L1847"/>
    </row>
    <row r="1848" spans="11:12" x14ac:dyDescent="0.25">
      <c r="K1848"/>
      <c r="L1848"/>
    </row>
    <row r="1849" spans="11:12" x14ac:dyDescent="0.25">
      <c r="K1849"/>
      <c r="L1849"/>
    </row>
    <row r="1850" spans="11:12" x14ac:dyDescent="0.25">
      <c r="K1850"/>
      <c r="L1850"/>
    </row>
    <row r="1851" spans="11:12" x14ac:dyDescent="0.25">
      <c r="K1851"/>
      <c r="L1851"/>
    </row>
    <row r="1852" spans="11:12" x14ac:dyDescent="0.25">
      <c r="K1852"/>
      <c r="L1852"/>
    </row>
    <row r="1853" spans="11:12" x14ac:dyDescent="0.25">
      <c r="K1853"/>
      <c r="L1853"/>
    </row>
    <row r="1854" spans="11:12" x14ac:dyDescent="0.25">
      <c r="K1854"/>
      <c r="L1854"/>
    </row>
    <row r="1855" spans="11:12" x14ac:dyDescent="0.25">
      <c r="K1855"/>
      <c r="L1855"/>
    </row>
    <row r="1856" spans="11:12" x14ac:dyDescent="0.25">
      <c r="K1856"/>
      <c r="L1856"/>
    </row>
    <row r="1857" spans="11:12" x14ac:dyDescent="0.25">
      <c r="K1857"/>
      <c r="L1857"/>
    </row>
    <row r="1858" spans="11:12" x14ac:dyDescent="0.25">
      <c r="K1858"/>
      <c r="L1858"/>
    </row>
    <row r="1859" spans="11:12" x14ac:dyDescent="0.25">
      <c r="K1859"/>
      <c r="L1859"/>
    </row>
    <row r="1860" spans="11:12" x14ac:dyDescent="0.25">
      <c r="K1860"/>
      <c r="L1860"/>
    </row>
    <row r="1861" spans="11:12" x14ac:dyDescent="0.25">
      <c r="K1861"/>
      <c r="L1861"/>
    </row>
    <row r="1862" spans="11:12" x14ac:dyDescent="0.25">
      <c r="K1862"/>
      <c r="L1862"/>
    </row>
    <row r="1863" spans="11:12" x14ac:dyDescent="0.25">
      <c r="K1863"/>
      <c r="L1863"/>
    </row>
    <row r="1864" spans="11:12" x14ac:dyDescent="0.25">
      <c r="K1864"/>
      <c r="L1864"/>
    </row>
    <row r="1865" spans="11:12" x14ac:dyDescent="0.25">
      <c r="K1865"/>
      <c r="L1865"/>
    </row>
    <row r="1866" spans="11:12" x14ac:dyDescent="0.25">
      <c r="K1866"/>
      <c r="L1866"/>
    </row>
    <row r="1867" spans="11:12" x14ac:dyDescent="0.25">
      <c r="K1867"/>
      <c r="L1867"/>
    </row>
    <row r="1868" spans="11:12" x14ac:dyDescent="0.25">
      <c r="K1868"/>
      <c r="L1868"/>
    </row>
    <row r="1869" spans="11:12" x14ac:dyDescent="0.25">
      <c r="K1869"/>
      <c r="L1869"/>
    </row>
    <row r="1870" spans="11:12" x14ac:dyDescent="0.25">
      <c r="K1870"/>
      <c r="L1870"/>
    </row>
    <row r="1871" spans="11:12" x14ac:dyDescent="0.25">
      <c r="K1871"/>
      <c r="L1871"/>
    </row>
    <row r="1872" spans="11:12" x14ac:dyDescent="0.25">
      <c r="K1872"/>
      <c r="L1872"/>
    </row>
    <row r="1873" spans="11:12" x14ac:dyDescent="0.25">
      <c r="K1873"/>
      <c r="L1873"/>
    </row>
    <row r="1874" spans="11:12" x14ac:dyDescent="0.25">
      <c r="K1874"/>
      <c r="L1874"/>
    </row>
    <row r="1875" spans="11:12" x14ac:dyDescent="0.25">
      <c r="K1875"/>
      <c r="L1875"/>
    </row>
    <row r="1876" spans="11:12" x14ac:dyDescent="0.25">
      <c r="K1876"/>
      <c r="L1876"/>
    </row>
    <row r="1877" spans="11:12" x14ac:dyDescent="0.25">
      <c r="K1877"/>
      <c r="L1877"/>
    </row>
    <row r="1878" spans="11:12" x14ac:dyDescent="0.25">
      <c r="K1878"/>
      <c r="L1878"/>
    </row>
    <row r="1879" spans="11:12" x14ac:dyDescent="0.25">
      <c r="K1879"/>
      <c r="L1879"/>
    </row>
    <row r="1880" spans="11:12" x14ac:dyDescent="0.25">
      <c r="K1880"/>
      <c r="L1880"/>
    </row>
    <row r="1881" spans="11:12" x14ac:dyDescent="0.25">
      <c r="K1881"/>
      <c r="L1881"/>
    </row>
    <row r="1882" spans="11:12" x14ac:dyDescent="0.25">
      <c r="K1882"/>
      <c r="L1882"/>
    </row>
    <row r="1883" spans="11:12" x14ac:dyDescent="0.25">
      <c r="K1883"/>
      <c r="L1883"/>
    </row>
    <row r="1884" spans="11:12" x14ac:dyDescent="0.25">
      <c r="K1884"/>
      <c r="L1884"/>
    </row>
    <row r="1885" spans="11:12" x14ac:dyDescent="0.25">
      <c r="K1885"/>
      <c r="L1885"/>
    </row>
    <row r="1886" spans="11:12" x14ac:dyDescent="0.25">
      <c r="K1886"/>
      <c r="L1886"/>
    </row>
    <row r="1887" spans="11:12" x14ac:dyDescent="0.25">
      <c r="K1887"/>
      <c r="L1887"/>
    </row>
    <row r="1888" spans="11:12" x14ac:dyDescent="0.25">
      <c r="K1888"/>
      <c r="L1888"/>
    </row>
    <row r="1889" spans="11:12" x14ac:dyDescent="0.25">
      <c r="K1889"/>
      <c r="L1889"/>
    </row>
    <row r="1890" spans="11:12" x14ac:dyDescent="0.25">
      <c r="K1890"/>
      <c r="L1890"/>
    </row>
    <row r="1891" spans="11:12" x14ac:dyDescent="0.25">
      <c r="K1891"/>
      <c r="L1891"/>
    </row>
    <row r="1892" spans="11:12" x14ac:dyDescent="0.25">
      <c r="K1892"/>
      <c r="L1892"/>
    </row>
    <row r="1893" spans="11:12" x14ac:dyDescent="0.25">
      <c r="K1893"/>
      <c r="L1893"/>
    </row>
    <row r="1894" spans="11:12" x14ac:dyDescent="0.25">
      <c r="K1894"/>
      <c r="L1894"/>
    </row>
    <row r="1895" spans="11:12" x14ac:dyDescent="0.25">
      <c r="K1895"/>
      <c r="L1895"/>
    </row>
    <row r="1896" spans="11:12" x14ac:dyDescent="0.25">
      <c r="K1896"/>
      <c r="L1896"/>
    </row>
    <row r="1897" spans="11:12" x14ac:dyDescent="0.25">
      <c r="K1897"/>
      <c r="L1897"/>
    </row>
    <row r="1898" spans="11:12" x14ac:dyDescent="0.25">
      <c r="K1898"/>
      <c r="L1898"/>
    </row>
    <row r="1899" spans="11:12" x14ac:dyDescent="0.25">
      <c r="K1899"/>
      <c r="L1899"/>
    </row>
    <row r="1900" spans="11:12" x14ac:dyDescent="0.25">
      <c r="K1900"/>
      <c r="L1900"/>
    </row>
    <row r="1901" spans="11:12" x14ac:dyDescent="0.25">
      <c r="K1901"/>
      <c r="L1901"/>
    </row>
    <row r="1902" spans="11:12" x14ac:dyDescent="0.25">
      <c r="K1902"/>
      <c r="L1902"/>
    </row>
    <row r="1903" spans="11:12" x14ac:dyDescent="0.25">
      <c r="K1903"/>
      <c r="L1903"/>
    </row>
    <row r="1904" spans="11:12" x14ac:dyDescent="0.25">
      <c r="K1904"/>
      <c r="L1904"/>
    </row>
    <row r="1905" spans="11:12" x14ac:dyDescent="0.25">
      <c r="K1905"/>
      <c r="L1905"/>
    </row>
    <row r="1906" spans="11:12" x14ac:dyDescent="0.25">
      <c r="K1906"/>
      <c r="L1906"/>
    </row>
    <row r="1907" spans="11:12" x14ac:dyDescent="0.25">
      <c r="K1907"/>
      <c r="L1907"/>
    </row>
    <row r="1908" spans="11:12" x14ac:dyDescent="0.25">
      <c r="K1908"/>
      <c r="L1908"/>
    </row>
    <row r="1909" spans="11:12" x14ac:dyDescent="0.25">
      <c r="K1909"/>
      <c r="L1909"/>
    </row>
    <row r="1910" spans="11:12" x14ac:dyDescent="0.25">
      <c r="K1910"/>
      <c r="L1910"/>
    </row>
    <row r="1911" spans="11:12" x14ac:dyDescent="0.25">
      <c r="K1911"/>
      <c r="L1911"/>
    </row>
    <row r="1912" spans="11:12" x14ac:dyDescent="0.25">
      <c r="K1912"/>
      <c r="L1912"/>
    </row>
    <row r="1913" spans="11:12" x14ac:dyDescent="0.25">
      <c r="K1913"/>
      <c r="L1913"/>
    </row>
    <row r="1914" spans="11:12" x14ac:dyDescent="0.25">
      <c r="K1914"/>
      <c r="L1914"/>
    </row>
    <row r="1915" spans="11:12" x14ac:dyDescent="0.25">
      <c r="K1915"/>
      <c r="L1915"/>
    </row>
    <row r="1916" spans="11:12" x14ac:dyDescent="0.25">
      <c r="K1916"/>
      <c r="L1916"/>
    </row>
    <row r="1917" spans="11:12" x14ac:dyDescent="0.25">
      <c r="K1917"/>
      <c r="L1917"/>
    </row>
    <row r="1918" spans="11:12" x14ac:dyDescent="0.25">
      <c r="K1918"/>
      <c r="L1918"/>
    </row>
    <row r="1919" spans="11:12" x14ac:dyDescent="0.25">
      <c r="K1919"/>
      <c r="L1919"/>
    </row>
    <row r="1920" spans="11:12" x14ac:dyDescent="0.25">
      <c r="K1920"/>
      <c r="L1920"/>
    </row>
    <row r="1921" spans="11:12" x14ac:dyDescent="0.25">
      <c r="K1921"/>
      <c r="L1921"/>
    </row>
    <row r="1922" spans="11:12" x14ac:dyDescent="0.25">
      <c r="K1922"/>
      <c r="L1922"/>
    </row>
    <row r="1923" spans="11:12" x14ac:dyDescent="0.25">
      <c r="K1923"/>
      <c r="L1923"/>
    </row>
    <row r="1924" spans="11:12" x14ac:dyDescent="0.25">
      <c r="K1924"/>
      <c r="L1924"/>
    </row>
    <row r="1925" spans="11:12" x14ac:dyDescent="0.25">
      <c r="K1925"/>
      <c r="L1925"/>
    </row>
    <row r="1926" spans="11:12" x14ac:dyDescent="0.25">
      <c r="K1926"/>
      <c r="L1926"/>
    </row>
    <row r="1927" spans="11:12" x14ac:dyDescent="0.25">
      <c r="K1927"/>
      <c r="L1927"/>
    </row>
    <row r="1928" spans="11:12" x14ac:dyDescent="0.25">
      <c r="K1928"/>
      <c r="L1928"/>
    </row>
    <row r="1929" spans="11:12" x14ac:dyDescent="0.25">
      <c r="K1929"/>
      <c r="L1929"/>
    </row>
    <row r="1930" spans="11:12" x14ac:dyDescent="0.25">
      <c r="K1930"/>
      <c r="L1930"/>
    </row>
    <row r="1931" spans="11:12" x14ac:dyDescent="0.25">
      <c r="K1931"/>
      <c r="L1931"/>
    </row>
    <row r="1932" spans="11:12" x14ac:dyDescent="0.25">
      <c r="K1932"/>
      <c r="L1932"/>
    </row>
    <row r="1933" spans="11:12" x14ac:dyDescent="0.25">
      <c r="K1933"/>
      <c r="L1933"/>
    </row>
    <row r="1934" spans="11:12" x14ac:dyDescent="0.25">
      <c r="K1934"/>
      <c r="L1934"/>
    </row>
    <row r="1935" spans="11:12" x14ac:dyDescent="0.25">
      <c r="K1935"/>
      <c r="L1935"/>
    </row>
    <row r="1936" spans="11:12" x14ac:dyDescent="0.25">
      <c r="K1936"/>
      <c r="L1936"/>
    </row>
    <row r="1937" spans="11:12" x14ac:dyDescent="0.25">
      <c r="K1937"/>
      <c r="L1937"/>
    </row>
    <row r="1938" spans="11:12" x14ac:dyDescent="0.25">
      <c r="K1938"/>
      <c r="L1938"/>
    </row>
    <row r="1939" spans="11:12" x14ac:dyDescent="0.25">
      <c r="K1939"/>
      <c r="L1939"/>
    </row>
    <row r="1940" spans="11:12" x14ac:dyDescent="0.25">
      <c r="K1940"/>
      <c r="L1940"/>
    </row>
    <row r="1941" spans="11:12" x14ac:dyDescent="0.25">
      <c r="K1941"/>
      <c r="L1941"/>
    </row>
    <row r="1942" spans="11:12" x14ac:dyDescent="0.25">
      <c r="K1942"/>
      <c r="L1942"/>
    </row>
    <row r="1943" spans="11:12" x14ac:dyDescent="0.25">
      <c r="K1943"/>
      <c r="L1943"/>
    </row>
    <row r="1944" spans="11:12" x14ac:dyDescent="0.25">
      <c r="K1944"/>
      <c r="L1944"/>
    </row>
    <row r="1945" spans="11:12" x14ac:dyDescent="0.25">
      <c r="K1945"/>
      <c r="L1945"/>
    </row>
    <row r="1946" spans="11:12" x14ac:dyDescent="0.25">
      <c r="K1946"/>
      <c r="L1946"/>
    </row>
    <row r="1947" spans="11:12" x14ac:dyDescent="0.25">
      <c r="K1947"/>
      <c r="L1947"/>
    </row>
    <row r="1948" spans="11:12" x14ac:dyDescent="0.25">
      <c r="K1948"/>
      <c r="L1948"/>
    </row>
    <row r="1949" spans="11:12" x14ac:dyDescent="0.25">
      <c r="K1949"/>
      <c r="L1949"/>
    </row>
    <row r="1950" spans="11:12" x14ac:dyDescent="0.25">
      <c r="K1950"/>
      <c r="L1950"/>
    </row>
    <row r="1951" spans="11:12" x14ac:dyDescent="0.25">
      <c r="K1951"/>
      <c r="L1951"/>
    </row>
    <row r="1952" spans="11:12" x14ac:dyDescent="0.25">
      <c r="K1952"/>
      <c r="L1952"/>
    </row>
    <row r="1953" spans="11:12" x14ac:dyDescent="0.25">
      <c r="K1953"/>
      <c r="L1953"/>
    </row>
    <row r="1954" spans="11:12" x14ac:dyDescent="0.25">
      <c r="K1954"/>
      <c r="L1954"/>
    </row>
    <row r="1955" spans="11:12" x14ac:dyDescent="0.25">
      <c r="K1955"/>
      <c r="L1955"/>
    </row>
    <row r="1956" spans="11:12" x14ac:dyDescent="0.25">
      <c r="K1956"/>
      <c r="L1956"/>
    </row>
    <row r="1957" spans="11:12" x14ac:dyDescent="0.25">
      <c r="K1957"/>
      <c r="L1957"/>
    </row>
    <row r="1958" spans="11:12" x14ac:dyDescent="0.25">
      <c r="K1958"/>
      <c r="L1958"/>
    </row>
    <row r="1959" spans="11:12" x14ac:dyDescent="0.25">
      <c r="K1959"/>
      <c r="L1959"/>
    </row>
    <row r="1960" spans="11:12" x14ac:dyDescent="0.25">
      <c r="K1960"/>
      <c r="L1960"/>
    </row>
    <row r="1961" spans="11:12" x14ac:dyDescent="0.25">
      <c r="K1961"/>
      <c r="L1961"/>
    </row>
    <row r="1962" spans="11:12" x14ac:dyDescent="0.25">
      <c r="K1962"/>
      <c r="L1962"/>
    </row>
    <row r="1963" spans="11:12" x14ac:dyDescent="0.25">
      <c r="K1963"/>
      <c r="L1963"/>
    </row>
    <row r="1964" spans="11:12" x14ac:dyDescent="0.25">
      <c r="K1964"/>
      <c r="L1964"/>
    </row>
    <row r="1965" spans="11:12" x14ac:dyDescent="0.25">
      <c r="K1965"/>
      <c r="L1965"/>
    </row>
    <row r="1966" spans="11:12" x14ac:dyDescent="0.25">
      <c r="K1966"/>
      <c r="L1966"/>
    </row>
    <row r="1967" spans="11:12" x14ac:dyDescent="0.25">
      <c r="K1967"/>
      <c r="L1967"/>
    </row>
    <row r="1968" spans="11:12" x14ac:dyDescent="0.25">
      <c r="K1968"/>
      <c r="L1968"/>
    </row>
    <row r="1969" spans="11:12" x14ac:dyDescent="0.25">
      <c r="K1969"/>
      <c r="L1969"/>
    </row>
    <row r="1970" spans="11:12" x14ac:dyDescent="0.25">
      <c r="K1970"/>
      <c r="L1970"/>
    </row>
    <row r="1971" spans="11:12" x14ac:dyDescent="0.25">
      <c r="K1971"/>
      <c r="L1971"/>
    </row>
    <row r="1972" spans="11:12" x14ac:dyDescent="0.25">
      <c r="K1972"/>
      <c r="L1972"/>
    </row>
    <row r="1973" spans="11:12" x14ac:dyDescent="0.25">
      <c r="K1973"/>
      <c r="L1973"/>
    </row>
    <row r="1974" spans="11:12" x14ac:dyDescent="0.25">
      <c r="K1974"/>
      <c r="L1974"/>
    </row>
    <row r="1975" spans="11:12" x14ac:dyDescent="0.25">
      <c r="K1975"/>
      <c r="L1975"/>
    </row>
    <row r="1976" spans="11:12" x14ac:dyDescent="0.25">
      <c r="K1976"/>
      <c r="L1976"/>
    </row>
    <row r="1977" spans="11:12" x14ac:dyDescent="0.25">
      <c r="K1977"/>
      <c r="L1977"/>
    </row>
    <row r="1978" spans="11:12" x14ac:dyDescent="0.25">
      <c r="K1978"/>
      <c r="L1978"/>
    </row>
    <row r="1979" spans="11:12" x14ac:dyDescent="0.25">
      <c r="K1979"/>
      <c r="L1979"/>
    </row>
    <row r="1980" spans="11:12" x14ac:dyDescent="0.25">
      <c r="K1980"/>
      <c r="L1980"/>
    </row>
    <row r="1981" spans="11:12" x14ac:dyDescent="0.25">
      <c r="K1981"/>
      <c r="L1981"/>
    </row>
    <row r="1982" spans="11:12" x14ac:dyDescent="0.25">
      <c r="K1982"/>
      <c r="L1982"/>
    </row>
    <row r="1983" spans="11:12" x14ac:dyDescent="0.25">
      <c r="K1983"/>
      <c r="L1983"/>
    </row>
    <row r="1984" spans="11:12" x14ac:dyDescent="0.25">
      <c r="K1984"/>
      <c r="L1984"/>
    </row>
    <row r="1985" spans="11:12" x14ac:dyDescent="0.25">
      <c r="K1985"/>
      <c r="L1985"/>
    </row>
    <row r="1986" spans="11:12" x14ac:dyDescent="0.25">
      <c r="K1986"/>
      <c r="L1986"/>
    </row>
    <row r="1987" spans="11:12" x14ac:dyDescent="0.25">
      <c r="K1987"/>
      <c r="L1987"/>
    </row>
    <row r="1988" spans="11:12" x14ac:dyDescent="0.25">
      <c r="K1988"/>
      <c r="L1988"/>
    </row>
    <row r="1989" spans="11:12" x14ac:dyDescent="0.25">
      <c r="K1989"/>
      <c r="L1989"/>
    </row>
    <row r="1990" spans="11:12" x14ac:dyDescent="0.25">
      <c r="K1990"/>
      <c r="L1990"/>
    </row>
    <row r="1991" spans="11:12" x14ac:dyDescent="0.25">
      <c r="K1991"/>
      <c r="L1991"/>
    </row>
    <row r="1992" spans="11:12" x14ac:dyDescent="0.25">
      <c r="K1992"/>
      <c r="L1992"/>
    </row>
    <row r="1993" spans="11:12" x14ac:dyDescent="0.25">
      <c r="K1993"/>
      <c r="L1993"/>
    </row>
    <row r="1994" spans="11:12" x14ac:dyDescent="0.25">
      <c r="K1994"/>
      <c r="L1994"/>
    </row>
    <row r="1995" spans="11:12" x14ac:dyDescent="0.25">
      <c r="K1995"/>
      <c r="L1995"/>
    </row>
    <row r="1996" spans="11:12" x14ac:dyDescent="0.25">
      <c r="K1996"/>
      <c r="L1996"/>
    </row>
    <row r="1997" spans="11:12" x14ac:dyDescent="0.25">
      <c r="K1997"/>
      <c r="L1997"/>
    </row>
    <row r="1998" spans="11:12" x14ac:dyDescent="0.25">
      <c r="K1998"/>
      <c r="L1998"/>
    </row>
    <row r="1999" spans="11:12" x14ac:dyDescent="0.25">
      <c r="K1999"/>
      <c r="L1999"/>
    </row>
    <row r="2000" spans="11:12" x14ac:dyDescent="0.25">
      <c r="K2000"/>
      <c r="L2000"/>
    </row>
    <row r="2001" spans="11:12" x14ac:dyDescent="0.25">
      <c r="K2001"/>
      <c r="L2001"/>
    </row>
    <row r="2002" spans="11:12" x14ac:dyDescent="0.25">
      <c r="K2002"/>
      <c r="L2002"/>
    </row>
    <row r="2003" spans="11:12" x14ac:dyDescent="0.25">
      <c r="K2003"/>
      <c r="L2003"/>
    </row>
    <row r="2004" spans="11:12" x14ac:dyDescent="0.25">
      <c r="K2004"/>
      <c r="L2004"/>
    </row>
    <row r="2005" spans="11:12" x14ac:dyDescent="0.25">
      <c r="K2005"/>
      <c r="L2005"/>
    </row>
    <row r="2006" spans="11:12" x14ac:dyDescent="0.25">
      <c r="K2006"/>
      <c r="L2006"/>
    </row>
    <row r="2007" spans="11:12" x14ac:dyDescent="0.25">
      <c r="K2007"/>
      <c r="L2007"/>
    </row>
    <row r="2008" spans="11:12" x14ac:dyDescent="0.25">
      <c r="K2008"/>
      <c r="L2008"/>
    </row>
    <row r="2009" spans="11:12" x14ac:dyDescent="0.25">
      <c r="K2009"/>
      <c r="L2009"/>
    </row>
    <row r="2010" spans="11:12" x14ac:dyDescent="0.25">
      <c r="K2010"/>
      <c r="L2010"/>
    </row>
    <row r="2011" spans="11:12" x14ac:dyDescent="0.25">
      <c r="K2011"/>
      <c r="L2011"/>
    </row>
    <row r="2012" spans="11:12" x14ac:dyDescent="0.25">
      <c r="K2012"/>
      <c r="L2012"/>
    </row>
    <row r="2013" spans="11:12" x14ac:dyDescent="0.25">
      <c r="K2013"/>
      <c r="L2013"/>
    </row>
    <row r="2014" spans="11:12" x14ac:dyDescent="0.25">
      <c r="K2014"/>
      <c r="L2014"/>
    </row>
    <row r="2015" spans="11:12" x14ac:dyDescent="0.25">
      <c r="K2015"/>
      <c r="L2015"/>
    </row>
    <row r="2016" spans="11:12" x14ac:dyDescent="0.25">
      <c r="K2016"/>
      <c r="L2016"/>
    </row>
    <row r="2017" spans="11:12" x14ac:dyDescent="0.25">
      <c r="K2017"/>
      <c r="L2017"/>
    </row>
    <row r="2018" spans="11:12" x14ac:dyDescent="0.25">
      <c r="K2018"/>
      <c r="L2018"/>
    </row>
    <row r="2019" spans="11:12" x14ac:dyDescent="0.25">
      <c r="K2019"/>
      <c r="L2019"/>
    </row>
    <row r="2020" spans="11:12" x14ac:dyDescent="0.25">
      <c r="K2020"/>
      <c r="L2020"/>
    </row>
    <row r="2021" spans="11:12" x14ac:dyDescent="0.25">
      <c r="K2021"/>
      <c r="L2021"/>
    </row>
    <row r="2022" spans="11:12" x14ac:dyDescent="0.25">
      <c r="K2022"/>
      <c r="L2022"/>
    </row>
    <row r="2023" spans="11:12" x14ac:dyDescent="0.25">
      <c r="K2023"/>
      <c r="L2023"/>
    </row>
    <row r="2024" spans="11:12" x14ac:dyDescent="0.25">
      <c r="K2024"/>
      <c r="L2024"/>
    </row>
    <row r="2025" spans="11:12" x14ac:dyDescent="0.25">
      <c r="K2025"/>
      <c r="L2025"/>
    </row>
    <row r="2026" spans="11:12" x14ac:dyDescent="0.25">
      <c r="K2026"/>
      <c r="L2026"/>
    </row>
    <row r="2027" spans="11:12" x14ac:dyDescent="0.25">
      <c r="K2027"/>
      <c r="L2027"/>
    </row>
    <row r="2028" spans="11:12" x14ac:dyDescent="0.25">
      <c r="K2028"/>
      <c r="L2028"/>
    </row>
    <row r="2029" spans="11:12" x14ac:dyDescent="0.25">
      <c r="K2029"/>
      <c r="L2029"/>
    </row>
    <row r="2030" spans="11:12" x14ac:dyDescent="0.25">
      <c r="K2030"/>
      <c r="L2030"/>
    </row>
    <row r="2031" spans="11:12" x14ac:dyDescent="0.25">
      <c r="K2031"/>
      <c r="L2031"/>
    </row>
    <row r="2032" spans="11:12" x14ac:dyDescent="0.25">
      <c r="K2032"/>
      <c r="L2032"/>
    </row>
    <row r="2033" spans="11:12" x14ac:dyDescent="0.25">
      <c r="K2033"/>
      <c r="L2033"/>
    </row>
    <row r="2034" spans="11:12" x14ac:dyDescent="0.25">
      <c r="K2034"/>
      <c r="L2034"/>
    </row>
    <row r="2035" spans="11:12" x14ac:dyDescent="0.25">
      <c r="K2035"/>
      <c r="L2035"/>
    </row>
    <row r="2036" spans="11:12" x14ac:dyDescent="0.25">
      <c r="K2036"/>
      <c r="L2036"/>
    </row>
    <row r="2037" spans="11:12" x14ac:dyDescent="0.25">
      <c r="K2037"/>
      <c r="L2037"/>
    </row>
    <row r="2038" spans="11:12" x14ac:dyDescent="0.25">
      <c r="K2038"/>
      <c r="L2038"/>
    </row>
    <row r="2039" spans="11:12" x14ac:dyDescent="0.25">
      <c r="K2039"/>
      <c r="L2039"/>
    </row>
    <row r="2040" spans="11:12" x14ac:dyDescent="0.25">
      <c r="K2040"/>
      <c r="L2040"/>
    </row>
    <row r="2041" spans="11:12" x14ac:dyDescent="0.25">
      <c r="K2041"/>
      <c r="L2041"/>
    </row>
    <row r="2042" spans="11:12" x14ac:dyDescent="0.25">
      <c r="K2042"/>
      <c r="L2042"/>
    </row>
    <row r="2043" spans="11:12" x14ac:dyDescent="0.25">
      <c r="K2043"/>
      <c r="L2043"/>
    </row>
    <row r="2044" spans="11:12" x14ac:dyDescent="0.25">
      <c r="K2044"/>
      <c r="L2044"/>
    </row>
    <row r="2045" spans="11:12" x14ac:dyDescent="0.25">
      <c r="K2045"/>
      <c r="L2045"/>
    </row>
    <row r="2046" spans="11:12" x14ac:dyDescent="0.25">
      <c r="K2046"/>
      <c r="L2046"/>
    </row>
    <row r="2047" spans="11:12" x14ac:dyDescent="0.25">
      <c r="K2047"/>
      <c r="L2047"/>
    </row>
    <row r="2048" spans="11:12" x14ac:dyDescent="0.25">
      <c r="K2048"/>
      <c r="L2048"/>
    </row>
    <row r="2049" spans="11:12" x14ac:dyDescent="0.25">
      <c r="K2049"/>
      <c r="L2049"/>
    </row>
    <row r="2050" spans="11:12" x14ac:dyDescent="0.25">
      <c r="K2050"/>
      <c r="L2050"/>
    </row>
    <row r="2051" spans="11:12" x14ac:dyDescent="0.25">
      <c r="K2051"/>
      <c r="L2051"/>
    </row>
    <row r="2052" spans="11:12" x14ac:dyDescent="0.25">
      <c r="K2052"/>
      <c r="L2052"/>
    </row>
    <row r="2053" spans="11:12" x14ac:dyDescent="0.25">
      <c r="K2053"/>
      <c r="L2053"/>
    </row>
    <row r="2054" spans="11:12" x14ac:dyDescent="0.25">
      <c r="K2054"/>
      <c r="L2054"/>
    </row>
    <row r="2055" spans="11:12" x14ac:dyDescent="0.25">
      <c r="K2055"/>
      <c r="L2055"/>
    </row>
    <row r="2056" spans="11:12" x14ac:dyDescent="0.25">
      <c r="K2056"/>
      <c r="L2056"/>
    </row>
    <row r="2057" spans="11:12" x14ac:dyDescent="0.25">
      <c r="K2057"/>
      <c r="L2057"/>
    </row>
    <row r="2058" spans="11:12" x14ac:dyDescent="0.25">
      <c r="K2058"/>
      <c r="L2058"/>
    </row>
    <row r="2059" spans="11:12" x14ac:dyDescent="0.25">
      <c r="K2059"/>
      <c r="L2059"/>
    </row>
    <row r="2060" spans="11:12" x14ac:dyDescent="0.25">
      <c r="K2060"/>
      <c r="L2060"/>
    </row>
    <row r="2061" spans="11:12" x14ac:dyDescent="0.25">
      <c r="K2061"/>
      <c r="L2061"/>
    </row>
    <row r="2062" spans="11:12" x14ac:dyDescent="0.25">
      <c r="K2062"/>
      <c r="L2062"/>
    </row>
    <row r="2063" spans="11:12" x14ac:dyDescent="0.25">
      <c r="K2063"/>
      <c r="L2063"/>
    </row>
    <row r="2064" spans="11:12" x14ac:dyDescent="0.25">
      <c r="K2064"/>
      <c r="L2064"/>
    </row>
    <row r="2065" spans="11:12" x14ac:dyDescent="0.25">
      <c r="K2065"/>
      <c r="L2065"/>
    </row>
    <row r="2066" spans="11:12" x14ac:dyDescent="0.25">
      <c r="K2066"/>
      <c r="L2066"/>
    </row>
    <row r="2067" spans="11:12" x14ac:dyDescent="0.25">
      <c r="K2067"/>
      <c r="L2067"/>
    </row>
    <row r="2068" spans="11:12" x14ac:dyDescent="0.25">
      <c r="K2068"/>
      <c r="L2068"/>
    </row>
    <row r="2069" spans="11:12" x14ac:dyDescent="0.25">
      <c r="K2069"/>
      <c r="L2069"/>
    </row>
    <row r="2070" spans="11:12" x14ac:dyDescent="0.25">
      <c r="K2070"/>
      <c r="L2070"/>
    </row>
    <row r="2071" spans="11:12" x14ac:dyDescent="0.25">
      <c r="K2071"/>
      <c r="L2071"/>
    </row>
    <row r="2072" spans="11:12" x14ac:dyDescent="0.25">
      <c r="K2072"/>
      <c r="L2072"/>
    </row>
    <row r="2073" spans="11:12" x14ac:dyDescent="0.25">
      <c r="K2073"/>
      <c r="L2073"/>
    </row>
    <row r="2074" spans="11:12" x14ac:dyDescent="0.25">
      <c r="K2074"/>
      <c r="L2074"/>
    </row>
    <row r="2075" spans="11:12" x14ac:dyDescent="0.25">
      <c r="K2075"/>
      <c r="L2075"/>
    </row>
    <row r="2076" spans="11:12" x14ac:dyDescent="0.25">
      <c r="K2076"/>
      <c r="L2076"/>
    </row>
    <row r="2077" spans="11:12" x14ac:dyDescent="0.25">
      <c r="K2077"/>
      <c r="L2077"/>
    </row>
    <row r="2078" spans="11:12" x14ac:dyDescent="0.25">
      <c r="K2078"/>
      <c r="L2078"/>
    </row>
    <row r="2079" spans="11:12" x14ac:dyDescent="0.25">
      <c r="K2079"/>
      <c r="L2079"/>
    </row>
    <row r="2080" spans="11:12" x14ac:dyDescent="0.25">
      <c r="K2080"/>
      <c r="L2080"/>
    </row>
    <row r="2081" spans="11:12" x14ac:dyDescent="0.25">
      <c r="K2081"/>
      <c r="L2081"/>
    </row>
    <row r="2082" spans="11:12" x14ac:dyDescent="0.25">
      <c r="K2082"/>
      <c r="L2082"/>
    </row>
    <row r="2083" spans="11:12" x14ac:dyDescent="0.25">
      <c r="K2083"/>
      <c r="L2083"/>
    </row>
    <row r="2084" spans="11:12" x14ac:dyDescent="0.25">
      <c r="K2084"/>
      <c r="L2084"/>
    </row>
    <row r="2085" spans="11:12" x14ac:dyDescent="0.25">
      <c r="K2085"/>
      <c r="L2085"/>
    </row>
    <row r="2086" spans="11:12" x14ac:dyDescent="0.25">
      <c r="K2086"/>
      <c r="L2086"/>
    </row>
    <row r="2087" spans="11:12" x14ac:dyDescent="0.25">
      <c r="K2087"/>
      <c r="L2087"/>
    </row>
    <row r="2088" spans="11:12" x14ac:dyDescent="0.25">
      <c r="K2088"/>
      <c r="L2088"/>
    </row>
    <row r="2089" spans="11:12" x14ac:dyDescent="0.25">
      <c r="K2089"/>
      <c r="L2089"/>
    </row>
    <row r="2090" spans="11:12" x14ac:dyDescent="0.25">
      <c r="K2090"/>
      <c r="L2090"/>
    </row>
    <row r="2091" spans="11:12" x14ac:dyDescent="0.25">
      <c r="K2091"/>
      <c r="L2091"/>
    </row>
    <row r="2092" spans="11:12" x14ac:dyDescent="0.25">
      <c r="K2092"/>
      <c r="L2092"/>
    </row>
    <row r="2093" spans="11:12" x14ac:dyDescent="0.25">
      <c r="K2093"/>
      <c r="L2093"/>
    </row>
    <row r="2094" spans="11:12" x14ac:dyDescent="0.25">
      <c r="K2094"/>
      <c r="L2094"/>
    </row>
    <row r="2095" spans="11:12" x14ac:dyDescent="0.25">
      <c r="K2095"/>
      <c r="L2095"/>
    </row>
    <row r="2096" spans="11:12" x14ac:dyDescent="0.25">
      <c r="K2096"/>
      <c r="L2096"/>
    </row>
    <row r="2097" spans="11:12" x14ac:dyDescent="0.25">
      <c r="K2097"/>
      <c r="L2097"/>
    </row>
    <row r="2098" spans="11:12" x14ac:dyDescent="0.25">
      <c r="K2098"/>
      <c r="L2098"/>
    </row>
    <row r="2099" spans="11:12" x14ac:dyDescent="0.25">
      <c r="K2099"/>
      <c r="L2099"/>
    </row>
    <row r="2100" spans="11:12" x14ac:dyDescent="0.25">
      <c r="K2100"/>
      <c r="L2100"/>
    </row>
    <row r="2101" spans="11:12" x14ac:dyDescent="0.25">
      <c r="K2101"/>
      <c r="L2101"/>
    </row>
    <row r="2102" spans="11:12" x14ac:dyDescent="0.25">
      <c r="K2102"/>
      <c r="L2102"/>
    </row>
    <row r="2103" spans="11:12" x14ac:dyDescent="0.25">
      <c r="K2103"/>
      <c r="L2103"/>
    </row>
    <row r="2104" spans="11:12" x14ac:dyDescent="0.25">
      <c r="K2104"/>
      <c r="L2104"/>
    </row>
    <row r="2105" spans="11:12" x14ac:dyDescent="0.25">
      <c r="K2105"/>
      <c r="L2105"/>
    </row>
    <row r="2106" spans="11:12" x14ac:dyDescent="0.25">
      <c r="K2106"/>
      <c r="L2106"/>
    </row>
    <row r="2107" spans="11:12" x14ac:dyDescent="0.25">
      <c r="K2107"/>
      <c r="L2107"/>
    </row>
    <row r="2108" spans="11:12" x14ac:dyDescent="0.25">
      <c r="K2108"/>
      <c r="L2108"/>
    </row>
    <row r="2109" spans="11:12" x14ac:dyDescent="0.25">
      <c r="K2109"/>
      <c r="L2109"/>
    </row>
    <row r="2110" spans="11:12" x14ac:dyDescent="0.25">
      <c r="K2110"/>
      <c r="L2110"/>
    </row>
    <row r="2111" spans="11:12" x14ac:dyDescent="0.25">
      <c r="K2111"/>
      <c r="L2111"/>
    </row>
    <row r="2112" spans="11:12" x14ac:dyDescent="0.25">
      <c r="K2112"/>
      <c r="L2112"/>
    </row>
    <row r="2113" spans="11:12" x14ac:dyDescent="0.25">
      <c r="K2113"/>
      <c r="L2113"/>
    </row>
    <row r="2114" spans="11:12" x14ac:dyDescent="0.25">
      <c r="K2114"/>
      <c r="L2114"/>
    </row>
    <row r="2115" spans="11:12" x14ac:dyDescent="0.25">
      <c r="K2115"/>
      <c r="L2115"/>
    </row>
    <row r="2116" spans="11:12" x14ac:dyDescent="0.25">
      <c r="K2116"/>
      <c r="L2116"/>
    </row>
    <row r="2117" spans="11:12" x14ac:dyDescent="0.25">
      <c r="K2117"/>
      <c r="L2117"/>
    </row>
    <row r="2118" spans="11:12" x14ac:dyDescent="0.25">
      <c r="K2118"/>
      <c r="L2118"/>
    </row>
    <row r="2119" spans="11:12" x14ac:dyDescent="0.25">
      <c r="K2119"/>
      <c r="L2119"/>
    </row>
    <row r="2120" spans="11:12" x14ac:dyDescent="0.25">
      <c r="K2120"/>
      <c r="L2120"/>
    </row>
  </sheetData>
  <mergeCells count="1">
    <mergeCell ref="A1:O1"/>
  </mergeCells>
  <pageMargins left="0.7" right="0.7" top="0.75" bottom="0.75" header="0.3" footer="0.3"/>
  <pageSetup orientation="portrait" verticalDpi="597"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Overview</vt:lpstr>
      <vt:lpstr>NPI Provider Type List 2024</vt:lpstr>
      <vt:lpstr>Prior Round Dispositions</vt:lpstr>
    </vt:vector>
  </TitlesOfParts>
  <Company>Mainstream Technologies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JD Robinson</dc:creator>
  <cp:lastModifiedBy>John Robinson</cp:lastModifiedBy>
  <dcterms:created xsi:type="dcterms:W3CDTF">2016-03-15T01:59:20Z</dcterms:created>
  <dcterms:modified xsi:type="dcterms:W3CDTF">2024-03-26T16:03:10Z</dcterms:modified>
</cp:coreProperties>
</file>